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drawings/drawing8.xml" ContentType="application/vnd.openxmlformats-officedocument.drawing+xml"/>
  <Override PartName="/xl/ctrlProps/ctrlProp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0.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11.xml" ContentType="application/vnd.openxmlformats-officedocument.drawing+xml"/>
  <Override PartName="/xl/tables/table17.xml" ContentType="application/vnd.openxmlformats-officedocument.spreadsheetml.table+xml"/>
  <Override PartName="/xl/charts/chart6.xml" ContentType="application/vnd.openxmlformats-officedocument.drawingml.chart+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dzou\Desktop\2026-03\SCTASK0864289\"/>
    </mc:Choice>
  </mc:AlternateContent>
  <xr:revisionPtr revIDLastSave="0" documentId="13_ncr:1_{2A30FD29-EB08-4B60-A93D-01AE33C35600}" xr6:coauthVersionLast="47" xr6:coauthVersionMax="47" xr10:uidLastSave="{00000000-0000-0000-0000-000000000000}"/>
  <bookViews>
    <workbookView xWindow="-120" yWindow="-120" windowWidth="51840" windowHeight="21120" tabRatio="787" firstSheet="1" activeTab="1" xr2:uid="{00000000-000D-0000-FFFF-FFFF00000000}"/>
  </bookViews>
  <sheets>
    <sheet name="notes" sheetId="23" state="hidden" r:id="rId1"/>
    <sheet name="Index" sheetId="4" r:id="rId2"/>
    <sheet name="localcont" sheetId="19" state="hidden" r:id="rId3"/>
    <sheet name="MoreAboutData" sheetId="24" r:id="rId4"/>
    <sheet name="Foundation Budget" sheetId="9" r:id="rId5"/>
    <sheet name="Municipal Contribution" sheetId="8" r:id="rId6"/>
    <sheet name="Regional Allocation" sheetId="12" r:id="rId7"/>
    <sheet name="Summary" sheetId="7" r:id="rId8"/>
    <sheet name="parameters" sheetId="3" r:id="rId9"/>
    <sheet name="Regional District Members" sheetId="16" r:id="rId10"/>
    <sheet name="Comparison to FY24" sheetId="15" r:id="rId11"/>
    <sheet name="Aid436" sheetId="13" r:id="rId12"/>
    <sheet name="Rates" sheetId="5" r:id="rId13"/>
    <sheet name="Townwide Contributions" sheetId="10" r:id="rId14"/>
    <sheet name="ceyregionalcalc" sheetId="22" state="hidden" r:id="rId15"/>
    <sheet name="disthist" sheetId="20" state="hidden" r:id="rId16"/>
    <sheet name="dist435" sheetId="14" r:id="rId17"/>
    <sheet name="RegPivot" sheetId="25" state="hidden" r:id="rId18"/>
    <sheet name="leas" sheetId="17" state="hidden" r:id="rId19"/>
    <sheet name="frac" sheetId="6" state="hidden" r:id="rId20"/>
  </sheets>
  <definedNames>
    <definedName name="_xlnm._FilterDatabase" localSheetId="11" hidden="1">'Aid436'!$A$7:$AS$448</definedName>
    <definedName name="_xlnm._FilterDatabase" localSheetId="14" hidden="1">ceyregionalcalc!$A$9:$H$813</definedName>
    <definedName name="_xlnm._FilterDatabase" localSheetId="10" hidden="1">'Comparison to FY24'!$A$7:$P$7</definedName>
    <definedName name="_xlnm._FilterDatabase" localSheetId="16" hidden="1">dist435!$A$7:$AL$446</definedName>
    <definedName name="_xlnm._FilterDatabase" localSheetId="15" hidden="1">disthist!$A$9:$AT$448</definedName>
    <definedName name="_xlnm._FilterDatabase" localSheetId="19" hidden="1">frac!$A$9:$K$461</definedName>
    <definedName name="_xlnm._FilterDatabase" localSheetId="1" hidden="1">Index!$D$27:$D$465</definedName>
    <definedName name="_xlnm._FilterDatabase" localSheetId="2" hidden="1">localcont!$D$9:$CO$1766</definedName>
    <definedName name="_xlnm._FilterDatabase" localSheetId="17" hidden="1">RegPivot!$J$3:$R$544</definedName>
    <definedName name="_xlnm._FilterDatabase" localSheetId="13" hidden="1">'Townwide Contributions'!$A$6:$AM$358</definedName>
    <definedName name="_Key1" localSheetId="0" hidden="1">#REF!</definedName>
    <definedName name="_Key1" hidden="1">#REF!</definedName>
    <definedName name="_Key2" localSheetId="0" hidden="1">#REF!</definedName>
    <definedName name="_Key2" hidden="1">#REF!</definedName>
    <definedName name="_Order1" hidden="1">255</definedName>
    <definedName name="_Order2" hidden="1">255</definedName>
    <definedName name="_Sort" localSheetId="0" hidden="1">#REF!</definedName>
    <definedName name="_Sort" hidden="1">#REF!</definedName>
    <definedName name="adjustment">'Aid436'!$T$8:$T$446</definedName>
    <definedName name="aidcalc" localSheetId="0">'Aid436'!$A$8:$AK$446</definedName>
    <definedName name="aidcalc">'Aid436'!$A$8:$AS$446</definedName>
    <definedName name="aidfloor">parameters!$C$11</definedName>
    <definedName name="basecut" localSheetId="0">parameters!$C$23</definedName>
    <definedName name="basecut">parameters!$C$23</definedName>
    <definedName name="ceylea">ceyregionalcalc!$B$10:$B$818</definedName>
    <definedName name="ceyperc">parameters!$C$13</definedName>
    <definedName name="ceyproptotal">ceyregionalcalc!$H$10:$H$818</definedName>
    <definedName name="ceyreg">ceyregionalcalc!$D$10:$H$812</definedName>
    <definedName name="chapter70" localSheetId="0">'Aid436'!#REF!</definedName>
    <definedName name="chapter70">'Aid436'!$Y$8:$Y$445</definedName>
    <definedName name="CYr" localSheetId="0">parameters!$B$1</definedName>
    <definedName name="CYr">parameters!$B$1</definedName>
    <definedName name="dist1755" localSheetId="0">localcont!$G$10:$G$1764</definedName>
    <definedName name="dist1755">localcont!$G$10:$G$1764</definedName>
    <definedName name="dist915" localSheetId="0">dist435!$A$8:$AF$445</definedName>
    <definedName name="dist915">dist435!$A$8:$AL$447</definedName>
    <definedName name="disthist" localSheetId="0">disthist!$A$10:$AQ$448</definedName>
    <definedName name="disthist">disthist!$A$10:$BU$448</definedName>
    <definedName name="downaid" localSheetId="0">'Aid436'!$R$8:$R$446</definedName>
    <definedName name="downaid2" localSheetId="0">'Aid436'!#REF!</definedName>
    <definedName name="downpct" localSheetId="0">parameters!$C$8</definedName>
    <definedName name="downpct">parameters!$C$8</definedName>
    <definedName name="effortred" localSheetId="0">parameters!$C$7</definedName>
    <definedName name="effortred">parameters!$C$7</definedName>
    <definedName name="enro" localSheetId="0">'Aid436'!$O$8:$O$446</definedName>
    <definedName name="enro">'Aid436'!$O$8:$O$446</definedName>
    <definedName name="enro1755" localSheetId="0">localcont!$W$10:$W$1764</definedName>
    <definedName name="enro1755">localcont!$W$10:$W$1764</definedName>
    <definedName name="enrohist">'Aid436'!#REF!</definedName>
    <definedName name="found" localSheetId="0">'Aid436'!$I$8:$I$446</definedName>
    <definedName name="found">'Aid436'!$I$8:$I$446</definedName>
    <definedName name="found1755" localSheetId="0">localcont!$K$10:$K$1765</definedName>
    <definedName name="found1755">localcont!$K$10:$K$1765</definedName>
    <definedName name="foundaid" localSheetId="0">'Aid436'!$K$8:$K$446</definedName>
    <definedName name="foundaid">'Aid436'!$K$8:$K$446</definedName>
    <definedName name="foundinc" localSheetId="0">'Aid436'!$L$8:$L$446</definedName>
    <definedName name="foundinc">'Aid436'!$L$8:$L$446</definedName>
    <definedName name="foundoptcell" localSheetId="0">localcont!$CN$1:$CO$11</definedName>
    <definedName name="foundoptcell">localcont!$CN$1:$CO$11</definedName>
    <definedName name="foundoptions" localSheetId="0">localcont!$Y$10:$CL$1764</definedName>
    <definedName name="foundoptions">localcont!$Y$10:$CL$1764</definedName>
    <definedName name="frac">frac!$D$10:$H$463</definedName>
    <definedName name="fraclea" localSheetId="0">frac!$A$10:$A$468</definedName>
    <definedName name="fraclea">frac!$A$10:$A$463</definedName>
    <definedName name="fraconcat">frac!$C$10:$K$463</definedName>
    <definedName name="growthaid">'Aid436'!#REF!</definedName>
    <definedName name="holdharmless">'Aid436'!$A$7:$AS$446</definedName>
    <definedName name="holdharmlessaid">'Aid436'!$X$8:$X$446</definedName>
    <definedName name="lea" localSheetId="0">Index!$A$4</definedName>
    <definedName name="lea">Index!$A$4</definedName>
    <definedName name="lea_list">leas!$C$6:$C$445</definedName>
    <definedName name="lea_order" localSheetId="0">leas!$A$3</definedName>
    <definedName name="lea_order">leas!$A$3</definedName>
    <definedName name="lealist">leas!$E$5:$E$445</definedName>
    <definedName name="leas" localSheetId="0">leas!$A$6:$E$445</definedName>
    <definedName name="leas">leas!$A$6:$E$445</definedName>
    <definedName name="localcont">localcont!$G$10:$X$1765</definedName>
    <definedName name="maxloc" localSheetId="0">parameters!$C$20</definedName>
    <definedName name="maxloc">parameters!$C$20</definedName>
    <definedName name="memeffpct" localSheetId="0">frac!$K$10:$K$467</definedName>
    <definedName name="memeffpct">frac!$K$10:$K$463</definedName>
    <definedName name="memlea">frac!$E$10:$E$463</definedName>
    <definedName name="minaid" localSheetId="0">'Aid436'!$U$8:$U$447</definedName>
    <definedName name="minaid">'Aid436'!$R$8:$R$447</definedName>
    <definedName name="minaidadjincrement">'Aid436'!$U$8:$U$446</definedName>
    <definedName name="mininc" localSheetId="0">parameters!$C$14</definedName>
    <definedName name="mininc">parameters!$C$14</definedName>
    <definedName name="mrgf">'Townwide Contributions'!$O$7:$O$357</definedName>
    <definedName name="mrgfopt" localSheetId="0">'Townwide Contributions'!#REF!</definedName>
    <definedName name="mrgfopt">'Townwide Contributions'!#REF!</definedName>
    <definedName name="mrgfvers" localSheetId="0">parameters!$C$15</definedName>
    <definedName name="mrgfvers">parameters!$C$15</definedName>
    <definedName name="newrates">Rates!$A$9:$N$32</definedName>
    <definedName name="nonop" localSheetId="0">'Aid436'!$C$8:$C$446</definedName>
    <definedName name="nonop">'Aid436'!$C$8:$C$446</definedName>
    <definedName name="nss">'Aid436'!$AA$8:$AA$446</definedName>
    <definedName name="opaid">'Comparison to FY24'!$N$8:$N$326</definedName>
    <definedName name="order1755" localSheetId="0">localcont!$D$10:$X$1765</definedName>
    <definedName name="order1755">localcont!$D$10:$X$1765</definedName>
    <definedName name="prelcont1755" localSheetId="0">localcont!$N$10:$N$1765</definedName>
    <definedName name="prelcont1755">localcont!$N$10:$N$1765</definedName>
    <definedName name="prelcont436" localSheetId="0">'Aid436'!$J$8:$J$446</definedName>
    <definedName name="prelcont436">'Aid436'!$J$8:$J$446</definedName>
    <definedName name="prelimc70">'Aid436'!#REF!</definedName>
    <definedName name="prelimc70perc">'Aid436'!#REF!</definedName>
    <definedName name="_xlnm.Print_Area" localSheetId="11">'Aid436'!$A$7:$R$414</definedName>
    <definedName name="_xlnm.Print_Area" localSheetId="10">'Comparison to FY24'!$A$8:$P$327</definedName>
    <definedName name="_xlnm.Print_Area" localSheetId="4">'Foundation Budget'!$A$2:$Q$43</definedName>
    <definedName name="_xlnm.Print_Area" localSheetId="1">Index!$S$1:$T$3</definedName>
    <definedName name="_xlnm.Print_Area" localSheetId="3">MoreAboutData!$A$1:$F$57</definedName>
    <definedName name="_xlnm.Print_Area" localSheetId="5">'Municipal Contribution'!$A$3:$G$31</definedName>
    <definedName name="_xlnm.Print_Area" localSheetId="8">parameters!$A$5:$I$35</definedName>
    <definedName name="_xlnm.Print_Area" localSheetId="12">Rates!$A$3:$N$55</definedName>
    <definedName name="_xlnm.Print_Area" localSheetId="6">'Regional Allocation'!$D$3:$J$24</definedName>
    <definedName name="_xlnm.Print_Area" localSheetId="9">'Regional District Members'!$E$6:$L$46</definedName>
    <definedName name="_xlnm.Print_Area" localSheetId="7">Summary!$B$2:$L$31</definedName>
    <definedName name="_xlnm.Print_Titles" localSheetId="11">'Aid436'!$7:$7</definedName>
    <definedName name="_xlnm.Print_Titles" localSheetId="10">'Comparison to FY24'!$2:$7</definedName>
    <definedName name="_xlnm.Print_Titles" localSheetId="3">MoreAboutData!$1:$2</definedName>
    <definedName name="_xlnm.Print_Titles" localSheetId="9">'Regional District Members'!$14:$18</definedName>
    <definedName name="priorc70" localSheetId="0">'Aid436'!$H$8:$H$446</definedName>
    <definedName name="priorc70">'Aid436'!$H$8:$H$446</definedName>
    <definedName name="pyenro">localcont!$R$10:$R$1765</definedName>
    <definedName name="pyfound1755">localcont!$I$10:$I$1765</definedName>
    <definedName name="pynetmin" localSheetId="0">localcont!$O$10:$O$1765</definedName>
    <definedName name="pynetmin">localcont!$O$10:$O$1765</definedName>
    <definedName name="PYr" localSheetId="0">parameters!$B$2</definedName>
    <definedName name="PYr">parameters!$B$2</definedName>
    <definedName name="ratestatus" localSheetId="4">'Foundation Budget'!#REF!</definedName>
    <definedName name="rednonop" localSheetId="0">'Aid436'!$W$8:$W$446</definedName>
    <definedName name="rednonop">'Aid436'!$W$8:$W$446</definedName>
    <definedName name="reg_list">leas!$C$358:$C$444</definedName>
    <definedName name="reg_order" localSheetId="0">leas!$B$3</definedName>
    <definedName name="reg_order">leas!$B$3</definedName>
    <definedName name="regcount" localSheetId="0">leas!$I$6:$J$92</definedName>
    <definedName name="regcount">leas!$I$6:$J$93</definedName>
    <definedName name="regdetail" localSheetId="0">leas!$L$7:$R$460</definedName>
    <definedName name="regdetail">leas!$L$7:$Q$461</definedName>
    <definedName name="regdistricts" localSheetId="0">leas!$B$358:$E$444</definedName>
    <definedName name="regdistricts">leas!$B$449:$E$536</definedName>
    <definedName name="reglist">leas!$E$357:$E$444</definedName>
    <definedName name="regorder">frac!$B$10:$H$463</definedName>
    <definedName name="RegTable">RegPivot!$I$4:$R$544</definedName>
    <definedName name="SOAonesixth_H1_MRGF">'Aid436'!#REF!</definedName>
    <definedName name="targaid">'Aid436'!#REF!</definedName>
    <definedName name="targaidperc">parameters!$C$12</definedName>
    <definedName name="targetstay">parameters!$C$11</definedName>
    <definedName name="town1755" localSheetId="0">localcont!$E$10:$E$1764</definedName>
    <definedName name="town1755">localcont!$E$10:$E$1764</definedName>
    <definedName name="town351" localSheetId="0">'Townwide Contributions'!$A$7:$AC$358</definedName>
    <definedName name="town351">'Townwide Contributions'!$A$7:$AC$358</definedName>
    <definedName name="waf" localSheetId="4">'Foundation Budget'!$C$23</definedName>
    <definedName name="whittier">leas!$P$402:$R$412</definedName>
  </definedNames>
  <calcPr calcId="191029"/>
  <pivotCaches>
    <pivotCache cacheId="0" r:id="rId2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5" l="1"/>
  <c r="C9" i="15"/>
  <c r="J544" i="25" l="1"/>
  <c r="J543" i="25"/>
  <c r="J542" i="25"/>
  <c r="J541" i="25"/>
  <c r="J540" i="25"/>
  <c r="J539" i="25"/>
  <c r="J538" i="25"/>
  <c r="J537" i="25"/>
  <c r="J536" i="25"/>
  <c r="J535" i="25"/>
  <c r="J534" i="25"/>
  <c r="J533" i="25"/>
  <c r="J532" i="25"/>
  <c r="J531" i="25"/>
  <c r="J530" i="25"/>
  <c r="J529" i="25"/>
  <c r="J528" i="25"/>
  <c r="J527" i="25"/>
  <c r="J526" i="25"/>
  <c r="J525" i="25"/>
  <c r="J524" i="25"/>
  <c r="J523" i="25"/>
  <c r="J522" i="25"/>
  <c r="J521" i="25"/>
  <c r="J520" i="25"/>
  <c r="J519" i="25"/>
  <c r="J518" i="25"/>
  <c r="J517" i="25"/>
  <c r="J516" i="25"/>
  <c r="J515" i="25"/>
  <c r="J514" i="25"/>
  <c r="J513" i="25"/>
  <c r="J512" i="25"/>
  <c r="J511" i="25"/>
  <c r="J510" i="25"/>
  <c r="J509" i="25"/>
  <c r="J508" i="25"/>
  <c r="J507" i="25"/>
  <c r="J506" i="25"/>
  <c r="J505" i="25"/>
  <c r="J504" i="25"/>
  <c r="J503" i="25"/>
  <c r="J502" i="25"/>
  <c r="J501" i="25"/>
  <c r="J500" i="25"/>
  <c r="J499" i="25"/>
  <c r="J498" i="25"/>
  <c r="J497" i="25"/>
  <c r="J496" i="25"/>
  <c r="J495" i="25"/>
  <c r="J494" i="25"/>
  <c r="J493" i="25"/>
  <c r="J492" i="25"/>
  <c r="J491" i="25"/>
  <c r="J490" i="25"/>
  <c r="J489" i="25"/>
  <c r="J488" i="25"/>
  <c r="J487" i="25"/>
  <c r="J486" i="25"/>
  <c r="J485" i="25"/>
  <c r="J484" i="25"/>
  <c r="J483" i="25"/>
  <c r="J482" i="25"/>
  <c r="J481" i="25"/>
  <c r="J480" i="25"/>
  <c r="J479" i="25"/>
  <c r="J478" i="25"/>
  <c r="J477" i="25"/>
  <c r="J476" i="25"/>
  <c r="J475" i="25"/>
  <c r="J474" i="25"/>
  <c r="J473" i="25"/>
  <c r="J472" i="25"/>
  <c r="J471" i="25"/>
  <c r="J470" i="25"/>
  <c r="J469" i="25"/>
  <c r="J468" i="25"/>
  <c r="J467" i="25"/>
  <c r="J466" i="25"/>
  <c r="J465" i="25"/>
  <c r="J464" i="25"/>
  <c r="J463" i="25"/>
  <c r="J462" i="25"/>
  <c r="J461" i="25"/>
  <c r="J460" i="25"/>
  <c r="J459" i="25"/>
  <c r="J458" i="25"/>
  <c r="J457" i="25"/>
  <c r="J456" i="25"/>
  <c r="J455" i="25"/>
  <c r="J454" i="25"/>
  <c r="J453" i="25"/>
  <c r="J452" i="25"/>
  <c r="J451" i="25"/>
  <c r="J450" i="25"/>
  <c r="J449" i="25"/>
  <c r="J448" i="25"/>
  <c r="J447" i="25"/>
  <c r="J446" i="25"/>
  <c r="J445" i="25"/>
  <c r="J444" i="25"/>
  <c r="J443" i="25"/>
  <c r="J442" i="25"/>
  <c r="J441" i="25"/>
  <c r="J440" i="25"/>
  <c r="J439" i="25"/>
  <c r="J438" i="25"/>
  <c r="J437" i="25"/>
  <c r="J436" i="25"/>
  <c r="J435" i="25"/>
  <c r="J434" i="25"/>
  <c r="J433" i="25"/>
  <c r="J432" i="25"/>
  <c r="J431" i="25"/>
  <c r="J430" i="25"/>
  <c r="J429" i="25"/>
  <c r="J428" i="25"/>
  <c r="J427" i="25"/>
  <c r="J426" i="25"/>
  <c r="J425" i="25"/>
  <c r="J424" i="25"/>
  <c r="J423" i="25"/>
  <c r="J422" i="25"/>
  <c r="J421" i="25"/>
  <c r="J420" i="25"/>
  <c r="J419" i="25"/>
  <c r="J418" i="25"/>
  <c r="J417" i="25"/>
  <c r="J416" i="25"/>
  <c r="J415" i="25"/>
  <c r="J414" i="25"/>
  <c r="J413" i="25"/>
  <c r="J412" i="25"/>
  <c r="J411" i="25"/>
  <c r="J410" i="25"/>
  <c r="J409" i="25"/>
  <c r="J408" i="25"/>
  <c r="J407" i="25"/>
  <c r="J406" i="25"/>
  <c r="J405" i="25"/>
  <c r="J404" i="25"/>
  <c r="J403" i="25"/>
  <c r="J402" i="25"/>
  <c r="J401" i="25"/>
  <c r="J400" i="25"/>
  <c r="J399" i="25"/>
  <c r="J398" i="25"/>
  <c r="J397" i="25"/>
  <c r="J396" i="25"/>
  <c r="J395" i="25"/>
  <c r="J394" i="25"/>
  <c r="J393" i="25"/>
  <c r="J392" i="25"/>
  <c r="J391" i="25"/>
  <c r="J390" i="25"/>
  <c r="J389" i="25"/>
  <c r="J388" i="25"/>
  <c r="J387" i="25"/>
  <c r="J386" i="25"/>
  <c r="J385" i="25"/>
  <c r="J384" i="25"/>
  <c r="J383" i="25"/>
  <c r="J382" i="25"/>
  <c r="J381" i="25"/>
  <c r="J380" i="25"/>
  <c r="J379" i="25"/>
  <c r="J378" i="25"/>
  <c r="J377" i="25"/>
  <c r="J376" i="25"/>
  <c r="J375" i="25"/>
  <c r="J374" i="25"/>
  <c r="J373" i="25"/>
  <c r="J372" i="25"/>
  <c r="J371" i="25"/>
  <c r="J370" i="25"/>
  <c r="J369" i="25"/>
  <c r="J368" i="25"/>
  <c r="J367" i="25"/>
  <c r="J366" i="25"/>
  <c r="J365" i="25"/>
  <c r="J364" i="25"/>
  <c r="J363" i="25"/>
  <c r="J362" i="25"/>
  <c r="J361" i="25"/>
  <c r="J360" i="25"/>
  <c r="J359" i="25"/>
  <c r="J358" i="25"/>
  <c r="J357" i="25"/>
  <c r="J356" i="25"/>
  <c r="J355" i="25"/>
  <c r="J354" i="25"/>
  <c r="J353" i="25"/>
  <c r="J352" i="25"/>
  <c r="J351" i="25"/>
  <c r="J350" i="25"/>
  <c r="J349" i="25"/>
  <c r="J348" i="25"/>
  <c r="J347" i="25"/>
  <c r="J346" i="25"/>
  <c r="J345" i="25"/>
  <c r="J344" i="25"/>
  <c r="J343" i="25"/>
  <c r="J342" i="25"/>
  <c r="J341" i="25"/>
  <c r="J340" i="25"/>
  <c r="J339" i="25"/>
  <c r="J338" i="25"/>
  <c r="J337" i="25"/>
  <c r="J336" i="25"/>
  <c r="J335" i="25"/>
  <c r="J334" i="25"/>
  <c r="J333" i="25"/>
  <c r="J332" i="25"/>
  <c r="J331" i="25"/>
  <c r="J330" i="25"/>
  <c r="J329" i="25"/>
  <c r="J328" i="25"/>
  <c r="J327" i="25"/>
  <c r="J326" i="25"/>
  <c r="J325" i="25"/>
  <c r="J324" i="25"/>
  <c r="J323" i="25"/>
  <c r="J322" i="25"/>
  <c r="J321" i="25"/>
  <c r="J320" i="25"/>
  <c r="J319" i="25"/>
  <c r="J318" i="25"/>
  <c r="J317" i="25"/>
  <c r="J316" i="25"/>
  <c r="J315" i="25"/>
  <c r="J314" i="25"/>
  <c r="J313" i="25"/>
  <c r="J312" i="25"/>
  <c r="J311" i="25"/>
  <c r="J310" i="25"/>
  <c r="J309" i="25"/>
  <c r="J308" i="25"/>
  <c r="J307" i="25"/>
  <c r="J306" i="25"/>
  <c r="J305" i="25"/>
  <c r="J304" i="25"/>
  <c r="J303" i="25"/>
  <c r="J302" i="25"/>
  <c r="J301" i="25"/>
  <c r="J300" i="25"/>
  <c r="J299" i="25"/>
  <c r="J298" i="25"/>
  <c r="J297" i="25"/>
  <c r="J296" i="25"/>
  <c r="J295" i="25"/>
  <c r="J294" i="25"/>
  <c r="J293" i="25"/>
  <c r="J292" i="25"/>
  <c r="J291" i="25"/>
  <c r="J290" i="25"/>
  <c r="J289" i="25"/>
  <c r="J288" i="25"/>
  <c r="J287" i="25"/>
  <c r="J286" i="25"/>
  <c r="J285" i="25"/>
  <c r="J284" i="25"/>
  <c r="J283" i="25"/>
  <c r="J282" i="25"/>
  <c r="J281" i="25"/>
  <c r="J280" i="25"/>
  <c r="J279" i="25"/>
  <c r="J278" i="25"/>
  <c r="J277" i="25"/>
  <c r="J276" i="25"/>
  <c r="J275" i="25"/>
  <c r="J274" i="25"/>
  <c r="J273" i="25"/>
  <c r="J272" i="25"/>
  <c r="J271" i="25"/>
  <c r="J270" i="25"/>
  <c r="J269" i="25"/>
  <c r="J268" i="25"/>
  <c r="J267" i="25"/>
  <c r="J266" i="25"/>
  <c r="J265" i="25"/>
  <c r="J264" i="25"/>
  <c r="J263" i="25"/>
  <c r="J262" i="25"/>
  <c r="J261" i="25"/>
  <c r="J260" i="25"/>
  <c r="J259" i="25"/>
  <c r="J258" i="25"/>
  <c r="J257" i="25"/>
  <c r="J256" i="25"/>
  <c r="J255" i="25"/>
  <c r="J254" i="25"/>
  <c r="J253" i="25"/>
  <c r="J252" i="25"/>
  <c r="J251" i="25"/>
  <c r="J250" i="25"/>
  <c r="J249" i="25"/>
  <c r="J248" i="25"/>
  <c r="J247" i="25"/>
  <c r="J246" i="25"/>
  <c r="J245" i="25"/>
  <c r="J244" i="25"/>
  <c r="J243" i="25"/>
  <c r="J242" i="25"/>
  <c r="J241" i="25"/>
  <c r="J240" i="25"/>
  <c r="J239" i="25"/>
  <c r="J238" i="25"/>
  <c r="J237" i="25"/>
  <c r="J236" i="25"/>
  <c r="J235" i="25"/>
  <c r="J234" i="25"/>
  <c r="J233" i="25"/>
  <c r="J232" i="25"/>
  <c r="J231" i="25"/>
  <c r="J230" i="25"/>
  <c r="J229" i="25"/>
  <c r="J228" i="25"/>
  <c r="J227" i="25"/>
  <c r="J226" i="25"/>
  <c r="J225" i="25"/>
  <c r="J224" i="25"/>
  <c r="J223" i="25"/>
  <c r="J222" i="25"/>
  <c r="J221" i="25"/>
  <c r="J220" i="25"/>
  <c r="J219" i="25"/>
  <c r="J218" i="25"/>
  <c r="J217" i="25"/>
  <c r="J216" i="25"/>
  <c r="J215" i="25"/>
  <c r="J214" i="25"/>
  <c r="J213" i="25"/>
  <c r="J212" i="25"/>
  <c r="J211" i="25"/>
  <c r="J210" i="25"/>
  <c r="J209" i="25"/>
  <c r="J208" i="25"/>
  <c r="J207" i="25"/>
  <c r="J206" i="25"/>
  <c r="J205" i="25"/>
  <c r="J204" i="25"/>
  <c r="J203" i="25"/>
  <c r="J202" i="25"/>
  <c r="J201" i="25"/>
  <c r="J200" i="25"/>
  <c r="J199" i="25"/>
  <c r="J198" i="25"/>
  <c r="J197" i="25"/>
  <c r="J196" i="25"/>
  <c r="J195" i="25"/>
  <c r="J194" i="25"/>
  <c r="J193" i="25"/>
  <c r="J192" i="25"/>
  <c r="J191" i="25"/>
  <c r="J190" i="25"/>
  <c r="J189" i="25"/>
  <c r="J188" i="25"/>
  <c r="J187" i="25"/>
  <c r="J186" i="25"/>
  <c r="J185" i="25"/>
  <c r="J184" i="25"/>
  <c r="J183" i="25"/>
  <c r="J182" i="25"/>
  <c r="J181" i="25"/>
  <c r="J180" i="25"/>
  <c r="J179" i="25"/>
  <c r="J178" i="25"/>
  <c r="J177" i="25"/>
  <c r="J176" i="25"/>
  <c r="J175" i="25"/>
  <c r="J174" i="25"/>
  <c r="J173" i="25"/>
  <c r="J172" i="25"/>
  <c r="J171" i="25"/>
  <c r="J170" i="25"/>
  <c r="J169" i="25"/>
  <c r="J168" i="25"/>
  <c r="J167" i="25"/>
  <c r="J166" i="25"/>
  <c r="J165" i="25"/>
  <c r="J164" i="25"/>
  <c r="J163" i="25"/>
  <c r="J162" i="25"/>
  <c r="J161" i="25"/>
  <c r="J160" i="25"/>
  <c r="J159" i="25"/>
  <c r="J158" i="25"/>
  <c r="J157" i="25"/>
  <c r="J156" i="25"/>
  <c r="J155" i="25"/>
  <c r="J154" i="25"/>
  <c r="J153" i="25"/>
  <c r="J152" i="25"/>
  <c r="J151" i="25"/>
  <c r="J150" i="25"/>
  <c r="J149" i="25"/>
  <c r="J148" i="25"/>
  <c r="J147" i="25"/>
  <c r="J146" i="25"/>
  <c r="J145" i="25"/>
  <c r="J144" i="25"/>
  <c r="J143" i="25"/>
  <c r="J142" i="25"/>
  <c r="J141" i="25"/>
  <c r="J140" i="25"/>
  <c r="J139" i="25"/>
  <c r="J138" i="25"/>
  <c r="J137" i="25"/>
  <c r="J136" i="25"/>
  <c r="J135" i="25"/>
  <c r="J134" i="25"/>
  <c r="J133" i="25"/>
  <c r="J132" i="25"/>
  <c r="J131" i="25"/>
  <c r="J130" i="25"/>
  <c r="J129" i="25"/>
  <c r="J128" i="25"/>
  <c r="J127" i="25"/>
  <c r="J126" i="25"/>
  <c r="J125" i="25"/>
  <c r="J124" i="25"/>
  <c r="J123" i="25"/>
  <c r="J122" i="25"/>
  <c r="J121" i="25"/>
  <c r="J120" i="25"/>
  <c r="J119" i="25"/>
  <c r="J118" i="25"/>
  <c r="J117" i="25"/>
  <c r="J116" i="25"/>
  <c r="J115" i="25"/>
  <c r="J114" i="25"/>
  <c r="J113" i="25"/>
  <c r="J112" i="25"/>
  <c r="J111" i="25"/>
  <c r="J110" i="25"/>
  <c r="J109" i="25"/>
  <c r="J108" i="25"/>
  <c r="J107" i="25"/>
  <c r="J106" i="25"/>
  <c r="J105" i="25"/>
  <c r="J104" i="25"/>
  <c r="J103" i="25"/>
  <c r="J102" i="25"/>
  <c r="J101" i="25"/>
  <c r="J100" i="25"/>
  <c r="J99" i="25"/>
  <c r="J98" i="25"/>
  <c r="J97" i="25"/>
  <c r="J96" i="25"/>
  <c r="J95" i="25"/>
  <c r="J94" i="25"/>
  <c r="J93" i="25"/>
  <c r="J92" i="25"/>
  <c r="J91" i="25"/>
  <c r="J90" i="25"/>
  <c r="J89" i="25"/>
  <c r="J88" i="25"/>
  <c r="J87" i="25"/>
  <c r="J86" i="25"/>
  <c r="J85" i="25"/>
  <c r="J84" i="25"/>
  <c r="J83" i="25"/>
  <c r="J82" i="25"/>
  <c r="J81" i="25"/>
  <c r="J80" i="25"/>
  <c r="J79" i="25"/>
  <c r="J78" i="25"/>
  <c r="J77" i="25"/>
  <c r="J76" i="25"/>
  <c r="J75" i="25"/>
  <c r="J74" i="25"/>
  <c r="J73" i="25"/>
  <c r="J72" i="25"/>
  <c r="J71" i="25"/>
  <c r="J70" i="25"/>
  <c r="J69" i="25"/>
  <c r="J68" i="25"/>
  <c r="J67" i="25"/>
  <c r="J66" i="25"/>
  <c r="J65" i="25"/>
  <c r="J64" i="25"/>
  <c r="J63" i="25"/>
  <c r="J62" i="25"/>
  <c r="J61" i="25"/>
  <c r="J60" i="25"/>
  <c r="J59" i="25"/>
  <c r="J58" i="25"/>
  <c r="J57" i="25"/>
  <c r="J56" i="25"/>
  <c r="J55" i="25"/>
  <c r="J54" i="25"/>
  <c r="J53" i="25"/>
  <c r="J52" i="25"/>
  <c r="J51" i="25"/>
  <c r="J50" i="25"/>
  <c r="J49" i="25"/>
  <c r="J48" i="25"/>
  <c r="J47" i="25"/>
  <c r="J46" i="25"/>
  <c r="J45" i="25"/>
  <c r="J44" i="25"/>
  <c r="J43" i="25"/>
  <c r="J42" i="25"/>
  <c r="J41" i="25"/>
  <c r="J40" i="25"/>
  <c r="J39" i="25"/>
  <c r="J38" i="25"/>
  <c r="J37" i="25"/>
  <c r="J36" i="25"/>
  <c r="J35" i="25"/>
  <c r="J34" i="25"/>
  <c r="J33" i="25"/>
  <c r="J32" i="25"/>
  <c r="J31" i="25"/>
  <c r="J30" i="25"/>
  <c r="J29" i="25"/>
  <c r="J28" i="25"/>
  <c r="J27" i="25"/>
  <c r="J26" i="25"/>
  <c r="J25" i="25"/>
  <c r="J24" i="25"/>
  <c r="J23" i="25"/>
  <c r="J22" i="25"/>
  <c r="J21" i="25"/>
  <c r="J20" i="25"/>
  <c r="J19" i="25"/>
  <c r="J18" i="25"/>
  <c r="J17" i="25"/>
  <c r="J16" i="25"/>
  <c r="J15" i="25"/>
  <c r="J14" i="25"/>
  <c r="J13" i="25"/>
  <c r="J12" i="25"/>
  <c r="J11" i="25"/>
  <c r="J10" i="25"/>
  <c r="J9" i="25"/>
  <c r="J8" i="25"/>
  <c r="J7" i="25"/>
  <c r="J6" i="25"/>
  <c r="J5" i="25"/>
  <c r="J4" i="25"/>
  <c r="P544" i="25"/>
  <c r="O544" i="25"/>
  <c r="N544" i="25"/>
  <c r="M544" i="25"/>
  <c r="L544" i="25"/>
  <c r="I544" i="25" s="1"/>
  <c r="K544" i="25"/>
  <c r="P543" i="25"/>
  <c r="O543" i="25"/>
  <c r="N543" i="25"/>
  <c r="M543" i="25"/>
  <c r="L543" i="25"/>
  <c r="I543" i="25" s="1"/>
  <c r="K543" i="25"/>
  <c r="P542" i="25"/>
  <c r="O542" i="25"/>
  <c r="N542" i="25"/>
  <c r="M542" i="25"/>
  <c r="L542" i="25"/>
  <c r="I542" i="25" s="1"/>
  <c r="K542" i="25"/>
  <c r="P541" i="25"/>
  <c r="O541" i="25"/>
  <c r="N541" i="25"/>
  <c r="M541" i="25"/>
  <c r="L541" i="25"/>
  <c r="I541" i="25" s="1"/>
  <c r="K541" i="25"/>
  <c r="P540" i="25"/>
  <c r="O540" i="25"/>
  <c r="N540" i="25"/>
  <c r="M540" i="25"/>
  <c r="L540" i="25"/>
  <c r="I540" i="25" s="1"/>
  <c r="K540" i="25"/>
  <c r="P539" i="25"/>
  <c r="O539" i="25"/>
  <c r="N539" i="25"/>
  <c r="M539" i="25"/>
  <c r="L539" i="25"/>
  <c r="I539" i="25" s="1"/>
  <c r="K539" i="25"/>
  <c r="P538" i="25"/>
  <c r="O538" i="25"/>
  <c r="N538" i="25"/>
  <c r="M538" i="25"/>
  <c r="L538" i="25"/>
  <c r="I538" i="25" s="1"/>
  <c r="K538" i="25"/>
  <c r="P537" i="25"/>
  <c r="O537" i="25"/>
  <c r="N537" i="25"/>
  <c r="M537" i="25"/>
  <c r="L537" i="25"/>
  <c r="K537" i="25"/>
  <c r="P536" i="25"/>
  <c r="O536" i="25"/>
  <c r="N536" i="25"/>
  <c r="M536" i="25"/>
  <c r="L536" i="25"/>
  <c r="I536" i="25" s="1"/>
  <c r="K536" i="25"/>
  <c r="P535" i="25"/>
  <c r="O535" i="25"/>
  <c r="N535" i="25"/>
  <c r="M535" i="25"/>
  <c r="L535" i="25"/>
  <c r="K535" i="25"/>
  <c r="P534" i="25"/>
  <c r="O534" i="25"/>
  <c r="N534" i="25"/>
  <c r="M534" i="25"/>
  <c r="L534" i="25"/>
  <c r="K534" i="25"/>
  <c r="P533" i="25"/>
  <c r="O533" i="25"/>
  <c r="N533" i="25"/>
  <c r="M533" i="25"/>
  <c r="L533" i="25"/>
  <c r="I533" i="25" s="1"/>
  <c r="K533" i="25"/>
  <c r="P532" i="25"/>
  <c r="O532" i="25"/>
  <c r="N532" i="25"/>
  <c r="M532" i="25"/>
  <c r="L532" i="25"/>
  <c r="I532" i="25" s="1"/>
  <c r="K532" i="25"/>
  <c r="P531" i="25"/>
  <c r="O531" i="25"/>
  <c r="N531" i="25"/>
  <c r="M531" i="25"/>
  <c r="L531" i="25"/>
  <c r="I531" i="25" s="1"/>
  <c r="K531" i="25"/>
  <c r="P530" i="25"/>
  <c r="O530" i="25"/>
  <c r="N530" i="25"/>
  <c r="M530" i="25"/>
  <c r="L530" i="25"/>
  <c r="I530" i="25" s="1"/>
  <c r="K530" i="25"/>
  <c r="P529" i="25"/>
  <c r="O529" i="25"/>
  <c r="N529" i="25"/>
  <c r="M529" i="25"/>
  <c r="L529" i="25"/>
  <c r="I529" i="25" s="1"/>
  <c r="K529" i="25"/>
  <c r="P528" i="25"/>
  <c r="O528" i="25"/>
  <c r="N528" i="25"/>
  <c r="M528" i="25"/>
  <c r="L528" i="25"/>
  <c r="I528" i="25" s="1"/>
  <c r="K528" i="25"/>
  <c r="P527" i="25"/>
  <c r="O527" i="25"/>
  <c r="N527" i="25"/>
  <c r="M527" i="25"/>
  <c r="L527" i="25"/>
  <c r="I527" i="25" s="1"/>
  <c r="K527" i="25"/>
  <c r="P526" i="25"/>
  <c r="O526" i="25"/>
  <c r="N526" i="25"/>
  <c r="M526" i="25"/>
  <c r="L526" i="25"/>
  <c r="I526" i="25" s="1"/>
  <c r="K526" i="25"/>
  <c r="P525" i="25"/>
  <c r="O525" i="25"/>
  <c r="N525" i="25"/>
  <c r="M525" i="25"/>
  <c r="L525" i="25"/>
  <c r="I525" i="25" s="1"/>
  <c r="K525" i="25"/>
  <c r="P524" i="25"/>
  <c r="O524" i="25"/>
  <c r="N524" i="25"/>
  <c r="M524" i="25"/>
  <c r="L524" i="25"/>
  <c r="I524" i="25" s="1"/>
  <c r="K524" i="25"/>
  <c r="P523" i="25"/>
  <c r="O523" i="25"/>
  <c r="N523" i="25"/>
  <c r="M523" i="25"/>
  <c r="L523" i="25"/>
  <c r="I523" i="25" s="1"/>
  <c r="K523" i="25"/>
  <c r="P522" i="25"/>
  <c r="O522" i="25"/>
  <c r="N522" i="25"/>
  <c r="M522" i="25"/>
  <c r="L522" i="25"/>
  <c r="K522" i="25"/>
  <c r="P521" i="25"/>
  <c r="O521" i="25"/>
  <c r="N521" i="25"/>
  <c r="M521" i="25"/>
  <c r="L521" i="25"/>
  <c r="I521" i="25" s="1"/>
  <c r="K521" i="25"/>
  <c r="P520" i="25"/>
  <c r="O520" i="25"/>
  <c r="N520" i="25"/>
  <c r="M520" i="25"/>
  <c r="L520" i="25"/>
  <c r="I520" i="25" s="1"/>
  <c r="K520" i="25"/>
  <c r="P519" i="25"/>
  <c r="O519" i="25"/>
  <c r="N519" i="25"/>
  <c r="M519" i="25"/>
  <c r="L519" i="25"/>
  <c r="I519" i="25" s="1"/>
  <c r="K519" i="25"/>
  <c r="P518" i="25"/>
  <c r="O518" i="25"/>
  <c r="N518" i="25"/>
  <c r="M518" i="25"/>
  <c r="L518" i="25"/>
  <c r="I518" i="25" s="1"/>
  <c r="K518" i="25"/>
  <c r="P517" i="25"/>
  <c r="O517" i="25"/>
  <c r="N517" i="25"/>
  <c r="M517" i="25"/>
  <c r="L517" i="25"/>
  <c r="I517" i="25" s="1"/>
  <c r="K517" i="25"/>
  <c r="P516" i="25"/>
  <c r="O516" i="25"/>
  <c r="N516" i="25"/>
  <c r="M516" i="25"/>
  <c r="L516" i="25"/>
  <c r="I516" i="25" s="1"/>
  <c r="K516" i="25"/>
  <c r="P515" i="25"/>
  <c r="O515" i="25"/>
  <c r="N515" i="25"/>
  <c r="M515" i="25"/>
  <c r="L515" i="25"/>
  <c r="I515" i="25" s="1"/>
  <c r="K515" i="25"/>
  <c r="P514" i="25"/>
  <c r="O514" i="25"/>
  <c r="N514" i="25"/>
  <c r="M514" i="25"/>
  <c r="L514" i="25"/>
  <c r="I514" i="25" s="1"/>
  <c r="K514" i="25"/>
  <c r="P513" i="25"/>
  <c r="O513" i="25"/>
  <c r="N513" i="25"/>
  <c r="M513" i="25"/>
  <c r="L513" i="25"/>
  <c r="I513" i="25" s="1"/>
  <c r="K513" i="25"/>
  <c r="P512" i="25"/>
  <c r="O512" i="25"/>
  <c r="N512" i="25"/>
  <c r="M512" i="25"/>
  <c r="L512" i="25"/>
  <c r="I512" i="25" s="1"/>
  <c r="K512" i="25"/>
  <c r="P511" i="25"/>
  <c r="O511" i="25"/>
  <c r="N511" i="25"/>
  <c r="M511" i="25"/>
  <c r="L511" i="25"/>
  <c r="I511" i="25" s="1"/>
  <c r="K511" i="25"/>
  <c r="P510" i="25"/>
  <c r="O510" i="25"/>
  <c r="N510" i="25"/>
  <c r="M510" i="25"/>
  <c r="L510" i="25"/>
  <c r="K510" i="25"/>
  <c r="P509" i="25"/>
  <c r="O509" i="25"/>
  <c r="N509" i="25"/>
  <c r="M509" i="25"/>
  <c r="L509" i="25"/>
  <c r="I509" i="25" s="1"/>
  <c r="K509" i="25"/>
  <c r="P508" i="25"/>
  <c r="O508" i="25"/>
  <c r="N508" i="25"/>
  <c r="M508" i="25"/>
  <c r="L508" i="25"/>
  <c r="I508" i="25" s="1"/>
  <c r="K508" i="25"/>
  <c r="P507" i="25"/>
  <c r="O507" i="25"/>
  <c r="N507" i="25"/>
  <c r="M507" i="25"/>
  <c r="L507" i="25"/>
  <c r="I507" i="25" s="1"/>
  <c r="K507" i="25"/>
  <c r="P506" i="25"/>
  <c r="O506" i="25"/>
  <c r="N506" i="25"/>
  <c r="M506" i="25"/>
  <c r="L506" i="25"/>
  <c r="I506" i="25" s="1"/>
  <c r="K506" i="25"/>
  <c r="P505" i="25"/>
  <c r="O505" i="25"/>
  <c r="N505" i="25"/>
  <c r="M505" i="25"/>
  <c r="L505" i="25"/>
  <c r="I505" i="25" s="1"/>
  <c r="K505" i="25"/>
  <c r="P504" i="25"/>
  <c r="O504" i="25"/>
  <c r="N504" i="25"/>
  <c r="M504" i="25"/>
  <c r="L504" i="25"/>
  <c r="I504" i="25" s="1"/>
  <c r="K504" i="25"/>
  <c r="P503" i="25"/>
  <c r="O503" i="25"/>
  <c r="N503" i="25"/>
  <c r="M503" i="25"/>
  <c r="L503" i="25"/>
  <c r="I503" i="25" s="1"/>
  <c r="K503" i="25"/>
  <c r="P502" i="25"/>
  <c r="O502" i="25"/>
  <c r="N502" i="25"/>
  <c r="M502" i="25"/>
  <c r="L502" i="25"/>
  <c r="I502" i="25" s="1"/>
  <c r="K502" i="25"/>
  <c r="P501" i="25"/>
  <c r="O501" i="25"/>
  <c r="N501" i="25"/>
  <c r="M501" i="25"/>
  <c r="L501" i="25"/>
  <c r="I501" i="25" s="1"/>
  <c r="K501" i="25"/>
  <c r="P500" i="25"/>
  <c r="O500" i="25"/>
  <c r="N500" i="25"/>
  <c r="M500" i="25"/>
  <c r="L500" i="25"/>
  <c r="I500" i="25" s="1"/>
  <c r="K500" i="25"/>
  <c r="P499" i="25"/>
  <c r="O499" i="25"/>
  <c r="N499" i="25"/>
  <c r="M499" i="25"/>
  <c r="L499" i="25"/>
  <c r="I499" i="25" s="1"/>
  <c r="K499" i="25"/>
  <c r="P498" i="25"/>
  <c r="O498" i="25"/>
  <c r="N498" i="25"/>
  <c r="M498" i="25"/>
  <c r="L498" i="25"/>
  <c r="K498" i="25"/>
  <c r="P497" i="25"/>
  <c r="O497" i="25"/>
  <c r="N497" i="25"/>
  <c r="M497" i="25"/>
  <c r="L497" i="25"/>
  <c r="I497" i="25" s="1"/>
  <c r="K497" i="25"/>
  <c r="P496" i="25"/>
  <c r="O496" i="25"/>
  <c r="N496" i="25"/>
  <c r="M496" i="25"/>
  <c r="L496" i="25"/>
  <c r="I496" i="25" s="1"/>
  <c r="K496" i="25"/>
  <c r="P495" i="25"/>
  <c r="O495" i="25"/>
  <c r="N495" i="25"/>
  <c r="M495" i="25"/>
  <c r="L495" i="25"/>
  <c r="I495" i="25" s="1"/>
  <c r="K495" i="25"/>
  <c r="P494" i="25"/>
  <c r="O494" i="25"/>
  <c r="N494" i="25"/>
  <c r="M494" i="25"/>
  <c r="L494" i="25"/>
  <c r="I494" i="25" s="1"/>
  <c r="K494" i="25"/>
  <c r="P493" i="25"/>
  <c r="O493" i="25"/>
  <c r="N493" i="25"/>
  <c r="M493" i="25"/>
  <c r="L493" i="25"/>
  <c r="I493" i="25" s="1"/>
  <c r="K493" i="25"/>
  <c r="P492" i="25"/>
  <c r="O492" i="25"/>
  <c r="N492" i="25"/>
  <c r="M492" i="25"/>
  <c r="L492" i="25"/>
  <c r="I492" i="25" s="1"/>
  <c r="K492" i="25"/>
  <c r="P491" i="25"/>
  <c r="O491" i="25"/>
  <c r="N491" i="25"/>
  <c r="M491" i="25"/>
  <c r="L491" i="25"/>
  <c r="I491" i="25" s="1"/>
  <c r="K491" i="25"/>
  <c r="P490" i="25"/>
  <c r="O490" i="25"/>
  <c r="N490" i="25"/>
  <c r="M490" i="25"/>
  <c r="L490" i="25"/>
  <c r="I490" i="25" s="1"/>
  <c r="K490" i="25"/>
  <c r="P489" i="25"/>
  <c r="O489" i="25"/>
  <c r="N489" i="25"/>
  <c r="M489" i="25"/>
  <c r="L489" i="25"/>
  <c r="I489" i="25" s="1"/>
  <c r="K489" i="25"/>
  <c r="P488" i="25"/>
  <c r="O488" i="25"/>
  <c r="N488" i="25"/>
  <c r="M488" i="25"/>
  <c r="L488" i="25"/>
  <c r="I488" i="25" s="1"/>
  <c r="K488" i="25"/>
  <c r="P487" i="25"/>
  <c r="O487" i="25"/>
  <c r="N487" i="25"/>
  <c r="M487" i="25"/>
  <c r="L487" i="25"/>
  <c r="I487" i="25" s="1"/>
  <c r="K487" i="25"/>
  <c r="P486" i="25"/>
  <c r="O486" i="25"/>
  <c r="N486" i="25"/>
  <c r="M486" i="25"/>
  <c r="L486" i="25"/>
  <c r="K486" i="25"/>
  <c r="P485" i="25"/>
  <c r="O485" i="25"/>
  <c r="N485" i="25"/>
  <c r="M485" i="25"/>
  <c r="L485" i="25"/>
  <c r="I485" i="25" s="1"/>
  <c r="K485" i="25"/>
  <c r="P484" i="25"/>
  <c r="O484" i="25"/>
  <c r="N484" i="25"/>
  <c r="M484" i="25"/>
  <c r="L484" i="25"/>
  <c r="I484" i="25" s="1"/>
  <c r="K484" i="25"/>
  <c r="P483" i="25"/>
  <c r="O483" i="25"/>
  <c r="N483" i="25"/>
  <c r="M483" i="25"/>
  <c r="L483" i="25"/>
  <c r="I483" i="25" s="1"/>
  <c r="K483" i="25"/>
  <c r="P482" i="25"/>
  <c r="O482" i="25"/>
  <c r="N482" i="25"/>
  <c r="M482" i="25"/>
  <c r="L482" i="25"/>
  <c r="I482" i="25" s="1"/>
  <c r="K482" i="25"/>
  <c r="P481" i="25"/>
  <c r="O481" i="25"/>
  <c r="N481" i="25"/>
  <c r="M481" i="25"/>
  <c r="L481" i="25"/>
  <c r="I481" i="25" s="1"/>
  <c r="K481" i="25"/>
  <c r="P480" i="25"/>
  <c r="O480" i="25"/>
  <c r="N480" i="25"/>
  <c r="M480" i="25"/>
  <c r="L480" i="25"/>
  <c r="I480" i="25" s="1"/>
  <c r="K480" i="25"/>
  <c r="P479" i="25"/>
  <c r="O479" i="25"/>
  <c r="N479" i="25"/>
  <c r="M479" i="25"/>
  <c r="L479" i="25"/>
  <c r="I479" i="25" s="1"/>
  <c r="K479" i="25"/>
  <c r="P478" i="25"/>
  <c r="O478" i="25"/>
  <c r="N478" i="25"/>
  <c r="M478" i="25"/>
  <c r="L478" i="25"/>
  <c r="I478" i="25" s="1"/>
  <c r="K478" i="25"/>
  <c r="P477" i="25"/>
  <c r="O477" i="25"/>
  <c r="N477" i="25"/>
  <c r="M477" i="25"/>
  <c r="L477" i="25"/>
  <c r="I477" i="25" s="1"/>
  <c r="K477" i="25"/>
  <c r="P476" i="25"/>
  <c r="O476" i="25"/>
  <c r="N476" i="25"/>
  <c r="M476" i="25"/>
  <c r="L476" i="25"/>
  <c r="I476" i="25" s="1"/>
  <c r="K476" i="25"/>
  <c r="P475" i="25"/>
  <c r="O475" i="25"/>
  <c r="N475" i="25"/>
  <c r="M475" i="25"/>
  <c r="L475" i="25"/>
  <c r="I475" i="25" s="1"/>
  <c r="K475" i="25"/>
  <c r="P474" i="25"/>
  <c r="O474" i="25"/>
  <c r="N474" i="25"/>
  <c r="M474" i="25"/>
  <c r="L474" i="25"/>
  <c r="K474" i="25"/>
  <c r="P473" i="25"/>
  <c r="O473" i="25"/>
  <c r="N473" i="25"/>
  <c r="M473" i="25"/>
  <c r="L473" i="25"/>
  <c r="I473" i="25" s="1"/>
  <c r="K473" i="25"/>
  <c r="P472" i="25"/>
  <c r="O472" i="25"/>
  <c r="N472" i="25"/>
  <c r="M472" i="25"/>
  <c r="L472" i="25"/>
  <c r="I472" i="25" s="1"/>
  <c r="K472" i="25"/>
  <c r="P471" i="25"/>
  <c r="O471" i="25"/>
  <c r="N471" i="25"/>
  <c r="M471" i="25"/>
  <c r="L471" i="25"/>
  <c r="I471" i="25" s="1"/>
  <c r="K471" i="25"/>
  <c r="P470" i="25"/>
  <c r="O470" i="25"/>
  <c r="N470" i="25"/>
  <c r="M470" i="25"/>
  <c r="L470" i="25"/>
  <c r="I470" i="25" s="1"/>
  <c r="K470" i="25"/>
  <c r="P469" i="25"/>
  <c r="O469" i="25"/>
  <c r="N469" i="25"/>
  <c r="M469" i="25"/>
  <c r="L469" i="25"/>
  <c r="I469" i="25" s="1"/>
  <c r="K469" i="25"/>
  <c r="P468" i="25"/>
  <c r="O468" i="25"/>
  <c r="N468" i="25"/>
  <c r="M468" i="25"/>
  <c r="L468" i="25"/>
  <c r="I468" i="25" s="1"/>
  <c r="K468" i="25"/>
  <c r="P467" i="25"/>
  <c r="O467" i="25"/>
  <c r="N467" i="25"/>
  <c r="M467" i="25"/>
  <c r="L467" i="25"/>
  <c r="I467" i="25" s="1"/>
  <c r="K467" i="25"/>
  <c r="P466" i="25"/>
  <c r="O466" i="25"/>
  <c r="N466" i="25"/>
  <c r="M466" i="25"/>
  <c r="L466" i="25"/>
  <c r="I466" i="25" s="1"/>
  <c r="K466" i="25"/>
  <c r="P465" i="25"/>
  <c r="O465" i="25"/>
  <c r="N465" i="25"/>
  <c r="M465" i="25"/>
  <c r="L465" i="25"/>
  <c r="I465" i="25" s="1"/>
  <c r="K465" i="25"/>
  <c r="P464" i="25"/>
  <c r="O464" i="25"/>
  <c r="N464" i="25"/>
  <c r="M464" i="25"/>
  <c r="L464" i="25"/>
  <c r="I464" i="25" s="1"/>
  <c r="K464" i="25"/>
  <c r="P463" i="25"/>
  <c r="O463" i="25"/>
  <c r="N463" i="25"/>
  <c r="M463" i="25"/>
  <c r="L463" i="25"/>
  <c r="I463" i="25" s="1"/>
  <c r="K463" i="25"/>
  <c r="P462" i="25"/>
  <c r="O462" i="25"/>
  <c r="N462" i="25"/>
  <c r="M462" i="25"/>
  <c r="L462" i="25"/>
  <c r="K462" i="25"/>
  <c r="P461" i="25"/>
  <c r="O461" i="25"/>
  <c r="N461" i="25"/>
  <c r="M461" i="25"/>
  <c r="L461" i="25"/>
  <c r="I461" i="25" s="1"/>
  <c r="K461" i="25"/>
  <c r="P460" i="25"/>
  <c r="O460" i="25"/>
  <c r="N460" i="25"/>
  <c r="M460" i="25"/>
  <c r="L460" i="25"/>
  <c r="I460" i="25" s="1"/>
  <c r="K460" i="25"/>
  <c r="P459" i="25"/>
  <c r="O459" i="25"/>
  <c r="N459" i="25"/>
  <c r="M459" i="25"/>
  <c r="L459" i="25"/>
  <c r="I459" i="25" s="1"/>
  <c r="K459" i="25"/>
  <c r="P458" i="25"/>
  <c r="O458" i="25"/>
  <c r="N458" i="25"/>
  <c r="M458" i="25"/>
  <c r="L458" i="25"/>
  <c r="I458" i="25" s="1"/>
  <c r="K458" i="25"/>
  <c r="P457" i="25"/>
  <c r="O457" i="25"/>
  <c r="N457" i="25"/>
  <c r="M457" i="25"/>
  <c r="L457" i="25"/>
  <c r="I457" i="25" s="1"/>
  <c r="K457" i="25"/>
  <c r="P456" i="25"/>
  <c r="O456" i="25"/>
  <c r="N456" i="25"/>
  <c r="M456" i="25"/>
  <c r="L456" i="25"/>
  <c r="I456" i="25" s="1"/>
  <c r="K456" i="25"/>
  <c r="P455" i="25"/>
  <c r="O455" i="25"/>
  <c r="N455" i="25"/>
  <c r="M455" i="25"/>
  <c r="L455" i="25"/>
  <c r="I455" i="25" s="1"/>
  <c r="K455" i="25"/>
  <c r="P454" i="25"/>
  <c r="O454" i="25"/>
  <c r="N454" i="25"/>
  <c r="M454" i="25"/>
  <c r="L454" i="25"/>
  <c r="I454" i="25" s="1"/>
  <c r="K454" i="25"/>
  <c r="P453" i="25"/>
  <c r="O453" i="25"/>
  <c r="N453" i="25"/>
  <c r="M453" i="25"/>
  <c r="L453" i="25"/>
  <c r="I453" i="25" s="1"/>
  <c r="K453" i="25"/>
  <c r="P452" i="25"/>
  <c r="O452" i="25"/>
  <c r="N452" i="25"/>
  <c r="M452" i="25"/>
  <c r="L452" i="25"/>
  <c r="I452" i="25" s="1"/>
  <c r="K452" i="25"/>
  <c r="P451" i="25"/>
  <c r="O451" i="25"/>
  <c r="N451" i="25"/>
  <c r="M451" i="25"/>
  <c r="L451" i="25"/>
  <c r="I451" i="25" s="1"/>
  <c r="K451" i="25"/>
  <c r="P450" i="25"/>
  <c r="O450" i="25"/>
  <c r="N450" i="25"/>
  <c r="M450" i="25"/>
  <c r="L450" i="25"/>
  <c r="K450" i="25"/>
  <c r="P449" i="25"/>
  <c r="O449" i="25"/>
  <c r="N449" i="25"/>
  <c r="M449" i="25"/>
  <c r="L449" i="25"/>
  <c r="I449" i="25" s="1"/>
  <c r="K449" i="25"/>
  <c r="P448" i="25"/>
  <c r="O448" i="25"/>
  <c r="N448" i="25"/>
  <c r="M448" i="25"/>
  <c r="L448" i="25"/>
  <c r="I448" i="25" s="1"/>
  <c r="K448" i="25"/>
  <c r="P447" i="25"/>
  <c r="O447" i="25"/>
  <c r="N447" i="25"/>
  <c r="M447" i="25"/>
  <c r="L447" i="25"/>
  <c r="I447" i="25" s="1"/>
  <c r="K447" i="25"/>
  <c r="P446" i="25"/>
  <c r="O446" i="25"/>
  <c r="N446" i="25"/>
  <c r="M446" i="25"/>
  <c r="L446" i="25"/>
  <c r="I446" i="25" s="1"/>
  <c r="K446" i="25"/>
  <c r="P445" i="25"/>
  <c r="O445" i="25"/>
  <c r="N445" i="25"/>
  <c r="M445" i="25"/>
  <c r="L445" i="25"/>
  <c r="I445" i="25" s="1"/>
  <c r="K445" i="25"/>
  <c r="P444" i="25"/>
  <c r="O444" i="25"/>
  <c r="N444" i="25"/>
  <c r="M444" i="25"/>
  <c r="L444" i="25"/>
  <c r="I444" i="25" s="1"/>
  <c r="K444" i="25"/>
  <c r="P443" i="25"/>
  <c r="O443" i="25"/>
  <c r="N443" i="25"/>
  <c r="M443" i="25"/>
  <c r="L443" i="25"/>
  <c r="I443" i="25" s="1"/>
  <c r="K443" i="25"/>
  <c r="P442" i="25"/>
  <c r="O442" i="25"/>
  <c r="N442" i="25"/>
  <c r="M442" i="25"/>
  <c r="L442" i="25"/>
  <c r="I442" i="25" s="1"/>
  <c r="K442" i="25"/>
  <c r="P441" i="25"/>
  <c r="O441" i="25"/>
  <c r="N441" i="25"/>
  <c r="M441" i="25"/>
  <c r="L441" i="25"/>
  <c r="I441" i="25" s="1"/>
  <c r="K441" i="25"/>
  <c r="P440" i="25"/>
  <c r="O440" i="25"/>
  <c r="N440" i="25"/>
  <c r="M440" i="25"/>
  <c r="L440" i="25"/>
  <c r="I440" i="25" s="1"/>
  <c r="K440" i="25"/>
  <c r="P439" i="25"/>
  <c r="O439" i="25"/>
  <c r="N439" i="25"/>
  <c r="M439" i="25"/>
  <c r="L439" i="25"/>
  <c r="I439" i="25" s="1"/>
  <c r="K439" i="25"/>
  <c r="P438" i="25"/>
  <c r="O438" i="25"/>
  <c r="N438" i="25"/>
  <c r="M438" i="25"/>
  <c r="L438" i="25"/>
  <c r="I438" i="25" s="1"/>
  <c r="K438" i="25"/>
  <c r="P437" i="25"/>
  <c r="O437" i="25"/>
  <c r="N437" i="25"/>
  <c r="M437" i="25"/>
  <c r="L437" i="25"/>
  <c r="I437" i="25" s="1"/>
  <c r="K437" i="25"/>
  <c r="P436" i="25"/>
  <c r="O436" i="25"/>
  <c r="N436" i="25"/>
  <c r="M436" i="25"/>
  <c r="L436" i="25"/>
  <c r="I436" i="25" s="1"/>
  <c r="K436" i="25"/>
  <c r="P435" i="25"/>
  <c r="O435" i="25"/>
  <c r="N435" i="25"/>
  <c r="M435" i="25"/>
  <c r="L435" i="25"/>
  <c r="I435" i="25" s="1"/>
  <c r="K435" i="25"/>
  <c r="P434" i="25"/>
  <c r="O434" i="25"/>
  <c r="N434" i="25"/>
  <c r="M434" i="25"/>
  <c r="L434" i="25"/>
  <c r="I434" i="25" s="1"/>
  <c r="K434" i="25"/>
  <c r="P433" i="25"/>
  <c r="O433" i="25"/>
  <c r="N433" i="25"/>
  <c r="M433" i="25"/>
  <c r="L433" i="25"/>
  <c r="I433" i="25" s="1"/>
  <c r="K433" i="25"/>
  <c r="P432" i="25"/>
  <c r="O432" i="25"/>
  <c r="N432" i="25"/>
  <c r="M432" i="25"/>
  <c r="L432" i="25"/>
  <c r="I432" i="25" s="1"/>
  <c r="K432" i="25"/>
  <c r="P431" i="25"/>
  <c r="O431" i="25"/>
  <c r="N431" i="25"/>
  <c r="M431" i="25"/>
  <c r="L431" i="25"/>
  <c r="I431" i="25" s="1"/>
  <c r="K431" i="25"/>
  <c r="P430" i="25"/>
  <c r="O430" i="25"/>
  <c r="N430" i="25"/>
  <c r="M430" i="25"/>
  <c r="L430" i="25"/>
  <c r="I430" i="25" s="1"/>
  <c r="K430" i="25"/>
  <c r="P429" i="25"/>
  <c r="O429" i="25"/>
  <c r="N429" i="25"/>
  <c r="M429" i="25"/>
  <c r="L429" i="25"/>
  <c r="I429" i="25" s="1"/>
  <c r="K429" i="25"/>
  <c r="P428" i="25"/>
  <c r="O428" i="25"/>
  <c r="N428" i="25"/>
  <c r="M428" i="25"/>
  <c r="L428" i="25"/>
  <c r="I428" i="25" s="1"/>
  <c r="K428" i="25"/>
  <c r="P427" i="25"/>
  <c r="O427" i="25"/>
  <c r="N427" i="25"/>
  <c r="M427" i="25"/>
  <c r="L427" i="25"/>
  <c r="I427" i="25" s="1"/>
  <c r="K427" i="25"/>
  <c r="P426" i="25"/>
  <c r="O426" i="25"/>
  <c r="N426" i="25"/>
  <c r="M426" i="25"/>
  <c r="L426" i="25"/>
  <c r="K426" i="25"/>
  <c r="P425" i="25"/>
  <c r="O425" i="25"/>
  <c r="N425" i="25"/>
  <c r="M425" i="25"/>
  <c r="L425" i="25"/>
  <c r="I425" i="25" s="1"/>
  <c r="K425" i="25"/>
  <c r="P424" i="25"/>
  <c r="O424" i="25"/>
  <c r="N424" i="25"/>
  <c r="M424" i="25"/>
  <c r="L424" i="25"/>
  <c r="I424" i="25" s="1"/>
  <c r="K424" i="25"/>
  <c r="P423" i="25"/>
  <c r="O423" i="25"/>
  <c r="N423" i="25"/>
  <c r="M423" i="25"/>
  <c r="L423" i="25"/>
  <c r="I423" i="25" s="1"/>
  <c r="K423" i="25"/>
  <c r="P422" i="25"/>
  <c r="O422" i="25"/>
  <c r="N422" i="25"/>
  <c r="M422" i="25"/>
  <c r="L422" i="25"/>
  <c r="I422" i="25" s="1"/>
  <c r="K422" i="25"/>
  <c r="P421" i="25"/>
  <c r="O421" i="25"/>
  <c r="N421" i="25"/>
  <c r="M421" i="25"/>
  <c r="L421" i="25"/>
  <c r="I421" i="25" s="1"/>
  <c r="K421" i="25"/>
  <c r="P420" i="25"/>
  <c r="O420" i="25"/>
  <c r="N420" i="25"/>
  <c r="M420" i="25"/>
  <c r="L420" i="25"/>
  <c r="I420" i="25" s="1"/>
  <c r="K420" i="25"/>
  <c r="P419" i="25"/>
  <c r="O419" i="25"/>
  <c r="N419" i="25"/>
  <c r="M419" i="25"/>
  <c r="L419" i="25"/>
  <c r="I419" i="25" s="1"/>
  <c r="K419" i="25"/>
  <c r="P418" i="25"/>
  <c r="O418" i="25"/>
  <c r="N418" i="25"/>
  <c r="M418" i="25"/>
  <c r="L418" i="25"/>
  <c r="I418" i="25" s="1"/>
  <c r="K418" i="25"/>
  <c r="P417" i="25"/>
  <c r="O417" i="25"/>
  <c r="N417" i="25"/>
  <c r="M417" i="25"/>
  <c r="L417" i="25"/>
  <c r="I417" i="25" s="1"/>
  <c r="K417" i="25"/>
  <c r="P416" i="25"/>
  <c r="O416" i="25"/>
  <c r="N416" i="25"/>
  <c r="M416" i="25"/>
  <c r="L416" i="25"/>
  <c r="I416" i="25" s="1"/>
  <c r="K416" i="25"/>
  <c r="P415" i="25"/>
  <c r="O415" i="25"/>
  <c r="N415" i="25"/>
  <c r="M415" i="25"/>
  <c r="L415" i="25"/>
  <c r="I415" i="25" s="1"/>
  <c r="K415" i="25"/>
  <c r="P414" i="25"/>
  <c r="O414" i="25"/>
  <c r="N414" i="25"/>
  <c r="M414" i="25"/>
  <c r="L414" i="25"/>
  <c r="K414" i="25"/>
  <c r="P413" i="25"/>
  <c r="O413" i="25"/>
  <c r="N413" i="25"/>
  <c r="M413" i="25"/>
  <c r="L413" i="25"/>
  <c r="I413" i="25" s="1"/>
  <c r="K413" i="25"/>
  <c r="P412" i="25"/>
  <c r="O412" i="25"/>
  <c r="N412" i="25"/>
  <c r="M412" i="25"/>
  <c r="L412" i="25"/>
  <c r="I412" i="25" s="1"/>
  <c r="K412" i="25"/>
  <c r="P411" i="25"/>
  <c r="O411" i="25"/>
  <c r="N411" i="25"/>
  <c r="M411" i="25"/>
  <c r="L411" i="25"/>
  <c r="I411" i="25" s="1"/>
  <c r="K411" i="25"/>
  <c r="P410" i="25"/>
  <c r="O410" i="25"/>
  <c r="N410" i="25"/>
  <c r="M410" i="25"/>
  <c r="L410" i="25"/>
  <c r="I410" i="25" s="1"/>
  <c r="K410" i="25"/>
  <c r="P409" i="25"/>
  <c r="O409" i="25"/>
  <c r="N409" i="25"/>
  <c r="M409" i="25"/>
  <c r="L409" i="25"/>
  <c r="I409" i="25" s="1"/>
  <c r="K409" i="25"/>
  <c r="P408" i="25"/>
  <c r="O408" i="25"/>
  <c r="N408" i="25"/>
  <c r="M408" i="25"/>
  <c r="L408" i="25"/>
  <c r="I408" i="25" s="1"/>
  <c r="K408" i="25"/>
  <c r="P407" i="25"/>
  <c r="O407" i="25"/>
  <c r="N407" i="25"/>
  <c r="M407" i="25"/>
  <c r="L407" i="25"/>
  <c r="I407" i="25" s="1"/>
  <c r="K407" i="25"/>
  <c r="P406" i="25"/>
  <c r="O406" i="25"/>
  <c r="N406" i="25"/>
  <c r="M406" i="25"/>
  <c r="L406" i="25"/>
  <c r="I406" i="25" s="1"/>
  <c r="K406" i="25"/>
  <c r="P405" i="25"/>
  <c r="O405" i="25"/>
  <c r="N405" i="25"/>
  <c r="M405" i="25"/>
  <c r="L405" i="25"/>
  <c r="I405" i="25" s="1"/>
  <c r="K405" i="25"/>
  <c r="P404" i="25"/>
  <c r="O404" i="25"/>
  <c r="N404" i="25"/>
  <c r="M404" i="25"/>
  <c r="L404" i="25"/>
  <c r="I404" i="25" s="1"/>
  <c r="K404" i="25"/>
  <c r="P403" i="25"/>
  <c r="O403" i="25"/>
  <c r="N403" i="25"/>
  <c r="M403" i="25"/>
  <c r="L403" i="25"/>
  <c r="I403" i="25" s="1"/>
  <c r="K403" i="25"/>
  <c r="P402" i="25"/>
  <c r="O402" i="25"/>
  <c r="N402" i="25"/>
  <c r="M402" i="25"/>
  <c r="L402" i="25"/>
  <c r="I402" i="25" s="1"/>
  <c r="K402" i="25"/>
  <c r="P401" i="25"/>
  <c r="O401" i="25"/>
  <c r="N401" i="25"/>
  <c r="M401" i="25"/>
  <c r="L401" i="25"/>
  <c r="I401" i="25" s="1"/>
  <c r="K401" i="25"/>
  <c r="P400" i="25"/>
  <c r="O400" i="25"/>
  <c r="N400" i="25"/>
  <c r="M400" i="25"/>
  <c r="L400" i="25"/>
  <c r="I400" i="25" s="1"/>
  <c r="K400" i="25"/>
  <c r="P399" i="25"/>
  <c r="O399" i="25"/>
  <c r="N399" i="25"/>
  <c r="M399" i="25"/>
  <c r="L399" i="25"/>
  <c r="I399" i="25" s="1"/>
  <c r="K399" i="25"/>
  <c r="P398" i="25"/>
  <c r="O398" i="25"/>
  <c r="N398" i="25"/>
  <c r="M398" i="25"/>
  <c r="L398" i="25"/>
  <c r="I398" i="25" s="1"/>
  <c r="K398" i="25"/>
  <c r="P397" i="25"/>
  <c r="O397" i="25"/>
  <c r="N397" i="25"/>
  <c r="M397" i="25"/>
  <c r="L397" i="25"/>
  <c r="I397" i="25" s="1"/>
  <c r="K397" i="25"/>
  <c r="P396" i="25"/>
  <c r="O396" i="25"/>
  <c r="N396" i="25"/>
  <c r="M396" i="25"/>
  <c r="L396" i="25"/>
  <c r="I396" i="25" s="1"/>
  <c r="K396" i="25"/>
  <c r="P395" i="25"/>
  <c r="O395" i="25"/>
  <c r="N395" i="25"/>
  <c r="M395" i="25"/>
  <c r="L395" i="25"/>
  <c r="I395" i="25" s="1"/>
  <c r="K395" i="25"/>
  <c r="P394" i="25"/>
  <c r="O394" i="25"/>
  <c r="N394" i="25"/>
  <c r="M394" i="25"/>
  <c r="L394" i="25"/>
  <c r="I394" i="25" s="1"/>
  <c r="K394" i="25"/>
  <c r="P393" i="25"/>
  <c r="O393" i="25"/>
  <c r="N393" i="25"/>
  <c r="M393" i="25"/>
  <c r="L393" i="25"/>
  <c r="I393" i="25" s="1"/>
  <c r="K393" i="25"/>
  <c r="P392" i="25"/>
  <c r="O392" i="25"/>
  <c r="N392" i="25"/>
  <c r="M392" i="25"/>
  <c r="L392" i="25"/>
  <c r="I392" i="25" s="1"/>
  <c r="K392" i="25"/>
  <c r="P391" i="25"/>
  <c r="O391" i="25"/>
  <c r="N391" i="25"/>
  <c r="M391" i="25"/>
  <c r="L391" i="25"/>
  <c r="I391" i="25" s="1"/>
  <c r="K391" i="25"/>
  <c r="P390" i="25"/>
  <c r="O390" i="25"/>
  <c r="N390" i="25"/>
  <c r="M390" i="25"/>
  <c r="L390" i="25"/>
  <c r="I390" i="25" s="1"/>
  <c r="K390" i="25"/>
  <c r="P389" i="25"/>
  <c r="O389" i="25"/>
  <c r="N389" i="25"/>
  <c r="M389" i="25"/>
  <c r="L389" i="25"/>
  <c r="I389" i="25" s="1"/>
  <c r="K389" i="25"/>
  <c r="P388" i="25"/>
  <c r="O388" i="25"/>
  <c r="N388" i="25"/>
  <c r="M388" i="25"/>
  <c r="L388" i="25"/>
  <c r="I388" i="25" s="1"/>
  <c r="K388" i="25"/>
  <c r="P387" i="25"/>
  <c r="O387" i="25"/>
  <c r="N387" i="25"/>
  <c r="M387" i="25"/>
  <c r="L387" i="25"/>
  <c r="I387" i="25" s="1"/>
  <c r="K387" i="25"/>
  <c r="P386" i="25"/>
  <c r="O386" i="25"/>
  <c r="N386" i="25"/>
  <c r="M386" i="25"/>
  <c r="L386" i="25"/>
  <c r="I386" i="25" s="1"/>
  <c r="K386" i="25"/>
  <c r="P385" i="25"/>
  <c r="O385" i="25"/>
  <c r="N385" i="25"/>
  <c r="M385" i="25"/>
  <c r="L385" i="25"/>
  <c r="I385" i="25" s="1"/>
  <c r="K385" i="25"/>
  <c r="P384" i="25"/>
  <c r="O384" i="25"/>
  <c r="N384" i="25"/>
  <c r="M384" i="25"/>
  <c r="L384" i="25"/>
  <c r="I384" i="25" s="1"/>
  <c r="K384" i="25"/>
  <c r="P383" i="25"/>
  <c r="O383" i="25"/>
  <c r="N383" i="25"/>
  <c r="M383" i="25"/>
  <c r="L383" i="25"/>
  <c r="I383" i="25" s="1"/>
  <c r="K383" i="25"/>
  <c r="P382" i="25"/>
  <c r="O382" i="25"/>
  <c r="N382" i="25"/>
  <c r="M382" i="25"/>
  <c r="L382" i="25"/>
  <c r="I382" i="25" s="1"/>
  <c r="K382" i="25"/>
  <c r="P381" i="25"/>
  <c r="O381" i="25"/>
  <c r="N381" i="25"/>
  <c r="M381" i="25"/>
  <c r="L381" i="25"/>
  <c r="I381" i="25" s="1"/>
  <c r="K381" i="25"/>
  <c r="P380" i="25"/>
  <c r="O380" i="25"/>
  <c r="N380" i="25"/>
  <c r="M380" i="25"/>
  <c r="L380" i="25"/>
  <c r="I380" i="25" s="1"/>
  <c r="K380" i="25"/>
  <c r="P379" i="25"/>
  <c r="O379" i="25"/>
  <c r="N379" i="25"/>
  <c r="M379" i="25"/>
  <c r="L379" i="25"/>
  <c r="I379" i="25" s="1"/>
  <c r="K379" i="25"/>
  <c r="P378" i="25"/>
  <c r="O378" i="25"/>
  <c r="N378" i="25"/>
  <c r="M378" i="25"/>
  <c r="L378" i="25"/>
  <c r="I378" i="25" s="1"/>
  <c r="K378" i="25"/>
  <c r="P377" i="25"/>
  <c r="O377" i="25"/>
  <c r="N377" i="25"/>
  <c r="M377" i="25"/>
  <c r="L377" i="25"/>
  <c r="I377" i="25" s="1"/>
  <c r="K377" i="25"/>
  <c r="P376" i="25"/>
  <c r="O376" i="25"/>
  <c r="N376" i="25"/>
  <c r="M376" i="25"/>
  <c r="L376" i="25"/>
  <c r="I376" i="25" s="1"/>
  <c r="K376" i="25"/>
  <c r="P375" i="25"/>
  <c r="O375" i="25"/>
  <c r="N375" i="25"/>
  <c r="M375" i="25"/>
  <c r="L375" i="25"/>
  <c r="I375" i="25" s="1"/>
  <c r="K375" i="25"/>
  <c r="P374" i="25"/>
  <c r="O374" i="25"/>
  <c r="N374" i="25"/>
  <c r="M374" i="25"/>
  <c r="L374" i="25"/>
  <c r="I374" i="25" s="1"/>
  <c r="K374" i="25"/>
  <c r="P373" i="25"/>
  <c r="O373" i="25"/>
  <c r="N373" i="25"/>
  <c r="M373" i="25"/>
  <c r="L373" i="25"/>
  <c r="I373" i="25" s="1"/>
  <c r="K373" i="25"/>
  <c r="P372" i="25"/>
  <c r="O372" i="25"/>
  <c r="N372" i="25"/>
  <c r="M372" i="25"/>
  <c r="L372" i="25"/>
  <c r="I372" i="25" s="1"/>
  <c r="K372" i="25"/>
  <c r="P371" i="25"/>
  <c r="O371" i="25"/>
  <c r="N371" i="25"/>
  <c r="M371" i="25"/>
  <c r="L371" i="25"/>
  <c r="I371" i="25" s="1"/>
  <c r="K371" i="25"/>
  <c r="P370" i="25"/>
  <c r="O370" i="25"/>
  <c r="N370" i="25"/>
  <c r="M370" i="25"/>
  <c r="L370" i="25"/>
  <c r="I370" i="25" s="1"/>
  <c r="K370" i="25"/>
  <c r="P369" i="25"/>
  <c r="O369" i="25"/>
  <c r="N369" i="25"/>
  <c r="M369" i="25"/>
  <c r="L369" i="25"/>
  <c r="I369" i="25" s="1"/>
  <c r="K369" i="25"/>
  <c r="P368" i="25"/>
  <c r="O368" i="25"/>
  <c r="N368" i="25"/>
  <c r="M368" i="25"/>
  <c r="L368" i="25"/>
  <c r="I368" i="25" s="1"/>
  <c r="K368" i="25"/>
  <c r="P367" i="25"/>
  <c r="O367" i="25"/>
  <c r="N367" i="25"/>
  <c r="M367" i="25"/>
  <c r="L367" i="25"/>
  <c r="I367" i="25" s="1"/>
  <c r="K367" i="25"/>
  <c r="P366" i="25"/>
  <c r="O366" i="25"/>
  <c r="N366" i="25"/>
  <c r="M366" i="25"/>
  <c r="L366" i="25"/>
  <c r="I366" i="25" s="1"/>
  <c r="K366" i="25"/>
  <c r="P365" i="25"/>
  <c r="O365" i="25"/>
  <c r="N365" i="25"/>
  <c r="M365" i="25"/>
  <c r="L365" i="25"/>
  <c r="I365" i="25" s="1"/>
  <c r="K365" i="25"/>
  <c r="P364" i="25"/>
  <c r="O364" i="25"/>
  <c r="N364" i="25"/>
  <c r="M364" i="25"/>
  <c r="L364" i="25"/>
  <c r="I364" i="25" s="1"/>
  <c r="K364" i="25"/>
  <c r="P363" i="25"/>
  <c r="O363" i="25"/>
  <c r="N363" i="25"/>
  <c r="M363" i="25"/>
  <c r="L363" i="25"/>
  <c r="I363" i="25" s="1"/>
  <c r="K363" i="25"/>
  <c r="P362" i="25"/>
  <c r="O362" i="25"/>
  <c r="N362" i="25"/>
  <c r="M362" i="25"/>
  <c r="L362" i="25"/>
  <c r="I362" i="25" s="1"/>
  <c r="K362" i="25"/>
  <c r="P361" i="25"/>
  <c r="O361" i="25"/>
  <c r="N361" i="25"/>
  <c r="M361" i="25"/>
  <c r="L361" i="25"/>
  <c r="I361" i="25" s="1"/>
  <c r="K361" i="25"/>
  <c r="P360" i="25"/>
  <c r="O360" i="25"/>
  <c r="N360" i="25"/>
  <c r="M360" i="25"/>
  <c r="L360" i="25"/>
  <c r="I360" i="25" s="1"/>
  <c r="K360" i="25"/>
  <c r="P359" i="25"/>
  <c r="O359" i="25"/>
  <c r="N359" i="25"/>
  <c r="M359" i="25"/>
  <c r="L359" i="25"/>
  <c r="I359" i="25" s="1"/>
  <c r="K359" i="25"/>
  <c r="P358" i="25"/>
  <c r="O358" i="25"/>
  <c r="N358" i="25"/>
  <c r="M358" i="25"/>
  <c r="L358" i="25"/>
  <c r="I358" i="25" s="1"/>
  <c r="K358" i="25"/>
  <c r="P357" i="25"/>
  <c r="O357" i="25"/>
  <c r="N357" i="25"/>
  <c r="M357" i="25"/>
  <c r="L357" i="25"/>
  <c r="I357" i="25" s="1"/>
  <c r="K357" i="25"/>
  <c r="P356" i="25"/>
  <c r="O356" i="25"/>
  <c r="N356" i="25"/>
  <c r="M356" i="25"/>
  <c r="L356" i="25"/>
  <c r="I356" i="25" s="1"/>
  <c r="K356" i="25"/>
  <c r="P355" i="25"/>
  <c r="O355" i="25"/>
  <c r="N355" i="25"/>
  <c r="M355" i="25"/>
  <c r="L355" i="25"/>
  <c r="I355" i="25" s="1"/>
  <c r="K355" i="25"/>
  <c r="P354" i="25"/>
  <c r="O354" i="25"/>
  <c r="N354" i="25"/>
  <c r="M354" i="25"/>
  <c r="L354" i="25"/>
  <c r="I354" i="25" s="1"/>
  <c r="K354" i="25"/>
  <c r="P353" i="25"/>
  <c r="O353" i="25"/>
  <c r="N353" i="25"/>
  <c r="M353" i="25"/>
  <c r="L353" i="25"/>
  <c r="I353" i="25" s="1"/>
  <c r="K353" i="25"/>
  <c r="P352" i="25"/>
  <c r="O352" i="25"/>
  <c r="N352" i="25"/>
  <c r="M352" i="25"/>
  <c r="L352" i="25"/>
  <c r="I352" i="25" s="1"/>
  <c r="K352" i="25"/>
  <c r="P351" i="25"/>
  <c r="O351" i="25"/>
  <c r="N351" i="25"/>
  <c r="M351" i="25"/>
  <c r="L351" i="25"/>
  <c r="I351" i="25" s="1"/>
  <c r="K351" i="25"/>
  <c r="P350" i="25"/>
  <c r="O350" i="25"/>
  <c r="N350" i="25"/>
  <c r="M350" i="25"/>
  <c r="L350" i="25"/>
  <c r="I350" i="25" s="1"/>
  <c r="K350" i="25"/>
  <c r="P349" i="25"/>
  <c r="O349" i="25"/>
  <c r="N349" i="25"/>
  <c r="M349" i="25"/>
  <c r="L349" i="25"/>
  <c r="I349" i="25" s="1"/>
  <c r="K349" i="25"/>
  <c r="P348" i="25"/>
  <c r="O348" i="25"/>
  <c r="N348" i="25"/>
  <c r="M348" i="25"/>
  <c r="L348" i="25"/>
  <c r="I348" i="25" s="1"/>
  <c r="K348" i="25"/>
  <c r="P347" i="25"/>
  <c r="O347" i="25"/>
  <c r="N347" i="25"/>
  <c r="M347" i="25"/>
  <c r="L347" i="25"/>
  <c r="I347" i="25" s="1"/>
  <c r="K347" i="25"/>
  <c r="P346" i="25"/>
  <c r="O346" i="25"/>
  <c r="N346" i="25"/>
  <c r="M346" i="25"/>
  <c r="L346" i="25"/>
  <c r="I346" i="25" s="1"/>
  <c r="K346" i="25"/>
  <c r="P345" i="25"/>
  <c r="O345" i="25"/>
  <c r="N345" i="25"/>
  <c r="M345" i="25"/>
  <c r="L345" i="25"/>
  <c r="I345" i="25" s="1"/>
  <c r="K345" i="25"/>
  <c r="P344" i="25"/>
  <c r="O344" i="25"/>
  <c r="N344" i="25"/>
  <c r="M344" i="25"/>
  <c r="L344" i="25"/>
  <c r="I344" i="25" s="1"/>
  <c r="K344" i="25"/>
  <c r="P343" i="25"/>
  <c r="O343" i="25"/>
  <c r="N343" i="25"/>
  <c r="M343" i="25"/>
  <c r="L343" i="25"/>
  <c r="I343" i="25" s="1"/>
  <c r="K343" i="25"/>
  <c r="P342" i="25"/>
  <c r="O342" i="25"/>
  <c r="N342" i="25"/>
  <c r="M342" i="25"/>
  <c r="L342" i="25"/>
  <c r="I342" i="25" s="1"/>
  <c r="K342" i="25"/>
  <c r="P341" i="25"/>
  <c r="O341" i="25"/>
  <c r="N341" i="25"/>
  <c r="M341" i="25"/>
  <c r="L341" i="25"/>
  <c r="I341" i="25" s="1"/>
  <c r="K341" i="25"/>
  <c r="P340" i="25"/>
  <c r="O340" i="25"/>
  <c r="N340" i="25"/>
  <c r="M340" i="25"/>
  <c r="L340" i="25"/>
  <c r="I340" i="25" s="1"/>
  <c r="K340" i="25"/>
  <c r="P339" i="25"/>
  <c r="O339" i="25"/>
  <c r="N339" i="25"/>
  <c r="M339" i="25"/>
  <c r="L339" i="25"/>
  <c r="I339" i="25" s="1"/>
  <c r="K339" i="25"/>
  <c r="P338" i="25"/>
  <c r="O338" i="25"/>
  <c r="N338" i="25"/>
  <c r="M338" i="25"/>
  <c r="L338" i="25"/>
  <c r="I338" i="25" s="1"/>
  <c r="K338" i="25"/>
  <c r="P337" i="25"/>
  <c r="O337" i="25"/>
  <c r="N337" i="25"/>
  <c r="M337" i="25"/>
  <c r="L337" i="25"/>
  <c r="I337" i="25" s="1"/>
  <c r="K337" i="25"/>
  <c r="P336" i="25"/>
  <c r="O336" i="25"/>
  <c r="N336" i="25"/>
  <c r="M336" i="25"/>
  <c r="L336" i="25"/>
  <c r="I336" i="25" s="1"/>
  <c r="K336" i="25"/>
  <c r="P335" i="25"/>
  <c r="O335" i="25"/>
  <c r="N335" i="25"/>
  <c r="M335" i="25"/>
  <c r="L335" i="25"/>
  <c r="I335" i="25" s="1"/>
  <c r="K335" i="25"/>
  <c r="P334" i="25"/>
  <c r="O334" i="25"/>
  <c r="N334" i="25"/>
  <c r="M334" i="25"/>
  <c r="L334" i="25"/>
  <c r="I334" i="25" s="1"/>
  <c r="K334" i="25"/>
  <c r="P333" i="25"/>
  <c r="O333" i="25"/>
  <c r="N333" i="25"/>
  <c r="M333" i="25"/>
  <c r="L333" i="25"/>
  <c r="I333" i="25" s="1"/>
  <c r="K333" i="25"/>
  <c r="P332" i="25"/>
  <c r="O332" i="25"/>
  <c r="N332" i="25"/>
  <c r="M332" i="25"/>
  <c r="L332" i="25"/>
  <c r="I332" i="25" s="1"/>
  <c r="K332" i="25"/>
  <c r="P331" i="25"/>
  <c r="O331" i="25"/>
  <c r="N331" i="25"/>
  <c r="M331" i="25"/>
  <c r="L331" i="25"/>
  <c r="I331" i="25" s="1"/>
  <c r="K331" i="25"/>
  <c r="P330" i="25"/>
  <c r="O330" i="25"/>
  <c r="N330" i="25"/>
  <c r="M330" i="25"/>
  <c r="L330" i="25"/>
  <c r="I330" i="25" s="1"/>
  <c r="K330" i="25"/>
  <c r="P329" i="25"/>
  <c r="O329" i="25"/>
  <c r="N329" i="25"/>
  <c r="M329" i="25"/>
  <c r="L329" i="25"/>
  <c r="I329" i="25" s="1"/>
  <c r="K329" i="25"/>
  <c r="P328" i="25"/>
  <c r="O328" i="25"/>
  <c r="N328" i="25"/>
  <c r="M328" i="25"/>
  <c r="L328" i="25"/>
  <c r="I328" i="25" s="1"/>
  <c r="K328" i="25"/>
  <c r="P327" i="25"/>
  <c r="O327" i="25"/>
  <c r="N327" i="25"/>
  <c r="M327" i="25"/>
  <c r="L327" i="25"/>
  <c r="I327" i="25" s="1"/>
  <c r="K327" i="25"/>
  <c r="P326" i="25"/>
  <c r="O326" i="25"/>
  <c r="N326" i="25"/>
  <c r="M326" i="25"/>
  <c r="L326" i="25"/>
  <c r="I326" i="25" s="1"/>
  <c r="K326" i="25"/>
  <c r="P325" i="25"/>
  <c r="O325" i="25"/>
  <c r="N325" i="25"/>
  <c r="M325" i="25"/>
  <c r="L325" i="25"/>
  <c r="I325" i="25" s="1"/>
  <c r="K325" i="25"/>
  <c r="P324" i="25"/>
  <c r="O324" i="25"/>
  <c r="N324" i="25"/>
  <c r="M324" i="25"/>
  <c r="L324" i="25"/>
  <c r="I324" i="25" s="1"/>
  <c r="K324" i="25"/>
  <c r="P323" i="25"/>
  <c r="O323" i="25"/>
  <c r="N323" i="25"/>
  <c r="M323" i="25"/>
  <c r="L323" i="25"/>
  <c r="I323" i="25" s="1"/>
  <c r="K323" i="25"/>
  <c r="P322" i="25"/>
  <c r="O322" i="25"/>
  <c r="N322" i="25"/>
  <c r="M322" i="25"/>
  <c r="L322" i="25"/>
  <c r="I322" i="25" s="1"/>
  <c r="K322" i="25"/>
  <c r="P321" i="25"/>
  <c r="O321" i="25"/>
  <c r="N321" i="25"/>
  <c r="M321" i="25"/>
  <c r="L321" i="25"/>
  <c r="I321" i="25" s="1"/>
  <c r="K321" i="25"/>
  <c r="P320" i="25"/>
  <c r="O320" i="25"/>
  <c r="N320" i="25"/>
  <c r="M320" i="25"/>
  <c r="L320" i="25"/>
  <c r="I320" i="25" s="1"/>
  <c r="K320" i="25"/>
  <c r="P319" i="25"/>
  <c r="O319" i="25"/>
  <c r="N319" i="25"/>
  <c r="M319" i="25"/>
  <c r="L319" i="25"/>
  <c r="I319" i="25" s="1"/>
  <c r="K319" i="25"/>
  <c r="P318" i="25"/>
  <c r="O318" i="25"/>
  <c r="N318" i="25"/>
  <c r="M318" i="25"/>
  <c r="L318" i="25"/>
  <c r="I318" i="25" s="1"/>
  <c r="K318" i="25"/>
  <c r="P317" i="25"/>
  <c r="O317" i="25"/>
  <c r="N317" i="25"/>
  <c r="M317" i="25"/>
  <c r="L317" i="25"/>
  <c r="I317" i="25" s="1"/>
  <c r="K317" i="25"/>
  <c r="P316" i="25"/>
  <c r="O316" i="25"/>
  <c r="N316" i="25"/>
  <c r="M316" i="25"/>
  <c r="L316" i="25"/>
  <c r="I316" i="25" s="1"/>
  <c r="K316" i="25"/>
  <c r="P315" i="25"/>
  <c r="O315" i="25"/>
  <c r="N315" i="25"/>
  <c r="M315" i="25"/>
  <c r="L315" i="25"/>
  <c r="I315" i="25" s="1"/>
  <c r="K315" i="25"/>
  <c r="P314" i="25"/>
  <c r="O314" i="25"/>
  <c r="N314" i="25"/>
  <c r="M314" i="25"/>
  <c r="L314" i="25"/>
  <c r="I314" i="25" s="1"/>
  <c r="K314" i="25"/>
  <c r="P313" i="25"/>
  <c r="O313" i="25"/>
  <c r="N313" i="25"/>
  <c r="M313" i="25"/>
  <c r="L313" i="25"/>
  <c r="I313" i="25" s="1"/>
  <c r="K313" i="25"/>
  <c r="P312" i="25"/>
  <c r="O312" i="25"/>
  <c r="N312" i="25"/>
  <c r="M312" i="25"/>
  <c r="L312" i="25"/>
  <c r="I312" i="25" s="1"/>
  <c r="K312" i="25"/>
  <c r="P311" i="25"/>
  <c r="O311" i="25"/>
  <c r="N311" i="25"/>
  <c r="M311" i="25"/>
  <c r="L311" i="25"/>
  <c r="I311" i="25" s="1"/>
  <c r="K311" i="25"/>
  <c r="P310" i="25"/>
  <c r="O310" i="25"/>
  <c r="N310" i="25"/>
  <c r="M310" i="25"/>
  <c r="L310" i="25"/>
  <c r="I310" i="25" s="1"/>
  <c r="K310" i="25"/>
  <c r="P309" i="25"/>
  <c r="O309" i="25"/>
  <c r="N309" i="25"/>
  <c r="M309" i="25"/>
  <c r="L309" i="25"/>
  <c r="I309" i="25" s="1"/>
  <c r="K309" i="25"/>
  <c r="P308" i="25"/>
  <c r="O308" i="25"/>
  <c r="N308" i="25"/>
  <c r="M308" i="25"/>
  <c r="L308" i="25"/>
  <c r="I308" i="25" s="1"/>
  <c r="K308" i="25"/>
  <c r="P307" i="25"/>
  <c r="O307" i="25"/>
  <c r="N307" i="25"/>
  <c r="M307" i="25"/>
  <c r="L307" i="25"/>
  <c r="I307" i="25" s="1"/>
  <c r="K307" i="25"/>
  <c r="P306" i="25"/>
  <c r="O306" i="25"/>
  <c r="N306" i="25"/>
  <c r="M306" i="25"/>
  <c r="L306" i="25"/>
  <c r="I306" i="25" s="1"/>
  <c r="K306" i="25"/>
  <c r="P305" i="25"/>
  <c r="O305" i="25"/>
  <c r="N305" i="25"/>
  <c r="M305" i="25"/>
  <c r="L305" i="25"/>
  <c r="I305" i="25" s="1"/>
  <c r="K305" i="25"/>
  <c r="P304" i="25"/>
  <c r="O304" i="25"/>
  <c r="N304" i="25"/>
  <c r="M304" i="25"/>
  <c r="L304" i="25"/>
  <c r="I304" i="25" s="1"/>
  <c r="K304" i="25"/>
  <c r="P303" i="25"/>
  <c r="O303" i="25"/>
  <c r="N303" i="25"/>
  <c r="M303" i="25"/>
  <c r="L303" i="25"/>
  <c r="I303" i="25" s="1"/>
  <c r="K303" i="25"/>
  <c r="P302" i="25"/>
  <c r="O302" i="25"/>
  <c r="N302" i="25"/>
  <c r="M302" i="25"/>
  <c r="L302" i="25"/>
  <c r="I302" i="25" s="1"/>
  <c r="K302" i="25"/>
  <c r="P301" i="25"/>
  <c r="O301" i="25"/>
  <c r="N301" i="25"/>
  <c r="M301" i="25"/>
  <c r="L301" i="25"/>
  <c r="I301" i="25" s="1"/>
  <c r="K301" i="25"/>
  <c r="P300" i="25"/>
  <c r="O300" i="25"/>
  <c r="N300" i="25"/>
  <c r="M300" i="25"/>
  <c r="L300" i="25"/>
  <c r="I300" i="25" s="1"/>
  <c r="K300" i="25"/>
  <c r="P299" i="25"/>
  <c r="O299" i="25"/>
  <c r="N299" i="25"/>
  <c r="M299" i="25"/>
  <c r="L299" i="25"/>
  <c r="I299" i="25" s="1"/>
  <c r="K299" i="25"/>
  <c r="P298" i="25"/>
  <c r="O298" i="25"/>
  <c r="N298" i="25"/>
  <c r="M298" i="25"/>
  <c r="L298" i="25"/>
  <c r="I298" i="25" s="1"/>
  <c r="K298" i="25"/>
  <c r="P297" i="25"/>
  <c r="O297" i="25"/>
  <c r="N297" i="25"/>
  <c r="M297" i="25"/>
  <c r="L297" i="25"/>
  <c r="I297" i="25" s="1"/>
  <c r="K297" i="25"/>
  <c r="P296" i="25"/>
  <c r="O296" i="25"/>
  <c r="N296" i="25"/>
  <c r="M296" i="25"/>
  <c r="L296" i="25"/>
  <c r="I296" i="25" s="1"/>
  <c r="K296" i="25"/>
  <c r="P295" i="25"/>
  <c r="O295" i="25"/>
  <c r="N295" i="25"/>
  <c r="M295" i="25"/>
  <c r="L295" i="25"/>
  <c r="I295" i="25" s="1"/>
  <c r="K295" i="25"/>
  <c r="P294" i="25"/>
  <c r="O294" i="25"/>
  <c r="N294" i="25"/>
  <c r="M294" i="25"/>
  <c r="L294" i="25"/>
  <c r="I294" i="25" s="1"/>
  <c r="K294" i="25"/>
  <c r="P293" i="25"/>
  <c r="O293" i="25"/>
  <c r="N293" i="25"/>
  <c r="M293" i="25"/>
  <c r="L293" i="25"/>
  <c r="I293" i="25" s="1"/>
  <c r="K293" i="25"/>
  <c r="P292" i="25"/>
  <c r="O292" i="25"/>
  <c r="N292" i="25"/>
  <c r="M292" i="25"/>
  <c r="L292" i="25"/>
  <c r="I292" i="25" s="1"/>
  <c r="K292" i="25"/>
  <c r="P291" i="25"/>
  <c r="O291" i="25"/>
  <c r="N291" i="25"/>
  <c r="M291" i="25"/>
  <c r="L291" i="25"/>
  <c r="I291" i="25" s="1"/>
  <c r="K291" i="25"/>
  <c r="P290" i="25"/>
  <c r="O290" i="25"/>
  <c r="N290" i="25"/>
  <c r="M290" i="25"/>
  <c r="L290" i="25"/>
  <c r="I290" i="25" s="1"/>
  <c r="K290" i="25"/>
  <c r="P289" i="25"/>
  <c r="O289" i="25"/>
  <c r="N289" i="25"/>
  <c r="M289" i="25"/>
  <c r="L289" i="25"/>
  <c r="I289" i="25" s="1"/>
  <c r="K289" i="25"/>
  <c r="P288" i="25"/>
  <c r="O288" i="25"/>
  <c r="N288" i="25"/>
  <c r="M288" i="25"/>
  <c r="L288" i="25"/>
  <c r="I288" i="25" s="1"/>
  <c r="K288" i="25"/>
  <c r="P287" i="25"/>
  <c r="O287" i="25"/>
  <c r="N287" i="25"/>
  <c r="M287" i="25"/>
  <c r="L287" i="25"/>
  <c r="I287" i="25" s="1"/>
  <c r="K287" i="25"/>
  <c r="P286" i="25"/>
  <c r="O286" i="25"/>
  <c r="N286" i="25"/>
  <c r="M286" i="25"/>
  <c r="L286" i="25"/>
  <c r="I286" i="25" s="1"/>
  <c r="K286" i="25"/>
  <c r="P285" i="25"/>
  <c r="O285" i="25"/>
  <c r="N285" i="25"/>
  <c r="M285" i="25"/>
  <c r="L285" i="25"/>
  <c r="I285" i="25" s="1"/>
  <c r="K285" i="25"/>
  <c r="P284" i="25"/>
  <c r="O284" i="25"/>
  <c r="N284" i="25"/>
  <c r="M284" i="25"/>
  <c r="L284" i="25"/>
  <c r="I284" i="25" s="1"/>
  <c r="K284" i="25"/>
  <c r="P283" i="25"/>
  <c r="O283" i="25"/>
  <c r="N283" i="25"/>
  <c r="M283" i="25"/>
  <c r="L283" i="25"/>
  <c r="I283" i="25" s="1"/>
  <c r="K283" i="25"/>
  <c r="P282" i="25"/>
  <c r="O282" i="25"/>
  <c r="N282" i="25"/>
  <c r="M282" i="25"/>
  <c r="L282" i="25"/>
  <c r="I282" i="25" s="1"/>
  <c r="K282" i="25"/>
  <c r="P281" i="25"/>
  <c r="O281" i="25"/>
  <c r="N281" i="25"/>
  <c r="M281" i="25"/>
  <c r="L281" i="25"/>
  <c r="I281" i="25" s="1"/>
  <c r="K281" i="25"/>
  <c r="P280" i="25"/>
  <c r="O280" i="25"/>
  <c r="N280" i="25"/>
  <c r="M280" i="25"/>
  <c r="L280" i="25"/>
  <c r="I280" i="25" s="1"/>
  <c r="K280" i="25"/>
  <c r="P279" i="25"/>
  <c r="O279" i="25"/>
  <c r="N279" i="25"/>
  <c r="M279" i="25"/>
  <c r="L279" i="25"/>
  <c r="I279" i="25" s="1"/>
  <c r="K279" i="25"/>
  <c r="P278" i="25"/>
  <c r="O278" i="25"/>
  <c r="N278" i="25"/>
  <c r="M278" i="25"/>
  <c r="L278" i="25"/>
  <c r="I278" i="25" s="1"/>
  <c r="K278" i="25"/>
  <c r="P277" i="25"/>
  <c r="O277" i="25"/>
  <c r="N277" i="25"/>
  <c r="M277" i="25"/>
  <c r="L277" i="25"/>
  <c r="I277" i="25" s="1"/>
  <c r="K277" i="25"/>
  <c r="P276" i="25"/>
  <c r="O276" i="25"/>
  <c r="N276" i="25"/>
  <c r="M276" i="25"/>
  <c r="L276" i="25"/>
  <c r="I276" i="25" s="1"/>
  <c r="K276" i="25"/>
  <c r="P275" i="25"/>
  <c r="O275" i="25"/>
  <c r="N275" i="25"/>
  <c r="M275" i="25"/>
  <c r="L275" i="25"/>
  <c r="I275" i="25" s="1"/>
  <c r="K275" i="25"/>
  <c r="P274" i="25"/>
  <c r="O274" i="25"/>
  <c r="N274" i="25"/>
  <c r="M274" i="25"/>
  <c r="L274" i="25"/>
  <c r="I274" i="25" s="1"/>
  <c r="K274" i="25"/>
  <c r="P273" i="25"/>
  <c r="O273" i="25"/>
  <c r="N273" i="25"/>
  <c r="M273" i="25"/>
  <c r="L273" i="25"/>
  <c r="I273" i="25" s="1"/>
  <c r="K273" i="25"/>
  <c r="P272" i="25"/>
  <c r="O272" i="25"/>
  <c r="N272" i="25"/>
  <c r="M272" i="25"/>
  <c r="L272" i="25"/>
  <c r="I272" i="25" s="1"/>
  <c r="K272" i="25"/>
  <c r="P271" i="25"/>
  <c r="O271" i="25"/>
  <c r="N271" i="25"/>
  <c r="M271" i="25"/>
  <c r="L271" i="25"/>
  <c r="I271" i="25" s="1"/>
  <c r="K271" i="25"/>
  <c r="P270" i="25"/>
  <c r="O270" i="25"/>
  <c r="N270" i="25"/>
  <c r="M270" i="25"/>
  <c r="L270" i="25"/>
  <c r="I270" i="25" s="1"/>
  <c r="K270" i="25"/>
  <c r="P269" i="25"/>
  <c r="O269" i="25"/>
  <c r="N269" i="25"/>
  <c r="M269" i="25"/>
  <c r="L269" i="25"/>
  <c r="I269" i="25" s="1"/>
  <c r="K269" i="25"/>
  <c r="P268" i="25"/>
  <c r="O268" i="25"/>
  <c r="N268" i="25"/>
  <c r="M268" i="25"/>
  <c r="L268" i="25"/>
  <c r="I268" i="25" s="1"/>
  <c r="K268" i="25"/>
  <c r="P267" i="25"/>
  <c r="O267" i="25"/>
  <c r="N267" i="25"/>
  <c r="M267" i="25"/>
  <c r="L267" i="25"/>
  <c r="I267" i="25" s="1"/>
  <c r="K267" i="25"/>
  <c r="P266" i="25"/>
  <c r="O266" i="25"/>
  <c r="N266" i="25"/>
  <c r="M266" i="25"/>
  <c r="L266" i="25"/>
  <c r="I266" i="25" s="1"/>
  <c r="K266" i="25"/>
  <c r="P265" i="25"/>
  <c r="O265" i="25"/>
  <c r="N265" i="25"/>
  <c r="M265" i="25"/>
  <c r="L265" i="25"/>
  <c r="I265" i="25" s="1"/>
  <c r="K265" i="25"/>
  <c r="P264" i="25"/>
  <c r="O264" i="25"/>
  <c r="N264" i="25"/>
  <c r="M264" i="25"/>
  <c r="L264" i="25"/>
  <c r="I264" i="25" s="1"/>
  <c r="K264" i="25"/>
  <c r="P263" i="25"/>
  <c r="O263" i="25"/>
  <c r="N263" i="25"/>
  <c r="M263" i="25"/>
  <c r="L263" i="25"/>
  <c r="I263" i="25" s="1"/>
  <c r="K263" i="25"/>
  <c r="P262" i="25"/>
  <c r="O262" i="25"/>
  <c r="N262" i="25"/>
  <c r="M262" i="25"/>
  <c r="L262" i="25"/>
  <c r="I262" i="25" s="1"/>
  <c r="K262" i="25"/>
  <c r="P261" i="25"/>
  <c r="O261" i="25"/>
  <c r="N261" i="25"/>
  <c r="M261" i="25"/>
  <c r="L261" i="25"/>
  <c r="I261" i="25" s="1"/>
  <c r="K261" i="25"/>
  <c r="P260" i="25"/>
  <c r="O260" i="25"/>
  <c r="N260" i="25"/>
  <c r="M260" i="25"/>
  <c r="L260" i="25"/>
  <c r="I260" i="25" s="1"/>
  <c r="K260" i="25"/>
  <c r="P259" i="25"/>
  <c r="O259" i="25"/>
  <c r="N259" i="25"/>
  <c r="M259" i="25"/>
  <c r="L259" i="25"/>
  <c r="I259" i="25" s="1"/>
  <c r="K259" i="25"/>
  <c r="P258" i="25"/>
  <c r="O258" i="25"/>
  <c r="N258" i="25"/>
  <c r="M258" i="25"/>
  <c r="L258" i="25"/>
  <c r="I258" i="25" s="1"/>
  <c r="K258" i="25"/>
  <c r="P257" i="25"/>
  <c r="O257" i="25"/>
  <c r="N257" i="25"/>
  <c r="M257" i="25"/>
  <c r="L257" i="25"/>
  <c r="I257" i="25" s="1"/>
  <c r="K257" i="25"/>
  <c r="P256" i="25"/>
  <c r="O256" i="25"/>
  <c r="N256" i="25"/>
  <c r="M256" i="25"/>
  <c r="L256" i="25"/>
  <c r="I256" i="25" s="1"/>
  <c r="K256" i="25"/>
  <c r="P255" i="25"/>
  <c r="O255" i="25"/>
  <c r="N255" i="25"/>
  <c r="M255" i="25"/>
  <c r="L255" i="25"/>
  <c r="I255" i="25" s="1"/>
  <c r="K255" i="25"/>
  <c r="P254" i="25"/>
  <c r="O254" i="25"/>
  <c r="N254" i="25"/>
  <c r="M254" i="25"/>
  <c r="L254" i="25"/>
  <c r="I254" i="25" s="1"/>
  <c r="K254" i="25"/>
  <c r="P253" i="25"/>
  <c r="O253" i="25"/>
  <c r="N253" i="25"/>
  <c r="M253" i="25"/>
  <c r="L253" i="25"/>
  <c r="I253" i="25" s="1"/>
  <c r="K253" i="25"/>
  <c r="P252" i="25"/>
  <c r="O252" i="25"/>
  <c r="N252" i="25"/>
  <c r="M252" i="25"/>
  <c r="L252" i="25"/>
  <c r="I252" i="25" s="1"/>
  <c r="K252" i="25"/>
  <c r="P251" i="25"/>
  <c r="O251" i="25"/>
  <c r="N251" i="25"/>
  <c r="M251" i="25"/>
  <c r="L251" i="25"/>
  <c r="I251" i="25" s="1"/>
  <c r="K251" i="25"/>
  <c r="P250" i="25"/>
  <c r="O250" i="25"/>
  <c r="N250" i="25"/>
  <c r="M250" i="25"/>
  <c r="L250" i="25"/>
  <c r="I250" i="25" s="1"/>
  <c r="K250" i="25"/>
  <c r="P249" i="25"/>
  <c r="O249" i="25"/>
  <c r="N249" i="25"/>
  <c r="M249" i="25"/>
  <c r="L249" i="25"/>
  <c r="I249" i="25" s="1"/>
  <c r="K249" i="25"/>
  <c r="P248" i="25"/>
  <c r="O248" i="25"/>
  <c r="N248" i="25"/>
  <c r="M248" i="25"/>
  <c r="L248" i="25"/>
  <c r="I248" i="25" s="1"/>
  <c r="K248" i="25"/>
  <c r="P247" i="25"/>
  <c r="O247" i="25"/>
  <c r="N247" i="25"/>
  <c r="M247" i="25"/>
  <c r="L247" i="25"/>
  <c r="I247" i="25" s="1"/>
  <c r="K247" i="25"/>
  <c r="P246" i="25"/>
  <c r="O246" i="25"/>
  <c r="N246" i="25"/>
  <c r="M246" i="25"/>
  <c r="L246" i="25"/>
  <c r="I246" i="25" s="1"/>
  <c r="K246" i="25"/>
  <c r="P245" i="25"/>
  <c r="O245" i="25"/>
  <c r="N245" i="25"/>
  <c r="M245" i="25"/>
  <c r="L245" i="25"/>
  <c r="I245" i="25" s="1"/>
  <c r="K245" i="25"/>
  <c r="P244" i="25"/>
  <c r="O244" i="25"/>
  <c r="N244" i="25"/>
  <c r="M244" i="25"/>
  <c r="L244" i="25"/>
  <c r="I244" i="25" s="1"/>
  <c r="K244" i="25"/>
  <c r="P243" i="25"/>
  <c r="O243" i="25"/>
  <c r="N243" i="25"/>
  <c r="M243" i="25"/>
  <c r="L243" i="25"/>
  <c r="I243" i="25" s="1"/>
  <c r="K243" i="25"/>
  <c r="P242" i="25"/>
  <c r="O242" i="25"/>
  <c r="N242" i="25"/>
  <c r="M242" i="25"/>
  <c r="L242" i="25"/>
  <c r="I242" i="25" s="1"/>
  <c r="K242" i="25"/>
  <c r="P241" i="25"/>
  <c r="O241" i="25"/>
  <c r="N241" i="25"/>
  <c r="M241" i="25"/>
  <c r="L241" i="25"/>
  <c r="I241" i="25" s="1"/>
  <c r="K241" i="25"/>
  <c r="P240" i="25"/>
  <c r="O240" i="25"/>
  <c r="N240" i="25"/>
  <c r="M240" i="25"/>
  <c r="L240" i="25"/>
  <c r="I240" i="25" s="1"/>
  <c r="K240" i="25"/>
  <c r="P239" i="25"/>
  <c r="O239" i="25"/>
  <c r="N239" i="25"/>
  <c r="M239" i="25"/>
  <c r="L239" i="25"/>
  <c r="I239" i="25" s="1"/>
  <c r="K239" i="25"/>
  <c r="P238" i="25"/>
  <c r="O238" i="25"/>
  <c r="N238" i="25"/>
  <c r="M238" i="25"/>
  <c r="L238" i="25"/>
  <c r="I238" i="25" s="1"/>
  <c r="K238" i="25"/>
  <c r="P237" i="25"/>
  <c r="O237" i="25"/>
  <c r="N237" i="25"/>
  <c r="M237" i="25"/>
  <c r="L237" i="25"/>
  <c r="I237" i="25" s="1"/>
  <c r="K237" i="25"/>
  <c r="P236" i="25"/>
  <c r="O236" i="25"/>
  <c r="N236" i="25"/>
  <c r="M236" i="25"/>
  <c r="L236" i="25"/>
  <c r="I236" i="25" s="1"/>
  <c r="K236" i="25"/>
  <c r="P235" i="25"/>
  <c r="O235" i="25"/>
  <c r="N235" i="25"/>
  <c r="M235" i="25"/>
  <c r="L235" i="25"/>
  <c r="I235" i="25" s="1"/>
  <c r="K235" i="25"/>
  <c r="P234" i="25"/>
  <c r="O234" i="25"/>
  <c r="N234" i="25"/>
  <c r="M234" i="25"/>
  <c r="L234" i="25"/>
  <c r="I234" i="25" s="1"/>
  <c r="K234" i="25"/>
  <c r="P233" i="25"/>
  <c r="O233" i="25"/>
  <c r="N233" i="25"/>
  <c r="M233" i="25"/>
  <c r="L233" i="25"/>
  <c r="I233" i="25" s="1"/>
  <c r="K233" i="25"/>
  <c r="P232" i="25"/>
  <c r="O232" i="25"/>
  <c r="N232" i="25"/>
  <c r="M232" i="25"/>
  <c r="L232" i="25"/>
  <c r="I232" i="25" s="1"/>
  <c r="K232" i="25"/>
  <c r="P231" i="25"/>
  <c r="O231" i="25"/>
  <c r="N231" i="25"/>
  <c r="M231" i="25"/>
  <c r="L231" i="25"/>
  <c r="I231" i="25" s="1"/>
  <c r="K231" i="25"/>
  <c r="P230" i="25"/>
  <c r="O230" i="25"/>
  <c r="N230" i="25"/>
  <c r="M230" i="25"/>
  <c r="L230" i="25"/>
  <c r="I230" i="25" s="1"/>
  <c r="K230" i="25"/>
  <c r="P229" i="25"/>
  <c r="O229" i="25"/>
  <c r="N229" i="25"/>
  <c r="M229" i="25"/>
  <c r="L229" i="25"/>
  <c r="I229" i="25" s="1"/>
  <c r="K229" i="25"/>
  <c r="P228" i="25"/>
  <c r="O228" i="25"/>
  <c r="N228" i="25"/>
  <c r="M228" i="25"/>
  <c r="L228" i="25"/>
  <c r="I228" i="25" s="1"/>
  <c r="K228" i="25"/>
  <c r="P227" i="25"/>
  <c r="O227" i="25"/>
  <c r="N227" i="25"/>
  <c r="M227" i="25"/>
  <c r="L227" i="25"/>
  <c r="I227" i="25" s="1"/>
  <c r="K227" i="25"/>
  <c r="P226" i="25"/>
  <c r="O226" i="25"/>
  <c r="N226" i="25"/>
  <c r="M226" i="25"/>
  <c r="L226" i="25"/>
  <c r="I226" i="25" s="1"/>
  <c r="K226" i="25"/>
  <c r="P225" i="25"/>
  <c r="O225" i="25"/>
  <c r="N225" i="25"/>
  <c r="M225" i="25"/>
  <c r="L225" i="25"/>
  <c r="I225" i="25" s="1"/>
  <c r="K225" i="25"/>
  <c r="P224" i="25"/>
  <c r="O224" i="25"/>
  <c r="N224" i="25"/>
  <c r="M224" i="25"/>
  <c r="L224" i="25"/>
  <c r="I224" i="25" s="1"/>
  <c r="K224" i="25"/>
  <c r="P223" i="25"/>
  <c r="O223" i="25"/>
  <c r="N223" i="25"/>
  <c r="M223" i="25"/>
  <c r="L223" i="25"/>
  <c r="I223" i="25" s="1"/>
  <c r="K223" i="25"/>
  <c r="P222" i="25"/>
  <c r="O222" i="25"/>
  <c r="N222" i="25"/>
  <c r="M222" i="25"/>
  <c r="L222" i="25"/>
  <c r="I222" i="25" s="1"/>
  <c r="K222" i="25"/>
  <c r="P221" i="25"/>
  <c r="O221" i="25"/>
  <c r="N221" i="25"/>
  <c r="M221" i="25"/>
  <c r="L221" i="25"/>
  <c r="I221" i="25" s="1"/>
  <c r="K221" i="25"/>
  <c r="P220" i="25"/>
  <c r="O220" i="25"/>
  <c r="N220" i="25"/>
  <c r="M220" i="25"/>
  <c r="L220" i="25"/>
  <c r="I220" i="25" s="1"/>
  <c r="K220" i="25"/>
  <c r="P219" i="25"/>
  <c r="O219" i="25"/>
  <c r="N219" i="25"/>
  <c r="M219" i="25"/>
  <c r="L219" i="25"/>
  <c r="I219" i="25" s="1"/>
  <c r="K219" i="25"/>
  <c r="P218" i="25"/>
  <c r="O218" i="25"/>
  <c r="N218" i="25"/>
  <c r="M218" i="25"/>
  <c r="L218" i="25"/>
  <c r="I218" i="25" s="1"/>
  <c r="K218" i="25"/>
  <c r="P217" i="25"/>
  <c r="O217" i="25"/>
  <c r="N217" i="25"/>
  <c r="M217" i="25"/>
  <c r="L217" i="25"/>
  <c r="I217" i="25" s="1"/>
  <c r="K217" i="25"/>
  <c r="P216" i="25"/>
  <c r="O216" i="25"/>
  <c r="N216" i="25"/>
  <c r="M216" i="25"/>
  <c r="L216" i="25"/>
  <c r="I216" i="25" s="1"/>
  <c r="K216" i="25"/>
  <c r="P215" i="25"/>
  <c r="O215" i="25"/>
  <c r="N215" i="25"/>
  <c r="M215" i="25"/>
  <c r="L215" i="25"/>
  <c r="I215" i="25" s="1"/>
  <c r="K215" i="25"/>
  <c r="P214" i="25"/>
  <c r="O214" i="25"/>
  <c r="N214" i="25"/>
  <c r="M214" i="25"/>
  <c r="L214" i="25"/>
  <c r="I214" i="25" s="1"/>
  <c r="K214" i="25"/>
  <c r="P213" i="25"/>
  <c r="O213" i="25"/>
  <c r="N213" i="25"/>
  <c r="M213" i="25"/>
  <c r="L213" i="25"/>
  <c r="I213" i="25" s="1"/>
  <c r="K213" i="25"/>
  <c r="P212" i="25"/>
  <c r="O212" i="25"/>
  <c r="N212" i="25"/>
  <c r="M212" i="25"/>
  <c r="L212" i="25"/>
  <c r="I212" i="25" s="1"/>
  <c r="K212" i="25"/>
  <c r="P211" i="25"/>
  <c r="O211" i="25"/>
  <c r="N211" i="25"/>
  <c r="M211" i="25"/>
  <c r="L211" i="25"/>
  <c r="I211" i="25" s="1"/>
  <c r="K211" i="25"/>
  <c r="P210" i="25"/>
  <c r="O210" i="25"/>
  <c r="N210" i="25"/>
  <c r="M210" i="25"/>
  <c r="L210" i="25"/>
  <c r="I210" i="25" s="1"/>
  <c r="K210" i="25"/>
  <c r="P209" i="25"/>
  <c r="O209" i="25"/>
  <c r="N209" i="25"/>
  <c r="M209" i="25"/>
  <c r="L209" i="25"/>
  <c r="I209" i="25" s="1"/>
  <c r="K209" i="25"/>
  <c r="P208" i="25"/>
  <c r="O208" i="25"/>
  <c r="N208" i="25"/>
  <c r="M208" i="25"/>
  <c r="L208" i="25"/>
  <c r="I208" i="25" s="1"/>
  <c r="K208" i="25"/>
  <c r="P207" i="25"/>
  <c r="O207" i="25"/>
  <c r="N207" i="25"/>
  <c r="M207" i="25"/>
  <c r="L207" i="25"/>
  <c r="I207" i="25" s="1"/>
  <c r="K207" i="25"/>
  <c r="P206" i="25"/>
  <c r="O206" i="25"/>
  <c r="N206" i="25"/>
  <c r="M206" i="25"/>
  <c r="L206" i="25"/>
  <c r="I206" i="25" s="1"/>
  <c r="K206" i="25"/>
  <c r="P205" i="25"/>
  <c r="O205" i="25"/>
  <c r="N205" i="25"/>
  <c r="M205" i="25"/>
  <c r="L205" i="25"/>
  <c r="I205" i="25" s="1"/>
  <c r="K205" i="25"/>
  <c r="P204" i="25"/>
  <c r="O204" i="25"/>
  <c r="N204" i="25"/>
  <c r="M204" i="25"/>
  <c r="L204" i="25"/>
  <c r="I204" i="25" s="1"/>
  <c r="K204" i="25"/>
  <c r="P203" i="25"/>
  <c r="O203" i="25"/>
  <c r="N203" i="25"/>
  <c r="M203" i="25"/>
  <c r="L203" i="25"/>
  <c r="I203" i="25" s="1"/>
  <c r="K203" i="25"/>
  <c r="P202" i="25"/>
  <c r="O202" i="25"/>
  <c r="N202" i="25"/>
  <c r="M202" i="25"/>
  <c r="L202" i="25"/>
  <c r="I202" i="25" s="1"/>
  <c r="K202" i="25"/>
  <c r="P201" i="25"/>
  <c r="O201" i="25"/>
  <c r="N201" i="25"/>
  <c r="M201" i="25"/>
  <c r="L201" i="25"/>
  <c r="I201" i="25" s="1"/>
  <c r="K201" i="25"/>
  <c r="P200" i="25"/>
  <c r="O200" i="25"/>
  <c r="N200" i="25"/>
  <c r="M200" i="25"/>
  <c r="L200" i="25"/>
  <c r="I200" i="25" s="1"/>
  <c r="K200" i="25"/>
  <c r="P199" i="25"/>
  <c r="O199" i="25"/>
  <c r="N199" i="25"/>
  <c r="M199" i="25"/>
  <c r="L199" i="25"/>
  <c r="I199" i="25" s="1"/>
  <c r="K199" i="25"/>
  <c r="P198" i="25"/>
  <c r="O198" i="25"/>
  <c r="N198" i="25"/>
  <c r="M198" i="25"/>
  <c r="L198" i="25"/>
  <c r="I198" i="25" s="1"/>
  <c r="K198" i="25"/>
  <c r="P197" i="25"/>
  <c r="O197" i="25"/>
  <c r="N197" i="25"/>
  <c r="M197" i="25"/>
  <c r="L197" i="25"/>
  <c r="I197" i="25" s="1"/>
  <c r="K197" i="25"/>
  <c r="P196" i="25"/>
  <c r="O196" i="25"/>
  <c r="N196" i="25"/>
  <c r="M196" i="25"/>
  <c r="L196" i="25"/>
  <c r="I196" i="25" s="1"/>
  <c r="K196" i="25"/>
  <c r="P195" i="25"/>
  <c r="O195" i="25"/>
  <c r="N195" i="25"/>
  <c r="M195" i="25"/>
  <c r="L195" i="25"/>
  <c r="I195" i="25" s="1"/>
  <c r="K195" i="25"/>
  <c r="P194" i="25"/>
  <c r="O194" i="25"/>
  <c r="N194" i="25"/>
  <c r="M194" i="25"/>
  <c r="L194" i="25"/>
  <c r="I194" i="25" s="1"/>
  <c r="K194" i="25"/>
  <c r="P193" i="25"/>
  <c r="O193" i="25"/>
  <c r="N193" i="25"/>
  <c r="M193" i="25"/>
  <c r="L193" i="25"/>
  <c r="I193" i="25" s="1"/>
  <c r="K193" i="25"/>
  <c r="P192" i="25"/>
  <c r="O192" i="25"/>
  <c r="N192" i="25"/>
  <c r="M192" i="25"/>
  <c r="L192" i="25"/>
  <c r="I192" i="25" s="1"/>
  <c r="K192" i="25"/>
  <c r="P191" i="25"/>
  <c r="O191" i="25"/>
  <c r="N191" i="25"/>
  <c r="M191" i="25"/>
  <c r="L191" i="25"/>
  <c r="I191" i="25" s="1"/>
  <c r="K191" i="25"/>
  <c r="P190" i="25"/>
  <c r="O190" i="25"/>
  <c r="N190" i="25"/>
  <c r="M190" i="25"/>
  <c r="L190" i="25"/>
  <c r="I190" i="25" s="1"/>
  <c r="K190" i="25"/>
  <c r="P189" i="25"/>
  <c r="O189" i="25"/>
  <c r="N189" i="25"/>
  <c r="M189" i="25"/>
  <c r="L189" i="25"/>
  <c r="I189" i="25" s="1"/>
  <c r="K189" i="25"/>
  <c r="P188" i="25"/>
  <c r="O188" i="25"/>
  <c r="N188" i="25"/>
  <c r="M188" i="25"/>
  <c r="L188" i="25"/>
  <c r="I188" i="25" s="1"/>
  <c r="K188" i="25"/>
  <c r="P187" i="25"/>
  <c r="O187" i="25"/>
  <c r="N187" i="25"/>
  <c r="M187" i="25"/>
  <c r="L187" i="25"/>
  <c r="I187" i="25" s="1"/>
  <c r="K187" i="25"/>
  <c r="P186" i="25"/>
  <c r="O186" i="25"/>
  <c r="N186" i="25"/>
  <c r="M186" i="25"/>
  <c r="L186" i="25"/>
  <c r="I186" i="25" s="1"/>
  <c r="K186" i="25"/>
  <c r="P185" i="25"/>
  <c r="O185" i="25"/>
  <c r="N185" i="25"/>
  <c r="M185" i="25"/>
  <c r="L185" i="25"/>
  <c r="I185" i="25" s="1"/>
  <c r="K185" i="25"/>
  <c r="P184" i="25"/>
  <c r="O184" i="25"/>
  <c r="N184" i="25"/>
  <c r="M184" i="25"/>
  <c r="L184" i="25"/>
  <c r="I184" i="25" s="1"/>
  <c r="K184" i="25"/>
  <c r="P183" i="25"/>
  <c r="O183" i="25"/>
  <c r="N183" i="25"/>
  <c r="M183" i="25"/>
  <c r="L183" i="25"/>
  <c r="I183" i="25" s="1"/>
  <c r="K183" i="25"/>
  <c r="P182" i="25"/>
  <c r="O182" i="25"/>
  <c r="N182" i="25"/>
  <c r="M182" i="25"/>
  <c r="L182" i="25"/>
  <c r="I182" i="25" s="1"/>
  <c r="K182" i="25"/>
  <c r="P181" i="25"/>
  <c r="O181" i="25"/>
  <c r="N181" i="25"/>
  <c r="M181" i="25"/>
  <c r="L181" i="25"/>
  <c r="I181" i="25" s="1"/>
  <c r="K181" i="25"/>
  <c r="P180" i="25"/>
  <c r="O180" i="25"/>
  <c r="N180" i="25"/>
  <c r="M180" i="25"/>
  <c r="L180" i="25"/>
  <c r="I180" i="25" s="1"/>
  <c r="K180" i="25"/>
  <c r="P179" i="25"/>
  <c r="O179" i="25"/>
  <c r="N179" i="25"/>
  <c r="M179" i="25"/>
  <c r="L179" i="25"/>
  <c r="I179" i="25" s="1"/>
  <c r="K179" i="25"/>
  <c r="P178" i="25"/>
  <c r="O178" i="25"/>
  <c r="N178" i="25"/>
  <c r="M178" i="25"/>
  <c r="L178" i="25"/>
  <c r="I178" i="25" s="1"/>
  <c r="K178" i="25"/>
  <c r="P177" i="25"/>
  <c r="O177" i="25"/>
  <c r="N177" i="25"/>
  <c r="M177" i="25"/>
  <c r="L177" i="25"/>
  <c r="I177" i="25" s="1"/>
  <c r="K177" i="25"/>
  <c r="P176" i="25"/>
  <c r="O176" i="25"/>
  <c r="N176" i="25"/>
  <c r="M176" i="25"/>
  <c r="L176" i="25"/>
  <c r="I176" i="25" s="1"/>
  <c r="K176" i="25"/>
  <c r="P175" i="25"/>
  <c r="O175" i="25"/>
  <c r="N175" i="25"/>
  <c r="M175" i="25"/>
  <c r="L175" i="25"/>
  <c r="I175" i="25" s="1"/>
  <c r="K175" i="25"/>
  <c r="P174" i="25"/>
  <c r="O174" i="25"/>
  <c r="N174" i="25"/>
  <c r="M174" i="25"/>
  <c r="L174" i="25"/>
  <c r="I174" i="25" s="1"/>
  <c r="K174" i="25"/>
  <c r="P173" i="25"/>
  <c r="O173" i="25"/>
  <c r="N173" i="25"/>
  <c r="M173" i="25"/>
  <c r="L173" i="25"/>
  <c r="I173" i="25" s="1"/>
  <c r="K173" i="25"/>
  <c r="P172" i="25"/>
  <c r="O172" i="25"/>
  <c r="N172" i="25"/>
  <c r="M172" i="25"/>
  <c r="L172" i="25"/>
  <c r="I172" i="25" s="1"/>
  <c r="K172" i="25"/>
  <c r="P171" i="25"/>
  <c r="O171" i="25"/>
  <c r="N171" i="25"/>
  <c r="M171" i="25"/>
  <c r="L171" i="25"/>
  <c r="I171" i="25" s="1"/>
  <c r="K171" i="25"/>
  <c r="P170" i="25"/>
  <c r="O170" i="25"/>
  <c r="N170" i="25"/>
  <c r="M170" i="25"/>
  <c r="L170" i="25"/>
  <c r="I170" i="25" s="1"/>
  <c r="K170" i="25"/>
  <c r="P169" i="25"/>
  <c r="O169" i="25"/>
  <c r="N169" i="25"/>
  <c r="M169" i="25"/>
  <c r="L169" i="25"/>
  <c r="I169" i="25" s="1"/>
  <c r="K169" i="25"/>
  <c r="P168" i="25"/>
  <c r="O168" i="25"/>
  <c r="N168" i="25"/>
  <c r="M168" i="25"/>
  <c r="L168" i="25"/>
  <c r="I168" i="25" s="1"/>
  <c r="K168" i="25"/>
  <c r="P167" i="25"/>
  <c r="O167" i="25"/>
  <c r="N167" i="25"/>
  <c r="M167" i="25"/>
  <c r="L167" i="25"/>
  <c r="I167" i="25" s="1"/>
  <c r="K167" i="25"/>
  <c r="P166" i="25"/>
  <c r="O166" i="25"/>
  <c r="N166" i="25"/>
  <c r="M166" i="25"/>
  <c r="L166" i="25"/>
  <c r="I166" i="25" s="1"/>
  <c r="K166" i="25"/>
  <c r="P165" i="25"/>
  <c r="O165" i="25"/>
  <c r="N165" i="25"/>
  <c r="M165" i="25"/>
  <c r="L165" i="25"/>
  <c r="I165" i="25" s="1"/>
  <c r="K165" i="25"/>
  <c r="P164" i="25"/>
  <c r="O164" i="25"/>
  <c r="N164" i="25"/>
  <c r="M164" i="25"/>
  <c r="L164" i="25"/>
  <c r="I164" i="25" s="1"/>
  <c r="K164" i="25"/>
  <c r="P163" i="25"/>
  <c r="O163" i="25"/>
  <c r="N163" i="25"/>
  <c r="M163" i="25"/>
  <c r="L163" i="25"/>
  <c r="I163" i="25" s="1"/>
  <c r="K163" i="25"/>
  <c r="P162" i="25"/>
  <c r="O162" i="25"/>
  <c r="N162" i="25"/>
  <c r="M162" i="25"/>
  <c r="L162" i="25"/>
  <c r="I162" i="25" s="1"/>
  <c r="K162" i="25"/>
  <c r="P161" i="25"/>
  <c r="O161" i="25"/>
  <c r="N161" i="25"/>
  <c r="M161" i="25"/>
  <c r="L161" i="25"/>
  <c r="I161" i="25" s="1"/>
  <c r="K161" i="25"/>
  <c r="P160" i="25"/>
  <c r="O160" i="25"/>
  <c r="N160" i="25"/>
  <c r="M160" i="25"/>
  <c r="L160" i="25"/>
  <c r="I160" i="25" s="1"/>
  <c r="K160" i="25"/>
  <c r="P159" i="25"/>
  <c r="O159" i="25"/>
  <c r="N159" i="25"/>
  <c r="M159" i="25"/>
  <c r="L159" i="25"/>
  <c r="I159" i="25" s="1"/>
  <c r="K159" i="25"/>
  <c r="P158" i="25"/>
  <c r="O158" i="25"/>
  <c r="N158" i="25"/>
  <c r="M158" i="25"/>
  <c r="L158" i="25"/>
  <c r="I158" i="25" s="1"/>
  <c r="K158" i="25"/>
  <c r="P157" i="25"/>
  <c r="O157" i="25"/>
  <c r="N157" i="25"/>
  <c r="M157" i="25"/>
  <c r="L157" i="25"/>
  <c r="I157" i="25" s="1"/>
  <c r="K157" i="25"/>
  <c r="P156" i="25"/>
  <c r="O156" i="25"/>
  <c r="N156" i="25"/>
  <c r="M156" i="25"/>
  <c r="L156" i="25"/>
  <c r="I156" i="25" s="1"/>
  <c r="K156" i="25"/>
  <c r="P155" i="25"/>
  <c r="O155" i="25"/>
  <c r="N155" i="25"/>
  <c r="M155" i="25"/>
  <c r="L155" i="25"/>
  <c r="I155" i="25" s="1"/>
  <c r="K155" i="25"/>
  <c r="P154" i="25"/>
  <c r="O154" i="25"/>
  <c r="N154" i="25"/>
  <c r="M154" i="25"/>
  <c r="L154" i="25"/>
  <c r="I154" i="25" s="1"/>
  <c r="K154" i="25"/>
  <c r="P153" i="25"/>
  <c r="O153" i="25"/>
  <c r="N153" i="25"/>
  <c r="M153" i="25"/>
  <c r="L153" i="25"/>
  <c r="I153" i="25" s="1"/>
  <c r="K153" i="25"/>
  <c r="P152" i="25"/>
  <c r="O152" i="25"/>
  <c r="N152" i="25"/>
  <c r="M152" i="25"/>
  <c r="L152" i="25"/>
  <c r="I152" i="25" s="1"/>
  <c r="K152" i="25"/>
  <c r="P151" i="25"/>
  <c r="O151" i="25"/>
  <c r="N151" i="25"/>
  <c r="M151" i="25"/>
  <c r="L151" i="25"/>
  <c r="I151" i="25" s="1"/>
  <c r="K151" i="25"/>
  <c r="P150" i="25"/>
  <c r="O150" i="25"/>
  <c r="N150" i="25"/>
  <c r="M150" i="25"/>
  <c r="L150" i="25"/>
  <c r="I150" i="25" s="1"/>
  <c r="K150" i="25"/>
  <c r="P149" i="25"/>
  <c r="O149" i="25"/>
  <c r="N149" i="25"/>
  <c r="M149" i="25"/>
  <c r="L149" i="25"/>
  <c r="I149" i="25" s="1"/>
  <c r="K149" i="25"/>
  <c r="P148" i="25"/>
  <c r="O148" i="25"/>
  <c r="N148" i="25"/>
  <c r="M148" i="25"/>
  <c r="L148" i="25"/>
  <c r="I148" i="25" s="1"/>
  <c r="K148" i="25"/>
  <c r="P147" i="25"/>
  <c r="O147" i="25"/>
  <c r="N147" i="25"/>
  <c r="M147" i="25"/>
  <c r="L147" i="25"/>
  <c r="I147" i="25" s="1"/>
  <c r="K147" i="25"/>
  <c r="P146" i="25"/>
  <c r="O146" i="25"/>
  <c r="N146" i="25"/>
  <c r="M146" i="25"/>
  <c r="L146" i="25"/>
  <c r="I146" i="25" s="1"/>
  <c r="K146" i="25"/>
  <c r="P145" i="25"/>
  <c r="O145" i="25"/>
  <c r="N145" i="25"/>
  <c r="M145" i="25"/>
  <c r="L145" i="25"/>
  <c r="I145" i="25" s="1"/>
  <c r="K145" i="25"/>
  <c r="P144" i="25"/>
  <c r="O144" i="25"/>
  <c r="N144" i="25"/>
  <c r="M144" i="25"/>
  <c r="L144" i="25"/>
  <c r="I144" i="25" s="1"/>
  <c r="K144" i="25"/>
  <c r="P143" i="25"/>
  <c r="O143" i="25"/>
  <c r="N143" i="25"/>
  <c r="M143" i="25"/>
  <c r="L143" i="25"/>
  <c r="I143" i="25" s="1"/>
  <c r="K143" i="25"/>
  <c r="P142" i="25"/>
  <c r="O142" i="25"/>
  <c r="N142" i="25"/>
  <c r="M142" i="25"/>
  <c r="L142" i="25"/>
  <c r="I142" i="25" s="1"/>
  <c r="K142" i="25"/>
  <c r="P141" i="25"/>
  <c r="O141" i="25"/>
  <c r="N141" i="25"/>
  <c r="M141" i="25"/>
  <c r="L141" i="25"/>
  <c r="I141" i="25" s="1"/>
  <c r="K141" i="25"/>
  <c r="P140" i="25"/>
  <c r="O140" i="25"/>
  <c r="N140" i="25"/>
  <c r="M140" i="25"/>
  <c r="L140" i="25"/>
  <c r="I140" i="25" s="1"/>
  <c r="K140" i="25"/>
  <c r="P139" i="25"/>
  <c r="O139" i="25"/>
  <c r="N139" i="25"/>
  <c r="M139" i="25"/>
  <c r="L139" i="25"/>
  <c r="I139" i="25" s="1"/>
  <c r="K139" i="25"/>
  <c r="P138" i="25"/>
  <c r="O138" i="25"/>
  <c r="N138" i="25"/>
  <c r="M138" i="25"/>
  <c r="L138" i="25"/>
  <c r="I138" i="25" s="1"/>
  <c r="K138" i="25"/>
  <c r="P137" i="25"/>
  <c r="O137" i="25"/>
  <c r="N137" i="25"/>
  <c r="M137" i="25"/>
  <c r="L137" i="25"/>
  <c r="I137" i="25" s="1"/>
  <c r="K137" i="25"/>
  <c r="P136" i="25"/>
  <c r="O136" i="25"/>
  <c r="N136" i="25"/>
  <c r="M136" i="25"/>
  <c r="L136" i="25"/>
  <c r="I136" i="25" s="1"/>
  <c r="K136" i="25"/>
  <c r="P135" i="25"/>
  <c r="O135" i="25"/>
  <c r="N135" i="25"/>
  <c r="M135" i="25"/>
  <c r="L135" i="25"/>
  <c r="I135" i="25" s="1"/>
  <c r="K135" i="25"/>
  <c r="P134" i="25"/>
  <c r="O134" i="25"/>
  <c r="N134" i="25"/>
  <c r="M134" i="25"/>
  <c r="L134" i="25"/>
  <c r="I134" i="25" s="1"/>
  <c r="K134" i="25"/>
  <c r="P133" i="25"/>
  <c r="O133" i="25"/>
  <c r="N133" i="25"/>
  <c r="M133" i="25"/>
  <c r="L133" i="25"/>
  <c r="I133" i="25" s="1"/>
  <c r="K133" i="25"/>
  <c r="P132" i="25"/>
  <c r="O132" i="25"/>
  <c r="N132" i="25"/>
  <c r="M132" i="25"/>
  <c r="L132" i="25"/>
  <c r="I132" i="25" s="1"/>
  <c r="K132" i="25"/>
  <c r="P131" i="25"/>
  <c r="O131" i="25"/>
  <c r="N131" i="25"/>
  <c r="M131" i="25"/>
  <c r="L131" i="25"/>
  <c r="I131" i="25" s="1"/>
  <c r="K131" i="25"/>
  <c r="P130" i="25"/>
  <c r="O130" i="25"/>
  <c r="N130" i="25"/>
  <c r="M130" i="25"/>
  <c r="L130" i="25"/>
  <c r="I130" i="25" s="1"/>
  <c r="K130" i="25"/>
  <c r="P129" i="25"/>
  <c r="O129" i="25"/>
  <c r="N129" i="25"/>
  <c r="M129" i="25"/>
  <c r="L129" i="25"/>
  <c r="I129" i="25" s="1"/>
  <c r="K129" i="25"/>
  <c r="P128" i="25"/>
  <c r="O128" i="25"/>
  <c r="N128" i="25"/>
  <c r="M128" i="25"/>
  <c r="L128" i="25"/>
  <c r="I128" i="25" s="1"/>
  <c r="K128" i="25"/>
  <c r="P127" i="25"/>
  <c r="O127" i="25"/>
  <c r="N127" i="25"/>
  <c r="M127" i="25"/>
  <c r="L127" i="25"/>
  <c r="I127" i="25" s="1"/>
  <c r="K127" i="25"/>
  <c r="P126" i="25"/>
  <c r="O126" i="25"/>
  <c r="N126" i="25"/>
  <c r="M126" i="25"/>
  <c r="L126" i="25"/>
  <c r="I126" i="25" s="1"/>
  <c r="K126" i="25"/>
  <c r="P125" i="25"/>
  <c r="O125" i="25"/>
  <c r="N125" i="25"/>
  <c r="M125" i="25"/>
  <c r="L125" i="25"/>
  <c r="I125" i="25" s="1"/>
  <c r="K125" i="25"/>
  <c r="P124" i="25"/>
  <c r="O124" i="25"/>
  <c r="N124" i="25"/>
  <c r="M124" i="25"/>
  <c r="L124" i="25"/>
  <c r="I124" i="25" s="1"/>
  <c r="K124" i="25"/>
  <c r="P123" i="25"/>
  <c r="O123" i="25"/>
  <c r="N123" i="25"/>
  <c r="M123" i="25"/>
  <c r="L123" i="25"/>
  <c r="I123" i="25" s="1"/>
  <c r="K123" i="25"/>
  <c r="P122" i="25"/>
  <c r="O122" i="25"/>
  <c r="N122" i="25"/>
  <c r="M122" i="25"/>
  <c r="L122" i="25"/>
  <c r="I122" i="25" s="1"/>
  <c r="K122" i="25"/>
  <c r="P121" i="25"/>
  <c r="O121" i="25"/>
  <c r="N121" i="25"/>
  <c r="M121" i="25"/>
  <c r="L121" i="25"/>
  <c r="I121" i="25" s="1"/>
  <c r="K121" i="25"/>
  <c r="P120" i="25"/>
  <c r="O120" i="25"/>
  <c r="N120" i="25"/>
  <c r="M120" i="25"/>
  <c r="L120" i="25"/>
  <c r="I120" i="25" s="1"/>
  <c r="K120" i="25"/>
  <c r="P119" i="25"/>
  <c r="O119" i="25"/>
  <c r="N119" i="25"/>
  <c r="M119" i="25"/>
  <c r="L119" i="25"/>
  <c r="I119" i="25" s="1"/>
  <c r="K119" i="25"/>
  <c r="P118" i="25"/>
  <c r="O118" i="25"/>
  <c r="N118" i="25"/>
  <c r="M118" i="25"/>
  <c r="L118" i="25"/>
  <c r="I118" i="25" s="1"/>
  <c r="K118" i="25"/>
  <c r="P117" i="25"/>
  <c r="O117" i="25"/>
  <c r="N117" i="25"/>
  <c r="M117" i="25"/>
  <c r="L117" i="25"/>
  <c r="I117" i="25" s="1"/>
  <c r="K117" i="25"/>
  <c r="P116" i="25"/>
  <c r="O116" i="25"/>
  <c r="N116" i="25"/>
  <c r="M116" i="25"/>
  <c r="L116" i="25"/>
  <c r="I116" i="25" s="1"/>
  <c r="K116" i="25"/>
  <c r="P115" i="25"/>
  <c r="O115" i="25"/>
  <c r="N115" i="25"/>
  <c r="M115" i="25"/>
  <c r="L115" i="25"/>
  <c r="I115" i="25" s="1"/>
  <c r="K115" i="25"/>
  <c r="P114" i="25"/>
  <c r="O114" i="25"/>
  <c r="N114" i="25"/>
  <c r="M114" i="25"/>
  <c r="L114" i="25"/>
  <c r="I114" i="25" s="1"/>
  <c r="K114" i="25"/>
  <c r="P113" i="25"/>
  <c r="O113" i="25"/>
  <c r="N113" i="25"/>
  <c r="M113" i="25"/>
  <c r="L113" i="25"/>
  <c r="I113" i="25" s="1"/>
  <c r="K113" i="25"/>
  <c r="P112" i="25"/>
  <c r="O112" i="25"/>
  <c r="N112" i="25"/>
  <c r="M112" i="25"/>
  <c r="L112" i="25"/>
  <c r="I112" i="25" s="1"/>
  <c r="K112" i="25"/>
  <c r="P111" i="25"/>
  <c r="O111" i="25"/>
  <c r="N111" i="25"/>
  <c r="M111" i="25"/>
  <c r="L111" i="25"/>
  <c r="I111" i="25" s="1"/>
  <c r="K111" i="25"/>
  <c r="P110" i="25"/>
  <c r="O110" i="25"/>
  <c r="N110" i="25"/>
  <c r="M110" i="25"/>
  <c r="L110" i="25"/>
  <c r="I110" i="25" s="1"/>
  <c r="K110" i="25"/>
  <c r="P109" i="25"/>
  <c r="O109" i="25"/>
  <c r="N109" i="25"/>
  <c r="M109" i="25"/>
  <c r="L109" i="25"/>
  <c r="I109" i="25" s="1"/>
  <c r="K109" i="25"/>
  <c r="P108" i="25"/>
  <c r="O108" i="25"/>
  <c r="N108" i="25"/>
  <c r="M108" i="25"/>
  <c r="L108" i="25"/>
  <c r="I108" i="25" s="1"/>
  <c r="K108" i="25"/>
  <c r="P107" i="25"/>
  <c r="O107" i="25"/>
  <c r="N107" i="25"/>
  <c r="M107" i="25"/>
  <c r="L107" i="25"/>
  <c r="I107" i="25" s="1"/>
  <c r="K107" i="25"/>
  <c r="P106" i="25"/>
  <c r="O106" i="25"/>
  <c r="N106" i="25"/>
  <c r="M106" i="25"/>
  <c r="L106" i="25"/>
  <c r="I106" i="25" s="1"/>
  <c r="K106" i="25"/>
  <c r="P105" i="25"/>
  <c r="O105" i="25"/>
  <c r="N105" i="25"/>
  <c r="M105" i="25"/>
  <c r="L105" i="25"/>
  <c r="I105" i="25" s="1"/>
  <c r="K105" i="25"/>
  <c r="P104" i="25"/>
  <c r="O104" i="25"/>
  <c r="N104" i="25"/>
  <c r="M104" i="25"/>
  <c r="L104" i="25"/>
  <c r="I104" i="25" s="1"/>
  <c r="K104" i="25"/>
  <c r="P103" i="25"/>
  <c r="O103" i="25"/>
  <c r="N103" i="25"/>
  <c r="M103" i="25"/>
  <c r="L103" i="25"/>
  <c r="I103" i="25" s="1"/>
  <c r="K103" i="25"/>
  <c r="P102" i="25"/>
  <c r="O102" i="25"/>
  <c r="N102" i="25"/>
  <c r="M102" i="25"/>
  <c r="L102" i="25"/>
  <c r="I102" i="25" s="1"/>
  <c r="K102" i="25"/>
  <c r="P101" i="25"/>
  <c r="O101" i="25"/>
  <c r="N101" i="25"/>
  <c r="M101" i="25"/>
  <c r="L101" i="25"/>
  <c r="I101" i="25" s="1"/>
  <c r="K101" i="25"/>
  <c r="P100" i="25"/>
  <c r="O100" i="25"/>
  <c r="N100" i="25"/>
  <c r="M100" i="25"/>
  <c r="L100" i="25"/>
  <c r="I100" i="25" s="1"/>
  <c r="K100" i="25"/>
  <c r="P99" i="25"/>
  <c r="O99" i="25"/>
  <c r="N99" i="25"/>
  <c r="M99" i="25"/>
  <c r="L99" i="25"/>
  <c r="I99" i="25" s="1"/>
  <c r="K99" i="25"/>
  <c r="P98" i="25"/>
  <c r="O98" i="25"/>
  <c r="N98" i="25"/>
  <c r="M98" i="25"/>
  <c r="L98" i="25"/>
  <c r="I98" i="25" s="1"/>
  <c r="K98" i="25"/>
  <c r="P97" i="25"/>
  <c r="O97" i="25"/>
  <c r="N97" i="25"/>
  <c r="M97" i="25"/>
  <c r="L97" i="25"/>
  <c r="I97" i="25" s="1"/>
  <c r="K97" i="25"/>
  <c r="P96" i="25"/>
  <c r="O96" i="25"/>
  <c r="N96" i="25"/>
  <c r="M96" i="25"/>
  <c r="L96" i="25"/>
  <c r="I96" i="25" s="1"/>
  <c r="K96" i="25"/>
  <c r="P95" i="25"/>
  <c r="O95" i="25"/>
  <c r="N95" i="25"/>
  <c r="M95" i="25"/>
  <c r="L95" i="25"/>
  <c r="I95" i="25" s="1"/>
  <c r="K95" i="25"/>
  <c r="P94" i="25"/>
  <c r="O94" i="25"/>
  <c r="N94" i="25"/>
  <c r="M94" i="25"/>
  <c r="L94" i="25"/>
  <c r="I94" i="25" s="1"/>
  <c r="K94" i="25"/>
  <c r="P93" i="25"/>
  <c r="O93" i="25"/>
  <c r="N93" i="25"/>
  <c r="M93" i="25"/>
  <c r="L93" i="25"/>
  <c r="I93" i="25" s="1"/>
  <c r="K93" i="25"/>
  <c r="P92" i="25"/>
  <c r="O92" i="25"/>
  <c r="N92" i="25"/>
  <c r="M92" i="25"/>
  <c r="L92" i="25"/>
  <c r="I92" i="25" s="1"/>
  <c r="K92" i="25"/>
  <c r="P91" i="25"/>
  <c r="O91" i="25"/>
  <c r="N91" i="25"/>
  <c r="M91" i="25"/>
  <c r="L91" i="25"/>
  <c r="I91" i="25" s="1"/>
  <c r="K91" i="25"/>
  <c r="P90" i="25"/>
  <c r="O90" i="25"/>
  <c r="N90" i="25"/>
  <c r="M90" i="25"/>
  <c r="L90" i="25"/>
  <c r="I90" i="25" s="1"/>
  <c r="K90" i="25"/>
  <c r="P89" i="25"/>
  <c r="O89" i="25"/>
  <c r="N89" i="25"/>
  <c r="M89" i="25"/>
  <c r="L89" i="25"/>
  <c r="I89" i="25" s="1"/>
  <c r="K89" i="25"/>
  <c r="P88" i="25"/>
  <c r="O88" i="25"/>
  <c r="N88" i="25"/>
  <c r="M88" i="25"/>
  <c r="L88" i="25"/>
  <c r="I88" i="25" s="1"/>
  <c r="K88" i="25"/>
  <c r="P87" i="25"/>
  <c r="O87" i="25"/>
  <c r="N87" i="25"/>
  <c r="M87" i="25"/>
  <c r="L87" i="25"/>
  <c r="I87" i="25" s="1"/>
  <c r="K87" i="25"/>
  <c r="P86" i="25"/>
  <c r="O86" i="25"/>
  <c r="N86" i="25"/>
  <c r="M86" i="25"/>
  <c r="L86" i="25"/>
  <c r="I86" i="25" s="1"/>
  <c r="K86" i="25"/>
  <c r="P85" i="25"/>
  <c r="O85" i="25"/>
  <c r="N85" i="25"/>
  <c r="M85" i="25"/>
  <c r="L85" i="25"/>
  <c r="I85" i="25" s="1"/>
  <c r="K85" i="25"/>
  <c r="P84" i="25"/>
  <c r="O84" i="25"/>
  <c r="N84" i="25"/>
  <c r="M84" i="25"/>
  <c r="L84" i="25"/>
  <c r="I84" i="25" s="1"/>
  <c r="K84" i="25"/>
  <c r="P83" i="25"/>
  <c r="O83" i="25"/>
  <c r="N83" i="25"/>
  <c r="M83" i="25"/>
  <c r="L83" i="25"/>
  <c r="I83" i="25" s="1"/>
  <c r="K83" i="25"/>
  <c r="P82" i="25"/>
  <c r="O82" i="25"/>
  <c r="N82" i="25"/>
  <c r="M82" i="25"/>
  <c r="L82" i="25"/>
  <c r="I82" i="25" s="1"/>
  <c r="K82" i="25"/>
  <c r="P81" i="25"/>
  <c r="O81" i="25"/>
  <c r="N81" i="25"/>
  <c r="M81" i="25"/>
  <c r="L81" i="25"/>
  <c r="I81" i="25" s="1"/>
  <c r="K81" i="25"/>
  <c r="P80" i="25"/>
  <c r="O80" i="25"/>
  <c r="N80" i="25"/>
  <c r="M80" i="25"/>
  <c r="L80" i="25"/>
  <c r="I80" i="25" s="1"/>
  <c r="K80" i="25"/>
  <c r="P79" i="25"/>
  <c r="O79" i="25"/>
  <c r="N79" i="25"/>
  <c r="M79" i="25"/>
  <c r="L79" i="25"/>
  <c r="I79" i="25" s="1"/>
  <c r="K79" i="25"/>
  <c r="P78" i="25"/>
  <c r="O78" i="25"/>
  <c r="N78" i="25"/>
  <c r="M78" i="25"/>
  <c r="L78" i="25"/>
  <c r="I78" i="25" s="1"/>
  <c r="K78" i="25"/>
  <c r="P77" i="25"/>
  <c r="O77" i="25"/>
  <c r="N77" i="25"/>
  <c r="M77" i="25"/>
  <c r="L77" i="25"/>
  <c r="I77" i="25" s="1"/>
  <c r="K77" i="25"/>
  <c r="P76" i="25"/>
  <c r="O76" i="25"/>
  <c r="N76" i="25"/>
  <c r="M76" i="25"/>
  <c r="L76" i="25"/>
  <c r="I76" i="25" s="1"/>
  <c r="K76" i="25"/>
  <c r="P75" i="25"/>
  <c r="O75" i="25"/>
  <c r="N75" i="25"/>
  <c r="M75" i="25"/>
  <c r="L75" i="25"/>
  <c r="I75" i="25" s="1"/>
  <c r="K75" i="25"/>
  <c r="P74" i="25"/>
  <c r="O74" i="25"/>
  <c r="N74" i="25"/>
  <c r="M74" i="25"/>
  <c r="L74" i="25"/>
  <c r="I74" i="25" s="1"/>
  <c r="K74" i="25"/>
  <c r="P73" i="25"/>
  <c r="O73" i="25"/>
  <c r="N73" i="25"/>
  <c r="M73" i="25"/>
  <c r="L73" i="25"/>
  <c r="I73" i="25" s="1"/>
  <c r="K73" i="25"/>
  <c r="P72" i="25"/>
  <c r="O72" i="25"/>
  <c r="N72" i="25"/>
  <c r="M72" i="25"/>
  <c r="L72" i="25"/>
  <c r="I72" i="25" s="1"/>
  <c r="K72" i="25"/>
  <c r="P71" i="25"/>
  <c r="O71" i="25"/>
  <c r="N71" i="25"/>
  <c r="M71" i="25"/>
  <c r="L71" i="25"/>
  <c r="I71" i="25" s="1"/>
  <c r="K71" i="25"/>
  <c r="P70" i="25"/>
  <c r="O70" i="25"/>
  <c r="N70" i="25"/>
  <c r="M70" i="25"/>
  <c r="L70" i="25"/>
  <c r="I70" i="25" s="1"/>
  <c r="K70" i="25"/>
  <c r="P69" i="25"/>
  <c r="O69" i="25"/>
  <c r="N69" i="25"/>
  <c r="M69" i="25"/>
  <c r="L69" i="25"/>
  <c r="I69" i="25" s="1"/>
  <c r="K69" i="25"/>
  <c r="P68" i="25"/>
  <c r="O68" i="25"/>
  <c r="N68" i="25"/>
  <c r="M68" i="25"/>
  <c r="L68" i="25"/>
  <c r="I68" i="25" s="1"/>
  <c r="K68" i="25"/>
  <c r="P67" i="25"/>
  <c r="O67" i="25"/>
  <c r="N67" i="25"/>
  <c r="M67" i="25"/>
  <c r="L67" i="25"/>
  <c r="I67" i="25" s="1"/>
  <c r="K67" i="25"/>
  <c r="P66" i="25"/>
  <c r="O66" i="25"/>
  <c r="N66" i="25"/>
  <c r="M66" i="25"/>
  <c r="L66" i="25"/>
  <c r="I66" i="25" s="1"/>
  <c r="K66" i="25"/>
  <c r="P65" i="25"/>
  <c r="O65" i="25"/>
  <c r="N65" i="25"/>
  <c r="M65" i="25"/>
  <c r="L65" i="25"/>
  <c r="I65" i="25" s="1"/>
  <c r="K65" i="25"/>
  <c r="P64" i="25"/>
  <c r="O64" i="25"/>
  <c r="N64" i="25"/>
  <c r="M64" i="25"/>
  <c r="L64" i="25"/>
  <c r="I64" i="25" s="1"/>
  <c r="K64" i="25"/>
  <c r="P63" i="25"/>
  <c r="O63" i="25"/>
  <c r="N63" i="25"/>
  <c r="M63" i="25"/>
  <c r="L63" i="25"/>
  <c r="I63" i="25" s="1"/>
  <c r="K63" i="25"/>
  <c r="P62" i="25"/>
  <c r="O62" i="25"/>
  <c r="N62" i="25"/>
  <c r="M62" i="25"/>
  <c r="L62" i="25"/>
  <c r="I62" i="25" s="1"/>
  <c r="K62" i="25"/>
  <c r="P61" i="25"/>
  <c r="O61" i="25"/>
  <c r="N61" i="25"/>
  <c r="M61" i="25"/>
  <c r="L61" i="25"/>
  <c r="I61" i="25" s="1"/>
  <c r="K61" i="25"/>
  <c r="P60" i="25"/>
  <c r="O60" i="25"/>
  <c r="N60" i="25"/>
  <c r="M60" i="25"/>
  <c r="L60" i="25"/>
  <c r="I60" i="25" s="1"/>
  <c r="K60" i="25"/>
  <c r="P59" i="25"/>
  <c r="O59" i="25"/>
  <c r="N59" i="25"/>
  <c r="M59" i="25"/>
  <c r="L59" i="25"/>
  <c r="I59" i="25" s="1"/>
  <c r="K59" i="25"/>
  <c r="P58" i="25"/>
  <c r="O58" i="25"/>
  <c r="N58" i="25"/>
  <c r="M58" i="25"/>
  <c r="L58" i="25"/>
  <c r="I58" i="25" s="1"/>
  <c r="K58" i="25"/>
  <c r="P57" i="25"/>
  <c r="O57" i="25"/>
  <c r="N57" i="25"/>
  <c r="M57" i="25"/>
  <c r="L57" i="25"/>
  <c r="I57" i="25" s="1"/>
  <c r="K57" i="25"/>
  <c r="P56" i="25"/>
  <c r="O56" i="25"/>
  <c r="N56" i="25"/>
  <c r="M56" i="25"/>
  <c r="L56" i="25"/>
  <c r="I56" i="25" s="1"/>
  <c r="K56" i="25"/>
  <c r="P55" i="25"/>
  <c r="O55" i="25"/>
  <c r="N55" i="25"/>
  <c r="M55" i="25"/>
  <c r="L55" i="25"/>
  <c r="I55" i="25" s="1"/>
  <c r="K55" i="25"/>
  <c r="P54" i="25"/>
  <c r="O54" i="25"/>
  <c r="N54" i="25"/>
  <c r="M54" i="25"/>
  <c r="L54" i="25"/>
  <c r="I54" i="25" s="1"/>
  <c r="K54" i="25"/>
  <c r="P53" i="25"/>
  <c r="O53" i="25"/>
  <c r="N53" i="25"/>
  <c r="M53" i="25"/>
  <c r="L53" i="25"/>
  <c r="I53" i="25" s="1"/>
  <c r="K53" i="25"/>
  <c r="P52" i="25"/>
  <c r="O52" i="25"/>
  <c r="N52" i="25"/>
  <c r="M52" i="25"/>
  <c r="L52" i="25"/>
  <c r="I52" i="25" s="1"/>
  <c r="K52" i="25"/>
  <c r="P51" i="25"/>
  <c r="O51" i="25"/>
  <c r="N51" i="25"/>
  <c r="M51" i="25"/>
  <c r="L51" i="25"/>
  <c r="I51" i="25" s="1"/>
  <c r="K51" i="25"/>
  <c r="P50" i="25"/>
  <c r="O50" i="25"/>
  <c r="N50" i="25"/>
  <c r="M50" i="25"/>
  <c r="L50" i="25"/>
  <c r="I50" i="25" s="1"/>
  <c r="K50" i="25"/>
  <c r="P49" i="25"/>
  <c r="O49" i="25"/>
  <c r="N49" i="25"/>
  <c r="M49" i="25"/>
  <c r="L49" i="25"/>
  <c r="I49" i="25" s="1"/>
  <c r="K49" i="25"/>
  <c r="P48" i="25"/>
  <c r="O48" i="25"/>
  <c r="N48" i="25"/>
  <c r="M48" i="25"/>
  <c r="L48" i="25"/>
  <c r="I48" i="25" s="1"/>
  <c r="K48" i="25"/>
  <c r="P47" i="25"/>
  <c r="O47" i="25"/>
  <c r="N47" i="25"/>
  <c r="M47" i="25"/>
  <c r="L47" i="25"/>
  <c r="I47" i="25" s="1"/>
  <c r="K47" i="25"/>
  <c r="P46" i="25"/>
  <c r="O46" i="25"/>
  <c r="N46" i="25"/>
  <c r="M46" i="25"/>
  <c r="L46" i="25"/>
  <c r="I46" i="25" s="1"/>
  <c r="K46" i="25"/>
  <c r="P45" i="25"/>
  <c r="O45" i="25"/>
  <c r="N45" i="25"/>
  <c r="M45" i="25"/>
  <c r="L45" i="25"/>
  <c r="I45" i="25" s="1"/>
  <c r="K45" i="25"/>
  <c r="P44" i="25"/>
  <c r="O44" i="25"/>
  <c r="N44" i="25"/>
  <c r="M44" i="25"/>
  <c r="L44" i="25"/>
  <c r="I44" i="25" s="1"/>
  <c r="K44" i="25"/>
  <c r="P43" i="25"/>
  <c r="O43" i="25"/>
  <c r="N43" i="25"/>
  <c r="M43" i="25"/>
  <c r="L43" i="25"/>
  <c r="I43" i="25" s="1"/>
  <c r="K43" i="25"/>
  <c r="P42" i="25"/>
  <c r="O42" i="25"/>
  <c r="N42" i="25"/>
  <c r="M42" i="25"/>
  <c r="L42" i="25"/>
  <c r="I42" i="25" s="1"/>
  <c r="K42" i="25"/>
  <c r="P41" i="25"/>
  <c r="O41" i="25"/>
  <c r="N41" i="25"/>
  <c r="M41" i="25"/>
  <c r="L41" i="25"/>
  <c r="I41" i="25" s="1"/>
  <c r="K41" i="25"/>
  <c r="P40" i="25"/>
  <c r="O40" i="25"/>
  <c r="N40" i="25"/>
  <c r="M40" i="25"/>
  <c r="L40" i="25"/>
  <c r="I40" i="25" s="1"/>
  <c r="K40" i="25"/>
  <c r="P39" i="25"/>
  <c r="O39" i="25"/>
  <c r="N39" i="25"/>
  <c r="M39" i="25"/>
  <c r="L39" i="25"/>
  <c r="I39" i="25" s="1"/>
  <c r="K39" i="25"/>
  <c r="P38" i="25"/>
  <c r="O38" i="25"/>
  <c r="N38" i="25"/>
  <c r="M38" i="25"/>
  <c r="L38" i="25"/>
  <c r="I38" i="25" s="1"/>
  <c r="K38" i="25"/>
  <c r="P37" i="25"/>
  <c r="O37" i="25"/>
  <c r="N37" i="25"/>
  <c r="M37" i="25"/>
  <c r="L37" i="25"/>
  <c r="I37" i="25" s="1"/>
  <c r="K37" i="25"/>
  <c r="P36" i="25"/>
  <c r="O36" i="25"/>
  <c r="N36" i="25"/>
  <c r="M36" i="25"/>
  <c r="L36" i="25"/>
  <c r="I36" i="25" s="1"/>
  <c r="K36" i="25"/>
  <c r="P35" i="25"/>
  <c r="O35" i="25"/>
  <c r="N35" i="25"/>
  <c r="M35" i="25"/>
  <c r="L35" i="25"/>
  <c r="I35" i="25" s="1"/>
  <c r="K35" i="25"/>
  <c r="P34" i="25"/>
  <c r="O34" i="25"/>
  <c r="N34" i="25"/>
  <c r="M34" i="25"/>
  <c r="L34" i="25"/>
  <c r="I34" i="25" s="1"/>
  <c r="K34" i="25"/>
  <c r="P33" i="25"/>
  <c r="O33" i="25"/>
  <c r="N33" i="25"/>
  <c r="M33" i="25"/>
  <c r="L33" i="25"/>
  <c r="I33" i="25" s="1"/>
  <c r="K33" i="25"/>
  <c r="P32" i="25"/>
  <c r="O32" i="25"/>
  <c r="N32" i="25"/>
  <c r="M32" i="25"/>
  <c r="L32" i="25"/>
  <c r="I32" i="25" s="1"/>
  <c r="K32" i="25"/>
  <c r="P31" i="25"/>
  <c r="O31" i="25"/>
  <c r="N31" i="25"/>
  <c r="M31" i="25"/>
  <c r="L31" i="25"/>
  <c r="I31" i="25" s="1"/>
  <c r="K31" i="25"/>
  <c r="P30" i="25"/>
  <c r="O30" i="25"/>
  <c r="N30" i="25"/>
  <c r="M30" i="25"/>
  <c r="L30" i="25"/>
  <c r="I30" i="25" s="1"/>
  <c r="K30" i="25"/>
  <c r="P29" i="25"/>
  <c r="O29" i="25"/>
  <c r="N29" i="25"/>
  <c r="M29" i="25"/>
  <c r="L29" i="25"/>
  <c r="I29" i="25" s="1"/>
  <c r="K29" i="25"/>
  <c r="P28" i="25"/>
  <c r="O28" i="25"/>
  <c r="N28" i="25"/>
  <c r="M28" i="25"/>
  <c r="L28" i="25"/>
  <c r="I28" i="25" s="1"/>
  <c r="K28" i="25"/>
  <c r="P27" i="25"/>
  <c r="O27" i="25"/>
  <c r="N27" i="25"/>
  <c r="M27" i="25"/>
  <c r="L27" i="25"/>
  <c r="I27" i="25" s="1"/>
  <c r="K27" i="25"/>
  <c r="P26" i="25"/>
  <c r="O26" i="25"/>
  <c r="N26" i="25"/>
  <c r="M26" i="25"/>
  <c r="L26" i="25"/>
  <c r="I26" i="25" s="1"/>
  <c r="K26" i="25"/>
  <c r="P25" i="25"/>
  <c r="O25" i="25"/>
  <c r="N25" i="25"/>
  <c r="M25" i="25"/>
  <c r="L25" i="25"/>
  <c r="I25" i="25" s="1"/>
  <c r="K25" i="25"/>
  <c r="P24" i="25"/>
  <c r="O24" i="25"/>
  <c r="N24" i="25"/>
  <c r="M24" i="25"/>
  <c r="L24" i="25"/>
  <c r="I24" i="25" s="1"/>
  <c r="K24" i="25"/>
  <c r="P23" i="25"/>
  <c r="O23" i="25"/>
  <c r="N23" i="25"/>
  <c r="M23" i="25"/>
  <c r="L23" i="25"/>
  <c r="I23" i="25" s="1"/>
  <c r="K23" i="25"/>
  <c r="P22" i="25"/>
  <c r="O22" i="25"/>
  <c r="N22" i="25"/>
  <c r="M22" i="25"/>
  <c r="L22" i="25"/>
  <c r="I22" i="25" s="1"/>
  <c r="K22" i="25"/>
  <c r="P21" i="25"/>
  <c r="O21" i="25"/>
  <c r="N21" i="25"/>
  <c r="M21" i="25"/>
  <c r="L21" i="25"/>
  <c r="I21" i="25" s="1"/>
  <c r="K21" i="25"/>
  <c r="P20" i="25"/>
  <c r="O20" i="25"/>
  <c r="N20" i="25"/>
  <c r="M20" i="25"/>
  <c r="L20" i="25"/>
  <c r="I20" i="25" s="1"/>
  <c r="K20" i="25"/>
  <c r="P19" i="25"/>
  <c r="O19" i="25"/>
  <c r="N19" i="25"/>
  <c r="M19" i="25"/>
  <c r="L19" i="25"/>
  <c r="I19" i="25" s="1"/>
  <c r="K19" i="25"/>
  <c r="P18" i="25"/>
  <c r="O18" i="25"/>
  <c r="N18" i="25"/>
  <c r="M18" i="25"/>
  <c r="L18" i="25"/>
  <c r="I18" i="25" s="1"/>
  <c r="K18" i="25"/>
  <c r="P17" i="25"/>
  <c r="O17" i="25"/>
  <c r="N17" i="25"/>
  <c r="M17" i="25"/>
  <c r="L17" i="25"/>
  <c r="I17" i="25" s="1"/>
  <c r="K17" i="25"/>
  <c r="P16" i="25"/>
  <c r="O16" i="25"/>
  <c r="N16" i="25"/>
  <c r="M16" i="25"/>
  <c r="L16" i="25"/>
  <c r="I16" i="25" s="1"/>
  <c r="K16" i="25"/>
  <c r="P15" i="25"/>
  <c r="O15" i="25"/>
  <c r="N15" i="25"/>
  <c r="M15" i="25"/>
  <c r="L15" i="25"/>
  <c r="I15" i="25" s="1"/>
  <c r="K15" i="25"/>
  <c r="P14" i="25"/>
  <c r="O14" i="25"/>
  <c r="N14" i="25"/>
  <c r="M14" i="25"/>
  <c r="L14" i="25"/>
  <c r="I14" i="25" s="1"/>
  <c r="K14" i="25"/>
  <c r="P13" i="25"/>
  <c r="O13" i="25"/>
  <c r="N13" i="25"/>
  <c r="M13" i="25"/>
  <c r="L13" i="25"/>
  <c r="I13" i="25" s="1"/>
  <c r="K13" i="25"/>
  <c r="P12" i="25"/>
  <c r="O12" i="25"/>
  <c r="N12" i="25"/>
  <c r="M12" i="25"/>
  <c r="L12" i="25"/>
  <c r="I12" i="25" s="1"/>
  <c r="K12" i="25"/>
  <c r="P11" i="25"/>
  <c r="O11" i="25"/>
  <c r="N11" i="25"/>
  <c r="M11" i="25"/>
  <c r="L11" i="25"/>
  <c r="I11" i="25" s="1"/>
  <c r="K11" i="25"/>
  <c r="P10" i="25"/>
  <c r="O10" i="25"/>
  <c r="N10" i="25"/>
  <c r="M10" i="25"/>
  <c r="L10" i="25"/>
  <c r="I10" i="25" s="1"/>
  <c r="K10" i="25"/>
  <c r="P9" i="25"/>
  <c r="O9" i="25"/>
  <c r="N9" i="25"/>
  <c r="M9" i="25"/>
  <c r="L9" i="25"/>
  <c r="I9" i="25" s="1"/>
  <c r="K9" i="25"/>
  <c r="P8" i="25"/>
  <c r="O8" i="25"/>
  <c r="N8" i="25"/>
  <c r="M8" i="25"/>
  <c r="L8" i="25"/>
  <c r="I8" i="25" s="1"/>
  <c r="K8" i="25"/>
  <c r="P7" i="25"/>
  <c r="O7" i="25"/>
  <c r="N7" i="25"/>
  <c r="M7" i="25"/>
  <c r="L7" i="25"/>
  <c r="I7" i="25" s="1"/>
  <c r="K7" i="25"/>
  <c r="P6" i="25"/>
  <c r="O6" i="25"/>
  <c r="N6" i="25"/>
  <c r="M6" i="25"/>
  <c r="L6" i="25"/>
  <c r="I6" i="25" s="1"/>
  <c r="K6" i="25"/>
  <c r="P5" i="25"/>
  <c r="O5" i="25"/>
  <c r="N5" i="25"/>
  <c r="M5" i="25"/>
  <c r="L5" i="25"/>
  <c r="I5" i="25" s="1"/>
  <c r="K5" i="25"/>
  <c r="P4" i="25"/>
  <c r="O4" i="25"/>
  <c r="N4" i="25"/>
  <c r="M4" i="25"/>
  <c r="L4" i="25"/>
  <c r="I4" i="25" s="1"/>
  <c r="K4" i="25"/>
  <c r="I535" i="25" l="1"/>
  <c r="I414" i="25"/>
  <c r="I426" i="25"/>
  <c r="I450" i="25"/>
  <c r="I474" i="25"/>
  <c r="I486" i="25"/>
  <c r="I498" i="25"/>
  <c r="I510" i="25"/>
  <c r="I522" i="25"/>
  <c r="I534" i="25"/>
  <c r="I462" i="25"/>
  <c r="I537" i="25"/>
  <c r="A461" i="13" a="1"/>
  <c r="A461" i="13" s="1"/>
  <c r="S446" i="13" l="1"/>
  <c r="H421" i="13"/>
  <c r="H109" i="13"/>
  <c r="H439" i="13" l="1"/>
  <c r="H178" i="13"/>
  <c r="L213" i="15" l="1"/>
  <c r="I213" i="15"/>
  <c r="F213" i="15"/>
  <c r="C213" i="15"/>
  <c r="Q210" i="17" l="1"/>
  <c r="C11" i="6" l="1"/>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X446" i="13" l="1"/>
  <c r="B11" i="6" l="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C4" i="4"/>
  <c r="BI406" i="20" l="1"/>
  <c r="H9" i="13" l="1"/>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9" i="13"/>
  <c r="H180" i="13"/>
  <c r="H181" i="13"/>
  <c r="H182" i="13"/>
  <c r="H183" i="13"/>
  <c r="H184" i="13"/>
  <c r="H185" i="13"/>
  <c r="H186" i="13"/>
  <c r="H187" i="13"/>
  <c r="H188" i="13"/>
  <c r="H189" i="13"/>
  <c r="H190" i="13"/>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07" i="13"/>
  <c r="H308" i="13"/>
  <c r="H309" i="13"/>
  <c r="H310" i="13"/>
  <c r="H311" i="13"/>
  <c r="H312" i="13"/>
  <c r="H313" i="13"/>
  <c r="H314" i="13"/>
  <c r="H315" i="13"/>
  <c r="H316" i="13"/>
  <c r="H317" i="13"/>
  <c r="H318" i="13"/>
  <c r="H319" i="13"/>
  <c r="H320" i="13"/>
  <c r="H321" i="13"/>
  <c r="H322" i="13"/>
  <c r="H323" i="13"/>
  <c r="H324" i="13"/>
  <c r="H325" i="13"/>
  <c r="H326" i="13"/>
  <c r="H327" i="13"/>
  <c r="H328" i="13"/>
  <c r="H329" i="13"/>
  <c r="H330" i="13"/>
  <c r="H331" i="13"/>
  <c r="H332" i="13"/>
  <c r="H333" i="13"/>
  <c r="H334" i="13"/>
  <c r="H335" i="13"/>
  <c r="H336" i="13"/>
  <c r="H337" i="13"/>
  <c r="H338" i="13"/>
  <c r="H339" i="13"/>
  <c r="H340" i="13"/>
  <c r="H341" i="13"/>
  <c r="H342" i="13"/>
  <c r="H343" i="13"/>
  <c r="H344" i="13"/>
  <c r="H345" i="13"/>
  <c r="H346" i="13"/>
  <c r="H347" i="13"/>
  <c r="H348" i="13"/>
  <c r="H349" i="13"/>
  <c r="H350" i="13"/>
  <c r="H351" i="13"/>
  <c r="H352" i="13"/>
  <c r="H353" i="13"/>
  <c r="H354" i="13"/>
  <c r="H355" i="13"/>
  <c r="H356" i="13"/>
  <c r="H357" i="13"/>
  <c r="H358" i="13"/>
  <c r="H359" i="13"/>
  <c r="H360" i="13"/>
  <c r="H361" i="13"/>
  <c r="H362" i="13"/>
  <c r="H363" i="13"/>
  <c r="H364" i="13"/>
  <c r="H365" i="13"/>
  <c r="H366" i="13"/>
  <c r="H367" i="13"/>
  <c r="H368" i="13"/>
  <c r="H369" i="13"/>
  <c r="H370" i="13"/>
  <c r="H371" i="13"/>
  <c r="H372" i="13"/>
  <c r="H373" i="13"/>
  <c r="H374" i="13"/>
  <c r="H375" i="13"/>
  <c r="H376" i="13"/>
  <c r="H377" i="13"/>
  <c r="H378" i="13"/>
  <c r="H379" i="13"/>
  <c r="H380" i="13"/>
  <c r="H381" i="13"/>
  <c r="H382" i="13"/>
  <c r="H383" i="13"/>
  <c r="H384" i="13"/>
  <c r="H385" i="13"/>
  <c r="H386" i="13"/>
  <c r="H387" i="13"/>
  <c r="H388" i="13"/>
  <c r="H389" i="13"/>
  <c r="H390" i="13"/>
  <c r="H391" i="13"/>
  <c r="H392" i="13"/>
  <c r="H393" i="13"/>
  <c r="H394" i="13"/>
  <c r="H395" i="13"/>
  <c r="H396" i="13"/>
  <c r="H397" i="13"/>
  <c r="H398" i="13"/>
  <c r="H399" i="13"/>
  <c r="H400" i="13"/>
  <c r="H401" i="13"/>
  <c r="H402" i="13"/>
  <c r="H403" i="13"/>
  <c r="H405" i="13"/>
  <c r="H406" i="13"/>
  <c r="H407" i="13"/>
  <c r="H408" i="13"/>
  <c r="H409" i="13"/>
  <c r="H410" i="13"/>
  <c r="H411" i="13"/>
  <c r="H412" i="13"/>
  <c r="H413" i="13"/>
  <c r="H414" i="13"/>
  <c r="H415" i="13"/>
  <c r="H416" i="13"/>
  <c r="H417" i="13"/>
  <c r="H418" i="13"/>
  <c r="H419" i="13"/>
  <c r="H420" i="13"/>
  <c r="H422" i="13"/>
  <c r="H423" i="13"/>
  <c r="H424" i="13"/>
  <c r="H425" i="13"/>
  <c r="H426" i="13"/>
  <c r="H427" i="13"/>
  <c r="H428" i="13"/>
  <c r="H429" i="13"/>
  <c r="H430" i="13"/>
  <c r="H431" i="13"/>
  <c r="H432" i="13"/>
  <c r="H433" i="13"/>
  <c r="H434" i="13"/>
  <c r="H435" i="13"/>
  <c r="H436" i="13"/>
  <c r="H437" i="13"/>
  <c r="H438" i="13"/>
  <c r="H440" i="13"/>
  <c r="H441" i="13"/>
  <c r="H442" i="13"/>
  <c r="H443" i="13"/>
  <c r="H444" i="13"/>
  <c r="H445" i="13"/>
  <c r="H8" i="13"/>
  <c r="H404" i="13"/>
  <c r="H446" i="13" l="1"/>
  <c r="C358" i="10"/>
  <c r="A4" i="4" l="1"/>
  <c r="C15" i="7" l="1"/>
  <c r="B8" i="7" l="1"/>
  <c r="AD1765" i="19"/>
  <c r="AC1765" i="19"/>
  <c r="A57" i="24" l="1"/>
  <c r="A55" i="24"/>
  <c r="A53" i="24"/>
  <c r="AK358" i="10" l="1"/>
  <c r="AK8" i="10"/>
  <c r="AK9" i="10"/>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7" i="10"/>
  <c r="F448" i="13" l="1"/>
  <c r="I327" i="15" l="1"/>
  <c r="I326" i="15"/>
  <c r="I325" i="15"/>
  <c r="I324" i="15"/>
  <c r="I323" i="15"/>
  <c r="I322" i="15"/>
  <c r="I321" i="15"/>
  <c r="I320" i="15"/>
  <c r="I319" i="15"/>
  <c r="I318" i="15"/>
  <c r="I317" i="15"/>
  <c r="I316" i="15"/>
  <c r="I315" i="15"/>
  <c r="I314" i="15"/>
  <c r="I313" i="15"/>
  <c r="I312" i="15"/>
  <c r="I311" i="15"/>
  <c r="I310" i="15"/>
  <c r="I309" i="15"/>
  <c r="I308" i="15"/>
  <c r="I307" i="15"/>
  <c r="I306" i="15"/>
  <c r="I305" i="15"/>
  <c r="I304" i="15"/>
  <c r="I303" i="15"/>
  <c r="I302" i="15"/>
  <c r="I301" i="15"/>
  <c r="I300" i="15"/>
  <c r="I299" i="15"/>
  <c r="I298" i="15"/>
  <c r="I297" i="15"/>
  <c r="I296" i="15"/>
  <c r="I295" i="15"/>
  <c r="I294" i="15"/>
  <c r="I293" i="15"/>
  <c r="I292" i="15"/>
  <c r="I291" i="15"/>
  <c r="I290" i="15"/>
  <c r="I289" i="15"/>
  <c r="I288" i="15"/>
  <c r="I287" i="15"/>
  <c r="I286" i="15"/>
  <c r="I285" i="15"/>
  <c r="I284" i="15"/>
  <c r="I283" i="15"/>
  <c r="I282" i="15"/>
  <c r="I281" i="15"/>
  <c r="I280" i="15"/>
  <c r="I279" i="15"/>
  <c r="I278" i="15"/>
  <c r="I277" i="15"/>
  <c r="I276" i="15"/>
  <c r="I275" i="15"/>
  <c r="I274" i="15"/>
  <c r="I273" i="15"/>
  <c r="I272" i="15"/>
  <c r="I271" i="15"/>
  <c r="I270" i="15"/>
  <c r="I269" i="15"/>
  <c r="I268" i="15"/>
  <c r="I267" i="15"/>
  <c r="I266" i="15"/>
  <c r="I265" i="15"/>
  <c r="I264" i="15"/>
  <c r="I263" i="15"/>
  <c r="I262" i="15"/>
  <c r="I261" i="15"/>
  <c r="I260" i="15"/>
  <c r="I259" i="15"/>
  <c r="I258" i="15"/>
  <c r="I257" i="15"/>
  <c r="I256" i="15"/>
  <c r="I255" i="15"/>
  <c r="I254" i="15"/>
  <c r="I253" i="15"/>
  <c r="I252" i="15"/>
  <c r="I251" i="15"/>
  <c r="I250" i="15"/>
  <c r="I249" i="15"/>
  <c r="I248" i="15"/>
  <c r="I247" i="15"/>
  <c r="I246" i="15"/>
  <c r="I245" i="15"/>
  <c r="I244" i="15"/>
  <c r="I243" i="15"/>
  <c r="I242" i="15"/>
  <c r="I241" i="15"/>
  <c r="I240" i="15"/>
  <c r="I239" i="15"/>
  <c r="I238" i="15"/>
  <c r="I237" i="15"/>
  <c r="I236" i="15"/>
  <c r="I235" i="15"/>
  <c r="I234" i="15"/>
  <c r="I233" i="15"/>
  <c r="I232" i="15"/>
  <c r="I231" i="15"/>
  <c r="I230" i="15"/>
  <c r="I229" i="15"/>
  <c r="I228" i="15"/>
  <c r="I227" i="15"/>
  <c r="I226" i="15"/>
  <c r="I225" i="15"/>
  <c r="I224" i="15"/>
  <c r="I223" i="15"/>
  <c r="I222" i="15"/>
  <c r="I221" i="15"/>
  <c r="I220" i="15"/>
  <c r="I219" i="15"/>
  <c r="I218" i="15"/>
  <c r="I217" i="15"/>
  <c r="I216" i="15"/>
  <c r="I215" i="15"/>
  <c r="I214" i="15"/>
  <c r="I212" i="15"/>
  <c r="I211" i="15"/>
  <c r="I210" i="15"/>
  <c r="I209" i="15"/>
  <c r="I208" i="15"/>
  <c r="I207" i="15"/>
  <c r="I206" i="15"/>
  <c r="I205" i="15"/>
  <c r="I204" i="15"/>
  <c r="I203" i="15"/>
  <c r="I202" i="15"/>
  <c r="I201" i="15"/>
  <c r="I200" i="15"/>
  <c r="I199" i="15"/>
  <c r="I198" i="15"/>
  <c r="I197" i="15"/>
  <c r="I196" i="15"/>
  <c r="I195" i="15"/>
  <c r="I194" i="15"/>
  <c r="I193" i="15"/>
  <c r="I192" i="15"/>
  <c r="I191" i="15"/>
  <c r="I190" i="15"/>
  <c r="I189" i="15"/>
  <c r="I188" i="15"/>
  <c r="I187" i="15"/>
  <c r="I186" i="15"/>
  <c r="I185" i="15"/>
  <c r="I184" i="15"/>
  <c r="I183" i="15"/>
  <c r="I182" i="15"/>
  <c r="I181" i="15"/>
  <c r="I180" i="15"/>
  <c r="I179" i="15"/>
  <c r="I178" i="15"/>
  <c r="I177" i="15"/>
  <c r="I176" i="15"/>
  <c r="I175" i="15"/>
  <c r="I174" i="15"/>
  <c r="I173" i="15"/>
  <c r="I172" i="15"/>
  <c r="I171" i="15"/>
  <c r="I170" i="15"/>
  <c r="I169" i="15"/>
  <c r="I168" i="15"/>
  <c r="I167" i="15"/>
  <c r="I166" i="15"/>
  <c r="I165" i="15"/>
  <c r="I164" i="15"/>
  <c r="I163" i="15"/>
  <c r="I162" i="15"/>
  <c r="I161" i="15"/>
  <c r="I160" i="15"/>
  <c r="I159" i="15"/>
  <c r="I158" i="15"/>
  <c r="I157" i="15"/>
  <c r="I156" i="15"/>
  <c r="I155" i="15"/>
  <c r="I154" i="15"/>
  <c r="I153" i="15"/>
  <c r="I152" i="15"/>
  <c r="I151" i="15"/>
  <c r="I150" i="15"/>
  <c r="I149" i="15"/>
  <c r="I148" i="15"/>
  <c r="I147" i="15"/>
  <c r="I146" i="15"/>
  <c r="I145" i="15"/>
  <c r="I144" i="15"/>
  <c r="I143" i="15"/>
  <c r="I142" i="15"/>
  <c r="I141" i="15"/>
  <c r="I140" i="15"/>
  <c r="I139" i="15"/>
  <c r="I138" i="15"/>
  <c r="I137" i="15"/>
  <c r="I136" i="15"/>
  <c r="I135" i="15"/>
  <c r="I134" i="15"/>
  <c r="I133" i="15"/>
  <c r="I132" i="15"/>
  <c r="I131" i="15"/>
  <c r="I130" i="15"/>
  <c r="I129" i="15"/>
  <c r="I128" i="15"/>
  <c r="I127" i="15"/>
  <c r="I126" i="15"/>
  <c r="I125" i="15"/>
  <c r="I124" i="15"/>
  <c r="I123" i="15"/>
  <c r="I122" i="15"/>
  <c r="I121" i="15"/>
  <c r="I120" i="15"/>
  <c r="I119" i="15"/>
  <c r="I118" i="15"/>
  <c r="I117" i="15"/>
  <c r="I116" i="15"/>
  <c r="I115" i="15"/>
  <c r="I114" i="15"/>
  <c r="I113" i="15"/>
  <c r="I112" i="15"/>
  <c r="I111" i="15"/>
  <c r="I110" i="15"/>
  <c r="I109" i="15"/>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8" i="15"/>
  <c r="I77" i="15"/>
  <c r="I76"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9" i="15"/>
  <c r="F327" i="15"/>
  <c r="F326" i="15"/>
  <c r="F325" i="15"/>
  <c r="F324" i="15"/>
  <c r="F323" i="15"/>
  <c r="F322" i="15"/>
  <c r="F321" i="15"/>
  <c r="F320" i="15"/>
  <c r="F319" i="15"/>
  <c r="F318" i="15"/>
  <c r="F317" i="15"/>
  <c r="F316" i="15"/>
  <c r="F315" i="15"/>
  <c r="F314" i="15"/>
  <c r="F313" i="15"/>
  <c r="F312" i="15"/>
  <c r="F311" i="15"/>
  <c r="F310" i="15"/>
  <c r="F309" i="15"/>
  <c r="F308" i="15"/>
  <c r="F307" i="15"/>
  <c r="F306" i="15"/>
  <c r="F305" i="15"/>
  <c r="F304" i="15"/>
  <c r="F303" i="15"/>
  <c r="F302" i="15"/>
  <c r="F301" i="15"/>
  <c r="F300" i="15"/>
  <c r="F299" i="15"/>
  <c r="F298" i="15"/>
  <c r="F297" i="15"/>
  <c r="F296" i="15"/>
  <c r="F295" i="15"/>
  <c r="F294" i="15"/>
  <c r="F293" i="15"/>
  <c r="F292" i="15"/>
  <c r="F291" i="15"/>
  <c r="F290" i="15"/>
  <c r="F289" i="15"/>
  <c r="F288" i="15"/>
  <c r="F287" i="15"/>
  <c r="F286" i="15"/>
  <c r="F285" i="15"/>
  <c r="F284" i="15"/>
  <c r="F283" i="15"/>
  <c r="F282" i="15"/>
  <c r="F281" i="15"/>
  <c r="F280" i="15"/>
  <c r="F279" i="15"/>
  <c r="F278" i="15"/>
  <c r="F277" i="15"/>
  <c r="F276" i="15"/>
  <c r="F275" i="15"/>
  <c r="F274" i="15"/>
  <c r="F273" i="15"/>
  <c r="F272" i="15"/>
  <c r="F271" i="15"/>
  <c r="F270" i="15"/>
  <c r="F269" i="15"/>
  <c r="F268" i="15"/>
  <c r="F267" i="15"/>
  <c r="F266" i="15"/>
  <c r="F265" i="15"/>
  <c r="F264" i="15"/>
  <c r="F263" i="15"/>
  <c r="F262" i="15"/>
  <c r="F261" i="15"/>
  <c r="F260" i="15"/>
  <c r="F259" i="15"/>
  <c r="F258" i="15"/>
  <c r="F257" i="15"/>
  <c r="F256" i="15"/>
  <c r="F255" i="15"/>
  <c r="F254" i="15"/>
  <c r="F253" i="15"/>
  <c r="F252" i="15"/>
  <c r="F251" i="15"/>
  <c r="F250" i="15"/>
  <c r="F249" i="15"/>
  <c r="F248" i="15"/>
  <c r="F247" i="15"/>
  <c r="F246" i="15"/>
  <c r="F245" i="15"/>
  <c r="F244" i="15"/>
  <c r="F243" i="15"/>
  <c r="F242" i="15"/>
  <c r="F241" i="15"/>
  <c r="F240" i="15"/>
  <c r="F239" i="15"/>
  <c r="F238" i="15"/>
  <c r="F237" i="15"/>
  <c r="F236" i="15"/>
  <c r="F235" i="15"/>
  <c r="F234" i="15"/>
  <c r="F233" i="15"/>
  <c r="F232" i="15"/>
  <c r="F231" i="15"/>
  <c r="F230" i="15"/>
  <c r="F229" i="15"/>
  <c r="F228" i="15"/>
  <c r="F227" i="15"/>
  <c r="F226" i="15"/>
  <c r="F225" i="15"/>
  <c r="F224" i="15"/>
  <c r="F223" i="15"/>
  <c r="F222" i="15"/>
  <c r="F221" i="15"/>
  <c r="F220" i="15"/>
  <c r="F219" i="15"/>
  <c r="F218" i="15"/>
  <c r="F217" i="15"/>
  <c r="F216" i="15"/>
  <c r="F215" i="15"/>
  <c r="F214"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I8" i="15"/>
  <c r="A49" i="24" l="1"/>
  <c r="Z9" i="13" l="1"/>
  <c r="Z11" i="13"/>
  <c r="Z13" i="13"/>
  <c r="Z18" i="13"/>
  <c r="Z19" i="13"/>
  <c r="Z20" i="13"/>
  <c r="Z22" i="13"/>
  <c r="Z26" i="13"/>
  <c r="Z28" i="13"/>
  <c r="Z29" i="13"/>
  <c r="Z35" i="13"/>
  <c r="Z36" i="13"/>
  <c r="Z39" i="13"/>
  <c r="Z40" i="13"/>
  <c r="Z41" i="13"/>
  <c r="Z44" i="13"/>
  <c r="Z46" i="13"/>
  <c r="Z49" i="13"/>
  <c r="Z54" i="13"/>
  <c r="Z60" i="13"/>
  <c r="Z61" i="13"/>
  <c r="Z62" i="13"/>
  <c r="Z65" i="13"/>
  <c r="Z66" i="13"/>
  <c r="Z67" i="13"/>
  <c r="Z69" i="13"/>
  <c r="Z73" i="13"/>
  <c r="Z76" i="13"/>
  <c r="Z77" i="13"/>
  <c r="Z82" i="13"/>
  <c r="Z83" i="13"/>
  <c r="Z87" i="13"/>
  <c r="Z88" i="13"/>
  <c r="Z91" i="13"/>
  <c r="Z97" i="13"/>
  <c r="Z99" i="13"/>
  <c r="Z109" i="13"/>
  <c r="Z111" i="13"/>
  <c r="Z113" i="13"/>
  <c r="Z115" i="13"/>
  <c r="Z116" i="13"/>
  <c r="Z119" i="13"/>
  <c r="Z120" i="13"/>
  <c r="Z122" i="13"/>
  <c r="Z123" i="13"/>
  <c r="Z126" i="13"/>
  <c r="Z127" i="13"/>
  <c r="Z130" i="13"/>
  <c r="Z131" i="13"/>
  <c r="Z133" i="13"/>
  <c r="Z136" i="13"/>
  <c r="Z137" i="13"/>
  <c r="Z139" i="13"/>
  <c r="Z141" i="13"/>
  <c r="Z147" i="13"/>
  <c r="Z150" i="13"/>
  <c r="Z153" i="13"/>
  <c r="Z154" i="13"/>
  <c r="Z155" i="13"/>
  <c r="Z163" i="13"/>
  <c r="Z173" i="13"/>
  <c r="Z186" i="13"/>
  <c r="Z187" i="13"/>
  <c r="Z190" i="13"/>
  <c r="Z195" i="13"/>
  <c r="Z197" i="13"/>
  <c r="Z199" i="13"/>
  <c r="Z200" i="13"/>
  <c r="Z201" i="13"/>
  <c r="Z202" i="13"/>
  <c r="Z207" i="13"/>
  <c r="Z209" i="13"/>
  <c r="Z210" i="13"/>
  <c r="Z212" i="13"/>
  <c r="Z213" i="13"/>
  <c r="Z223" i="13"/>
  <c r="Z229" i="13"/>
  <c r="Z232" i="13"/>
  <c r="Z235" i="13"/>
  <c r="Z239" i="13"/>
  <c r="Z240" i="13"/>
  <c r="Z242" i="13"/>
  <c r="Z244" i="13"/>
  <c r="Z248" i="13"/>
  <c r="Z252" i="13"/>
  <c r="Z254" i="13"/>
  <c r="Z261" i="13"/>
  <c r="Z262" i="13"/>
  <c r="Z263" i="13"/>
  <c r="Z264" i="13"/>
  <c r="Z266" i="13"/>
  <c r="Z267" i="13"/>
  <c r="Z274" i="13"/>
  <c r="Z275" i="13"/>
  <c r="Z277" i="13"/>
  <c r="Z286" i="13"/>
  <c r="Z287" i="13"/>
  <c r="Z289" i="13"/>
  <c r="Z290" i="13"/>
  <c r="Z293" i="13"/>
  <c r="Z301" i="13"/>
  <c r="Z304" i="13"/>
  <c r="Z306" i="13"/>
  <c r="Z309" i="13"/>
  <c r="Z310" i="13"/>
  <c r="Z318" i="13"/>
  <c r="Z320" i="13"/>
  <c r="Z326" i="13"/>
  <c r="Z327" i="13"/>
  <c r="Z331" i="13"/>
  <c r="Z335" i="13"/>
  <c r="Z336" i="13"/>
  <c r="Z340" i="13"/>
  <c r="Z341" i="13"/>
  <c r="Z345" i="13"/>
  <c r="Z346" i="13"/>
  <c r="Z348" i="13"/>
  <c r="Z352" i="13"/>
  <c r="Z358" i="13"/>
  <c r="AF9" i="13"/>
  <c r="AF11" i="13"/>
  <c r="AF13" i="13"/>
  <c r="AF18" i="13"/>
  <c r="AF19" i="13"/>
  <c r="AF20" i="13"/>
  <c r="AF22" i="13"/>
  <c r="AF26" i="13"/>
  <c r="AF28" i="13"/>
  <c r="AF29" i="13"/>
  <c r="AF35" i="13"/>
  <c r="AF36" i="13"/>
  <c r="AF39" i="13"/>
  <c r="AF40" i="13"/>
  <c r="AF41" i="13"/>
  <c r="AF44" i="13"/>
  <c r="AF46" i="13"/>
  <c r="AF49" i="13"/>
  <c r="AF54" i="13"/>
  <c r="AF60" i="13"/>
  <c r="AF61" i="13"/>
  <c r="AF62" i="13"/>
  <c r="AF65" i="13"/>
  <c r="AF66" i="13"/>
  <c r="AF67" i="13"/>
  <c r="AF69" i="13"/>
  <c r="AF73" i="13"/>
  <c r="AF76" i="13"/>
  <c r="AF77" i="13"/>
  <c r="AF82" i="13"/>
  <c r="AF83" i="13"/>
  <c r="AF87" i="13"/>
  <c r="AF88" i="13"/>
  <c r="AF91" i="13"/>
  <c r="AF97" i="13"/>
  <c r="AF99" i="13"/>
  <c r="AF109" i="13"/>
  <c r="AF111" i="13"/>
  <c r="AF113" i="13"/>
  <c r="AF115" i="13"/>
  <c r="AF116" i="13"/>
  <c r="AF119" i="13"/>
  <c r="AF120" i="13"/>
  <c r="AF122" i="13"/>
  <c r="AF123" i="13"/>
  <c r="AF126" i="13"/>
  <c r="AF127" i="13"/>
  <c r="AF130" i="13"/>
  <c r="AF131" i="13"/>
  <c r="AF133" i="13"/>
  <c r="AF136" i="13"/>
  <c r="AF137" i="13"/>
  <c r="AF139" i="13"/>
  <c r="AF141" i="13"/>
  <c r="AF147" i="13"/>
  <c r="AF150" i="13"/>
  <c r="AF153" i="13"/>
  <c r="AF154" i="13"/>
  <c r="AF155" i="13"/>
  <c r="AF163" i="13"/>
  <c r="AF173" i="13"/>
  <c r="AF186" i="13"/>
  <c r="AF187" i="13"/>
  <c r="AF190" i="13"/>
  <c r="AF195" i="13"/>
  <c r="AF197" i="13"/>
  <c r="AF199" i="13"/>
  <c r="AF200" i="13"/>
  <c r="AF201" i="13"/>
  <c r="AF202" i="13"/>
  <c r="AF207" i="13"/>
  <c r="AF209" i="13"/>
  <c r="AF210" i="13"/>
  <c r="AF212" i="13"/>
  <c r="AF213" i="13"/>
  <c r="AF223" i="13"/>
  <c r="AF229" i="13"/>
  <c r="AF232" i="13"/>
  <c r="AF235" i="13"/>
  <c r="AF239" i="13"/>
  <c r="AF240" i="13"/>
  <c r="AF242" i="13"/>
  <c r="AF244" i="13"/>
  <c r="AF248" i="13"/>
  <c r="AF252" i="13"/>
  <c r="AF254" i="13"/>
  <c r="AF261" i="13"/>
  <c r="AF262" i="13"/>
  <c r="AF263" i="13"/>
  <c r="AF264" i="13"/>
  <c r="AF266" i="13"/>
  <c r="AF267" i="13"/>
  <c r="AF274" i="13"/>
  <c r="AF275" i="13"/>
  <c r="AF277" i="13"/>
  <c r="AF286" i="13"/>
  <c r="AF287" i="13"/>
  <c r="AF289" i="13"/>
  <c r="AF290" i="13"/>
  <c r="AF293" i="13"/>
  <c r="AF301" i="13"/>
  <c r="AF304" i="13"/>
  <c r="AF306" i="13"/>
  <c r="AF309" i="13"/>
  <c r="AF310" i="13"/>
  <c r="AF318" i="13"/>
  <c r="AF320" i="13"/>
  <c r="AF326" i="13"/>
  <c r="AF327" i="13"/>
  <c r="AF331" i="13"/>
  <c r="AF335" i="13"/>
  <c r="AF336" i="13"/>
  <c r="AF340" i="13"/>
  <c r="AF341" i="13"/>
  <c r="AF345" i="13"/>
  <c r="AF346" i="13"/>
  <c r="AF348" i="13"/>
  <c r="AF352" i="13"/>
  <c r="AF358" i="13"/>
  <c r="B39" i="7" l="1"/>
  <c r="S8" i="19" l="1"/>
  <c r="E8" i="16" l="1"/>
  <c r="B4" i="7" l="1"/>
  <c r="F30" i="8" l="1"/>
  <c r="A3" i="15" l="1"/>
  <c r="F8" i="7" l="1"/>
  <c r="Q8" i="17" l="1"/>
  <c r="Q9" i="17"/>
  <c r="Q10" i="17"/>
  <c r="Q11" i="17"/>
  <c r="Q12" i="17"/>
  <c r="Q13" i="17"/>
  <c r="Q14" i="17"/>
  <c r="Q15" i="17"/>
  <c r="Q16" i="17"/>
  <c r="Q17" i="17"/>
  <c r="Q18" i="17"/>
  <c r="Q19" i="17"/>
  <c r="Q20" i="17"/>
  <c r="Q21" i="17"/>
  <c r="Q22" i="17"/>
  <c r="Q23" i="17"/>
  <c r="Q24" i="17"/>
  <c r="Q25" i="17"/>
  <c r="Q26" i="17"/>
  <c r="Q27" i="17"/>
  <c r="Q28" i="17"/>
  <c r="Q29" i="17"/>
  <c r="Q30" i="17"/>
  <c r="Q31" i="17"/>
  <c r="Q32" i="17"/>
  <c r="Q33" i="17"/>
  <c r="Q34" i="17"/>
  <c r="Q35" i="17"/>
  <c r="Q36" i="17"/>
  <c r="Q37" i="17"/>
  <c r="Q38" i="17"/>
  <c r="Q39" i="17"/>
  <c r="Q40" i="17"/>
  <c r="Q41" i="17"/>
  <c r="Q42" i="17"/>
  <c r="Q43" i="17"/>
  <c r="Q44" i="17"/>
  <c r="Q45" i="17"/>
  <c r="Q46" i="17"/>
  <c r="Q47" i="17"/>
  <c r="Q48" i="17"/>
  <c r="Q49" i="17"/>
  <c r="Q50" i="17"/>
  <c r="Q51" i="17"/>
  <c r="Q52" i="17"/>
  <c r="Q53" i="17"/>
  <c r="Q54" i="17"/>
  <c r="Q55" i="17"/>
  <c r="Q56" i="17"/>
  <c r="Q57" i="17"/>
  <c r="Q58" i="17"/>
  <c r="Q59" i="17"/>
  <c r="Q60" i="17"/>
  <c r="Q61" i="17"/>
  <c r="Q62" i="17"/>
  <c r="Q63" i="17"/>
  <c r="Q64" i="17"/>
  <c r="Q65" i="17"/>
  <c r="Q66" i="17"/>
  <c r="Q67" i="17"/>
  <c r="Q68" i="17"/>
  <c r="Q69" i="17"/>
  <c r="Q70" i="17"/>
  <c r="Q71" i="17"/>
  <c r="Q72" i="17"/>
  <c r="Q73" i="17"/>
  <c r="Q74" i="17"/>
  <c r="Q75" i="17"/>
  <c r="Q76" i="17"/>
  <c r="Q77" i="17"/>
  <c r="Q78" i="17"/>
  <c r="Q79" i="17"/>
  <c r="Q80" i="17"/>
  <c r="Q81" i="17"/>
  <c r="Q82" i="17"/>
  <c r="Q83" i="17"/>
  <c r="Q84" i="17"/>
  <c r="Q85" i="17"/>
  <c r="Q86" i="17"/>
  <c r="Q87" i="17"/>
  <c r="Q88" i="17"/>
  <c r="Q89" i="17"/>
  <c r="Q90" i="17"/>
  <c r="Q91" i="17"/>
  <c r="Q92" i="17"/>
  <c r="Q93" i="17"/>
  <c r="Q94" i="17"/>
  <c r="Q95" i="17"/>
  <c r="Q96" i="17"/>
  <c r="Q97" i="17"/>
  <c r="Q98" i="17"/>
  <c r="Q99" i="17"/>
  <c r="Q100" i="17"/>
  <c r="Q101" i="17"/>
  <c r="Q102" i="17"/>
  <c r="Q103" i="17"/>
  <c r="Q104" i="17"/>
  <c r="Q105" i="17"/>
  <c r="Q106" i="17"/>
  <c r="Q107" i="17"/>
  <c r="Q108" i="17"/>
  <c r="Q109" i="17"/>
  <c r="Q110" i="17"/>
  <c r="Q111" i="17"/>
  <c r="Q112" i="17"/>
  <c r="Q113" i="17"/>
  <c r="Q114" i="17"/>
  <c r="Q115" i="17"/>
  <c r="Q116" i="17"/>
  <c r="Q117" i="17"/>
  <c r="Q118" i="17"/>
  <c r="Q119" i="17"/>
  <c r="Q120" i="17"/>
  <c r="Q121" i="17"/>
  <c r="Q122" i="17"/>
  <c r="Q123" i="17"/>
  <c r="Q124" i="17"/>
  <c r="Q125" i="17"/>
  <c r="Q126" i="17"/>
  <c r="Q127" i="17"/>
  <c r="Q128" i="17"/>
  <c r="Q129" i="17"/>
  <c r="Q130" i="17"/>
  <c r="Q131" i="17"/>
  <c r="Q132" i="17"/>
  <c r="Q133" i="17"/>
  <c r="Q134" i="17"/>
  <c r="Q135" i="17"/>
  <c r="Q136" i="17"/>
  <c r="Q137" i="17"/>
  <c r="Q138" i="17"/>
  <c r="Q139" i="17"/>
  <c r="Q140" i="17"/>
  <c r="Q141" i="17"/>
  <c r="Q142" i="17"/>
  <c r="Q143" i="17"/>
  <c r="Q144" i="17"/>
  <c r="Q145" i="17"/>
  <c r="Q146" i="17"/>
  <c r="Q147" i="17"/>
  <c r="Q148" i="17"/>
  <c r="Q149" i="17"/>
  <c r="Q150" i="17"/>
  <c r="Q151" i="17"/>
  <c r="Q152" i="17"/>
  <c r="Q153" i="17"/>
  <c r="Q154" i="17"/>
  <c r="Q155" i="17"/>
  <c r="Q156" i="17"/>
  <c r="Q157" i="17"/>
  <c r="Q158" i="17"/>
  <c r="Q159" i="17"/>
  <c r="Q160" i="17"/>
  <c r="Q161" i="17"/>
  <c r="Q162" i="17"/>
  <c r="Q163" i="17"/>
  <c r="Q164" i="17"/>
  <c r="Q165" i="17"/>
  <c r="Q166" i="17"/>
  <c r="Q167" i="17"/>
  <c r="Q168" i="17"/>
  <c r="Q169" i="17"/>
  <c r="Q170" i="17"/>
  <c r="Q171" i="17"/>
  <c r="Q172" i="17"/>
  <c r="Q173" i="17"/>
  <c r="Q174" i="17"/>
  <c r="Q175" i="17"/>
  <c r="Q176" i="17"/>
  <c r="Q177" i="17"/>
  <c r="Q178" i="17"/>
  <c r="Q179" i="17"/>
  <c r="Q180" i="17"/>
  <c r="Q181" i="17"/>
  <c r="Q182" i="17"/>
  <c r="Q183" i="17"/>
  <c r="Q184" i="17"/>
  <c r="Q185" i="17"/>
  <c r="Q186" i="17"/>
  <c r="Q187" i="17"/>
  <c r="Q188" i="17"/>
  <c r="Q189" i="17"/>
  <c r="Q190" i="17"/>
  <c r="Q191" i="17"/>
  <c r="Q192" i="17"/>
  <c r="Q193" i="17"/>
  <c r="Q194" i="17"/>
  <c r="Q195" i="17"/>
  <c r="Q196" i="17"/>
  <c r="Q197" i="17"/>
  <c r="Q198" i="17"/>
  <c r="Q199" i="17"/>
  <c r="Q200" i="17"/>
  <c r="Q201" i="17"/>
  <c r="Q202" i="17"/>
  <c r="Q203" i="17"/>
  <c r="Q204" i="17"/>
  <c r="Q205" i="17"/>
  <c r="Q206" i="17"/>
  <c r="Q207" i="17"/>
  <c r="Q208" i="17"/>
  <c r="Q209" i="17"/>
  <c r="Q211" i="17"/>
  <c r="Q212" i="17"/>
  <c r="Q213" i="17"/>
  <c r="Q214" i="17"/>
  <c r="Q215" i="17"/>
  <c r="Q216" i="17"/>
  <c r="Q217" i="17"/>
  <c r="Q218" i="17"/>
  <c r="Q219" i="17"/>
  <c r="Q220" i="17"/>
  <c r="Q221" i="17"/>
  <c r="Q222" i="17"/>
  <c r="Q223" i="17"/>
  <c r="Q224" i="17"/>
  <c r="Q225" i="17"/>
  <c r="Q226" i="17"/>
  <c r="Q227" i="17"/>
  <c r="Q228" i="17"/>
  <c r="Q229" i="17"/>
  <c r="Q230" i="17"/>
  <c r="Q231" i="17"/>
  <c r="Q232" i="17"/>
  <c r="Q233" i="17"/>
  <c r="Q234" i="17"/>
  <c r="Q235" i="17"/>
  <c r="Q236" i="17"/>
  <c r="Q237" i="17"/>
  <c r="Q238" i="17"/>
  <c r="Q239" i="17"/>
  <c r="Q240" i="17"/>
  <c r="Q241" i="17"/>
  <c r="Q242" i="17"/>
  <c r="Q243" i="17"/>
  <c r="Q244" i="17"/>
  <c r="Q245" i="17"/>
  <c r="Q246" i="17"/>
  <c r="Q247" i="17"/>
  <c r="Q248" i="17"/>
  <c r="Q249" i="17"/>
  <c r="Q250" i="17"/>
  <c r="Q251" i="17"/>
  <c r="Q252" i="17"/>
  <c r="Q253" i="17"/>
  <c r="Q254" i="17"/>
  <c r="Q255" i="17"/>
  <c r="Q256" i="17"/>
  <c r="Q257" i="17"/>
  <c r="Q258" i="17"/>
  <c r="Q259" i="17"/>
  <c r="Q260" i="17"/>
  <c r="Q261" i="17"/>
  <c r="Q262" i="17"/>
  <c r="Q263" i="17"/>
  <c r="Q264" i="17"/>
  <c r="Q265" i="17"/>
  <c r="Q266" i="17"/>
  <c r="Q267" i="17"/>
  <c r="Q268" i="17"/>
  <c r="Q269" i="17"/>
  <c r="Q270" i="17"/>
  <c r="Q271" i="17"/>
  <c r="Q272" i="17"/>
  <c r="Q273" i="17"/>
  <c r="Q274" i="17"/>
  <c r="Q275" i="17"/>
  <c r="Q276" i="17"/>
  <c r="Q277" i="17"/>
  <c r="Q278" i="17"/>
  <c r="Q279" i="17"/>
  <c r="Q280" i="17"/>
  <c r="Q281" i="17"/>
  <c r="Q282" i="17"/>
  <c r="Q283" i="17"/>
  <c r="Q284" i="17"/>
  <c r="Q285" i="17"/>
  <c r="Q286" i="17"/>
  <c r="Q287" i="17"/>
  <c r="Q288" i="17"/>
  <c r="Q289" i="17"/>
  <c r="Q290" i="17"/>
  <c r="Q291" i="17"/>
  <c r="Q292" i="17"/>
  <c r="Q293" i="17"/>
  <c r="Q294" i="17"/>
  <c r="Q295" i="17"/>
  <c r="Q296" i="17"/>
  <c r="Q297" i="17"/>
  <c r="Q298" i="17"/>
  <c r="Q299" i="17"/>
  <c r="Q300" i="17"/>
  <c r="Q301" i="17"/>
  <c r="Q302" i="17"/>
  <c r="Q303" i="17"/>
  <c r="Q304" i="17"/>
  <c r="Q305" i="17"/>
  <c r="Q306" i="17"/>
  <c r="Q307" i="17"/>
  <c r="Q308" i="17"/>
  <c r="Q309" i="17"/>
  <c r="Q310" i="17"/>
  <c r="Q311" i="17"/>
  <c r="Q312" i="17"/>
  <c r="Q313" i="17"/>
  <c r="Q314" i="17"/>
  <c r="Q315" i="17"/>
  <c r="Q316" i="17"/>
  <c r="Q317" i="17"/>
  <c r="Q318" i="17"/>
  <c r="Q319" i="17"/>
  <c r="Q320" i="17"/>
  <c r="Q321" i="17"/>
  <c r="Q322" i="17"/>
  <c r="Q323" i="17"/>
  <c r="Q324" i="17"/>
  <c r="Q325" i="17"/>
  <c r="Q326" i="17"/>
  <c r="Q327" i="17"/>
  <c r="Q328" i="17"/>
  <c r="Q329" i="17"/>
  <c r="Q330" i="17"/>
  <c r="Q331" i="17"/>
  <c r="Q332" i="17"/>
  <c r="Q333" i="17"/>
  <c r="Q334" i="17"/>
  <c r="Q335" i="17"/>
  <c r="Q336" i="17"/>
  <c r="Q337" i="17"/>
  <c r="Q338" i="17"/>
  <c r="Q339" i="17"/>
  <c r="Q340" i="17"/>
  <c r="Q341" i="17"/>
  <c r="Q342" i="17"/>
  <c r="Q343" i="17"/>
  <c r="Q344" i="17"/>
  <c r="Q345" i="17"/>
  <c r="Q346" i="17"/>
  <c r="Q347" i="17"/>
  <c r="Q348" i="17"/>
  <c r="Q349" i="17"/>
  <c r="Q350" i="17"/>
  <c r="Q351" i="17"/>
  <c r="Q352" i="17"/>
  <c r="Q353" i="17"/>
  <c r="Q354" i="17"/>
  <c r="Q355" i="17"/>
  <c r="Q356" i="17"/>
  <c r="Q357" i="17"/>
  <c r="Q358" i="17"/>
  <c r="Q359" i="17"/>
  <c r="Q360" i="17"/>
  <c r="Q361" i="17"/>
  <c r="Q362" i="17"/>
  <c r="Q363" i="17"/>
  <c r="Q364" i="17"/>
  <c r="Q365" i="17"/>
  <c r="Q366" i="17"/>
  <c r="Q367" i="17"/>
  <c r="Q368" i="17"/>
  <c r="Q369" i="17"/>
  <c r="Q370" i="17"/>
  <c r="Q372" i="17"/>
  <c r="Q373" i="17"/>
  <c r="Q374" i="17"/>
  <c r="Q375" i="17"/>
  <c r="Q376" i="17"/>
  <c r="Q377" i="17"/>
  <c r="Q378" i="17"/>
  <c r="Q379" i="17"/>
  <c r="Q380" i="17"/>
  <c r="Q381" i="17"/>
  <c r="Q382" i="17"/>
  <c r="Q383" i="17"/>
  <c r="Q384" i="17"/>
  <c r="Q385" i="17"/>
  <c r="Q386" i="17"/>
  <c r="Q387" i="17"/>
  <c r="Q388" i="17"/>
  <c r="Q389" i="17"/>
  <c r="Q390" i="17"/>
  <c r="Q391" i="17"/>
  <c r="Q392" i="17"/>
  <c r="Q393" i="17"/>
  <c r="Q394" i="17"/>
  <c r="Q395" i="17"/>
  <c r="Q396" i="17"/>
  <c r="Q397" i="17"/>
  <c r="Q398" i="17"/>
  <c r="Q399" i="17"/>
  <c r="Q400" i="17"/>
  <c r="Q401" i="17"/>
  <c r="Q402" i="17"/>
  <c r="Q403" i="17"/>
  <c r="Q404" i="17"/>
  <c r="Q405" i="17"/>
  <c r="Q406" i="17"/>
  <c r="Q407" i="17"/>
  <c r="Q408" i="17"/>
  <c r="Q409" i="17"/>
  <c r="Q410" i="17"/>
  <c r="Q411" i="17"/>
  <c r="Q412" i="17"/>
  <c r="Q413" i="17"/>
  <c r="Q414" i="17"/>
  <c r="Q415" i="17"/>
  <c r="Q416" i="17"/>
  <c r="Q417" i="17"/>
  <c r="Q418" i="17"/>
  <c r="Q419" i="17"/>
  <c r="Q420" i="17"/>
  <c r="Q421" i="17"/>
  <c r="Q422" i="17"/>
  <c r="Q423" i="17"/>
  <c r="Q424" i="17"/>
  <c r="Q425" i="17"/>
  <c r="Q426" i="17"/>
  <c r="Q427" i="17"/>
  <c r="Q428" i="17"/>
  <c r="Q429" i="17"/>
  <c r="Q430" i="17"/>
  <c r="Q431" i="17"/>
  <c r="Q432" i="17"/>
  <c r="Q433" i="17"/>
  <c r="Q434" i="17"/>
  <c r="Q435" i="17"/>
  <c r="Q436" i="17"/>
  <c r="Q437" i="17"/>
  <c r="Q438" i="17"/>
  <c r="Q439" i="17"/>
  <c r="Q440" i="17"/>
  <c r="Q441" i="17"/>
  <c r="Q442" i="17"/>
  <c r="Q443" i="17"/>
  <c r="Q444" i="17"/>
  <c r="Q445" i="17"/>
  <c r="Q446" i="17"/>
  <c r="Q447" i="17"/>
  <c r="Q448" i="17"/>
  <c r="Q449" i="17"/>
  <c r="Q450" i="17"/>
  <c r="Q451" i="17"/>
  <c r="Q452" i="17"/>
  <c r="Q453" i="17"/>
  <c r="Q454" i="17"/>
  <c r="Q455" i="17"/>
  <c r="Q456" i="17"/>
  <c r="Q457" i="17"/>
  <c r="Q458" i="17"/>
  <c r="Q459" i="17"/>
  <c r="Q460" i="17"/>
  <c r="Q7" i="17"/>
  <c r="B451" i="17"/>
  <c r="H451" i="17" s="1"/>
  <c r="F451" i="17"/>
  <c r="F452" i="17"/>
  <c r="F453" i="17"/>
  <c r="F454" i="17"/>
  <c r="F455" i="17"/>
  <c r="F456" i="17"/>
  <c r="F457" i="17"/>
  <c r="F458" i="17"/>
  <c r="F459" i="17"/>
  <c r="F460" i="17"/>
  <c r="F461" i="17"/>
  <c r="F462" i="17"/>
  <c r="F463" i="17"/>
  <c r="F464" i="17"/>
  <c r="F465" i="17"/>
  <c r="F466" i="17"/>
  <c r="F467" i="17"/>
  <c r="F468" i="17"/>
  <c r="F469" i="17"/>
  <c r="F470" i="17"/>
  <c r="F471" i="17"/>
  <c r="F472" i="17"/>
  <c r="F473" i="17"/>
  <c r="F474" i="17"/>
  <c r="F475" i="17"/>
  <c r="F476" i="17"/>
  <c r="F477" i="17"/>
  <c r="F478" i="17"/>
  <c r="F479" i="17"/>
  <c r="F480" i="17"/>
  <c r="F481" i="17"/>
  <c r="F482" i="17"/>
  <c r="F483" i="17"/>
  <c r="F484" i="17"/>
  <c r="F485" i="17"/>
  <c r="F486" i="17"/>
  <c r="F487" i="17"/>
  <c r="F488" i="17"/>
  <c r="F489" i="17"/>
  <c r="F490" i="17"/>
  <c r="F491" i="17"/>
  <c r="F492" i="17"/>
  <c r="F493" i="17"/>
  <c r="F494" i="17"/>
  <c r="F495" i="17"/>
  <c r="F496" i="17"/>
  <c r="F497" i="17"/>
  <c r="F498" i="17"/>
  <c r="F499" i="17"/>
  <c r="F500" i="17"/>
  <c r="F501" i="17"/>
  <c r="F502" i="17"/>
  <c r="F503" i="17"/>
  <c r="F504" i="17"/>
  <c r="F505" i="17"/>
  <c r="F506" i="17"/>
  <c r="F507" i="17"/>
  <c r="F508" i="17"/>
  <c r="F509" i="17"/>
  <c r="F510" i="17"/>
  <c r="F511" i="17"/>
  <c r="F512" i="17"/>
  <c r="F513" i="17"/>
  <c r="F514" i="17"/>
  <c r="F515" i="17"/>
  <c r="F516" i="17"/>
  <c r="F517" i="17"/>
  <c r="F518" i="17"/>
  <c r="F519" i="17"/>
  <c r="F520" i="17"/>
  <c r="F521" i="17"/>
  <c r="F522" i="17"/>
  <c r="F523" i="17"/>
  <c r="F524" i="17"/>
  <c r="F525" i="17"/>
  <c r="F526" i="17"/>
  <c r="F527" i="17"/>
  <c r="F528" i="17"/>
  <c r="F529" i="17"/>
  <c r="F530" i="17"/>
  <c r="F531" i="17"/>
  <c r="F532" i="17"/>
  <c r="F533" i="17"/>
  <c r="F534" i="17"/>
  <c r="F535" i="17"/>
  <c r="F536" i="17"/>
  <c r="F537" i="17"/>
  <c r="G451" i="17"/>
  <c r="G452" i="17"/>
  <c r="G453" i="17"/>
  <c r="G454" i="17"/>
  <c r="G455" i="17"/>
  <c r="G456" i="17"/>
  <c r="G457" i="17"/>
  <c r="G458" i="17"/>
  <c r="G459" i="17"/>
  <c r="G460" i="17"/>
  <c r="G461" i="17"/>
  <c r="G462" i="17"/>
  <c r="G463" i="17"/>
  <c r="G464" i="17"/>
  <c r="G465" i="17"/>
  <c r="G466" i="17"/>
  <c r="G467" i="17"/>
  <c r="G468" i="17"/>
  <c r="G469" i="17"/>
  <c r="G470" i="17"/>
  <c r="G471" i="17"/>
  <c r="G472" i="17"/>
  <c r="G473" i="17"/>
  <c r="G474" i="17"/>
  <c r="G475" i="17"/>
  <c r="G476" i="17"/>
  <c r="G477" i="17"/>
  <c r="G478" i="17"/>
  <c r="G479" i="17"/>
  <c r="G480" i="17"/>
  <c r="G481" i="17"/>
  <c r="G482" i="17"/>
  <c r="G483" i="17"/>
  <c r="G484" i="17"/>
  <c r="G485" i="17"/>
  <c r="G486" i="17"/>
  <c r="G487" i="17"/>
  <c r="G488" i="17"/>
  <c r="G489" i="17"/>
  <c r="G490" i="17"/>
  <c r="G491" i="17"/>
  <c r="G492" i="17"/>
  <c r="G493" i="17"/>
  <c r="G494" i="17"/>
  <c r="G495" i="17"/>
  <c r="G496" i="17"/>
  <c r="G497" i="17"/>
  <c r="G498" i="17"/>
  <c r="G499" i="17"/>
  <c r="G500" i="17"/>
  <c r="G501" i="17"/>
  <c r="G502" i="17"/>
  <c r="G503" i="17"/>
  <c r="G504" i="17"/>
  <c r="G505" i="17"/>
  <c r="G506" i="17"/>
  <c r="G507" i="17"/>
  <c r="G508" i="17"/>
  <c r="G509" i="17"/>
  <c r="G510" i="17"/>
  <c r="G511" i="17"/>
  <c r="G512" i="17"/>
  <c r="G513" i="17"/>
  <c r="G514" i="17"/>
  <c r="G515" i="17"/>
  <c r="G516" i="17"/>
  <c r="G517" i="17"/>
  <c r="G518" i="17"/>
  <c r="G519" i="17"/>
  <c r="G520" i="17"/>
  <c r="G521" i="17"/>
  <c r="G522" i="17"/>
  <c r="G523" i="17"/>
  <c r="G524" i="17"/>
  <c r="G525" i="17"/>
  <c r="G526" i="17"/>
  <c r="G527" i="17"/>
  <c r="G528" i="17"/>
  <c r="G529" i="17"/>
  <c r="G530" i="17"/>
  <c r="G531" i="17"/>
  <c r="G532" i="17"/>
  <c r="G533" i="17"/>
  <c r="G534" i="17"/>
  <c r="G535" i="17"/>
  <c r="G536" i="17"/>
  <c r="G537" i="17"/>
  <c r="G450" i="17"/>
  <c r="F450" i="17"/>
  <c r="B452" i="17" l="1"/>
  <c r="B453" i="17" s="1"/>
  <c r="B454" i="17" s="1"/>
  <c r="H453" i="17" l="1"/>
  <c r="H452" i="17"/>
  <c r="B455" i="17"/>
  <c r="H454" i="17"/>
  <c r="AI5" i="14"/>
  <c r="AJ5" i="14" s="1"/>
  <c r="AK5" i="14" s="1"/>
  <c r="AL5" i="14" s="1"/>
  <c r="B456" i="17" l="1"/>
  <c r="H455" i="17"/>
  <c r="B457" i="17" l="1"/>
  <c r="H456" i="17"/>
  <c r="E18" i="12"/>
  <c r="B458" i="17" l="1"/>
  <c r="H457" i="17"/>
  <c r="B459" i="17" l="1"/>
  <c r="H458" i="17"/>
  <c r="B460" i="17" l="1"/>
  <c r="H459" i="17"/>
  <c r="B461" i="17" l="1"/>
  <c r="H460" i="17"/>
  <c r="B462" i="17" l="1"/>
  <c r="H461" i="17"/>
  <c r="H7" i="22"/>
  <c r="G7" i="22"/>
  <c r="F7" i="22"/>
  <c r="B463" i="17" l="1"/>
  <c r="H462" i="17"/>
  <c r="AG358" i="10"/>
  <c r="AH358" i="10"/>
  <c r="AM358" i="10"/>
  <c r="AG8" i="10"/>
  <c r="AG9" i="10"/>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108" i="10"/>
  <c r="AG109" i="10"/>
  <c r="AG110" i="10"/>
  <c r="AG111" i="10"/>
  <c r="AG112" i="10"/>
  <c r="AG113" i="10"/>
  <c r="AG114" i="10"/>
  <c r="AG115" i="10"/>
  <c r="AG116" i="10"/>
  <c r="AG117" i="10"/>
  <c r="AG118" i="10"/>
  <c r="AG119" i="10"/>
  <c r="AG120" i="10"/>
  <c r="AG121" i="10"/>
  <c r="AG122" i="10"/>
  <c r="AG123" i="10"/>
  <c r="AG124" i="10"/>
  <c r="AG125" i="10"/>
  <c r="AG126" i="10"/>
  <c r="AG127" i="10"/>
  <c r="AG128" i="10"/>
  <c r="AG129" i="10"/>
  <c r="AG130" i="10"/>
  <c r="AG131" i="10"/>
  <c r="AG132" i="10"/>
  <c r="AG133" i="10"/>
  <c r="AG134" i="10"/>
  <c r="AG135" i="10"/>
  <c r="AG136" i="10"/>
  <c r="AG137" i="10"/>
  <c r="AG138" i="10"/>
  <c r="AG139" i="10"/>
  <c r="AG140" i="10"/>
  <c r="AG141" i="10"/>
  <c r="AG142" i="10"/>
  <c r="AG143" i="10"/>
  <c r="AG144" i="10"/>
  <c r="AG145" i="10"/>
  <c r="AG146" i="10"/>
  <c r="AG147" i="10"/>
  <c r="AG148" i="10"/>
  <c r="AG149" i="10"/>
  <c r="AG150" i="10"/>
  <c r="AG151" i="10"/>
  <c r="AG152" i="10"/>
  <c r="AG153" i="10"/>
  <c r="AG154" i="10"/>
  <c r="AG155" i="10"/>
  <c r="AG156" i="10"/>
  <c r="AG157" i="10"/>
  <c r="AG158" i="10"/>
  <c r="AG159" i="10"/>
  <c r="AG160" i="10"/>
  <c r="AG161" i="10"/>
  <c r="AG162" i="10"/>
  <c r="AG163" i="10"/>
  <c r="AG164" i="10"/>
  <c r="AG165" i="10"/>
  <c r="AG166" i="10"/>
  <c r="AG167" i="10"/>
  <c r="AG168" i="10"/>
  <c r="AG169" i="10"/>
  <c r="AG170" i="10"/>
  <c r="AG171" i="10"/>
  <c r="AG172" i="10"/>
  <c r="AG173" i="10"/>
  <c r="AG174" i="10"/>
  <c r="AG175" i="10"/>
  <c r="AG176" i="10"/>
  <c r="AG177" i="10"/>
  <c r="AG178" i="10"/>
  <c r="AG179" i="10"/>
  <c r="AG180" i="10"/>
  <c r="AG181" i="10"/>
  <c r="AG182" i="10"/>
  <c r="AG183" i="10"/>
  <c r="AG184" i="10"/>
  <c r="AG185" i="10"/>
  <c r="AG186" i="10"/>
  <c r="AG187" i="10"/>
  <c r="AG188" i="10"/>
  <c r="AG189" i="10"/>
  <c r="AG190" i="10"/>
  <c r="AG191" i="10"/>
  <c r="AG192" i="10"/>
  <c r="AG193" i="10"/>
  <c r="AG194" i="10"/>
  <c r="AG195" i="10"/>
  <c r="AG196" i="10"/>
  <c r="AG197" i="10"/>
  <c r="AG198" i="10"/>
  <c r="AG199" i="10"/>
  <c r="AG200" i="10"/>
  <c r="AG201" i="10"/>
  <c r="AG202" i="10"/>
  <c r="AG203" i="10"/>
  <c r="AG204" i="10"/>
  <c r="AG205" i="10"/>
  <c r="AG206" i="10"/>
  <c r="AG207" i="10"/>
  <c r="AG208" i="10"/>
  <c r="AG209" i="10"/>
  <c r="AG210" i="10"/>
  <c r="AG211" i="10"/>
  <c r="AG212" i="10"/>
  <c r="AG213" i="10"/>
  <c r="AG214" i="10"/>
  <c r="AG215" i="10"/>
  <c r="AG216" i="10"/>
  <c r="AG217" i="10"/>
  <c r="AG218" i="10"/>
  <c r="AG219" i="10"/>
  <c r="AG220" i="10"/>
  <c r="AG221" i="10"/>
  <c r="AG222" i="10"/>
  <c r="AG223" i="10"/>
  <c r="AG224" i="10"/>
  <c r="AG225" i="10"/>
  <c r="AG226" i="10"/>
  <c r="AG227" i="10"/>
  <c r="AG228" i="10"/>
  <c r="AG229" i="10"/>
  <c r="AG230" i="10"/>
  <c r="AG231" i="10"/>
  <c r="AG232" i="10"/>
  <c r="AG233" i="10"/>
  <c r="AG234" i="10"/>
  <c r="AG235" i="10"/>
  <c r="AG236" i="10"/>
  <c r="AG237" i="10"/>
  <c r="AG238" i="10"/>
  <c r="AG239" i="10"/>
  <c r="AG240" i="10"/>
  <c r="AG241" i="10"/>
  <c r="AG242" i="10"/>
  <c r="AG243" i="10"/>
  <c r="AG244" i="10"/>
  <c r="AG245" i="10"/>
  <c r="AG246" i="10"/>
  <c r="AG247" i="10"/>
  <c r="AG248" i="10"/>
  <c r="AG249" i="10"/>
  <c r="AG250" i="10"/>
  <c r="AG251" i="10"/>
  <c r="AG252" i="10"/>
  <c r="AG253" i="10"/>
  <c r="AG254" i="10"/>
  <c r="AG255" i="10"/>
  <c r="AG256" i="10"/>
  <c r="AG257" i="10"/>
  <c r="AG258" i="10"/>
  <c r="AG259" i="10"/>
  <c r="AG260" i="10"/>
  <c r="AG261" i="10"/>
  <c r="AG262" i="10"/>
  <c r="AG263" i="10"/>
  <c r="AG264" i="10"/>
  <c r="AG265" i="10"/>
  <c r="AG266" i="10"/>
  <c r="AG267" i="10"/>
  <c r="AG268" i="10"/>
  <c r="AG269" i="10"/>
  <c r="AG270" i="10"/>
  <c r="AG271" i="10"/>
  <c r="AG272" i="10"/>
  <c r="AG273" i="10"/>
  <c r="AG274" i="10"/>
  <c r="AG275" i="10"/>
  <c r="AG276" i="10"/>
  <c r="AG277" i="10"/>
  <c r="AG278" i="10"/>
  <c r="AG279" i="10"/>
  <c r="AG280" i="10"/>
  <c r="AG281" i="10"/>
  <c r="AG282" i="10"/>
  <c r="AG283" i="10"/>
  <c r="AG284" i="10"/>
  <c r="AG285" i="10"/>
  <c r="AG286" i="10"/>
  <c r="AG287" i="10"/>
  <c r="AG288" i="10"/>
  <c r="AG289" i="10"/>
  <c r="AG290" i="10"/>
  <c r="AG291" i="10"/>
  <c r="AG292" i="10"/>
  <c r="AG293" i="10"/>
  <c r="AG294" i="10"/>
  <c r="AG295" i="10"/>
  <c r="AG296" i="10"/>
  <c r="AG297" i="10"/>
  <c r="AG298" i="10"/>
  <c r="AG299" i="10"/>
  <c r="AG300" i="10"/>
  <c r="AG301" i="10"/>
  <c r="AG302" i="10"/>
  <c r="AG303" i="10"/>
  <c r="AG304" i="10"/>
  <c r="AG305" i="10"/>
  <c r="AG306" i="10"/>
  <c r="AG307" i="10"/>
  <c r="AG308" i="10"/>
  <c r="AG309" i="10"/>
  <c r="AG310" i="10"/>
  <c r="AG311" i="10"/>
  <c r="AG312" i="10"/>
  <c r="AG313" i="10"/>
  <c r="AG314" i="10"/>
  <c r="AG315" i="10"/>
  <c r="AG316" i="10"/>
  <c r="AG317" i="10"/>
  <c r="AG318" i="10"/>
  <c r="AG319" i="10"/>
  <c r="AG320" i="10"/>
  <c r="AG321" i="10"/>
  <c r="AG322" i="10"/>
  <c r="AG323" i="10"/>
  <c r="AG324" i="10"/>
  <c r="AG325" i="10"/>
  <c r="AG326" i="10"/>
  <c r="AG327" i="10"/>
  <c r="AG328" i="10"/>
  <c r="AG329" i="10"/>
  <c r="AG330" i="10"/>
  <c r="AG331" i="10"/>
  <c r="AG332" i="10"/>
  <c r="AG333" i="10"/>
  <c r="AG334" i="10"/>
  <c r="AG335" i="10"/>
  <c r="AG336" i="10"/>
  <c r="AG337" i="10"/>
  <c r="AG338" i="10"/>
  <c r="AG339" i="10"/>
  <c r="AG340" i="10"/>
  <c r="AG341" i="10"/>
  <c r="AG342" i="10"/>
  <c r="AG343" i="10"/>
  <c r="AG344" i="10"/>
  <c r="AG345" i="10"/>
  <c r="AG346" i="10"/>
  <c r="AG347" i="10"/>
  <c r="AG348" i="10"/>
  <c r="AG349" i="10"/>
  <c r="AG350" i="10"/>
  <c r="AG351" i="10"/>
  <c r="AG352" i="10"/>
  <c r="AG353" i="10"/>
  <c r="AG354" i="10"/>
  <c r="AG355" i="10"/>
  <c r="AG356" i="10"/>
  <c r="AG357" i="10"/>
  <c r="AG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7" i="10"/>
  <c r="B464" i="17" l="1"/>
  <c r="H463" i="17"/>
  <c r="B465" i="17" l="1"/>
  <c r="H464" i="17"/>
  <c r="B466" i="17" l="1"/>
  <c r="H465" i="17"/>
  <c r="F10" i="8"/>
  <c r="B467" i="17" l="1"/>
  <c r="H466" i="17"/>
  <c r="B468" i="17" l="1"/>
  <c r="H467" i="17"/>
  <c r="Q9" i="13"/>
  <c r="Q11" i="13"/>
  <c r="Q13" i="13"/>
  <c r="Q18" i="13"/>
  <c r="Q19" i="13"/>
  <c r="Q20" i="13"/>
  <c r="Q22" i="13"/>
  <c r="Q26" i="13"/>
  <c r="Q28" i="13"/>
  <c r="Q29" i="13"/>
  <c r="Q35" i="13"/>
  <c r="Q36" i="13"/>
  <c r="Q39" i="13"/>
  <c r="Q40" i="13"/>
  <c r="Q41" i="13"/>
  <c r="Q44" i="13"/>
  <c r="Q46" i="13"/>
  <c r="Q49" i="13"/>
  <c r="Q54" i="13"/>
  <c r="Q60" i="13"/>
  <c r="Q61" i="13"/>
  <c r="Q62" i="13"/>
  <c r="Q65" i="13"/>
  <c r="Q66" i="13"/>
  <c r="Q67" i="13"/>
  <c r="Q69" i="13"/>
  <c r="Q73" i="13"/>
  <c r="Q76" i="13"/>
  <c r="Q77" i="13"/>
  <c r="Q82" i="13"/>
  <c r="Q83" i="13"/>
  <c r="Q87" i="13"/>
  <c r="Q88" i="13"/>
  <c r="Q91" i="13"/>
  <c r="Q97" i="13"/>
  <c r="Q99" i="13"/>
  <c r="Q109" i="13"/>
  <c r="Q111" i="13"/>
  <c r="Q113" i="13"/>
  <c r="Q115" i="13"/>
  <c r="Q116" i="13"/>
  <c r="Q119" i="13"/>
  <c r="Q120" i="13"/>
  <c r="Q122" i="13"/>
  <c r="Q123" i="13"/>
  <c r="Q126" i="13"/>
  <c r="Q127" i="13"/>
  <c r="Q130" i="13"/>
  <c r="Q131" i="13"/>
  <c r="Q133" i="13"/>
  <c r="Q136" i="13"/>
  <c r="Q137" i="13"/>
  <c r="Q139" i="13"/>
  <c r="Q141" i="13"/>
  <c r="Q147" i="13"/>
  <c r="Q150" i="13"/>
  <c r="Q153" i="13"/>
  <c r="Q154" i="13"/>
  <c r="Q155" i="13"/>
  <c r="Q163" i="13"/>
  <c r="Q173" i="13"/>
  <c r="Q186" i="13"/>
  <c r="Q187" i="13"/>
  <c r="Q190" i="13"/>
  <c r="Q195" i="13"/>
  <c r="Q197" i="13"/>
  <c r="Q199" i="13"/>
  <c r="Q200" i="13"/>
  <c r="Q201" i="13"/>
  <c r="Q202" i="13"/>
  <c r="Q207" i="13"/>
  <c r="Q209" i="13"/>
  <c r="Q210" i="13"/>
  <c r="Q212" i="13"/>
  <c r="Q213" i="13"/>
  <c r="Q223" i="13"/>
  <c r="Q229" i="13"/>
  <c r="Q232" i="13"/>
  <c r="Q235" i="13"/>
  <c r="Q239" i="13"/>
  <c r="Q240" i="13"/>
  <c r="Q242" i="13"/>
  <c r="Q244" i="13"/>
  <c r="Q248" i="13"/>
  <c r="Q252" i="13"/>
  <c r="Q254" i="13"/>
  <c r="Q261" i="13"/>
  <c r="Q262" i="13"/>
  <c r="Q263" i="13"/>
  <c r="Q264" i="13"/>
  <c r="Q266" i="13"/>
  <c r="Q267" i="13"/>
  <c r="Q274" i="13"/>
  <c r="Q275" i="13"/>
  <c r="Q277" i="13"/>
  <c r="Q286" i="13"/>
  <c r="Q287" i="13"/>
  <c r="Q289" i="13"/>
  <c r="Q290" i="13"/>
  <c r="Q293" i="13"/>
  <c r="Q301" i="13"/>
  <c r="Q304" i="13"/>
  <c r="Q306" i="13"/>
  <c r="Q309" i="13"/>
  <c r="Q310" i="13"/>
  <c r="Q318" i="13"/>
  <c r="Q320" i="13"/>
  <c r="Q326" i="13"/>
  <c r="Q327" i="13"/>
  <c r="Q331" i="13"/>
  <c r="Q335" i="13"/>
  <c r="Q336" i="13"/>
  <c r="Q340" i="13"/>
  <c r="Q341" i="13"/>
  <c r="Q345" i="13"/>
  <c r="Q346" i="13"/>
  <c r="Q348" i="13"/>
  <c r="Q352" i="13"/>
  <c r="Q358" i="13"/>
  <c r="B469" i="17" l="1"/>
  <c r="H468" i="17"/>
  <c r="AM8" i="13"/>
  <c r="AN8" i="13"/>
  <c r="AO8" i="13"/>
  <c r="AM9" i="13"/>
  <c r="AN9" i="13"/>
  <c r="AO9" i="13"/>
  <c r="AM10" i="13"/>
  <c r="AN10" i="13"/>
  <c r="AO10" i="13"/>
  <c r="AM11" i="13"/>
  <c r="AN11" i="13"/>
  <c r="AO11" i="13"/>
  <c r="AM12" i="13"/>
  <c r="AN12" i="13"/>
  <c r="AO12" i="13"/>
  <c r="AM13" i="13"/>
  <c r="AN13" i="13"/>
  <c r="AO13" i="13"/>
  <c r="AM14" i="13"/>
  <c r="AN14" i="13"/>
  <c r="AO14" i="13"/>
  <c r="AM15" i="13"/>
  <c r="AN15" i="13"/>
  <c r="AO15" i="13"/>
  <c r="AM16" i="13"/>
  <c r="AN16" i="13"/>
  <c r="AO16" i="13"/>
  <c r="AM17" i="13"/>
  <c r="AN17" i="13"/>
  <c r="AO17" i="13"/>
  <c r="AM18" i="13"/>
  <c r="AN18" i="13"/>
  <c r="AO18" i="13"/>
  <c r="AM19" i="13"/>
  <c r="AN19" i="13"/>
  <c r="AO19" i="13"/>
  <c r="AM20" i="13"/>
  <c r="AN20" i="13"/>
  <c r="AO20" i="13"/>
  <c r="AM21" i="13"/>
  <c r="AN21" i="13"/>
  <c r="AO21" i="13"/>
  <c r="AM22" i="13"/>
  <c r="AN22" i="13"/>
  <c r="AO22" i="13"/>
  <c r="AM23" i="13"/>
  <c r="AN23" i="13"/>
  <c r="AO23" i="13"/>
  <c r="AM24" i="13"/>
  <c r="AN24" i="13"/>
  <c r="AO24" i="13"/>
  <c r="AM25" i="13"/>
  <c r="AN25" i="13"/>
  <c r="AO25" i="13"/>
  <c r="AM26" i="13"/>
  <c r="AN26" i="13"/>
  <c r="AO26" i="13"/>
  <c r="AM27" i="13"/>
  <c r="AN27" i="13"/>
  <c r="AO27" i="13"/>
  <c r="AM28" i="13"/>
  <c r="AN28" i="13"/>
  <c r="AO28" i="13"/>
  <c r="AM29" i="13"/>
  <c r="AN29" i="13"/>
  <c r="AO29" i="13"/>
  <c r="AM30" i="13"/>
  <c r="AN30" i="13"/>
  <c r="AO30" i="13"/>
  <c r="AM31" i="13"/>
  <c r="AN31" i="13"/>
  <c r="AO31" i="13"/>
  <c r="AM32" i="13"/>
  <c r="AN32" i="13"/>
  <c r="AO32" i="13"/>
  <c r="AM33" i="13"/>
  <c r="AN33" i="13"/>
  <c r="AO33" i="13"/>
  <c r="AM34" i="13"/>
  <c r="AN34" i="13"/>
  <c r="AO34" i="13"/>
  <c r="AM35" i="13"/>
  <c r="AN35" i="13"/>
  <c r="AO35" i="13"/>
  <c r="AM36" i="13"/>
  <c r="AN36" i="13"/>
  <c r="AO36" i="13"/>
  <c r="AM37" i="13"/>
  <c r="AN37" i="13"/>
  <c r="AO37" i="13"/>
  <c r="AM38" i="13"/>
  <c r="AN38" i="13"/>
  <c r="AO38" i="13"/>
  <c r="AM39" i="13"/>
  <c r="AN39" i="13"/>
  <c r="AO39" i="13"/>
  <c r="AM40" i="13"/>
  <c r="AN40" i="13"/>
  <c r="AO40" i="13"/>
  <c r="AM41" i="13"/>
  <c r="AN41" i="13"/>
  <c r="AO41" i="13"/>
  <c r="AM42" i="13"/>
  <c r="AN42" i="13"/>
  <c r="AO42" i="13"/>
  <c r="AM43" i="13"/>
  <c r="AN43" i="13"/>
  <c r="AO43" i="13"/>
  <c r="AM44" i="13"/>
  <c r="AN44" i="13"/>
  <c r="AO44" i="13"/>
  <c r="AM45" i="13"/>
  <c r="AN45" i="13"/>
  <c r="AO45" i="13"/>
  <c r="AM46" i="13"/>
  <c r="AN46" i="13"/>
  <c r="AO46" i="13"/>
  <c r="AM47" i="13"/>
  <c r="AN47" i="13"/>
  <c r="AO47" i="13"/>
  <c r="AM48" i="13"/>
  <c r="AN48" i="13"/>
  <c r="AO48" i="13"/>
  <c r="AM49" i="13"/>
  <c r="AN49" i="13"/>
  <c r="AO49" i="13"/>
  <c r="AM50" i="13"/>
  <c r="AN50" i="13"/>
  <c r="AO50" i="13"/>
  <c r="AM51" i="13"/>
  <c r="AN51" i="13"/>
  <c r="AO51" i="13"/>
  <c r="AM52" i="13"/>
  <c r="AN52" i="13"/>
  <c r="AO52" i="13"/>
  <c r="AM53" i="13"/>
  <c r="AN53" i="13"/>
  <c r="AO53" i="13"/>
  <c r="AM54" i="13"/>
  <c r="AN54" i="13"/>
  <c r="AO54" i="13"/>
  <c r="AM55" i="13"/>
  <c r="AN55" i="13"/>
  <c r="AO55" i="13"/>
  <c r="AM56" i="13"/>
  <c r="AN56" i="13"/>
  <c r="AO56" i="13"/>
  <c r="AM57" i="13"/>
  <c r="AN57" i="13"/>
  <c r="AO57" i="13"/>
  <c r="AM58" i="13"/>
  <c r="AN58" i="13"/>
  <c r="AO58" i="13"/>
  <c r="AM59" i="13"/>
  <c r="AN59" i="13"/>
  <c r="AO59" i="13"/>
  <c r="AM60" i="13"/>
  <c r="AN60" i="13"/>
  <c r="AO60" i="13"/>
  <c r="AM61" i="13"/>
  <c r="AN61" i="13"/>
  <c r="AO61" i="13"/>
  <c r="AM62" i="13"/>
  <c r="AN62" i="13"/>
  <c r="AO62" i="13"/>
  <c r="AM63" i="13"/>
  <c r="AN63" i="13"/>
  <c r="AO63" i="13"/>
  <c r="AM64" i="13"/>
  <c r="AN64" i="13"/>
  <c r="AO64" i="13"/>
  <c r="AM65" i="13"/>
  <c r="AN65" i="13"/>
  <c r="AO65" i="13"/>
  <c r="AM66" i="13"/>
  <c r="AN66" i="13"/>
  <c r="AO66" i="13"/>
  <c r="AM67" i="13"/>
  <c r="AN67" i="13"/>
  <c r="AO67" i="13"/>
  <c r="AM68" i="13"/>
  <c r="AN68" i="13"/>
  <c r="AO68" i="13"/>
  <c r="AM69" i="13"/>
  <c r="AN69" i="13"/>
  <c r="AO69" i="13"/>
  <c r="AM70" i="13"/>
  <c r="AN70" i="13"/>
  <c r="AO70" i="13"/>
  <c r="AM71" i="13"/>
  <c r="AN71" i="13"/>
  <c r="AO71" i="13"/>
  <c r="AM72" i="13"/>
  <c r="AN72" i="13"/>
  <c r="AO72" i="13"/>
  <c r="AM73" i="13"/>
  <c r="AN73" i="13"/>
  <c r="AO73" i="13"/>
  <c r="AM74" i="13"/>
  <c r="AN74" i="13"/>
  <c r="AO74" i="13"/>
  <c r="AM75" i="13"/>
  <c r="AN75" i="13"/>
  <c r="AO75" i="13"/>
  <c r="AM76" i="13"/>
  <c r="AN76" i="13"/>
  <c r="AO76" i="13"/>
  <c r="AM77" i="13"/>
  <c r="AN77" i="13"/>
  <c r="AO77" i="13"/>
  <c r="AM78" i="13"/>
  <c r="AN78" i="13"/>
  <c r="AO78" i="13"/>
  <c r="AM79" i="13"/>
  <c r="AN79" i="13"/>
  <c r="AO79" i="13"/>
  <c r="AM80" i="13"/>
  <c r="AN80" i="13"/>
  <c r="AO80" i="13"/>
  <c r="AM81" i="13"/>
  <c r="AN81" i="13"/>
  <c r="AO81" i="13"/>
  <c r="AM82" i="13"/>
  <c r="AN82" i="13"/>
  <c r="AO82" i="13"/>
  <c r="AM83" i="13"/>
  <c r="AN83" i="13"/>
  <c r="AO83" i="13"/>
  <c r="AM84" i="13"/>
  <c r="AN84" i="13"/>
  <c r="AO84" i="13"/>
  <c r="AM85" i="13"/>
  <c r="AN85" i="13"/>
  <c r="AO85" i="13"/>
  <c r="AM86" i="13"/>
  <c r="AN86" i="13"/>
  <c r="AO86" i="13"/>
  <c r="AM87" i="13"/>
  <c r="AN87" i="13"/>
  <c r="AO87" i="13"/>
  <c r="AM88" i="13"/>
  <c r="AN88" i="13"/>
  <c r="AO88" i="13"/>
  <c r="AM89" i="13"/>
  <c r="AN89" i="13"/>
  <c r="AO89" i="13"/>
  <c r="AM90" i="13"/>
  <c r="AN90" i="13"/>
  <c r="AO90" i="13"/>
  <c r="AM91" i="13"/>
  <c r="AN91" i="13"/>
  <c r="AO91" i="13"/>
  <c r="AM92" i="13"/>
  <c r="AN92" i="13"/>
  <c r="AO92" i="13"/>
  <c r="AM93" i="13"/>
  <c r="AN93" i="13"/>
  <c r="AO93" i="13"/>
  <c r="AM94" i="13"/>
  <c r="AN94" i="13"/>
  <c r="AO94" i="13"/>
  <c r="AM95" i="13"/>
  <c r="AN95" i="13"/>
  <c r="AO95" i="13"/>
  <c r="AM96" i="13"/>
  <c r="AN96" i="13"/>
  <c r="AO96" i="13"/>
  <c r="AM97" i="13"/>
  <c r="AN97" i="13"/>
  <c r="AO97" i="13"/>
  <c r="AM98" i="13"/>
  <c r="AN98" i="13"/>
  <c r="AO98" i="13"/>
  <c r="AM99" i="13"/>
  <c r="AN99" i="13"/>
  <c r="AO99" i="13"/>
  <c r="AM100" i="13"/>
  <c r="AN100" i="13"/>
  <c r="AO100" i="13"/>
  <c r="AM101" i="13"/>
  <c r="AN101" i="13"/>
  <c r="AO101" i="13"/>
  <c r="AM102" i="13"/>
  <c r="AN102" i="13"/>
  <c r="AO102" i="13"/>
  <c r="AM103" i="13"/>
  <c r="AN103" i="13"/>
  <c r="AO103" i="13"/>
  <c r="AM104" i="13"/>
  <c r="AN104" i="13"/>
  <c r="AO104" i="13"/>
  <c r="AM105" i="13"/>
  <c r="AN105" i="13"/>
  <c r="AO105" i="13"/>
  <c r="AM106" i="13"/>
  <c r="AN106" i="13"/>
  <c r="AO106" i="13"/>
  <c r="AM107" i="13"/>
  <c r="AN107" i="13"/>
  <c r="AO107" i="13"/>
  <c r="AM108" i="13"/>
  <c r="AN108" i="13"/>
  <c r="AO108" i="13"/>
  <c r="AM109" i="13"/>
  <c r="AN109" i="13"/>
  <c r="AO109" i="13"/>
  <c r="AM110" i="13"/>
  <c r="AN110" i="13"/>
  <c r="AO110" i="13"/>
  <c r="AM111" i="13"/>
  <c r="AN111" i="13"/>
  <c r="AO111" i="13"/>
  <c r="AM112" i="13"/>
  <c r="AN112" i="13"/>
  <c r="AO112" i="13"/>
  <c r="AM113" i="13"/>
  <c r="AN113" i="13"/>
  <c r="AO113" i="13"/>
  <c r="AM114" i="13"/>
  <c r="AN114" i="13"/>
  <c r="AO114" i="13"/>
  <c r="AM115" i="13"/>
  <c r="AN115" i="13"/>
  <c r="AO115" i="13"/>
  <c r="AM116" i="13"/>
  <c r="AN116" i="13"/>
  <c r="AO116" i="13"/>
  <c r="AM117" i="13"/>
  <c r="AN117" i="13"/>
  <c r="AO117" i="13"/>
  <c r="AM118" i="13"/>
  <c r="AN118" i="13"/>
  <c r="AO118" i="13"/>
  <c r="AM119" i="13"/>
  <c r="AN119" i="13"/>
  <c r="AO119" i="13"/>
  <c r="AM120" i="13"/>
  <c r="AN120" i="13"/>
  <c r="AO120" i="13"/>
  <c r="AM121" i="13"/>
  <c r="AN121" i="13"/>
  <c r="AO121" i="13"/>
  <c r="AM122" i="13"/>
  <c r="AN122" i="13"/>
  <c r="AO122" i="13"/>
  <c r="AM123" i="13"/>
  <c r="AN123" i="13"/>
  <c r="AO123" i="13"/>
  <c r="AM124" i="13"/>
  <c r="AN124" i="13"/>
  <c r="AO124" i="13"/>
  <c r="AM125" i="13"/>
  <c r="AN125" i="13"/>
  <c r="AO125" i="13"/>
  <c r="AM126" i="13"/>
  <c r="AN126" i="13"/>
  <c r="AO126" i="13"/>
  <c r="AM127" i="13"/>
  <c r="AN127" i="13"/>
  <c r="AO127" i="13"/>
  <c r="AM128" i="13"/>
  <c r="AN128" i="13"/>
  <c r="AO128" i="13"/>
  <c r="AM129" i="13"/>
  <c r="AN129" i="13"/>
  <c r="AO129" i="13"/>
  <c r="AM130" i="13"/>
  <c r="AN130" i="13"/>
  <c r="AO130" i="13"/>
  <c r="AM131" i="13"/>
  <c r="AN131" i="13"/>
  <c r="AO131" i="13"/>
  <c r="AM132" i="13"/>
  <c r="AN132" i="13"/>
  <c r="AO132" i="13"/>
  <c r="AM133" i="13"/>
  <c r="AN133" i="13"/>
  <c r="AO133" i="13"/>
  <c r="AM134" i="13"/>
  <c r="AN134" i="13"/>
  <c r="AO134" i="13"/>
  <c r="AM135" i="13"/>
  <c r="AN135" i="13"/>
  <c r="AO135" i="13"/>
  <c r="AM136" i="13"/>
  <c r="AN136" i="13"/>
  <c r="AO136" i="13"/>
  <c r="AM137" i="13"/>
  <c r="AN137" i="13"/>
  <c r="AO137" i="13"/>
  <c r="AM138" i="13"/>
  <c r="AN138" i="13"/>
  <c r="AO138" i="13"/>
  <c r="AM139" i="13"/>
  <c r="AN139" i="13"/>
  <c r="AO139" i="13"/>
  <c r="AM140" i="13"/>
  <c r="AN140" i="13"/>
  <c r="AO140" i="13"/>
  <c r="AM141" i="13"/>
  <c r="AN141" i="13"/>
  <c r="AO141" i="13"/>
  <c r="AM142" i="13"/>
  <c r="AN142" i="13"/>
  <c r="AO142" i="13"/>
  <c r="AM143" i="13"/>
  <c r="AN143" i="13"/>
  <c r="AO143" i="13"/>
  <c r="AM144" i="13"/>
  <c r="AN144" i="13"/>
  <c r="AO144" i="13"/>
  <c r="AM145" i="13"/>
  <c r="AN145" i="13"/>
  <c r="AO145" i="13"/>
  <c r="AM146" i="13"/>
  <c r="AN146" i="13"/>
  <c r="AO146" i="13"/>
  <c r="AM147" i="13"/>
  <c r="AN147" i="13"/>
  <c r="AO147" i="13"/>
  <c r="AM148" i="13"/>
  <c r="AN148" i="13"/>
  <c r="AO148" i="13"/>
  <c r="AM149" i="13"/>
  <c r="AN149" i="13"/>
  <c r="AO149" i="13"/>
  <c r="AM150" i="13"/>
  <c r="AN150" i="13"/>
  <c r="AO150" i="13"/>
  <c r="AM151" i="13"/>
  <c r="AN151" i="13"/>
  <c r="AO151" i="13"/>
  <c r="AM152" i="13"/>
  <c r="AN152" i="13"/>
  <c r="AO152" i="13"/>
  <c r="AM153" i="13"/>
  <c r="AN153" i="13"/>
  <c r="AO153" i="13"/>
  <c r="AM154" i="13"/>
  <c r="AN154" i="13"/>
  <c r="AO154" i="13"/>
  <c r="AM155" i="13"/>
  <c r="AN155" i="13"/>
  <c r="AO155" i="13"/>
  <c r="AM156" i="13"/>
  <c r="AN156" i="13"/>
  <c r="AO156" i="13"/>
  <c r="AM157" i="13"/>
  <c r="AN157" i="13"/>
  <c r="AO157" i="13"/>
  <c r="AM158" i="13"/>
  <c r="AN158" i="13"/>
  <c r="AO158" i="13"/>
  <c r="AM159" i="13"/>
  <c r="AN159" i="13"/>
  <c r="AO159" i="13"/>
  <c r="AM160" i="13"/>
  <c r="AN160" i="13"/>
  <c r="AO160" i="13"/>
  <c r="AM161" i="13"/>
  <c r="AN161" i="13"/>
  <c r="AO161" i="13"/>
  <c r="AM162" i="13"/>
  <c r="AN162" i="13"/>
  <c r="AO162" i="13"/>
  <c r="AM163" i="13"/>
  <c r="AN163" i="13"/>
  <c r="AO163" i="13"/>
  <c r="AM164" i="13"/>
  <c r="AN164" i="13"/>
  <c r="AO164" i="13"/>
  <c r="AM165" i="13"/>
  <c r="AN165" i="13"/>
  <c r="AO165" i="13"/>
  <c r="AM166" i="13"/>
  <c r="AN166" i="13"/>
  <c r="AO166" i="13"/>
  <c r="AM167" i="13"/>
  <c r="AN167" i="13"/>
  <c r="AO167" i="13"/>
  <c r="AM168" i="13"/>
  <c r="AN168" i="13"/>
  <c r="AO168" i="13"/>
  <c r="AM169" i="13"/>
  <c r="AN169" i="13"/>
  <c r="AO169" i="13"/>
  <c r="AM170" i="13"/>
  <c r="AN170" i="13"/>
  <c r="AO170" i="13"/>
  <c r="AM171" i="13"/>
  <c r="AN171" i="13"/>
  <c r="AO171" i="13"/>
  <c r="AM172" i="13"/>
  <c r="AN172" i="13"/>
  <c r="AO172" i="13"/>
  <c r="AM173" i="13"/>
  <c r="AN173" i="13"/>
  <c r="AO173" i="13"/>
  <c r="AM174" i="13"/>
  <c r="AN174" i="13"/>
  <c r="AO174" i="13"/>
  <c r="AM175" i="13"/>
  <c r="AN175" i="13"/>
  <c r="AO175" i="13"/>
  <c r="AM176" i="13"/>
  <c r="AN176" i="13"/>
  <c r="AO176" i="13"/>
  <c r="AM177" i="13"/>
  <c r="AN177" i="13"/>
  <c r="AO177" i="13"/>
  <c r="AM178" i="13"/>
  <c r="AN178" i="13"/>
  <c r="AO178" i="13"/>
  <c r="AM179" i="13"/>
  <c r="AN179" i="13"/>
  <c r="AO179" i="13"/>
  <c r="AM180" i="13"/>
  <c r="AN180" i="13"/>
  <c r="AO180" i="13"/>
  <c r="AM181" i="13"/>
  <c r="AN181" i="13"/>
  <c r="AO181" i="13"/>
  <c r="AM182" i="13"/>
  <c r="AN182" i="13"/>
  <c r="AO182" i="13"/>
  <c r="AM183" i="13"/>
  <c r="AN183" i="13"/>
  <c r="AO183" i="13"/>
  <c r="AM184" i="13"/>
  <c r="AN184" i="13"/>
  <c r="AO184" i="13"/>
  <c r="AM185" i="13"/>
  <c r="AN185" i="13"/>
  <c r="AO185" i="13"/>
  <c r="AM186" i="13"/>
  <c r="AN186" i="13"/>
  <c r="AO186" i="13"/>
  <c r="AM187" i="13"/>
  <c r="AN187" i="13"/>
  <c r="AO187" i="13"/>
  <c r="AM188" i="13"/>
  <c r="AN188" i="13"/>
  <c r="AO188" i="13"/>
  <c r="AM189" i="13"/>
  <c r="AN189" i="13"/>
  <c r="AO189" i="13"/>
  <c r="AM190" i="13"/>
  <c r="AN190" i="13"/>
  <c r="AO190" i="13"/>
  <c r="AM191" i="13"/>
  <c r="AN191" i="13"/>
  <c r="AO191" i="13"/>
  <c r="AM192" i="13"/>
  <c r="AN192" i="13"/>
  <c r="AO192" i="13"/>
  <c r="AM193" i="13"/>
  <c r="AN193" i="13"/>
  <c r="AO193" i="13"/>
  <c r="AM194" i="13"/>
  <c r="AN194" i="13"/>
  <c r="AO194" i="13"/>
  <c r="AM195" i="13"/>
  <c r="AN195" i="13"/>
  <c r="AO195" i="13"/>
  <c r="AM196" i="13"/>
  <c r="AN196" i="13"/>
  <c r="AO196" i="13"/>
  <c r="AM197" i="13"/>
  <c r="AN197" i="13"/>
  <c r="AO197" i="13"/>
  <c r="AM198" i="13"/>
  <c r="AN198" i="13"/>
  <c r="AO198" i="13"/>
  <c r="AM199" i="13"/>
  <c r="AN199" i="13"/>
  <c r="AO199" i="13"/>
  <c r="AM200" i="13"/>
  <c r="AN200" i="13"/>
  <c r="AO200" i="13"/>
  <c r="AM201" i="13"/>
  <c r="AN201" i="13"/>
  <c r="AO201" i="13"/>
  <c r="AM202" i="13"/>
  <c r="AN202" i="13"/>
  <c r="AO202" i="13"/>
  <c r="AM203" i="13"/>
  <c r="AN203" i="13"/>
  <c r="AO203" i="13"/>
  <c r="AM204" i="13"/>
  <c r="AN204" i="13"/>
  <c r="AO204" i="13"/>
  <c r="AM205" i="13"/>
  <c r="AN205" i="13"/>
  <c r="AO205" i="13"/>
  <c r="AM206" i="13"/>
  <c r="AN206" i="13"/>
  <c r="AO206" i="13"/>
  <c r="AM207" i="13"/>
  <c r="AN207" i="13"/>
  <c r="AO207" i="13"/>
  <c r="AM208" i="13"/>
  <c r="AN208" i="13"/>
  <c r="AO208" i="13"/>
  <c r="AM209" i="13"/>
  <c r="AN209" i="13"/>
  <c r="AO209" i="13"/>
  <c r="AM210" i="13"/>
  <c r="AN210" i="13"/>
  <c r="AO210" i="13"/>
  <c r="AM211" i="13"/>
  <c r="AN211" i="13"/>
  <c r="AO211" i="13"/>
  <c r="AM212" i="13"/>
  <c r="AN212" i="13"/>
  <c r="AO212" i="13"/>
  <c r="AM213" i="13"/>
  <c r="AN213" i="13"/>
  <c r="AO213" i="13"/>
  <c r="AM214" i="13"/>
  <c r="AN214" i="13"/>
  <c r="AO214" i="13"/>
  <c r="AM215" i="13"/>
  <c r="AN215" i="13"/>
  <c r="AO215" i="13"/>
  <c r="AM216" i="13"/>
  <c r="AN216" i="13"/>
  <c r="AO216" i="13"/>
  <c r="AM217" i="13"/>
  <c r="AN217" i="13"/>
  <c r="AO217" i="13"/>
  <c r="AM218" i="13"/>
  <c r="AN218" i="13"/>
  <c r="AO218" i="13"/>
  <c r="AM219" i="13"/>
  <c r="AN219" i="13"/>
  <c r="AO219" i="13"/>
  <c r="AM220" i="13"/>
  <c r="AN220" i="13"/>
  <c r="AO220" i="13"/>
  <c r="AM221" i="13"/>
  <c r="AN221" i="13"/>
  <c r="AO221" i="13"/>
  <c r="AM222" i="13"/>
  <c r="AN222" i="13"/>
  <c r="AO222" i="13"/>
  <c r="AM223" i="13"/>
  <c r="AN223" i="13"/>
  <c r="AO223" i="13"/>
  <c r="AM224" i="13"/>
  <c r="AN224" i="13"/>
  <c r="AO224" i="13"/>
  <c r="AM225" i="13"/>
  <c r="AN225" i="13"/>
  <c r="AO225" i="13"/>
  <c r="AM226" i="13"/>
  <c r="AN226" i="13"/>
  <c r="AO226" i="13"/>
  <c r="AM227" i="13"/>
  <c r="AN227" i="13"/>
  <c r="AO227" i="13"/>
  <c r="AM228" i="13"/>
  <c r="AN228" i="13"/>
  <c r="AO228" i="13"/>
  <c r="AM229" i="13"/>
  <c r="AN229" i="13"/>
  <c r="AO229" i="13"/>
  <c r="AM230" i="13"/>
  <c r="AN230" i="13"/>
  <c r="AO230" i="13"/>
  <c r="AM231" i="13"/>
  <c r="AN231" i="13"/>
  <c r="AO231" i="13"/>
  <c r="AM232" i="13"/>
  <c r="AN232" i="13"/>
  <c r="AO232" i="13"/>
  <c r="AM233" i="13"/>
  <c r="AN233" i="13"/>
  <c r="AO233" i="13"/>
  <c r="AM234" i="13"/>
  <c r="AN234" i="13"/>
  <c r="AO234" i="13"/>
  <c r="AM235" i="13"/>
  <c r="AN235" i="13"/>
  <c r="AO235" i="13"/>
  <c r="AM236" i="13"/>
  <c r="AN236" i="13"/>
  <c r="AO236" i="13"/>
  <c r="AM237" i="13"/>
  <c r="AN237" i="13"/>
  <c r="AO237" i="13"/>
  <c r="AM238" i="13"/>
  <c r="AN238" i="13"/>
  <c r="AO238" i="13"/>
  <c r="AM239" i="13"/>
  <c r="AN239" i="13"/>
  <c r="AO239" i="13"/>
  <c r="AM240" i="13"/>
  <c r="AN240" i="13"/>
  <c r="AO240" i="13"/>
  <c r="AM241" i="13"/>
  <c r="AN241" i="13"/>
  <c r="AO241" i="13"/>
  <c r="AM242" i="13"/>
  <c r="AN242" i="13"/>
  <c r="AO242" i="13"/>
  <c r="AM243" i="13"/>
  <c r="AN243" i="13"/>
  <c r="AO243" i="13"/>
  <c r="AM244" i="13"/>
  <c r="AN244" i="13"/>
  <c r="AO244" i="13"/>
  <c r="AM245" i="13"/>
  <c r="AN245" i="13"/>
  <c r="AO245" i="13"/>
  <c r="AM246" i="13"/>
  <c r="AN246" i="13"/>
  <c r="AO246" i="13"/>
  <c r="AM247" i="13"/>
  <c r="AN247" i="13"/>
  <c r="AO247" i="13"/>
  <c r="AM248" i="13"/>
  <c r="AN248" i="13"/>
  <c r="AO248" i="13"/>
  <c r="AM249" i="13"/>
  <c r="AN249" i="13"/>
  <c r="AO249" i="13"/>
  <c r="AM250" i="13"/>
  <c r="AN250" i="13"/>
  <c r="AO250" i="13"/>
  <c r="AM251" i="13"/>
  <c r="AN251" i="13"/>
  <c r="AO251" i="13"/>
  <c r="AM252" i="13"/>
  <c r="AN252" i="13"/>
  <c r="AO252" i="13"/>
  <c r="AM253" i="13"/>
  <c r="AN253" i="13"/>
  <c r="AO253" i="13"/>
  <c r="AM254" i="13"/>
  <c r="AN254" i="13"/>
  <c r="AO254" i="13"/>
  <c r="AM255" i="13"/>
  <c r="AN255" i="13"/>
  <c r="AO255" i="13"/>
  <c r="AM256" i="13"/>
  <c r="AN256" i="13"/>
  <c r="AO256" i="13"/>
  <c r="AM257" i="13"/>
  <c r="AN257" i="13"/>
  <c r="AO257" i="13"/>
  <c r="AM258" i="13"/>
  <c r="AN258" i="13"/>
  <c r="AO258" i="13"/>
  <c r="AM259" i="13"/>
  <c r="AN259" i="13"/>
  <c r="AO259" i="13"/>
  <c r="AM260" i="13"/>
  <c r="AN260" i="13"/>
  <c r="AO260" i="13"/>
  <c r="AM261" i="13"/>
  <c r="AN261" i="13"/>
  <c r="AO261" i="13"/>
  <c r="AM262" i="13"/>
  <c r="AN262" i="13"/>
  <c r="AO262" i="13"/>
  <c r="AM263" i="13"/>
  <c r="AN263" i="13"/>
  <c r="AO263" i="13"/>
  <c r="AM264" i="13"/>
  <c r="AN264" i="13"/>
  <c r="AO264" i="13"/>
  <c r="AM265" i="13"/>
  <c r="AN265" i="13"/>
  <c r="AO265" i="13"/>
  <c r="AM266" i="13"/>
  <c r="AN266" i="13"/>
  <c r="AO266" i="13"/>
  <c r="AM267" i="13"/>
  <c r="AN267" i="13"/>
  <c r="AO267" i="13"/>
  <c r="AM268" i="13"/>
  <c r="AN268" i="13"/>
  <c r="AO268" i="13"/>
  <c r="AM269" i="13"/>
  <c r="AN269" i="13"/>
  <c r="AO269" i="13"/>
  <c r="AM270" i="13"/>
  <c r="AN270" i="13"/>
  <c r="AO270" i="13"/>
  <c r="AM271" i="13"/>
  <c r="AN271" i="13"/>
  <c r="AO271" i="13"/>
  <c r="AM272" i="13"/>
  <c r="AN272" i="13"/>
  <c r="AO272" i="13"/>
  <c r="AM273" i="13"/>
  <c r="AN273" i="13"/>
  <c r="AO273" i="13"/>
  <c r="AM274" i="13"/>
  <c r="AN274" i="13"/>
  <c r="AO274" i="13"/>
  <c r="AM275" i="13"/>
  <c r="AN275" i="13"/>
  <c r="AO275" i="13"/>
  <c r="AM276" i="13"/>
  <c r="AN276" i="13"/>
  <c r="AO276" i="13"/>
  <c r="AM277" i="13"/>
  <c r="AN277" i="13"/>
  <c r="AO277" i="13"/>
  <c r="AM278" i="13"/>
  <c r="AN278" i="13"/>
  <c r="AO278" i="13"/>
  <c r="AM279" i="13"/>
  <c r="AN279" i="13"/>
  <c r="AO279" i="13"/>
  <c r="AM280" i="13"/>
  <c r="AN280" i="13"/>
  <c r="AO280" i="13"/>
  <c r="AM281" i="13"/>
  <c r="AN281" i="13"/>
  <c r="AO281" i="13"/>
  <c r="AM282" i="13"/>
  <c r="AN282" i="13"/>
  <c r="AO282" i="13"/>
  <c r="AM283" i="13"/>
  <c r="AN283" i="13"/>
  <c r="AO283" i="13"/>
  <c r="AM284" i="13"/>
  <c r="AN284" i="13"/>
  <c r="AO284" i="13"/>
  <c r="AM285" i="13"/>
  <c r="AN285" i="13"/>
  <c r="AO285" i="13"/>
  <c r="AM286" i="13"/>
  <c r="AN286" i="13"/>
  <c r="AO286" i="13"/>
  <c r="AM287" i="13"/>
  <c r="AN287" i="13"/>
  <c r="AO287" i="13"/>
  <c r="AM288" i="13"/>
  <c r="AN288" i="13"/>
  <c r="AO288" i="13"/>
  <c r="AM289" i="13"/>
  <c r="AN289" i="13"/>
  <c r="AO289" i="13"/>
  <c r="AM290" i="13"/>
  <c r="AN290" i="13"/>
  <c r="AO290" i="13"/>
  <c r="AM291" i="13"/>
  <c r="AN291" i="13"/>
  <c r="AO291" i="13"/>
  <c r="AM292" i="13"/>
  <c r="AN292" i="13"/>
  <c r="AO292" i="13"/>
  <c r="AM293" i="13"/>
  <c r="AN293" i="13"/>
  <c r="AO293" i="13"/>
  <c r="AM294" i="13"/>
  <c r="AN294" i="13"/>
  <c r="AO294" i="13"/>
  <c r="AM295" i="13"/>
  <c r="AN295" i="13"/>
  <c r="AO295" i="13"/>
  <c r="AM296" i="13"/>
  <c r="AN296" i="13"/>
  <c r="AO296" i="13"/>
  <c r="AM297" i="13"/>
  <c r="AN297" i="13"/>
  <c r="AO297" i="13"/>
  <c r="AM298" i="13"/>
  <c r="AN298" i="13"/>
  <c r="AO298" i="13"/>
  <c r="AM299" i="13"/>
  <c r="AN299" i="13"/>
  <c r="AO299" i="13"/>
  <c r="AM300" i="13"/>
  <c r="AN300" i="13"/>
  <c r="AO300" i="13"/>
  <c r="AM301" i="13"/>
  <c r="AN301" i="13"/>
  <c r="AO301" i="13"/>
  <c r="AM302" i="13"/>
  <c r="AN302" i="13"/>
  <c r="AO302" i="13"/>
  <c r="AM303" i="13"/>
  <c r="AN303" i="13"/>
  <c r="AO303" i="13"/>
  <c r="AM304" i="13"/>
  <c r="AN304" i="13"/>
  <c r="AO304" i="13"/>
  <c r="AM305" i="13"/>
  <c r="AN305" i="13"/>
  <c r="AO305" i="13"/>
  <c r="AM306" i="13"/>
  <c r="AN306" i="13"/>
  <c r="AO306" i="13"/>
  <c r="AM307" i="13"/>
  <c r="AN307" i="13"/>
  <c r="AO307" i="13"/>
  <c r="AM308" i="13"/>
  <c r="AN308" i="13"/>
  <c r="AO308" i="13"/>
  <c r="AM309" i="13"/>
  <c r="AN309" i="13"/>
  <c r="AO309" i="13"/>
  <c r="AM310" i="13"/>
  <c r="AN310" i="13"/>
  <c r="AO310" i="13"/>
  <c r="AM311" i="13"/>
  <c r="AN311" i="13"/>
  <c r="AO311" i="13"/>
  <c r="AM312" i="13"/>
  <c r="AN312" i="13"/>
  <c r="AO312" i="13"/>
  <c r="AM313" i="13"/>
  <c r="AN313" i="13"/>
  <c r="AO313" i="13"/>
  <c r="AM314" i="13"/>
  <c r="AN314" i="13"/>
  <c r="AO314" i="13"/>
  <c r="AM315" i="13"/>
  <c r="AN315" i="13"/>
  <c r="AO315" i="13"/>
  <c r="AM316" i="13"/>
  <c r="AN316" i="13"/>
  <c r="AO316" i="13"/>
  <c r="AM317" i="13"/>
  <c r="AN317" i="13"/>
  <c r="AO317" i="13"/>
  <c r="AM318" i="13"/>
  <c r="AN318" i="13"/>
  <c r="AO318" i="13"/>
  <c r="AM319" i="13"/>
  <c r="AN319" i="13"/>
  <c r="AO319" i="13"/>
  <c r="AM320" i="13"/>
  <c r="AN320" i="13"/>
  <c r="AO320" i="13"/>
  <c r="AM321" i="13"/>
  <c r="AN321" i="13"/>
  <c r="AO321" i="13"/>
  <c r="AM322" i="13"/>
  <c r="AN322" i="13"/>
  <c r="AO322" i="13"/>
  <c r="AM323" i="13"/>
  <c r="AN323" i="13"/>
  <c r="AO323" i="13"/>
  <c r="AM324" i="13"/>
  <c r="AN324" i="13"/>
  <c r="AO324" i="13"/>
  <c r="AM325" i="13"/>
  <c r="AN325" i="13"/>
  <c r="AO325" i="13"/>
  <c r="AM326" i="13"/>
  <c r="AN326" i="13"/>
  <c r="AO326" i="13"/>
  <c r="AM327" i="13"/>
  <c r="AN327" i="13"/>
  <c r="AO327" i="13"/>
  <c r="AM328" i="13"/>
  <c r="AN328" i="13"/>
  <c r="AO328" i="13"/>
  <c r="AM329" i="13"/>
  <c r="AN329" i="13"/>
  <c r="AO329" i="13"/>
  <c r="AM330" i="13"/>
  <c r="AN330" i="13"/>
  <c r="AO330" i="13"/>
  <c r="AM331" i="13"/>
  <c r="AN331" i="13"/>
  <c r="AO331" i="13"/>
  <c r="AM332" i="13"/>
  <c r="AN332" i="13"/>
  <c r="AO332" i="13"/>
  <c r="AM333" i="13"/>
  <c r="AN333" i="13"/>
  <c r="AO333" i="13"/>
  <c r="AM334" i="13"/>
  <c r="AN334" i="13"/>
  <c r="AO334" i="13"/>
  <c r="AM335" i="13"/>
  <c r="AN335" i="13"/>
  <c r="AO335" i="13"/>
  <c r="AM336" i="13"/>
  <c r="AN336" i="13"/>
  <c r="AO336" i="13"/>
  <c r="AM337" i="13"/>
  <c r="AN337" i="13"/>
  <c r="AO337" i="13"/>
  <c r="AM338" i="13"/>
  <c r="AN338" i="13"/>
  <c r="AO338" i="13"/>
  <c r="AM339" i="13"/>
  <c r="AN339" i="13"/>
  <c r="AO339" i="13"/>
  <c r="AM340" i="13"/>
  <c r="AN340" i="13"/>
  <c r="AO340" i="13"/>
  <c r="AM341" i="13"/>
  <c r="AN341" i="13"/>
  <c r="AO341" i="13"/>
  <c r="AM342" i="13"/>
  <c r="AN342" i="13"/>
  <c r="AO342" i="13"/>
  <c r="AM343" i="13"/>
  <c r="AN343" i="13"/>
  <c r="AO343" i="13"/>
  <c r="AM344" i="13"/>
  <c r="AN344" i="13"/>
  <c r="AO344" i="13"/>
  <c r="AM345" i="13"/>
  <c r="AN345" i="13"/>
  <c r="AO345" i="13"/>
  <c r="AM346" i="13"/>
  <c r="AN346" i="13"/>
  <c r="AO346" i="13"/>
  <c r="AM347" i="13"/>
  <c r="AN347" i="13"/>
  <c r="AO347" i="13"/>
  <c r="AM348" i="13"/>
  <c r="AN348" i="13"/>
  <c r="AO348" i="13"/>
  <c r="AM349" i="13"/>
  <c r="AN349" i="13"/>
  <c r="AO349" i="13"/>
  <c r="AM350" i="13"/>
  <c r="AN350" i="13"/>
  <c r="AO350" i="13"/>
  <c r="AM351" i="13"/>
  <c r="AN351" i="13"/>
  <c r="AO351" i="13"/>
  <c r="AM352" i="13"/>
  <c r="AN352" i="13"/>
  <c r="AO352" i="13"/>
  <c r="AM353" i="13"/>
  <c r="AN353" i="13"/>
  <c r="AO353" i="13"/>
  <c r="AM354" i="13"/>
  <c r="AN354" i="13"/>
  <c r="AO354" i="13"/>
  <c r="AM355" i="13"/>
  <c r="AN355" i="13"/>
  <c r="AO355" i="13"/>
  <c r="AM356" i="13"/>
  <c r="AN356" i="13"/>
  <c r="AO356" i="13"/>
  <c r="AM357" i="13"/>
  <c r="AN357" i="13"/>
  <c r="AO357" i="13"/>
  <c r="AM358" i="13"/>
  <c r="AN358" i="13"/>
  <c r="AO358" i="13"/>
  <c r="AM359" i="13"/>
  <c r="AN359" i="13"/>
  <c r="AO359" i="13"/>
  <c r="AM360" i="13"/>
  <c r="AN360" i="13"/>
  <c r="AO360" i="13"/>
  <c r="AM361" i="13"/>
  <c r="AN361" i="13"/>
  <c r="AO361" i="13"/>
  <c r="AM362" i="13"/>
  <c r="AN362" i="13"/>
  <c r="AO362" i="13"/>
  <c r="AM363" i="13"/>
  <c r="AN363" i="13"/>
  <c r="AO363" i="13"/>
  <c r="AM364" i="13"/>
  <c r="AN364" i="13"/>
  <c r="AO364" i="13"/>
  <c r="AM365" i="13"/>
  <c r="AN365" i="13"/>
  <c r="AO365" i="13"/>
  <c r="AM366" i="13"/>
  <c r="AN366" i="13"/>
  <c r="AO366" i="13"/>
  <c r="AM367" i="13"/>
  <c r="AN367" i="13"/>
  <c r="AO367" i="13"/>
  <c r="AM368" i="13"/>
  <c r="AN368" i="13"/>
  <c r="AO368" i="13"/>
  <c r="AM369" i="13"/>
  <c r="AN369" i="13"/>
  <c r="AO369" i="13"/>
  <c r="AM370" i="13"/>
  <c r="AN370" i="13"/>
  <c r="AO370" i="13"/>
  <c r="AM371" i="13"/>
  <c r="AN371" i="13"/>
  <c r="AO371" i="13"/>
  <c r="AM372" i="13"/>
  <c r="AN372" i="13"/>
  <c r="AO372" i="13"/>
  <c r="AM373" i="13"/>
  <c r="AN373" i="13"/>
  <c r="AO373" i="13"/>
  <c r="AM374" i="13"/>
  <c r="AN374" i="13"/>
  <c r="AO374" i="13"/>
  <c r="AM375" i="13"/>
  <c r="AN375" i="13"/>
  <c r="AO375" i="13"/>
  <c r="AM376" i="13"/>
  <c r="AN376" i="13"/>
  <c r="AO376" i="13"/>
  <c r="AM377" i="13"/>
  <c r="AN377" i="13"/>
  <c r="AO377" i="13"/>
  <c r="AM378" i="13"/>
  <c r="AN378" i="13"/>
  <c r="AO378" i="13"/>
  <c r="AM379" i="13"/>
  <c r="AN379" i="13"/>
  <c r="AO379" i="13"/>
  <c r="AM380" i="13"/>
  <c r="AN380" i="13"/>
  <c r="AO380" i="13"/>
  <c r="AM381" i="13"/>
  <c r="AN381" i="13"/>
  <c r="AO381" i="13"/>
  <c r="AM382" i="13"/>
  <c r="AN382" i="13"/>
  <c r="AO382" i="13"/>
  <c r="AM383" i="13"/>
  <c r="AN383" i="13"/>
  <c r="AO383" i="13"/>
  <c r="AM384" i="13"/>
  <c r="AN384" i="13"/>
  <c r="AO384" i="13"/>
  <c r="AM385" i="13"/>
  <c r="AN385" i="13"/>
  <c r="AO385" i="13"/>
  <c r="AM386" i="13"/>
  <c r="AN386" i="13"/>
  <c r="AO386" i="13"/>
  <c r="AM387" i="13"/>
  <c r="AN387" i="13"/>
  <c r="AO387" i="13"/>
  <c r="AM388" i="13"/>
  <c r="AN388" i="13"/>
  <c r="AO388" i="13"/>
  <c r="AM389" i="13"/>
  <c r="AN389" i="13"/>
  <c r="AO389" i="13"/>
  <c r="AM390" i="13"/>
  <c r="AN390" i="13"/>
  <c r="AO390" i="13"/>
  <c r="AM391" i="13"/>
  <c r="AN391" i="13"/>
  <c r="AO391" i="13"/>
  <c r="AM392" i="13"/>
  <c r="AN392" i="13"/>
  <c r="AO392" i="13"/>
  <c r="AM393" i="13"/>
  <c r="AN393" i="13"/>
  <c r="AO393" i="13"/>
  <c r="AM394" i="13"/>
  <c r="AN394" i="13"/>
  <c r="AO394" i="13"/>
  <c r="AM395" i="13"/>
  <c r="AN395" i="13"/>
  <c r="AO395" i="13"/>
  <c r="AM396" i="13"/>
  <c r="AN396" i="13"/>
  <c r="AO396" i="13"/>
  <c r="AM397" i="13"/>
  <c r="AN397" i="13"/>
  <c r="AO397" i="13"/>
  <c r="AM398" i="13"/>
  <c r="AN398" i="13"/>
  <c r="AO398" i="13"/>
  <c r="AM399" i="13"/>
  <c r="AN399" i="13"/>
  <c r="AO399" i="13"/>
  <c r="AM400" i="13"/>
  <c r="AN400" i="13"/>
  <c r="AO400" i="13"/>
  <c r="AM401" i="13"/>
  <c r="AN401" i="13"/>
  <c r="AO401" i="13"/>
  <c r="AM402" i="13"/>
  <c r="AN402" i="13"/>
  <c r="AO402" i="13"/>
  <c r="AM403" i="13"/>
  <c r="AN403" i="13"/>
  <c r="AO403" i="13"/>
  <c r="AM404" i="13"/>
  <c r="AN404" i="13"/>
  <c r="AO404" i="13"/>
  <c r="AM405" i="13"/>
  <c r="AN405" i="13"/>
  <c r="AO405" i="13"/>
  <c r="AM406" i="13"/>
  <c r="AN406" i="13"/>
  <c r="AO406" i="13"/>
  <c r="AM407" i="13"/>
  <c r="AN407" i="13"/>
  <c r="AO407" i="13"/>
  <c r="AM408" i="13"/>
  <c r="AN408" i="13"/>
  <c r="AO408" i="13"/>
  <c r="AM409" i="13"/>
  <c r="AN409" i="13"/>
  <c r="AO409" i="13"/>
  <c r="AM410" i="13"/>
  <c r="AN410" i="13"/>
  <c r="AO410" i="13"/>
  <c r="AM411" i="13"/>
  <c r="AN411" i="13"/>
  <c r="AO411" i="13"/>
  <c r="AM412" i="13"/>
  <c r="AN412" i="13"/>
  <c r="AO412" i="13"/>
  <c r="AM413" i="13"/>
  <c r="AN413" i="13"/>
  <c r="AO413" i="13"/>
  <c r="AM414" i="13"/>
  <c r="AN414" i="13"/>
  <c r="AO414" i="13"/>
  <c r="AM415" i="13"/>
  <c r="AN415" i="13"/>
  <c r="AO415" i="13"/>
  <c r="AM416" i="13"/>
  <c r="AN416" i="13"/>
  <c r="AO416" i="13"/>
  <c r="AM417" i="13"/>
  <c r="AN417" i="13"/>
  <c r="AO417" i="13"/>
  <c r="AM418" i="13"/>
  <c r="AN418" i="13"/>
  <c r="AO418" i="13"/>
  <c r="AM419" i="13"/>
  <c r="AN419" i="13"/>
  <c r="AO419" i="13"/>
  <c r="AM420" i="13"/>
  <c r="AN420" i="13"/>
  <c r="AO420" i="13"/>
  <c r="AM421" i="13"/>
  <c r="AN421" i="13"/>
  <c r="AO421" i="13"/>
  <c r="AM422" i="13"/>
  <c r="AN422" i="13"/>
  <c r="AO422" i="13"/>
  <c r="AM423" i="13"/>
  <c r="AN423" i="13"/>
  <c r="AO423" i="13"/>
  <c r="AM424" i="13"/>
  <c r="AN424" i="13"/>
  <c r="AO424" i="13"/>
  <c r="AM425" i="13"/>
  <c r="AN425" i="13"/>
  <c r="AO425" i="13"/>
  <c r="AM426" i="13"/>
  <c r="AN426" i="13"/>
  <c r="AO426" i="13"/>
  <c r="AM427" i="13"/>
  <c r="AN427" i="13"/>
  <c r="AO427" i="13"/>
  <c r="AM428" i="13"/>
  <c r="AN428" i="13"/>
  <c r="AO428" i="13"/>
  <c r="AM429" i="13"/>
  <c r="AN429" i="13"/>
  <c r="AO429" i="13"/>
  <c r="AM430" i="13"/>
  <c r="AN430" i="13"/>
  <c r="AO430" i="13"/>
  <c r="AM431" i="13"/>
  <c r="AN431" i="13"/>
  <c r="AO431" i="13"/>
  <c r="AM432" i="13"/>
  <c r="AN432" i="13"/>
  <c r="AO432" i="13"/>
  <c r="AM433" i="13"/>
  <c r="AN433" i="13"/>
  <c r="AO433" i="13"/>
  <c r="AM434" i="13"/>
  <c r="AN434" i="13"/>
  <c r="AO434" i="13"/>
  <c r="AM435" i="13"/>
  <c r="AN435" i="13"/>
  <c r="AO435" i="13"/>
  <c r="AM436" i="13"/>
  <c r="AN436" i="13"/>
  <c r="AO436" i="13"/>
  <c r="AM437" i="13"/>
  <c r="AN437" i="13"/>
  <c r="AO437" i="13"/>
  <c r="AM438" i="13"/>
  <c r="AN438" i="13"/>
  <c r="AO438" i="13"/>
  <c r="AM439" i="13"/>
  <c r="AN439" i="13"/>
  <c r="AO439" i="13"/>
  <c r="AM440" i="13"/>
  <c r="AN440" i="13"/>
  <c r="AO440" i="13"/>
  <c r="AM441" i="13"/>
  <c r="AN441" i="13"/>
  <c r="AO441" i="13"/>
  <c r="AM442" i="13"/>
  <c r="AN442" i="13"/>
  <c r="AO442" i="13"/>
  <c r="AM443" i="13"/>
  <c r="AN443" i="13"/>
  <c r="AO443" i="13"/>
  <c r="AM444" i="13"/>
  <c r="AN444" i="13"/>
  <c r="AO444" i="13"/>
  <c r="AM445" i="13"/>
  <c r="AN445" i="13"/>
  <c r="AO445" i="13"/>
  <c r="AM446" i="13"/>
  <c r="AN446" i="13"/>
  <c r="B470" i="17" l="1"/>
  <c r="H469" i="17"/>
  <c r="D5" i="12"/>
  <c r="B471" i="17" l="1"/>
  <c r="H470" i="17"/>
  <c r="I1" i="10"/>
  <c r="J1" i="10" s="1"/>
  <c r="K1" i="10" s="1"/>
  <c r="L1" i="10" s="1"/>
  <c r="M1" i="10" s="1"/>
  <c r="B472" i="17" l="1"/>
  <c r="H471" i="17"/>
  <c r="C537" i="17"/>
  <c r="C505" i="17"/>
  <c r="C462" i="17"/>
  <c r="C536" i="17"/>
  <c r="C533" i="17"/>
  <c r="C530" i="17"/>
  <c r="C526" i="17"/>
  <c r="C523" i="17"/>
  <c r="C524" i="17"/>
  <c r="C519" i="17"/>
  <c r="C513" i="17"/>
  <c r="C511" i="17"/>
  <c r="C509" i="17"/>
  <c r="C502" i="17"/>
  <c r="C510" i="17"/>
  <c r="C498" i="17"/>
  <c r="C495" i="17"/>
  <c r="C522" i="17"/>
  <c r="C481" i="17"/>
  <c r="C482" i="17"/>
  <c r="C480" i="17"/>
  <c r="C479" i="17"/>
  <c r="C474" i="17"/>
  <c r="C472" i="17"/>
  <c r="C464" i="17"/>
  <c r="C463" i="17"/>
  <c r="C460" i="17"/>
  <c r="C459" i="17"/>
  <c r="C453" i="17"/>
  <c r="C535" i="17"/>
  <c r="C517" i="17"/>
  <c r="C534" i="17"/>
  <c r="C532" i="17"/>
  <c r="C531" i="17"/>
  <c r="C529" i="17"/>
  <c r="C528" i="17"/>
  <c r="C527" i="17"/>
  <c r="C525" i="17"/>
  <c r="C521" i="17"/>
  <c r="C520" i="17"/>
  <c r="C518" i="17"/>
  <c r="C516" i="17"/>
  <c r="C515" i="17"/>
  <c r="C514" i="17"/>
  <c r="C512" i="17"/>
  <c r="C506" i="17"/>
  <c r="C508" i="17"/>
  <c r="C504" i="17"/>
  <c r="C501" i="17"/>
  <c r="C500" i="17"/>
  <c r="C496" i="17"/>
  <c r="C499" i="17"/>
  <c r="C497" i="17"/>
  <c r="C494" i="17"/>
  <c r="C493" i="17"/>
  <c r="C492" i="17"/>
  <c r="C491" i="17"/>
  <c r="C490" i="17"/>
  <c r="C489" i="17"/>
  <c r="C487" i="17"/>
  <c r="C486" i="17"/>
  <c r="C485" i="17"/>
  <c r="C484" i="17"/>
  <c r="C478" i="17"/>
  <c r="C483" i="17"/>
  <c r="C477" i="17"/>
  <c r="C476" i="17"/>
  <c r="C475" i="17"/>
  <c r="C473" i="17"/>
  <c r="C503" i="17"/>
  <c r="C471" i="17"/>
  <c r="C470" i="17"/>
  <c r="C469" i="17"/>
  <c r="C468" i="17"/>
  <c r="C467" i="17"/>
  <c r="C465" i="17"/>
  <c r="C466" i="17"/>
  <c r="C461" i="17"/>
  <c r="C458" i="17"/>
  <c r="C457" i="17"/>
  <c r="C456" i="17"/>
  <c r="C455" i="17"/>
  <c r="C454" i="17"/>
  <c r="C452" i="17"/>
  <c r="C451" i="17"/>
  <c r="C488" i="17"/>
  <c r="H450" i="17"/>
  <c r="C450" i="17"/>
  <c r="C507" i="17"/>
  <c r="B473" i="17" l="1"/>
  <c r="H472" i="17"/>
  <c r="BH1765" i="19"/>
  <c r="BG1765" i="19"/>
  <c r="B474" i="17" l="1"/>
  <c r="H473" i="17"/>
  <c r="B475" i="17" l="1"/>
  <c r="H474" i="17"/>
  <c r="B476" i="17" l="1"/>
  <c r="H475" i="17"/>
  <c r="F12" i="8"/>
  <c r="B477" i="17" l="1"/>
  <c r="H476" i="17"/>
  <c r="B20" i="8"/>
  <c r="B478" i="17" l="1"/>
  <c r="H477" i="17"/>
  <c r="C18" i="7"/>
  <c r="C16" i="7"/>
  <c r="C12" i="7"/>
  <c r="B479" i="17" l="1"/>
  <c r="H478" i="17"/>
  <c r="AW448" i="20"/>
  <c r="B480" i="17" l="1"/>
  <c r="H479" i="17"/>
  <c r="T6" i="19"/>
  <c r="B481" i="17" l="1"/>
  <c r="H480" i="17"/>
  <c r="AV3" i="20"/>
  <c r="AW3" i="20" s="1"/>
  <c r="P8" i="10"/>
  <c r="B482" i="17" l="1"/>
  <c r="H481" i="17"/>
  <c r="P334" i="10"/>
  <c r="P292" i="10"/>
  <c r="P248" i="10"/>
  <c r="P196" i="10"/>
  <c r="P174" i="10"/>
  <c r="P127" i="10"/>
  <c r="P95" i="10"/>
  <c r="P63" i="10"/>
  <c r="P30" i="10"/>
  <c r="P342" i="10"/>
  <c r="P301" i="10"/>
  <c r="P269" i="10"/>
  <c r="P227" i="10"/>
  <c r="P183" i="10"/>
  <c r="P141" i="10"/>
  <c r="P94" i="10"/>
  <c r="P23" i="10"/>
  <c r="P350" i="10"/>
  <c r="P341" i="10"/>
  <c r="P332" i="10"/>
  <c r="P320" i="10"/>
  <c r="P310" i="10"/>
  <c r="P300" i="10"/>
  <c r="P288" i="10"/>
  <c r="P278" i="10"/>
  <c r="P268" i="10"/>
  <c r="P256" i="10"/>
  <c r="P246" i="10"/>
  <c r="P236" i="10"/>
  <c r="P224" i="10"/>
  <c r="P214" i="10"/>
  <c r="P204" i="10"/>
  <c r="P192" i="10"/>
  <c r="P182" i="10"/>
  <c r="P172" i="10"/>
  <c r="P160" i="10"/>
  <c r="P150" i="10"/>
  <c r="P139" i="10"/>
  <c r="P123" i="10"/>
  <c r="P107" i="10"/>
  <c r="P91" i="10"/>
  <c r="P75" i="10"/>
  <c r="P59" i="10"/>
  <c r="P43" i="10"/>
  <c r="P22" i="10"/>
  <c r="P351" i="10"/>
  <c r="P323" i="10"/>
  <c r="P291" i="10"/>
  <c r="P259" i="10"/>
  <c r="P237" i="10"/>
  <c r="P205" i="10"/>
  <c r="P173" i="10"/>
  <c r="P151" i="10"/>
  <c r="P110" i="10"/>
  <c r="P78" i="10"/>
  <c r="P46" i="10"/>
  <c r="P340" i="10"/>
  <c r="P309" i="10"/>
  <c r="P287" i="10"/>
  <c r="P267" i="10"/>
  <c r="P255" i="10"/>
  <c r="P245" i="10"/>
  <c r="P235" i="10"/>
  <c r="P223" i="10"/>
  <c r="P213" i="10"/>
  <c r="P203" i="10"/>
  <c r="P191" i="10"/>
  <c r="P181" i="10"/>
  <c r="P171" i="10"/>
  <c r="P159" i="10"/>
  <c r="P149" i="10"/>
  <c r="P136" i="10"/>
  <c r="P120" i="10"/>
  <c r="P104" i="10"/>
  <c r="P88" i="10"/>
  <c r="P72" i="10"/>
  <c r="P56" i="10"/>
  <c r="P39" i="10"/>
  <c r="P19" i="10"/>
  <c r="P352" i="10"/>
  <c r="P302" i="10"/>
  <c r="P260" i="10"/>
  <c r="P216" i="10"/>
  <c r="P184" i="10"/>
  <c r="P152" i="10"/>
  <c r="P111" i="10"/>
  <c r="P79" i="10"/>
  <c r="P47" i="10"/>
  <c r="P333" i="10"/>
  <c r="P311" i="10"/>
  <c r="P279" i="10"/>
  <c r="P247" i="10"/>
  <c r="P215" i="10"/>
  <c r="P195" i="10"/>
  <c r="P163" i="10"/>
  <c r="P126" i="10"/>
  <c r="P62" i="10"/>
  <c r="P7" i="10"/>
  <c r="P349" i="10"/>
  <c r="P331" i="10"/>
  <c r="P319" i="10"/>
  <c r="P299" i="10"/>
  <c r="P277" i="10"/>
  <c r="P357" i="10"/>
  <c r="P348" i="10"/>
  <c r="P339" i="10"/>
  <c r="P328" i="10"/>
  <c r="P318" i="10"/>
  <c r="P308" i="10"/>
  <c r="P296" i="10"/>
  <c r="P286" i="10"/>
  <c r="P276" i="10"/>
  <c r="P264" i="10"/>
  <c r="P254" i="10"/>
  <c r="P244" i="10"/>
  <c r="P232" i="10"/>
  <c r="P222" i="10"/>
  <c r="P212" i="10"/>
  <c r="P200" i="10"/>
  <c r="P190" i="10"/>
  <c r="P180" i="10"/>
  <c r="P168" i="10"/>
  <c r="P158" i="10"/>
  <c r="P148" i="10"/>
  <c r="P135" i="10"/>
  <c r="P119" i="10"/>
  <c r="P103" i="10"/>
  <c r="P87" i="10"/>
  <c r="P71" i="10"/>
  <c r="P55" i="10"/>
  <c r="P38" i="10"/>
  <c r="P16" i="10"/>
  <c r="P343" i="10"/>
  <c r="P312" i="10"/>
  <c r="P270" i="10"/>
  <c r="P228" i="10"/>
  <c r="P164" i="10"/>
  <c r="P356" i="10"/>
  <c r="P327" i="10"/>
  <c r="P307" i="10"/>
  <c r="P285" i="10"/>
  <c r="P275" i="10"/>
  <c r="P263" i="10"/>
  <c r="P253" i="10"/>
  <c r="P243" i="10"/>
  <c r="P231" i="10"/>
  <c r="P221" i="10"/>
  <c r="P211" i="10"/>
  <c r="P199" i="10"/>
  <c r="P189" i="10"/>
  <c r="P179" i="10"/>
  <c r="P167" i="10"/>
  <c r="P157" i="10"/>
  <c r="P147" i="10"/>
  <c r="P134" i="10"/>
  <c r="P118" i="10"/>
  <c r="P102" i="10"/>
  <c r="P86" i="10"/>
  <c r="P70" i="10"/>
  <c r="P54" i="10"/>
  <c r="P35" i="10"/>
  <c r="P15" i="10"/>
  <c r="P324" i="10"/>
  <c r="P280" i="10"/>
  <c r="P238" i="10"/>
  <c r="P206" i="10"/>
  <c r="P142" i="10"/>
  <c r="P347" i="10"/>
  <c r="P338" i="10"/>
  <c r="P317" i="10"/>
  <c r="P295" i="10"/>
  <c r="P355" i="10"/>
  <c r="P346" i="10"/>
  <c r="P336" i="10"/>
  <c r="P326" i="10"/>
  <c r="P316" i="10"/>
  <c r="P304" i="10"/>
  <c r="P294" i="10"/>
  <c r="P284" i="10"/>
  <c r="P272" i="10"/>
  <c r="P262" i="10"/>
  <c r="P252" i="10"/>
  <c r="P240" i="10"/>
  <c r="P230" i="10"/>
  <c r="P220" i="10"/>
  <c r="P208" i="10"/>
  <c r="P198" i="10"/>
  <c r="P188" i="10"/>
  <c r="P176" i="10"/>
  <c r="P166" i="10"/>
  <c r="P156" i="10"/>
  <c r="P144" i="10"/>
  <c r="P131" i="10"/>
  <c r="P115" i="10"/>
  <c r="P99" i="10"/>
  <c r="P83" i="10"/>
  <c r="P67" i="10"/>
  <c r="P51" i="10"/>
  <c r="P32" i="10"/>
  <c r="P14" i="10"/>
  <c r="P354" i="10"/>
  <c r="P344" i="10"/>
  <c r="P335" i="10"/>
  <c r="P325" i="10"/>
  <c r="P315" i="10"/>
  <c r="P303" i="10"/>
  <c r="P293" i="10"/>
  <c r="P283" i="10"/>
  <c r="P271" i="10"/>
  <c r="P261" i="10"/>
  <c r="P251" i="10"/>
  <c r="P239" i="10"/>
  <c r="P229" i="10"/>
  <c r="P219" i="10"/>
  <c r="P207" i="10"/>
  <c r="P197" i="10"/>
  <c r="P187" i="10"/>
  <c r="P175" i="10"/>
  <c r="P165" i="10"/>
  <c r="P155" i="10"/>
  <c r="P143" i="10"/>
  <c r="P128" i="10"/>
  <c r="P112" i="10"/>
  <c r="P96" i="10"/>
  <c r="P80" i="10"/>
  <c r="P64" i="10"/>
  <c r="P48" i="10"/>
  <c r="P31" i="10"/>
  <c r="P27" i="10"/>
  <c r="P11" i="10"/>
  <c r="P40" i="10"/>
  <c r="P24" i="10"/>
  <c r="P9" i="10"/>
  <c r="P17" i="10"/>
  <c r="P25" i="10"/>
  <c r="P33" i="10"/>
  <c r="P41" i="10"/>
  <c r="P49" i="10"/>
  <c r="P57" i="10"/>
  <c r="P65" i="10"/>
  <c r="P73" i="10"/>
  <c r="P81" i="10"/>
  <c r="P89" i="10"/>
  <c r="P97" i="10"/>
  <c r="P105" i="10"/>
  <c r="P113" i="10"/>
  <c r="P121" i="10"/>
  <c r="P129" i="10"/>
  <c r="P137" i="10"/>
  <c r="P145" i="10"/>
  <c r="P153" i="10"/>
  <c r="P161" i="10"/>
  <c r="P169" i="10"/>
  <c r="P177" i="10"/>
  <c r="P185" i="10"/>
  <c r="P193" i="10"/>
  <c r="P201" i="10"/>
  <c r="P209" i="10"/>
  <c r="P217" i="10"/>
  <c r="P225" i="10"/>
  <c r="P233" i="10"/>
  <c r="P241" i="10"/>
  <c r="P249" i="10"/>
  <c r="P257" i="10"/>
  <c r="P265" i="10"/>
  <c r="P273" i="10"/>
  <c r="P281" i="10"/>
  <c r="P289" i="10"/>
  <c r="P297" i="10"/>
  <c r="P305" i="10"/>
  <c r="P313" i="10"/>
  <c r="P321" i="10"/>
  <c r="P329" i="10"/>
  <c r="P337" i="10"/>
  <c r="P345" i="10"/>
  <c r="P353" i="10"/>
  <c r="P10" i="10"/>
  <c r="P18" i="10"/>
  <c r="P26" i="10"/>
  <c r="P34" i="10"/>
  <c r="P42" i="10"/>
  <c r="P50" i="10"/>
  <c r="P58" i="10"/>
  <c r="P66" i="10"/>
  <c r="P74" i="10"/>
  <c r="P82" i="10"/>
  <c r="P90" i="10"/>
  <c r="P98" i="10"/>
  <c r="P106" i="10"/>
  <c r="P114" i="10"/>
  <c r="P122" i="10"/>
  <c r="P130" i="10"/>
  <c r="P138" i="10"/>
  <c r="P146" i="10"/>
  <c r="P154" i="10"/>
  <c r="P162" i="10"/>
  <c r="P170" i="10"/>
  <c r="P178" i="10"/>
  <c r="P186" i="10"/>
  <c r="P194" i="10"/>
  <c r="P202" i="10"/>
  <c r="P210" i="10"/>
  <c r="P218" i="10"/>
  <c r="P226" i="10"/>
  <c r="P234" i="10"/>
  <c r="P242" i="10"/>
  <c r="P250" i="10"/>
  <c r="P258" i="10"/>
  <c r="P266" i="10"/>
  <c r="P274" i="10"/>
  <c r="P282" i="10"/>
  <c r="P290" i="10"/>
  <c r="P298" i="10"/>
  <c r="P306" i="10"/>
  <c r="P314" i="10"/>
  <c r="P322" i="10"/>
  <c r="P330" i="10"/>
  <c r="P12" i="10"/>
  <c r="P20" i="10"/>
  <c r="P28" i="10"/>
  <c r="P36" i="10"/>
  <c r="P44" i="10"/>
  <c r="P52" i="10"/>
  <c r="P60" i="10"/>
  <c r="P68" i="10"/>
  <c r="P76" i="10"/>
  <c r="P84" i="10"/>
  <c r="P92" i="10"/>
  <c r="P100" i="10"/>
  <c r="P108" i="10"/>
  <c r="P116" i="10"/>
  <c r="P124" i="10"/>
  <c r="P132" i="10"/>
  <c r="P140" i="10"/>
  <c r="P13" i="10"/>
  <c r="P21" i="10"/>
  <c r="P29" i="10"/>
  <c r="P37" i="10"/>
  <c r="P45" i="10"/>
  <c r="P53" i="10"/>
  <c r="P61" i="10"/>
  <c r="P69" i="10"/>
  <c r="P77" i="10"/>
  <c r="P85" i="10"/>
  <c r="P93" i="10"/>
  <c r="P101" i="10"/>
  <c r="P109" i="10"/>
  <c r="P117" i="10"/>
  <c r="P125" i="10"/>
  <c r="P133" i="10"/>
  <c r="B483" i="17" l="1"/>
  <c r="H482" i="17"/>
  <c r="F18" i="8"/>
  <c r="C50" i="3"/>
  <c r="F17" i="8" s="1"/>
  <c r="B484" i="17" l="1"/>
  <c r="H483" i="17"/>
  <c r="H359" i="17"/>
  <c r="H360" i="17"/>
  <c r="H361" i="17"/>
  <c r="H362" i="17"/>
  <c r="H363" i="17"/>
  <c r="H364" i="17"/>
  <c r="H365" i="17"/>
  <c r="H366" i="17"/>
  <c r="H367" i="17"/>
  <c r="H368" i="17"/>
  <c r="H369" i="17"/>
  <c r="H370" i="17"/>
  <c r="H371" i="17"/>
  <c r="H372" i="17"/>
  <c r="H373" i="17"/>
  <c r="H374" i="17"/>
  <c r="H375" i="17"/>
  <c r="H376" i="17"/>
  <c r="H377" i="17"/>
  <c r="H378" i="17"/>
  <c r="H379" i="17"/>
  <c r="H380" i="17"/>
  <c r="H381" i="17"/>
  <c r="H382" i="17"/>
  <c r="H383" i="17"/>
  <c r="H384" i="17"/>
  <c r="H385" i="17"/>
  <c r="H386" i="17"/>
  <c r="H387" i="17"/>
  <c r="H388" i="17"/>
  <c r="H389" i="17"/>
  <c r="H390" i="17"/>
  <c r="H391" i="17"/>
  <c r="H392" i="17"/>
  <c r="H393" i="17"/>
  <c r="H394" i="17"/>
  <c r="H395" i="17"/>
  <c r="H396" i="17"/>
  <c r="H397" i="17"/>
  <c r="H398" i="17"/>
  <c r="H399" i="17"/>
  <c r="H400" i="17"/>
  <c r="H401" i="17"/>
  <c r="H402" i="17"/>
  <c r="H403" i="17"/>
  <c r="H404" i="17"/>
  <c r="H405" i="17"/>
  <c r="H406" i="17"/>
  <c r="H407" i="17"/>
  <c r="H408" i="17"/>
  <c r="H409" i="17"/>
  <c r="H410" i="17"/>
  <c r="H411" i="17"/>
  <c r="H412" i="17"/>
  <c r="H413" i="17"/>
  <c r="H414" i="17"/>
  <c r="H415" i="17"/>
  <c r="H416" i="17"/>
  <c r="H417" i="17"/>
  <c r="H418" i="17"/>
  <c r="H419" i="17"/>
  <c r="H420" i="17"/>
  <c r="H421" i="17"/>
  <c r="H422" i="17"/>
  <c r="H423" i="17"/>
  <c r="H424" i="17"/>
  <c r="H425" i="17"/>
  <c r="H426" i="17"/>
  <c r="H427" i="17"/>
  <c r="H428" i="17"/>
  <c r="H429" i="17"/>
  <c r="H430" i="17"/>
  <c r="H431" i="17"/>
  <c r="H432" i="17"/>
  <c r="H433" i="17"/>
  <c r="H434" i="17"/>
  <c r="H435" i="17"/>
  <c r="H436" i="17"/>
  <c r="H437" i="17"/>
  <c r="H438" i="17"/>
  <c r="H439" i="17"/>
  <c r="H440" i="17"/>
  <c r="H441" i="17"/>
  <c r="H442" i="17"/>
  <c r="H443" i="17"/>
  <c r="H444" i="17"/>
  <c r="H358" i="17"/>
  <c r="B485" i="17" l="1"/>
  <c r="H484" i="17"/>
  <c r="B486" i="17" l="1"/>
  <c r="H485" i="17"/>
  <c r="C26" i="9"/>
  <c r="C25" i="9"/>
  <c r="C23" i="9"/>
  <c r="B6" i="7"/>
  <c r="A3" i="17"/>
  <c r="AN13" i="7" l="1"/>
  <c r="AN12" i="7"/>
  <c r="AN11" i="7"/>
  <c r="D37" i="7"/>
  <c r="G13" i="7"/>
  <c r="G12" i="7"/>
  <c r="G14" i="7"/>
  <c r="AM13" i="7"/>
  <c r="AM12" i="7"/>
  <c r="AM11" i="7"/>
  <c r="AL13" i="7"/>
  <c r="AL12" i="7"/>
  <c r="AL11" i="7"/>
  <c r="C41" i="7"/>
  <c r="AK13" i="7"/>
  <c r="AK11" i="7"/>
  <c r="AK12" i="7"/>
  <c r="G11" i="7"/>
  <c r="B487" i="17"/>
  <c r="H486" i="17"/>
  <c r="AI11" i="7"/>
  <c r="AI12" i="7"/>
  <c r="AJ11" i="7"/>
  <c r="AJ13" i="7"/>
  <c r="AJ12" i="7"/>
  <c r="G17" i="7"/>
  <c r="C6" i="7"/>
  <c r="AI13" i="7"/>
  <c r="B488" i="17" l="1"/>
  <c r="H487" i="17"/>
  <c r="G15" i="7"/>
  <c r="AT350" i="20"/>
  <c r="AT157" i="20"/>
  <c r="AT397" i="20"/>
  <c r="B489" i="17" l="1"/>
  <c r="H488" i="17"/>
  <c r="C445" i="17"/>
  <c r="C270" i="17"/>
  <c r="C62" i="17"/>
  <c r="C431" i="17"/>
  <c r="C392" i="17"/>
  <c r="C386" i="17"/>
  <c r="C361" i="17"/>
  <c r="C355" i="17"/>
  <c r="C359" i="17"/>
  <c r="C342" i="17"/>
  <c r="C297" i="17"/>
  <c r="C290" i="17"/>
  <c r="C282" i="17"/>
  <c r="C256" i="17"/>
  <c r="C283" i="17"/>
  <c r="C246" i="17"/>
  <c r="C241" i="17"/>
  <c r="C354" i="17"/>
  <c r="C151" i="17"/>
  <c r="C152" i="17"/>
  <c r="C150" i="17"/>
  <c r="C149" i="17"/>
  <c r="C133" i="17"/>
  <c r="C122" i="17"/>
  <c r="C71" i="17"/>
  <c r="C63" i="17"/>
  <c r="C50" i="17"/>
  <c r="C48" i="17"/>
  <c r="C24" i="17"/>
  <c r="C430" i="17"/>
  <c r="C316" i="17"/>
  <c r="C395" i="17"/>
  <c r="C391" i="17"/>
  <c r="C387" i="17"/>
  <c r="C378" i="17"/>
  <c r="C365" i="17"/>
  <c r="C363" i="17"/>
  <c r="C360" i="17"/>
  <c r="C351" i="17"/>
  <c r="C349" i="17"/>
  <c r="C318" i="17"/>
  <c r="C315" i="17"/>
  <c r="C307" i="17"/>
  <c r="C302" i="17"/>
  <c r="C291" i="17"/>
  <c r="C275" i="17"/>
  <c r="C279" i="17"/>
  <c r="C265" i="17"/>
  <c r="C255" i="17"/>
  <c r="C254" i="17"/>
  <c r="C242" i="17"/>
  <c r="C250" i="17"/>
  <c r="C243" i="17"/>
  <c r="C230" i="17"/>
  <c r="C221" i="17"/>
  <c r="C220" i="17"/>
  <c r="C214" i="17"/>
  <c r="C204" i="17"/>
  <c r="C190" i="17"/>
  <c r="C172" i="17"/>
  <c r="C163" i="17"/>
  <c r="C162" i="17"/>
  <c r="C160" i="17"/>
  <c r="C141" i="17"/>
  <c r="C155" i="17"/>
  <c r="C138" i="17"/>
  <c r="C136" i="17"/>
  <c r="C135" i="17"/>
  <c r="C127" i="17"/>
  <c r="C258" i="17"/>
  <c r="C109" i="17"/>
  <c r="C106" i="17"/>
  <c r="C103" i="17"/>
  <c r="C100" i="17"/>
  <c r="C91" i="17"/>
  <c r="C74" i="17"/>
  <c r="C83" i="17"/>
  <c r="C60" i="17"/>
  <c r="C47" i="17"/>
  <c r="C42" i="17"/>
  <c r="C40" i="17"/>
  <c r="C31" i="17"/>
  <c r="C26" i="17"/>
  <c r="C20" i="17"/>
  <c r="C15" i="17"/>
  <c r="C182" i="17"/>
  <c r="C8" i="17"/>
  <c r="C278" i="17"/>
  <c r="C101" i="17"/>
  <c r="C444" i="17"/>
  <c r="C443" i="17"/>
  <c r="C442" i="17"/>
  <c r="C441" i="17"/>
  <c r="C440" i="17"/>
  <c r="C439" i="17"/>
  <c r="C438" i="17"/>
  <c r="C437" i="17"/>
  <c r="C436" i="17"/>
  <c r="C435" i="17"/>
  <c r="C434" i="17"/>
  <c r="C433" i="17"/>
  <c r="C432" i="17"/>
  <c r="C429" i="17"/>
  <c r="C428" i="17"/>
  <c r="C427" i="17"/>
  <c r="C426" i="17"/>
  <c r="C418" i="17"/>
  <c r="C417" i="17"/>
  <c r="C416" i="17"/>
  <c r="C425" i="17"/>
  <c r="C424" i="17"/>
  <c r="C415" i="17"/>
  <c r="C423" i="17"/>
  <c r="C422" i="17"/>
  <c r="C421" i="17"/>
  <c r="C420" i="17"/>
  <c r="C414" i="17"/>
  <c r="C413" i="17"/>
  <c r="C412" i="17"/>
  <c r="C419" i="17"/>
  <c r="C411" i="17"/>
  <c r="C410" i="17"/>
  <c r="C409" i="17"/>
  <c r="C408" i="17"/>
  <c r="C407" i="17"/>
  <c r="C406" i="17"/>
  <c r="C405" i="17"/>
  <c r="C404" i="17"/>
  <c r="C403" i="17"/>
  <c r="C402" i="17"/>
  <c r="C401" i="17"/>
  <c r="C400" i="17"/>
  <c r="C399" i="17"/>
  <c r="C398" i="17"/>
  <c r="C397" i="17"/>
  <c r="C396" i="17"/>
  <c r="C394" i="17"/>
  <c r="C393" i="17"/>
  <c r="C390" i="17"/>
  <c r="C389" i="17"/>
  <c r="C388" i="17"/>
  <c r="C385" i="17"/>
  <c r="C384" i="17"/>
  <c r="C383" i="17"/>
  <c r="C382" i="17"/>
  <c r="C381" i="17"/>
  <c r="C380" i="17"/>
  <c r="C379" i="17"/>
  <c r="C377" i="17"/>
  <c r="C376" i="17"/>
  <c r="C375" i="17"/>
  <c r="C374" i="17"/>
  <c r="C373" i="17"/>
  <c r="C372" i="17"/>
  <c r="C371" i="17"/>
  <c r="C370" i="17"/>
  <c r="C369" i="17"/>
  <c r="C368" i="17"/>
  <c r="C367" i="17"/>
  <c r="C366" i="17"/>
  <c r="C364" i="17"/>
  <c r="C362" i="17"/>
  <c r="C353" i="17"/>
  <c r="C358" i="17"/>
  <c r="C357" i="17"/>
  <c r="C356" i="17"/>
  <c r="C352" i="17"/>
  <c r="C350" i="17"/>
  <c r="C348" i="17"/>
  <c r="C347" i="17"/>
  <c r="C346" i="17"/>
  <c r="C345" i="17"/>
  <c r="C344" i="17"/>
  <c r="C343"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7" i="17"/>
  <c r="C314" i="17"/>
  <c r="C313" i="17"/>
  <c r="C312" i="17"/>
  <c r="C311" i="17"/>
  <c r="C310" i="17"/>
  <c r="C309" i="17"/>
  <c r="C308" i="17"/>
  <c r="C306" i="17"/>
  <c r="C305" i="17"/>
  <c r="C304" i="17"/>
  <c r="C303" i="17"/>
  <c r="C301" i="17"/>
  <c r="C300" i="17"/>
  <c r="C299" i="17"/>
  <c r="C298" i="17"/>
  <c r="C296" i="17"/>
  <c r="C295" i="17"/>
  <c r="C294" i="17"/>
  <c r="C293" i="17"/>
  <c r="C292" i="17"/>
  <c r="C289" i="17"/>
  <c r="C288" i="17"/>
  <c r="C287" i="17"/>
  <c r="C286" i="17"/>
  <c r="C285" i="17"/>
  <c r="C276" i="17"/>
  <c r="C284" i="17"/>
  <c r="C274" i="17"/>
  <c r="C281" i="17"/>
  <c r="C280" i="17"/>
  <c r="C273" i="17"/>
  <c r="C272" i="17"/>
  <c r="C277" i="17"/>
  <c r="C271" i="17"/>
  <c r="C269" i="17"/>
  <c r="C268" i="17"/>
  <c r="C264" i="17"/>
  <c r="C263" i="17"/>
  <c r="C267" i="17"/>
  <c r="C266" i="17"/>
  <c r="C262" i="17"/>
  <c r="C261" i="17"/>
  <c r="C260" i="17"/>
  <c r="C259" i="17"/>
  <c r="C257" i="17"/>
  <c r="C253" i="17"/>
  <c r="C252" i="17"/>
  <c r="C251" i="17"/>
  <c r="C249" i="17"/>
  <c r="C248" i="17"/>
  <c r="C247" i="17"/>
  <c r="C245" i="17"/>
  <c r="C244" i="17"/>
  <c r="C240" i="17"/>
  <c r="C239" i="17"/>
  <c r="C238" i="17"/>
  <c r="C237" i="17"/>
  <c r="C236" i="17"/>
  <c r="C235" i="17"/>
  <c r="C234" i="17"/>
  <c r="C233" i="17"/>
  <c r="C232" i="17"/>
  <c r="C231" i="17"/>
  <c r="C229" i="17"/>
  <c r="C228" i="17"/>
  <c r="C227" i="17"/>
  <c r="C226" i="17"/>
  <c r="C225" i="17"/>
  <c r="C224" i="17"/>
  <c r="C223" i="17"/>
  <c r="C222" i="17"/>
  <c r="C219" i="17"/>
  <c r="C218" i="17"/>
  <c r="C217" i="17"/>
  <c r="C216" i="17"/>
  <c r="C215" i="17"/>
  <c r="C213" i="17"/>
  <c r="C212" i="17"/>
  <c r="C211" i="17"/>
  <c r="C210" i="17"/>
  <c r="C209" i="17"/>
  <c r="C208" i="17"/>
  <c r="C207" i="17"/>
  <c r="C206" i="17"/>
  <c r="C205" i="17"/>
  <c r="C203" i="17"/>
  <c r="C202" i="17"/>
  <c r="C201" i="17"/>
  <c r="C200" i="17"/>
  <c r="C199" i="17"/>
  <c r="C198" i="17"/>
  <c r="C197" i="17"/>
  <c r="C196" i="17"/>
  <c r="C195" i="17"/>
  <c r="C194" i="17"/>
  <c r="C193" i="17"/>
  <c r="C192" i="17"/>
  <c r="C191" i="17"/>
  <c r="C189" i="17"/>
  <c r="C188" i="17"/>
  <c r="C187" i="17"/>
  <c r="C186" i="17"/>
  <c r="C185" i="17"/>
  <c r="C184" i="17"/>
  <c r="C183" i="17"/>
  <c r="C181" i="17"/>
  <c r="C180" i="17"/>
  <c r="C179" i="17"/>
  <c r="C178" i="17"/>
  <c r="C177" i="17"/>
  <c r="C176" i="17"/>
  <c r="C175" i="17"/>
  <c r="C174" i="17"/>
  <c r="C173" i="17"/>
  <c r="C171" i="17"/>
  <c r="C170" i="17"/>
  <c r="C169" i="17"/>
  <c r="C168" i="17"/>
  <c r="C167" i="17"/>
  <c r="C166" i="17"/>
  <c r="C165" i="17"/>
  <c r="C164" i="17"/>
  <c r="C161" i="17"/>
  <c r="C159" i="17"/>
  <c r="C158" i="17"/>
  <c r="C157" i="17"/>
  <c r="C156" i="17"/>
  <c r="C154" i="17"/>
  <c r="C153" i="17"/>
  <c r="C148" i="17"/>
  <c r="C147" i="17"/>
  <c r="C146" i="17"/>
  <c r="C145" i="17"/>
  <c r="C144" i="17"/>
  <c r="C143" i="17"/>
  <c r="C142" i="17"/>
  <c r="C140" i="17"/>
  <c r="C139" i="17"/>
  <c r="C17" i="17"/>
  <c r="C137" i="17"/>
  <c r="C134" i="17"/>
  <c r="C132" i="17"/>
  <c r="C131" i="17"/>
  <c r="C130" i="17"/>
  <c r="C129" i="17"/>
  <c r="C128" i="17"/>
  <c r="C126" i="17"/>
  <c r="C125" i="17"/>
  <c r="C124" i="17"/>
  <c r="C123" i="17"/>
  <c r="C121" i="17"/>
  <c r="C120" i="17"/>
  <c r="C119" i="17"/>
  <c r="C118" i="17"/>
  <c r="C117" i="17"/>
  <c r="C114" i="17"/>
  <c r="C116" i="17"/>
  <c r="C115" i="17"/>
  <c r="C113" i="17"/>
  <c r="C112" i="17"/>
  <c r="C111" i="17"/>
  <c r="C110" i="17"/>
  <c r="C108" i="17"/>
  <c r="C107" i="17"/>
  <c r="C105" i="17"/>
  <c r="C104" i="17"/>
  <c r="C102" i="17"/>
  <c r="C99" i="17"/>
  <c r="C98" i="17"/>
  <c r="C97" i="17"/>
  <c r="C96" i="17"/>
  <c r="C95" i="17"/>
  <c r="C94" i="17"/>
  <c r="C93" i="17"/>
  <c r="C92" i="17"/>
  <c r="C90" i="17"/>
  <c r="C89" i="17"/>
  <c r="C88" i="17"/>
  <c r="C87" i="17"/>
  <c r="C86" i="17"/>
  <c r="C85" i="17"/>
  <c r="C84" i="17"/>
  <c r="C82" i="17"/>
  <c r="C81" i="17"/>
  <c r="C80" i="17"/>
  <c r="C79" i="17"/>
  <c r="C78" i="17"/>
  <c r="C77" i="17"/>
  <c r="C76" i="17"/>
  <c r="C75" i="17"/>
  <c r="C73" i="17"/>
  <c r="C72" i="17"/>
  <c r="C70" i="17"/>
  <c r="C69" i="17"/>
  <c r="C68" i="17"/>
  <c r="C67" i="17"/>
  <c r="C66" i="17"/>
  <c r="C65" i="17"/>
  <c r="C64" i="17"/>
  <c r="C61" i="17"/>
  <c r="C59" i="17"/>
  <c r="C58" i="17"/>
  <c r="C57" i="17"/>
  <c r="C56" i="17"/>
  <c r="C55" i="17"/>
  <c r="C54" i="17"/>
  <c r="C53" i="17"/>
  <c r="C52" i="17"/>
  <c r="C51" i="17"/>
  <c r="C49" i="17"/>
  <c r="C46" i="17"/>
  <c r="C45" i="17"/>
  <c r="C44" i="17"/>
  <c r="C43" i="17"/>
  <c r="C41" i="17"/>
  <c r="C39" i="17"/>
  <c r="C38" i="17"/>
  <c r="C37" i="17"/>
  <c r="C36" i="17"/>
  <c r="C35" i="17"/>
  <c r="C34" i="17"/>
  <c r="C33" i="17"/>
  <c r="C32" i="17"/>
  <c r="C30" i="17"/>
  <c r="C29" i="17"/>
  <c r="C28" i="17"/>
  <c r="C27" i="17"/>
  <c r="C25" i="17"/>
  <c r="C23" i="17"/>
  <c r="C22" i="17"/>
  <c r="C21" i="17"/>
  <c r="C19" i="17"/>
  <c r="C18" i="17"/>
  <c r="C16" i="17"/>
  <c r="C14" i="17"/>
  <c r="C13" i="17"/>
  <c r="C12" i="17"/>
  <c r="C11" i="17"/>
  <c r="C10" i="17"/>
  <c r="C9" i="17"/>
  <c r="C7" i="17"/>
  <c r="C6" i="17"/>
  <c r="W438" i="20"/>
  <c r="AE435" i="20"/>
  <c r="AC435" i="20"/>
  <c r="AE434" i="20"/>
  <c r="AC434" i="20"/>
  <c r="AQ432" i="20"/>
  <c r="AK425" i="20"/>
  <c r="AH425" i="20"/>
  <c r="AG425" i="20"/>
  <c r="AF425" i="20"/>
  <c r="AT401" i="20"/>
  <c r="AK383" i="20"/>
  <c r="AE369" i="20"/>
  <c r="AC369" i="20"/>
  <c r="AH362" i="20"/>
  <c r="AG362" i="20"/>
  <c r="AF362" i="20"/>
  <c r="AK358" i="20"/>
  <c r="AH356" i="20"/>
  <c r="AH355" i="20"/>
  <c r="AH351" i="20"/>
  <c r="AQ339" i="20"/>
  <c r="AH338" i="20"/>
  <c r="AT330" i="20"/>
  <c r="AH329" i="20"/>
  <c r="AQ324" i="20"/>
  <c r="AT317" i="20"/>
  <c r="AH314" i="20"/>
  <c r="AT309" i="20"/>
  <c r="AH307" i="20"/>
  <c r="AH304" i="20"/>
  <c r="AT301" i="20"/>
  <c r="AH300" i="20"/>
  <c r="AQ297" i="20"/>
  <c r="AT293" i="20"/>
  <c r="AH293" i="20"/>
  <c r="AH271" i="20"/>
  <c r="AH268" i="20"/>
  <c r="AH267" i="20"/>
  <c r="AH263" i="20"/>
  <c r="AH261" i="20"/>
  <c r="AT257" i="20"/>
  <c r="AH257" i="20"/>
  <c r="AH255" i="20"/>
  <c r="AK238" i="20"/>
  <c r="AH238" i="20"/>
  <c r="AG238" i="20"/>
  <c r="AF238" i="20"/>
  <c r="AH226" i="20"/>
  <c r="AH220" i="20"/>
  <c r="AH213" i="20"/>
  <c r="AH212" i="20"/>
  <c r="AE210" i="20"/>
  <c r="AH205" i="20"/>
  <c r="AH190" i="20"/>
  <c r="AH189" i="20"/>
  <c r="AH187" i="20"/>
  <c r="AH185" i="20"/>
  <c r="AT179" i="20"/>
  <c r="AH177" i="20"/>
  <c r="AH174" i="20"/>
  <c r="AH173" i="20"/>
  <c r="AT172" i="20"/>
  <c r="AH172" i="20"/>
  <c r="AH169" i="20"/>
  <c r="AQ166" i="20"/>
  <c r="AH164" i="20"/>
  <c r="AT158" i="20"/>
  <c r="AH158" i="20"/>
  <c r="AH153" i="20"/>
  <c r="AH137" i="20"/>
  <c r="AH128" i="20"/>
  <c r="AT127" i="20"/>
  <c r="AH125" i="20"/>
  <c r="AH116" i="20"/>
  <c r="AH114" i="20"/>
  <c r="AN109" i="20"/>
  <c r="AT102" i="20"/>
  <c r="AH88" i="20"/>
  <c r="AH80" i="20"/>
  <c r="AT73" i="20"/>
  <c r="AT66" i="20"/>
  <c r="AQ60" i="20"/>
  <c r="AT58" i="20"/>
  <c r="AH47" i="20"/>
  <c r="AQ46" i="20"/>
  <c r="AH44" i="20"/>
  <c r="AH40" i="20"/>
  <c r="AH39" i="20"/>
  <c r="AH32" i="20"/>
  <c r="AH18" i="20"/>
  <c r="AH16" i="20"/>
  <c r="C10" i="6"/>
  <c r="CL1765" i="19"/>
  <c r="Y1764" i="19"/>
  <c r="A1764" i="19"/>
  <c r="Y1763" i="19"/>
  <c r="A1763" i="19"/>
  <c r="Y1762" i="19"/>
  <c r="A1762" i="19"/>
  <c r="Y1761" i="19"/>
  <c r="A1761" i="19"/>
  <c r="Y1760" i="19"/>
  <c r="A1760" i="19"/>
  <c r="Y1759" i="19"/>
  <c r="A1759" i="19"/>
  <c r="Y1758" i="19"/>
  <c r="A1758" i="19"/>
  <c r="Y1757" i="19"/>
  <c r="A1757" i="19"/>
  <c r="Y1756" i="19"/>
  <c r="A1756" i="19"/>
  <c r="Y1755" i="19"/>
  <c r="A1755" i="19"/>
  <c r="Y1754" i="19"/>
  <c r="A1754" i="19"/>
  <c r="Y1753" i="19"/>
  <c r="A1753" i="19"/>
  <c r="Y1752" i="19"/>
  <c r="A1752" i="19"/>
  <c r="Y1751" i="19"/>
  <c r="A1751" i="19"/>
  <c r="Y1750" i="19"/>
  <c r="A1750" i="19"/>
  <c r="Y1749" i="19"/>
  <c r="A1749" i="19"/>
  <c r="Y1748" i="19"/>
  <c r="A1748" i="19"/>
  <c r="Y1747" i="19"/>
  <c r="A1747" i="19"/>
  <c r="Y1746" i="19"/>
  <c r="A1746" i="19"/>
  <c r="Y1745" i="19"/>
  <c r="A1745" i="19"/>
  <c r="Y1744" i="19"/>
  <c r="A1744" i="19"/>
  <c r="Y1743" i="19"/>
  <c r="A1743" i="19"/>
  <c r="Y1742" i="19"/>
  <c r="A1742" i="19"/>
  <c r="Y1741" i="19"/>
  <c r="A1741" i="19"/>
  <c r="Y1740" i="19"/>
  <c r="A1740" i="19"/>
  <c r="Y1739" i="19"/>
  <c r="A1739" i="19"/>
  <c r="Y1738" i="19"/>
  <c r="A1738" i="19"/>
  <c r="Y1737" i="19"/>
  <c r="A1737" i="19"/>
  <c r="Y1736" i="19"/>
  <c r="A1736" i="19"/>
  <c r="Y1735" i="19"/>
  <c r="A1735" i="19"/>
  <c r="Y1734" i="19"/>
  <c r="A1734" i="19"/>
  <c r="Y1733" i="19"/>
  <c r="A1733" i="19"/>
  <c r="Y1732" i="19"/>
  <c r="A1732" i="19"/>
  <c r="Y1731" i="19"/>
  <c r="A1731" i="19"/>
  <c r="Y1730" i="19"/>
  <c r="A1730" i="19"/>
  <c r="Y1729" i="19"/>
  <c r="A1729" i="19"/>
  <c r="Y1728" i="19"/>
  <c r="A1728" i="19"/>
  <c r="Y1727" i="19"/>
  <c r="A1727" i="19"/>
  <c r="Y1726" i="19"/>
  <c r="A1726" i="19"/>
  <c r="Y1725" i="19"/>
  <c r="A1725" i="19"/>
  <c r="Y1724" i="19"/>
  <c r="A1724" i="19"/>
  <c r="Y1723" i="19"/>
  <c r="A1723" i="19"/>
  <c r="Y1722" i="19"/>
  <c r="A1722" i="19"/>
  <c r="Y1721" i="19"/>
  <c r="A1721" i="19"/>
  <c r="Y1720" i="19"/>
  <c r="A1720" i="19"/>
  <c r="Y1719" i="19"/>
  <c r="A1719" i="19"/>
  <c r="Y1718" i="19"/>
  <c r="A1718" i="19"/>
  <c r="Y1717" i="19"/>
  <c r="A1717" i="19"/>
  <c r="Y1716" i="19"/>
  <c r="A1716" i="19"/>
  <c r="Y1715" i="19"/>
  <c r="A1715" i="19"/>
  <c r="Y1714" i="19"/>
  <c r="A1714" i="19"/>
  <c r="Y1713" i="19"/>
  <c r="A1713" i="19"/>
  <c r="Y1712" i="19"/>
  <c r="A1712" i="19"/>
  <c r="Y1711" i="19"/>
  <c r="A1711" i="19"/>
  <c r="Y1710" i="19"/>
  <c r="A1710" i="19"/>
  <c r="Y1709" i="19"/>
  <c r="A1709" i="19"/>
  <c r="Y1708" i="19"/>
  <c r="A1708" i="19"/>
  <c r="Y1707" i="19"/>
  <c r="A1707" i="19"/>
  <c r="Y1706" i="19"/>
  <c r="A1706" i="19"/>
  <c r="Y1705" i="19"/>
  <c r="A1705" i="19"/>
  <c r="Y1704" i="19"/>
  <c r="A1704" i="19"/>
  <c r="Y1703" i="19"/>
  <c r="A1703" i="19"/>
  <c r="Y1702" i="19"/>
  <c r="A1702" i="19"/>
  <c r="Y1701" i="19"/>
  <c r="A1701" i="19"/>
  <c r="Y1700" i="19"/>
  <c r="A1700" i="19"/>
  <c r="Y1699" i="19"/>
  <c r="A1699" i="19"/>
  <c r="Y1698" i="19"/>
  <c r="A1698" i="19"/>
  <c r="Y1697" i="19"/>
  <c r="A1697" i="19"/>
  <c r="Y1696" i="19"/>
  <c r="A1696" i="19"/>
  <c r="Y1695" i="19"/>
  <c r="A1695" i="19"/>
  <c r="Y1694" i="19"/>
  <c r="A1694" i="19"/>
  <c r="Y1693" i="19"/>
  <c r="A1693" i="19"/>
  <c r="Y1692" i="19"/>
  <c r="A1692" i="19"/>
  <c r="Y1691" i="19"/>
  <c r="A1691" i="19"/>
  <c r="Y1690" i="19"/>
  <c r="A1690" i="19"/>
  <c r="Y1689" i="19"/>
  <c r="A1689" i="19"/>
  <c r="Y1688" i="19"/>
  <c r="A1688" i="19"/>
  <c r="Y1687" i="19"/>
  <c r="A1687" i="19"/>
  <c r="Y1686" i="19"/>
  <c r="A1686" i="19"/>
  <c r="Y1685" i="19"/>
  <c r="A1685" i="19"/>
  <c r="Y1684" i="19"/>
  <c r="A1684" i="19"/>
  <c r="Y1683" i="19"/>
  <c r="A1683" i="19"/>
  <c r="Y1682" i="19"/>
  <c r="A1682" i="19"/>
  <c r="Y1681" i="19"/>
  <c r="A1681" i="19"/>
  <c r="Y1680" i="19"/>
  <c r="A1680" i="19"/>
  <c r="Y1679" i="19"/>
  <c r="A1679" i="19"/>
  <c r="Y1678" i="19"/>
  <c r="A1678" i="19"/>
  <c r="Y1677" i="19"/>
  <c r="A1677" i="19"/>
  <c r="Y1676" i="19"/>
  <c r="A1676" i="19"/>
  <c r="Y1675" i="19"/>
  <c r="A1675" i="19"/>
  <c r="Y1674" i="19"/>
  <c r="A1674" i="19"/>
  <c r="Y1673" i="19"/>
  <c r="A1673" i="19"/>
  <c r="Y1672" i="19"/>
  <c r="A1672" i="19"/>
  <c r="Y1671" i="19"/>
  <c r="A1671" i="19"/>
  <c r="Y1670" i="19"/>
  <c r="A1670" i="19"/>
  <c r="Y1669" i="19"/>
  <c r="A1669" i="19"/>
  <c r="Y1668" i="19"/>
  <c r="A1668" i="19"/>
  <c r="Y1667" i="19"/>
  <c r="A1667" i="19"/>
  <c r="Y1666" i="19"/>
  <c r="A1666" i="19"/>
  <c r="Y1665" i="19"/>
  <c r="A1665" i="19"/>
  <c r="Y1664" i="19"/>
  <c r="A1664" i="19"/>
  <c r="Y1663" i="19"/>
  <c r="A1663" i="19"/>
  <c r="Y1662" i="19"/>
  <c r="A1662" i="19"/>
  <c r="Y1661" i="19"/>
  <c r="A1661" i="19"/>
  <c r="Y1660" i="19"/>
  <c r="A1660" i="19"/>
  <c r="Y1659" i="19"/>
  <c r="A1659" i="19"/>
  <c r="Y1658" i="19"/>
  <c r="A1658" i="19"/>
  <c r="Y1657" i="19"/>
  <c r="A1657" i="19"/>
  <c r="Y1656" i="19"/>
  <c r="A1656" i="19"/>
  <c r="Y1655" i="19"/>
  <c r="A1655" i="19"/>
  <c r="Y1654" i="19"/>
  <c r="A1654" i="19"/>
  <c r="Y1653" i="19"/>
  <c r="A1653" i="19"/>
  <c r="Y1652" i="19"/>
  <c r="A1652" i="19"/>
  <c r="Y1651" i="19"/>
  <c r="A1651" i="19"/>
  <c r="Y1650" i="19"/>
  <c r="A1650" i="19"/>
  <c r="Y1649" i="19"/>
  <c r="A1649" i="19"/>
  <c r="Y1648" i="19"/>
  <c r="A1648" i="19"/>
  <c r="Y1647" i="19"/>
  <c r="A1647" i="19"/>
  <c r="Y1646" i="19"/>
  <c r="A1646" i="19"/>
  <c r="Y1645" i="19"/>
  <c r="A1645" i="19"/>
  <c r="Y1644" i="19"/>
  <c r="A1644" i="19"/>
  <c r="Y1643" i="19"/>
  <c r="A1643" i="19"/>
  <c r="Y1642" i="19"/>
  <c r="A1642" i="19"/>
  <c r="Y1641" i="19"/>
  <c r="A1641" i="19"/>
  <c r="Y1640" i="19"/>
  <c r="A1640" i="19"/>
  <c r="Y1639" i="19"/>
  <c r="A1639" i="19"/>
  <c r="Y1638" i="19"/>
  <c r="A1638" i="19"/>
  <c r="Y1637" i="19"/>
  <c r="A1637" i="19"/>
  <c r="Y1636" i="19"/>
  <c r="A1636" i="19"/>
  <c r="Y1635" i="19"/>
  <c r="A1635" i="19"/>
  <c r="Y1634" i="19"/>
  <c r="A1634" i="19"/>
  <c r="Y1633" i="19"/>
  <c r="A1633" i="19"/>
  <c r="Y1632" i="19"/>
  <c r="A1632" i="19"/>
  <c r="Y1631" i="19"/>
  <c r="A1631" i="19"/>
  <c r="Y1630" i="19"/>
  <c r="A1630" i="19"/>
  <c r="Y1629" i="19"/>
  <c r="A1629" i="19"/>
  <c r="Y1628" i="19"/>
  <c r="A1628" i="19"/>
  <c r="Y1627" i="19"/>
  <c r="A1627" i="19"/>
  <c r="Y1626" i="19"/>
  <c r="A1626" i="19"/>
  <c r="Y1625" i="19"/>
  <c r="A1625" i="19"/>
  <c r="Y1624" i="19"/>
  <c r="A1624" i="19"/>
  <c r="Y1623" i="19"/>
  <c r="A1623" i="19"/>
  <c r="Y1622" i="19"/>
  <c r="A1622" i="19"/>
  <c r="Y1621" i="19"/>
  <c r="A1621" i="19"/>
  <c r="Y1620" i="19"/>
  <c r="A1620" i="19"/>
  <c r="Y1619" i="19"/>
  <c r="A1619" i="19"/>
  <c r="Y1618" i="19"/>
  <c r="A1618" i="19"/>
  <c r="Y1617" i="19"/>
  <c r="A1617" i="19"/>
  <c r="Y1616" i="19"/>
  <c r="A1616" i="19"/>
  <c r="Y1615" i="19"/>
  <c r="A1615" i="19"/>
  <c r="Y1614" i="19"/>
  <c r="A1614" i="19"/>
  <c r="Y1613" i="19"/>
  <c r="A1613" i="19"/>
  <c r="Y1612" i="19"/>
  <c r="A1612" i="19"/>
  <c r="Y1611" i="19"/>
  <c r="A1611" i="19"/>
  <c r="Y1610" i="19"/>
  <c r="A1610" i="19"/>
  <c r="Y1609" i="19"/>
  <c r="A1609" i="19"/>
  <c r="Y1608" i="19"/>
  <c r="A1608" i="19"/>
  <c r="Y1607" i="19"/>
  <c r="A1607" i="19"/>
  <c r="Y1606" i="19"/>
  <c r="A1606" i="19"/>
  <c r="Y1605" i="19"/>
  <c r="A1605" i="19"/>
  <c r="Y1604" i="19"/>
  <c r="A1604" i="19"/>
  <c r="Y1603" i="19"/>
  <c r="A1603" i="19"/>
  <c r="Y1602" i="19"/>
  <c r="A1602" i="19"/>
  <c r="Y1601" i="19"/>
  <c r="A1601" i="19"/>
  <c r="Y1600" i="19"/>
  <c r="A1600" i="19"/>
  <c r="Y1599" i="19"/>
  <c r="A1599" i="19"/>
  <c r="Y1598" i="19"/>
  <c r="A1598" i="19"/>
  <c r="Y1597" i="19"/>
  <c r="A1597" i="19"/>
  <c r="Y1596" i="19"/>
  <c r="A1596" i="19"/>
  <c r="Y1595" i="19"/>
  <c r="A1595" i="19"/>
  <c r="Y1594" i="19"/>
  <c r="A1594" i="19"/>
  <c r="Y1593" i="19"/>
  <c r="A1593" i="19"/>
  <c r="Y1592" i="19"/>
  <c r="A1592" i="19"/>
  <c r="Y1591" i="19"/>
  <c r="A1591" i="19"/>
  <c r="Y1590" i="19"/>
  <c r="A1590" i="19"/>
  <c r="Y1589" i="19"/>
  <c r="A1589" i="19"/>
  <c r="Y1588" i="19"/>
  <c r="A1588" i="19"/>
  <c r="Y1587" i="19"/>
  <c r="A1587" i="19"/>
  <c r="Y1586" i="19"/>
  <c r="A1586" i="19"/>
  <c r="Y1585" i="19"/>
  <c r="A1585" i="19"/>
  <c r="Y1584" i="19"/>
  <c r="A1584" i="19"/>
  <c r="Y1583" i="19"/>
  <c r="A1583" i="19"/>
  <c r="Y1582" i="19"/>
  <c r="A1582" i="19"/>
  <c r="Y1581" i="19"/>
  <c r="A1581" i="19"/>
  <c r="Y1580" i="19"/>
  <c r="A1580" i="19"/>
  <c r="Y1579" i="19"/>
  <c r="A1579" i="19"/>
  <c r="Y1578" i="19"/>
  <c r="A1578" i="19"/>
  <c r="Y1577" i="19"/>
  <c r="A1577" i="19"/>
  <c r="Y1576" i="19"/>
  <c r="A1576" i="19"/>
  <c r="Y1575" i="19"/>
  <c r="A1575" i="19"/>
  <c r="Y1574" i="19"/>
  <c r="A1574" i="19"/>
  <c r="Y1573" i="19"/>
  <c r="A1573" i="19"/>
  <c r="Y1572" i="19"/>
  <c r="A1572" i="19"/>
  <c r="Y1571" i="19"/>
  <c r="A1571" i="19"/>
  <c r="Y1570" i="19"/>
  <c r="A1570" i="19"/>
  <c r="Y1569" i="19"/>
  <c r="A1569" i="19"/>
  <c r="Y1568" i="19"/>
  <c r="A1568" i="19"/>
  <c r="Y1567" i="19"/>
  <c r="A1567" i="19"/>
  <c r="Y1566" i="19"/>
  <c r="A1566" i="19"/>
  <c r="Y1565" i="19"/>
  <c r="A1565" i="19"/>
  <c r="Y1564" i="19"/>
  <c r="A1564" i="19"/>
  <c r="Y1563" i="19"/>
  <c r="A1563" i="19"/>
  <c r="Y1562" i="19"/>
  <c r="A1562" i="19"/>
  <c r="Y1561" i="19"/>
  <c r="A1561" i="19"/>
  <c r="Y1560" i="19"/>
  <c r="A1560" i="19"/>
  <c r="Y1559" i="19"/>
  <c r="A1559" i="19"/>
  <c r="Y1558" i="19"/>
  <c r="A1558" i="19"/>
  <c r="Y1557" i="19"/>
  <c r="A1557" i="19"/>
  <c r="Y1556" i="19"/>
  <c r="A1556" i="19"/>
  <c r="Y1555" i="19"/>
  <c r="A1555" i="19"/>
  <c r="Y1554" i="19"/>
  <c r="A1554" i="19"/>
  <c r="Y1553" i="19"/>
  <c r="A1553" i="19"/>
  <c r="Y1552" i="19"/>
  <c r="A1552" i="19"/>
  <c r="Y1551" i="19"/>
  <c r="A1551" i="19"/>
  <c r="Y1550" i="19"/>
  <c r="A1550" i="19"/>
  <c r="Y1549" i="19"/>
  <c r="A1549" i="19"/>
  <c r="Y1548" i="19"/>
  <c r="A1548" i="19"/>
  <c r="Y1547" i="19"/>
  <c r="A1547" i="19"/>
  <c r="Y1546" i="19"/>
  <c r="A1546" i="19"/>
  <c r="Y1545" i="19"/>
  <c r="A1545" i="19"/>
  <c r="Y1544" i="19"/>
  <c r="A1544" i="19"/>
  <c r="Y1543" i="19"/>
  <c r="A1543" i="19"/>
  <c r="Y1542" i="19"/>
  <c r="A1542" i="19"/>
  <c r="Y1541" i="19"/>
  <c r="A1541" i="19"/>
  <c r="Y1540" i="19"/>
  <c r="A1540" i="19"/>
  <c r="Y1539" i="19"/>
  <c r="A1539" i="19"/>
  <c r="Y1538" i="19"/>
  <c r="A1538" i="19"/>
  <c r="Y1537" i="19"/>
  <c r="A1537" i="19"/>
  <c r="Y1536" i="19"/>
  <c r="A1536" i="19"/>
  <c r="Y1535" i="19"/>
  <c r="A1535" i="19"/>
  <c r="Y1534" i="19"/>
  <c r="A1534" i="19"/>
  <c r="Y1533" i="19"/>
  <c r="A1533" i="19"/>
  <c r="Y1532" i="19"/>
  <c r="A1532" i="19"/>
  <c r="Y1531" i="19"/>
  <c r="A1531" i="19"/>
  <c r="Y1530" i="19"/>
  <c r="A1530" i="19"/>
  <c r="Y1529" i="19"/>
  <c r="A1529" i="19"/>
  <c r="Y1528" i="19"/>
  <c r="A1528" i="19"/>
  <c r="Y1527" i="19"/>
  <c r="A1527" i="19"/>
  <c r="Y1526" i="19"/>
  <c r="A1526" i="19"/>
  <c r="Y1525" i="19"/>
  <c r="A1525" i="19"/>
  <c r="Y1524" i="19"/>
  <c r="A1524" i="19"/>
  <c r="Y1523" i="19"/>
  <c r="A1523" i="19"/>
  <c r="Y1522" i="19"/>
  <c r="A1522" i="19"/>
  <c r="Y1521" i="19"/>
  <c r="A1521" i="19"/>
  <c r="Y1520" i="19"/>
  <c r="A1520" i="19"/>
  <c r="Y1519" i="19"/>
  <c r="A1519" i="19"/>
  <c r="Y1518" i="19"/>
  <c r="A1518" i="19"/>
  <c r="Y1517" i="19"/>
  <c r="A1517" i="19"/>
  <c r="Y1516" i="19"/>
  <c r="A1516" i="19"/>
  <c r="Y1515" i="19"/>
  <c r="A1515" i="19"/>
  <c r="Y1514" i="19"/>
  <c r="A1514" i="19"/>
  <c r="Y1513" i="19"/>
  <c r="A1513" i="19"/>
  <c r="Y1512" i="19"/>
  <c r="A1512" i="19"/>
  <c r="Y1511" i="19"/>
  <c r="A1511" i="19"/>
  <c r="Y1510" i="19"/>
  <c r="A1510" i="19"/>
  <c r="Y1509" i="19"/>
  <c r="A1509" i="19"/>
  <c r="Y1508" i="19"/>
  <c r="A1508" i="19"/>
  <c r="Y1507" i="19"/>
  <c r="A1507" i="19"/>
  <c r="Y1506" i="19"/>
  <c r="A1506" i="19"/>
  <c r="Y1505" i="19"/>
  <c r="A1505" i="19"/>
  <c r="Y1504" i="19"/>
  <c r="A1504" i="19"/>
  <c r="Y1503" i="19"/>
  <c r="A1503" i="19"/>
  <c r="Y1502" i="19"/>
  <c r="A1502" i="19"/>
  <c r="Y1501" i="19"/>
  <c r="A1501" i="19"/>
  <c r="Y1500" i="19"/>
  <c r="A1500" i="19"/>
  <c r="Y1499" i="19"/>
  <c r="A1499" i="19"/>
  <c r="Y1498" i="19"/>
  <c r="A1498" i="19"/>
  <c r="Y1497" i="19"/>
  <c r="A1497" i="19"/>
  <c r="Y1496" i="19"/>
  <c r="A1496" i="19"/>
  <c r="Y1495" i="19"/>
  <c r="A1495" i="19"/>
  <c r="Y1494" i="19"/>
  <c r="A1494" i="19"/>
  <c r="Y1493" i="19"/>
  <c r="A1493" i="19"/>
  <c r="Y1492" i="19"/>
  <c r="A1492" i="19"/>
  <c r="Y1491" i="19"/>
  <c r="A1491" i="19"/>
  <c r="Y1490" i="19"/>
  <c r="A1490" i="19"/>
  <c r="Y1489" i="19"/>
  <c r="A1489" i="19"/>
  <c r="Y1488" i="19"/>
  <c r="A1488" i="19"/>
  <c r="Y1487" i="19"/>
  <c r="A1487" i="19"/>
  <c r="Y1486" i="19"/>
  <c r="A1486" i="19"/>
  <c r="Y1485" i="19"/>
  <c r="A1485" i="19"/>
  <c r="Y1484" i="19"/>
  <c r="A1484" i="19"/>
  <c r="Y1483" i="19"/>
  <c r="A1483" i="19"/>
  <c r="Y1482" i="19"/>
  <c r="A1482" i="19"/>
  <c r="Y1481" i="19"/>
  <c r="A1481" i="19"/>
  <c r="Y1480" i="19"/>
  <c r="A1480" i="19"/>
  <c r="Y1479" i="19"/>
  <c r="A1479" i="19"/>
  <c r="Y1478" i="19"/>
  <c r="A1478" i="19"/>
  <c r="Y1477" i="19"/>
  <c r="A1477" i="19"/>
  <c r="Y1476" i="19"/>
  <c r="A1476" i="19"/>
  <c r="Y1475" i="19"/>
  <c r="A1475" i="19"/>
  <c r="Y1474" i="19"/>
  <c r="A1474" i="19"/>
  <c r="Y1473" i="19"/>
  <c r="A1473" i="19"/>
  <c r="Y1472" i="19"/>
  <c r="A1472" i="19"/>
  <c r="Y1471" i="19"/>
  <c r="A1471" i="19"/>
  <c r="Y1470" i="19"/>
  <c r="A1470" i="19"/>
  <c r="Y1469" i="19"/>
  <c r="A1469" i="19"/>
  <c r="Y1468" i="19"/>
  <c r="A1468" i="19"/>
  <c r="Y1467" i="19"/>
  <c r="A1467" i="19"/>
  <c r="Y1466" i="19"/>
  <c r="A1466" i="19"/>
  <c r="Y1465" i="19"/>
  <c r="A1465" i="19"/>
  <c r="Y1464" i="19"/>
  <c r="A1464" i="19"/>
  <c r="Y1463" i="19"/>
  <c r="A1463" i="19"/>
  <c r="Y1462" i="19"/>
  <c r="A1462" i="19"/>
  <c r="Y1461" i="19"/>
  <c r="A1461" i="19"/>
  <c r="Y1460" i="19"/>
  <c r="A1460" i="19"/>
  <c r="Y1459" i="19"/>
  <c r="A1459" i="19"/>
  <c r="Y1458" i="19"/>
  <c r="A1458" i="19"/>
  <c r="Y1457" i="19"/>
  <c r="A1457" i="19"/>
  <c r="Y1456" i="19"/>
  <c r="A1456" i="19"/>
  <c r="Y1455" i="19"/>
  <c r="A1455" i="19"/>
  <c r="Y1454" i="19"/>
  <c r="A1454" i="19"/>
  <c r="Y1453" i="19"/>
  <c r="A1453" i="19"/>
  <c r="Y1452" i="19"/>
  <c r="A1452" i="19"/>
  <c r="Y1451" i="19"/>
  <c r="A1451" i="19"/>
  <c r="Y1450" i="19"/>
  <c r="A1450" i="19"/>
  <c r="Y1449" i="19"/>
  <c r="A1449" i="19"/>
  <c r="Y1448" i="19"/>
  <c r="A1448" i="19"/>
  <c r="Y1447" i="19"/>
  <c r="A1447" i="19"/>
  <c r="Y1446" i="19"/>
  <c r="A1446" i="19"/>
  <c r="Y1445" i="19"/>
  <c r="A1445" i="19"/>
  <c r="Y1444" i="19"/>
  <c r="A1444" i="19"/>
  <c r="Y1443" i="19"/>
  <c r="A1443" i="19"/>
  <c r="Y1442" i="19"/>
  <c r="A1442" i="19"/>
  <c r="Y1441" i="19"/>
  <c r="A1441" i="19"/>
  <c r="Y1440" i="19"/>
  <c r="A1440" i="19"/>
  <c r="Y1439" i="19"/>
  <c r="A1439" i="19"/>
  <c r="Y1438" i="19"/>
  <c r="A1438" i="19"/>
  <c r="Y1437" i="19"/>
  <c r="A1437" i="19"/>
  <c r="Y1436" i="19"/>
  <c r="A1436" i="19"/>
  <c r="Y1435" i="19"/>
  <c r="A1435" i="19"/>
  <c r="Y1434" i="19"/>
  <c r="A1434" i="19"/>
  <c r="Y1433" i="19"/>
  <c r="A1433" i="19"/>
  <c r="Y1432" i="19"/>
  <c r="A1432" i="19"/>
  <c r="Y1431" i="19"/>
  <c r="A1431" i="19"/>
  <c r="Y1430" i="19"/>
  <c r="A1430" i="19"/>
  <c r="Y1429" i="19"/>
  <c r="A1429" i="19"/>
  <c r="Y1428" i="19"/>
  <c r="A1428" i="19"/>
  <c r="Y1427" i="19"/>
  <c r="A1427" i="19"/>
  <c r="Y1426" i="19"/>
  <c r="A1426" i="19"/>
  <c r="Y1425" i="19"/>
  <c r="A1425" i="19"/>
  <c r="Y1424" i="19"/>
  <c r="A1424" i="19"/>
  <c r="Y1423" i="19"/>
  <c r="A1423" i="19"/>
  <c r="Y1422" i="19"/>
  <c r="A1422" i="19"/>
  <c r="Y1421" i="19"/>
  <c r="A1421" i="19"/>
  <c r="Y1420" i="19"/>
  <c r="A1420" i="19"/>
  <c r="Y1419" i="19"/>
  <c r="A1419" i="19"/>
  <c r="Y1418" i="19"/>
  <c r="A1418" i="19"/>
  <c r="Y1417" i="19"/>
  <c r="A1417" i="19"/>
  <c r="Y1416" i="19"/>
  <c r="A1416" i="19"/>
  <c r="Y1415" i="19"/>
  <c r="A1415" i="19"/>
  <c r="Y1414" i="19"/>
  <c r="A1414" i="19"/>
  <c r="Y1413" i="19"/>
  <c r="A1413" i="19"/>
  <c r="Y1412" i="19"/>
  <c r="A1412" i="19"/>
  <c r="Y1411" i="19"/>
  <c r="A1411" i="19"/>
  <c r="Y1410" i="19"/>
  <c r="A1410" i="19"/>
  <c r="Y1409" i="19"/>
  <c r="A1409" i="19"/>
  <c r="Y1408" i="19"/>
  <c r="A1408" i="19"/>
  <c r="Y1407" i="19"/>
  <c r="A1407" i="19"/>
  <c r="Y1406" i="19"/>
  <c r="A1406" i="19"/>
  <c r="Y1405" i="19"/>
  <c r="A1405" i="19"/>
  <c r="Y1404" i="19"/>
  <c r="A1404" i="19"/>
  <c r="Y1403" i="19"/>
  <c r="A1403" i="19"/>
  <c r="Y1402" i="19"/>
  <c r="A1402" i="19"/>
  <c r="Y1401" i="19"/>
  <c r="A1401" i="19"/>
  <c r="Y1400" i="19"/>
  <c r="A1400" i="19"/>
  <c r="Y1399" i="19"/>
  <c r="A1399" i="19"/>
  <c r="Y1398" i="19"/>
  <c r="A1398" i="19"/>
  <c r="Y1397" i="19"/>
  <c r="A1397" i="19"/>
  <c r="Y1396" i="19"/>
  <c r="A1396" i="19"/>
  <c r="Y1395" i="19"/>
  <c r="A1395" i="19"/>
  <c r="Y1394" i="19"/>
  <c r="A1394" i="19"/>
  <c r="Y1393" i="19"/>
  <c r="A1393" i="19"/>
  <c r="Y1392" i="19"/>
  <c r="A1392" i="19"/>
  <c r="Y1391" i="19"/>
  <c r="A1391" i="19"/>
  <c r="Y1390" i="19"/>
  <c r="A1390" i="19"/>
  <c r="Y1389" i="19"/>
  <c r="A1389" i="19"/>
  <c r="Y1388" i="19"/>
  <c r="A1388" i="19"/>
  <c r="Y1387" i="19"/>
  <c r="A1387" i="19"/>
  <c r="Y1386" i="19"/>
  <c r="A1386" i="19"/>
  <c r="Y1385" i="19"/>
  <c r="A1385" i="19"/>
  <c r="Y1384" i="19"/>
  <c r="A1384" i="19"/>
  <c r="Y1383" i="19"/>
  <c r="A1383" i="19"/>
  <c r="Y1382" i="19"/>
  <c r="A1382" i="19"/>
  <c r="Y1381" i="19"/>
  <c r="A1381" i="19"/>
  <c r="Y1380" i="19"/>
  <c r="A1380" i="19"/>
  <c r="Y1379" i="19"/>
  <c r="A1379" i="19"/>
  <c r="Y1378" i="19"/>
  <c r="A1378" i="19"/>
  <c r="Y1377" i="19"/>
  <c r="A1377" i="19"/>
  <c r="Y1376" i="19"/>
  <c r="A1376" i="19"/>
  <c r="Y1375" i="19"/>
  <c r="A1375" i="19"/>
  <c r="Y1374" i="19"/>
  <c r="A1374" i="19"/>
  <c r="Y1373" i="19"/>
  <c r="A1373" i="19"/>
  <c r="Y1372" i="19"/>
  <c r="A1372" i="19"/>
  <c r="Y1371" i="19"/>
  <c r="A1371" i="19"/>
  <c r="Y1370" i="19"/>
  <c r="A1370" i="19"/>
  <c r="Y1369" i="19"/>
  <c r="A1369" i="19"/>
  <c r="Y1368" i="19"/>
  <c r="A1368" i="19"/>
  <c r="Y1367" i="19"/>
  <c r="A1367" i="19"/>
  <c r="Y1366" i="19"/>
  <c r="A1366" i="19"/>
  <c r="Y1365" i="19"/>
  <c r="A1365" i="19"/>
  <c r="Y1364" i="19"/>
  <c r="A1364" i="19"/>
  <c r="Y1363" i="19"/>
  <c r="A1363" i="19"/>
  <c r="Y1362" i="19"/>
  <c r="A1362" i="19"/>
  <c r="Y1361" i="19"/>
  <c r="A1361" i="19"/>
  <c r="Y1360" i="19"/>
  <c r="A1360" i="19"/>
  <c r="Y1359" i="19"/>
  <c r="A1359" i="19"/>
  <c r="Y1358" i="19"/>
  <c r="A1358" i="19"/>
  <c r="Y1357" i="19"/>
  <c r="A1357" i="19"/>
  <c r="Y1356" i="19"/>
  <c r="A1356" i="19"/>
  <c r="Y1355" i="19"/>
  <c r="A1355" i="19"/>
  <c r="Y1354" i="19"/>
  <c r="A1354" i="19"/>
  <c r="Y1353" i="19"/>
  <c r="A1353" i="19"/>
  <c r="Y1352" i="19"/>
  <c r="A1352" i="19"/>
  <c r="Y1351" i="19"/>
  <c r="A1351" i="19"/>
  <c r="Y1350" i="19"/>
  <c r="A1350" i="19"/>
  <c r="Y1349" i="19"/>
  <c r="A1349" i="19"/>
  <c r="Y1348" i="19"/>
  <c r="A1348" i="19"/>
  <c r="Y1347" i="19"/>
  <c r="A1347" i="19"/>
  <c r="Y1346" i="19"/>
  <c r="A1346" i="19"/>
  <c r="Y1345" i="19"/>
  <c r="A1345" i="19"/>
  <c r="Y1344" i="19"/>
  <c r="A1344" i="19"/>
  <c r="Y1343" i="19"/>
  <c r="A1343" i="19"/>
  <c r="Y1342" i="19"/>
  <c r="A1342" i="19"/>
  <c r="Y1341" i="19"/>
  <c r="A1341" i="19"/>
  <c r="Y1340" i="19"/>
  <c r="A1340" i="19"/>
  <c r="Y1339" i="19"/>
  <c r="A1339" i="19"/>
  <c r="Y1338" i="19"/>
  <c r="A1338" i="19"/>
  <c r="Y1337" i="19"/>
  <c r="A1337" i="19"/>
  <c r="Y1336" i="19"/>
  <c r="A1336" i="19"/>
  <c r="Y1335" i="19"/>
  <c r="A1335" i="19"/>
  <c r="Y1334" i="19"/>
  <c r="A1334" i="19"/>
  <c r="Y1333" i="19"/>
  <c r="A1333" i="19"/>
  <c r="Y1332" i="19"/>
  <c r="A1332" i="19"/>
  <c r="Y1331" i="19"/>
  <c r="A1331" i="19"/>
  <c r="Y1330" i="19"/>
  <c r="A1330" i="19"/>
  <c r="Y1329" i="19"/>
  <c r="A1329" i="19"/>
  <c r="Y1328" i="19"/>
  <c r="A1328" i="19"/>
  <c r="Y1327" i="19"/>
  <c r="A1327" i="19"/>
  <c r="Y1326" i="19"/>
  <c r="A1326" i="19"/>
  <c r="Y1325" i="19"/>
  <c r="A1325" i="19"/>
  <c r="Y1324" i="19"/>
  <c r="A1324" i="19"/>
  <c r="Y1323" i="19"/>
  <c r="A1323" i="19"/>
  <c r="Y1322" i="19"/>
  <c r="A1322" i="19"/>
  <c r="Y1321" i="19"/>
  <c r="A1321" i="19"/>
  <c r="Y1320" i="19"/>
  <c r="A1320" i="19"/>
  <c r="Y1319" i="19"/>
  <c r="A1319" i="19"/>
  <c r="Y1318" i="19"/>
  <c r="A1318" i="19"/>
  <c r="Y1317" i="19"/>
  <c r="A1317" i="19"/>
  <c r="Y1316" i="19"/>
  <c r="A1316" i="19"/>
  <c r="Y1315" i="19"/>
  <c r="A1315" i="19"/>
  <c r="Y1314" i="19"/>
  <c r="A1314" i="19"/>
  <c r="Y1313" i="19"/>
  <c r="A1313" i="19"/>
  <c r="Y1312" i="19"/>
  <c r="A1312" i="19"/>
  <c r="Y1311" i="19"/>
  <c r="A1311" i="19"/>
  <c r="Y1310" i="19"/>
  <c r="A1310" i="19"/>
  <c r="Y1309" i="19"/>
  <c r="A1309" i="19"/>
  <c r="Y1308" i="19"/>
  <c r="A1308" i="19"/>
  <c r="Y1307" i="19"/>
  <c r="A1307" i="19"/>
  <c r="Y1306" i="19"/>
  <c r="A1306" i="19"/>
  <c r="Y1305" i="19"/>
  <c r="A1305" i="19"/>
  <c r="Y1304" i="19"/>
  <c r="A1304" i="19"/>
  <c r="Y1303" i="19"/>
  <c r="A1303" i="19"/>
  <c r="Y1302" i="19"/>
  <c r="A1302" i="19"/>
  <c r="Y1301" i="19"/>
  <c r="A1301" i="19"/>
  <c r="Y1300" i="19"/>
  <c r="A1300" i="19"/>
  <c r="Y1299" i="19"/>
  <c r="A1299" i="19"/>
  <c r="Y1298" i="19"/>
  <c r="A1298" i="19"/>
  <c r="Y1297" i="19"/>
  <c r="A1297" i="19"/>
  <c r="Y1296" i="19"/>
  <c r="A1296" i="19"/>
  <c r="Y1295" i="19"/>
  <c r="A1295" i="19"/>
  <c r="Y1294" i="19"/>
  <c r="A1294" i="19"/>
  <c r="Y1293" i="19"/>
  <c r="A1293" i="19"/>
  <c r="Y1292" i="19"/>
  <c r="A1292" i="19"/>
  <c r="Y1291" i="19"/>
  <c r="A1291" i="19"/>
  <c r="Y1290" i="19"/>
  <c r="A1290" i="19"/>
  <c r="Y1289" i="19"/>
  <c r="A1289" i="19"/>
  <c r="Y1288" i="19"/>
  <c r="A1288" i="19"/>
  <c r="Y1287" i="19"/>
  <c r="A1287" i="19"/>
  <c r="Y1286" i="19"/>
  <c r="A1286" i="19"/>
  <c r="Y1285" i="19"/>
  <c r="A1285" i="19"/>
  <c r="Y1284" i="19"/>
  <c r="A1284" i="19"/>
  <c r="Y1283" i="19"/>
  <c r="A1283" i="19"/>
  <c r="Y1282" i="19"/>
  <c r="A1282" i="19"/>
  <c r="Y1281" i="19"/>
  <c r="A1281" i="19"/>
  <c r="Y1280" i="19"/>
  <c r="A1280" i="19"/>
  <c r="Y1279" i="19"/>
  <c r="A1279" i="19"/>
  <c r="Y1278" i="19"/>
  <c r="A1278" i="19"/>
  <c r="Y1277" i="19"/>
  <c r="A1277" i="19"/>
  <c r="Y1276" i="19"/>
  <c r="A1276" i="19"/>
  <c r="Y1275" i="19"/>
  <c r="A1275" i="19"/>
  <c r="Y1274" i="19"/>
  <c r="A1274" i="19"/>
  <c r="Y1273" i="19"/>
  <c r="A1273" i="19"/>
  <c r="Y1272" i="19"/>
  <c r="A1272" i="19"/>
  <c r="Y1271" i="19"/>
  <c r="A1271" i="19"/>
  <c r="Y1270" i="19"/>
  <c r="A1270" i="19"/>
  <c r="Y1269" i="19"/>
  <c r="A1269" i="19"/>
  <c r="Y1268" i="19"/>
  <c r="A1268" i="19"/>
  <c r="Y1267" i="19"/>
  <c r="A1267" i="19"/>
  <c r="Y1266" i="19"/>
  <c r="A1266" i="19"/>
  <c r="Y1265" i="19"/>
  <c r="A1265" i="19"/>
  <c r="Y1264" i="19"/>
  <c r="A1264" i="19"/>
  <c r="Y1263" i="19"/>
  <c r="A1263" i="19"/>
  <c r="Y1262" i="19"/>
  <c r="A1262" i="19"/>
  <c r="Y1261" i="19"/>
  <c r="A1261" i="19"/>
  <c r="Y1260" i="19"/>
  <c r="A1260" i="19"/>
  <c r="Y1259" i="19"/>
  <c r="A1259" i="19"/>
  <c r="Y1258" i="19"/>
  <c r="A1258" i="19"/>
  <c r="Y1257" i="19"/>
  <c r="A1257" i="19"/>
  <c r="Y1256" i="19"/>
  <c r="A1256" i="19"/>
  <c r="Y1255" i="19"/>
  <c r="A1255" i="19"/>
  <c r="Y1254" i="19"/>
  <c r="A1254" i="19"/>
  <c r="Y1253" i="19"/>
  <c r="A1253" i="19"/>
  <c r="Y1252" i="19"/>
  <c r="A1252" i="19"/>
  <c r="Y1251" i="19"/>
  <c r="A1251" i="19"/>
  <c r="Y1250" i="19"/>
  <c r="A1250" i="19"/>
  <c r="Y1249" i="19"/>
  <c r="A1249" i="19"/>
  <c r="Y1248" i="19"/>
  <c r="A1248" i="19"/>
  <c r="Y1247" i="19"/>
  <c r="A1247" i="19"/>
  <c r="Y1246" i="19"/>
  <c r="A1246" i="19"/>
  <c r="Y1245" i="19"/>
  <c r="A1245" i="19"/>
  <c r="Y1244" i="19"/>
  <c r="A1244" i="19"/>
  <c r="Y1243" i="19"/>
  <c r="A1243" i="19"/>
  <c r="Y1242" i="19"/>
  <c r="A1242" i="19"/>
  <c r="Y1241" i="19"/>
  <c r="A1241" i="19"/>
  <c r="Y1240" i="19"/>
  <c r="A1240" i="19"/>
  <c r="Y1239" i="19"/>
  <c r="A1239" i="19"/>
  <c r="Y1238" i="19"/>
  <c r="A1238" i="19"/>
  <c r="Y1237" i="19"/>
  <c r="A1237" i="19"/>
  <c r="Y1236" i="19"/>
  <c r="A1236" i="19"/>
  <c r="Y1235" i="19"/>
  <c r="A1235" i="19"/>
  <c r="Y1234" i="19"/>
  <c r="A1234" i="19"/>
  <c r="Y1233" i="19"/>
  <c r="A1233" i="19"/>
  <c r="Y1232" i="19"/>
  <c r="A1232" i="19"/>
  <c r="Y1231" i="19"/>
  <c r="A1231" i="19"/>
  <c r="Y1230" i="19"/>
  <c r="A1230" i="19"/>
  <c r="Y1229" i="19"/>
  <c r="A1229" i="19"/>
  <c r="Y1228" i="19"/>
  <c r="A1228" i="19"/>
  <c r="Y1227" i="19"/>
  <c r="A1227" i="19"/>
  <c r="Y1226" i="19"/>
  <c r="A1226" i="19"/>
  <c r="Y1225" i="19"/>
  <c r="A1225" i="19"/>
  <c r="Y1224" i="19"/>
  <c r="A1224" i="19"/>
  <c r="Y1223" i="19"/>
  <c r="A1223" i="19"/>
  <c r="Y1222" i="19"/>
  <c r="A1222" i="19"/>
  <c r="Y1221" i="19"/>
  <c r="A1221" i="19"/>
  <c r="Y1220" i="19"/>
  <c r="A1220" i="19"/>
  <c r="Y1219" i="19"/>
  <c r="A1219" i="19"/>
  <c r="Y1218" i="19"/>
  <c r="A1218" i="19"/>
  <c r="Y1217" i="19"/>
  <c r="A1217" i="19"/>
  <c r="Y1216" i="19"/>
  <c r="A1216" i="19"/>
  <c r="Y1215" i="19"/>
  <c r="A1215" i="19"/>
  <c r="Y1214" i="19"/>
  <c r="A1214" i="19"/>
  <c r="Y1213" i="19"/>
  <c r="A1213" i="19"/>
  <c r="Y1212" i="19"/>
  <c r="A1212" i="19"/>
  <c r="Y1211" i="19"/>
  <c r="A1211" i="19"/>
  <c r="Y1210" i="19"/>
  <c r="A1210" i="19"/>
  <c r="Y1209" i="19"/>
  <c r="A1209" i="19"/>
  <c r="Y1208" i="19"/>
  <c r="A1208" i="19"/>
  <c r="Y1207" i="19"/>
  <c r="A1207" i="19"/>
  <c r="Y1206" i="19"/>
  <c r="A1206" i="19"/>
  <c r="Y1205" i="19"/>
  <c r="A1205" i="19"/>
  <c r="Y1204" i="19"/>
  <c r="A1204" i="19"/>
  <c r="Y1203" i="19"/>
  <c r="A1203" i="19"/>
  <c r="Y1202" i="19"/>
  <c r="A1202" i="19"/>
  <c r="Y1201" i="19"/>
  <c r="A1201" i="19"/>
  <c r="Y1200" i="19"/>
  <c r="A1200" i="19"/>
  <c r="Y1199" i="19"/>
  <c r="A1199" i="19"/>
  <c r="Y1198" i="19"/>
  <c r="A1198" i="19"/>
  <c r="Y1197" i="19"/>
  <c r="A1197" i="19"/>
  <c r="Y1196" i="19"/>
  <c r="A1196" i="19"/>
  <c r="Y1195" i="19"/>
  <c r="A1195" i="19"/>
  <c r="Y1194" i="19"/>
  <c r="A1194" i="19"/>
  <c r="Y1193" i="19"/>
  <c r="A1193" i="19"/>
  <c r="Y1192" i="19"/>
  <c r="A1192" i="19"/>
  <c r="Y1191" i="19"/>
  <c r="A1191" i="19"/>
  <c r="Y1190" i="19"/>
  <c r="A1190" i="19"/>
  <c r="Y1189" i="19"/>
  <c r="A1189" i="19"/>
  <c r="Y1188" i="19"/>
  <c r="A1188" i="19"/>
  <c r="Y1187" i="19"/>
  <c r="A1187" i="19"/>
  <c r="Y1186" i="19"/>
  <c r="A1186" i="19"/>
  <c r="Y1185" i="19"/>
  <c r="A1185" i="19"/>
  <c r="Y1184" i="19"/>
  <c r="A1184" i="19"/>
  <c r="Y1183" i="19"/>
  <c r="A1183" i="19"/>
  <c r="Y1182" i="19"/>
  <c r="A1182" i="19"/>
  <c r="Y1181" i="19"/>
  <c r="A1181" i="19"/>
  <c r="Y1180" i="19"/>
  <c r="A1180" i="19"/>
  <c r="Y1179" i="19"/>
  <c r="A1179" i="19"/>
  <c r="Y1178" i="19"/>
  <c r="A1178" i="19"/>
  <c r="Y1177" i="19"/>
  <c r="A1177" i="19"/>
  <c r="Y1176" i="19"/>
  <c r="A1176" i="19"/>
  <c r="Y1175" i="19"/>
  <c r="A1175" i="19"/>
  <c r="Y1174" i="19"/>
  <c r="A1174" i="19"/>
  <c r="Y1173" i="19"/>
  <c r="A1173" i="19"/>
  <c r="Y1172" i="19"/>
  <c r="A1172" i="19"/>
  <c r="Y1171" i="19"/>
  <c r="A1171" i="19"/>
  <c r="Y1170" i="19"/>
  <c r="A1170" i="19"/>
  <c r="Y1169" i="19"/>
  <c r="A1169" i="19"/>
  <c r="Y1168" i="19"/>
  <c r="A1168" i="19"/>
  <c r="Y1167" i="19"/>
  <c r="A1167" i="19"/>
  <c r="Y1166" i="19"/>
  <c r="A1166" i="19"/>
  <c r="Y1165" i="19"/>
  <c r="A1165" i="19"/>
  <c r="Y1164" i="19"/>
  <c r="A1164" i="19"/>
  <c r="Y1163" i="19"/>
  <c r="A1163" i="19"/>
  <c r="Y1162" i="19"/>
  <c r="A1162" i="19"/>
  <c r="Y1161" i="19"/>
  <c r="A1161" i="19"/>
  <c r="Y1160" i="19"/>
  <c r="A1160" i="19"/>
  <c r="Y1159" i="19"/>
  <c r="A1159" i="19"/>
  <c r="Y1158" i="19"/>
  <c r="A1158" i="19"/>
  <c r="Y1157" i="19"/>
  <c r="A1157" i="19"/>
  <c r="Y1156" i="19"/>
  <c r="A1156" i="19"/>
  <c r="Y1155" i="19"/>
  <c r="A1155" i="19"/>
  <c r="Y1154" i="19"/>
  <c r="A1154" i="19"/>
  <c r="Y1153" i="19"/>
  <c r="A1153" i="19"/>
  <c r="Y1152" i="19"/>
  <c r="A1152" i="19"/>
  <c r="Y1151" i="19"/>
  <c r="A1151" i="19"/>
  <c r="Y1150" i="19"/>
  <c r="A1150" i="19"/>
  <c r="Y1149" i="19"/>
  <c r="A1149" i="19"/>
  <c r="Y1148" i="19"/>
  <c r="A1148" i="19"/>
  <c r="Y1147" i="19"/>
  <c r="A1147" i="19"/>
  <c r="Y1146" i="19"/>
  <c r="A1146" i="19"/>
  <c r="Y1145" i="19"/>
  <c r="A1145" i="19"/>
  <c r="Y1144" i="19"/>
  <c r="A1144" i="19"/>
  <c r="Y1143" i="19"/>
  <c r="A1143" i="19"/>
  <c r="Y1142" i="19"/>
  <c r="A1142" i="19"/>
  <c r="Y1141" i="19"/>
  <c r="A1141" i="19"/>
  <c r="Y1140" i="19"/>
  <c r="A1140" i="19"/>
  <c r="Y1139" i="19"/>
  <c r="A1139" i="19"/>
  <c r="Y1138" i="19"/>
  <c r="A1138" i="19"/>
  <c r="Y1137" i="19"/>
  <c r="A1137" i="19"/>
  <c r="Y1136" i="19"/>
  <c r="A1136" i="19"/>
  <c r="Y1135" i="19"/>
  <c r="A1135" i="19"/>
  <c r="Y1134" i="19"/>
  <c r="A1134" i="19"/>
  <c r="Y1133" i="19"/>
  <c r="A1133" i="19"/>
  <c r="Y1132" i="19"/>
  <c r="A1132" i="19"/>
  <c r="Y1131" i="19"/>
  <c r="A1131" i="19"/>
  <c r="Y1130" i="19"/>
  <c r="A1130" i="19"/>
  <c r="Y1129" i="19"/>
  <c r="A1129" i="19"/>
  <c r="Y1128" i="19"/>
  <c r="A1128" i="19"/>
  <c r="Y1127" i="19"/>
  <c r="A1127" i="19"/>
  <c r="Y1126" i="19"/>
  <c r="A1126" i="19"/>
  <c r="Y1125" i="19"/>
  <c r="A1125" i="19"/>
  <c r="Y1124" i="19"/>
  <c r="A1124" i="19"/>
  <c r="Y1123" i="19"/>
  <c r="A1123" i="19"/>
  <c r="Y1122" i="19"/>
  <c r="A1122" i="19"/>
  <c r="Y1121" i="19"/>
  <c r="A1121" i="19"/>
  <c r="Y1120" i="19"/>
  <c r="A1120" i="19"/>
  <c r="Y1119" i="19"/>
  <c r="A1119" i="19"/>
  <c r="Y1118" i="19"/>
  <c r="A1118" i="19"/>
  <c r="Y1117" i="19"/>
  <c r="A1117" i="19"/>
  <c r="Y1116" i="19"/>
  <c r="A1116" i="19"/>
  <c r="Y1115" i="19"/>
  <c r="A1115" i="19"/>
  <c r="Y1114" i="19"/>
  <c r="A1114" i="19"/>
  <c r="Y1113" i="19"/>
  <c r="A1113" i="19"/>
  <c r="Y1112" i="19"/>
  <c r="A1112" i="19"/>
  <c r="Y1111" i="19"/>
  <c r="A1111" i="19"/>
  <c r="Y1110" i="19"/>
  <c r="A1110" i="19"/>
  <c r="Y1109" i="19"/>
  <c r="A1109" i="19"/>
  <c r="Y1108" i="19"/>
  <c r="A1108" i="19"/>
  <c r="Y1107" i="19"/>
  <c r="A1107" i="19"/>
  <c r="Y1106" i="19"/>
  <c r="A1106" i="19"/>
  <c r="Y1105" i="19"/>
  <c r="A1105" i="19"/>
  <c r="Y1104" i="19"/>
  <c r="A1104" i="19"/>
  <c r="Y1103" i="19"/>
  <c r="A1103" i="19"/>
  <c r="Y1102" i="19"/>
  <c r="A1102" i="19"/>
  <c r="Y1101" i="19"/>
  <c r="A1101" i="19"/>
  <c r="Y1100" i="19"/>
  <c r="A1100" i="19"/>
  <c r="Y1099" i="19"/>
  <c r="A1099" i="19"/>
  <c r="Y1098" i="19"/>
  <c r="A1098" i="19"/>
  <c r="Y1097" i="19"/>
  <c r="A1097" i="19"/>
  <c r="Y1096" i="19"/>
  <c r="A1096" i="19"/>
  <c r="Y1095" i="19"/>
  <c r="A1095" i="19"/>
  <c r="Y1094" i="19"/>
  <c r="A1094" i="19"/>
  <c r="Y1093" i="19"/>
  <c r="A1093" i="19"/>
  <c r="Y1092" i="19"/>
  <c r="A1092" i="19"/>
  <c r="Y1091" i="19"/>
  <c r="A1091" i="19"/>
  <c r="Y1090" i="19"/>
  <c r="A1090" i="19"/>
  <c r="Y1089" i="19"/>
  <c r="A1089" i="19"/>
  <c r="Y1088" i="19"/>
  <c r="A1088" i="19"/>
  <c r="Y1087" i="19"/>
  <c r="A1087" i="19"/>
  <c r="Y1086" i="19"/>
  <c r="A1086" i="19"/>
  <c r="Y1085" i="19"/>
  <c r="A1085" i="19"/>
  <c r="Y1084" i="19"/>
  <c r="A1084" i="19"/>
  <c r="Y1083" i="19"/>
  <c r="A1083" i="19"/>
  <c r="Y1082" i="19"/>
  <c r="A1082" i="19"/>
  <c r="Y1081" i="19"/>
  <c r="A1081" i="19"/>
  <c r="Y1080" i="19"/>
  <c r="A1080" i="19"/>
  <c r="Y1079" i="19"/>
  <c r="A1079" i="19"/>
  <c r="Y1078" i="19"/>
  <c r="A1078" i="19"/>
  <c r="Y1077" i="19"/>
  <c r="A1077" i="19"/>
  <c r="Y1076" i="19"/>
  <c r="A1076" i="19"/>
  <c r="Y1075" i="19"/>
  <c r="A1075" i="19"/>
  <c r="Y1074" i="19"/>
  <c r="A1074" i="19"/>
  <c r="Y1073" i="19"/>
  <c r="A1073" i="19"/>
  <c r="Y1072" i="19"/>
  <c r="A1072" i="19"/>
  <c r="Y1071" i="19"/>
  <c r="A1071" i="19"/>
  <c r="Y1070" i="19"/>
  <c r="A1070" i="19"/>
  <c r="Y1069" i="19"/>
  <c r="A1069" i="19"/>
  <c r="Y1068" i="19"/>
  <c r="A1068" i="19"/>
  <c r="Y1067" i="19"/>
  <c r="A1067" i="19"/>
  <c r="Y1066" i="19"/>
  <c r="A1066" i="19"/>
  <c r="Y1065" i="19"/>
  <c r="A1065" i="19"/>
  <c r="Y1064" i="19"/>
  <c r="A1064" i="19"/>
  <c r="Y1063" i="19"/>
  <c r="A1063" i="19"/>
  <c r="Y1062" i="19"/>
  <c r="A1062" i="19"/>
  <c r="Y1061" i="19"/>
  <c r="A1061" i="19"/>
  <c r="Y1060" i="19"/>
  <c r="A1060" i="19"/>
  <c r="Y1059" i="19"/>
  <c r="A1059" i="19"/>
  <c r="Y1058" i="19"/>
  <c r="A1058" i="19"/>
  <c r="Y1057" i="19"/>
  <c r="A1057" i="19"/>
  <c r="Y1056" i="19"/>
  <c r="A1056" i="19"/>
  <c r="Y1055" i="19"/>
  <c r="A1055" i="19"/>
  <c r="Y1054" i="19"/>
  <c r="A1054" i="19"/>
  <c r="Y1053" i="19"/>
  <c r="A1053" i="19"/>
  <c r="Y1052" i="19"/>
  <c r="A1052" i="19"/>
  <c r="Y1051" i="19"/>
  <c r="A1051" i="19"/>
  <c r="Y1050" i="19"/>
  <c r="A1050" i="19"/>
  <c r="Y1049" i="19"/>
  <c r="A1049" i="19"/>
  <c r="Y1048" i="19"/>
  <c r="A1048" i="19"/>
  <c r="Y1047" i="19"/>
  <c r="A1047" i="19"/>
  <c r="Y1046" i="19"/>
  <c r="A1046" i="19"/>
  <c r="Y1045" i="19"/>
  <c r="A1045" i="19"/>
  <c r="Y1044" i="19"/>
  <c r="A1044" i="19"/>
  <c r="Y1043" i="19"/>
  <c r="A1043" i="19"/>
  <c r="Y1042" i="19"/>
  <c r="A1042" i="19"/>
  <c r="Y1041" i="19"/>
  <c r="A1041" i="19"/>
  <c r="Y1040" i="19"/>
  <c r="A1040" i="19"/>
  <c r="Y1039" i="19"/>
  <c r="A1039" i="19"/>
  <c r="Y1038" i="19"/>
  <c r="A1038" i="19"/>
  <c r="Y1037" i="19"/>
  <c r="A1037" i="19"/>
  <c r="Y1036" i="19"/>
  <c r="A1036" i="19"/>
  <c r="Y1035" i="19"/>
  <c r="A1035" i="19"/>
  <c r="Y1034" i="19"/>
  <c r="A1034" i="19"/>
  <c r="Y1033" i="19"/>
  <c r="A1033" i="19"/>
  <c r="Y1032" i="19"/>
  <c r="A1032" i="19"/>
  <c r="Y1031" i="19"/>
  <c r="A1031" i="19"/>
  <c r="Y1030" i="19"/>
  <c r="A1030" i="19"/>
  <c r="Y1029" i="19"/>
  <c r="A1029" i="19"/>
  <c r="Y1028" i="19"/>
  <c r="A1028" i="19"/>
  <c r="Y1027" i="19"/>
  <c r="A1027" i="19"/>
  <c r="Y1026" i="19"/>
  <c r="A1026" i="19"/>
  <c r="Y1025" i="19"/>
  <c r="A1025" i="19"/>
  <c r="Y1024" i="19"/>
  <c r="A1024" i="19"/>
  <c r="Y1023" i="19"/>
  <c r="A1023" i="19"/>
  <c r="Y1022" i="19"/>
  <c r="A1022" i="19"/>
  <c r="Y1021" i="19"/>
  <c r="A1021" i="19"/>
  <c r="Y1020" i="19"/>
  <c r="A1020" i="19"/>
  <c r="Y1019" i="19"/>
  <c r="A1019" i="19"/>
  <c r="Y1018" i="19"/>
  <c r="A1018" i="19"/>
  <c r="Y1017" i="19"/>
  <c r="A1017" i="19"/>
  <c r="Y1016" i="19"/>
  <c r="A1016" i="19"/>
  <c r="Y1015" i="19"/>
  <c r="A1015" i="19"/>
  <c r="Y1014" i="19"/>
  <c r="A1014" i="19"/>
  <c r="Y1013" i="19"/>
  <c r="A1013" i="19"/>
  <c r="Y1012" i="19"/>
  <c r="A1012" i="19"/>
  <c r="Y1011" i="19"/>
  <c r="A1011" i="19"/>
  <c r="Y1010" i="19"/>
  <c r="A1010" i="19"/>
  <c r="Y1009" i="19"/>
  <c r="A1009" i="19"/>
  <c r="Y1008" i="19"/>
  <c r="A1008" i="19"/>
  <c r="Y1007" i="19"/>
  <c r="A1007" i="19"/>
  <c r="Y1006" i="19"/>
  <c r="A1006" i="19"/>
  <c r="Y1005" i="19"/>
  <c r="A1005" i="19"/>
  <c r="Y1004" i="19"/>
  <c r="A1004" i="19"/>
  <c r="Y1003" i="19"/>
  <c r="A1003" i="19"/>
  <c r="Y1002" i="19"/>
  <c r="A1002" i="19"/>
  <c r="Y1001" i="19"/>
  <c r="A1001" i="19"/>
  <c r="Y1000" i="19"/>
  <c r="A1000" i="19"/>
  <c r="Y999" i="19"/>
  <c r="A999" i="19"/>
  <c r="Y998" i="19"/>
  <c r="A998" i="19"/>
  <c r="Y997" i="19"/>
  <c r="A997" i="19"/>
  <c r="Y996" i="19"/>
  <c r="A996" i="19"/>
  <c r="Y995" i="19"/>
  <c r="A995" i="19"/>
  <c r="Y994" i="19"/>
  <c r="A994" i="19"/>
  <c r="Y993" i="19"/>
  <c r="A993" i="19"/>
  <c r="Y992" i="19"/>
  <c r="A992" i="19"/>
  <c r="Y991" i="19"/>
  <c r="A991" i="19"/>
  <c r="Y990" i="19"/>
  <c r="A990" i="19"/>
  <c r="Y989" i="19"/>
  <c r="A989" i="19"/>
  <c r="Y988" i="19"/>
  <c r="A988" i="19"/>
  <c r="Y987" i="19"/>
  <c r="A987" i="19"/>
  <c r="Y986" i="19"/>
  <c r="A986" i="19"/>
  <c r="Y985" i="19"/>
  <c r="A985" i="19"/>
  <c r="Y984" i="19"/>
  <c r="A984" i="19"/>
  <c r="Y983" i="19"/>
  <c r="A983" i="19"/>
  <c r="Y982" i="19"/>
  <c r="A982" i="19"/>
  <c r="Y981" i="19"/>
  <c r="A981" i="19"/>
  <c r="Y980" i="19"/>
  <c r="A980" i="19"/>
  <c r="Y979" i="19"/>
  <c r="A979" i="19"/>
  <c r="Y978" i="19"/>
  <c r="A978" i="19"/>
  <c r="Y977" i="19"/>
  <c r="A977" i="19"/>
  <c r="Y976" i="19"/>
  <c r="A976" i="19"/>
  <c r="Y975" i="19"/>
  <c r="A975" i="19"/>
  <c r="Y974" i="19"/>
  <c r="A974" i="19"/>
  <c r="Y973" i="19"/>
  <c r="A973" i="19"/>
  <c r="Y972" i="19"/>
  <c r="A972" i="19"/>
  <c r="Y971" i="19"/>
  <c r="A971" i="19"/>
  <c r="Y970" i="19"/>
  <c r="A970" i="19"/>
  <c r="Y969" i="19"/>
  <c r="A969" i="19"/>
  <c r="Y968" i="19"/>
  <c r="A968" i="19"/>
  <c r="Y967" i="19"/>
  <c r="A967" i="19"/>
  <c r="Y966" i="19"/>
  <c r="A966" i="19"/>
  <c r="Y965" i="19"/>
  <c r="A965" i="19"/>
  <c r="Y964" i="19"/>
  <c r="A964" i="19"/>
  <c r="Y963" i="19"/>
  <c r="A963" i="19"/>
  <c r="Y962" i="19"/>
  <c r="A962" i="19"/>
  <c r="Y961" i="19"/>
  <c r="A961" i="19"/>
  <c r="Y960" i="19"/>
  <c r="A960" i="19"/>
  <c r="Y959" i="19"/>
  <c r="A959" i="19"/>
  <c r="Y958" i="19"/>
  <c r="A958" i="19"/>
  <c r="Y957" i="19"/>
  <c r="A957" i="19"/>
  <c r="Y956" i="19"/>
  <c r="A956" i="19"/>
  <c r="Y955" i="19"/>
  <c r="A955" i="19"/>
  <c r="Y954" i="19"/>
  <c r="A954" i="19"/>
  <c r="Y953" i="19"/>
  <c r="A953" i="19"/>
  <c r="Y952" i="19"/>
  <c r="A952" i="19"/>
  <c r="Y951" i="19"/>
  <c r="A951" i="19"/>
  <c r="Y950" i="19"/>
  <c r="A950" i="19"/>
  <c r="Y949" i="19"/>
  <c r="A949" i="19"/>
  <c r="Y948" i="19"/>
  <c r="A948" i="19"/>
  <c r="Y947" i="19"/>
  <c r="A947" i="19"/>
  <c r="Y946" i="19"/>
  <c r="A946" i="19"/>
  <c r="Y945" i="19"/>
  <c r="A945" i="19"/>
  <c r="Y944" i="19"/>
  <c r="A944" i="19"/>
  <c r="Y943" i="19"/>
  <c r="A943" i="19"/>
  <c r="Y942" i="19"/>
  <c r="A942" i="19"/>
  <c r="Y941" i="19"/>
  <c r="A941" i="19"/>
  <c r="Y940" i="19"/>
  <c r="A940" i="19"/>
  <c r="Y939" i="19"/>
  <c r="A939" i="19"/>
  <c r="Y938" i="19"/>
  <c r="A938" i="19"/>
  <c r="Y937" i="19"/>
  <c r="A937" i="19"/>
  <c r="Y936" i="19"/>
  <c r="A936" i="19"/>
  <c r="Y935" i="19"/>
  <c r="A935" i="19"/>
  <c r="Y934" i="19"/>
  <c r="A934" i="19"/>
  <c r="Y933" i="19"/>
  <c r="A933" i="19"/>
  <c r="Y932" i="19"/>
  <c r="A932" i="19"/>
  <c r="Y931" i="19"/>
  <c r="A931" i="19"/>
  <c r="Y930" i="19"/>
  <c r="A930" i="19"/>
  <c r="Y929" i="19"/>
  <c r="A929" i="19"/>
  <c r="Y928" i="19"/>
  <c r="A928" i="19"/>
  <c r="Y927" i="19"/>
  <c r="A927" i="19"/>
  <c r="Y926" i="19"/>
  <c r="A926" i="19"/>
  <c r="Y925" i="19"/>
  <c r="A925" i="19"/>
  <c r="Y924" i="19"/>
  <c r="A924" i="19"/>
  <c r="Y923" i="19"/>
  <c r="A923" i="19"/>
  <c r="Y922" i="19"/>
  <c r="A922" i="19"/>
  <c r="Y921" i="19"/>
  <c r="A921" i="19"/>
  <c r="Y920" i="19"/>
  <c r="A920" i="19"/>
  <c r="Y919" i="19"/>
  <c r="A919" i="19"/>
  <c r="Y918" i="19"/>
  <c r="A918" i="19"/>
  <c r="Y917" i="19"/>
  <c r="A917" i="19"/>
  <c r="Y916" i="19"/>
  <c r="A916" i="19"/>
  <c r="Y915" i="19"/>
  <c r="A915" i="19"/>
  <c r="Y914" i="19"/>
  <c r="A914" i="19"/>
  <c r="Y913" i="19"/>
  <c r="A913" i="19"/>
  <c r="Y912" i="19"/>
  <c r="A912" i="19"/>
  <c r="Y911" i="19"/>
  <c r="A911" i="19"/>
  <c r="Y910" i="19"/>
  <c r="A910" i="19"/>
  <c r="Y909" i="19"/>
  <c r="A909" i="19"/>
  <c r="Y908" i="19"/>
  <c r="A908" i="19"/>
  <c r="Y907" i="19"/>
  <c r="A907" i="19"/>
  <c r="Y906" i="19"/>
  <c r="A906" i="19"/>
  <c r="Y905" i="19"/>
  <c r="A905" i="19"/>
  <c r="Y904" i="19"/>
  <c r="A904" i="19"/>
  <c r="Y903" i="19"/>
  <c r="A903" i="19"/>
  <c r="Y902" i="19"/>
  <c r="A902" i="19"/>
  <c r="Y901" i="19"/>
  <c r="A901" i="19"/>
  <c r="Y900" i="19"/>
  <c r="A900" i="19"/>
  <c r="Y899" i="19"/>
  <c r="A899" i="19"/>
  <c r="Y898" i="19"/>
  <c r="A898" i="19"/>
  <c r="Y897" i="19"/>
  <c r="A897" i="19"/>
  <c r="Y896" i="19"/>
  <c r="A896" i="19"/>
  <c r="Y895" i="19"/>
  <c r="A895" i="19"/>
  <c r="Y894" i="19"/>
  <c r="A894" i="19"/>
  <c r="Y893" i="19"/>
  <c r="A893" i="19"/>
  <c r="Y892" i="19"/>
  <c r="A892" i="19"/>
  <c r="Y891" i="19"/>
  <c r="A891" i="19"/>
  <c r="Y890" i="19"/>
  <c r="A890" i="19"/>
  <c r="Y889" i="19"/>
  <c r="A889" i="19"/>
  <c r="Y888" i="19"/>
  <c r="A888" i="19"/>
  <c r="Y887" i="19"/>
  <c r="A887" i="19"/>
  <c r="Y886" i="19"/>
  <c r="A886" i="19"/>
  <c r="Y885" i="19"/>
  <c r="A885" i="19"/>
  <c r="Y884" i="19"/>
  <c r="A884" i="19"/>
  <c r="Y883" i="19"/>
  <c r="A883" i="19"/>
  <c r="Y882" i="19"/>
  <c r="A882" i="19"/>
  <c r="Y881" i="19"/>
  <c r="A881" i="19"/>
  <c r="Y880" i="19"/>
  <c r="A880" i="19"/>
  <c r="Y879" i="19"/>
  <c r="A879" i="19"/>
  <c r="Y878" i="19"/>
  <c r="A878" i="19"/>
  <c r="Y877" i="19"/>
  <c r="A877" i="19"/>
  <c r="Y876" i="19"/>
  <c r="A876" i="19"/>
  <c r="Y875" i="19"/>
  <c r="A875" i="19"/>
  <c r="Y874" i="19"/>
  <c r="A874" i="19"/>
  <c r="Y873" i="19"/>
  <c r="A873" i="19"/>
  <c r="Y872" i="19"/>
  <c r="A872" i="19"/>
  <c r="Y871" i="19"/>
  <c r="A871" i="19"/>
  <c r="Y870" i="19"/>
  <c r="A870" i="19"/>
  <c r="Y869" i="19"/>
  <c r="A869" i="19"/>
  <c r="Y868" i="19"/>
  <c r="A868" i="19"/>
  <c r="Y867" i="19"/>
  <c r="A867" i="19"/>
  <c r="Y866" i="19"/>
  <c r="A866" i="19"/>
  <c r="Y865" i="19"/>
  <c r="A865" i="19"/>
  <c r="Y864" i="19"/>
  <c r="A864" i="19"/>
  <c r="Y863" i="19"/>
  <c r="A863" i="19"/>
  <c r="Y862" i="19"/>
  <c r="A862" i="19"/>
  <c r="Y861" i="19"/>
  <c r="A861" i="19"/>
  <c r="Y860" i="19"/>
  <c r="A860" i="19"/>
  <c r="Y859" i="19"/>
  <c r="A859" i="19"/>
  <c r="Y858" i="19"/>
  <c r="A858" i="19"/>
  <c r="Y857" i="19"/>
  <c r="A857" i="19"/>
  <c r="Y856" i="19"/>
  <c r="A856" i="19"/>
  <c r="Y855" i="19"/>
  <c r="A855" i="19"/>
  <c r="Y854" i="19"/>
  <c r="A854" i="19"/>
  <c r="Y853" i="19"/>
  <c r="A853" i="19"/>
  <c r="Y852" i="19"/>
  <c r="A852" i="19"/>
  <c r="Y851" i="19"/>
  <c r="A851" i="19"/>
  <c r="Y850" i="19"/>
  <c r="A850" i="19"/>
  <c r="Y849" i="19"/>
  <c r="A849" i="19"/>
  <c r="Y848" i="19"/>
  <c r="A848" i="19"/>
  <c r="Y847" i="19"/>
  <c r="A847" i="19"/>
  <c r="Y846" i="19"/>
  <c r="A846" i="19"/>
  <c r="Y845" i="19"/>
  <c r="A845" i="19"/>
  <c r="Y844" i="19"/>
  <c r="A844" i="19"/>
  <c r="Y843" i="19"/>
  <c r="A843" i="19"/>
  <c r="Y842" i="19"/>
  <c r="A842" i="19"/>
  <c r="Y841" i="19"/>
  <c r="A841" i="19"/>
  <c r="Y840" i="19"/>
  <c r="A840" i="19"/>
  <c r="Y839" i="19"/>
  <c r="A839" i="19"/>
  <c r="Y838" i="19"/>
  <c r="A838" i="19"/>
  <c r="Y837" i="19"/>
  <c r="A837" i="19"/>
  <c r="Y836" i="19"/>
  <c r="A836" i="19"/>
  <c r="Y835" i="19"/>
  <c r="A835" i="19"/>
  <c r="Y834" i="19"/>
  <c r="A834" i="19"/>
  <c r="Y833" i="19"/>
  <c r="A833" i="19"/>
  <c r="Y832" i="19"/>
  <c r="A832" i="19"/>
  <c r="Y831" i="19"/>
  <c r="A831" i="19"/>
  <c r="Y830" i="19"/>
  <c r="A830" i="19"/>
  <c r="Y829" i="19"/>
  <c r="A829" i="19"/>
  <c r="Y828" i="19"/>
  <c r="A828" i="19"/>
  <c r="Y827" i="19"/>
  <c r="A827" i="19"/>
  <c r="Y826" i="19"/>
  <c r="A826" i="19"/>
  <c r="Y825" i="19"/>
  <c r="A825" i="19"/>
  <c r="Y824" i="19"/>
  <c r="A824" i="19"/>
  <c r="Y823" i="19"/>
  <c r="A823" i="19"/>
  <c r="Y822" i="19"/>
  <c r="A822" i="19"/>
  <c r="Y821" i="19"/>
  <c r="A821" i="19"/>
  <c r="Y820" i="19"/>
  <c r="A820" i="19"/>
  <c r="Y819" i="19"/>
  <c r="A819" i="19"/>
  <c r="Y818" i="19"/>
  <c r="A818" i="19"/>
  <c r="Y817" i="19"/>
  <c r="A817" i="19"/>
  <c r="Y816" i="19"/>
  <c r="A816" i="19"/>
  <c r="Y815" i="19"/>
  <c r="A815" i="19"/>
  <c r="Y814" i="19"/>
  <c r="A814" i="19"/>
  <c r="Y813" i="19"/>
  <c r="A813" i="19"/>
  <c r="Y812" i="19"/>
  <c r="A812" i="19"/>
  <c r="Y811" i="19"/>
  <c r="A811" i="19"/>
  <c r="Y810" i="19"/>
  <c r="A810" i="19"/>
  <c r="Y809" i="19"/>
  <c r="A809" i="19"/>
  <c r="Y808" i="19"/>
  <c r="A808" i="19"/>
  <c r="Y807" i="19"/>
  <c r="A807" i="19"/>
  <c r="Y806" i="19"/>
  <c r="A806" i="19"/>
  <c r="Y805" i="19"/>
  <c r="A805" i="19"/>
  <c r="Y804" i="19"/>
  <c r="A804" i="19"/>
  <c r="Y803" i="19"/>
  <c r="A803" i="19"/>
  <c r="Y802" i="19"/>
  <c r="A802" i="19"/>
  <c r="Y801" i="19"/>
  <c r="A801" i="19"/>
  <c r="Y800" i="19"/>
  <c r="A800" i="19"/>
  <c r="Y799" i="19"/>
  <c r="A799" i="19"/>
  <c r="Y798" i="19"/>
  <c r="A798" i="19"/>
  <c r="Y797" i="19"/>
  <c r="A797" i="19"/>
  <c r="Y796" i="19"/>
  <c r="A796" i="19"/>
  <c r="Y795" i="19"/>
  <c r="A795" i="19"/>
  <c r="Y794" i="19"/>
  <c r="A794" i="19"/>
  <c r="Y793" i="19"/>
  <c r="A793" i="19"/>
  <c r="Y792" i="19"/>
  <c r="A792" i="19"/>
  <c r="Y791" i="19"/>
  <c r="A791" i="19"/>
  <c r="Y790" i="19"/>
  <c r="A790" i="19"/>
  <c r="Y789" i="19"/>
  <c r="A789" i="19"/>
  <c r="Y788" i="19"/>
  <c r="A788" i="19"/>
  <c r="Y787" i="19"/>
  <c r="A787" i="19"/>
  <c r="Y786" i="19"/>
  <c r="A786" i="19"/>
  <c r="Y785" i="19"/>
  <c r="A785" i="19"/>
  <c r="Y784" i="19"/>
  <c r="A784" i="19"/>
  <c r="Y783" i="19"/>
  <c r="A783" i="19"/>
  <c r="Y782" i="19"/>
  <c r="A782" i="19"/>
  <c r="Y781" i="19"/>
  <c r="A781" i="19"/>
  <c r="Y780" i="19"/>
  <c r="A780" i="19"/>
  <c r="Y779" i="19"/>
  <c r="A779" i="19"/>
  <c r="Y778" i="19"/>
  <c r="A778" i="19"/>
  <c r="Y777" i="19"/>
  <c r="A777" i="19"/>
  <c r="Y776" i="19"/>
  <c r="A776" i="19"/>
  <c r="Y775" i="19"/>
  <c r="A775" i="19"/>
  <c r="Y774" i="19"/>
  <c r="A774" i="19"/>
  <c r="Y773" i="19"/>
  <c r="A773" i="19"/>
  <c r="Y772" i="19"/>
  <c r="A772" i="19"/>
  <c r="Y771" i="19"/>
  <c r="A771" i="19"/>
  <c r="Y770" i="19"/>
  <c r="A770" i="19"/>
  <c r="Y769" i="19"/>
  <c r="A769" i="19"/>
  <c r="Y768" i="19"/>
  <c r="A768" i="19"/>
  <c r="Y767" i="19"/>
  <c r="A767" i="19"/>
  <c r="Y766" i="19"/>
  <c r="A766" i="19"/>
  <c r="Y765" i="19"/>
  <c r="A765" i="19"/>
  <c r="Y764" i="19"/>
  <c r="A764" i="19"/>
  <c r="Y763" i="19"/>
  <c r="A763" i="19"/>
  <c r="Y762" i="19"/>
  <c r="A762" i="19"/>
  <c r="Y761" i="19"/>
  <c r="A761" i="19"/>
  <c r="Y760" i="19"/>
  <c r="A760" i="19"/>
  <c r="Y759" i="19"/>
  <c r="A759" i="19"/>
  <c r="Y758" i="19"/>
  <c r="A758" i="19"/>
  <c r="Y757" i="19"/>
  <c r="A757" i="19"/>
  <c r="Y756" i="19"/>
  <c r="A756" i="19"/>
  <c r="Y755" i="19"/>
  <c r="A755" i="19"/>
  <c r="Y754" i="19"/>
  <c r="A754" i="19"/>
  <c r="Y753" i="19"/>
  <c r="A753" i="19"/>
  <c r="Y752" i="19"/>
  <c r="A752" i="19"/>
  <c r="Y751" i="19"/>
  <c r="A751" i="19"/>
  <c r="Y750" i="19"/>
  <c r="A750" i="19"/>
  <c r="Y749" i="19"/>
  <c r="A749" i="19"/>
  <c r="Y748" i="19"/>
  <c r="A748" i="19"/>
  <c r="Y747" i="19"/>
  <c r="A747" i="19"/>
  <c r="Y746" i="19"/>
  <c r="A746" i="19"/>
  <c r="Y745" i="19"/>
  <c r="A745" i="19"/>
  <c r="Y744" i="19"/>
  <c r="A744" i="19"/>
  <c r="Y743" i="19"/>
  <c r="A743" i="19"/>
  <c r="Y742" i="19"/>
  <c r="A742" i="19"/>
  <c r="Y741" i="19"/>
  <c r="A741" i="19"/>
  <c r="Y740" i="19"/>
  <c r="A740" i="19"/>
  <c r="Y739" i="19"/>
  <c r="A739" i="19"/>
  <c r="Y738" i="19"/>
  <c r="A738" i="19"/>
  <c r="Y737" i="19"/>
  <c r="A737" i="19"/>
  <c r="Y736" i="19"/>
  <c r="A736" i="19"/>
  <c r="Y735" i="19"/>
  <c r="A735" i="19"/>
  <c r="Y734" i="19"/>
  <c r="A734" i="19"/>
  <c r="Y733" i="19"/>
  <c r="A733" i="19"/>
  <c r="Y732" i="19"/>
  <c r="A732" i="19"/>
  <c r="Y731" i="19"/>
  <c r="A731" i="19"/>
  <c r="Y730" i="19"/>
  <c r="A730" i="19"/>
  <c r="Y729" i="19"/>
  <c r="A729" i="19"/>
  <c r="Y728" i="19"/>
  <c r="A728" i="19"/>
  <c r="Y727" i="19"/>
  <c r="A727" i="19"/>
  <c r="Y726" i="19"/>
  <c r="A726" i="19"/>
  <c r="Y725" i="19"/>
  <c r="A725" i="19"/>
  <c r="Y724" i="19"/>
  <c r="A724" i="19"/>
  <c r="Y723" i="19"/>
  <c r="A723" i="19"/>
  <c r="Y722" i="19"/>
  <c r="A722" i="19"/>
  <c r="Y721" i="19"/>
  <c r="A721" i="19"/>
  <c r="Y720" i="19"/>
  <c r="A720" i="19"/>
  <c r="Y719" i="19"/>
  <c r="A719" i="19"/>
  <c r="Y718" i="19"/>
  <c r="A718" i="19"/>
  <c r="Y717" i="19"/>
  <c r="A717" i="19"/>
  <c r="Y716" i="19"/>
  <c r="A716" i="19"/>
  <c r="Y715" i="19"/>
  <c r="A715" i="19"/>
  <c r="Y714" i="19"/>
  <c r="A714" i="19"/>
  <c r="Y713" i="19"/>
  <c r="A713" i="19"/>
  <c r="Y712" i="19"/>
  <c r="A712" i="19"/>
  <c r="Y711" i="19"/>
  <c r="A711" i="19"/>
  <c r="Y710" i="19"/>
  <c r="A710" i="19"/>
  <c r="Y709" i="19"/>
  <c r="A709" i="19"/>
  <c r="Y708" i="19"/>
  <c r="A708" i="19"/>
  <c r="Y707" i="19"/>
  <c r="A707" i="19"/>
  <c r="Y706" i="19"/>
  <c r="A706" i="19"/>
  <c r="Y705" i="19"/>
  <c r="A705" i="19"/>
  <c r="Y704" i="19"/>
  <c r="A704" i="19"/>
  <c r="Y703" i="19"/>
  <c r="A703" i="19"/>
  <c r="Y702" i="19"/>
  <c r="A702" i="19"/>
  <c r="Y701" i="19"/>
  <c r="A701" i="19"/>
  <c r="Y700" i="19"/>
  <c r="A700" i="19"/>
  <c r="Y699" i="19"/>
  <c r="A699" i="19"/>
  <c r="Y698" i="19"/>
  <c r="A698" i="19"/>
  <c r="Y697" i="19"/>
  <c r="A697" i="19"/>
  <c r="Y696" i="19"/>
  <c r="A696" i="19"/>
  <c r="Y695" i="19"/>
  <c r="A695" i="19"/>
  <c r="Y694" i="19"/>
  <c r="A694" i="19"/>
  <c r="Y693" i="19"/>
  <c r="A693" i="19"/>
  <c r="Y692" i="19"/>
  <c r="A692" i="19"/>
  <c r="Y691" i="19"/>
  <c r="A691" i="19"/>
  <c r="Y690" i="19"/>
  <c r="A690" i="19"/>
  <c r="Y689" i="19"/>
  <c r="A689" i="19"/>
  <c r="Y688" i="19"/>
  <c r="A688" i="19"/>
  <c r="Y687" i="19"/>
  <c r="A687" i="19"/>
  <c r="Y686" i="19"/>
  <c r="A686" i="19"/>
  <c r="Y685" i="19"/>
  <c r="A685" i="19"/>
  <c r="Y684" i="19"/>
  <c r="A684" i="19"/>
  <c r="Y683" i="19"/>
  <c r="A683" i="19"/>
  <c r="Y682" i="19"/>
  <c r="A682" i="19"/>
  <c r="Y681" i="19"/>
  <c r="A681" i="19"/>
  <c r="Y680" i="19"/>
  <c r="A680" i="19"/>
  <c r="Y679" i="19"/>
  <c r="A679" i="19"/>
  <c r="Y678" i="19"/>
  <c r="A678" i="19"/>
  <c r="Y677" i="19"/>
  <c r="A677" i="19"/>
  <c r="Y676" i="19"/>
  <c r="A676" i="19"/>
  <c r="Y675" i="19"/>
  <c r="A675" i="19"/>
  <c r="Y674" i="19"/>
  <c r="A674" i="19"/>
  <c r="Y673" i="19"/>
  <c r="A673" i="19"/>
  <c r="Y672" i="19"/>
  <c r="A672" i="19"/>
  <c r="Y671" i="19"/>
  <c r="A671" i="19"/>
  <c r="Y670" i="19"/>
  <c r="A670" i="19"/>
  <c r="Y669" i="19"/>
  <c r="A669" i="19"/>
  <c r="Y668" i="19"/>
  <c r="A668" i="19"/>
  <c r="Y667" i="19"/>
  <c r="A667" i="19"/>
  <c r="Y666" i="19"/>
  <c r="A666" i="19"/>
  <c r="Y665" i="19"/>
  <c r="A665" i="19"/>
  <c r="Y664" i="19"/>
  <c r="A664" i="19"/>
  <c r="Y663" i="19"/>
  <c r="A663" i="19"/>
  <c r="Y662" i="19"/>
  <c r="A662" i="19"/>
  <c r="Y661" i="19"/>
  <c r="A661" i="19"/>
  <c r="Y660" i="19"/>
  <c r="A660" i="19"/>
  <c r="Y659" i="19"/>
  <c r="A659" i="19"/>
  <c r="Y658" i="19"/>
  <c r="A658" i="19"/>
  <c r="Y657" i="19"/>
  <c r="A657" i="19"/>
  <c r="Y656" i="19"/>
  <c r="A656" i="19"/>
  <c r="Y655" i="19"/>
  <c r="A655" i="19"/>
  <c r="Y654" i="19"/>
  <c r="A654" i="19"/>
  <c r="Y653" i="19"/>
  <c r="A653" i="19"/>
  <c r="Y652" i="19"/>
  <c r="A652" i="19"/>
  <c r="Y651" i="19"/>
  <c r="A651" i="19"/>
  <c r="Y650" i="19"/>
  <c r="A650" i="19"/>
  <c r="Y649" i="19"/>
  <c r="A649" i="19"/>
  <c r="Y648" i="19"/>
  <c r="A648" i="19"/>
  <c r="Y647" i="19"/>
  <c r="A647" i="19"/>
  <c r="Y646" i="19"/>
  <c r="A646" i="19"/>
  <c r="Y645" i="19"/>
  <c r="A645" i="19"/>
  <c r="Y644" i="19"/>
  <c r="A644" i="19"/>
  <c r="Y643" i="19"/>
  <c r="A643" i="19"/>
  <c r="Y642" i="19"/>
  <c r="A642" i="19"/>
  <c r="Y641" i="19"/>
  <c r="A641" i="19"/>
  <c r="Y640" i="19"/>
  <c r="A640" i="19"/>
  <c r="Y639" i="19"/>
  <c r="A639" i="19"/>
  <c r="Y638" i="19"/>
  <c r="A638" i="19"/>
  <c r="Y637" i="19"/>
  <c r="A637" i="19"/>
  <c r="Y636" i="19"/>
  <c r="A636" i="19"/>
  <c r="Y635" i="19"/>
  <c r="A635" i="19"/>
  <c r="Y634" i="19"/>
  <c r="A634" i="19"/>
  <c r="Y633" i="19"/>
  <c r="A633" i="19"/>
  <c r="Y632" i="19"/>
  <c r="A632" i="19"/>
  <c r="Y631" i="19"/>
  <c r="A631" i="19"/>
  <c r="Y630" i="19"/>
  <c r="A630" i="19"/>
  <c r="Y629" i="19"/>
  <c r="A629" i="19"/>
  <c r="Y628" i="19"/>
  <c r="A628" i="19"/>
  <c r="Y627" i="19"/>
  <c r="A627" i="19"/>
  <c r="Y626" i="19"/>
  <c r="A626" i="19"/>
  <c r="Y625" i="19"/>
  <c r="A625" i="19"/>
  <c r="Y624" i="19"/>
  <c r="A624" i="19"/>
  <c r="Y623" i="19"/>
  <c r="A623" i="19"/>
  <c r="Y622" i="19"/>
  <c r="A622" i="19"/>
  <c r="Y621" i="19"/>
  <c r="A621" i="19"/>
  <c r="Y620" i="19"/>
  <c r="A620" i="19"/>
  <c r="Y619" i="19"/>
  <c r="A619" i="19"/>
  <c r="Y618" i="19"/>
  <c r="A618" i="19"/>
  <c r="Y617" i="19"/>
  <c r="A617" i="19"/>
  <c r="Y616" i="19"/>
  <c r="A616" i="19"/>
  <c r="Y615" i="19"/>
  <c r="A615" i="19"/>
  <c r="Y614" i="19"/>
  <c r="A614" i="19"/>
  <c r="Y613" i="19"/>
  <c r="A613" i="19"/>
  <c r="Y612" i="19"/>
  <c r="A612" i="19"/>
  <c r="Y611" i="19"/>
  <c r="A611" i="19"/>
  <c r="Y610" i="19"/>
  <c r="A610" i="19"/>
  <c r="Y609" i="19"/>
  <c r="A609" i="19"/>
  <c r="Y608" i="19"/>
  <c r="A608" i="19"/>
  <c r="Y607" i="19"/>
  <c r="A607" i="19"/>
  <c r="Y606" i="19"/>
  <c r="A606" i="19"/>
  <c r="Y605" i="19"/>
  <c r="A605" i="19"/>
  <c r="Y604" i="19"/>
  <c r="A604" i="19"/>
  <c r="Y603" i="19"/>
  <c r="A603" i="19"/>
  <c r="Y602" i="19"/>
  <c r="A602" i="19"/>
  <c r="Y601" i="19"/>
  <c r="A601" i="19"/>
  <c r="Y600" i="19"/>
  <c r="A600" i="19"/>
  <c r="Y599" i="19"/>
  <c r="A599" i="19"/>
  <c r="Y598" i="19"/>
  <c r="A598" i="19"/>
  <c r="Y597" i="19"/>
  <c r="A597" i="19"/>
  <c r="Y596" i="19"/>
  <c r="A596" i="19"/>
  <c r="Y595" i="19"/>
  <c r="A595" i="19"/>
  <c r="Y594" i="19"/>
  <c r="A594" i="19"/>
  <c r="Y593" i="19"/>
  <c r="A593" i="19"/>
  <c r="Y592" i="19"/>
  <c r="A592" i="19"/>
  <c r="Y591" i="19"/>
  <c r="A591" i="19"/>
  <c r="Y590" i="19"/>
  <c r="A590" i="19"/>
  <c r="Y589" i="19"/>
  <c r="A589" i="19"/>
  <c r="Y588" i="19"/>
  <c r="A588" i="19"/>
  <c r="Y587" i="19"/>
  <c r="A587" i="19"/>
  <c r="Y586" i="19"/>
  <c r="A586" i="19"/>
  <c r="Y585" i="19"/>
  <c r="A585" i="19"/>
  <c r="Y584" i="19"/>
  <c r="A584" i="19"/>
  <c r="Y583" i="19"/>
  <c r="A583" i="19"/>
  <c r="Y582" i="19"/>
  <c r="A582" i="19"/>
  <c r="Y581" i="19"/>
  <c r="A581" i="19"/>
  <c r="Y580" i="19"/>
  <c r="A580" i="19"/>
  <c r="Y579" i="19"/>
  <c r="A579" i="19"/>
  <c r="Y578" i="19"/>
  <c r="A578" i="19"/>
  <c r="Y577" i="19"/>
  <c r="A577" i="19"/>
  <c r="Y576" i="19"/>
  <c r="A576" i="19"/>
  <c r="Y575" i="19"/>
  <c r="A575" i="19"/>
  <c r="Y574" i="19"/>
  <c r="A574" i="19"/>
  <c r="Y573" i="19"/>
  <c r="A573" i="19"/>
  <c r="Y572" i="19"/>
  <c r="A572" i="19"/>
  <c r="Y571" i="19"/>
  <c r="A571" i="19"/>
  <c r="Y570" i="19"/>
  <c r="A570" i="19"/>
  <c r="Y569" i="19"/>
  <c r="A569" i="19"/>
  <c r="Y568" i="19"/>
  <c r="A568" i="19"/>
  <c r="Y567" i="19"/>
  <c r="A567" i="19"/>
  <c r="Y566" i="19"/>
  <c r="A566" i="19"/>
  <c r="Y565" i="19"/>
  <c r="A565" i="19"/>
  <c r="Y564" i="19"/>
  <c r="A564" i="19"/>
  <c r="Y563" i="19"/>
  <c r="A563" i="19"/>
  <c r="Y562" i="19"/>
  <c r="A562" i="19"/>
  <c r="Y561" i="19"/>
  <c r="A561" i="19"/>
  <c r="Y560" i="19"/>
  <c r="A560" i="19"/>
  <c r="Y559" i="19"/>
  <c r="A559" i="19"/>
  <c r="Y558" i="19"/>
  <c r="A558" i="19"/>
  <c r="Y557" i="19"/>
  <c r="A557" i="19"/>
  <c r="Y556" i="19"/>
  <c r="A556" i="19"/>
  <c r="Y555" i="19"/>
  <c r="A555" i="19"/>
  <c r="Y554" i="19"/>
  <c r="A554" i="19"/>
  <c r="Y553" i="19"/>
  <c r="A553" i="19"/>
  <c r="Y552" i="19"/>
  <c r="A552" i="19"/>
  <c r="Y551" i="19"/>
  <c r="A551" i="19"/>
  <c r="Y550" i="19"/>
  <c r="A550" i="19"/>
  <c r="Y549" i="19"/>
  <c r="A549" i="19"/>
  <c r="Y548" i="19"/>
  <c r="A548" i="19"/>
  <c r="Y547" i="19"/>
  <c r="A547" i="19"/>
  <c r="Y546" i="19"/>
  <c r="A546" i="19"/>
  <c r="Y545" i="19"/>
  <c r="A545" i="19"/>
  <c r="Y544" i="19"/>
  <c r="A544" i="19"/>
  <c r="Y543" i="19"/>
  <c r="A543" i="19"/>
  <c r="Y542" i="19"/>
  <c r="A542" i="19"/>
  <c r="Y541" i="19"/>
  <c r="A541" i="19"/>
  <c r="Y540" i="19"/>
  <c r="A540" i="19"/>
  <c r="Y539" i="19"/>
  <c r="A539" i="19"/>
  <c r="Y538" i="19"/>
  <c r="A538" i="19"/>
  <c r="Y537" i="19"/>
  <c r="A537" i="19"/>
  <c r="Y536" i="19"/>
  <c r="A536" i="19"/>
  <c r="Y535" i="19"/>
  <c r="A535" i="19"/>
  <c r="Y534" i="19"/>
  <c r="A534" i="19"/>
  <c r="Y533" i="19"/>
  <c r="A533" i="19"/>
  <c r="Y532" i="19"/>
  <c r="A532" i="19"/>
  <c r="Y531" i="19"/>
  <c r="A531" i="19"/>
  <c r="Y530" i="19"/>
  <c r="A530" i="19"/>
  <c r="Y529" i="19"/>
  <c r="A529" i="19"/>
  <c r="Y528" i="19"/>
  <c r="A528" i="19"/>
  <c r="Y527" i="19"/>
  <c r="A527" i="19"/>
  <c r="Y526" i="19"/>
  <c r="A526" i="19"/>
  <c r="Y525" i="19"/>
  <c r="A525" i="19"/>
  <c r="Y524" i="19"/>
  <c r="A524" i="19"/>
  <c r="Y523" i="19"/>
  <c r="A523" i="19"/>
  <c r="Y522" i="19"/>
  <c r="A522" i="19"/>
  <c r="Y521" i="19"/>
  <c r="A521" i="19"/>
  <c r="Y520" i="19"/>
  <c r="A520" i="19"/>
  <c r="Y519" i="19"/>
  <c r="A519" i="19"/>
  <c r="Y518" i="19"/>
  <c r="A518" i="19"/>
  <c r="Y517" i="19"/>
  <c r="A517" i="19"/>
  <c r="Y516" i="19"/>
  <c r="A516" i="19"/>
  <c r="Y515" i="19"/>
  <c r="A515" i="19"/>
  <c r="Y514" i="19"/>
  <c r="A514" i="19"/>
  <c r="Y513" i="19"/>
  <c r="A513" i="19"/>
  <c r="Y512" i="19"/>
  <c r="A512" i="19"/>
  <c r="Y511" i="19"/>
  <c r="A511" i="19"/>
  <c r="Y510" i="19"/>
  <c r="A510" i="19"/>
  <c r="Y509" i="19"/>
  <c r="A509" i="19"/>
  <c r="Y508" i="19"/>
  <c r="A508" i="19"/>
  <c r="Y507" i="19"/>
  <c r="A507" i="19"/>
  <c r="Y506" i="19"/>
  <c r="A506" i="19"/>
  <c r="Y505" i="19"/>
  <c r="A505" i="19"/>
  <c r="Y504" i="19"/>
  <c r="A504" i="19"/>
  <c r="Y503" i="19"/>
  <c r="A503" i="19"/>
  <c r="Y502" i="19"/>
  <c r="A502" i="19"/>
  <c r="Y501" i="19"/>
  <c r="A501" i="19"/>
  <c r="Y500" i="19"/>
  <c r="A500" i="19"/>
  <c r="Y499" i="19"/>
  <c r="A499" i="19"/>
  <c r="Y498" i="19"/>
  <c r="A498" i="19"/>
  <c r="Y497" i="19"/>
  <c r="A497" i="19"/>
  <c r="Y496" i="19"/>
  <c r="A496" i="19"/>
  <c r="Y495" i="19"/>
  <c r="A495" i="19"/>
  <c r="Y494" i="19"/>
  <c r="A494" i="19"/>
  <c r="Y493" i="19"/>
  <c r="A493" i="19"/>
  <c r="Y492" i="19"/>
  <c r="A492" i="19"/>
  <c r="Y491" i="19"/>
  <c r="A491" i="19"/>
  <c r="Y490" i="19"/>
  <c r="A490" i="19"/>
  <c r="Y489" i="19"/>
  <c r="A489" i="19"/>
  <c r="Y488" i="19"/>
  <c r="A488" i="19"/>
  <c r="Y487" i="19"/>
  <c r="A487" i="19"/>
  <c r="Y486" i="19"/>
  <c r="A486" i="19"/>
  <c r="Y485" i="19"/>
  <c r="A485" i="19"/>
  <c r="Y484" i="19"/>
  <c r="A484" i="19"/>
  <c r="Y483" i="19"/>
  <c r="A483" i="19"/>
  <c r="Y482" i="19"/>
  <c r="A482" i="19"/>
  <c r="Y481" i="19"/>
  <c r="A481" i="19"/>
  <c r="Y480" i="19"/>
  <c r="A480" i="19"/>
  <c r="Y479" i="19"/>
  <c r="A479" i="19"/>
  <c r="Y478" i="19"/>
  <c r="A478" i="19"/>
  <c r="Y477" i="19"/>
  <c r="A477" i="19"/>
  <c r="Y476" i="19"/>
  <c r="A476" i="19"/>
  <c r="Y475" i="19"/>
  <c r="A475" i="19"/>
  <c r="Y474" i="19"/>
  <c r="A474" i="19"/>
  <c r="Y473" i="19"/>
  <c r="A473" i="19"/>
  <c r="Y472" i="19"/>
  <c r="A472" i="19"/>
  <c r="Y471" i="19"/>
  <c r="A471" i="19"/>
  <c r="Y470" i="19"/>
  <c r="A470" i="19"/>
  <c r="Y469" i="19"/>
  <c r="A469" i="19"/>
  <c r="Y468" i="19"/>
  <c r="A468" i="19"/>
  <c r="Y467" i="19"/>
  <c r="A467" i="19"/>
  <c r="Y466" i="19"/>
  <c r="A466" i="19"/>
  <c r="Y465" i="19"/>
  <c r="A465" i="19"/>
  <c r="Y464" i="19"/>
  <c r="A464" i="19"/>
  <c r="Y463" i="19"/>
  <c r="A463" i="19"/>
  <c r="Y462" i="19"/>
  <c r="A462" i="19"/>
  <c r="Y461" i="19"/>
  <c r="A461" i="19"/>
  <c r="Y460" i="19"/>
  <c r="A460" i="19"/>
  <c r="Y459" i="19"/>
  <c r="A459" i="19"/>
  <c r="Y458" i="19"/>
  <c r="A458" i="19"/>
  <c r="Y457" i="19"/>
  <c r="A457" i="19"/>
  <c r="Y456" i="19"/>
  <c r="A456" i="19"/>
  <c r="Y455" i="19"/>
  <c r="A455" i="19"/>
  <c r="Y454" i="19"/>
  <c r="A454" i="19"/>
  <c r="Y453" i="19"/>
  <c r="A453" i="19"/>
  <c r="Y452" i="19"/>
  <c r="A452" i="19"/>
  <c r="Y451" i="19"/>
  <c r="A451" i="19"/>
  <c r="Y450" i="19"/>
  <c r="A450" i="19"/>
  <c r="Y449" i="19"/>
  <c r="A449" i="19"/>
  <c r="Y448" i="19"/>
  <c r="A448" i="19"/>
  <c r="Y447" i="19"/>
  <c r="A447" i="19"/>
  <c r="Y446" i="19"/>
  <c r="A446" i="19"/>
  <c r="Y445" i="19"/>
  <c r="A445" i="19"/>
  <c r="Y444" i="19"/>
  <c r="A444" i="19"/>
  <c r="Y443" i="19"/>
  <c r="A443" i="19"/>
  <c r="Y442" i="19"/>
  <c r="A442" i="19"/>
  <c r="Y441" i="19"/>
  <c r="A441" i="19"/>
  <c r="Y440" i="19"/>
  <c r="A440" i="19"/>
  <c r="Y439" i="19"/>
  <c r="A439" i="19"/>
  <c r="Y438" i="19"/>
  <c r="A438" i="19"/>
  <c r="Y437" i="19"/>
  <c r="A437" i="19"/>
  <c r="Y436" i="19"/>
  <c r="A436" i="19"/>
  <c r="Y435" i="19"/>
  <c r="A435" i="19"/>
  <c r="Y434" i="19"/>
  <c r="A434" i="19"/>
  <c r="Y433" i="19"/>
  <c r="A433" i="19"/>
  <c r="Y432" i="19"/>
  <c r="A432" i="19"/>
  <c r="Y431" i="19"/>
  <c r="A431" i="19"/>
  <c r="Y430" i="19"/>
  <c r="A430" i="19"/>
  <c r="Y429" i="19"/>
  <c r="A429" i="19"/>
  <c r="Y428" i="19"/>
  <c r="A428" i="19"/>
  <c r="Y427" i="19"/>
  <c r="A427" i="19"/>
  <c r="Y426" i="19"/>
  <c r="A426" i="19"/>
  <c r="Y425" i="19"/>
  <c r="A425" i="19"/>
  <c r="Y424" i="19"/>
  <c r="A424" i="19"/>
  <c r="Y423" i="19"/>
  <c r="A423" i="19"/>
  <c r="Y422" i="19"/>
  <c r="A422" i="19"/>
  <c r="Y421" i="19"/>
  <c r="A421" i="19"/>
  <c r="Y420" i="19"/>
  <c r="A420" i="19"/>
  <c r="Y419" i="19"/>
  <c r="A419" i="19"/>
  <c r="Y418" i="19"/>
  <c r="A418" i="19"/>
  <c r="Y417" i="19"/>
  <c r="A417" i="19"/>
  <c r="Y416" i="19"/>
  <c r="A416" i="19"/>
  <c r="Y415" i="19"/>
  <c r="A415" i="19"/>
  <c r="Y414" i="19"/>
  <c r="A414" i="19"/>
  <c r="Y413" i="19"/>
  <c r="A413" i="19"/>
  <c r="Y412" i="19"/>
  <c r="A412" i="19"/>
  <c r="Y411" i="19"/>
  <c r="A411" i="19"/>
  <c r="Y410" i="19"/>
  <c r="A410" i="19"/>
  <c r="Y409" i="19"/>
  <c r="A409" i="19"/>
  <c r="Y408" i="19"/>
  <c r="A408" i="19"/>
  <c r="Y407" i="19"/>
  <c r="A407" i="19"/>
  <c r="Y406" i="19"/>
  <c r="A406" i="19"/>
  <c r="Y405" i="19"/>
  <c r="A405" i="19"/>
  <c r="Y404" i="19"/>
  <c r="A404" i="19"/>
  <c r="Y403" i="19"/>
  <c r="A403" i="19"/>
  <c r="Y402" i="19"/>
  <c r="A402" i="19"/>
  <c r="Y401" i="19"/>
  <c r="A401" i="19"/>
  <c r="Y400" i="19"/>
  <c r="A400" i="19"/>
  <c r="Y399" i="19"/>
  <c r="A399" i="19"/>
  <c r="Y398" i="19"/>
  <c r="A398" i="19"/>
  <c r="Y397" i="19"/>
  <c r="A397" i="19"/>
  <c r="Y396" i="19"/>
  <c r="A396" i="19"/>
  <c r="Y395" i="19"/>
  <c r="A395" i="19"/>
  <c r="Y394" i="19"/>
  <c r="A394" i="19"/>
  <c r="Y393" i="19"/>
  <c r="A393" i="19"/>
  <c r="Y392" i="19"/>
  <c r="A392" i="19"/>
  <c r="Y391" i="19"/>
  <c r="A391" i="19"/>
  <c r="Y390" i="19"/>
  <c r="A390" i="19"/>
  <c r="Y389" i="19"/>
  <c r="A389" i="19"/>
  <c r="Y388" i="19"/>
  <c r="A388" i="19"/>
  <c r="Y387" i="19"/>
  <c r="A387" i="19"/>
  <c r="Y386" i="19"/>
  <c r="A386" i="19"/>
  <c r="Y385" i="19"/>
  <c r="A385" i="19"/>
  <c r="Y384" i="19"/>
  <c r="A384" i="19"/>
  <c r="Y383" i="19"/>
  <c r="A383" i="19"/>
  <c r="Y382" i="19"/>
  <c r="A382" i="19"/>
  <c r="Y381" i="19"/>
  <c r="A381" i="19"/>
  <c r="Y380" i="19"/>
  <c r="A380" i="19"/>
  <c r="Y379" i="19"/>
  <c r="A379" i="19"/>
  <c r="Y378" i="19"/>
  <c r="A378" i="19"/>
  <c r="Y377" i="19"/>
  <c r="A377" i="19"/>
  <c r="Y376" i="19"/>
  <c r="A376" i="19"/>
  <c r="Y375" i="19"/>
  <c r="A375" i="19"/>
  <c r="Y374" i="19"/>
  <c r="A374" i="19"/>
  <c r="Y373" i="19"/>
  <c r="A373" i="19"/>
  <c r="Y372" i="19"/>
  <c r="A372" i="19"/>
  <c r="Y371" i="19"/>
  <c r="A371" i="19"/>
  <c r="Y370" i="19"/>
  <c r="A370" i="19"/>
  <c r="Y369" i="19"/>
  <c r="A369" i="19"/>
  <c r="Y368" i="19"/>
  <c r="A368" i="19"/>
  <c r="Y367" i="19"/>
  <c r="A367" i="19"/>
  <c r="Y366" i="19"/>
  <c r="A366" i="19"/>
  <c r="Y365" i="19"/>
  <c r="A365" i="19"/>
  <c r="Y364" i="19"/>
  <c r="A364" i="19"/>
  <c r="Y363" i="19"/>
  <c r="A363" i="19"/>
  <c r="Y362" i="19"/>
  <c r="A362" i="19"/>
  <c r="Y361" i="19"/>
  <c r="A361" i="19"/>
  <c r="Y360" i="19"/>
  <c r="A360" i="19"/>
  <c r="Y359" i="19"/>
  <c r="A359" i="19"/>
  <c r="Y358" i="19"/>
  <c r="A358" i="19"/>
  <c r="Y357" i="19"/>
  <c r="A357" i="19"/>
  <c r="Y356" i="19"/>
  <c r="A356" i="19"/>
  <c r="Y355" i="19"/>
  <c r="A355" i="19"/>
  <c r="Y354" i="19"/>
  <c r="A354" i="19"/>
  <c r="Y353" i="19"/>
  <c r="A353" i="19"/>
  <c r="Y352" i="19"/>
  <c r="A352" i="19"/>
  <c r="Y351" i="19"/>
  <c r="A351" i="19"/>
  <c r="Y350" i="19"/>
  <c r="A350" i="19"/>
  <c r="Y349" i="19"/>
  <c r="A349" i="19"/>
  <c r="Y348" i="19"/>
  <c r="A348" i="19"/>
  <c r="Y347" i="19"/>
  <c r="A347" i="19"/>
  <c r="Y346" i="19"/>
  <c r="A346" i="19"/>
  <c r="Y345" i="19"/>
  <c r="A345" i="19"/>
  <c r="Y344" i="19"/>
  <c r="A344" i="19"/>
  <c r="Y343" i="19"/>
  <c r="A343" i="19"/>
  <c r="Y342" i="19"/>
  <c r="A342" i="19"/>
  <c r="Y341" i="19"/>
  <c r="A341" i="19"/>
  <c r="Y340" i="19"/>
  <c r="A340" i="19"/>
  <c r="Y339" i="19"/>
  <c r="A339" i="19"/>
  <c r="Y338" i="19"/>
  <c r="A338" i="19"/>
  <c r="Y337" i="19"/>
  <c r="A337" i="19"/>
  <c r="Y336" i="19"/>
  <c r="A336" i="19"/>
  <c r="Y335" i="19"/>
  <c r="A335" i="19"/>
  <c r="Y334" i="19"/>
  <c r="A334" i="19"/>
  <c r="Y333" i="19"/>
  <c r="A333" i="19"/>
  <c r="Y332" i="19"/>
  <c r="A332" i="19"/>
  <c r="Y331" i="19"/>
  <c r="A331" i="19"/>
  <c r="Y330" i="19"/>
  <c r="A330" i="19"/>
  <c r="Y329" i="19"/>
  <c r="A329" i="19"/>
  <c r="Y328" i="19"/>
  <c r="A328" i="19"/>
  <c r="Y327" i="19"/>
  <c r="A327" i="19"/>
  <c r="Y326" i="19"/>
  <c r="A326" i="19"/>
  <c r="Y325" i="19"/>
  <c r="A325" i="19"/>
  <c r="Y324" i="19"/>
  <c r="A324" i="19"/>
  <c r="Y323" i="19"/>
  <c r="A323" i="19"/>
  <c r="Y322" i="19"/>
  <c r="A322" i="19"/>
  <c r="Y321" i="19"/>
  <c r="A321" i="19"/>
  <c r="Y320" i="19"/>
  <c r="A320" i="19"/>
  <c r="Y319" i="19"/>
  <c r="A319" i="19"/>
  <c r="Y318" i="19"/>
  <c r="A318" i="19"/>
  <c r="Y317" i="19"/>
  <c r="A317" i="19"/>
  <c r="Y316" i="19"/>
  <c r="A316" i="19"/>
  <c r="Y315" i="19"/>
  <c r="A315" i="19"/>
  <c r="Y314" i="19"/>
  <c r="A314" i="19"/>
  <c r="Y313" i="19"/>
  <c r="A313" i="19"/>
  <c r="Y312" i="19"/>
  <c r="A312" i="19"/>
  <c r="Y311" i="19"/>
  <c r="A311" i="19"/>
  <c r="Y310" i="19"/>
  <c r="A310" i="19"/>
  <c r="Y309" i="19"/>
  <c r="A309" i="19"/>
  <c r="Y308" i="19"/>
  <c r="A308" i="19"/>
  <c r="Y307" i="19"/>
  <c r="A307" i="19"/>
  <c r="Y306" i="19"/>
  <c r="A306" i="19"/>
  <c r="Y305" i="19"/>
  <c r="A305" i="19"/>
  <c r="Y304" i="19"/>
  <c r="A304" i="19"/>
  <c r="Y303" i="19"/>
  <c r="A303" i="19"/>
  <c r="Y302" i="19"/>
  <c r="A302" i="19"/>
  <c r="Y301" i="19"/>
  <c r="A301" i="19"/>
  <c r="Y300" i="19"/>
  <c r="A300" i="19"/>
  <c r="Y299" i="19"/>
  <c r="A299" i="19"/>
  <c r="Y298" i="19"/>
  <c r="A298" i="19"/>
  <c r="Y297" i="19"/>
  <c r="A297" i="19"/>
  <c r="Y296" i="19"/>
  <c r="A296" i="19"/>
  <c r="Y295" i="19"/>
  <c r="A295" i="19"/>
  <c r="Y294" i="19"/>
  <c r="A294" i="19"/>
  <c r="Y293" i="19"/>
  <c r="A293" i="19"/>
  <c r="Y292" i="19"/>
  <c r="A292" i="19"/>
  <c r="Y291" i="19"/>
  <c r="A291" i="19"/>
  <c r="Y290" i="19"/>
  <c r="A290" i="19"/>
  <c r="Y289" i="19"/>
  <c r="A289" i="19"/>
  <c r="Y288" i="19"/>
  <c r="A288" i="19"/>
  <c r="Y287" i="19"/>
  <c r="A287" i="19"/>
  <c r="Y286" i="19"/>
  <c r="A286" i="19"/>
  <c r="Y285" i="19"/>
  <c r="A285" i="19"/>
  <c r="Y284" i="19"/>
  <c r="A284" i="19"/>
  <c r="Y283" i="19"/>
  <c r="A283" i="19"/>
  <c r="Y282" i="19"/>
  <c r="A282" i="19"/>
  <c r="Y281" i="19"/>
  <c r="A281" i="19"/>
  <c r="Y280" i="19"/>
  <c r="A280" i="19"/>
  <c r="Y279" i="19"/>
  <c r="A279" i="19"/>
  <c r="Y278" i="19"/>
  <c r="A278" i="19"/>
  <c r="Y277" i="19"/>
  <c r="A277" i="19"/>
  <c r="Y276" i="19"/>
  <c r="A276" i="19"/>
  <c r="Y275" i="19"/>
  <c r="A275" i="19"/>
  <c r="Y274" i="19"/>
  <c r="A274" i="19"/>
  <c r="Y273" i="19"/>
  <c r="A273" i="19"/>
  <c r="Y272" i="19"/>
  <c r="A272" i="19"/>
  <c r="Y271" i="19"/>
  <c r="A271" i="19"/>
  <c r="Y270" i="19"/>
  <c r="A270" i="19"/>
  <c r="Y269" i="19"/>
  <c r="A269" i="19"/>
  <c r="Y268" i="19"/>
  <c r="A268" i="19"/>
  <c r="Y267" i="19"/>
  <c r="A267" i="19"/>
  <c r="Y266" i="19"/>
  <c r="A266" i="19"/>
  <c r="Y265" i="19"/>
  <c r="A265" i="19"/>
  <c r="Y264" i="19"/>
  <c r="A264" i="19"/>
  <c r="Y263" i="19"/>
  <c r="A263" i="19"/>
  <c r="Y262" i="19"/>
  <c r="A262" i="19"/>
  <c r="Y261" i="19"/>
  <c r="A261" i="19"/>
  <c r="Y260" i="19"/>
  <c r="A260" i="19"/>
  <c r="Y259" i="19"/>
  <c r="A259" i="19"/>
  <c r="Y258" i="19"/>
  <c r="A258" i="19"/>
  <c r="Y257" i="19"/>
  <c r="A257" i="19"/>
  <c r="Y256" i="19"/>
  <c r="A256" i="19"/>
  <c r="Y255" i="19"/>
  <c r="A255" i="19"/>
  <c r="Y254" i="19"/>
  <c r="A254" i="19"/>
  <c r="Y253" i="19"/>
  <c r="A253" i="19"/>
  <c r="Y252" i="19"/>
  <c r="A252" i="19"/>
  <c r="Y251" i="19"/>
  <c r="A251" i="19"/>
  <c r="Y250" i="19"/>
  <c r="A250" i="19"/>
  <c r="Y249" i="19"/>
  <c r="A249" i="19"/>
  <c r="Y248" i="19"/>
  <c r="A248" i="19"/>
  <c r="Y247" i="19"/>
  <c r="A247" i="19"/>
  <c r="Y246" i="19"/>
  <c r="A246" i="19"/>
  <c r="Y245" i="19"/>
  <c r="A245" i="19"/>
  <c r="Y244" i="19"/>
  <c r="A244" i="19"/>
  <c r="Y243" i="19"/>
  <c r="A243" i="19"/>
  <c r="Y242" i="19"/>
  <c r="A242" i="19"/>
  <c r="Y241" i="19"/>
  <c r="A241" i="19"/>
  <c r="Y240" i="19"/>
  <c r="A240" i="19"/>
  <c r="Y239" i="19"/>
  <c r="A239" i="19"/>
  <c r="Y238" i="19"/>
  <c r="A238" i="19"/>
  <c r="Y237" i="19"/>
  <c r="A237" i="19"/>
  <c r="Y236" i="19"/>
  <c r="A236" i="19"/>
  <c r="Y235" i="19"/>
  <c r="A235" i="19"/>
  <c r="Y234" i="19"/>
  <c r="A234" i="19"/>
  <c r="Y233" i="19"/>
  <c r="A233" i="19"/>
  <c r="Y232" i="19"/>
  <c r="A232" i="19"/>
  <c r="Y231" i="19"/>
  <c r="A231" i="19"/>
  <c r="Y230" i="19"/>
  <c r="A230" i="19"/>
  <c r="Y229" i="19"/>
  <c r="A229" i="19"/>
  <c r="Y228" i="19"/>
  <c r="A228" i="19"/>
  <c r="Y227" i="19"/>
  <c r="A227" i="19"/>
  <c r="Y226" i="19"/>
  <c r="A226" i="19"/>
  <c r="Y225" i="19"/>
  <c r="A225" i="19"/>
  <c r="Y224" i="19"/>
  <c r="A224" i="19"/>
  <c r="Y223" i="19"/>
  <c r="A223" i="19"/>
  <c r="Y222" i="19"/>
  <c r="A222" i="19"/>
  <c r="Y221" i="19"/>
  <c r="A221" i="19"/>
  <c r="Y220" i="19"/>
  <c r="A220" i="19"/>
  <c r="Y219" i="19"/>
  <c r="A219" i="19"/>
  <c r="Y218" i="19"/>
  <c r="A218" i="19"/>
  <c r="Y217" i="19"/>
  <c r="A217" i="19"/>
  <c r="Y216" i="19"/>
  <c r="A216" i="19"/>
  <c r="Y215" i="19"/>
  <c r="A215" i="19"/>
  <c r="Y214" i="19"/>
  <c r="A214" i="19"/>
  <c r="Y213" i="19"/>
  <c r="A213" i="19"/>
  <c r="Y212" i="19"/>
  <c r="A212" i="19"/>
  <c r="Y211" i="19"/>
  <c r="A211" i="19"/>
  <c r="Y210" i="19"/>
  <c r="A210" i="19"/>
  <c r="Y209" i="19"/>
  <c r="A209" i="19"/>
  <c r="Y208" i="19"/>
  <c r="A208" i="19"/>
  <c r="Y207" i="19"/>
  <c r="A207" i="19"/>
  <c r="Y206" i="19"/>
  <c r="A206" i="19"/>
  <c r="Y205" i="19"/>
  <c r="A205" i="19"/>
  <c r="Y204" i="19"/>
  <c r="A204" i="19"/>
  <c r="Y203" i="19"/>
  <c r="A203" i="19"/>
  <c r="Y202" i="19"/>
  <c r="A202" i="19"/>
  <c r="Y201" i="19"/>
  <c r="A201" i="19"/>
  <c r="Y200" i="19"/>
  <c r="A200" i="19"/>
  <c r="Y199" i="19"/>
  <c r="A199" i="19"/>
  <c r="Y198" i="19"/>
  <c r="A198" i="19"/>
  <c r="Y197" i="19"/>
  <c r="A197" i="19"/>
  <c r="Y196" i="19"/>
  <c r="A196" i="19"/>
  <c r="Y195" i="19"/>
  <c r="A195" i="19"/>
  <c r="Y194" i="19"/>
  <c r="A194" i="19"/>
  <c r="Y193" i="19"/>
  <c r="A193" i="19"/>
  <c r="Y192" i="19"/>
  <c r="A192" i="19"/>
  <c r="Y191" i="19"/>
  <c r="A191" i="19"/>
  <c r="Y190" i="19"/>
  <c r="A190" i="19"/>
  <c r="Y189" i="19"/>
  <c r="A189" i="19"/>
  <c r="Y188" i="19"/>
  <c r="A188" i="19"/>
  <c r="Y187" i="19"/>
  <c r="A187" i="19"/>
  <c r="Y186" i="19"/>
  <c r="A186" i="19"/>
  <c r="Y185" i="19"/>
  <c r="A185" i="19"/>
  <c r="Y184" i="19"/>
  <c r="A184" i="19"/>
  <c r="Y183" i="19"/>
  <c r="A183" i="19"/>
  <c r="Y182" i="19"/>
  <c r="A182" i="19"/>
  <c r="Y181" i="19"/>
  <c r="A181" i="19"/>
  <c r="Y180" i="19"/>
  <c r="A180" i="19"/>
  <c r="Y179" i="19"/>
  <c r="A179" i="19"/>
  <c r="Y178" i="19"/>
  <c r="A178" i="19"/>
  <c r="Y177" i="19"/>
  <c r="A177" i="19"/>
  <c r="Y176" i="19"/>
  <c r="A176" i="19"/>
  <c r="Y175" i="19"/>
  <c r="A175" i="19"/>
  <c r="Y174" i="19"/>
  <c r="A174" i="19"/>
  <c r="Y173" i="19"/>
  <c r="A173" i="19"/>
  <c r="Y172" i="19"/>
  <c r="A172" i="19"/>
  <c r="Y171" i="19"/>
  <c r="A171" i="19"/>
  <c r="Y170" i="19"/>
  <c r="A170" i="19"/>
  <c r="Y169" i="19"/>
  <c r="A169" i="19"/>
  <c r="Y168" i="19"/>
  <c r="A168" i="19"/>
  <c r="Y167" i="19"/>
  <c r="A167" i="19"/>
  <c r="Y166" i="19"/>
  <c r="A166" i="19"/>
  <c r="Y165" i="19"/>
  <c r="A165" i="19"/>
  <c r="Y164" i="19"/>
  <c r="A164" i="19"/>
  <c r="Y163" i="19"/>
  <c r="A163" i="19"/>
  <c r="Y162" i="19"/>
  <c r="A162" i="19"/>
  <c r="Y161" i="19"/>
  <c r="A161" i="19"/>
  <c r="Y160" i="19"/>
  <c r="A160" i="19"/>
  <c r="Y159" i="19"/>
  <c r="A159" i="19"/>
  <c r="Y158" i="19"/>
  <c r="A158" i="19"/>
  <c r="Y157" i="19"/>
  <c r="A157" i="19"/>
  <c r="Y156" i="19"/>
  <c r="A156" i="19"/>
  <c r="Y155" i="19"/>
  <c r="A155" i="19"/>
  <c r="Y154" i="19"/>
  <c r="A154" i="19"/>
  <c r="Y153" i="19"/>
  <c r="A153" i="19"/>
  <c r="Y152" i="19"/>
  <c r="A152" i="19"/>
  <c r="Y151" i="19"/>
  <c r="A151" i="19"/>
  <c r="Y150" i="19"/>
  <c r="A150" i="19"/>
  <c r="Y149" i="19"/>
  <c r="A149" i="19"/>
  <c r="Y148" i="19"/>
  <c r="A148" i="19"/>
  <c r="Y147" i="19"/>
  <c r="A147" i="19"/>
  <c r="Y146" i="19"/>
  <c r="A146" i="19"/>
  <c r="Y145" i="19"/>
  <c r="A145" i="19"/>
  <c r="Y144" i="19"/>
  <c r="A144" i="19"/>
  <c r="Y143" i="19"/>
  <c r="A143" i="19"/>
  <c r="Y142" i="19"/>
  <c r="A142" i="19"/>
  <c r="Y141" i="19"/>
  <c r="A141" i="19"/>
  <c r="Y140" i="19"/>
  <c r="A140" i="19"/>
  <c r="Y139" i="19"/>
  <c r="A139" i="19"/>
  <c r="Y138" i="19"/>
  <c r="A138" i="19"/>
  <c r="Y137" i="19"/>
  <c r="A137" i="19"/>
  <c r="Y136" i="19"/>
  <c r="A136" i="19"/>
  <c r="Y135" i="19"/>
  <c r="A135" i="19"/>
  <c r="Y134" i="19"/>
  <c r="A134" i="19"/>
  <c r="Y133" i="19"/>
  <c r="A133" i="19"/>
  <c r="Y132" i="19"/>
  <c r="A132" i="19"/>
  <c r="Y131" i="19"/>
  <c r="A131" i="19"/>
  <c r="Y130" i="19"/>
  <c r="A130" i="19"/>
  <c r="Y129" i="19"/>
  <c r="A129" i="19"/>
  <c r="Y128" i="19"/>
  <c r="A128" i="19"/>
  <c r="Y127" i="19"/>
  <c r="A127" i="19"/>
  <c r="Y126" i="19"/>
  <c r="A126" i="19"/>
  <c r="Y125" i="19"/>
  <c r="A125" i="19"/>
  <c r="Y124" i="19"/>
  <c r="A124" i="19"/>
  <c r="Y123" i="19"/>
  <c r="A123" i="19"/>
  <c r="Y122" i="19"/>
  <c r="A122" i="19"/>
  <c r="Y121" i="19"/>
  <c r="A121" i="19"/>
  <c r="Y120" i="19"/>
  <c r="A120" i="19"/>
  <c r="Y119" i="19"/>
  <c r="A119" i="19"/>
  <c r="Y118" i="19"/>
  <c r="A118" i="19"/>
  <c r="Y117" i="19"/>
  <c r="A117" i="19"/>
  <c r="Y116" i="19"/>
  <c r="A116" i="19"/>
  <c r="Y115" i="19"/>
  <c r="A115" i="19"/>
  <c r="Y114" i="19"/>
  <c r="A114" i="19"/>
  <c r="Y113" i="19"/>
  <c r="A113" i="19"/>
  <c r="Y112" i="19"/>
  <c r="A112" i="19"/>
  <c r="Y111" i="19"/>
  <c r="A111" i="19"/>
  <c r="Y110" i="19"/>
  <c r="A110" i="19"/>
  <c r="Y109" i="19"/>
  <c r="A109" i="19"/>
  <c r="Y108" i="19"/>
  <c r="A108" i="19"/>
  <c r="Y107" i="19"/>
  <c r="A107" i="19"/>
  <c r="Y106" i="19"/>
  <c r="A106" i="19"/>
  <c r="Y105" i="19"/>
  <c r="A105" i="19"/>
  <c r="Y104" i="19"/>
  <c r="A104" i="19"/>
  <c r="Y103" i="19"/>
  <c r="A103" i="19"/>
  <c r="Y102" i="19"/>
  <c r="A102" i="19"/>
  <c r="Y101" i="19"/>
  <c r="A101" i="19"/>
  <c r="Y100" i="19"/>
  <c r="A100" i="19"/>
  <c r="Y99" i="19"/>
  <c r="A99" i="19"/>
  <c r="Y98" i="19"/>
  <c r="A98" i="19"/>
  <c r="Y97" i="19"/>
  <c r="A97" i="19"/>
  <c r="Y96" i="19"/>
  <c r="A96" i="19"/>
  <c r="Y95" i="19"/>
  <c r="A95" i="19"/>
  <c r="Y94" i="19"/>
  <c r="A94" i="19"/>
  <c r="Y93" i="19"/>
  <c r="A93" i="19"/>
  <c r="Y92" i="19"/>
  <c r="A92" i="19"/>
  <c r="Y91" i="19"/>
  <c r="A91" i="19"/>
  <c r="Y90" i="19"/>
  <c r="A90" i="19"/>
  <c r="Y89" i="19"/>
  <c r="A89" i="19"/>
  <c r="Y88" i="19"/>
  <c r="A88" i="19"/>
  <c r="Y87" i="19"/>
  <c r="A87" i="19"/>
  <c r="Y86" i="19"/>
  <c r="A86" i="19"/>
  <c r="Y85" i="19"/>
  <c r="A85" i="19"/>
  <c r="Y84" i="19"/>
  <c r="A84" i="19"/>
  <c r="Y83" i="19"/>
  <c r="A83" i="19"/>
  <c r="Y82" i="19"/>
  <c r="A82" i="19"/>
  <c r="Y81" i="19"/>
  <c r="A81" i="19"/>
  <c r="Y80" i="19"/>
  <c r="A80" i="19"/>
  <c r="Y79" i="19"/>
  <c r="A79" i="19"/>
  <c r="Y78" i="19"/>
  <c r="A78" i="19"/>
  <c r="Y77" i="19"/>
  <c r="A77" i="19"/>
  <c r="Y76" i="19"/>
  <c r="A76" i="19"/>
  <c r="Y75" i="19"/>
  <c r="A75" i="19"/>
  <c r="Y74" i="19"/>
  <c r="A74" i="19"/>
  <c r="Y73" i="19"/>
  <c r="A73" i="19"/>
  <c r="Y72" i="19"/>
  <c r="A72" i="19"/>
  <c r="Y71" i="19"/>
  <c r="A71" i="19"/>
  <c r="Y70" i="19"/>
  <c r="A70" i="19"/>
  <c r="Y69" i="19"/>
  <c r="A69" i="19"/>
  <c r="Y68" i="19"/>
  <c r="A68" i="19"/>
  <c r="Y67" i="19"/>
  <c r="A67" i="19"/>
  <c r="Y66" i="19"/>
  <c r="A66" i="19"/>
  <c r="Y65" i="19"/>
  <c r="A65" i="19"/>
  <c r="Y64" i="19"/>
  <c r="A64" i="19"/>
  <c r="Y63" i="19"/>
  <c r="A63" i="19"/>
  <c r="Y62" i="19"/>
  <c r="A62" i="19"/>
  <c r="Y61" i="19"/>
  <c r="A61" i="19"/>
  <c r="Y60" i="19"/>
  <c r="A60" i="19"/>
  <c r="Y59" i="19"/>
  <c r="A59" i="19"/>
  <c r="Y58" i="19"/>
  <c r="A58" i="19"/>
  <c r="Y57" i="19"/>
  <c r="A57" i="19"/>
  <c r="Y56" i="19"/>
  <c r="A56" i="19"/>
  <c r="Y55" i="19"/>
  <c r="A55" i="19"/>
  <c r="Y54" i="19"/>
  <c r="A54" i="19"/>
  <c r="Y53" i="19"/>
  <c r="A53" i="19"/>
  <c r="Y52" i="19"/>
  <c r="A52" i="19"/>
  <c r="Y51" i="19"/>
  <c r="A51" i="19"/>
  <c r="Y50" i="19"/>
  <c r="A50" i="19"/>
  <c r="Y49" i="19"/>
  <c r="A49" i="19"/>
  <c r="Y48" i="19"/>
  <c r="A48" i="19"/>
  <c r="Y47" i="19"/>
  <c r="A47" i="19"/>
  <c r="Y46" i="19"/>
  <c r="A46" i="19"/>
  <c r="Y45" i="19"/>
  <c r="A45" i="19"/>
  <c r="Y44" i="19"/>
  <c r="A44" i="19"/>
  <c r="Y43" i="19"/>
  <c r="A43" i="19"/>
  <c r="Y42" i="19"/>
  <c r="A42" i="19"/>
  <c r="Y41" i="19"/>
  <c r="A41" i="19"/>
  <c r="Y40" i="19"/>
  <c r="A40" i="19"/>
  <c r="Y39" i="19"/>
  <c r="A39" i="19"/>
  <c r="Y38" i="19"/>
  <c r="A38" i="19"/>
  <c r="Y37" i="19"/>
  <c r="A37" i="19"/>
  <c r="Y36" i="19"/>
  <c r="A36" i="19"/>
  <c r="Y35" i="19"/>
  <c r="A35" i="19"/>
  <c r="Y34" i="19"/>
  <c r="A34" i="19"/>
  <c r="Y33" i="19"/>
  <c r="A33" i="19"/>
  <c r="Y32" i="19"/>
  <c r="A32" i="19"/>
  <c r="Y31" i="19"/>
  <c r="A31" i="19"/>
  <c r="Y30" i="19"/>
  <c r="A30" i="19"/>
  <c r="Y29" i="19"/>
  <c r="A29" i="19"/>
  <c r="Y28" i="19"/>
  <c r="A28" i="19"/>
  <c r="Y27" i="19"/>
  <c r="A27" i="19"/>
  <c r="Y26" i="19"/>
  <c r="A26" i="19"/>
  <c r="Y25" i="19"/>
  <c r="A25" i="19"/>
  <c r="Y24" i="19"/>
  <c r="A24" i="19"/>
  <c r="Y23" i="19"/>
  <c r="A23" i="19"/>
  <c r="Y22" i="19"/>
  <c r="A22" i="19"/>
  <c r="Y21" i="19"/>
  <c r="A21" i="19"/>
  <c r="Y20" i="19"/>
  <c r="A20" i="19"/>
  <c r="Y19" i="19"/>
  <c r="A19" i="19"/>
  <c r="Y18" i="19"/>
  <c r="A18" i="19"/>
  <c r="Y17" i="19"/>
  <c r="A17" i="19"/>
  <c r="Y16" i="19"/>
  <c r="A16" i="19"/>
  <c r="Y15" i="19"/>
  <c r="A15" i="19"/>
  <c r="Y14" i="19"/>
  <c r="A14" i="19"/>
  <c r="Y13" i="19"/>
  <c r="A13" i="19"/>
  <c r="Y12" i="19"/>
  <c r="A12" i="19"/>
  <c r="Y11" i="19"/>
  <c r="A11" i="19"/>
  <c r="Y10" i="19"/>
  <c r="A10" i="19"/>
  <c r="R8" i="19"/>
  <c r="P8" i="19"/>
  <c r="O7" i="19"/>
  <c r="N7" i="19"/>
  <c r="M7" i="19"/>
  <c r="L7" i="19"/>
  <c r="K7" i="19"/>
  <c r="J7" i="19"/>
  <c r="I7" i="19"/>
  <c r="C32" i="3"/>
  <c r="V5" i="10"/>
  <c r="T5" i="10"/>
  <c r="S5" i="10"/>
  <c r="D5" i="10"/>
  <c r="T4" i="10"/>
  <c r="S4" i="10"/>
  <c r="A6" i="5"/>
  <c r="E24" i="12"/>
  <c r="E22" i="12"/>
  <c r="E21" i="12"/>
  <c r="E20" i="12"/>
  <c r="E19" i="12"/>
  <c r="E17" i="12"/>
  <c r="E16" i="12"/>
  <c r="E15" i="12"/>
  <c r="E14" i="12"/>
  <c r="E13" i="12"/>
  <c r="E8" i="8"/>
  <c r="A5" i="8"/>
  <c r="A4" i="9"/>
  <c r="A2" i="4"/>
  <c r="H14" i="3"/>
  <c r="R12" i="3"/>
  <c r="Q12" i="3"/>
  <c r="D115" i="10" l="1"/>
  <c r="D29" i="10"/>
  <c r="B490" i="17"/>
  <c r="H489" i="17"/>
  <c r="D9" i="12"/>
  <c r="E9" i="12" s="1"/>
  <c r="AI9" i="13"/>
  <c r="AI13" i="13"/>
  <c r="AI25" i="13"/>
  <c r="AI17" i="13"/>
  <c r="W278" i="19"/>
  <c r="S278" i="19" s="1"/>
  <c r="AI21" i="13"/>
  <c r="AI29" i="13"/>
  <c r="AI49" i="13"/>
  <c r="AI37" i="13"/>
  <c r="AI45" i="13"/>
  <c r="AI33" i="13"/>
  <c r="AI41" i="13"/>
  <c r="AI53" i="13"/>
  <c r="A6" i="8"/>
  <c r="B6" i="8" s="1"/>
  <c r="D23" i="10"/>
  <c r="D55" i="10"/>
  <c r="D104" i="10"/>
  <c r="D15" i="10"/>
  <c r="D47" i="10"/>
  <c r="D85" i="10"/>
  <c r="D7" i="10"/>
  <c r="D39" i="10"/>
  <c r="D71" i="10"/>
  <c r="D31" i="10"/>
  <c r="D63" i="10"/>
  <c r="D9" i="10"/>
  <c r="D17" i="10"/>
  <c r="D25" i="10"/>
  <c r="D33" i="10"/>
  <c r="D41" i="10"/>
  <c r="D49" i="10"/>
  <c r="D57" i="10"/>
  <c r="D65" i="10"/>
  <c r="D73" i="10"/>
  <c r="D89" i="10"/>
  <c r="D112" i="10"/>
  <c r="D13" i="10"/>
  <c r="D21" i="10"/>
  <c r="D37" i="10"/>
  <c r="D45" i="10"/>
  <c r="D53" i="10"/>
  <c r="D61" i="10"/>
  <c r="D69" i="10"/>
  <c r="D81" i="10"/>
  <c r="D97" i="10"/>
  <c r="D11" i="10"/>
  <c r="D19" i="10"/>
  <c r="D27" i="10"/>
  <c r="D35" i="10"/>
  <c r="D43" i="10"/>
  <c r="D51" i="10"/>
  <c r="D59" i="10"/>
  <c r="D67" i="10"/>
  <c r="D77" i="10"/>
  <c r="D93" i="10"/>
  <c r="D8" i="10"/>
  <c r="D12" i="10"/>
  <c r="D16" i="10"/>
  <c r="D20" i="10"/>
  <c r="D24" i="10"/>
  <c r="D28" i="10"/>
  <c r="D32" i="10"/>
  <c r="D36" i="10"/>
  <c r="D40" i="10"/>
  <c r="D44" i="10"/>
  <c r="D48" i="10"/>
  <c r="D52" i="10"/>
  <c r="D56" i="10"/>
  <c r="D60" i="10"/>
  <c r="D64" i="10"/>
  <c r="D68" i="10"/>
  <c r="D72" i="10"/>
  <c r="D79" i="10"/>
  <c r="D87" i="10"/>
  <c r="D95" i="10"/>
  <c r="D107" i="10"/>
  <c r="D10" i="10"/>
  <c r="D14" i="10"/>
  <c r="D18" i="10"/>
  <c r="D22" i="10"/>
  <c r="D26" i="10"/>
  <c r="D30" i="10"/>
  <c r="D34" i="10"/>
  <c r="D38" i="10"/>
  <c r="D42" i="10"/>
  <c r="D46" i="10"/>
  <c r="D50" i="10"/>
  <c r="D54" i="10"/>
  <c r="D58" i="10"/>
  <c r="D62" i="10"/>
  <c r="D66" i="10"/>
  <c r="D70" i="10"/>
  <c r="D75" i="10"/>
  <c r="D83" i="10"/>
  <c r="D91" i="10"/>
  <c r="D99" i="10"/>
  <c r="X11" i="19"/>
  <c r="K11" i="19" s="1"/>
  <c r="G11" i="22" s="1"/>
  <c r="V12" i="19"/>
  <c r="T13" i="19"/>
  <c r="V10" i="19"/>
  <c r="T11" i="19"/>
  <c r="X13" i="19"/>
  <c r="K13" i="19" s="1"/>
  <c r="U14" i="19"/>
  <c r="W15" i="19"/>
  <c r="S15" i="19" s="1"/>
  <c r="U16" i="19"/>
  <c r="W17" i="19"/>
  <c r="S17" i="19" s="1"/>
  <c r="U18" i="19"/>
  <c r="D101" i="10"/>
  <c r="D106" i="10"/>
  <c r="D109" i="10"/>
  <c r="D114" i="10"/>
  <c r="D117" i="10"/>
  <c r="A5" i="9"/>
  <c r="D357" i="10"/>
  <c r="D356" i="10"/>
  <c r="D355" i="10"/>
  <c r="D354" i="10"/>
  <c r="D353" i="10"/>
  <c r="D352" i="10"/>
  <c r="D351" i="10"/>
  <c r="D350" i="10"/>
  <c r="D349" i="10"/>
  <c r="D348" i="10"/>
  <c r="D347" i="10"/>
  <c r="D346"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02" i="10"/>
  <c r="D105" i="10"/>
  <c r="D110" i="10"/>
  <c r="D113" i="10"/>
  <c r="D74" i="10"/>
  <c r="D76" i="10"/>
  <c r="D78" i="10"/>
  <c r="D80" i="10"/>
  <c r="D82" i="10"/>
  <c r="D84" i="10"/>
  <c r="D86" i="10"/>
  <c r="D88" i="10"/>
  <c r="D90" i="10"/>
  <c r="D92" i="10"/>
  <c r="D94" i="10"/>
  <c r="D96" i="10"/>
  <c r="D98" i="10"/>
  <c r="D100" i="10"/>
  <c r="D103" i="10"/>
  <c r="D108" i="10"/>
  <c r="D111" i="10"/>
  <c r="D116" i="10"/>
  <c r="U10" i="19"/>
  <c r="W11" i="19"/>
  <c r="S11" i="19" s="1"/>
  <c r="U12" i="19"/>
  <c r="W13" i="19"/>
  <c r="S13" i="19" s="1"/>
  <c r="T14" i="19"/>
  <c r="X14" i="19"/>
  <c r="V15" i="19"/>
  <c r="T16" i="19"/>
  <c r="X16" i="19"/>
  <c r="K16" i="19" s="1"/>
  <c r="G13" i="22" s="1"/>
  <c r="V17" i="19"/>
  <c r="T18" i="19"/>
  <c r="X18" i="19"/>
  <c r="K18" i="19" s="1"/>
  <c r="U19" i="19"/>
  <c r="W20" i="19"/>
  <c r="S20" i="19" s="1"/>
  <c r="U21" i="19"/>
  <c r="W22" i="19"/>
  <c r="S22" i="19" s="1"/>
  <c r="U23" i="19"/>
  <c r="V24" i="19"/>
  <c r="T25" i="19"/>
  <c r="X25" i="19"/>
  <c r="K25" i="19" s="1"/>
  <c r="G18" i="22" s="1"/>
  <c r="V26" i="19"/>
  <c r="T27" i="19"/>
  <c r="X27" i="19"/>
  <c r="K27" i="19" s="1"/>
  <c r="G20" i="22" s="1"/>
  <c r="V28" i="19"/>
  <c r="W29" i="19"/>
  <c r="S29" i="19" s="1"/>
  <c r="U30" i="19"/>
  <c r="W31" i="19"/>
  <c r="S31" i="19" s="1"/>
  <c r="U32" i="19"/>
  <c r="W33" i="19"/>
  <c r="S33" i="19" s="1"/>
  <c r="T34" i="19"/>
  <c r="X34" i="19"/>
  <c r="V35" i="19"/>
  <c r="T36" i="19"/>
  <c r="X36" i="19"/>
  <c r="K36" i="19" s="1"/>
  <c r="G23" i="22" s="1"/>
  <c r="V37" i="19"/>
  <c r="T38" i="19"/>
  <c r="X38" i="19"/>
  <c r="K38" i="19" s="1"/>
  <c r="U39" i="19"/>
  <c r="W40" i="19"/>
  <c r="S40" i="19" s="1"/>
  <c r="U41" i="19"/>
  <c r="W42" i="19"/>
  <c r="S42" i="19" s="1"/>
  <c r="U43" i="19"/>
  <c r="V44" i="19"/>
  <c r="T45" i="19"/>
  <c r="X45" i="19"/>
  <c r="K45" i="19" s="1"/>
  <c r="G26" i="22" s="1"/>
  <c r="V46" i="19"/>
  <c r="T47" i="19"/>
  <c r="X47" i="19"/>
  <c r="K47" i="19" s="1"/>
  <c r="V48" i="19"/>
  <c r="W49" i="19"/>
  <c r="S49" i="19" s="1"/>
  <c r="U50" i="19"/>
  <c r="W51" i="19"/>
  <c r="S51" i="19" s="1"/>
  <c r="U52" i="19"/>
  <c r="W53" i="19"/>
  <c r="S53" i="19" s="1"/>
  <c r="T54" i="19"/>
  <c r="X54" i="19"/>
  <c r="V55" i="19"/>
  <c r="T56" i="19"/>
  <c r="X56" i="19"/>
  <c r="K56" i="19" s="1"/>
  <c r="G31" i="22" s="1"/>
  <c r="V57" i="19"/>
  <c r="T58" i="19"/>
  <c r="X58" i="19"/>
  <c r="K58" i="19" s="1"/>
  <c r="U59" i="19"/>
  <c r="W60" i="19"/>
  <c r="S60" i="19" s="1"/>
  <c r="U61" i="19"/>
  <c r="W62" i="19"/>
  <c r="S62" i="19" s="1"/>
  <c r="U63" i="19"/>
  <c r="V64" i="19"/>
  <c r="T65" i="19"/>
  <c r="X65" i="19"/>
  <c r="K65" i="19" s="1"/>
  <c r="G35" i="22" s="1"/>
  <c r="V66" i="19"/>
  <c r="T67" i="19"/>
  <c r="X67" i="19"/>
  <c r="K67" i="19" s="1"/>
  <c r="G37" i="22" s="1"/>
  <c r="V68" i="19"/>
  <c r="W69" i="19"/>
  <c r="S69" i="19" s="1"/>
  <c r="U70" i="19"/>
  <c r="W71" i="19"/>
  <c r="S71" i="19" s="1"/>
  <c r="U72" i="19"/>
  <c r="W73" i="19"/>
  <c r="S73" i="19" s="1"/>
  <c r="T74" i="19"/>
  <c r="X74" i="19"/>
  <c r="V75" i="19"/>
  <c r="T76" i="19"/>
  <c r="X76" i="19"/>
  <c r="K76" i="19" s="1"/>
  <c r="G41" i="22" s="1"/>
  <c r="V77" i="19"/>
  <c r="T78" i="19"/>
  <c r="X78" i="19"/>
  <c r="K78" i="19" s="1"/>
  <c r="U79" i="19"/>
  <c r="W80" i="19"/>
  <c r="S80" i="19" s="1"/>
  <c r="U81" i="19"/>
  <c r="W82" i="19"/>
  <c r="S82" i="19" s="1"/>
  <c r="U83" i="19"/>
  <c r="V84" i="19"/>
  <c r="T85" i="19"/>
  <c r="X85" i="19"/>
  <c r="K85" i="19" s="1"/>
  <c r="G45" i="22" s="1"/>
  <c r="V86" i="19"/>
  <c r="T87" i="19"/>
  <c r="X87" i="19"/>
  <c r="K87" i="19" s="1"/>
  <c r="V88" i="19"/>
  <c r="W89" i="19"/>
  <c r="S89" i="19" s="1"/>
  <c r="U90" i="19"/>
  <c r="W91" i="19"/>
  <c r="S91" i="19" s="1"/>
  <c r="U92" i="19"/>
  <c r="W93" i="19"/>
  <c r="S93" i="19" s="1"/>
  <c r="T94" i="19"/>
  <c r="X94" i="19"/>
  <c r="V95" i="19"/>
  <c r="T96" i="19"/>
  <c r="X96" i="19"/>
  <c r="K96" i="19" s="1"/>
  <c r="G50" i="22" s="1"/>
  <c r="V97" i="19"/>
  <c r="T98" i="19"/>
  <c r="X98" i="19"/>
  <c r="K98" i="19" s="1"/>
  <c r="U99" i="19"/>
  <c r="W100" i="19"/>
  <c r="S100" i="19" s="1"/>
  <c r="U101" i="19"/>
  <c r="W102" i="19"/>
  <c r="S102" i="19" s="1"/>
  <c r="U103" i="19"/>
  <c r="V104" i="19"/>
  <c r="T105" i="19"/>
  <c r="X105" i="19"/>
  <c r="K105" i="19" s="1"/>
  <c r="G55" i="22" s="1"/>
  <c r="V106" i="19"/>
  <c r="T107" i="19"/>
  <c r="X107" i="19"/>
  <c r="K107" i="19" s="1"/>
  <c r="V108" i="19"/>
  <c r="W109" i="19"/>
  <c r="S109" i="19" s="1"/>
  <c r="U110" i="19"/>
  <c r="W111" i="19"/>
  <c r="S111" i="19" s="1"/>
  <c r="U112" i="19"/>
  <c r="W113" i="19"/>
  <c r="S113" i="19" s="1"/>
  <c r="T114" i="19"/>
  <c r="X114" i="19"/>
  <c r="V115" i="19"/>
  <c r="T116" i="19"/>
  <c r="X116" i="19"/>
  <c r="K116" i="19" s="1"/>
  <c r="G61" i="22" s="1"/>
  <c r="V117" i="19"/>
  <c r="T118" i="19"/>
  <c r="X118" i="19"/>
  <c r="K118" i="19" s="1"/>
  <c r="U119" i="19"/>
  <c r="W120" i="19"/>
  <c r="S120" i="19" s="1"/>
  <c r="U121" i="19"/>
  <c r="W122" i="19"/>
  <c r="S122" i="19" s="1"/>
  <c r="U123" i="19"/>
  <c r="V124" i="19"/>
  <c r="T125" i="19"/>
  <c r="X125" i="19"/>
  <c r="K125" i="19" s="1"/>
  <c r="G64" i="22" s="1"/>
  <c r="V126" i="19"/>
  <c r="T127" i="19"/>
  <c r="X127" i="19"/>
  <c r="K127" i="19" s="1"/>
  <c r="V128" i="19"/>
  <c r="W129" i="19"/>
  <c r="S129" i="19" s="1"/>
  <c r="U130" i="19"/>
  <c r="W131" i="19"/>
  <c r="S131" i="19" s="1"/>
  <c r="U132" i="19"/>
  <c r="W133" i="19"/>
  <c r="S133" i="19" s="1"/>
  <c r="T134" i="19"/>
  <c r="X134" i="19"/>
  <c r="V135" i="19"/>
  <c r="T136" i="19"/>
  <c r="X136" i="19"/>
  <c r="K136" i="19" s="1"/>
  <c r="V137" i="19"/>
  <c r="T138" i="19"/>
  <c r="X138" i="19"/>
  <c r="K138" i="19" s="1"/>
  <c r="U139" i="19"/>
  <c r="W140" i="19"/>
  <c r="S140" i="19" s="1"/>
  <c r="U141" i="19"/>
  <c r="W142" i="19"/>
  <c r="S142" i="19" s="1"/>
  <c r="U143" i="19"/>
  <c r="V144" i="19"/>
  <c r="T145" i="19"/>
  <c r="X145" i="19"/>
  <c r="K145" i="19" s="1"/>
  <c r="G74" i="22" s="1"/>
  <c r="V146" i="19"/>
  <c r="T147" i="19"/>
  <c r="X147" i="19"/>
  <c r="K147" i="19" s="1"/>
  <c r="G76" i="22" s="1"/>
  <c r="V148" i="19"/>
  <c r="W149" i="19"/>
  <c r="S149" i="19" s="1"/>
  <c r="U150" i="19"/>
  <c r="W151" i="19"/>
  <c r="S151" i="19" s="1"/>
  <c r="U152" i="19"/>
  <c r="W153" i="19"/>
  <c r="S153" i="19" s="1"/>
  <c r="T154" i="19"/>
  <c r="X154" i="19"/>
  <c r="V155" i="19"/>
  <c r="T156" i="19"/>
  <c r="X156" i="19"/>
  <c r="K156" i="19" s="1"/>
  <c r="G81" i="22" s="1"/>
  <c r="V157" i="19"/>
  <c r="T158" i="19"/>
  <c r="X158" i="19"/>
  <c r="K158" i="19" s="1"/>
  <c r="U159" i="19"/>
  <c r="W160" i="19"/>
  <c r="S160" i="19" s="1"/>
  <c r="U161" i="19"/>
  <c r="W162" i="19"/>
  <c r="S162" i="19" s="1"/>
  <c r="U163" i="19"/>
  <c r="V164" i="19"/>
  <c r="T165" i="19"/>
  <c r="X165" i="19"/>
  <c r="K165" i="19" s="1"/>
  <c r="G84" i="22" s="1"/>
  <c r="V166" i="19"/>
  <c r="T167" i="19"/>
  <c r="X167" i="19"/>
  <c r="K167" i="19" s="1"/>
  <c r="G86" i="22" s="1"/>
  <c r="V168" i="19"/>
  <c r="W169" i="19"/>
  <c r="S169" i="19" s="1"/>
  <c r="U170" i="19"/>
  <c r="W171" i="19"/>
  <c r="S171" i="19" s="1"/>
  <c r="U172" i="19"/>
  <c r="W173" i="19"/>
  <c r="S173" i="19" s="1"/>
  <c r="T174" i="19"/>
  <c r="X174" i="19"/>
  <c r="V175" i="19"/>
  <c r="T176" i="19"/>
  <c r="X176" i="19"/>
  <c r="K176" i="19" s="1"/>
  <c r="G90" i="22" s="1"/>
  <c r="V177" i="19"/>
  <c r="T178" i="19"/>
  <c r="X178" i="19"/>
  <c r="K178" i="19" s="1"/>
  <c r="U179" i="19"/>
  <c r="W180" i="19"/>
  <c r="S180" i="19" s="1"/>
  <c r="U181" i="19"/>
  <c r="W182" i="19"/>
  <c r="S182" i="19" s="1"/>
  <c r="U183" i="19"/>
  <c r="V184" i="19"/>
  <c r="T185" i="19"/>
  <c r="X185" i="19"/>
  <c r="K185" i="19" s="1"/>
  <c r="G93" i="22" s="1"/>
  <c r="V186" i="19"/>
  <c r="T187" i="19"/>
  <c r="X187" i="19"/>
  <c r="K187" i="19" s="1"/>
  <c r="V188" i="19"/>
  <c r="W189" i="19"/>
  <c r="S189" i="19" s="1"/>
  <c r="U190" i="19"/>
  <c r="W191" i="19"/>
  <c r="S191" i="19" s="1"/>
  <c r="U192" i="19"/>
  <c r="W193" i="19"/>
  <c r="S193" i="19" s="1"/>
  <c r="T194" i="19"/>
  <c r="X194" i="19"/>
  <c r="V195" i="19"/>
  <c r="T196" i="19"/>
  <c r="X196" i="19"/>
  <c r="K196" i="19" s="1"/>
  <c r="G98" i="22" s="1"/>
  <c r="V197" i="19"/>
  <c r="T198" i="19"/>
  <c r="X198" i="19"/>
  <c r="K198" i="19" s="1"/>
  <c r="U199" i="19"/>
  <c r="W200" i="19"/>
  <c r="S200" i="19" s="1"/>
  <c r="U201" i="19"/>
  <c r="W202" i="19"/>
  <c r="S202" i="19" s="1"/>
  <c r="U203" i="19"/>
  <c r="V204" i="19"/>
  <c r="T205" i="19"/>
  <c r="X205" i="19"/>
  <c r="K205" i="19" s="1"/>
  <c r="G102" i="22" s="1"/>
  <c r="V206" i="19"/>
  <c r="T207" i="19"/>
  <c r="X207" i="19"/>
  <c r="K207" i="19" s="1"/>
  <c r="G104" i="22" s="1"/>
  <c r="V208" i="19"/>
  <c r="W209" i="19"/>
  <c r="S209" i="19" s="1"/>
  <c r="U210" i="19"/>
  <c r="W211" i="19"/>
  <c r="S211" i="19" s="1"/>
  <c r="U212" i="19"/>
  <c r="W213" i="19"/>
  <c r="S213" i="19" s="1"/>
  <c r="T214" i="19"/>
  <c r="X214" i="19"/>
  <c r="V215" i="19"/>
  <c r="T216" i="19"/>
  <c r="X216" i="19"/>
  <c r="K216" i="19" s="1"/>
  <c r="G109" i="22" s="1"/>
  <c r="V217" i="19"/>
  <c r="T218" i="19"/>
  <c r="X218" i="19"/>
  <c r="K218" i="19" s="1"/>
  <c r="U219" i="19"/>
  <c r="W220" i="19"/>
  <c r="S220" i="19" s="1"/>
  <c r="U221" i="19"/>
  <c r="W222" i="19"/>
  <c r="S222" i="19" s="1"/>
  <c r="U223" i="19"/>
  <c r="V224" i="19"/>
  <c r="T225" i="19"/>
  <c r="X225" i="19"/>
  <c r="K225" i="19" s="1"/>
  <c r="G113" i="22" s="1"/>
  <c r="V226" i="19"/>
  <c r="T227" i="19"/>
  <c r="X227" i="19"/>
  <c r="K227" i="19" s="1"/>
  <c r="V228" i="19"/>
  <c r="W229" i="19"/>
  <c r="S229" i="19" s="1"/>
  <c r="U230" i="19"/>
  <c r="W231" i="19"/>
  <c r="S231" i="19" s="1"/>
  <c r="U232" i="19"/>
  <c r="W233" i="19"/>
  <c r="S233" i="19" s="1"/>
  <c r="T234" i="19"/>
  <c r="X234" i="19"/>
  <c r="V235" i="19"/>
  <c r="T236" i="19"/>
  <c r="X236" i="19"/>
  <c r="K236" i="19" s="1"/>
  <c r="G118" i="22" s="1"/>
  <c r="V237" i="19"/>
  <c r="T238" i="19"/>
  <c r="X238" i="19"/>
  <c r="K238" i="19" s="1"/>
  <c r="U239" i="19"/>
  <c r="W240" i="19"/>
  <c r="S240" i="19" s="1"/>
  <c r="U241" i="19"/>
  <c r="W242" i="19"/>
  <c r="S242" i="19" s="1"/>
  <c r="U243" i="19"/>
  <c r="V244" i="19"/>
  <c r="T245" i="19"/>
  <c r="X245" i="19"/>
  <c r="K245" i="19" s="1"/>
  <c r="G122" i="22" s="1"/>
  <c r="V246" i="19"/>
  <c r="T247" i="19"/>
  <c r="X247" i="19"/>
  <c r="K247" i="19" s="1"/>
  <c r="V248" i="19"/>
  <c r="W249" i="19"/>
  <c r="S249" i="19" s="1"/>
  <c r="U250" i="19"/>
  <c r="W251" i="19"/>
  <c r="S251" i="19" s="1"/>
  <c r="U252" i="19"/>
  <c r="W253" i="19"/>
  <c r="S253" i="19" s="1"/>
  <c r="T254" i="19"/>
  <c r="X254" i="19"/>
  <c r="V255" i="19"/>
  <c r="T256" i="19"/>
  <c r="X256" i="19"/>
  <c r="K256" i="19" s="1"/>
  <c r="G126" i="22" s="1"/>
  <c r="V257" i="19"/>
  <c r="T258" i="19"/>
  <c r="X258" i="19"/>
  <c r="K258" i="19" s="1"/>
  <c r="U259" i="19"/>
  <c r="W260" i="19"/>
  <c r="S260" i="19" s="1"/>
  <c r="U261" i="19"/>
  <c r="W262" i="19"/>
  <c r="S262" i="19" s="1"/>
  <c r="U263" i="19"/>
  <c r="V264" i="19"/>
  <c r="T265" i="19"/>
  <c r="X265" i="19"/>
  <c r="K265" i="19" s="1"/>
  <c r="G130" i="22" s="1"/>
  <c r="T266" i="19"/>
  <c r="U275" i="19"/>
  <c r="V19" i="19"/>
  <c r="T20" i="19"/>
  <c r="X20" i="19"/>
  <c r="K20" i="19" s="1"/>
  <c r="G15" i="22" s="1"/>
  <c r="V21" i="19"/>
  <c r="T22" i="19"/>
  <c r="X22" i="19"/>
  <c r="K22" i="19" s="1"/>
  <c r="G17" i="22" s="1"/>
  <c r="V23" i="19"/>
  <c r="W24" i="19"/>
  <c r="S24" i="19" s="1"/>
  <c r="U25" i="19"/>
  <c r="W26" i="19"/>
  <c r="S26" i="19" s="1"/>
  <c r="U27" i="19"/>
  <c r="W28" i="19"/>
  <c r="S28" i="19" s="1"/>
  <c r="T29" i="19"/>
  <c r="X29" i="19"/>
  <c r="V30" i="19"/>
  <c r="T31" i="19"/>
  <c r="X31" i="19"/>
  <c r="K31" i="19" s="1"/>
  <c r="V32" i="19"/>
  <c r="T33" i="19"/>
  <c r="X33" i="19"/>
  <c r="K33" i="19" s="1"/>
  <c r="U34" i="19"/>
  <c r="W35" i="19"/>
  <c r="S35" i="19" s="1"/>
  <c r="U36" i="19"/>
  <c r="W37" i="19"/>
  <c r="S37" i="19" s="1"/>
  <c r="U38" i="19"/>
  <c r="V39" i="19"/>
  <c r="T40" i="19"/>
  <c r="X40" i="19"/>
  <c r="K40" i="19" s="1"/>
  <c r="G24" i="22" s="1"/>
  <c r="V41" i="19"/>
  <c r="T42" i="19"/>
  <c r="X42" i="19"/>
  <c r="K42" i="19" s="1"/>
  <c r="V43" i="19"/>
  <c r="W44" i="19"/>
  <c r="S44" i="19" s="1"/>
  <c r="U45" i="19"/>
  <c r="W46" i="19"/>
  <c r="S46" i="19" s="1"/>
  <c r="U47" i="19"/>
  <c r="W48" i="19"/>
  <c r="S48" i="19" s="1"/>
  <c r="T49" i="19"/>
  <c r="X49" i="19"/>
  <c r="V50" i="19"/>
  <c r="T51" i="19"/>
  <c r="X51" i="19"/>
  <c r="K51" i="19" s="1"/>
  <c r="G29" i="22" s="1"/>
  <c r="V52" i="19"/>
  <c r="T53" i="19"/>
  <c r="X53" i="19"/>
  <c r="K53" i="19" s="1"/>
  <c r="U54" i="19"/>
  <c r="W55" i="19"/>
  <c r="S55" i="19" s="1"/>
  <c r="U56" i="19"/>
  <c r="W57" i="19"/>
  <c r="S57" i="19" s="1"/>
  <c r="U58" i="19"/>
  <c r="V59" i="19"/>
  <c r="T60" i="19"/>
  <c r="X60" i="19"/>
  <c r="K60" i="19" s="1"/>
  <c r="G32" i="22" s="1"/>
  <c r="V61" i="19"/>
  <c r="T62" i="19"/>
  <c r="X62" i="19"/>
  <c r="K62" i="19" s="1"/>
  <c r="G34" i="22" s="1"/>
  <c r="V63" i="19"/>
  <c r="W64" i="19"/>
  <c r="S64" i="19" s="1"/>
  <c r="U65" i="19"/>
  <c r="W66" i="19"/>
  <c r="S66" i="19" s="1"/>
  <c r="U67" i="19"/>
  <c r="W68" i="19"/>
  <c r="S68" i="19" s="1"/>
  <c r="T69" i="19"/>
  <c r="X69" i="19"/>
  <c r="V70" i="19"/>
  <c r="T71" i="19"/>
  <c r="X71" i="19"/>
  <c r="K71" i="19" s="1"/>
  <c r="G39" i="22" s="1"/>
  <c r="V72" i="19"/>
  <c r="T73" i="19"/>
  <c r="X73" i="19"/>
  <c r="K73" i="19" s="1"/>
  <c r="U74" i="19"/>
  <c r="W75" i="19"/>
  <c r="S75" i="19" s="1"/>
  <c r="U76" i="19"/>
  <c r="W77" i="19"/>
  <c r="S77" i="19" s="1"/>
  <c r="U78" i="19"/>
  <c r="V79" i="19"/>
  <c r="T80" i="19"/>
  <c r="X80" i="19"/>
  <c r="K80" i="19" s="1"/>
  <c r="G42" i="22" s="1"/>
  <c r="V81" i="19"/>
  <c r="T82" i="19"/>
  <c r="X82" i="19"/>
  <c r="K82" i="19" s="1"/>
  <c r="G44" i="22" s="1"/>
  <c r="V83" i="19"/>
  <c r="W84" i="19"/>
  <c r="S84" i="19" s="1"/>
  <c r="U85" i="19"/>
  <c r="W86" i="19"/>
  <c r="S86" i="19" s="1"/>
  <c r="U87" i="19"/>
  <c r="W88" i="19"/>
  <c r="S88" i="19" s="1"/>
  <c r="T89" i="19"/>
  <c r="X89" i="19"/>
  <c r="V90" i="19"/>
  <c r="T91" i="19"/>
  <c r="X91" i="19"/>
  <c r="K91" i="19" s="1"/>
  <c r="G48" i="22" s="1"/>
  <c r="V92" i="19"/>
  <c r="T93" i="19"/>
  <c r="X93" i="19"/>
  <c r="K93" i="19" s="1"/>
  <c r="U94" i="19"/>
  <c r="W95" i="19"/>
  <c r="S95" i="19" s="1"/>
  <c r="U96" i="19"/>
  <c r="W97" i="19"/>
  <c r="S97" i="19" s="1"/>
  <c r="U98" i="19"/>
  <c r="V99" i="19"/>
  <c r="T100" i="19"/>
  <c r="X100" i="19"/>
  <c r="K100" i="19" s="1"/>
  <c r="G52" i="22" s="1"/>
  <c r="V101" i="19"/>
  <c r="T102" i="19"/>
  <c r="X102" i="19"/>
  <c r="K102" i="19" s="1"/>
  <c r="G54" i="22" s="1"/>
  <c r="V103" i="19"/>
  <c r="W104" i="19"/>
  <c r="S104" i="19" s="1"/>
  <c r="U105" i="19"/>
  <c r="W106" i="19"/>
  <c r="S106" i="19" s="1"/>
  <c r="U107" i="19"/>
  <c r="W108" i="19"/>
  <c r="S108" i="19" s="1"/>
  <c r="T109" i="19"/>
  <c r="X109" i="19"/>
  <c r="V110" i="19"/>
  <c r="T111" i="19"/>
  <c r="X111" i="19"/>
  <c r="K111" i="19" s="1"/>
  <c r="G58" i="22" s="1"/>
  <c r="V112" i="19"/>
  <c r="T113" i="19"/>
  <c r="X113" i="19"/>
  <c r="K113" i="19" s="1"/>
  <c r="U114" i="19"/>
  <c r="W115" i="19"/>
  <c r="S115" i="19" s="1"/>
  <c r="U116" i="19"/>
  <c r="W117" i="19"/>
  <c r="S117" i="19" s="1"/>
  <c r="U118" i="19"/>
  <c r="V119" i="19"/>
  <c r="T120" i="19"/>
  <c r="X120" i="19"/>
  <c r="K120" i="19" s="1"/>
  <c r="G62" i="22" s="1"/>
  <c r="V121" i="19"/>
  <c r="T122" i="19"/>
  <c r="X122" i="19"/>
  <c r="K122" i="19" s="1"/>
  <c r="V123" i="19"/>
  <c r="W124" i="19"/>
  <c r="S124" i="19" s="1"/>
  <c r="U125" i="19"/>
  <c r="W126" i="19"/>
  <c r="S126" i="19" s="1"/>
  <c r="U127" i="19"/>
  <c r="W128" i="19"/>
  <c r="S128" i="19" s="1"/>
  <c r="T129" i="19"/>
  <c r="X129" i="19"/>
  <c r="V130" i="19"/>
  <c r="T131" i="19"/>
  <c r="X131" i="19"/>
  <c r="K131" i="19" s="1"/>
  <c r="G67" i="22" s="1"/>
  <c r="V132" i="19"/>
  <c r="T133" i="19"/>
  <c r="X133" i="19"/>
  <c r="K133" i="19" s="1"/>
  <c r="U134" i="19"/>
  <c r="W135" i="19"/>
  <c r="S135" i="19" s="1"/>
  <c r="U136" i="19"/>
  <c r="W137" i="19"/>
  <c r="S137" i="19" s="1"/>
  <c r="U138" i="19"/>
  <c r="V139" i="19"/>
  <c r="T140" i="19"/>
  <c r="X140" i="19"/>
  <c r="K140" i="19" s="1"/>
  <c r="G70" i="22" s="1"/>
  <c r="V141" i="19"/>
  <c r="T142" i="19"/>
  <c r="X142" i="19"/>
  <c r="K142" i="19" s="1"/>
  <c r="G72" i="22" s="1"/>
  <c r="V143" i="19"/>
  <c r="W144" i="19"/>
  <c r="S144" i="19" s="1"/>
  <c r="U145" i="19"/>
  <c r="W146" i="19"/>
  <c r="S146" i="19" s="1"/>
  <c r="U147" i="19"/>
  <c r="W148" i="19"/>
  <c r="S148" i="19" s="1"/>
  <c r="T149" i="19"/>
  <c r="X149" i="19"/>
  <c r="V150" i="19"/>
  <c r="T151" i="19"/>
  <c r="X151" i="19"/>
  <c r="K151" i="19" s="1"/>
  <c r="G78" i="22" s="1"/>
  <c r="V152" i="19"/>
  <c r="T153" i="19"/>
  <c r="X153" i="19"/>
  <c r="K153" i="19" s="1"/>
  <c r="U154" i="19"/>
  <c r="W155" i="19"/>
  <c r="S155" i="19" s="1"/>
  <c r="U156" i="19"/>
  <c r="W157" i="19"/>
  <c r="S157" i="19" s="1"/>
  <c r="U158" i="19"/>
  <c r="V159" i="19"/>
  <c r="T160" i="19"/>
  <c r="X160" i="19"/>
  <c r="K160" i="19" s="1"/>
  <c r="G82" i="22" s="1"/>
  <c r="V161" i="19"/>
  <c r="T162" i="19"/>
  <c r="X162" i="19"/>
  <c r="K162" i="19" s="1"/>
  <c r="V163" i="19"/>
  <c r="W164" i="19"/>
  <c r="S164" i="19" s="1"/>
  <c r="U165" i="19"/>
  <c r="W166" i="19"/>
  <c r="S166" i="19" s="1"/>
  <c r="U167" i="19"/>
  <c r="W168" i="19"/>
  <c r="S168" i="19" s="1"/>
  <c r="T169" i="19"/>
  <c r="X169" i="19"/>
  <c r="V170" i="19"/>
  <c r="T171" i="19"/>
  <c r="X171" i="19"/>
  <c r="K171" i="19" s="1"/>
  <c r="G88" i="22" s="1"/>
  <c r="V172" i="19"/>
  <c r="T173" i="19"/>
  <c r="X173" i="19"/>
  <c r="K173" i="19" s="1"/>
  <c r="U174" i="19"/>
  <c r="W175" i="19"/>
  <c r="S175" i="19" s="1"/>
  <c r="U176" i="19"/>
  <c r="W177" i="19"/>
  <c r="S177" i="19" s="1"/>
  <c r="U178" i="19"/>
  <c r="V179" i="19"/>
  <c r="T180" i="19"/>
  <c r="X180" i="19"/>
  <c r="K180" i="19" s="1"/>
  <c r="G92" i="22" s="1"/>
  <c r="V181" i="19"/>
  <c r="T182" i="19"/>
  <c r="X182" i="19"/>
  <c r="K182" i="19" s="1"/>
  <c r="V183" i="19"/>
  <c r="W184" i="19"/>
  <c r="S184" i="19" s="1"/>
  <c r="U185" i="19"/>
  <c r="W186" i="19"/>
  <c r="S186" i="19" s="1"/>
  <c r="U187" i="19"/>
  <c r="W188" i="19"/>
  <c r="S188" i="19" s="1"/>
  <c r="T189" i="19"/>
  <c r="X189" i="19"/>
  <c r="V190" i="19"/>
  <c r="T191" i="19"/>
  <c r="X191" i="19"/>
  <c r="K191" i="19" s="1"/>
  <c r="G96" i="22" s="1"/>
  <c r="V192" i="19"/>
  <c r="T193" i="19"/>
  <c r="X193" i="19"/>
  <c r="K193" i="19" s="1"/>
  <c r="U194" i="19"/>
  <c r="W195" i="19"/>
  <c r="S195" i="19" s="1"/>
  <c r="U196" i="19"/>
  <c r="W197" i="19"/>
  <c r="S197" i="19" s="1"/>
  <c r="U198" i="19"/>
  <c r="V199" i="19"/>
  <c r="T200" i="19"/>
  <c r="X200" i="19"/>
  <c r="K200" i="19" s="1"/>
  <c r="G100" i="22" s="1"/>
  <c r="V201" i="19"/>
  <c r="T202" i="19"/>
  <c r="X202" i="19"/>
  <c r="K202" i="19" s="1"/>
  <c r="V203" i="19"/>
  <c r="W204" i="19"/>
  <c r="S204" i="19" s="1"/>
  <c r="U205" i="19"/>
  <c r="W206" i="19"/>
  <c r="S206" i="19" s="1"/>
  <c r="U207" i="19"/>
  <c r="W208" i="19"/>
  <c r="S208" i="19" s="1"/>
  <c r="T209" i="19"/>
  <c r="X209" i="19"/>
  <c r="V210" i="19"/>
  <c r="T211" i="19"/>
  <c r="X211" i="19"/>
  <c r="K211" i="19" s="1"/>
  <c r="G106" i="22" s="1"/>
  <c r="V212" i="19"/>
  <c r="T213" i="19"/>
  <c r="X213" i="19"/>
  <c r="K213" i="19" s="1"/>
  <c r="U214" i="19"/>
  <c r="W215" i="19"/>
  <c r="S215" i="19" s="1"/>
  <c r="U216" i="19"/>
  <c r="W217" i="19"/>
  <c r="S217" i="19" s="1"/>
  <c r="U218" i="19"/>
  <c r="V219" i="19"/>
  <c r="T220" i="19"/>
  <c r="X220" i="19"/>
  <c r="K220" i="19" s="1"/>
  <c r="G111" i="22" s="1"/>
  <c r="V221" i="19"/>
  <c r="T222" i="19"/>
  <c r="X222" i="19"/>
  <c r="K222" i="19" s="1"/>
  <c r="V223" i="19"/>
  <c r="W224" i="19"/>
  <c r="S224" i="19" s="1"/>
  <c r="U225" i="19"/>
  <c r="W226" i="19"/>
  <c r="S226" i="19" s="1"/>
  <c r="U227" i="19"/>
  <c r="W228" i="19"/>
  <c r="S228" i="19" s="1"/>
  <c r="T229" i="19"/>
  <c r="X229" i="19"/>
  <c r="V230" i="19"/>
  <c r="T231" i="19"/>
  <c r="X231" i="19"/>
  <c r="K231" i="19" s="1"/>
  <c r="G116" i="22" s="1"/>
  <c r="V232" i="19"/>
  <c r="T233" i="19"/>
  <c r="X233" i="19"/>
  <c r="K233" i="19" s="1"/>
  <c r="U234" i="19"/>
  <c r="W235" i="19"/>
  <c r="S235" i="19" s="1"/>
  <c r="U236" i="19"/>
  <c r="W237" i="19"/>
  <c r="S237" i="19" s="1"/>
  <c r="U238" i="19"/>
  <c r="V239" i="19"/>
  <c r="T240" i="19"/>
  <c r="X240" i="19"/>
  <c r="K240" i="19" s="1"/>
  <c r="G119" i="22" s="1"/>
  <c r="V241" i="19"/>
  <c r="T242" i="19"/>
  <c r="X242" i="19"/>
  <c r="K242" i="19" s="1"/>
  <c r="G121" i="22" s="1"/>
  <c r="V243" i="19"/>
  <c r="W244" i="19"/>
  <c r="S244" i="19" s="1"/>
  <c r="U245" i="19"/>
  <c r="W246" i="19"/>
  <c r="S246" i="19" s="1"/>
  <c r="U247" i="19"/>
  <c r="W248" i="19"/>
  <c r="S248" i="19" s="1"/>
  <c r="T249" i="19"/>
  <c r="X249" i="19"/>
  <c r="V250" i="19"/>
  <c r="T251" i="19"/>
  <c r="X251" i="19"/>
  <c r="K251" i="19" s="1"/>
  <c r="V252" i="19"/>
  <c r="T253" i="19"/>
  <c r="X253" i="19"/>
  <c r="K253" i="19" s="1"/>
  <c r="U254" i="19"/>
  <c r="W255" i="19"/>
  <c r="S255" i="19" s="1"/>
  <c r="U256" i="19"/>
  <c r="W257" i="19"/>
  <c r="S257" i="19" s="1"/>
  <c r="U258" i="19"/>
  <c r="V259" i="19"/>
  <c r="T260" i="19"/>
  <c r="X260" i="19"/>
  <c r="K260" i="19" s="1"/>
  <c r="G128" i="22" s="1"/>
  <c r="V261" i="19"/>
  <c r="T262" i="19"/>
  <c r="X262" i="19"/>
  <c r="K262" i="19" s="1"/>
  <c r="V263" i="19"/>
  <c r="W264" i="19"/>
  <c r="S264" i="19" s="1"/>
  <c r="U265" i="19"/>
  <c r="U266" i="19"/>
  <c r="V269" i="19"/>
  <c r="V271" i="19"/>
  <c r="V273" i="19"/>
  <c r="W1764" i="19"/>
  <c r="S1764" i="19" s="1"/>
  <c r="V1763" i="19"/>
  <c r="X1762" i="19"/>
  <c r="K1762" i="19" s="1"/>
  <c r="G812" i="22" s="1"/>
  <c r="T1762" i="19"/>
  <c r="V1761" i="19"/>
  <c r="X1760" i="19"/>
  <c r="K1760" i="19" s="1"/>
  <c r="G810" i="22" s="1"/>
  <c r="T1760" i="19"/>
  <c r="V1759" i="19"/>
  <c r="U1758" i="19"/>
  <c r="W1757" i="19"/>
  <c r="S1757" i="19" s="1"/>
  <c r="U1756" i="19"/>
  <c r="W1755" i="19"/>
  <c r="S1755" i="19" s="1"/>
  <c r="U1754" i="19"/>
  <c r="X1753" i="19"/>
  <c r="K1753" i="19" s="1"/>
  <c r="T1753" i="19"/>
  <c r="V1752" i="19"/>
  <c r="X1751" i="19"/>
  <c r="K1751" i="19" s="1"/>
  <c r="T1751" i="19"/>
  <c r="V1750" i="19"/>
  <c r="X1749" i="19"/>
  <c r="T1749" i="19"/>
  <c r="W1748" i="19"/>
  <c r="S1748" i="19" s="1"/>
  <c r="U1747" i="19"/>
  <c r="W1746" i="19"/>
  <c r="S1746" i="19" s="1"/>
  <c r="U1745" i="19"/>
  <c r="W1744" i="19"/>
  <c r="S1744" i="19" s="1"/>
  <c r="V1743" i="19"/>
  <c r="X1742" i="19"/>
  <c r="K1742" i="19" s="1"/>
  <c r="T1742" i="19"/>
  <c r="V1741" i="19"/>
  <c r="X1740" i="19"/>
  <c r="K1740" i="19" s="1"/>
  <c r="G802" i="22" s="1"/>
  <c r="T1740" i="19"/>
  <c r="V1739" i="19"/>
  <c r="U1738" i="19"/>
  <c r="W1737" i="19"/>
  <c r="S1737" i="19" s="1"/>
  <c r="U1736" i="19"/>
  <c r="W1735" i="19"/>
  <c r="S1735" i="19" s="1"/>
  <c r="U1734" i="19"/>
  <c r="X1733" i="19"/>
  <c r="K1733" i="19" s="1"/>
  <c r="T1733" i="19"/>
  <c r="V1732" i="19"/>
  <c r="X1731" i="19"/>
  <c r="K1731" i="19" s="1"/>
  <c r="G799" i="22" s="1"/>
  <c r="T1731" i="19"/>
  <c r="V1730" i="19"/>
  <c r="X1729" i="19"/>
  <c r="T1729" i="19"/>
  <c r="W1728" i="19"/>
  <c r="S1728" i="19" s="1"/>
  <c r="U1727" i="19"/>
  <c r="W1726" i="19"/>
  <c r="S1726" i="19" s="1"/>
  <c r="U1725" i="19"/>
  <c r="W1724" i="19"/>
  <c r="S1724" i="19" s="1"/>
  <c r="V1723" i="19"/>
  <c r="X1722" i="19"/>
  <c r="K1722" i="19" s="1"/>
  <c r="T1722" i="19"/>
  <c r="V1721" i="19"/>
  <c r="X1720" i="19"/>
  <c r="K1720" i="19" s="1"/>
  <c r="G794" i="22" s="1"/>
  <c r="T1720" i="19"/>
  <c r="V1719" i="19"/>
  <c r="U1718" i="19"/>
  <c r="W1717" i="19"/>
  <c r="S1717" i="19" s="1"/>
  <c r="U1716" i="19"/>
  <c r="W1715" i="19"/>
  <c r="S1715" i="19" s="1"/>
  <c r="U1714" i="19"/>
  <c r="X1713" i="19"/>
  <c r="K1713" i="19" s="1"/>
  <c r="T1713" i="19"/>
  <c r="V1712" i="19"/>
  <c r="X1711" i="19"/>
  <c r="K1711" i="19" s="1"/>
  <c r="G790" i="22" s="1"/>
  <c r="T1711" i="19"/>
  <c r="V1710" i="19"/>
  <c r="X1709" i="19"/>
  <c r="T1709" i="19"/>
  <c r="W1708" i="19"/>
  <c r="S1708" i="19" s="1"/>
  <c r="U1707" i="19"/>
  <c r="W1706" i="19"/>
  <c r="S1706" i="19" s="1"/>
  <c r="U1705" i="19"/>
  <c r="W1704" i="19"/>
  <c r="S1704" i="19" s="1"/>
  <c r="V1703" i="19"/>
  <c r="X1702" i="19"/>
  <c r="K1702" i="19" s="1"/>
  <c r="T1702" i="19"/>
  <c r="V1701" i="19"/>
  <c r="X1700" i="19"/>
  <c r="K1700" i="19" s="1"/>
  <c r="G785" i="22" s="1"/>
  <c r="T1700" i="19"/>
  <c r="V1699" i="19"/>
  <c r="U1698" i="19"/>
  <c r="W1697" i="19"/>
  <c r="S1697" i="19" s="1"/>
  <c r="U1696" i="19"/>
  <c r="W1695" i="19"/>
  <c r="S1695" i="19" s="1"/>
  <c r="U1694" i="19"/>
  <c r="X1693" i="19"/>
  <c r="K1693" i="19" s="1"/>
  <c r="T1693" i="19"/>
  <c r="V1692" i="19"/>
  <c r="X1691" i="19"/>
  <c r="K1691" i="19" s="1"/>
  <c r="G780" i="22" s="1"/>
  <c r="T1691" i="19"/>
  <c r="V1690" i="19"/>
  <c r="X1689" i="19"/>
  <c r="T1689" i="19"/>
  <c r="W1688" i="19"/>
  <c r="S1688" i="19" s="1"/>
  <c r="U1687" i="19"/>
  <c r="W1686" i="19"/>
  <c r="S1686" i="19" s="1"/>
  <c r="U1685" i="19"/>
  <c r="W1684" i="19"/>
  <c r="S1684" i="19" s="1"/>
  <c r="V1683" i="19"/>
  <c r="X1682" i="19"/>
  <c r="K1682" i="19" s="1"/>
  <c r="G776" i="22" s="1"/>
  <c r="T1682" i="19"/>
  <c r="V1681" i="19"/>
  <c r="X1680" i="19"/>
  <c r="K1680" i="19" s="1"/>
  <c r="G774" i="22" s="1"/>
  <c r="T1680" i="19"/>
  <c r="V1679" i="19"/>
  <c r="U1678" i="19"/>
  <c r="W1677" i="19"/>
  <c r="S1677" i="19" s="1"/>
  <c r="U1676" i="19"/>
  <c r="W1675" i="19"/>
  <c r="S1675" i="19" s="1"/>
  <c r="U1674" i="19"/>
  <c r="X1673" i="19"/>
  <c r="K1673" i="19" s="1"/>
  <c r="T1673" i="19"/>
  <c r="V1672" i="19"/>
  <c r="X1671" i="19"/>
  <c r="K1671" i="19" s="1"/>
  <c r="G770" i="22" s="1"/>
  <c r="T1671" i="19"/>
  <c r="V1670" i="19"/>
  <c r="X1669" i="19"/>
  <c r="T1669" i="19"/>
  <c r="W1668" i="19"/>
  <c r="S1668" i="19" s="1"/>
  <c r="U1667" i="19"/>
  <c r="W1666" i="19"/>
  <c r="S1666" i="19" s="1"/>
  <c r="U1665" i="19"/>
  <c r="W1664" i="19"/>
  <c r="S1664" i="19" s="1"/>
  <c r="V1663" i="19"/>
  <c r="X1662" i="19"/>
  <c r="K1662" i="19" s="1"/>
  <c r="G767" i="22" s="1"/>
  <c r="T1662" i="19"/>
  <c r="V1661" i="19"/>
  <c r="X1660" i="19"/>
  <c r="K1660" i="19" s="1"/>
  <c r="G765" i="22" s="1"/>
  <c r="T1660" i="19"/>
  <c r="V1764" i="19"/>
  <c r="U1763" i="19"/>
  <c r="W1762" i="19"/>
  <c r="S1762" i="19" s="1"/>
  <c r="U1761" i="19"/>
  <c r="W1760" i="19"/>
  <c r="S1760" i="19" s="1"/>
  <c r="U1759" i="19"/>
  <c r="X1758" i="19"/>
  <c r="K1758" i="19" s="1"/>
  <c r="G809" i="22" s="1"/>
  <c r="T1758" i="19"/>
  <c r="V1757" i="19"/>
  <c r="X1756" i="19"/>
  <c r="K1756" i="19" s="1"/>
  <c r="G807" i="22" s="1"/>
  <c r="T1756" i="19"/>
  <c r="V1755" i="19"/>
  <c r="X1754" i="19"/>
  <c r="T1754" i="19"/>
  <c r="W1753" i="19"/>
  <c r="S1753" i="19" s="1"/>
  <c r="U1752" i="19"/>
  <c r="W1751" i="19"/>
  <c r="S1751" i="19" s="1"/>
  <c r="U1750" i="19"/>
  <c r="W1749" i="19"/>
  <c r="S1749" i="19" s="1"/>
  <c r="V1748" i="19"/>
  <c r="X1747" i="19"/>
  <c r="K1747" i="19" s="1"/>
  <c r="T1747" i="19"/>
  <c r="V1746" i="19"/>
  <c r="X1745" i="19"/>
  <c r="K1745" i="19" s="1"/>
  <c r="G804" i="22" s="1"/>
  <c r="T1745" i="19"/>
  <c r="V1744" i="19"/>
  <c r="U1743" i="19"/>
  <c r="W1742" i="19"/>
  <c r="S1742" i="19" s="1"/>
  <c r="U1741" i="19"/>
  <c r="W1740" i="19"/>
  <c r="S1740" i="19" s="1"/>
  <c r="U1739" i="19"/>
  <c r="X1738" i="19"/>
  <c r="K1738" i="19" s="1"/>
  <c r="T1738" i="19"/>
  <c r="V1737" i="19"/>
  <c r="X1736" i="19"/>
  <c r="K1736" i="19" s="1"/>
  <c r="G801" i="22" s="1"/>
  <c r="T1736" i="19"/>
  <c r="V1735" i="19"/>
  <c r="X1734" i="19"/>
  <c r="T1734" i="19"/>
  <c r="W1733" i="19"/>
  <c r="S1733" i="19" s="1"/>
  <c r="U1732" i="19"/>
  <c r="W1731" i="19"/>
  <c r="S1731" i="19" s="1"/>
  <c r="U1730" i="19"/>
  <c r="W1729" i="19"/>
  <c r="S1729" i="19" s="1"/>
  <c r="V1728" i="19"/>
  <c r="X1727" i="19"/>
  <c r="K1727" i="19" s="1"/>
  <c r="T1727" i="19"/>
  <c r="V1726" i="19"/>
  <c r="X1725" i="19"/>
  <c r="K1725" i="19" s="1"/>
  <c r="G796" i="22" s="1"/>
  <c r="T1725" i="19"/>
  <c r="V1724" i="19"/>
  <c r="U1723" i="19"/>
  <c r="W1722" i="19"/>
  <c r="S1722" i="19" s="1"/>
  <c r="U1721" i="19"/>
  <c r="W1720" i="19"/>
  <c r="S1720" i="19" s="1"/>
  <c r="U1719" i="19"/>
  <c r="X1718" i="19"/>
  <c r="K1718" i="19" s="1"/>
  <c r="T1718" i="19"/>
  <c r="V1717" i="19"/>
  <c r="X1716" i="19"/>
  <c r="K1716" i="19" s="1"/>
  <c r="G793" i="22" s="1"/>
  <c r="T1716" i="19"/>
  <c r="V1715" i="19"/>
  <c r="X1714" i="19"/>
  <c r="T1714" i="19"/>
  <c r="W1713" i="19"/>
  <c r="S1713" i="19" s="1"/>
  <c r="U1712" i="19"/>
  <c r="W1711" i="19"/>
  <c r="S1711" i="19" s="1"/>
  <c r="U1710" i="19"/>
  <c r="W1709" i="19"/>
  <c r="S1709" i="19" s="1"/>
  <c r="V1708" i="19"/>
  <c r="X1707" i="19"/>
  <c r="K1707" i="19" s="1"/>
  <c r="T1707" i="19"/>
  <c r="V1706" i="19"/>
  <c r="X1705" i="19"/>
  <c r="K1705" i="19" s="1"/>
  <c r="G787" i="22" s="1"/>
  <c r="T1705" i="19"/>
  <c r="V1704" i="19"/>
  <c r="U1703" i="19"/>
  <c r="W1702" i="19"/>
  <c r="S1702" i="19" s="1"/>
  <c r="U1701" i="19"/>
  <c r="W1700" i="19"/>
  <c r="S1700" i="19" s="1"/>
  <c r="U1699" i="19"/>
  <c r="X1698" i="19"/>
  <c r="K1698" i="19" s="1"/>
  <c r="T1698" i="19"/>
  <c r="V1697" i="19"/>
  <c r="X1696" i="19"/>
  <c r="K1696" i="19" s="1"/>
  <c r="G783" i="22" s="1"/>
  <c r="T1696" i="19"/>
  <c r="V1695" i="19"/>
  <c r="X1694" i="19"/>
  <c r="T1694" i="19"/>
  <c r="W1693" i="19"/>
  <c r="S1693" i="19" s="1"/>
  <c r="U1692" i="19"/>
  <c r="W1691" i="19"/>
  <c r="S1691" i="19" s="1"/>
  <c r="U1690" i="19"/>
  <c r="W1689" i="19"/>
  <c r="S1689" i="19" s="1"/>
  <c r="V1688" i="19"/>
  <c r="X1687" i="19"/>
  <c r="K1687" i="19" s="1"/>
  <c r="T1687" i="19"/>
  <c r="V1686" i="19"/>
  <c r="X1685" i="19"/>
  <c r="K1685" i="19" s="1"/>
  <c r="G777" i="22" s="1"/>
  <c r="T1685" i="19"/>
  <c r="V1684" i="19"/>
  <c r="U1683" i="19"/>
  <c r="W1682" i="19"/>
  <c r="S1682" i="19" s="1"/>
  <c r="U1681" i="19"/>
  <c r="W1680" i="19"/>
  <c r="S1680" i="19" s="1"/>
  <c r="U1679" i="19"/>
  <c r="X1678" i="19"/>
  <c r="K1678" i="19" s="1"/>
  <c r="T1678" i="19"/>
  <c r="V1677" i="19"/>
  <c r="X1676" i="19"/>
  <c r="K1676" i="19" s="1"/>
  <c r="G772" i="22" s="1"/>
  <c r="T1676" i="19"/>
  <c r="V1675" i="19"/>
  <c r="X1674" i="19"/>
  <c r="T1674" i="19"/>
  <c r="W1673" i="19"/>
  <c r="S1673" i="19" s="1"/>
  <c r="U1672" i="19"/>
  <c r="W1671" i="19"/>
  <c r="S1671" i="19" s="1"/>
  <c r="U1670" i="19"/>
  <c r="W1669" i="19"/>
  <c r="S1669" i="19" s="1"/>
  <c r="V1668" i="19"/>
  <c r="X1667" i="19"/>
  <c r="K1667" i="19" s="1"/>
  <c r="T1667" i="19"/>
  <c r="V1666" i="19"/>
  <c r="X1665" i="19"/>
  <c r="K1665" i="19" s="1"/>
  <c r="G768" i="22" s="1"/>
  <c r="T1665" i="19"/>
  <c r="V1664" i="19"/>
  <c r="U1663" i="19"/>
  <c r="W1662" i="19"/>
  <c r="S1662" i="19" s="1"/>
  <c r="U1661" i="19"/>
  <c r="W1660" i="19"/>
  <c r="S1660" i="19" s="1"/>
  <c r="U1659" i="19"/>
  <c r="X1658" i="19"/>
  <c r="K1658" i="19" s="1"/>
  <c r="T1658" i="19"/>
  <c r="V1657" i="19"/>
  <c r="X1764" i="19"/>
  <c r="T1764" i="19"/>
  <c r="W1763" i="19"/>
  <c r="S1763" i="19" s="1"/>
  <c r="U1762" i="19"/>
  <c r="W1761" i="19"/>
  <c r="S1761" i="19" s="1"/>
  <c r="U1760" i="19"/>
  <c r="W1759" i="19"/>
  <c r="S1759" i="19" s="1"/>
  <c r="V1758" i="19"/>
  <c r="X1757" i="19"/>
  <c r="K1757" i="19" s="1"/>
  <c r="G808" i="22" s="1"/>
  <c r="T1757" i="19"/>
  <c r="V1756" i="19"/>
  <c r="X1755" i="19"/>
  <c r="K1755" i="19" s="1"/>
  <c r="G806" i="22" s="1"/>
  <c r="T1755" i="19"/>
  <c r="V1754" i="19"/>
  <c r="U1753" i="19"/>
  <c r="W1752" i="19"/>
  <c r="S1752" i="19" s="1"/>
  <c r="U1751" i="19"/>
  <c r="W1750" i="19"/>
  <c r="S1750" i="19" s="1"/>
  <c r="U1749" i="19"/>
  <c r="X1748" i="19"/>
  <c r="K1748" i="19" s="1"/>
  <c r="T1748" i="19"/>
  <c r="V1747" i="19"/>
  <c r="X1746" i="19"/>
  <c r="K1746" i="19" s="1"/>
  <c r="T1746" i="19"/>
  <c r="V1745" i="19"/>
  <c r="X1744" i="19"/>
  <c r="T1744" i="19"/>
  <c r="W1743" i="19"/>
  <c r="S1743" i="19" s="1"/>
  <c r="U1742" i="19"/>
  <c r="W1741" i="19"/>
  <c r="S1741" i="19" s="1"/>
  <c r="U1740" i="19"/>
  <c r="W1739" i="19"/>
  <c r="S1739" i="19" s="1"/>
  <c r="V1738" i="19"/>
  <c r="X1737" i="19"/>
  <c r="K1737" i="19" s="1"/>
  <c r="T1737" i="19"/>
  <c r="V1736" i="19"/>
  <c r="X1735" i="19"/>
  <c r="K1735" i="19" s="1"/>
  <c r="G800" i="22" s="1"/>
  <c r="T1735" i="19"/>
  <c r="V1734" i="19"/>
  <c r="U1733" i="19"/>
  <c r="W1732" i="19"/>
  <c r="S1732" i="19" s="1"/>
  <c r="U1731" i="19"/>
  <c r="W1730" i="19"/>
  <c r="S1730" i="19" s="1"/>
  <c r="U1729" i="19"/>
  <c r="X1728" i="19"/>
  <c r="K1728" i="19" s="1"/>
  <c r="T1728" i="19"/>
  <c r="V1727" i="19"/>
  <c r="X1726" i="19"/>
  <c r="K1726" i="19" s="1"/>
  <c r="G797" i="22" s="1"/>
  <c r="T1726" i="19"/>
  <c r="V1725" i="19"/>
  <c r="X1724" i="19"/>
  <c r="T1724" i="19"/>
  <c r="W1723" i="19"/>
  <c r="S1723" i="19" s="1"/>
  <c r="U1722" i="19"/>
  <c r="W1721" i="19"/>
  <c r="S1721" i="19" s="1"/>
  <c r="U1720" i="19"/>
  <c r="W1719" i="19"/>
  <c r="S1719" i="19" s="1"/>
  <c r="V1718" i="19"/>
  <c r="X1717" i="19"/>
  <c r="K1717" i="19" s="1"/>
  <c r="T1717" i="19"/>
  <c r="V1716" i="19"/>
  <c r="X1715" i="19"/>
  <c r="K1715" i="19" s="1"/>
  <c r="G792" i="22" s="1"/>
  <c r="T1715" i="19"/>
  <c r="V1714" i="19"/>
  <c r="U1713" i="19"/>
  <c r="W1712" i="19"/>
  <c r="S1712" i="19" s="1"/>
  <c r="U1711" i="19"/>
  <c r="W1710" i="19"/>
  <c r="S1710" i="19" s="1"/>
  <c r="U1709" i="19"/>
  <c r="X1708" i="19"/>
  <c r="K1708" i="19" s="1"/>
  <c r="T1708" i="19"/>
  <c r="V1707" i="19"/>
  <c r="X1706" i="19"/>
  <c r="K1706" i="19" s="1"/>
  <c r="G788" i="22" s="1"/>
  <c r="T1706" i="19"/>
  <c r="V1705" i="19"/>
  <c r="X1704" i="19"/>
  <c r="T1704" i="19"/>
  <c r="W1703" i="19"/>
  <c r="S1703" i="19" s="1"/>
  <c r="U1702" i="19"/>
  <c r="W1701" i="19"/>
  <c r="S1701" i="19" s="1"/>
  <c r="U1700" i="19"/>
  <c r="W1699" i="19"/>
  <c r="S1699" i="19" s="1"/>
  <c r="V1698" i="19"/>
  <c r="X1697" i="19"/>
  <c r="K1697" i="19" s="1"/>
  <c r="G784" i="22" s="1"/>
  <c r="T1697" i="19"/>
  <c r="V1696" i="19"/>
  <c r="X1695" i="19"/>
  <c r="K1695" i="19" s="1"/>
  <c r="G782" i="22" s="1"/>
  <c r="T1695" i="19"/>
  <c r="V1694" i="19"/>
  <c r="U1693" i="19"/>
  <c r="W1692" i="19"/>
  <c r="S1692" i="19" s="1"/>
  <c r="U1691" i="19"/>
  <c r="W1690" i="19"/>
  <c r="S1690" i="19" s="1"/>
  <c r="U1689" i="19"/>
  <c r="X1688" i="19"/>
  <c r="K1688" i="19" s="1"/>
  <c r="T1688" i="19"/>
  <c r="V1687" i="19"/>
  <c r="X1686" i="19"/>
  <c r="K1686" i="19" s="1"/>
  <c r="G778" i="22" s="1"/>
  <c r="T1686" i="19"/>
  <c r="V1685" i="19"/>
  <c r="X1684" i="19"/>
  <c r="T1684" i="19"/>
  <c r="W1683" i="19"/>
  <c r="S1683" i="19" s="1"/>
  <c r="U1682" i="19"/>
  <c r="W1681" i="19"/>
  <c r="S1681" i="19" s="1"/>
  <c r="U1680" i="19"/>
  <c r="W1679" i="19"/>
  <c r="S1679" i="19" s="1"/>
  <c r="V1678" i="19"/>
  <c r="X1677" i="19"/>
  <c r="K1677" i="19" s="1"/>
  <c r="G773" i="22" s="1"/>
  <c r="T1677" i="19"/>
  <c r="V1676" i="19"/>
  <c r="X1675" i="19"/>
  <c r="K1675" i="19" s="1"/>
  <c r="G771" i="22" s="1"/>
  <c r="T1675" i="19"/>
  <c r="V1674" i="19"/>
  <c r="U1673" i="19"/>
  <c r="W1672" i="19"/>
  <c r="S1672" i="19" s="1"/>
  <c r="U1671" i="19"/>
  <c r="W1670" i="19"/>
  <c r="S1670" i="19" s="1"/>
  <c r="U1669" i="19"/>
  <c r="X1668" i="19"/>
  <c r="K1668" i="19" s="1"/>
  <c r="T1668" i="19"/>
  <c r="V1667" i="19"/>
  <c r="X1666" i="19"/>
  <c r="K1666" i="19" s="1"/>
  <c r="T1666" i="19"/>
  <c r="V1665" i="19"/>
  <c r="X1664" i="19"/>
  <c r="T1664" i="19"/>
  <c r="W1663" i="19"/>
  <c r="S1663" i="19" s="1"/>
  <c r="U1662" i="19"/>
  <c r="W1661" i="19"/>
  <c r="S1661" i="19" s="1"/>
  <c r="U1660" i="19"/>
  <c r="W1659" i="19"/>
  <c r="S1659" i="19" s="1"/>
  <c r="V1658" i="19"/>
  <c r="T1763" i="19"/>
  <c r="T1761" i="19"/>
  <c r="T1759" i="19"/>
  <c r="W1756" i="19"/>
  <c r="S1756" i="19" s="1"/>
  <c r="T1752" i="19"/>
  <c r="T1750" i="19"/>
  <c r="W1747" i="19"/>
  <c r="S1747" i="19" s="1"/>
  <c r="T1743" i="19"/>
  <c r="T1741" i="19"/>
  <c r="T1739" i="19"/>
  <c r="W1736" i="19"/>
  <c r="S1736" i="19" s="1"/>
  <c r="T1732" i="19"/>
  <c r="T1730" i="19"/>
  <c r="W1727" i="19"/>
  <c r="S1727" i="19" s="1"/>
  <c r="T1723" i="19"/>
  <c r="T1721" i="19"/>
  <c r="T1719" i="19"/>
  <c r="W1716" i="19"/>
  <c r="S1716" i="19" s="1"/>
  <c r="T1712" i="19"/>
  <c r="T1710" i="19"/>
  <c r="W1707" i="19"/>
  <c r="S1707" i="19" s="1"/>
  <c r="T1703" i="19"/>
  <c r="T1701" i="19"/>
  <c r="T1699" i="19"/>
  <c r="W1696" i="19"/>
  <c r="S1696" i="19" s="1"/>
  <c r="T1692" i="19"/>
  <c r="T1690" i="19"/>
  <c r="W1687" i="19"/>
  <c r="S1687" i="19" s="1"/>
  <c r="T1683" i="19"/>
  <c r="T1681" i="19"/>
  <c r="T1679" i="19"/>
  <c r="W1676" i="19"/>
  <c r="S1676" i="19" s="1"/>
  <c r="T1672" i="19"/>
  <c r="T1670" i="19"/>
  <c r="W1667" i="19"/>
  <c r="S1667" i="19" s="1"/>
  <c r="T1663" i="19"/>
  <c r="T1661" i="19"/>
  <c r="X1659" i="19"/>
  <c r="T1657" i="19"/>
  <c r="V1656" i="19"/>
  <c r="X1655" i="19"/>
  <c r="K1655" i="19" s="1"/>
  <c r="G764" i="22" s="1"/>
  <c r="T1655" i="19"/>
  <c r="V1654" i="19"/>
  <c r="U1653" i="19"/>
  <c r="W1652" i="19"/>
  <c r="S1652" i="19" s="1"/>
  <c r="U1651" i="19"/>
  <c r="W1650" i="19"/>
  <c r="S1650" i="19" s="1"/>
  <c r="U1649" i="19"/>
  <c r="X1648" i="19"/>
  <c r="K1648" i="19" s="1"/>
  <c r="T1648" i="19"/>
  <c r="V1647" i="19"/>
  <c r="X1646" i="19"/>
  <c r="K1646" i="19" s="1"/>
  <c r="G759" i="22" s="1"/>
  <c r="T1646" i="19"/>
  <c r="V1645" i="19"/>
  <c r="X1644" i="19"/>
  <c r="T1644" i="19"/>
  <c r="W1643" i="19"/>
  <c r="S1643" i="19" s="1"/>
  <c r="U1642" i="19"/>
  <c r="W1641" i="19"/>
  <c r="S1641" i="19" s="1"/>
  <c r="U1640" i="19"/>
  <c r="W1639" i="19"/>
  <c r="S1639" i="19" s="1"/>
  <c r="V1638" i="19"/>
  <c r="X1637" i="19"/>
  <c r="K1637" i="19" s="1"/>
  <c r="T1637" i="19"/>
  <c r="V1636" i="19"/>
  <c r="X1635" i="19"/>
  <c r="K1635" i="19" s="1"/>
  <c r="G754" i="22" s="1"/>
  <c r="T1635" i="19"/>
  <c r="V1634" i="19"/>
  <c r="U1633" i="19"/>
  <c r="W1632" i="19"/>
  <c r="S1632" i="19" s="1"/>
  <c r="U1631" i="19"/>
  <c r="W1630" i="19"/>
  <c r="S1630" i="19" s="1"/>
  <c r="U1629" i="19"/>
  <c r="X1628" i="19"/>
  <c r="K1628" i="19" s="1"/>
  <c r="T1628" i="19"/>
  <c r="V1627" i="19"/>
  <c r="X1626" i="19"/>
  <c r="K1626" i="19" s="1"/>
  <c r="G752" i="22" s="1"/>
  <c r="T1626" i="19"/>
  <c r="V1625" i="19"/>
  <c r="X1624" i="19"/>
  <c r="T1624" i="19"/>
  <c r="W1623" i="19"/>
  <c r="S1623" i="19" s="1"/>
  <c r="U1622" i="19"/>
  <c r="W1621" i="19"/>
  <c r="S1621" i="19" s="1"/>
  <c r="U1620" i="19"/>
  <c r="W1619" i="19"/>
  <c r="S1619" i="19" s="1"/>
  <c r="V1618" i="19"/>
  <c r="X1617" i="19"/>
  <c r="K1617" i="19" s="1"/>
  <c r="T1617" i="19"/>
  <c r="V1616" i="19"/>
  <c r="X1615" i="19"/>
  <c r="K1615" i="19" s="1"/>
  <c r="G748" i="22" s="1"/>
  <c r="T1615" i="19"/>
  <c r="V1614" i="19"/>
  <c r="U1613" i="19"/>
  <c r="W1612" i="19"/>
  <c r="S1612" i="19" s="1"/>
  <c r="U1611" i="19"/>
  <c r="W1610" i="19"/>
  <c r="S1610" i="19" s="1"/>
  <c r="U1609" i="19"/>
  <c r="X1608" i="19"/>
  <c r="K1608" i="19" s="1"/>
  <c r="T1608" i="19"/>
  <c r="V1607" i="19"/>
  <c r="X1606" i="19"/>
  <c r="K1606" i="19" s="1"/>
  <c r="G744" i="22" s="1"/>
  <c r="T1606" i="19"/>
  <c r="V1605" i="19"/>
  <c r="X1604" i="19"/>
  <c r="T1604" i="19"/>
  <c r="W1603" i="19"/>
  <c r="S1603" i="19" s="1"/>
  <c r="U1602" i="19"/>
  <c r="W1601" i="19"/>
  <c r="S1601" i="19" s="1"/>
  <c r="U1600" i="19"/>
  <c r="W1599" i="19"/>
  <c r="S1599" i="19" s="1"/>
  <c r="V1598" i="19"/>
  <c r="X1597" i="19"/>
  <c r="K1597" i="19" s="1"/>
  <c r="G738" i="22" s="1"/>
  <c r="T1597" i="19"/>
  <c r="V1596" i="19"/>
  <c r="X1595" i="19"/>
  <c r="K1595" i="19" s="1"/>
  <c r="G736" i="22" s="1"/>
  <c r="T1595" i="19"/>
  <c r="V1594" i="19"/>
  <c r="U1593" i="19"/>
  <c r="W1592" i="19"/>
  <c r="S1592" i="19" s="1"/>
  <c r="U1591" i="19"/>
  <c r="W1590" i="19"/>
  <c r="S1590" i="19" s="1"/>
  <c r="U1589" i="19"/>
  <c r="X1588" i="19"/>
  <c r="K1588" i="19" s="1"/>
  <c r="T1588" i="19"/>
  <c r="V1587" i="19"/>
  <c r="X1586" i="19"/>
  <c r="K1586" i="19" s="1"/>
  <c r="G733" i="22" s="1"/>
  <c r="T1586" i="19"/>
  <c r="V1585" i="19"/>
  <c r="X1584" i="19"/>
  <c r="T1584" i="19"/>
  <c r="W1583" i="19"/>
  <c r="S1583" i="19" s="1"/>
  <c r="U1582" i="19"/>
  <c r="W1581" i="19"/>
  <c r="S1581" i="19" s="1"/>
  <c r="U1580" i="19"/>
  <c r="W1579" i="19"/>
  <c r="S1579" i="19" s="1"/>
  <c r="V1578" i="19"/>
  <c r="X1577" i="19"/>
  <c r="K1577" i="19" s="1"/>
  <c r="T1577" i="19"/>
  <c r="V1576" i="19"/>
  <c r="X1575" i="19"/>
  <c r="K1575" i="19" s="1"/>
  <c r="G730" i="22" s="1"/>
  <c r="T1575" i="19"/>
  <c r="V1574" i="19"/>
  <c r="U1573" i="19"/>
  <c r="W1572" i="19"/>
  <c r="S1572" i="19" s="1"/>
  <c r="U1571" i="19"/>
  <c r="W1570" i="19"/>
  <c r="S1570" i="19" s="1"/>
  <c r="U1569" i="19"/>
  <c r="X1568" i="19"/>
  <c r="K1568" i="19" s="1"/>
  <c r="T1568" i="19"/>
  <c r="V1567" i="19"/>
  <c r="X1566" i="19"/>
  <c r="K1566" i="19" s="1"/>
  <c r="G727" i="22" s="1"/>
  <c r="T1566" i="19"/>
  <c r="V1565" i="19"/>
  <c r="X1564" i="19"/>
  <c r="T1564" i="19"/>
  <c r="W1563" i="19"/>
  <c r="S1563" i="19" s="1"/>
  <c r="U1562" i="19"/>
  <c r="W1561" i="19"/>
  <c r="S1561" i="19" s="1"/>
  <c r="U1560" i="19"/>
  <c r="W1559" i="19"/>
  <c r="S1559" i="19" s="1"/>
  <c r="V1558" i="19"/>
  <c r="X1557" i="19"/>
  <c r="K1557" i="19" s="1"/>
  <c r="T1557" i="19"/>
  <c r="V1556" i="19"/>
  <c r="X1555" i="19"/>
  <c r="K1555" i="19" s="1"/>
  <c r="G721" i="22" s="1"/>
  <c r="T1555" i="19"/>
  <c r="V1554" i="19"/>
  <c r="U1553" i="19"/>
  <c r="W1552" i="19"/>
  <c r="S1552" i="19" s="1"/>
  <c r="U1551" i="19"/>
  <c r="W1550" i="19"/>
  <c r="S1550" i="19" s="1"/>
  <c r="U1549" i="19"/>
  <c r="X1548" i="19"/>
  <c r="K1548" i="19" s="1"/>
  <c r="T1548" i="19"/>
  <c r="V1547" i="19"/>
  <c r="X1546" i="19"/>
  <c r="K1546" i="19" s="1"/>
  <c r="T1546" i="19"/>
  <c r="V1545" i="19"/>
  <c r="X1544" i="19"/>
  <c r="T1544" i="19"/>
  <c r="W1543" i="19"/>
  <c r="S1543" i="19" s="1"/>
  <c r="U1542" i="19"/>
  <c r="W1541" i="19"/>
  <c r="S1541" i="19" s="1"/>
  <c r="U1540" i="19"/>
  <c r="W1539" i="19"/>
  <c r="S1539" i="19" s="1"/>
  <c r="V1538" i="19"/>
  <c r="X1537" i="19"/>
  <c r="K1537" i="19" s="1"/>
  <c r="T1537" i="19"/>
  <c r="V1536" i="19"/>
  <c r="X1535" i="19"/>
  <c r="K1535" i="19" s="1"/>
  <c r="G713" i="22" s="1"/>
  <c r="T1535" i="19"/>
  <c r="V1534" i="19"/>
  <c r="U1533" i="19"/>
  <c r="W1532" i="19"/>
  <c r="S1532" i="19" s="1"/>
  <c r="U1531" i="19"/>
  <c r="W1530" i="19"/>
  <c r="S1530" i="19" s="1"/>
  <c r="U1529" i="19"/>
  <c r="X1528" i="19"/>
  <c r="K1528" i="19" s="1"/>
  <c r="T1528" i="19"/>
  <c r="V1527" i="19"/>
  <c r="X1526" i="19"/>
  <c r="K1526" i="19" s="1"/>
  <c r="G710" i="22" s="1"/>
  <c r="T1526" i="19"/>
  <c r="V1525" i="19"/>
  <c r="X1524" i="19"/>
  <c r="T1524" i="19"/>
  <c r="W1523" i="19"/>
  <c r="S1523" i="19" s="1"/>
  <c r="U1522" i="19"/>
  <c r="W1521" i="19"/>
  <c r="S1521" i="19" s="1"/>
  <c r="U1520" i="19"/>
  <c r="W1519" i="19"/>
  <c r="S1519" i="19" s="1"/>
  <c r="V1518" i="19"/>
  <c r="X1517" i="19"/>
  <c r="K1517" i="19" s="1"/>
  <c r="T1517" i="19"/>
  <c r="V1516" i="19"/>
  <c r="X1515" i="19"/>
  <c r="K1515" i="19" s="1"/>
  <c r="G705" i="22" s="1"/>
  <c r="T1515" i="19"/>
  <c r="V1514" i="19"/>
  <c r="U1513" i="19"/>
  <c r="W1512" i="19"/>
  <c r="S1512" i="19" s="1"/>
  <c r="U1511" i="19"/>
  <c r="W1510" i="19"/>
  <c r="S1510" i="19" s="1"/>
  <c r="U1509" i="19"/>
  <c r="X1508" i="19"/>
  <c r="K1508" i="19" s="1"/>
  <c r="T1508" i="19"/>
  <c r="V1507" i="19"/>
  <c r="X1506" i="19"/>
  <c r="K1506" i="19" s="1"/>
  <c r="G702" i="22" s="1"/>
  <c r="T1506" i="19"/>
  <c r="V1505" i="19"/>
  <c r="X1504" i="19"/>
  <c r="T1504" i="19"/>
  <c r="W1503" i="19"/>
  <c r="S1503" i="19" s="1"/>
  <c r="U1502" i="19"/>
  <c r="W1501" i="19"/>
  <c r="S1501" i="19" s="1"/>
  <c r="U1500" i="19"/>
  <c r="W1499" i="19"/>
  <c r="S1499" i="19" s="1"/>
  <c r="V1498" i="19"/>
  <c r="X1497" i="19"/>
  <c r="K1497" i="19" s="1"/>
  <c r="G697" i="22" s="1"/>
  <c r="T1497" i="19"/>
  <c r="V1496" i="19"/>
  <c r="X1495" i="19"/>
  <c r="K1495" i="19" s="1"/>
  <c r="G695" i="22" s="1"/>
  <c r="T1495" i="19"/>
  <c r="V1494" i="19"/>
  <c r="U1493" i="19"/>
  <c r="W1492" i="19"/>
  <c r="S1492" i="19" s="1"/>
  <c r="U1491" i="19"/>
  <c r="W1490" i="19"/>
  <c r="S1490" i="19" s="1"/>
  <c r="U1489" i="19"/>
  <c r="X1488" i="19"/>
  <c r="K1488" i="19" s="1"/>
  <c r="T1488" i="19"/>
  <c r="V1487" i="19"/>
  <c r="X1486" i="19"/>
  <c r="K1486" i="19" s="1"/>
  <c r="G692" i="22" s="1"/>
  <c r="T1486" i="19"/>
  <c r="V1485" i="19"/>
  <c r="X1484" i="19"/>
  <c r="T1484" i="19"/>
  <c r="W1483" i="19"/>
  <c r="S1483" i="19" s="1"/>
  <c r="U1482" i="19"/>
  <c r="W1481" i="19"/>
  <c r="S1481" i="19" s="1"/>
  <c r="U1480" i="19"/>
  <c r="W1479" i="19"/>
  <c r="S1479" i="19" s="1"/>
  <c r="V1478" i="19"/>
  <c r="X1477" i="19"/>
  <c r="K1477" i="19" s="1"/>
  <c r="G688" i="22" s="1"/>
  <c r="T1477" i="19"/>
  <c r="V1476" i="19"/>
  <c r="X1475" i="19"/>
  <c r="K1475" i="19" s="1"/>
  <c r="G686" i="22" s="1"/>
  <c r="T1475" i="19"/>
  <c r="V1474" i="19"/>
  <c r="U1473" i="19"/>
  <c r="W1472" i="19"/>
  <c r="S1472" i="19" s="1"/>
  <c r="U1471" i="19"/>
  <c r="W1470" i="19"/>
  <c r="S1470" i="19" s="1"/>
  <c r="U1469" i="19"/>
  <c r="X1468" i="19"/>
  <c r="K1468" i="19" s="1"/>
  <c r="T1468" i="19"/>
  <c r="V1467" i="19"/>
  <c r="X1466" i="19"/>
  <c r="K1466" i="19" s="1"/>
  <c r="G681" i="22" s="1"/>
  <c r="T1466" i="19"/>
  <c r="V1465" i="19"/>
  <c r="X1464" i="19"/>
  <c r="T1464" i="19"/>
  <c r="W1463" i="19"/>
  <c r="S1463" i="19" s="1"/>
  <c r="U1462" i="19"/>
  <c r="W1461" i="19"/>
  <c r="S1461" i="19" s="1"/>
  <c r="U1460" i="19"/>
  <c r="W1459" i="19"/>
  <c r="S1459" i="19" s="1"/>
  <c r="V1458" i="19"/>
  <c r="X1457" i="19"/>
  <c r="K1457" i="19" s="1"/>
  <c r="T1457" i="19"/>
  <c r="V1456" i="19"/>
  <c r="X1455" i="19"/>
  <c r="K1455" i="19" s="1"/>
  <c r="G676" i="22" s="1"/>
  <c r="T1455" i="19"/>
  <c r="U1764" i="19"/>
  <c r="V1762" i="19"/>
  <c r="V1760" i="19"/>
  <c r="W1758" i="19"/>
  <c r="S1758" i="19" s="1"/>
  <c r="V1753" i="19"/>
  <c r="V1751" i="19"/>
  <c r="V1749" i="19"/>
  <c r="U1744" i="19"/>
  <c r="V1742" i="19"/>
  <c r="V1740" i="19"/>
  <c r="W1738" i="19"/>
  <c r="S1738" i="19" s="1"/>
  <c r="V1733" i="19"/>
  <c r="V1731" i="19"/>
  <c r="V1729" i="19"/>
  <c r="U1724" i="19"/>
  <c r="V1722" i="19"/>
  <c r="V1720" i="19"/>
  <c r="W1718" i="19"/>
  <c r="S1718" i="19" s="1"/>
  <c r="V1713" i="19"/>
  <c r="V1711" i="19"/>
  <c r="V1709" i="19"/>
  <c r="U1704" i="19"/>
  <c r="V1702" i="19"/>
  <c r="V1700" i="19"/>
  <c r="W1698" i="19"/>
  <c r="S1698" i="19" s="1"/>
  <c r="V1693" i="19"/>
  <c r="V1691" i="19"/>
  <c r="V1689" i="19"/>
  <c r="U1684" i="19"/>
  <c r="V1682" i="19"/>
  <c r="V1680" i="19"/>
  <c r="W1678" i="19"/>
  <c r="S1678" i="19" s="1"/>
  <c r="V1673" i="19"/>
  <c r="V1671" i="19"/>
  <c r="V1669" i="19"/>
  <c r="U1664" i="19"/>
  <c r="V1662" i="19"/>
  <c r="V1660" i="19"/>
  <c r="V1659" i="19"/>
  <c r="W1658" i="19"/>
  <c r="S1658" i="19" s="1"/>
  <c r="X1657" i="19"/>
  <c r="K1657" i="19" s="1"/>
  <c r="U1656" i="19"/>
  <c r="W1655" i="19"/>
  <c r="S1655" i="19" s="1"/>
  <c r="U1654" i="19"/>
  <c r="X1653" i="19"/>
  <c r="K1653" i="19" s="1"/>
  <c r="T1653" i="19"/>
  <c r="V1652" i="19"/>
  <c r="X1651" i="19"/>
  <c r="K1651" i="19" s="1"/>
  <c r="G762" i="22" s="1"/>
  <c r="T1651" i="19"/>
  <c r="V1650" i="19"/>
  <c r="X1649" i="19"/>
  <c r="T1649" i="19"/>
  <c r="W1648" i="19"/>
  <c r="S1648" i="19" s="1"/>
  <c r="U1647" i="19"/>
  <c r="W1646" i="19"/>
  <c r="S1646" i="19" s="1"/>
  <c r="U1645" i="19"/>
  <c r="W1644" i="19"/>
  <c r="S1644" i="19" s="1"/>
  <c r="V1643" i="19"/>
  <c r="X1642" i="19"/>
  <c r="K1642" i="19" s="1"/>
  <c r="T1642" i="19"/>
  <c r="V1641" i="19"/>
  <c r="X1640" i="19"/>
  <c r="K1640" i="19" s="1"/>
  <c r="G756" i="22" s="1"/>
  <c r="T1640" i="19"/>
  <c r="V1639" i="19"/>
  <c r="U1638" i="19"/>
  <c r="W1637" i="19"/>
  <c r="S1637" i="19" s="1"/>
  <c r="U1636" i="19"/>
  <c r="W1635" i="19"/>
  <c r="S1635" i="19" s="1"/>
  <c r="U1634" i="19"/>
  <c r="X1633" i="19"/>
  <c r="K1633" i="19" s="1"/>
  <c r="T1633" i="19"/>
  <c r="V1632" i="19"/>
  <c r="X1631" i="19"/>
  <c r="K1631" i="19" s="1"/>
  <c r="T1631" i="19"/>
  <c r="V1630" i="19"/>
  <c r="X1629" i="19"/>
  <c r="T1629" i="19"/>
  <c r="W1628" i="19"/>
  <c r="S1628" i="19" s="1"/>
  <c r="U1627" i="19"/>
  <c r="W1626" i="19"/>
  <c r="S1626" i="19" s="1"/>
  <c r="U1625" i="19"/>
  <c r="W1624" i="19"/>
  <c r="S1624" i="19" s="1"/>
  <c r="V1623" i="19"/>
  <c r="X1622" i="19"/>
  <c r="K1622" i="19" s="1"/>
  <c r="T1622" i="19"/>
  <c r="V1621" i="19"/>
  <c r="X1620" i="19"/>
  <c r="K1620" i="19" s="1"/>
  <c r="G749" i="22" s="1"/>
  <c r="T1620" i="19"/>
  <c r="V1619" i="19"/>
  <c r="U1618" i="19"/>
  <c r="W1617" i="19"/>
  <c r="S1617" i="19" s="1"/>
  <c r="U1616" i="19"/>
  <c r="W1615" i="19"/>
  <c r="S1615" i="19" s="1"/>
  <c r="U1614" i="19"/>
  <c r="X1613" i="19"/>
  <c r="K1613" i="19" s="1"/>
  <c r="T1613" i="19"/>
  <c r="V1612" i="19"/>
  <c r="X1611" i="19"/>
  <c r="K1611" i="19" s="1"/>
  <c r="G747" i="22" s="1"/>
  <c r="T1611" i="19"/>
  <c r="V1610" i="19"/>
  <c r="X1609" i="19"/>
  <c r="T1609" i="19"/>
  <c r="W1608" i="19"/>
  <c r="S1608" i="19" s="1"/>
  <c r="U1607" i="19"/>
  <c r="W1606" i="19"/>
  <c r="S1606" i="19" s="1"/>
  <c r="U1605" i="19"/>
  <c r="W1604" i="19"/>
  <c r="S1604" i="19" s="1"/>
  <c r="V1603" i="19"/>
  <c r="X1602" i="19"/>
  <c r="K1602" i="19" s="1"/>
  <c r="G741" i="22" s="1"/>
  <c r="T1602" i="19"/>
  <c r="V1601" i="19"/>
  <c r="X1600" i="19"/>
  <c r="K1600" i="19" s="1"/>
  <c r="G739" i="22" s="1"/>
  <c r="T1600" i="19"/>
  <c r="V1599" i="19"/>
  <c r="U1598" i="19"/>
  <c r="W1597" i="19"/>
  <c r="S1597" i="19" s="1"/>
  <c r="U1596" i="19"/>
  <c r="W1595" i="19"/>
  <c r="S1595" i="19" s="1"/>
  <c r="U1594" i="19"/>
  <c r="X1593" i="19"/>
  <c r="K1593" i="19" s="1"/>
  <c r="T1593" i="19"/>
  <c r="V1592" i="19"/>
  <c r="X1591" i="19"/>
  <c r="K1591" i="19" s="1"/>
  <c r="G735" i="22" s="1"/>
  <c r="T1591" i="19"/>
  <c r="V1590" i="19"/>
  <c r="X1589" i="19"/>
  <c r="T1589" i="19"/>
  <c r="W1588" i="19"/>
  <c r="S1588" i="19" s="1"/>
  <c r="U1587" i="19"/>
  <c r="W1586" i="19"/>
  <c r="S1586" i="19" s="1"/>
  <c r="U1585" i="19"/>
  <c r="W1584" i="19"/>
  <c r="S1584" i="19" s="1"/>
  <c r="V1583" i="19"/>
  <c r="X1582" i="19"/>
  <c r="K1582" i="19" s="1"/>
  <c r="T1582" i="19"/>
  <c r="V1581" i="19"/>
  <c r="X1580" i="19"/>
  <c r="K1580" i="19" s="1"/>
  <c r="G731" i="22" s="1"/>
  <c r="T1580" i="19"/>
  <c r="V1579" i="19"/>
  <c r="U1578" i="19"/>
  <c r="W1577" i="19"/>
  <c r="S1577" i="19" s="1"/>
  <c r="U1576" i="19"/>
  <c r="W1575" i="19"/>
  <c r="S1575" i="19" s="1"/>
  <c r="U1574" i="19"/>
  <c r="X1573" i="19"/>
  <c r="K1573" i="19" s="1"/>
  <c r="T1573" i="19"/>
  <c r="V1572" i="19"/>
  <c r="X1571" i="19"/>
  <c r="K1571" i="19" s="1"/>
  <c r="G729" i="22" s="1"/>
  <c r="T1571" i="19"/>
  <c r="V1570" i="19"/>
  <c r="X1569" i="19"/>
  <c r="T1569" i="19"/>
  <c r="W1568" i="19"/>
  <c r="S1568" i="19" s="1"/>
  <c r="U1567" i="19"/>
  <c r="W1566" i="19"/>
  <c r="S1566" i="19" s="1"/>
  <c r="U1565" i="19"/>
  <c r="W1564" i="19"/>
  <c r="S1564" i="19" s="1"/>
  <c r="V1563" i="19"/>
  <c r="X1562" i="19"/>
  <c r="K1562" i="19" s="1"/>
  <c r="G725" i="22" s="1"/>
  <c r="T1562" i="19"/>
  <c r="V1561" i="19"/>
  <c r="X1560" i="19"/>
  <c r="K1560" i="19" s="1"/>
  <c r="G723" i="22" s="1"/>
  <c r="T1560" i="19"/>
  <c r="V1559" i="19"/>
  <c r="U1558" i="19"/>
  <c r="W1557" i="19"/>
  <c r="S1557" i="19" s="1"/>
  <c r="U1556" i="19"/>
  <c r="W1555" i="19"/>
  <c r="S1555" i="19" s="1"/>
  <c r="U1554" i="19"/>
  <c r="X1553" i="19"/>
  <c r="K1553" i="19" s="1"/>
  <c r="T1553" i="19"/>
  <c r="V1552" i="19"/>
  <c r="X1551" i="19"/>
  <c r="K1551" i="19" s="1"/>
  <c r="G720" i="22" s="1"/>
  <c r="T1551" i="19"/>
  <c r="V1550" i="19"/>
  <c r="X1549" i="19"/>
  <c r="T1549" i="19"/>
  <c r="W1548" i="19"/>
  <c r="S1548" i="19" s="1"/>
  <c r="U1547" i="19"/>
  <c r="W1546" i="19"/>
  <c r="S1546" i="19" s="1"/>
  <c r="U1545" i="19"/>
  <c r="W1544" i="19"/>
  <c r="S1544" i="19" s="1"/>
  <c r="V1543" i="19"/>
  <c r="X1542" i="19"/>
  <c r="K1542" i="19" s="1"/>
  <c r="G717" i="22" s="1"/>
  <c r="T1542" i="19"/>
  <c r="V1541" i="19"/>
  <c r="X1540" i="19"/>
  <c r="K1540" i="19" s="1"/>
  <c r="G715" i="22" s="1"/>
  <c r="T1540" i="19"/>
  <c r="V1539" i="19"/>
  <c r="U1538" i="19"/>
  <c r="W1537" i="19"/>
  <c r="S1537" i="19" s="1"/>
  <c r="U1536" i="19"/>
  <c r="W1535" i="19"/>
  <c r="S1535" i="19" s="1"/>
  <c r="U1534" i="19"/>
  <c r="X1533" i="19"/>
  <c r="K1533" i="19" s="1"/>
  <c r="T1533" i="19"/>
  <c r="V1532" i="19"/>
  <c r="X1531" i="19"/>
  <c r="K1531" i="19" s="1"/>
  <c r="G712" i="22" s="1"/>
  <c r="T1531" i="19"/>
  <c r="V1530" i="19"/>
  <c r="X1529" i="19"/>
  <c r="T1529" i="19"/>
  <c r="W1528" i="19"/>
  <c r="S1528" i="19" s="1"/>
  <c r="U1527" i="19"/>
  <c r="W1526" i="19"/>
  <c r="S1526" i="19" s="1"/>
  <c r="U1525" i="19"/>
  <c r="W1524" i="19"/>
  <c r="S1524" i="19" s="1"/>
  <c r="V1523" i="19"/>
  <c r="X1522" i="19"/>
  <c r="K1522" i="19" s="1"/>
  <c r="G708" i="22" s="1"/>
  <c r="T1522" i="19"/>
  <c r="V1521" i="19"/>
  <c r="X1520" i="19"/>
  <c r="K1520" i="19" s="1"/>
  <c r="G706" i="22" s="1"/>
  <c r="T1520" i="19"/>
  <c r="V1519" i="19"/>
  <c r="U1518" i="19"/>
  <c r="W1517" i="19"/>
  <c r="S1517" i="19" s="1"/>
  <c r="U1516" i="19"/>
  <c r="W1515" i="19"/>
  <c r="S1515" i="19" s="1"/>
  <c r="U1514" i="19"/>
  <c r="X1513" i="19"/>
  <c r="K1513" i="19" s="1"/>
  <c r="T1513" i="19"/>
  <c r="V1512" i="19"/>
  <c r="X1511" i="19"/>
  <c r="K1511" i="19" s="1"/>
  <c r="G704" i="22" s="1"/>
  <c r="T1511" i="19"/>
  <c r="V1510" i="19"/>
  <c r="X1509" i="19"/>
  <c r="T1509" i="19"/>
  <c r="W1508" i="19"/>
  <c r="S1508" i="19" s="1"/>
  <c r="U1507" i="19"/>
  <c r="W1506" i="19"/>
  <c r="S1506" i="19" s="1"/>
  <c r="U1505" i="19"/>
  <c r="W1504" i="19"/>
  <c r="S1504" i="19" s="1"/>
  <c r="V1503" i="19"/>
  <c r="X1502" i="19"/>
  <c r="K1502" i="19" s="1"/>
  <c r="G700" i="22" s="1"/>
  <c r="T1502" i="19"/>
  <c r="V1501" i="19"/>
  <c r="X1500" i="19"/>
  <c r="K1500" i="19" s="1"/>
  <c r="G698" i="22" s="1"/>
  <c r="T1500" i="19"/>
  <c r="V1499" i="19"/>
  <c r="U1498" i="19"/>
  <c r="W1497" i="19"/>
  <c r="S1497" i="19" s="1"/>
  <c r="U1496" i="19"/>
  <c r="W1495" i="19"/>
  <c r="S1495" i="19" s="1"/>
  <c r="U1494" i="19"/>
  <c r="X1493" i="19"/>
  <c r="K1493" i="19" s="1"/>
  <c r="T1493" i="19"/>
  <c r="V1492" i="19"/>
  <c r="X1491" i="19"/>
  <c r="K1491" i="19" s="1"/>
  <c r="G694" i="22" s="1"/>
  <c r="T1491" i="19"/>
  <c r="V1490" i="19"/>
  <c r="X1489" i="19"/>
  <c r="T1489" i="19"/>
  <c r="W1488" i="19"/>
  <c r="S1488" i="19" s="1"/>
  <c r="U1487" i="19"/>
  <c r="W1486" i="19"/>
  <c r="S1486" i="19" s="1"/>
  <c r="U1485" i="19"/>
  <c r="W1484" i="19"/>
  <c r="S1484" i="19" s="1"/>
  <c r="V1483" i="19"/>
  <c r="X1482" i="19"/>
  <c r="K1482" i="19" s="1"/>
  <c r="T1482" i="19"/>
  <c r="V1481" i="19"/>
  <c r="X1480" i="19"/>
  <c r="K1480" i="19" s="1"/>
  <c r="G689" i="22" s="1"/>
  <c r="T1480" i="19"/>
  <c r="V1479" i="19"/>
  <c r="U1478" i="19"/>
  <c r="W1477" i="19"/>
  <c r="S1477" i="19" s="1"/>
  <c r="U1476" i="19"/>
  <c r="W1475" i="19"/>
  <c r="S1475" i="19" s="1"/>
  <c r="U1474" i="19"/>
  <c r="X1473" i="19"/>
  <c r="K1473" i="19" s="1"/>
  <c r="T1473" i="19"/>
  <c r="V1472" i="19"/>
  <c r="X1471" i="19"/>
  <c r="K1471" i="19" s="1"/>
  <c r="G684" i="22" s="1"/>
  <c r="T1471" i="19"/>
  <c r="V1470" i="19"/>
  <c r="X1469" i="19"/>
  <c r="T1469" i="19"/>
  <c r="W1468" i="19"/>
  <c r="S1468" i="19" s="1"/>
  <c r="U1467" i="19"/>
  <c r="W1466" i="19"/>
  <c r="S1466" i="19" s="1"/>
  <c r="U1465" i="19"/>
  <c r="W1464" i="19"/>
  <c r="S1464" i="19" s="1"/>
  <c r="V1463" i="19"/>
  <c r="X1462" i="19"/>
  <c r="K1462" i="19" s="1"/>
  <c r="T1462" i="19"/>
  <c r="V1461" i="19"/>
  <c r="X1460" i="19"/>
  <c r="K1460" i="19" s="1"/>
  <c r="G678" i="22" s="1"/>
  <c r="T1460" i="19"/>
  <c r="V1459" i="19"/>
  <c r="U1458" i="19"/>
  <c r="W1457" i="19"/>
  <c r="S1457" i="19" s="1"/>
  <c r="U1456" i="19"/>
  <c r="W1455" i="19"/>
  <c r="S1455" i="19" s="1"/>
  <c r="U1454" i="19"/>
  <c r="X1453" i="19"/>
  <c r="K1453" i="19" s="1"/>
  <c r="T1453" i="19"/>
  <c r="V1452" i="19"/>
  <c r="X1451" i="19"/>
  <c r="K1451" i="19" s="1"/>
  <c r="G674" i="22" s="1"/>
  <c r="T1451" i="19"/>
  <c r="V1450" i="19"/>
  <c r="X1449" i="19"/>
  <c r="T1449" i="19"/>
  <c r="W1448" i="19"/>
  <c r="S1448" i="19" s="1"/>
  <c r="U1447" i="19"/>
  <c r="U1755" i="19"/>
  <c r="U1746" i="19"/>
  <c r="U1735" i="19"/>
  <c r="U1726" i="19"/>
  <c r="U1715" i="19"/>
  <c r="U1706" i="19"/>
  <c r="U1695" i="19"/>
  <c r="U1686" i="19"/>
  <c r="U1675" i="19"/>
  <c r="U1666" i="19"/>
  <c r="T1659" i="19"/>
  <c r="U1658" i="19"/>
  <c r="W1657" i="19"/>
  <c r="S1657" i="19" s="1"/>
  <c r="X1656" i="19"/>
  <c r="K1656" i="19" s="1"/>
  <c r="T1656" i="19"/>
  <c r="V1655" i="19"/>
  <c r="X1654" i="19"/>
  <c r="T1654" i="19"/>
  <c r="W1653" i="19"/>
  <c r="S1653" i="19" s="1"/>
  <c r="U1652" i="19"/>
  <c r="W1651" i="19"/>
  <c r="S1651" i="19" s="1"/>
  <c r="U1650" i="19"/>
  <c r="W1649" i="19"/>
  <c r="S1649" i="19" s="1"/>
  <c r="V1648" i="19"/>
  <c r="X1647" i="19"/>
  <c r="K1647" i="19" s="1"/>
  <c r="G760" i="22" s="1"/>
  <c r="T1647" i="19"/>
  <c r="V1646" i="19"/>
  <c r="X1645" i="19"/>
  <c r="K1645" i="19" s="1"/>
  <c r="G758" i="22" s="1"/>
  <c r="T1645" i="19"/>
  <c r="V1644" i="19"/>
  <c r="U1643" i="19"/>
  <c r="W1642" i="19"/>
  <c r="S1642" i="19" s="1"/>
  <c r="U1641" i="19"/>
  <c r="W1640" i="19"/>
  <c r="S1640" i="19" s="1"/>
  <c r="U1639" i="19"/>
  <c r="X1638" i="19"/>
  <c r="K1638" i="19" s="1"/>
  <c r="T1638" i="19"/>
  <c r="V1637" i="19"/>
  <c r="X1636" i="19"/>
  <c r="K1636" i="19" s="1"/>
  <c r="G755" i="22" s="1"/>
  <c r="T1636" i="19"/>
  <c r="V1635" i="19"/>
  <c r="X1634" i="19"/>
  <c r="T1634" i="19"/>
  <c r="W1633" i="19"/>
  <c r="S1633" i="19" s="1"/>
  <c r="U1632" i="19"/>
  <c r="W1631" i="19"/>
  <c r="S1631" i="19" s="1"/>
  <c r="U1630" i="19"/>
  <c r="W1629" i="19"/>
  <c r="S1629" i="19" s="1"/>
  <c r="V1628" i="19"/>
  <c r="X1627" i="19"/>
  <c r="K1627" i="19" s="1"/>
  <c r="T1627" i="19"/>
  <c r="V1626" i="19"/>
  <c r="X1625" i="19"/>
  <c r="K1625" i="19" s="1"/>
  <c r="G751" i="22" s="1"/>
  <c r="T1625" i="19"/>
  <c r="V1624" i="19"/>
  <c r="U1623" i="19"/>
  <c r="W1622" i="19"/>
  <c r="S1622" i="19" s="1"/>
  <c r="U1621" i="19"/>
  <c r="W1620" i="19"/>
  <c r="S1620" i="19" s="1"/>
  <c r="U1619" i="19"/>
  <c r="X1618" i="19"/>
  <c r="K1618" i="19" s="1"/>
  <c r="T1618" i="19"/>
  <c r="V1617" i="19"/>
  <c r="X1616" i="19"/>
  <c r="K1616" i="19" s="1"/>
  <c r="T1616" i="19"/>
  <c r="V1615" i="19"/>
  <c r="X1614" i="19"/>
  <c r="T1614" i="19"/>
  <c r="W1613" i="19"/>
  <c r="S1613" i="19" s="1"/>
  <c r="U1612" i="19"/>
  <c r="W1611" i="19"/>
  <c r="S1611" i="19" s="1"/>
  <c r="U1610" i="19"/>
  <c r="W1609" i="19"/>
  <c r="S1609" i="19" s="1"/>
  <c r="V1608" i="19"/>
  <c r="X1607" i="19"/>
  <c r="K1607" i="19" s="1"/>
  <c r="G745" i="22" s="1"/>
  <c r="T1607" i="19"/>
  <c r="V1606" i="19"/>
  <c r="X1605" i="19"/>
  <c r="K1605" i="19" s="1"/>
  <c r="G743" i="22" s="1"/>
  <c r="T1605" i="19"/>
  <c r="V1604" i="19"/>
  <c r="U1603" i="19"/>
  <c r="W1602" i="19"/>
  <c r="S1602" i="19" s="1"/>
  <c r="U1601" i="19"/>
  <c r="W1600" i="19"/>
  <c r="S1600" i="19" s="1"/>
  <c r="U1599" i="19"/>
  <c r="X1598" i="19"/>
  <c r="K1598" i="19" s="1"/>
  <c r="T1598" i="19"/>
  <c r="V1597" i="19"/>
  <c r="X1596" i="19"/>
  <c r="K1596" i="19" s="1"/>
  <c r="G737" i="22" s="1"/>
  <c r="T1596" i="19"/>
  <c r="V1595" i="19"/>
  <c r="X1594" i="19"/>
  <c r="T1594" i="19"/>
  <c r="W1593" i="19"/>
  <c r="S1593" i="19" s="1"/>
  <c r="U1592" i="19"/>
  <c r="W1591" i="19"/>
  <c r="S1591" i="19" s="1"/>
  <c r="U1590" i="19"/>
  <c r="W1589" i="19"/>
  <c r="S1589" i="19" s="1"/>
  <c r="V1588" i="19"/>
  <c r="X1587" i="19"/>
  <c r="K1587" i="19" s="1"/>
  <c r="T1587" i="19"/>
  <c r="V1586" i="19"/>
  <c r="X1585" i="19"/>
  <c r="K1585" i="19" s="1"/>
  <c r="G732" i="22" s="1"/>
  <c r="T1585" i="19"/>
  <c r="V1584" i="19"/>
  <c r="U1583" i="19"/>
  <c r="W1582" i="19"/>
  <c r="S1582" i="19" s="1"/>
  <c r="U1581" i="19"/>
  <c r="W1580" i="19"/>
  <c r="S1580" i="19" s="1"/>
  <c r="U1579" i="19"/>
  <c r="X1578" i="19"/>
  <c r="K1578" i="19" s="1"/>
  <c r="T1578" i="19"/>
  <c r="V1577" i="19"/>
  <c r="X1576" i="19"/>
  <c r="K1576" i="19" s="1"/>
  <c r="T1576" i="19"/>
  <c r="V1575" i="19"/>
  <c r="X1574" i="19"/>
  <c r="T1574" i="19"/>
  <c r="W1573" i="19"/>
  <c r="S1573" i="19" s="1"/>
  <c r="U1572" i="19"/>
  <c r="W1571" i="19"/>
  <c r="S1571" i="19" s="1"/>
  <c r="U1570" i="19"/>
  <c r="W1569" i="19"/>
  <c r="S1569" i="19" s="1"/>
  <c r="V1568" i="19"/>
  <c r="X1567" i="19"/>
  <c r="K1567" i="19" s="1"/>
  <c r="T1567" i="19"/>
  <c r="V1566" i="19"/>
  <c r="X1565" i="19"/>
  <c r="K1565" i="19" s="1"/>
  <c r="G726" i="22" s="1"/>
  <c r="T1565" i="19"/>
  <c r="V1564" i="19"/>
  <c r="U1563" i="19"/>
  <c r="W1562" i="19"/>
  <c r="S1562" i="19" s="1"/>
  <c r="U1561" i="19"/>
  <c r="W1560" i="19"/>
  <c r="S1560" i="19" s="1"/>
  <c r="U1559" i="19"/>
  <c r="X1558" i="19"/>
  <c r="K1558" i="19" s="1"/>
  <c r="T1558" i="19"/>
  <c r="V1557" i="19"/>
  <c r="X1556" i="19"/>
  <c r="K1556" i="19" s="1"/>
  <c r="G722" i="22" s="1"/>
  <c r="T1556" i="19"/>
  <c r="V1555" i="19"/>
  <c r="X1554" i="19"/>
  <c r="T1554" i="19"/>
  <c r="W1553" i="19"/>
  <c r="S1553" i="19" s="1"/>
  <c r="U1552" i="19"/>
  <c r="W1551" i="19"/>
  <c r="S1551" i="19" s="1"/>
  <c r="U1550" i="19"/>
  <c r="W1549" i="19"/>
  <c r="S1549" i="19" s="1"/>
  <c r="V1548" i="19"/>
  <c r="X1547" i="19"/>
  <c r="K1547" i="19" s="1"/>
  <c r="T1547" i="19"/>
  <c r="V1546" i="19"/>
  <c r="X1545" i="19"/>
  <c r="K1545" i="19" s="1"/>
  <c r="G718" i="22" s="1"/>
  <c r="T1545" i="19"/>
  <c r="V1544" i="19"/>
  <c r="U1543" i="19"/>
  <c r="W1542" i="19"/>
  <c r="S1542" i="19" s="1"/>
  <c r="U1541" i="19"/>
  <c r="W1540" i="19"/>
  <c r="S1540" i="19" s="1"/>
  <c r="U1539" i="19"/>
  <c r="X1538" i="19"/>
  <c r="K1538" i="19" s="1"/>
  <c r="T1538" i="19"/>
  <c r="V1537" i="19"/>
  <c r="X1536" i="19"/>
  <c r="K1536" i="19" s="1"/>
  <c r="G714" i="22" s="1"/>
  <c r="T1536" i="19"/>
  <c r="V1535" i="19"/>
  <c r="X1534" i="19"/>
  <c r="T1534" i="19"/>
  <c r="W1533" i="19"/>
  <c r="S1533" i="19" s="1"/>
  <c r="U1532" i="19"/>
  <c r="W1531" i="19"/>
  <c r="S1531" i="19" s="1"/>
  <c r="U1530" i="19"/>
  <c r="W1529" i="19"/>
  <c r="S1529" i="19" s="1"/>
  <c r="V1528" i="19"/>
  <c r="X1527" i="19"/>
  <c r="K1527" i="19" s="1"/>
  <c r="T1527" i="19"/>
  <c r="V1526" i="19"/>
  <c r="X1525" i="19"/>
  <c r="K1525" i="19" s="1"/>
  <c r="G709" i="22" s="1"/>
  <c r="T1525" i="19"/>
  <c r="V1524" i="19"/>
  <c r="U1523" i="19"/>
  <c r="W1522" i="19"/>
  <c r="S1522" i="19" s="1"/>
  <c r="U1521" i="19"/>
  <c r="W1520" i="19"/>
  <c r="S1520" i="19" s="1"/>
  <c r="U1519" i="19"/>
  <c r="X1518" i="19"/>
  <c r="K1518" i="19" s="1"/>
  <c r="T1518" i="19"/>
  <c r="V1517" i="19"/>
  <c r="X1516" i="19"/>
  <c r="K1516" i="19" s="1"/>
  <c r="T1516" i="19"/>
  <c r="V1515" i="19"/>
  <c r="X1514" i="19"/>
  <c r="T1514" i="19"/>
  <c r="W1513" i="19"/>
  <c r="S1513" i="19" s="1"/>
  <c r="U1512" i="19"/>
  <c r="W1511" i="19"/>
  <c r="S1511" i="19" s="1"/>
  <c r="U1510" i="19"/>
  <c r="W1509" i="19"/>
  <c r="S1509" i="19" s="1"/>
  <c r="V1508" i="19"/>
  <c r="X1507" i="19"/>
  <c r="K1507" i="19" s="1"/>
  <c r="T1507" i="19"/>
  <c r="V1506" i="19"/>
  <c r="X1505" i="19"/>
  <c r="K1505" i="19" s="1"/>
  <c r="G701" i="22" s="1"/>
  <c r="T1505" i="19"/>
  <c r="V1504" i="19"/>
  <c r="U1503" i="19"/>
  <c r="W1502" i="19"/>
  <c r="S1502" i="19" s="1"/>
  <c r="U1501" i="19"/>
  <c r="W1500" i="19"/>
  <c r="S1500" i="19" s="1"/>
  <c r="U1499" i="19"/>
  <c r="X1498" i="19"/>
  <c r="K1498" i="19" s="1"/>
  <c r="T1498" i="19"/>
  <c r="V1497" i="19"/>
  <c r="X1496" i="19"/>
  <c r="K1496" i="19" s="1"/>
  <c r="G696" i="22" s="1"/>
  <c r="T1496" i="19"/>
  <c r="V1495" i="19"/>
  <c r="X1494" i="19"/>
  <c r="T1494" i="19"/>
  <c r="W1493" i="19"/>
  <c r="S1493" i="19" s="1"/>
  <c r="U1492" i="19"/>
  <c r="X1763" i="19"/>
  <c r="K1763" i="19" s="1"/>
  <c r="X1761" i="19"/>
  <c r="K1761" i="19" s="1"/>
  <c r="G811" i="22" s="1"/>
  <c r="X1759" i="19"/>
  <c r="U1757" i="19"/>
  <c r="W1754" i="19"/>
  <c r="S1754" i="19" s="1"/>
  <c r="X1752" i="19"/>
  <c r="K1752" i="19" s="1"/>
  <c r="X1750" i="19"/>
  <c r="K1750" i="19" s="1"/>
  <c r="G805" i="22" s="1"/>
  <c r="U1748" i="19"/>
  <c r="W1745" i="19"/>
  <c r="S1745" i="19" s="1"/>
  <c r="X1743" i="19"/>
  <c r="K1743" i="19" s="1"/>
  <c r="X1741" i="19"/>
  <c r="K1741" i="19" s="1"/>
  <c r="G803" i="22" s="1"/>
  <c r="X1739" i="19"/>
  <c r="U1737" i="19"/>
  <c r="W1734" i="19"/>
  <c r="S1734" i="19" s="1"/>
  <c r="X1732" i="19"/>
  <c r="K1732" i="19" s="1"/>
  <c r="X1730" i="19"/>
  <c r="K1730" i="19" s="1"/>
  <c r="G798" i="22" s="1"/>
  <c r="U1728" i="19"/>
  <c r="W1725" i="19"/>
  <c r="S1725" i="19" s="1"/>
  <c r="X1723" i="19"/>
  <c r="K1723" i="19" s="1"/>
  <c r="X1721" i="19"/>
  <c r="K1721" i="19" s="1"/>
  <c r="G795" i="22" s="1"/>
  <c r="X1719" i="19"/>
  <c r="U1717" i="19"/>
  <c r="W1714" i="19"/>
  <c r="S1714" i="19" s="1"/>
  <c r="X1712" i="19"/>
  <c r="K1712" i="19" s="1"/>
  <c r="G791" i="22" s="1"/>
  <c r="X1710" i="19"/>
  <c r="K1710" i="19" s="1"/>
  <c r="G789" i="22" s="1"/>
  <c r="U1708" i="19"/>
  <c r="W1705" i="19"/>
  <c r="S1705" i="19" s="1"/>
  <c r="X1703" i="19"/>
  <c r="K1703" i="19" s="1"/>
  <c r="X1701" i="19"/>
  <c r="K1701" i="19" s="1"/>
  <c r="G786" i="22" s="1"/>
  <c r="X1699" i="19"/>
  <c r="U1697" i="19"/>
  <c r="W1694" i="19"/>
  <c r="S1694" i="19" s="1"/>
  <c r="X1692" i="19"/>
  <c r="K1692" i="19" s="1"/>
  <c r="G781" i="22" s="1"/>
  <c r="X1690" i="19"/>
  <c r="K1690" i="19" s="1"/>
  <c r="G779" i="22" s="1"/>
  <c r="U1688" i="19"/>
  <c r="W1685" i="19"/>
  <c r="S1685" i="19" s="1"/>
  <c r="X1683" i="19"/>
  <c r="K1683" i="19" s="1"/>
  <c r="X1681" i="19"/>
  <c r="K1681" i="19" s="1"/>
  <c r="G775" i="22" s="1"/>
  <c r="X1679" i="19"/>
  <c r="U1677" i="19"/>
  <c r="W1674" i="19"/>
  <c r="S1674" i="19" s="1"/>
  <c r="X1672" i="19"/>
  <c r="K1672" i="19" s="1"/>
  <c r="X1670" i="19"/>
  <c r="K1670" i="19" s="1"/>
  <c r="G769" i="22" s="1"/>
  <c r="U1668" i="19"/>
  <c r="W1665" i="19"/>
  <c r="S1665" i="19" s="1"/>
  <c r="X1663" i="19"/>
  <c r="K1663" i="19" s="1"/>
  <c r="X1661" i="19"/>
  <c r="K1661" i="19" s="1"/>
  <c r="G766" i="22" s="1"/>
  <c r="U1657" i="19"/>
  <c r="W1656" i="19"/>
  <c r="S1656" i="19" s="1"/>
  <c r="U1655" i="19"/>
  <c r="W1654" i="19"/>
  <c r="S1654" i="19" s="1"/>
  <c r="V1653" i="19"/>
  <c r="X1652" i="19"/>
  <c r="K1652" i="19" s="1"/>
  <c r="G763" i="22" s="1"/>
  <c r="T1652" i="19"/>
  <c r="V1651" i="19"/>
  <c r="X1650" i="19"/>
  <c r="K1650" i="19" s="1"/>
  <c r="G761" i="22" s="1"/>
  <c r="T1650" i="19"/>
  <c r="V1649" i="19"/>
  <c r="U1648" i="19"/>
  <c r="W1647" i="19"/>
  <c r="S1647" i="19" s="1"/>
  <c r="U1646" i="19"/>
  <c r="W1645" i="19"/>
  <c r="S1645" i="19" s="1"/>
  <c r="U1644" i="19"/>
  <c r="X1643" i="19"/>
  <c r="K1643" i="19" s="1"/>
  <c r="T1643" i="19"/>
  <c r="V1642" i="19"/>
  <c r="X1641" i="19"/>
  <c r="K1641" i="19" s="1"/>
  <c r="G757" i="22" s="1"/>
  <c r="T1641" i="19"/>
  <c r="V1640" i="19"/>
  <c r="X1639" i="19"/>
  <c r="T1639" i="19"/>
  <c r="W1638" i="19"/>
  <c r="S1638" i="19" s="1"/>
  <c r="U1637" i="19"/>
  <c r="W1636" i="19"/>
  <c r="S1636" i="19" s="1"/>
  <c r="U1635" i="19"/>
  <c r="W1634" i="19"/>
  <c r="S1634" i="19" s="1"/>
  <c r="V1633" i="19"/>
  <c r="X1632" i="19"/>
  <c r="K1632" i="19" s="1"/>
  <c r="T1632" i="19"/>
  <c r="V1631" i="19"/>
  <c r="X1630" i="19"/>
  <c r="K1630" i="19" s="1"/>
  <c r="G753" i="22" s="1"/>
  <c r="T1630" i="19"/>
  <c r="V1629" i="19"/>
  <c r="U1628" i="19"/>
  <c r="W1627" i="19"/>
  <c r="S1627" i="19" s="1"/>
  <c r="U1626" i="19"/>
  <c r="W1625" i="19"/>
  <c r="S1625" i="19" s="1"/>
  <c r="U1624" i="19"/>
  <c r="X1623" i="19"/>
  <c r="K1623" i="19" s="1"/>
  <c r="T1623" i="19"/>
  <c r="V1622" i="19"/>
  <c r="X1621" i="19"/>
  <c r="K1621" i="19" s="1"/>
  <c r="G750" i="22" s="1"/>
  <c r="T1621" i="19"/>
  <c r="V1620" i="19"/>
  <c r="X1619" i="19"/>
  <c r="T1619" i="19"/>
  <c r="W1618" i="19"/>
  <c r="S1618" i="19" s="1"/>
  <c r="U1617" i="19"/>
  <c r="W1616" i="19"/>
  <c r="S1616" i="19" s="1"/>
  <c r="U1615" i="19"/>
  <c r="W1614" i="19"/>
  <c r="S1614" i="19" s="1"/>
  <c r="V1613" i="19"/>
  <c r="X1612" i="19"/>
  <c r="K1612" i="19" s="1"/>
  <c r="T1612" i="19"/>
  <c r="V1611" i="19"/>
  <c r="X1610" i="19"/>
  <c r="K1610" i="19" s="1"/>
  <c r="G746" i="22" s="1"/>
  <c r="T1610" i="19"/>
  <c r="V1609" i="19"/>
  <c r="U1608" i="19"/>
  <c r="W1607" i="19"/>
  <c r="S1607" i="19" s="1"/>
  <c r="U1606" i="19"/>
  <c r="W1605" i="19"/>
  <c r="S1605" i="19" s="1"/>
  <c r="U1604" i="19"/>
  <c r="X1603" i="19"/>
  <c r="K1603" i="19" s="1"/>
  <c r="G742" i="22" s="1"/>
  <c r="T1603" i="19"/>
  <c r="V1602" i="19"/>
  <c r="X1601" i="19"/>
  <c r="K1601" i="19" s="1"/>
  <c r="G740" i="22" s="1"/>
  <c r="T1601" i="19"/>
  <c r="V1600" i="19"/>
  <c r="X1599" i="19"/>
  <c r="T1599" i="19"/>
  <c r="W1598" i="19"/>
  <c r="S1598" i="19" s="1"/>
  <c r="U1597" i="19"/>
  <c r="W1596" i="19"/>
  <c r="S1596" i="19" s="1"/>
  <c r="U1595" i="19"/>
  <c r="W1594" i="19"/>
  <c r="S1594" i="19" s="1"/>
  <c r="V1593" i="19"/>
  <c r="X1592" i="19"/>
  <c r="K1592" i="19" s="1"/>
  <c r="T1592" i="19"/>
  <c r="V1591" i="19"/>
  <c r="X1590" i="19"/>
  <c r="K1590" i="19" s="1"/>
  <c r="G734" i="22" s="1"/>
  <c r="T1590" i="19"/>
  <c r="V1589" i="19"/>
  <c r="U1588" i="19"/>
  <c r="W1587" i="19"/>
  <c r="S1587" i="19" s="1"/>
  <c r="U1586" i="19"/>
  <c r="W1585" i="19"/>
  <c r="S1585" i="19" s="1"/>
  <c r="U1584" i="19"/>
  <c r="X1583" i="19"/>
  <c r="K1583" i="19" s="1"/>
  <c r="T1583" i="19"/>
  <c r="V1582" i="19"/>
  <c r="X1581" i="19"/>
  <c r="K1581" i="19" s="1"/>
  <c r="T1581" i="19"/>
  <c r="V1580" i="19"/>
  <c r="X1579" i="19"/>
  <c r="T1579" i="19"/>
  <c r="W1578" i="19"/>
  <c r="S1578" i="19" s="1"/>
  <c r="U1577" i="19"/>
  <c r="W1576" i="19"/>
  <c r="S1576" i="19" s="1"/>
  <c r="U1575" i="19"/>
  <c r="W1574" i="19"/>
  <c r="S1574" i="19" s="1"/>
  <c r="V1573" i="19"/>
  <c r="X1572" i="19"/>
  <c r="K1572" i="19" s="1"/>
  <c r="T1572" i="19"/>
  <c r="V1571" i="19"/>
  <c r="X1570" i="19"/>
  <c r="K1570" i="19" s="1"/>
  <c r="G728" i="22" s="1"/>
  <c r="T1570" i="19"/>
  <c r="V1569" i="19"/>
  <c r="U1568" i="19"/>
  <c r="W1567" i="19"/>
  <c r="S1567" i="19" s="1"/>
  <c r="U1566" i="19"/>
  <c r="W1565" i="19"/>
  <c r="S1565" i="19" s="1"/>
  <c r="U1564" i="19"/>
  <c r="X1563" i="19"/>
  <c r="K1563" i="19" s="1"/>
  <c r="T1563" i="19"/>
  <c r="V1562" i="19"/>
  <c r="X1561" i="19"/>
  <c r="K1561" i="19" s="1"/>
  <c r="G724" i="22" s="1"/>
  <c r="T1561" i="19"/>
  <c r="V1560" i="19"/>
  <c r="X1559" i="19"/>
  <c r="T1559" i="19"/>
  <c r="W1558" i="19"/>
  <c r="S1558" i="19" s="1"/>
  <c r="U1557" i="19"/>
  <c r="W1556" i="19"/>
  <c r="S1556" i="19" s="1"/>
  <c r="U1555" i="19"/>
  <c r="W1554" i="19"/>
  <c r="S1554" i="19" s="1"/>
  <c r="V1553" i="19"/>
  <c r="X1552" i="19"/>
  <c r="K1552" i="19" s="1"/>
  <c r="T1552" i="19"/>
  <c r="V1551" i="19"/>
  <c r="X1550" i="19"/>
  <c r="K1550" i="19" s="1"/>
  <c r="G719" i="22" s="1"/>
  <c r="T1550" i="19"/>
  <c r="V1549" i="19"/>
  <c r="U1548" i="19"/>
  <c r="W1547" i="19"/>
  <c r="S1547" i="19" s="1"/>
  <c r="U1546" i="19"/>
  <c r="W1545" i="19"/>
  <c r="S1545" i="19" s="1"/>
  <c r="U1544" i="19"/>
  <c r="X1543" i="19"/>
  <c r="K1543" i="19" s="1"/>
  <c r="T1543" i="19"/>
  <c r="V1542" i="19"/>
  <c r="X1541" i="19"/>
  <c r="K1541" i="19" s="1"/>
  <c r="G716" i="22" s="1"/>
  <c r="T1541" i="19"/>
  <c r="V1540" i="19"/>
  <c r="X1539" i="19"/>
  <c r="T1539" i="19"/>
  <c r="W1538" i="19"/>
  <c r="S1538" i="19" s="1"/>
  <c r="U1537" i="19"/>
  <c r="W1536" i="19"/>
  <c r="S1536" i="19" s="1"/>
  <c r="U1535" i="19"/>
  <c r="W1534" i="19"/>
  <c r="S1534" i="19" s="1"/>
  <c r="V1533" i="19"/>
  <c r="X1532" i="19"/>
  <c r="K1532" i="19" s="1"/>
  <c r="T1532" i="19"/>
  <c r="V1531" i="19"/>
  <c r="X1530" i="19"/>
  <c r="K1530" i="19" s="1"/>
  <c r="G711" i="22" s="1"/>
  <c r="T1530" i="19"/>
  <c r="V1529" i="19"/>
  <c r="U1528" i="19"/>
  <c r="W1527" i="19"/>
  <c r="S1527" i="19" s="1"/>
  <c r="U1526" i="19"/>
  <c r="W1525" i="19"/>
  <c r="S1525" i="19" s="1"/>
  <c r="U1524" i="19"/>
  <c r="X1523" i="19"/>
  <c r="K1523" i="19" s="1"/>
  <c r="T1523" i="19"/>
  <c r="V1522" i="19"/>
  <c r="X1521" i="19"/>
  <c r="K1521" i="19" s="1"/>
  <c r="G707" i="22" s="1"/>
  <c r="T1521" i="19"/>
  <c r="V1520" i="19"/>
  <c r="X1519" i="19"/>
  <c r="T1519" i="19"/>
  <c r="W1518" i="19"/>
  <c r="S1518" i="19" s="1"/>
  <c r="U1517" i="19"/>
  <c r="W1516" i="19"/>
  <c r="S1516" i="19" s="1"/>
  <c r="U1515" i="19"/>
  <c r="W1514" i="19"/>
  <c r="S1514" i="19" s="1"/>
  <c r="V1513" i="19"/>
  <c r="X1512" i="19"/>
  <c r="K1512" i="19" s="1"/>
  <c r="T1512" i="19"/>
  <c r="V1511" i="19"/>
  <c r="X1510" i="19"/>
  <c r="K1510" i="19" s="1"/>
  <c r="G703" i="22" s="1"/>
  <c r="T1510" i="19"/>
  <c r="V1509" i="19"/>
  <c r="U1508" i="19"/>
  <c r="W1507" i="19"/>
  <c r="S1507" i="19" s="1"/>
  <c r="U1506" i="19"/>
  <c r="W1505" i="19"/>
  <c r="S1505" i="19" s="1"/>
  <c r="U1504" i="19"/>
  <c r="X1503" i="19"/>
  <c r="K1503" i="19" s="1"/>
  <c r="T1503" i="19"/>
  <c r="V1502" i="19"/>
  <c r="X1501" i="19"/>
  <c r="K1501" i="19" s="1"/>
  <c r="G699" i="22" s="1"/>
  <c r="T1501" i="19"/>
  <c r="V1500" i="19"/>
  <c r="X1499" i="19"/>
  <c r="T1499" i="19"/>
  <c r="W1498" i="19"/>
  <c r="S1498" i="19" s="1"/>
  <c r="W1496" i="19"/>
  <c r="S1496" i="19" s="1"/>
  <c r="T1492" i="19"/>
  <c r="U1490" i="19"/>
  <c r="V1489" i="19"/>
  <c r="V1488" i="19"/>
  <c r="X1487" i="19"/>
  <c r="K1487" i="19" s="1"/>
  <c r="U1483" i="19"/>
  <c r="V1482" i="19"/>
  <c r="X1481" i="19"/>
  <c r="K1481" i="19" s="1"/>
  <c r="G690" i="22" s="1"/>
  <c r="W1480" i="19"/>
  <c r="S1480" i="19" s="1"/>
  <c r="T1478" i="19"/>
  <c r="U1477" i="19"/>
  <c r="W1476" i="19"/>
  <c r="S1476" i="19" s="1"/>
  <c r="V1475" i="19"/>
  <c r="X1474" i="19"/>
  <c r="T1472" i="19"/>
  <c r="U1470" i="19"/>
  <c r="V1469" i="19"/>
  <c r="V1468" i="19"/>
  <c r="X1467" i="19"/>
  <c r="K1467" i="19" s="1"/>
  <c r="G682" i="22" s="1"/>
  <c r="U1463" i="19"/>
  <c r="V1462" i="19"/>
  <c r="X1461" i="19"/>
  <c r="K1461" i="19" s="1"/>
  <c r="G679" i="22" s="1"/>
  <c r="W1460" i="19"/>
  <c r="S1460" i="19" s="1"/>
  <c r="T1458" i="19"/>
  <c r="U1457" i="19"/>
  <c r="W1456" i="19"/>
  <c r="S1456" i="19" s="1"/>
  <c r="V1455" i="19"/>
  <c r="T1454" i="19"/>
  <c r="X1452" i="19"/>
  <c r="K1452" i="19" s="1"/>
  <c r="G675" i="22" s="1"/>
  <c r="V1451" i="19"/>
  <c r="U1450" i="19"/>
  <c r="T1448" i="19"/>
  <c r="X1447" i="19"/>
  <c r="K1447" i="19" s="1"/>
  <c r="U1446" i="19"/>
  <c r="W1445" i="19"/>
  <c r="S1445" i="19" s="1"/>
  <c r="U1444" i="19"/>
  <c r="X1443" i="19"/>
  <c r="K1443" i="19" s="1"/>
  <c r="T1443" i="19"/>
  <c r="V1442" i="19"/>
  <c r="X1441" i="19"/>
  <c r="K1441" i="19" s="1"/>
  <c r="G670" i="22" s="1"/>
  <c r="T1441" i="19"/>
  <c r="V1440" i="19"/>
  <c r="X1439" i="19"/>
  <c r="T1439" i="19"/>
  <c r="W1438" i="19"/>
  <c r="S1438" i="19" s="1"/>
  <c r="U1437" i="19"/>
  <c r="W1436" i="19"/>
  <c r="S1436" i="19" s="1"/>
  <c r="U1435" i="19"/>
  <c r="W1434" i="19"/>
  <c r="S1434" i="19" s="1"/>
  <c r="V1433" i="19"/>
  <c r="X1432" i="19"/>
  <c r="K1432" i="19" s="1"/>
  <c r="G665" i="22" s="1"/>
  <c r="T1432" i="19"/>
  <c r="V1431" i="19"/>
  <c r="X1430" i="19"/>
  <c r="K1430" i="19" s="1"/>
  <c r="G663" i="22" s="1"/>
  <c r="T1430" i="19"/>
  <c r="V1429" i="19"/>
  <c r="U1428" i="19"/>
  <c r="W1427" i="19"/>
  <c r="S1427" i="19" s="1"/>
  <c r="U1426" i="19"/>
  <c r="W1425" i="19"/>
  <c r="S1425" i="19" s="1"/>
  <c r="U1424" i="19"/>
  <c r="X1423" i="19"/>
  <c r="K1423" i="19" s="1"/>
  <c r="T1423" i="19"/>
  <c r="V1422" i="19"/>
  <c r="X1421" i="19"/>
  <c r="K1421" i="19" s="1"/>
  <c r="G660" i="22" s="1"/>
  <c r="T1421" i="19"/>
  <c r="V1420" i="19"/>
  <c r="X1419" i="19"/>
  <c r="T1419" i="19"/>
  <c r="W1418" i="19"/>
  <c r="S1418" i="19" s="1"/>
  <c r="U1417" i="19"/>
  <c r="W1416" i="19"/>
  <c r="S1416" i="19" s="1"/>
  <c r="U1415" i="19"/>
  <c r="W1414" i="19"/>
  <c r="S1414" i="19" s="1"/>
  <c r="V1413" i="19"/>
  <c r="X1412" i="19"/>
  <c r="K1412" i="19" s="1"/>
  <c r="T1412" i="19"/>
  <c r="V1411" i="19"/>
  <c r="X1410" i="19"/>
  <c r="K1410" i="19" s="1"/>
  <c r="G655" i="22" s="1"/>
  <c r="T1410" i="19"/>
  <c r="V1409" i="19"/>
  <c r="U1408" i="19"/>
  <c r="W1407" i="19"/>
  <c r="S1407" i="19" s="1"/>
  <c r="U1406" i="19"/>
  <c r="W1405" i="19"/>
  <c r="S1405" i="19" s="1"/>
  <c r="U1404" i="19"/>
  <c r="X1403" i="19"/>
  <c r="K1403" i="19" s="1"/>
  <c r="T1403" i="19"/>
  <c r="V1402" i="19"/>
  <c r="X1401" i="19"/>
  <c r="K1401" i="19" s="1"/>
  <c r="G651" i="22" s="1"/>
  <c r="T1401" i="19"/>
  <c r="V1400" i="19"/>
  <c r="X1399" i="19"/>
  <c r="T1399" i="19"/>
  <c r="W1398" i="19"/>
  <c r="S1398" i="19" s="1"/>
  <c r="U1397" i="19"/>
  <c r="W1396" i="19"/>
  <c r="S1396" i="19" s="1"/>
  <c r="U1395" i="19"/>
  <c r="W1394" i="19"/>
  <c r="S1394" i="19" s="1"/>
  <c r="V1393" i="19"/>
  <c r="X1392" i="19"/>
  <c r="K1392" i="19" s="1"/>
  <c r="T1392" i="19"/>
  <c r="V1391" i="19"/>
  <c r="X1390" i="19"/>
  <c r="K1390" i="19" s="1"/>
  <c r="G647" i="22" s="1"/>
  <c r="T1390" i="19"/>
  <c r="V1389" i="19"/>
  <c r="U1388" i="19"/>
  <c r="W1387" i="19"/>
  <c r="S1387" i="19" s="1"/>
  <c r="U1386" i="19"/>
  <c r="W1385" i="19"/>
  <c r="S1385" i="19" s="1"/>
  <c r="U1384" i="19"/>
  <c r="X1383" i="19"/>
  <c r="K1383" i="19" s="1"/>
  <c r="T1383" i="19"/>
  <c r="V1382" i="19"/>
  <c r="X1381" i="19"/>
  <c r="K1381" i="19" s="1"/>
  <c r="G643" i="22" s="1"/>
  <c r="T1381" i="19"/>
  <c r="V1380" i="19"/>
  <c r="X1379" i="19"/>
  <c r="T1379" i="19"/>
  <c r="W1378" i="19"/>
  <c r="S1378" i="19" s="1"/>
  <c r="U1377" i="19"/>
  <c r="W1376" i="19"/>
  <c r="S1376" i="19" s="1"/>
  <c r="U1375" i="19"/>
  <c r="W1374" i="19"/>
  <c r="S1374" i="19" s="1"/>
  <c r="V1373" i="19"/>
  <c r="X1372" i="19"/>
  <c r="K1372" i="19" s="1"/>
  <c r="G639" i="22" s="1"/>
  <c r="T1372" i="19"/>
  <c r="V1371" i="19"/>
  <c r="X1370" i="19"/>
  <c r="K1370" i="19" s="1"/>
  <c r="G637" i="22" s="1"/>
  <c r="T1370" i="19"/>
  <c r="V1369" i="19"/>
  <c r="U1368" i="19"/>
  <c r="W1367" i="19"/>
  <c r="S1367" i="19" s="1"/>
  <c r="U1366" i="19"/>
  <c r="W1365" i="19"/>
  <c r="S1365" i="19" s="1"/>
  <c r="U1364" i="19"/>
  <c r="X1363" i="19"/>
  <c r="K1363" i="19" s="1"/>
  <c r="T1363" i="19"/>
  <c r="V1362" i="19"/>
  <c r="X1361" i="19"/>
  <c r="K1361" i="19" s="1"/>
  <c r="T1361" i="19"/>
  <c r="V1360" i="19"/>
  <c r="X1359" i="19"/>
  <c r="T1359" i="19"/>
  <c r="W1358" i="19"/>
  <c r="S1358" i="19" s="1"/>
  <c r="U1357" i="19"/>
  <c r="W1356" i="19"/>
  <c r="S1356" i="19" s="1"/>
  <c r="U1355" i="19"/>
  <c r="W1354" i="19"/>
  <c r="S1354" i="19" s="1"/>
  <c r="V1353" i="19"/>
  <c r="X1352" i="19"/>
  <c r="K1352" i="19" s="1"/>
  <c r="G630" i="22" s="1"/>
  <c r="T1352" i="19"/>
  <c r="V1351" i="19"/>
  <c r="X1350" i="19"/>
  <c r="K1350" i="19" s="1"/>
  <c r="G628" i="22" s="1"/>
  <c r="T1350" i="19"/>
  <c r="V1349" i="19"/>
  <c r="U1348" i="19"/>
  <c r="W1347" i="19"/>
  <c r="S1347" i="19" s="1"/>
  <c r="U1346" i="19"/>
  <c r="W1345" i="19"/>
  <c r="S1345" i="19" s="1"/>
  <c r="U1344" i="19"/>
  <c r="X1343" i="19"/>
  <c r="K1343" i="19" s="1"/>
  <c r="T1343" i="19"/>
  <c r="V1342" i="19"/>
  <c r="X1341" i="19"/>
  <c r="K1341" i="19" s="1"/>
  <c r="G624" i="22" s="1"/>
  <c r="T1341" i="19"/>
  <c r="V1340" i="19"/>
  <c r="X1339" i="19"/>
  <c r="T1339" i="19"/>
  <c r="W1338" i="19"/>
  <c r="S1338" i="19" s="1"/>
  <c r="U1337" i="19"/>
  <c r="W1336" i="19"/>
  <c r="S1336" i="19" s="1"/>
  <c r="U1335" i="19"/>
  <c r="W1334" i="19"/>
  <c r="S1334" i="19" s="1"/>
  <c r="V1333" i="19"/>
  <c r="X1332" i="19"/>
  <c r="K1332" i="19" s="1"/>
  <c r="G619" i="22" s="1"/>
  <c r="T1332" i="19"/>
  <c r="V1331" i="19"/>
  <c r="X1330" i="19"/>
  <c r="K1330" i="19" s="1"/>
  <c r="G617" i="22" s="1"/>
  <c r="T1330" i="19"/>
  <c r="V1329" i="19"/>
  <c r="U1328" i="19"/>
  <c r="W1327" i="19"/>
  <c r="S1327" i="19" s="1"/>
  <c r="U1326" i="19"/>
  <c r="W1325" i="19"/>
  <c r="S1325" i="19" s="1"/>
  <c r="U1324" i="19"/>
  <c r="X1323" i="19"/>
  <c r="K1323" i="19" s="1"/>
  <c r="T1323" i="19"/>
  <c r="V1322" i="19"/>
  <c r="X1321" i="19"/>
  <c r="K1321" i="19" s="1"/>
  <c r="G614" i="22" s="1"/>
  <c r="T1321" i="19"/>
  <c r="V1320" i="19"/>
  <c r="X1319" i="19"/>
  <c r="T1319" i="19"/>
  <c r="W1318" i="19"/>
  <c r="S1318" i="19" s="1"/>
  <c r="U1317" i="19"/>
  <c r="W1316" i="19"/>
  <c r="S1316" i="19" s="1"/>
  <c r="U1315" i="19"/>
  <c r="W1314" i="19"/>
  <c r="S1314" i="19" s="1"/>
  <c r="V1313" i="19"/>
  <c r="X1312" i="19"/>
  <c r="K1312" i="19" s="1"/>
  <c r="T1312" i="19"/>
  <c r="V1311" i="19"/>
  <c r="X1310" i="19"/>
  <c r="K1310" i="19" s="1"/>
  <c r="G609" i="22" s="1"/>
  <c r="T1310" i="19"/>
  <c r="V1309" i="19"/>
  <c r="U1308" i="19"/>
  <c r="W1307" i="19"/>
  <c r="S1307" i="19" s="1"/>
  <c r="U1306" i="19"/>
  <c r="W1305" i="19"/>
  <c r="S1305" i="19" s="1"/>
  <c r="U1304" i="19"/>
  <c r="X1303" i="19"/>
  <c r="K1303" i="19" s="1"/>
  <c r="T1303" i="19"/>
  <c r="V1302" i="19"/>
  <c r="X1301" i="19"/>
  <c r="K1301" i="19" s="1"/>
  <c r="G605" i="22" s="1"/>
  <c r="T1301" i="19"/>
  <c r="V1300" i="19"/>
  <c r="X1299" i="19"/>
  <c r="T1299" i="19"/>
  <c r="W1298" i="19"/>
  <c r="S1298" i="19" s="1"/>
  <c r="U1297" i="19"/>
  <c r="W1296" i="19"/>
  <c r="S1296" i="19" s="1"/>
  <c r="U1295" i="19"/>
  <c r="W1294" i="19"/>
  <c r="S1294" i="19" s="1"/>
  <c r="V1293" i="19"/>
  <c r="X1292" i="19"/>
  <c r="K1292" i="19" s="1"/>
  <c r="G601" i="22" s="1"/>
  <c r="T1292" i="19"/>
  <c r="V1291" i="19"/>
  <c r="X1290" i="19"/>
  <c r="K1290" i="19" s="1"/>
  <c r="G599" i="22" s="1"/>
  <c r="T1290" i="19"/>
  <c r="V1289" i="19"/>
  <c r="U1288" i="19"/>
  <c r="W1287" i="19"/>
  <c r="S1287" i="19" s="1"/>
  <c r="U1286" i="19"/>
  <c r="W1285" i="19"/>
  <c r="S1285" i="19" s="1"/>
  <c r="U1284" i="19"/>
  <c r="X1283" i="19"/>
  <c r="K1283" i="19" s="1"/>
  <c r="T1283" i="19"/>
  <c r="V1282" i="19"/>
  <c r="X1281" i="19"/>
  <c r="K1281" i="19" s="1"/>
  <c r="G595" i="22" s="1"/>
  <c r="T1281" i="19"/>
  <c r="V1280" i="19"/>
  <c r="X1279" i="19"/>
  <c r="T1279" i="19"/>
  <c r="W1278" i="19"/>
  <c r="S1278" i="19" s="1"/>
  <c r="U1277" i="19"/>
  <c r="W1276" i="19"/>
  <c r="S1276" i="19" s="1"/>
  <c r="U1275" i="19"/>
  <c r="W1274" i="19"/>
  <c r="S1274" i="19" s="1"/>
  <c r="V1273" i="19"/>
  <c r="X1272" i="19"/>
  <c r="K1272" i="19" s="1"/>
  <c r="T1272" i="19"/>
  <c r="V1271" i="19"/>
  <c r="X1270" i="19"/>
  <c r="K1270" i="19" s="1"/>
  <c r="G590" i="22" s="1"/>
  <c r="T1270" i="19"/>
  <c r="V1269" i="19"/>
  <c r="U1268" i="19"/>
  <c r="W1267" i="19"/>
  <c r="S1267" i="19" s="1"/>
  <c r="U1266" i="19"/>
  <c r="W1265" i="19"/>
  <c r="S1265" i="19" s="1"/>
  <c r="U1264" i="19"/>
  <c r="X1263" i="19"/>
  <c r="K1263" i="19" s="1"/>
  <c r="T1263" i="19"/>
  <c r="V1262" i="19"/>
  <c r="X1261" i="19"/>
  <c r="K1261" i="19" s="1"/>
  <c r="G587" i="22" s="1"/>
  <c r="T1261" i="19"/>
  <c r="V1260" i="19"/>
  <c r="X1259" i="19"/>
  <c r="T1259" i="19"/>
  <c r="W1258" i="19"/>
  <c r="S1258" i="19" s="1"/>
  <c r="U1257" i="19"/>
  <c r="W1256" i="19"/>
  <c r="S1256" i="19" s="1"/>
  <c r="U1255" i="19"/>
  <c r="W1254" i="19"/>
  <c r="S1254" i="19" s="1"/>
  <c r="V1253" i="19"/>
  <c r="X1252" i="19"/>
  <c r="K1252" i="19" s="1"/>
  <c r="T1252" i="19"/>
  <c r="V1251" i="19"/>
  <c r="X1250" i="19"/>
  <c r="K1250" i="19" s="1"/>
  <c r="G582" i="22" s="1"/>
  <c r="T1250" i="19"/>
  <c r="V1249" i="19"/>
  <c r="U1248" i="19"/>
  <c r="W1247" i="19"/>
  <c r="S1247" i="19" s="1"/>
  <c r="U1246" i="19"/>
  <c r="W1245" i="19"/>
  <c r="S1245" i="19" s="1"/>
  <c r="U1244" i="19"/>
  <c r="X1243" i="19"/>
  <c r="K1243" i="19" s="1"/>
  <c r="G579" i="22" s="1"/>
  <c r="T1243" i="19"/>
  <c r="V1242" i="19"/>
  <c r="X1241" i="19"/>
  <c r="K1241" i="19" s="1"/>
  <c r="G577" i="22" s="1"/>
  <c r="T1241" i="19"/>
  <c r="V1240" i="19"/>
  <c r="X1239" i="19"/>
  <c r="T1239" i="19"/>
  <c r="W1238" i="19"/>
  <c r="S1238" i="19" s="1"/>
  <c r="U1237" i="19"/>
  <c r="W1236" i="19"/>
  <c r="S1236" i="19" s="1"/>
  <c r="U1235" i="19"/>
  <c r="W1234" i="19"/>
  <c r="S1234" i="19" s="1"/>
  <c r="V1233" i="19"/>
  <c r="X1232" i="19"/>
  <c r="K1232" i="19" s="1"/>
  <c r="G572" i="22" s="1"/>
  <c r="T1232" i="19"/>
  <c r="V1493" i="19"/>
  <c r="T1490" i="19"/>
  <c r="U1488" i="19"/>
  <c r="W1487" i="19"/>
  <c r="S1487" i="19" s="1"/>
  <c r="V1486" i="19"/>
  <c r="X1485" i="19"/>
  <c r="K1485" i="19" s="1"/>
  <c r="G691" i="22" s="1"/>
  <c r="T1483" i="19"/>
  <c r="U1481" i="19"/>
  <c r="V1480" i="19"/>
  <c r="X1479" i="19"/>
  <c r="T1476" i="19"/>
  <c r="U1475" i="19"/>
  <c r="W1474" i="19"/>
  <c r="S1474" i="19" s="1"/>
  <c r="W1473" i="19"/>
  <c r="S1473" i="19" s="1"/>
  <c r="T1470" i="19"/>
  <c r="U1468" i="19"/>
  <c r="W1467" i="19"/>
  <c r="S1467" i="19" s="1"/>
  <c r="V1466" i="19"/>
  <c r="X1465" i="19"/>
  <c r="K1465" i="19" s="1"/>
  <c r="G680" i="22" s="1"/>
  <c r="T1463" i="19"/>
  <c r="U1461" i="19"/>
  <c r="V1460" i="19"/>
  <c r="X1459" i="19"/>
  <c r="T1456" i="19"/>
  <c r="U1455" i="19"/>
  <c r="X1454" i="19"/>
  <c r="W1453" i="19"/>
  <c r="S1453" i="19" s="1"/>
  <c r="W1452" i="19"/>
  <c r="S1452" i="19" s="1"/>
  <c r="U1451" i="19"/>
  <c r="T1450" i="19"/>
  <c r="W1449" i="19"/>
  <c r="S1449" i="19" s="1"/>
  <c r="X1448" i="19"/>
  <c r="K1448" i="19" s="1"/>
  <c r="W1447" i="19"/>
  <c r="S1447" i="19" s="1"/>
  <c r="X1446" i="19"/>
  <c r="K1446" i="19" s="1"/>
  <c r="G672" i="22" s="1"/>
  <c r="T1446" i="19"/>
  <c r="V1445" i="19"/>
  <c r="X1444" i="19"/>
  <c r="T1444" i="19"/>
  <c r="W1443" i="19"/>
  <c r="S1443" i="19" s="1"/>
  <c r="U1442" i="19"/>
  <c r="W1441" i="19"/>
  <c r="S1441" i="19" s="1"/>
  <c r="U1440" i="19"/>
  <c r="W1439" i="19"/>
  <c r="S1439" i="19" s="1"/>
  <c r="V1438" i="19"/>
  <c r="X1437" i="19"/>
  <c r="K1437" i="19" s="1"/>
  <c r="G668" i="22" s="1"/>
  <c r="T1437" i="19"/>
  <c r="V1436" i="19"/>
  <c r="X1435" i="19"/>
  <c r="K1435" i="19" s="1"/>
  <c r="G666" i="22" s="1"/>
  <c r="T1435" i="19"/>
  <c r="V1434" i="19"/>
  <c r="U1433" i="19"/>
  <c r="W1432" i="19"/>
  <c r="S1432" i="19" s="1"/>
  <c r="U1431" i="19"/>
  <c r="W1430" i="19"/>
  <c r="S1430" i="19" s="1"/>
  <c r="U1429" i="19"/>
  <c r="X1428" i="19"/>
  <c r="K1428" i="19" s="1"/>
  <c r="T1428" i="19"/>
  <c r="V1427" i="19"/>
  <c r="X1426" i="19"/>
  <c r="K1426" i="19" s="1"/>
  <c r="G662" i="22" s="1"/>
  <c r="T1426" i="19"/>
  <c r="V1425" i="19"/>
  <c r="X1424" i="19"/>
  <c r="T1424" i="19"/>
  <c r="W1423" i="19"/>
  <c r="S1423" i="19" s="1"/>
  <c r="U1422" i="19"/>
  <c r="W1421" i="19"/>
  <c r="S1421" i="19" s="1"/>
  <c r="U1420" i="19"/>
  <c r="W1419" i="19"/>
  <c r="S1419" i="19" s="1"/>
  <c r="V1418" i="19"/>
  <c r="X1417" i="19"/>
  <c r="K1417" i="19" s="1"/>
  <c r="G658" i="22" s="1"/>
  <c r="T1417" i="19"/>
  <c r="V1416" i="19"/>
  <c r="X1415" i="19"/>
  <c r="K1415" i="19" s="1"/>
  <c r="G656" i="22" s="1"/>
  <c r="T1415" i="19"/>
  <c r="V1414" i="19"/>
  <c r="U1413" i="19"/>
  <c r="W1412" i="19"/>
  <c r="S1412" i="19" s="1"/>
  <c r="U1411" i="19"/>
  <c r="W1410" i="19"/>
  <c r="S1410" i="19" s="1"/>
  <c r="U1409" i="19"/>
  <c r="X1408" i="19"/>
  <c r="K1408" i="19" s="1"/>
  <c r="T1408" i="19"/>
  <c r="V1407" i="19"/>
  <c r="X1406" i="19"/>
  <c r="K1406" i="19" s="1"/>
  <c r="G653" i="22" s="1"/>
  <c r="T1406" i="19"/>
  <c r="V1405" i="19"/>
  <c r="X1404" i="19"/>
  <c r="T1404" i="19"/>
  <c r="W1403" i="19"/>
  <c r="S1403" i="19" s="1"/>
  <c r="U1402" i="19"/>
  <c r="W1401" i="19"/>
  <c r="S1401" i="19" s="1"/>
  <c r="U1400" i="19"/>
  <c r="W1399" i="19"/>
  <c r="S1399" i="19" s="1"/>
  <c r="V1398" i="19"/>
  <c r="X1397" i="19"/>
  <c r="K1397" i="19" s="1"/>
  <c r="T1397" i="19"/>
  <c r="V1396" i="19"/>
  <c r="X1395" i="19"/>
  <c r="K1395" i="19" s="1"/>
  <c r="G649" i="22" s="1"/>
  <c r="T1395" i="19"/>
  <c r="V1394" i="19"/>
  <c r="U1393" i="19"/>
  <c r="W1392" i="19"/>
  <c r="S1392" i="19" s="1"/>
  <c r="U1391" i="19"/>
  <c r="W1390" i="19"/>
  <c r="S1390" i="19" s="1"/>
  <c r="U1389" i="19"/>
  <c r="X1388" i="19"/>
  <c r="K1388" i="19" s="1"/>
  <c r="T1388" i="19"/>
  <c r="V1387" i="19"/>
  <c r="X1386" i="19"/>
  <c r="K1386" i="19" s="1"/>
  <c r="G645" i="22" s="1"/>
  <c r="T1386" i="19"/>
  <c r="V1385" i="19"/>
  <c r="X1384" i="19"/>
  <c r="T1384" i="19"/>
  <c r="W1383" i="19"/>
  <c r="S1383" i="19" s="1"/>
  <c r="U1382" i="19"/>
  <c r="W1381" i="19"/>
  <c r="S1381" i="19" s="1"/>
  <c r="U1380" i="19"/>
  <c r="W1379" i="19"/>
  <c r="S1379" i="19" s="1"/>
  <c r="V1378" i="19"/>
  <c r="X1377" i="19"/>
  <c r="K1377" i="19" s="1"/>
  <c r="T1377" i="19"/>
  <c r="V1376" i="19"/>
  <c r="X1375" i="19"/>
  <c r="K1375" i="19" s="1"/>
  <c r="G641" i="22" s="1"/>
  <c r="T1375" i="19"/>
  <c r="V1374" i="19"/>
  <c r="U1373" i="19"/>
  <c r="W1372" i="19"/>
  <c r="S1372" i="19" s="1"/>
  <c r="U1371" i="19"/>
  <c r="W1370" i="19"/>
  <c r="S1370" i="19" s="1"/>
  <c r="U1369" i="19"/>
  <c r="X1368" i="19"/>
  <c r="K1368" i="19" s="1"/>
  <c r="T1368" i="19"/>
  <c r="V1367" i="19"/>
  <c r="X1366" i="19"/>
  <c r="K1366" i="19" s="1"/>
  <c r="G636" i="22" s="1"/>
  <c r="T1366" i="19"/>
  <c r="V1365" i="19"/>
  <c r="X1364" i="19"/>
  <c r="T1364" i="19"/>
  <c r="W1363" i="19"/>
  <c r="S1363" i="19" s="1"/>
  <c r="U1362" i="19"/>
  <c r="W1361" i="19"/>
  <c r="S1361" i="19" s="1"/>
  <c r="U1360" i="19"/>
  <c r="W1359" i="19"/>
  <c r="S1359" i="19" s="1"/>
  <c r="V1358" i="19"/>
  <c r="X1357" i="19"/>
  <c r="K1357" i="19" s="1"/>
  <c r="G633" i="22" s="1"/>
  <c r="T1357" i="19"/>
  <c r="V1356" i="19"/>
  <c r="X1355" i="19"/>
  <c r="K1355" i="19" s="1"/>
  <c r="G631" i="22" s="1"/>
  <c r="T1355" i="19"/>
  <c r="V1354" i="19"/>
  <c r="U1353" i="19"/>
  <c r="W1352" i="19"/>
  <c r="S1352" i="19" s="1"/>
  <c r="U1351" i="19"/>
  <c r="W1350" i="19"/>
  <c r="S1350" i="19" s="1"/>
  <c r="U1349" i="19"/>
  <c r="X1348" i="19"/>
  <c r="K1348" i="19" s="1"/>
  <c r="T1348" i="19"/>
  <c r="V1347" i="19"/>
  <c r="X1346" i="19"/>
  <c r="K1346" i="19" s="1"/>
  <c r="G626" i="22" s="1"/>
  <c r="T1346" i="19"/>
  <c r="V1345" i="19"/>
  <c r="X1344" i="19"/>
  <c r="T1344" i="19"/>
  <c r="W1343" i="19"/>
  <c r="S1343" i="19" s="1"/>
  <c r="U1342" i="19"/>
  <c r="W1341" i="19"/>
  <c r="S1341" i="19" s="1"/>
  <c r="U1340" i="19"/>
  <c r="W1339" i="19"/>
  <c r="S1339" i="19" s="1"/>
  <c r="V1338" i="19"/>
  <c r="X1337" i="19"/>
  <c r="K1337" i="19" s="1"/>
  <c r="G622" i="22" s="1"/>
  <c r="T1337" i="19"/>
  <c r="V1336" i="19"/>
  <c r="X1335" i="19"/>
  <c r="K1335" i="19" s="1"/>
  <c r="G620" i="22" s="1"/>
  <c r="T1335" i="19"/>
  <c r="V1334" i="19"/>
  <c r="U1333" i="19"/>
  <c r="W1332" i="19"/>
  <c r="S1332" i="19" s="1"/>
  <c r="U1331" i="19"/>
  <c r="W1330" i="19"/>
  <c r="S1330" i="19" s="1"/>
  <c r="U1329" i="19"/>
  <c r="X1328" i="19"/>
  <c r="K1328" i="19" s="1"/>
  <c r="T1328" i="19"/>
  <c r="V1327" i="19"/>
  <c r="X1326" i="19"/>
  <c r="K1326" i="19" s="1"/>
  <c r="G616" i="22" s="1"/>
  <c r="T1326" i="19"/>
  <c r="V1325" i="19"/>
  <c r="X1324" i="19"/>
  <c r="T1324" i="19"/>
  <c r="W1323" i="19"/>
  <c r="S1323" i="19" s="1"/>
  <c r="U1322" i="19"/>
  <c r="W1321" i="19"/>
  <c r="S1321" i="19" s="1"/>
  <c r="U1320" i="19"/>
  <c r="W1319" i="19"/>
  <c r="S1319" i="19" s="1"/>
  <c r="V1318" i="19"/>
  <c r="X1317" i="19"/>
  <c r="K1317" i="19" s="1"/>
  <c r="T1317" i="19"/>
  <c r="V1316" i="19"/>
  <c r="X1315" i="19"/>
  <c r="K1315" i="19" s="1"/>
  <c r="G611" i="22" s="1"/>
  <c r="T1315" i="19"/>
  <c r="V1314" i="19"/>
  <c r="U1313" i="19"/>
  <c r="W1312" i="19"/>
  <c r="S1312" i="19" s="1"/>
  <c r="U1311" i="19"/>
  <c r="W1310" i="19"/>
  <c r="S1310" i="19" s="1"/>
  <c r="U1309" i="19"/>
  <c r="X1308" i="19"/>
  <c r="K1308" i="19" s="1"/>
  <c r="T1308" i="19"/>
  <c r="V1307" i="19"/>
  <c r="X1306" i="19"/>
  <c r="K1306" i="19" s="1"/>
  <c r="G608" i="22" s="1"/>
  <c r="T1306" i="19"/>
  <c r="V1305" i="19"/>
  <c r="X1304" i="19"/>
  <c r="T1304" i="19"/>
  <c r="W1303" i="19"/>
  <c r="S1303" i="19" s="1"/>
  <c r="U1302" i="19"/>
  <c r="W1301" i="19"/>
  <c r="S1301" i="19" s="1"/>
  <c r="U1300" i="19"/>
  <c r="W1299" i="19"/>
  <c r="S1299" i="19" s="1"/>
  <c r="V1298" i="19"/>
  <c r="X1297" i="19"/>
  <c r="K1297" i="19" s="1"/>
  <c r="T1297" i="19"/>
  <c r="V1296" i="19"/>
  <c r="X1295" i="19"/>
  <c r="K1295" i="19" s="1"/>
  <c r="G602" i="22" s="1"/>
  <c r="T1295" i="19"/>
  <c r="V1294" i="19"/>
  <c r="U1293" i="19"/>
  <c r="W1292" i="19"/>
  <c r="S1292" i="19" s="1"/>
  <c r="U1291" i="19"/>
  <c r="W1290" i="19"/>
  <c r="S1290" i="19" s="1"/>
  <c r="U1289" i="19"/>
  <c r="X1288" i="19"/>
  <c r="K1288" i="19" s="1"/>
  <c r="T1288" i="19"/>
  <c r="V1287" i="19"/>
  <c r="X1286" i="19"/>
  <c r="K1286" i="19" s="1"/>
  <c r="G598" i="22" s="1"/>
  <c r="T1286" i="19"/>
  <c r="V1285" i="19"/>
  <c r="X1284" i="19"/>
  <c r="T1284" i="19"/>
  <c r="W1283" i="19"/>
  <c r="S1283" i="19" s="1"/>
  <c r="U1282" i="19"/>
  <c r="W1281" i="19"/>
  <c r="S1281" i="19" s="1"/>
  <c r="U1280" i="19"/>
  <c r="W1279" i="19"/>
  <c r="S1279" i="19" s="1"/>
  <c r="V1278" i="19"/>
  <c r="X1277" i="19"/>
  <c r="K1277" i="19" s="1"/>
  <c r="G593" i="22" s="1"/>
  <c r="T1277" i="19"/>
  <c r="V1276" i="19"/>
  <c r="X1275" i="19"/>
  <c r="K1275" i="19" s="1"/>
  <c r="G591" i="22" s="1"/>
  <c r="T1275" i="19"/>
  <c r="V1274" i="19"/>
  <c r="U1273" i="19"/>
  <c r="W1272" i="19"/>
  <c r="S1272" i="19" s="1"/>
  <c r="U1271" i="19"/>
  <c r="W1270" i="19"/>
  <c r="S1270" i="19" s="1"/>
  <c r="U1269" i="19"/>
  <c r="X1268" i="19"/>
  <c r="K1268" i="19" s="1"/>
  <c r="T1268" i="19"/>
  <c r="V1267" i="19"/>
  <c r="X1266" i="19"/>
  <c r="K1266" i="19" s="1"/>
  <c r="G589" i="22" s="1"/>
  <c r="T1266" i="19"/>
  <c r="V1265" i="19"/>
  <c r="X1264" i="19"/>
  <c r="T1264" i="19"/>
  <c r="W1263" i="19"/>
  <c r="S1263" i="19" s="1"/>
  <c r="U1262" i="19"/>
  <c r="W1261" i="19"/>
  <c r="S1261" i="19" s="1"/>
  <c r="U1260" i="19"/>
  <c r="W1259" i="19"/>
  <c r="S1259" i="19" s="1"/>
  <c r="V1258" i="19"/>
  <c r="X1257" i="19"/>
  <c r="K1257" i="19" s="1"/>
  <c r="G585" i="22" s="1"/>
  <c r="T1257" i="19"/>
  <c r="V1256" i="19"/>
  <c r="X1255" i="19"/>
  <c r="K1255" i="19" s="1"/>
  <c r="G583" i="22" s="1"/>
  <c r="T1255" i="19"/>
  <c r="V1254" i="19"/>
  <c r="U1253" i="19"/>
  <c r="W1252" i="19"/>
  <c r="S1252" i="19" s="1"/>
  <c r="U1251" i="19"/>
  <c r="W1250" i="19"/>
  <c r="S1250" i="19" s="1"/>
  <c r="U1249" i="19"/>
  <c r="X1248" i="19"/>
  <c r="K1248" i="19" s="1"/>
  <c r="T1248" i="19"/>
  <c r="V1247" i="19"/>
  <c r="X1246" i="19"/>
  <c r="K1246" i="19" s="1"/>
  <c r="G581" i="22" s="1"/>
  <c r="T1246" i="19"/>
  <c r="V1245" i="19"/>
  <c r="X1244" i="19"/>
  <c r="T1244" i="19"/>
  <c r="W1243" i="19"/>
  <c r="S1243" i="19" s="1"/>
  <c r="U1242" i="19"/>
  <c r="W1241" i="19"/>
  <c r="S1241" i="19" s="1"/>
  <c r="U1240" i="19"/>
  <c r="W1239" i="19"/>
  <c r="S1239" i="19" s="1"/>
  <c r="V1238" i="19"/>
  <c r="X1237" i="19"/>
  <c r="K1237" i="19" s="1"/>
  <c r="T1237" i="19"/>
  <c r="V1236" i="19"/>
  <c r="X1235" i="19"/>
  <c r="K1235" i="19" s="1"/>
  <c r="G574" i="22" s="1"/>
  <c r="T1235" i="19"/>
  <c r="V1234" i="19"/>
  <c r="U1233" i="19"/>
  <c r="W1232" i="19"/>
  <c r="S1232" i="19" s="1"/>
  <c r="U1495" i="19"/>
  <c r="W1491" i="19"/>
  <c r="S1491" i="19" s="1"/>
  <c r="T1487" i="19"/>
  <c r="U1486" i="19"/>
  <c r="W1485" i="19"/>
  <c r="S1485" i="19" s="1"/>
  <c r="V1484" i="19"/>
  <c r="T1481" i="19"/>
  <c r="U1479" i="19"/>
  <c r="X1478" i="19"/>
  <c r="K1478" i="19" s="1"/>
  <c r="T1474" i="19"/>
  <c r="V1473" i="19"/>
  <c r="X1472" i="19"/>
  <c r="K1472" i="19" s="1"/>
  <c r="G685" i="22" s="1"/>
  <c r="W1471" i="19"/>
  <c r="S1471" i="19" s="1"/>
  <c r="T1467" i="19"/>
  <c r="U1466" i="19"/>
  <c r="W1465" i="19"/>
  <c r="S1465" i="19" s="1"/>
  <c r="V1464" i="19"/>
  <c r="T1461" i="19"/>
  <c r="U1459" i="19"/>
  <c r="X1458" i="19"/>
  <c r="K1458" i="19" s="1"/>
  <c r="W1454" i="19"/>
  <c r="S1454" i="19" s="1"/>
  <c r="V1453" i="19"/>
  <c r="U1452" i="19"/>
  <c r="X1450" i="19"/>
  <c r="K1450" i="19" s="1"/>
  <c r="G673" i="22" s="1"/>
  <c r="V1449" i="19"/>
  <c r="V1448" i="19"/>
  <c r="V1447" i="19"/>
  <c r="W1446" i="19"/>
  <c r="S1446" i="19" s="1"/>
  <c r="U1445" i="19"/>
  <c r="W1444" i="19"/>
  <c r="S1444" i="19" s="1"/>
  <c r="V1443" i="19"/>
  <c r="X1442" i="19"/>
  <c r="K1442" i="19" s="1"/>
  <c r="T1442" i="19"/>
  <c r="V1441" i="19"/>
  <c r="X1440" i="19"/>
  <c r="K1440" i="19" s="1"/>
  <c r="G669" i="22" s="1"/>
  <c r="T1440" i="19"/>
  <c r="V1439" i="19"/>
  <c r="U1438" i="19"/>
  <c r="W1437" i="19"/>
  <c r="S1437" i="19" s="1"/>
  <c r="U1436" i="19"/>
  <c r="W1435" i="19"/>
  <c r="S1435" i="19" s="1"/>
  <c r="U1434" i="19"/>
  <c r="X1433" i="19"/>
  <c r="K1433" i="19" s="1"/>
  <c r="T1433" i="19"/>
  <c r="V1432" i="19"/>
  <c r="X1431" i="19"/>
  <c r="K1431" i="19" s="1"/>
  <c r="G664" i="22" s="1"/>
  <c r="T1431" i="19"/>
  <c r="V1430" i="19"/>
  <c r="X1429" i="19"/>
  <c r="T1429" i="19"/>
  <c r="W1428" i="19"/>
  <c r="S1428" i="19" s="1"/>
  <c r="U1427" i="19"/>
  <c r="W1426" i="19"/>
  <c r="S1426" i="19" s="1"/>
  <c r="U1425" i="19"/>
  <c r="W1424" i="19"/>
  <c r="S1424" i="19" s="1"/>
  <c r="V1423" i="19"/>
  <c r="X1422" i="19"/>
  <c r="K1422" i="19" s="1"/>
  <c r="T1422" i="19"/>
  <c r="V1421" i="19"/>
  <c r="X1420" i="19"/>
  <c r="K1420" i="19" s="1"/>
  <c r="G659" i="22" s="1"/>
  <c r="T1420" i="19"/>
  <c r="V1419" i="19"/>
  <c r="U1418" i="19"/>
  <c r="W1417" i="19"/>
  <c r="S1417" i="19" s="1"/>
  <c r="U1416" i="19"/>
  <c r="W1415" i="19"/>
  <c r="S1415" i="19" s="1"/>
  <c r="U1414" i="19"/>
  <c r="X1413" i="19"/>
  <c r="K1413" i="19" s="1"/>
  <c r="T1413" i="19"/>
  <c r="V1412" i="19"/>
  <c r="X1411" i="19"/>
  <c r="K1411" i="19" s="1"/>
  <c r="T1411" i="19"/>
  <c r="V1410" i="19"/>
  <c r="X1409" i="19"/>
  <c r="T1409" i="19"/>
  <c r="W1408" i="19"/>
  <c r="S1408" i="19" s="1"/>
  <c r="U1407" i="19"/>
  <c r="W1406" i="19"/>
  <c r="S1406" i="19" s="1"/>
  <c r="U1405" i="19"/>
  <c r="W1404" i="19"/>
  <c r="S1404" i="19" s="1"/>
  <c r="V1403" i="19"/>
  <c r="X1402" i="19"/>
  <c r="K1402" i="19" s="1"/>
  <c r="T1402" i="19"/>
  <c r="V1401" i="19"/>
  <c r="X1400" i="19"/>
  <c r="K1400" i="19" s="1"/>
  <c r="G650" i="22" s="1"/>
  <c r="T1400" i="19"/>
  <c r="V1399" i="19"/>
  <c r="U1398" i="19"/>
  <c r="W1397" i="19"/>
  <c r="S1397" i="19" s="1"/>
  <c r="U1396" i="19"/>
  <c r="W1395" i="19"/>
  <c r="S1395" i="19" s="1"/>
  <c r="U1394" i="19"/>
  <c r="X1393" i="19"/>
  <c r="K1393" i="19" s="1"/>
  <c r="T1393" i="19"/>
  <c r="V1392" i="19"/>
  <c r="X1391" i="19"/>
  <c r="K1391" i="19" s="1"/>
  <c r="G648" i="22" s="1"/>
  <c r="T1391" i="19"/>
  <c r="V1390" i="19"/>
  <c r="X1389" i="19"/>
  <c r="T1389" i="19"/>
  <c r="W1388" i="19"/>
  <c r="S1388" i="19" s="1"/>
  <c r="U1387" i="19"/>
  <c r="W1386" i="19"/>
  <c r="S1386" i="19" s="1"/>
  <c r="U1385" i="19"/>
  <c r="W1384" i="19"/>
  <c r="S1384" i="19" s="1"/>
  <c r="V1383" i="19"/>
  <c r="X1382" i="19"/>
  <c r="K1382" i="19" s="1"/>
  <c r="T1382" i="19"/>
  <c r="V1381" i="19"/>
  <c r="X1380" i="19"/>
  <c r="K1380" i="19" s="1"/>
  <c r="G642" i="22" s="1"/>
  <c r="T1380" i="19"/>
  <c r="V1379" i="19"/>
  <c r="U1378" i="19"/>
  <c r="W1377" i="19"/>
  <c r="S1377" i="19" s="1"/>
  <c r="U1376" i="19"/>
  <c r="W1375" i="19"/>
  <c r="S1375" i="19" s="1"/>
  <c r="U1374" i="19"/>
  <c r="X1373" i="19"/>
  <c r="K1373" i="19" s="1"/>
  <c r="G640" i="22" s="1"/>
  <c r="T1373" i="19"/>
  <c r="V1372" i="19"/>
  <c r="X1371" i="19"/>
  <c r="K1371" i="19" s="1"/>
  <c r="G638" i="22" s="1"/>
  <c r="T1371" i="19"/>
  <c r="V1370" i="19"/>
  <c r="X1369" i="19"/>
  <c r="T1369" i="19"/>
  <c r="W1368" i="19"/>
  <c r="S1368" i="19" s="1"/>
  <c r="U1367" i="19"/>
  <c r="W1366" i="19"/>
  <c r="S1366" i="19" s="1"/>
  <c r="U1365" i="19"/>
  <c r="W1364" i="19"/>
  <c r="S1364" i="19" s="1"/>
  <c r="V1363" i="19"/>
  <c r="X1362" i="19"/>
  <c r="K1362" i="19" s="1"/>
  <c r="T1362" i="19"/>
  <c r="V1361" i="19"/>
  <c r="X1360" i="19"/>
  <c r="K1360" i="19" s="1"/>
  <c r="G634" i="22" s="1"/>
  <c r="T1360" i="19"/>
  <c r="V1359" i="19"/>
  <c r="U1358" i="19"/>
  <c r="W1357" i="19"/>
  <c r="S1357" i="19" s="1"/>
  <c r="U1356" i="19"/>
  <c r="W1355" i="19"/>
  <c r="S1355" i="19" s="1"/>
  <c r="U1354" i="19"/>
  <c r="X1353" i="19"/>
  <c r="K1353" i="19" s="1"/>
  <c r="T1353" i="19"/>
  <c r="V1352" i="19"/>
  <c r="X1351" i="19"/>
  <c r="K1351" i="19" s="1"/>
  <c r="G629" i="22" s="1"/>
  <c r="T1351" i="19"/>
  <c r="V1350" i="19"/>
  <c r="X1349" i="19"/>
  <c r="T1349" i="19"/>
  <c r="W1348" i="19"/>
  <c r="S1348" i="19" s="1"/>
  <c r="U1347" i="19"/>
  <c r="W1346" i="19"/>
  <c r="S1346" i="19" s="1"/>
  <c r="U1345" i="19"/>
  <c r="W1344" i="19"/>
  <c r="S1344" i="19" s="1"/>
  <c r="V1343" i="19"/>
  <c r="X1342" i="19"/>
  <c r="K1342" i="19" s="1"/>
  <c r="T1342" i="19"/>
  <c r="V1341" i="19"/>
  <c r="X1340" i="19"/>
  <c r="K1340" i="19" s="1"/>
  <c r="G623" i="22" s="1"/>
  <c r="T1340" i="19"/>
  <c r="V1339" i="19"/>
  <c r="U1338" i="19"/>
  <c r="W1337" i="19"/>
  <c r="S1337" i="19" s="1"/>
  <c r="U1336" i="19"/>
  <c r="W1335" i="19"/>
  <c r="S1335" i="19" s="1"/>
  <c r="U1334" i="19"/>
  <c r="X1333" i="19"/>
  <c r="K1333" i="19" s="1"/>
  <c r="T1333" i="19"/>
  <c r="V1332" i="19"/>
  <c r="X1331" i="19"/>
  <c r="K1331" i="19" s="1"/>
  <c r="G618" i="22" s="1"/>
  <c r="T1331" i="19"/>
  <c r="V1330" i="19"/>
  <c r="X1329" i="19"/>
  <c r="T1329" i="19"/>
  <c r="W1328" i="19"/>
  <c r="S1328" i="19" s="1"/>
  <c r="U1327" i="19"/>
  <c r="W1326" i="19"/>
  <c r="S1326" i="19" s="1"/>
  <c r="U1325" i="19"/>
  <c r="W1324" i="19"/>
  <c r="S1324" i="19" s="1"/>
  <c r="V1323" i="19"/>
  <c r="X1322" i="19"/>
  <c r="K1322" i="19" s="1"/>
  <c r="T1322" i="19"/>
  <c r="V1321" i="19"/>
  <c r="X1320" i="19"/>
  <c r="K1320" i="19" s="1"/>
  <c r="G613" i="22" s="1"/>
  <c r="T1320" i="19"/>
  <c r="V1319" i="19"/>
  <c r="U1318" i="19"/>
  <c r="W1317" i="19"/>
  <c r="S1317" i="19" s="1"/>
  <c r="U1316" i="19"/>
  <c r="W1315" i="19"/>
  <c r="S1315" i="19" s="1"/>
  <c r="U1314" i="19"/>
  <c r="X1313" i="19"/>
  <c r="K1313" i="19" s="1"/>
  <c r="T1313" i="19"/>
  <c r="V1312" i="19"/>
  <c r="X1311" i="19"/>
  <c r="K1311" i="19" s="1"/>
  <c r="G610" i="22" s="1"/>
  <c r="T1311" i="19"/>
  <c r="V1310" i="19"/>
  <c r="X1309" i="19"/>
  <c r="T1309" i="19"/>
  <c r="W1308" i="19"/>
  <c r="S1308" i="19" s="1"/>
  <c r="U1307" i="19"/>
  <c r="W1306" i="19"/>
  <c r="S1306" i="19" s="1"/>
  <c r="U1305" i="19"/>
  <c r="W1304" i="19"/>
  <c r="S1304" i="19" s="1"/>
  <c r="V1303" i="19"/>
  <c r="X1302" i="19"/>
  <c r="K1302" i="19" s="1"/>
  <c r="G606" i="22" s="1"/>
  <c r="T1302" i="19"/>
  <c r="V1301" i="19"/>
  <c r="X1300" i="19"/>
  <c r="K1300" i="19" s="1"/>
  <c r="G604" i="22" s="1"/>
  <c r="T1300" i="19"/>
  <c r="V1299" i="19"/>
  <c r="U1298" i="19"/>
  <c r="W1297" i="19"/>
  <c r="S1297" i="19" s="1"/>
  <c r="U1296" i="19"/>
  <c r="W1295" i="19"/>
  <c r="S1295" i="19" s="1"/>
  <c r="U1294" i="19"/>
  <c r="X1293" i="19"/>
  <c r="K1293" i="19" s="1"/>
  <c r="T1293" i="19"/>
  <c r="V1292" i="19"/>
  <c r="X1291" i="19"/>
  <c r="K1291" i="19" s="1"/>
  <c r="G600" i="22" s="1"/>
  <c r="T1291" i="19"/>
  <c r="V1290" i="19"/>
  <c r="X1289" i="19"/>
  <c r="T1289" i="19"/>
  <c r="W1288" i="19"/>
  <c r="S1288" i="19" s="1"/>
  <c r="U1287" i="19"/>
  <c r="W1286" i="19"/>
  <c r="S1286" i="19" s="1"/>
  <c r="U1285" i="19"/>
  <c r="W1284" i="19"/>
  <c r="S1284" i="19" s="1"/>
  <c r="V1283" i="19"/>
  <c r="X1282" i="19"/>
  <c r="K1282" i="19" s="1"/>
  <c r="G596" i="22" s="1"/>
  <c r="T1282" i="19"/>
  <c r="V1281" i="19"/>
  <c r="X1280" i="19"/>
  <c r="K1280" i="19" s="1"/>
  <c r="G594" i="22" s="1"/>
  <c r="T1280" i="19"/>
  <c r="V1279" i="19"/>
  <c r="U1278" i="19"/>
  <c r="W1277" i="19"/>
  <c r="S1277" i="19" s="1"/>
  <c r="U1276" i="19"/>
  <c r="W1275" i="19"/>
  <c r="S1275" i="19" s="1"/>
  <c r="U1274" i="19"/>
  <c r="X1273" i="19"/>
  <c r="K1273" i="19" s="1"/>
  <c r="T1273" i="19"/>
  <c r="V1272" i="19"/>
  <c r="X1271" i="19"/>
  <c r="K1271" i="19" s="1"/>
  <c r="T1271" i="19"/>
  <c r="V1270" i="19"/>
  <c r="X1269" i="19"/>
  <c r="T1269" i="19"/>
  <c r="W1268" i="19"/>
  <c r="S1268" i="19" s="1"/>
  <c r="U1267" i="19"/>
  <c r="W1266" i="19"/>
  <c r="S1266" i="19" s="1"/>
  <c r="U1265" i="19"/>
  <c r="W1264" i="19"/>
  <c r="S1264" i="19" s="1"/>
  <c r="V1263" i="19"/>
  <c r="X1262" i="19"/>
  <c r="K1262" i="19" s="1"/>
  <c r="T1262" i="19"/>
  <c r="V1261" i="19"/>
  <c r="X1260" i="19"/>
  <c r="K1260" i="19" s="1"/>
  <c r="G586" i="22" s="1"/>
  <c r="T1260" i="19"/>
  <c r="V1259" i="19"/>
  <c r="U1258" i="19"/>
  <c r="W1257" i="19"/>
  <c r="S1257" i="19" s="1"/>
  <c r="U1256" i="19"/>
  <c r="W1255" i="19"/>
  <c r="S1255" i="19" s="1"/>
  <c r="U1254" i="19"/>
  <c r="X1253" i="19"/>
  <c r="K1253" i="19" s="1"/>
  <c r="T1253" i="19"/>
  <c r="V1252" i="19"/>
  <c r="X1251" i="19"/>
  <c r="K1251" i="19" s="1"/>
  <c r="T1251" i="19"/>
  <c r="V1250" i="19"/>
  <c r="X1249" i="19"/>
  <c r="T1249" i="19"/>
  <c r="W1248" i="19"/>
  <c r="S1248" i="19" s="1"/>
  <c r="U1247" i="19"/>
  <c r="W1246" i="19"/>
  <c r="S1246" i="19" s="1"/>
  <c r="U1497" i="19"/>
  <c r="W1494" i="19"/>
  <c r="S1494" i="19" s="1"/>
  <c r="X1492" i="19"/>
  <c r="K1492" i="19" s="1"/>
  <c r="V1491" i="19"/>
  <c r="X1490" i="19"/>
  <c r="K1490" i="19" s="1"/>
  <c r="G693" i="22" s="1"/>
  <c r="W1489" i="19"/>
  <c r="S1489" i="19" s="1"/>
  <c r="T1485" i="19"/>
  <c r="U1484" i="19"/>
  <c r="X1483" i="19"/>
  <c r="K1483" i="19" s="1"/>
  <c r="W1482" i="19"/>
  <c r="S1482" i="19" s="1"/>
  <c r="T1479" i="19"/>
  <c r="W1478" i="19"/>
  <c r="S1478" i="19" s="1"/>
  <c r="V1477" i="19"/>
  <c r="X1476" i="19"/>
  <c r="K1476" i="19" s="1"/>
  <c r="G687" i="22" s="1"/>
  <c r="U1472" i="19"/>
  <c r="V1471" i="19"/>
  <c r="X1470" i="19"/>
  <c r="K1470" i="19" s="1"/>
  <c r="G683" i="22" s="1"/>
  <c r="W1469" i="19"/>
  <c r="S1469" i="19" s="1"/>
  <c r="T1465" i="19"/>
  <c r="U1464" i="19"/>
  <c r="X1463" i="19"/>
  <c r="K1463" i="19" s="1"/>
  <c r="W1462" i="19"/>
  <c r="S1462" i="19" s="1"/>
  <c r="T1459" i="19"/>
  <c r="W1458" i="19"/>
  <c r="S1458" i="19" s="1"/>
  <c r="V1457" i="19"/>
  <c r="X1456" i="19"/>
  <c r="K1456" i="19" s="1"/>
  <c r="G677" i="22" s="1"/>
  <c r="V1454" i="19"/>
  <c r="U1453" i="19"/>
  <c r="T1452" i="19"/>
  <c r="W1451" i="19"/>
  <c r="S1451" i="19" s="1"/>
  <c r="W1450" i="19"/>
  <c r="S1450" i="19" s="1"/>
  <c r="U1449" i="19"/>
  <c r="U1448" i="19"/>
  <c r="T1447" i="19"/>
  <c r="V1446" i="19"/>
  <c r="X1445" i="19"/>
  <c r="K1445" i="19" s="1"/>
  <c r="G671" i="22" s="1"/>
  <c r="T1445" i="19"/>
  <c r="V1444" i="19"/>
  <c r="U1443" i="19"/>
  <c r="W1442" i="19"/>
  <c r="S1442" i="19" s="1"/>
  <c r="U1441" i="19"/>
  <c r="W1440" i="19"/>
  <c r="S1440" i="19" s="1"/>
  <c r="U1439" i="19"/>
  <c r="X1438" i="19"/>
  <c r="K1438" i="19" s="1"/>
  <c r="T1438" i="19"/>
  <c r="V1437" i="19"/>
  <c r="X1436" i="19"/>
  <c r="K1436" i="19" s="1"/>
  <c r="G667" i="22" s="1"/>
  <c r="T1436" i="19"/>
  <c r="V1435" i="19"/>
  <c r="X1434" i="19"/>
  <c r="T1434" i="19"/>
  <c r="W1433" i="19"/>
  <c r="S1433" i="19" s="1"/>
  <c r="U1432" i="19"/>
  <c r="W1431" i="19"/>
  <c r="S1431" i="19" s="1"/>
  <c r="U1430" i="19"/>
  <c r="W1429" i="19"/>
  <c r="S1429" i="19" s="1"/>
  <c r="V1428" i="19"/>
  <c r="X1427" i="19"/>
  <c r="K1427" i="19" s="1"/>
  <c r="T1427" i="19"/>
  <c r="V1426" i="19"/>
  <c r="X1425" i="19"/>
  <c r="K1425" i="19" s="1"/>
  <c r="G661" i="22" s="1"/>
  <c r="T1425" i="19"/>
  <c r="V1424" i="19"/>
  <c r="U1423" i="19"/>
  <c r="W1422" i="19"/>
  <c r="S1422" i="19" s="1"/>
  <c r="U1421" i="19"/>
  <c r="W1420" i="19"/>
  <c r="S1420" i="19" s="1"/>
  <c r="U1419" i="19"/>
  <c r="X1418" i="19"/>
  <c r="K1418" i="19" s="1"/>
  <c r="T1418" i="19"/>
  <c r="V1417" i="19"/>
  <c r="X1416" i="19"/>
  <c r="K1416" i="19" s="1"/>
  <c r="G657" i="22" s="1"/>
  <c r="T1416" i="19"/>
  <c r="V1415" i="19"/>
  <c r="X1414" i="19"/>
  <c r="T1414" i="19"/>
  <c r="W1413" i="19"/>
  <c r="S1413" i="19" s="1"/>
  <c r="U1412" i="19"/>
  <c r="W1411" i="19"/>
  <c r="S1411" i="19" s="1"/>
  <c r="U1410" i="19"/>
  <c r="W1409" i="19"/>
  <c r="S1409" i="19" s="1"/>
  <c r="V1408" i="19"/>
  <c r="X1407" i="19"/>
  <c r="K1407" i="19" s="1"/>
  <c r="G654" i="22" s="1"/>
  <c r="T1407" i="19"/>
  <c r="V1406" i="19"/>
  <c r="X1405" i="19"/>
  <c r="K1405" i="19" s="1"/>
  <c r="G652" i="22" s="1"/>
  <c r="T1405" i="19"/>
  <c r="V1404" i="19"/>
  <c r="U1403" i="19"/>
  <c r="W1402" i="19"/>
  <c r="S1402" i="19" s="1"/>
  <c r="U1401" i="19"/>
  <c r="W1400" i="19"/>
  <c r="S1400" i="19" s="1"/>
  <c r="U1399" i="19"/>
  <c r="X1398" i="19"/>
  <c r="K1398" i="19" s="1"/>
  <c r="T1398" i="19"/>
  <c r="V1397" i="19"/>
  <c r="X1396" i="19"/>
  <c r="K1396" i="19" s="1"/>
  <c r="T1396" i="19"/>
  <c r="V1395" i="19"/>
  <c r="X1394" i="19"/>
  <c r="T1394" i="19"/>
  <c r="W1393" i="19"/>
  <c r="S1393" i="19" s="1"/>
  <c r="U1392" i="19"/>
  <c r="W1391" i="19"/>
  <c r="S1391" i="19" s="1"/>
  <c r="U1390" i="19"/>
  <c r="W1389" i="19"/>
  <c r="S1389" i="19" s="1"/>
  <c r="V1388" i="19"/>
  <c r="X1387" i="19"/>
  <c r="K1387" i="19" s="1"/>
  <c r="G646" i="22" s="1"/>
  <c r="T1387" i="19"/>
  <c r="V1386" i="19"/>
  <c r="X1385" i="19"/>
  <c r="K1385" i="19" s="1"/>
  <c r="G644" i="22" s="1"/>
  <c r="T1385" i="19"/>
  <c r="V1384" i="19"/>
  <c r="U1383" i="19"/>
  <c r="W1382" i="19"/>
  <c r="S1382" i="19" s="1"/>
  <c r="U1381" i="19"/>
  <c r="W1380" i="19"/>
  <c r="S1380" i="19" s="1"/>
  <c r="U1379" i="19"/>
  <c r="X1378" i="19"/>
  <c r="K1378" i="19" s="1"/>
  <c r="T1378" i="19"/>
  <c r="V1377" i="19"/>
  <c r="X1376" i="19"/>
  <c r="K1376" i="19" s="1"/>
  <c r="T1376" i="19"/>
  <c r="V1375" i="19"/>
  <c r="X1374" i="19"/>
  <c r="T1374" i="19"/>
  <c r="W1373" i="19"/>
  <c r="S1373" i="19" s="1"/>
  <c r="U1372" i="19"/>
  <c r="W1371" i="19"/>
  <c r="S1371" i="19" s="1"/>
  <c r="U1370" i="19"/>
  <c r="W1369" i="19"/>
  <c r="S1369" i="19" s="1"/>
  <c r="V1368" i="19"/>
  <c r="X1367" i="19"/>
  <c r="K1367" i="19" s="1"/>
  <c r="T1367" i="19"/>
  <c r="V1366" i="19"/>
  <c r="X1365" i="19"/>
  <c r="K1365" i="19" s="1"/>
  <c r="G635" i="22" s="1"/>
  <c r="T1365" i="19"/>
  <c r="V1364" i="19"/>
  <c r="U1363" i="19"/>
  <c r="W1362" i="19"/>
  <c r="S1362" i="19" s="1"/>
  <c r="U1361" i="19"/>
  <c r="W1360" i="19"/>
  <c r="S1360" i="19" s="1"/>
  <c r="U1359" i="19"/>
  <c r="X1358" i="19"/>
  <c r="K1358" i="19" s="1"/>
  <c r="T1358" i="19"/>
  <c r="V1357" i="19"/>
  <c r="X1356" i="19"/>
  <c r="K1356" i="19" s="1"/>
  <c r="G632" i="22" s="1"/>
  <c r="T1356" i="19"/>
  <c r="V1355" i="19"/>
  <c r="X1354" i="19"/>
  <c r="T1354" i="19"/>
  <c r="W1353" i="19"/>
  <c r="S1353" i="19" s="1"/>
  <c r="U1352" i="19"/>
  <c r="W1351" i="19"/>
  <c r="S1351" i="19" s="1"/>
  <c r="U1350" i="19"/>
  <c r="W1349" i="19"/>
  <c r="S1349" i="19" s="1"/>
  <c r="V1348" i="19"/>
  <c r="X1347" i="19"/>
  <c r="K1347" i="19" s="1"/>
  <c r="G627" i="22" s="1"/>
  <c r="T1347" i="19"/>
  <c r="V1346" i="19"/>
  <c r="X1345" i="19"/>
  <c r="K1345" i="19" s="1"/>
  <c r="G625" i="22" s="1"/>
  <c r="T1345" i="19"/>
  <c r="V1344" i="19"/>
  <c r="U1343" i="19"/>
  <c r="W1342" i="19"/>
  <c r="S1342" i="19" s="1"/>
  <c r="U1341" i="19"/>
  <c r="W1340" i="19"/>
  <c r="S1340" i="19" s="1"/>
  <c r="U1339" i="19"/>
  <c r="X1338" i="19"/>
  <c r="K1338" i="19" s="1"/>
  <c r="T1338" i="19"/>
  <c r="V1337" i="19"/>
  <c r="X1336" i="19"/>
  <c r="K1336" i="19" s="1"/>
  <c r="G621" i="22" s="1"/>
  <c r="T1336" i="19"/>
  <c r="V1335" i="19"/>
  <c r="X1334" i="19"/>
  <c r="T1334" i="19"/>
  <c r="W1333" i="19"/>
  <c r="S1333" i="19" s="1"/>
  <c r="U1332" i="19"/>
  <c r="W1331" i="19"/>
  <c r="S1331" i="19" s="1"/>
  <c r="U1330" i="19"/>
  <c r="W1329" i="19"/>
  <c r="S1329" i="19" s="1"/>
  <c r="V1328" i="19"/>
  <c r="X1327" i="19"/>
  <c r="K1327" i="19" s="1"/>
  <c r="T1327" i="19"/>
  <c r="V1326" i="19"/>
  <c r="X1325" i="19"/>
  <c r="K1325" i="19" s="1"/>
  <c r="G615" i="22" s="1"/>
  <c r="T1325" i="19"/>
  <c r="V1324" i="19"/>
  <c r="U1323" i="19"/>
  <c r="W1322" i="19"/>
  <c r="S1322" i="19" s="1"/>
  <c r="U1321" i="19"/>
  <c r="W1320" i="19"/>
  <c r="S1320" i="19" s="1"/>
  <c r="U1319" i="19"/>
  <c r="X1318" i="19"/>
  <c r="K1318" i="19" s="1"/>
  <c r="T1318" i="19"/>
  <c r="V1317" i="19"/>
  <c r="X1316" i="19"/>
  <c r="K1316" i="19" s="1"/>
  <c r="G612" i="22" s="1"/>
  <c r="T1316" i="19"/>
  <c r="V1315" i="19"/>
  <c r="X1314" i="19"/>
  <c r="T1314" i="19"/>
  <c r="W1313" i="19"/>
  <c r="S1313" i="19" s="1"/>
  <c r="U1312" i="19"/>
  <c r="W1311" i="19"/>
  <c r="S1311" i="19" s="1"/>
  <c r="U1310" i="19"/>
  <c r="W1309" i="19"/>
  <c r="S1309" i="19" s="1"/>
  <c r="V1308" i="19"/>
  <c r="X1307" i="19"/>
  <c r="K1307" i="19" s="1"/>
  <c r="T1307" i="19"/>
  <c r="V1306" i="19"/>
  <c r="X1305" i="19"/>
  <c r="K1305" i="19" s="1"/>
  <c r="G607" i="22" s="1"/>
  <c r="T1305" i="19"/>
  <c r="V1304" i="19"/>
  <c r="U1303" i="19"/>
  <c r="W1302" i="19"/>
  <c r="S1302" i="19" s="1"/>
  <c r="U1301" i="19"/>
  <c r="W1300" i="19"/>
  <c r="S1300" i="19" s="1"/>
  <c r="U1299" i="19"/>
  <c r="X1298" i="19"/>
  <c r="K1298" i="19" s="1"/>
  <c r="T1298" i="19"/>
  <c r="V1297" i="19"/>
  <c r="X1296" i="19"/>
  <c r="K1296" i="19" s="1"/>
  <c r="G603" i="22" s="1"/>
  <c r="T1296" i="19"/>
  <c r="V1295" i="19"/>
  <c r="X1294" i="19"/>
  <c r="T1294" i="19"/>
  <c r="W1293" i="19"/>
  <c r="S1293" i="19" s="1"/>
  <c r="U1292" i="19"/>
  <c r="W1291" i="19"/>
  <c r="S1291" i="19" s="1"/>
  <c r="U1290" i="19"/>
  <c r="W1289" i="19"/>
  <c r="S1289" i="19" s="1"/>
  <c r="V1288" i="19"/>
  <c r="X1287" i="19"/>
  <c r="K1287" i="19" s="1"/>
  <c r="T1287" i="19"/>
  <c r="V1286" i="19"/>
  <c r="X1285" i="19"/>
  <c r="K1285" i="19" s="1"/>
  <c r="G597" i="22" s="1"/>
  <c r="T1285" i="19"/>
  <c r="V1284" i="19"/>
  <c r="U1283" i="19"/>
  <c r="W1282" i="19"/>
  <c r="S1282" i="19" s="1"/>
  <c r="U1281" i="19"/>
  <c r="W1280" i="19"/>
  <c r="S1280" i="19" s="1"/>
  <c r="U1279" i="19"/>
  <c r="X1278" i="19"/>
  <c r="K1278" i="19" s="1"/>
  <c r="T1278" i="19"/>
  <c r="V1277" i="19"/>
  <c r="X1276" i="19"/>
  <c r="K1276" i="19" s="1"/>
  <c r="G592" i="22" s="1"/>
  <c r="T1276" i="19"/>
  <c r="V1275" i="19"/>
  <c r="X1274" i="19"/>
  <c r="T1274" i="19"/>
  <c r="W1273" i="19"/>
  <c r="S1273" i="19" s="1"/>
  <c r="U1272" i="19"/>
  <c r="W1271" i="19"/>
  <c r="S1271" i="19" s="1"/>
  <c r="U1270" i="19"/>
  <c r="W1269" i="19"/>
  <c r="S1269" i="19" s="1"/>
  <c r="V1268" i="19"/>
  <c r="X1267" i="19"/>
  <c r="K1267" i="19" s="1"/>
  <c r="T1267" i="19"/>
  <c r="V1266" i="19"/>
  <c r="X1265" i="19"/>
  <c r="K1265" i="19" s="1"/>
  <c r="G588" i="22" s="1"/>
  <c r="T1265" i="19"/>
  <c r="V1264" i="19"/>
  <c r="U1263" i="19"/>
  <c r="W1262" i="19"/>
  <c r="S1262" i="19" s="1"/>
  <c r="U1261" i="19"/>
  <c r="W1260" i="19"/>
  <c r="S1260" i="19" s="1"/>
  <c r="U1259" i="19"/>
  <c r="X1258" i="19"/>
  <c r="K1258" i="19" s="1"/>
  <c r="T1258" i="19"/>
  <c r="V1257" i="19"/>
  <c r="X1256" i="19"/>
  <c r="K1256" i="19" s="1"/>
  <c r="G584" i="22" s="1"/>
  <c r="T1256" i="19"/>
  <c r="V1255" i="19"/>
  <c r="X1254" i="19"/>
  <c r="T1254" i="19"/>
  <c r="W1253" i="19"/>
  <c r="S1253" i="19" s="1"/>
  <c r="U1252" i="19"/>
  <c r="W1251" i="19"/>
  <c r="S1251" i="19" s="1"/>
  <c r="U1250" i="19"/>
  <c r="W1249" i="19"/>
  <c r="S1249" i="19" s="1"/>
  <c r="V1248" i="19"/>
  <c r="X1247" i="19"/>
  <c r="K1247" i="19" s="1"/>
  <c r="T1247" i="19"/>
  <c r="V1246" i="19"/>
  <c r="X1245" i="19"/>
  <c r="K1245" i="19" s="1"/>
  <c r="G580" i="22" s="1"/>
  <c r="T1245" i="19"/>
  <c r="V1244" i="19"/>
  <c r="U1243" i="19"/>
  <c r="W1242" i="19"/>
  <c r="S1242" i="19" s="1"/>
  <c r="U1241" i="19"/>
  <c r="W1240" i="19"/>
  <c r="S1240" i="19" s="1"/>
  <c r="U1239" i="19"/>
  <c r="X1238" i="19"/>
  <c r="K1238" i="19" s="1"/>
  <c r="T1238" i="19"/>
  <c r="V1237" i="19"/>
  <c r="X1236" i="19"/>
  <c r="K1236" i="19" s="1"/>
  <c r="G575" i="22" s="1"/>
  <c r="T1236" i="19"/>
  <c r="V1235" i="19"/>
  <c r="X1234" i="19"/>
  <c r="T1234" i="19"/>
  <c r="W1233" i="19"/>
  <c r="S1233" i="19" s="1"/>
  <c r="U1232" i="19"/>
  <c r="W1231" i="19"/>
  <c r="S1231" i="19" s="1"/>
  <c r="T1242" i="19"/>
  <c r="T1240" i="19"/>
  <c r="W1237" i="19"/>
  <c r="S1237" i="19" s="1"/>
  <c r="T1233" i="19"/>
  <c r="V1231" i="19"/>
  <c r="V1230" i="19"/>
  <c r="X1229" i="19"/>
  <c r="T1229" i="19"/>
  <c r="W1228" i="19"/>
  <c r="S1228" i="19" s="1"/>
  <c r="U1227" i="19"/>
  <c r="W1226" i="19"/>
  <c r="S1226" i="19" s="1"/>
  <c r="U1225" i="19"/>
  <c r="W1224" i="19"/>
  <c r="S1224" i="19" s="1"/>
  <c r="V1223" i="19"/>
  <c r="X1222" i="19"/>
  <c r="K1222" i="19" s="1"/>
  <c r="T1222" i="19"/>
  <c r="V1221" i="19"/>
  <c r="X1220" i="19"/>
  <c r="K1220" i="19" s="1"/>
  <c r="G565" i="22" s="1"/>
  <c r="T1220" i="19"/>
  <c r="V1219" i="19"/>
  <c r="U1218" i="19"/>
  <c r="W1217" i="19"/>
  <c r="S1217" i="19" s="1"/>
  <c r="U1216" i="19"/>
  <c r="W1215" i="19"/>
  <c r="S1215" i="19" s="1"/>
  <c r="U1214" i="19"/>
  <c r="X1213" i="19"/>
  <c r="K1213" i="19" s="1"/>
  <c r="T1213" i="19"/>
  <c r="V1212" i="19"/>
  <c r="X1211" i="19"/>
  <c r="K1211" i="19" s="1"/>
  <c r="G561" i="22" s="1"/>
  <c r="T1211" i="19"/>
  <c r="V1210" i="19"/>
  <c r="X1209" i="19"/>
  <c r="T1209" i="19"/>
  <c r="W1208" i="19"/>
  <c r="S1208" i="19" s="1"/>
  <c r="U1207" i="19"/>
  <c r="W1206" i="19"/>
  <c r="S1206" i="19" s="1"/>
  <c r="U1205" i="19"/>
  <c r="W1204" i="19"/>
  <c r="S1204" i="19" s="1"/>
  <c r="V1203" i="19"/>
  <c r="X1202" i="19"/>
  <c r="K1202" i="19" s="1"/>
  <c r="T1202" i="19"/>
  <c r="V1201" i="19"/>
  <c r="X1200" i="19"/>
  <c r="K1200" i="19" s="1"/>
  <c r="G557" i="22" s="1"/>
  <c r="T1200" i="19"/>
  <c r="V1199" i="19"/>
  <c r="U1198" i="19"/>
  <c r="W1197" i="19"/>
  <c r="S1197" i="19" s="1"/>
  <c r="U1196" i="19"/>
  <c r="W1195" i="19"/>
  <c r="S1195" i="19" s="1"/>
  <c r="U1194" i="19"/>
  <c r="X1193" i="19"/>
  <c r="K1193" i="19" s="1"/>
  <c r="T1193" i="19"/>
  <c r="V1192" i="19"/>
  <c r="X1191" i="19"/>
  <c r="K1191" i="19" s="1"/>
  <c r="G552" i="22" s="1"/>
  <c r="T1191" i="19"/>
  <c r="V1190" i="19"/>
  <c r="X1189" i="19"/>
  <c r="T1189" i="19"/>
  <c r="W1188" i="19"/>
  <c r="S1188" i="19" s="1"/>
  <c r="U1187" i="19"/>
  <c r="W1186" i="19"/>
  <c r="S1186" i="19" s="1"/>
  <c r="U1185" i="19"/>
  <c r="W1184" i="19"/>
  <c r="S1184" i="19" s="1"/>
  <c r="V1183" i="19"/>
  <c r="X1182" i="19"/>
  <c r="K1182" i="19" s="1"/>
  <c r="G549" i="22" s="1"/>
  <c r="T1182" i="19"/>
  <c r="V1181" i="19"/>
  <c r="X1180" i="19"/>
  <c r="K1180" i="19" s="1"/>
  <c r="G547" i="22" s="1"/>
  <c r="T1180" i="19"/>
  <c r="V1179" i="19"/>
  <c r="U1178" i="19"/>
  <c r="W1177" i="19"/>
  <c r="S1177" i="19" s="1"/>
  <c r="U1176" i="19"/>
  <c r="W1175" i="19"/>
  <c r="S1175" i="19" s="1"/>
  <c r="U1174" i="19"/>
  <c r="X1173" i="19"/>
  <c r="K1173" i="19" s="1"/>
  <c r="T1173" i="19"/>
  <c r="V1172" i="19"/>
  <c r="X1171" i="19"/>
  <c r="K1171" i="19" s="1"/>
  <c r="G543" i="22" s="1"/>
  <c r="T1171" i="19"/>
  <c r="V1170" i="19"/>
  <c r="X1169" i="19"/>
  <c r="T1169" i="19"/>
  <c r="W1168" i="19"/>
  <c r="S1168" i="19" s="1"/>
  <c r="U1167" i="19"/>
  <c r="W1166" i="19"/>
  <c r="S1166" i="19" s="1"/>
  <c r="U1165" i="19"/>
  <c r="W1164" i="19"/>
  <c r="S1164" i="19" s="1"/>
  <c r="V1163" i="19"/>
  <c r="X1162" i="19"/>
  <c r="K1162" i="19" s="1"/>
  <c r="T1162" i="19"/>
  <c r="V1161" i="19"/>
  <c r="X1160" i="19"/>
  <c r="K1160" i="19" s="1"/>
  <c r="G538" i="22" s="1"/>
  <c r="T1160" i="19"/>
  <c r="V1159" i="19"/>
  <c r="U1158" i="19"/>
  <c r="W1157" i="19"/>
  <c r="S1157" i="19" s="1"/>
  <c r="U1156" i="19"/>
  <c r="W1155" i="19"/>
  <c r="S1155" i="19" s="1"/>
  <c r="U1154" i="19"/>
  <c r="X1153" i="19"/>
  <c r="K1153" i="19" s="1"/>
  <c r="T1153" i="19"/>
  <c r="V1152" i="19"/>
  <c r="X1151" i="19"/>
  <c r="K1151" i="19" s="1"/>
  <c r="G535" i="22" s="1"/>
  <c r="T1151" i="19"/>
  <c r="V1150" i="19"/>
  <c r="X1149" i="19"/>
  <c r="T1149" i="19"/>
  <c r="W1148" i="19"/>
  <c r="S1148" i="19" s="1"/>
  <c r="U1147" i="19"/>
  <c r="W1146" i="19"/>
  <c r="S1146" i="19" s="1"/>
  <c r="U1145" i="19"/>
  <c r="W1144" i="19"/>
  <c r="S1144" i="19" s="1"/>
  <c r="V1143" i="19"/>
  <c r="X1142" i="19"/>
  <c r="K1142" i="19" s="1"/>
  <c r="T1142" i="19"/>
  <c r="V1141" i="19"/>
  <c r="X1140" i="19"/>
  <c r="K1140" i="19" s="1"/>
  <c r="G529" i="22" s="1"/>
  <c r="T1140" i="19"/>
  <c r="V1139" i="19"/>
  <c r="U1138" i="19"/>
  <c r="W1137" i="19"/>
  <c r="S1137" i="19" s="1"/>
  <c r="U1136" i="19"/>
  <c r="W1135" i="19"/>
  <c r="S1135" i="19" s="1"/>
  <c r="U1134" i="19"/>
  <c r="X1133" i="19"/>
  <c r="K1133" i="19" s="1"/>
  <c r="T1133" i="19"/>
  <c r="V1132" i="19"/>
  <c r="X1131" i="19"/>
  <c r="K1131" i="19" s="1"/>
  <c r="G526" i="22" s="1"/>
  <c r="T1131" i="19"/>
  <c r="V1130" i="19"/>
  <c r="X1129" i="19"/>
  <c r="T1129" i="19"/>
  <c r="W1128" i="19"/>
  <c r="S1128" i="19" s="1"/>
  <c r="U1127" i="19"/>
  <c r="W1126" i="19"/>
  <c r="S1126" i="19" s="1"/>
  <c r="U1125" i="19"/>
  <c r="W1124" i="19"/>
  <c r="S1124" i="19" s="1"/>
  <c r="V1123" i="19"/>
  <c r="X1122" i="19"/>
  <c r="K1122" i="19" s="1"/>
  <c r="G521" i="22" s="1"/>
  <c r="T1122" i="19"/>
  <c r="V1121" i="19"/>
  <c r="X1120" i="19"/>
  <c r="K1120" i="19" s="1"/>
  <c r="G519" i="22" s="1"/>
  <c r="T1120" i="19"/>
  <c r="V1119" i="19"/>
  <c r="U1118" i="19"/>
  <c r="W1117" i="19"/>
  <c r="S1117" i="19" s="1"/>
  <c r="U1116" i="19"/>
  <c r="W1115" i="19"/>
  <c r="S1115" i="19" s="1"/>
  <c r="U1114" i="19"/>
  <c r="X1113" i="19"/>
  <c r="K1113" i="19" s="1"/>
  <c r="T1113" i="19"/>
  <c r="V1112" i="19"/>
  <c r="X1111" i="19"/>
  <c r="K1111" i="19" s="1"/>
  <c r="G515" i="22" s="1"/>
  <c r="T1111" i="19"/>
  <c r="V1110" i="19"/>
  <c r="X1109" i="19"/>
  <c r="T1109" i="19"/>
  <c r="W1108" i="19"/>
  <c r="S1108" i="19" s="1"/>
  <c r="U1107" i="19"/>
  <c r="W1106" i="19"/>
  <c r="S1106" i="19" s="1"/>
  <c r="U1105" i="19"/>
  <c r="W1104" i="19"/>
  <c r="S1104" i="19" s="1"/>
  <c r="V1103" i="19"/>
  <c r="X1102" i="19"/>
  <c r="K1102" i="19" s="1"/>
  <c r="T1102" i="19"/>
  <c r="V1101" i="19"/>
  <c r="X1100" i="19"/>
  <c r="K1100" i="19" s="1"/>
  <c r="G509" i="22" s="1"/>
  <c r="T1100" i="19"/>
  <c r="V1099" i="19"/>
  <c r="U1098" i="19"/>
  <c r="W1097" i="19"/>
  <c r="S1097" i="19" s="1"/>
  <c r="U1096" i="19"/>
  <c r="W1095" i="19"/>
  <c r="S1095" i="19" s="1"/>
  <c r="U1094" i="19"/>
  <c r="X1093" i="19"/>
  <c r="K1093" i="19" s="1"/>
  <c r="T1093" i="19"/>
  <c r="V1092" i="19"/>
  <c r="X1091" i="19"/>
  <c r="K1091" i="19" s="1"/>
  <c r="G505" i="22" s="1"/>
  <c r="T1091" i="19"/>
  <c r="V1090" i="19"/>
  <c r="X1089" i="19"/>
  <c r="T1089" i="19"/>
  <c r="W1088" i="19"/>
  <c r="S1088" i="19" s="1"/>
  <c r="U1087" i="19"/>
  <c r="W1086" i="19"/>
  <c r="S1086" i="19" s="1"/>
  <c r="U1085" i="19"/>
  <c r="W1084" i="19"/>
  <c r="S1084" i="19" s="1"/>
  <c r="V1083" i="19"/>
  <c r="X1082" i="19"/>
  <c r="K1082" i="19" s="1"/>
  <c r="T1082" i="19"/>
  <c r="V1081" i="19"/>
  <c r="X1080" i="19"/>
  <c r="K1080" i="19" s="1"/>
  <c r="G499" i="22" s="1"/>
  <c r="T1080" i="19"/>
  <c r="V1079" i="19"/>
  <c r="U1078" i="19"/>
  <c r="W1077" i="19"/>
  <c r="S1077" i="19" s="1"/>
  <c r="U1076" i="19"/>
  <c r="W1075" i="19"/>
  <c r="S1075" i="19" s="1"/>
  <c r="U1074" i="19"/>
  <c r="X1073" i="19"/>
  <c r="K1073" i="19" s="1"/>
  <c r="T1073" i="19"/>
  <c r="V1072" i="19"/>
  <c r="X1071" i="19"/>
  <c r="K1071" i="19" s="1"/>
  <c r="G495" i="22" s="1"/>
  <c r="T1071" i="19"/>
  <c r="V1070" i="19"/>
  <c r="X1069" i="19"/>
  <c r="T1069" i="19"/>
  <c r="W1068" i="19"/>
  <c r="S1068" i="19" s="1"/>
  <c r="U1067" i="19"/>
  <c r="W1066" i="19"/>
  <c r="S1066" i="19" s="1"/>
  <c r="U1065" i="19"/>
  <c r="W1064" i="19"/>
  <c r="S1064" i="19" s="1"/>
  <c r="V1063" i="19"/>
  <c r="X1062" i="19"/>
  <c r="K1062" i="19" s="1"/>
  <c r="T1062" i="19"/>
  <c r="V1061" i="19"/>
  <c r="X1060" i="19"/>
  <c r="K1060" i="19" s="1"/>
  <c r="G489" i="22" s="1"/>
  <c r="T1060" i="19"/>
  <c r="V1059" i="19"/>
  <c r="U1058" i="19"/>
  <c r="W1057" i="19"/>
  <c r="S1057" i="19" s="1"/>
  <c r="U1056" i="19"/>
  <c r="W1055" i="19"/>
  <c r="S1055" i="19" s="1"/>
  <c r="U1054" i="19"/>
  <c r="X1053" i="19"/>
  <c r="K1053" i="19" s="1"/>
  <c r="T1053" i="19"/>
  <c r="V1052" i="19"/>
  <c r="X1051" i="19"/>
  <c r="K1051" i="19" s="1"/>
  <c r="G486" i="22" s="1"/>
  <c r="T1051" i="19"/>
  <c r="V1050" i="19"/>
  <c r="X1049" i="19"/>
  <c r="T1049" i="19"/>
  <c r="W1048" i="19"/>
  <c r="S1048" i="19" s="1"/>
  <c r="U1047" i="19"/>
  <c r="W1046" i="19"/>
  <c r="S1046" i="19" s="1"/>
  <c r="U1045" i="19"/>
  <c r="W1044" i="19"/>
  <c r="S1044" i="19" s="1"/>
  <c r="V1043" i="19"/>
  <c r="X1042" i="19"/>
  <c r="K1042" i="19" s="1"/>
  <c r="T1042" i="19"/>
  <c r="V1041" i="19"/>
  <c r="X1040" i="19"/>
  <c r="K1040" i="19" s="1"/>
  <c r="G480" i="22" s="1"/>
  <c r="T1040" i="19"/>
  <c r="V1039" i="19"/>
  <c r="U1038" i="19"/>
  <c r="W1037" i="19"/>
  <c r="S1037" i="19" s="1"/>
  <c r="U1036" i="19"/>
  <c r="W1035" i="19"/>
  <c r="S1035" i="19" s="1"/>
  <c r="U1034" i="19"/>
  <c r="X1033" i="19"/>
  <c r="K1033" i="19" s="1"/>
  <c r="T1033" i="19"/>
  <c r="V1032" i="19"/>
  <c r="X1031" i="19"/>
  <c r="K1031" i="19" s="1"/>
  <c r="G475" i="22" s="1"/>
  <c r="T1031" i="19"/>
  <c r="V1030" i="19"/>
  <c r="X1029" i="19"/>
  <c r="T1029" i="19"/>
  <c r="W1028" i="19"/>
  <c r="S1028" i="19" s="1"/>
  <c r="U1027" i="19"/>
  <c r="W1026" i="19"/>
  <c r="S1026" i="19" s="1"/>
  <c r="U1025" i="19"/>
  <c r="W1024" i="19"/>
  <c r="S1024" i="19" s="1"/>
  <c r="V1023" i="19"/>
  <c r="X1022" i="19"/>
  <c r="K1022" i="19" s="1"/>
  <c r="G471" i="22" s="1"/>
  <c r="T1022" i="19"/>
  <c r="V1021" i="19"/>
  <c r="X1020" i="19"/>
  <c r="K1020" i="19" s="1"/>
  <c r="G469" i="22" s="1"/>
  <c r="T1020" i="19"/>
  <c r="V1019" i="19"/>
  <c r="U1018" i="19"/>
  <c r="W1017" i="19"/>
  <c r="S1017" i="19" s="1"/>
  <c r="U1016" i="19"/>
  <c r="W1015" i="19"/>
  <c r="S1015" i="19" s="1"/>
  <c r="U1014" i="19"/>
  <c r="X1013" i="19"/>
  <c r="K1013" i="19" s="1"/>
  <c r="T1013" i="19"/>
  <c r="V1012" i="19"/>
  <c r="X1011" i="19"/>
  <c r="K1011" i="19" s="1"/>
  <c r="G464" i="22" s="1"/>
  <c r="T1011" i="19"/>
  <c r="V1010" i="19"/>
  <c r="X1009" i="19"/>
  <c r="T1009" i="19"/>
  <c r="W1008" i="19"/>
  <c r="S1008" i="19" s="1"/>
  <c r="U1007" i="19"/>
  <c r="W1006" i="19"/>
  <c r="S1006" i="19" s="1"/>
  <c r="U1005" i="19"/>
  <c r="W1004" i="19"/>
  <c r="S1004" i="19" s="1"/>
  <c r="V1003" i="19"/>
  <c r="X1002" i="19"/>
  <c r="K1002" i="19" s="1"/>
  <c r="G461" i="22" s="1"/>
  <c r="T1002" i="19"/>
  <c r="V1001" i="19"/>
  <c r="X1000" i="19"/>
  <c r="K1000" i="19" s="1"/>
  <c r="G459" i="22" s="1"/>
  <c r="T1000" i="19"/>
  <c r="V999" i="19"/>
  <c r="U998" i="19"/>
  <c r="W997" i="19"/>
  <c r="S997" i="19" s="1"/>
  <c r="U996" i="19"/>
  <c r="W995" i="19"/>
  <c r="S995" i="19" s="1"/>
  <c r="U994" i="19"/>
  <c r="X993" i="19"/>
  <c r="K993" i="19" s="1"/>
  <c r="T993" i="19"/>
  <c r="V992" i="19"/>
  <c r="X991" i="19"/>
  <c r="K991" i="19" s="1"/>
  <c r="T991" i="19"/>
  <c r="V990" i="19"/>
  <c r="X989" i="19"/>
  <c r="T989" i="19"/>
  <c r="W988" i="19"/>
  <c r="S988" i="19" s="1"/>
  <c r="U987" i="19"/>
  <c r="W986" i="19"/>
  <c r="S986" i="19" s="1"/>
  <c r="U985" i="19"/>
  <c r="W984" i="19"/>
  <c r="S984" i="19" s="1"/>
  <c r="V983" i="19"/>
  <c r="X982" i="19"/>
  <c r="K982" i="19" s="1"/>
  <c r="T982" i="19"/>
  <c r="V981" i="19"/>
  <c r="X980" i="19"/>
  <c r="K980" i="19" s="1"/>
  <c r="G453" i="22" s="1"/>
  <c r="T980" i="19"/>
  <c r="V979" i="19"/>
  <c r="U978" i="19"/>
  <c r="W977" i="19"/>
  <c r="S977" i="19" s="1"/>
  <c r="U976" i="19"/>
  <c r="W975" i="19"/>
  <c r="S975" i="19" s="1"/>
  <c r="U974" i="19"/>
  <c r="X973" i="19"/>
  <c r="K973" i="19" s="1"/>
  <c r="T973" i="19"/>
  <c r="V972" i="19"/>
  <c r="X971" i="19"/>
  <c r="K971" i="19" s="1"/>
  <c r="G450" i="22" s="1"/>
  <c r="T971" i="19"/>
  <c r="V970" i="19"/>
  <c r="X969" i="19"/>
  <c r="T969" i="19"/>
  <c r="W968" i="19"/>
  <c r="S968" i="19" s="1"/>
  <c r="U967" i="19"/>
  <c r="W966" i="19"/>
  <c r="S966" i="19" s="1"/>
  <c r="U965" i="19"/>
  <c r="W964" i="19"/>
  <c r="S964" i="19" s="1"/>
  <c r="V963" i="19"/>
  <c r="X962" i="19"/>
  <c r="K962" i="19" s="1"/>
  <c r="T962" i="19"/>
  <c r="V961" i="19"/>
  <c r="X960" i="19"/>
  <c r="K960" i="19" s="1"/>
  <c r="G444" i="22" s="1"/>
  <c r="T960" i="19"/>
  <c r="V959" i="19"/>
  <c r="U958" i="19"/>
  <c r="W957" i="19"/>
  <c r="S957" i="19" s="1"/>
  <c r="U956" i="19"/>
  <c r="W955" i="19"/>
  <c r="S955" i="19" s="1"/>
  <c r="U954" i="19"/>
  <c r="X953" i="19"/>
  <c r="K953" i="19" s="1"/>
  <c r="T953" i="19"/>
  <c r="V952" i="19"/>
  <c r="X951" i="19"/>
  <c r="K951" i="19" s="1"/>
  <c r="G440" i="22" s="1"/>
  <c r="T951" i="19"/>
  <c r="V950" i="19"/>
  <c r="X949" i="19"/>
  <c r="T949" i="19"/>
  <c r="W948" i="19"/>
  <c r="S948" i="19" s="1"/>
  <c r="U947" i="19"/>
  <c r="W946" i="19"/>
  <c r="S946" i="19" s="1"/>
  <c r="U945" i="19"/>
  <c r="W944" i="19"/>
  <c r="S944" i="19" s="1"/>
  <c r="V943" i="19"/>
  <c r="X942" i="19"/>
  <c r="K942" i="19" s="1"/>
  <c r="G435" i="22" s="1"/>
  <c r="T942" i="19"/>
  <c r="V941" i="19"/>
  <c r="X940" i="19"/>
  <c r="K940" i="19" s="1"/>
  <c r="G433" i="22" s="1"/>
  <c r="T940" i="19"/>
  <c r="V939" i="19"/>
  <c r="U938" i="19"/>
  <c r="W937" i="19"/>
  <c r="S937" i="19" s="1"/>
  <c r="U936" i="19"/>
  <c r="W935" i="19"/>
  <c r="S935" i="19" s="1"/>
  <c r="U934" i="19"/>
  <c r="X933" i="19"/>
  <c r="K933" i="19" s="1"/>
  <c r="T933" i="19"/>
  <c r="V932" i="19"/>
  <c r="X931" i="19"/>
  <c r="K931" i="19" s="1"/>
  <c r="G430" i="22" s="1"/>
  <c r="T931" i="19"/>
  <c r="V930" i="19"/>
  <c r="X929" i="19"/>
  <c r="T929" i="19"/>
  <c r="W928" i="19"/>
  <c r="S928" i="19" s="1"/>
  <c r="U927" i="19"/>
  <c r="W926" i="19"/>
  <c r="S926" i="19" s="1"/>
  <c r="U925" i="19"/>
  <c r="W924" i="19"/>
  <c r="S924" i="19" s="1"/>
  <c r="V923" i="19"/>
  <c r="X922" i="19"/>
  <c r="K922" i="19" s="1"/>
  <c r="T922" i="19"/>
  <c r="V921" i="19"/>
  <c r="X920" i="19"/>
  <c r="K920" i="19" s="1"/>
  <c r="G424" i="22" s="1"/>
  <c r="T920" i="19"/>
  <c r="V919" i="19"/>
  <c r="U918" i="19"/>
  <c r="W917" i="19"/>
  <c r="S917" i="19" s="1"/>
  <c r="U916" i="19"/>
  <c r="W915" i="19"/>
  <c r="S915" i="19" s="1"/>
  <c r="U914" i="19"/>
  <c r="X913" i="19"/>
  <c r="K913" i="19" s="1"/>
  <c r="T913" i="19"/>
  <c r="V912" i="19"/>
  <c r="X911" i="19"/>
  <c r="K911" i="19" s="1"/>
  <c r="G421" i="22" s="1"/>
  <c r="T911" i="19"/>
  <c r="V910" i="19"/>
  <c r="X909" i="19"/>
  <c r="T909" i="19"/>
  <c r="W908" i="19"/>
  <c r="S908" i="19" s="1"/>
  <c r="U907" i="19"/>
  <c r="W906" i="19"/>
  <c r="S906" i="19" s="1"/>
  <c r="U905" i="19"/>
  <c r="W904" i="19"/>
  <c r="S904" i="19" s="1"/>
  <c r="V903" i="19"/>
  <c r="X902" i="19"/>
  <c r="K902" i="19" s="1"/>
  <c r="G416" i="22" s="1"/>
  <c r="T902" i="19"/>
  <c r="V901" i="19"/>
  <c r="X900" i="19"/>
  <c r="K900" i="19" s="1"/>
  <c r="G414" i="22" s="1"/>
  <c r="T900" i="19"/>
  <c r="V899" i="19"/>
  <c r="U898" i="19"/>
  <c r="W897" i="19"/>
  <c r="S897" i="19" s="1"/>
  <c r="U896" i="19"/>
  <c r="W895" i="19"/>
  <c r="S895" i="19" s="1"/>
  <c r="U894" i="19"/>
  <c r="X893" i="19"/>
  <c r="K893" i="19" s="1"/>
  <c r="T893" i="19"/>
  <c r="V892" i="19"/>
  <c r="X891" i="19"/>
  <c r="K891" i="19" s="1"/>
  <c r="G410" i="22" s="1"/>
  <c r="T891" i="19"/>
  <c r="V890" i="19"/>
  <c r="X889" i="19"/>
  <c r="T889" i="19"/>
  <c r="W888" i="19"/>
  <c r="S888" i="19" s="1"/>
  <c r="U887" i="19"/>
  <c r="W886" i="19"/>
  <c r="S886" i="19" s="1"/>
  <c r="U885" i="19"/>
  <c r="W884" i="19"/>
  <c r="S884" i="19" s="1"/>
  <c r="V883" i="19"/>
  <c r="X882" i="19"/>
  <c r="K882" i="19" s="1"/>
  <c r="G407" i="22" s="1"/>
  <c r="T882" i="19"/>
  <c r="V881" i="19"/>
  <c r="X880" i="19"/>
  <c r="K880" i="19" s="1"/>
  <c r="G405" i="22" s="1"/>
  <c r="T880" i="19"/>
  <c r="V879" i="19"/>
  <c r="U878" i="19"/>
  <c r="W877" i="19"/>
  <c r="S877" i="19" s="1"/>
  <c r="U876" i="19"/>
  <c r="W875" i="19"/>
  <c r="S875" i="19" s="1"/>
  <c r="U874" i="19"/>
  <c r="X873" i="19"/>
  <c r="K873" i="19" s="1"/>
  <c r="T873" i="19"/>
  <c r="V872" i="19"/>
  <c r="X871" i="19"/>
  <c r="K871" i="19" s="1"/>
  <c r="G401" i="22" s="1"/>
  <c r="T871" i="19"/>
  <c r="V870" i="19"/>
  <c r="X869" i="19"/>
  <c r="T869" i="19"/>
  <c r="W868" i="19"/>
  <c r="S868" i="19" s="1"/>
  <c r="U867" i="19"/>
  <c r="W866" i="19"/>
  <c r="S866" i="19" s="1"/>
  <c r="U865" i="19"/>
  <c r="W864" i="19"/>
  <c r="S864" i="19" s="1"/>
  <c r="V863" i="19"/>
  <c r="X862" i="19"/>
  <c r="K862" i="19" s="1"/>
  <c r="T862" i="19"/>
  <c r="V861" i="19"/>
  <c r="X860" i="19"/>
  <c r="K860" i="19" s="1"/>
  <c r="G397" i="22" s="1"/>
  <c r="T860" i="19"/>
  <c r="V859" i="19"/>
  <c r="U858" i="19"/>
  <c r="W857" i="19"/>
  <c r="S857" i="19" s="1"/>
  <c r="U856" i="19"/>
  <c r="W855" i="19"/>
  <c r="S855" i="19" s="1"/>
  <c r="U854" i="19"/>
  <c r="X853" i="19"/>
  <c r="K853" i="19" s="1"/>
  <c r="T853" i="19"/>
  <c r="V852" i="19"/>
  <c r="X851" i="19"/>
  <c r="K851" i="19" s="1"/>
  <c r="G393" i="22" s="1"/>
  <c r="T851" i="19"/>
  <c r="V850" i="19"/>
  <c r="X849" i="19"/>
  <c r="T849" i="19"/>
  <c r="W848" i="19"/>
  <c r="S848" i="19" s="1"/>
  <c r="U847" i="19"/>
  <c r="W846" i="19"/>
  <c r="S846" i="19" s="1"/>
  <c r="U845" i="19"/>
  <c r="W844" i="19"/>
  <c r="S844" i="19" s="1"/>
  <c r="V843" i="19"/>
  <c r="X842" i="19"/>
  <c r="K842" i="19" s="1"/>
  <c r="G389" i="22" s="1"/>
  <c r="T842" i="19"/>
  <c r="V841" i="19"/>
  <c r="X840" i="19"/>
  <c r="K840" i="19" s="1"/>
  <c r="G387" i="22" s="1"/>
  <c r="T840" i="19"/>
  <c r="V839" i="19"/>
  <c r="U838" i="19"/>
  <c r="W837" i="19"/>
  <c r="S837" i="19" s="1"/>
  <c r="U836" i="19"/>
  <c r="W835" i="19"/>
  <c r="S835" i="19" s="1"/>
  <c r="U834" i="19"/>
  <c r="X833" i="19"/>
  <c r="K833" i="19" s="1"/>
  <c r="T833" i="19"/>
  <c r="V832" i="19"/>
  <c r="X831" i="19"/>
  <c r="K831" i="19" s="1"/>
  <c r="G383" i="22" s="1"/>
  <c r="T831" i="19"/>
  <c r="V830" i="19"/>
  <c r="X829" i="19"/>
  <c r="T829" i="19"/>
  <c r="W828" i="19"/>
  <c r="S828" i="19" s="1"/>
  <c r="U827" i="19"/>
  <c r="W826" i="19"/>
  <c r="S826" i="19" s="1"/>
  <c r="U825" i="19"/>
  <c r="W824" i="19"/>
  <c r="S824" i="19" s="1"/>
  <c r="V823" i="19"/>
  <c r="X822" i="19"/>
  <c r="K822" i="19" s="1"/>
  <c r="T822" i="19"/>
  <c r="V821" i="19"/>
  <c r="X820" i="19"/>
  <c r="K820" i="19" s="1"/>
  <c r="G379" i="22" s="1"/>
  <c r="T820" i="19"/>
  <c r="V819" i="19"/>
  <c r="U818" i="19"/>
  <c r="W817" i="19"/>
  <c r="S817" i="19" s="1"/>
  <c r="U816" i="19"/>
  <c r="W815" i="19"/>
  <c r="S815" i="19" s="1"/>
  <c r="U814" i="19"/>
  <c r="X813" i="19"/>
  <c r="K813" i="19" s="1"/>
  <c r="T813" i="19"/>
  <c r="V812" i="19"/>
  <c r="X811" i="19"/>
  <c r="K811" i="19" s="1"/>
  <c r="T811" i="19"/>
  <c r="V810" i="19"/>
  <c r="X809" i="19"/>
  <c r="T809" i="19"/>
  <c r="W808" i="19"/>
  <c r="S808" i="19" s="1"/>
  <c r="U807" i="19"/>
  <c r="W806" i="19"/>
  <c r="S806" i="19" s="1"/>
  <c r="U805" i="19"/>
  <c r="W804" i="19"/>
  <c r="S804" i="19" s="1"/>
  <c r="V803" i="19"/>
  <c r="X802" i="19"/>
  <c r="K802" i="19" s="1"/>
  <c r="T802" i="19"/>
  <c r="V801" i="19"/>
  <c r="X800" i="19"/>
  <c r="K800" i="19" s="1"/>
  <c r="G373" i="22" s="1"/>
  <c r="T800" i="19"/>
  <c r="V799" i="19"/>
  <c r="U798" i="19"/>
  <c r="W797" i="19"/>
  <c r="S797" i="19" s="1"/>
  <c r="U796" i="19"/>
  <c r="W795" i="19"/>
  <c r="S795" i="19" s="1"/>
  <c r="U794" i="19"/>
  <c r="X793" i="19"/>
  <c r="K793" i="19" s="1"/>
  <c r="T793" i="19"/>
  <c r="V792" i="19"/>
  <c r="X791" i="19"/>
  <c r="K791" i="19" s="1"/>
  <c r="G370" i="22" s="1"/>
  <c r="T791" i="19"/>
  <c r="V790" i="19"/>
  <c r="X789" i="19"/>
  <c r="T789" i="19"/>
  <c r="W788" i="19"/>
  <c r="S788" i="19" s="1"/>
  <c r="U787" i="19"/>
  <c r="W786" i="19"/>
  <c r="S786" i="19" s="1"/>
  <c r="U785" i="19"/>
  <c r="W784" i="19"/>
  <c r="S784" i="19" s="1"/>
  <c r="V783" i="19"/>
  <c r="X782" i="19"/>
  <c r="K782" i="19" s="1"/>
  <c r="T782" i="19"/>
  <c r="V781" i="19"/>
  <c r="X780" i="19"/>
  <c r="K780" i="19" s="1"/>
  <c r="G364" i="22" s="1"/>
  <c r="T780" i="19"/>
  <c r="V779" i="19"/>
  <c r="U778" i="19"/>
  <c r="W777" i="19"/>
  <c r="S777" i="19" s="1"/>
  <c r="U776" i="19"/>
  <c r="W775" i="19"/>
  <c r="S775" i="19" s="1"/>
  <c r="U774" i="19"/>
  <c r="X773" i="19"/>
  <c r="K773" i="19" s="1"/>
  <c r="T773" i="19"/>
  <c r="V772" i="19"/>
  <c r="X771" i="19"/>
  <c r="K771" i="19" s="1"/>
  <c r="T771" i="19"/>
  <c r="V770" i="19"/>
  <c r="X769" i="19"/>
  <c r="T769" i="19"/>
  <c r="W768" i="19"/>
  <c r="S768" i="19" s="1"/>
  <c r="U767" i="19"/>
  <c r="W766" i="19"/>
  <c r="S766" i="19" s="1"/>
  <c r="U765" i="19"/>
  <c r="W764" i="19"/>
  <c r="S764" i="19" s="1"/>
  <c r="V763" i="19"/>
  <c r="X762" i="19"/>
  <c r="K762" i="19" s="1"/>
  <c r="T762" i="19"/>
  <c r="V761" i="19"/>
  <c r="X760" i="19"/>
  <c r="K760" i="19" s="1"/>
  <c r="G359" i="22" s="1"/>
  <c r="T760" i="19"/>
  <c r="V759" i="19"/>
  <c r="U758" i="19"/>
  <c r="W757" i="19"/>
  <c r="S757" i="19" s="1"/>
  <c r="U756" i="19"/>
  <c r="W755" i="19"/>
  <c r="S755" i="19" s="1"/>
  <c r="U754" i="19"/>
  <c r="X753" i="19"/>
  <c r="K753" i="19" s="1"/>
  <c r="T753" i="19"/>
  <c r="V752" i="19"/>
  <c r="X751" i="19"/>
  <c r="K751" i="19" s="1"/>
  <c r="G357" i="22" s="1"/>
  <c r="T751" i="19"/>
  <c r="V750" i="19"/>
  <c r="X749" i="19"/>
  <c r="T749" i="19"/>
  <c r="V1243" i="19"/>
  <c r="V1241" i="19"/>
  <c r="V1239" i="19"/>
  <c r="U1234" i="19"/>
  <c r="V1232" i="19"/>
  <c r="U1231" i="19"/>
  <c r="U1230" i="19"/>
  <c r="W1229" i="19"/>
  <c r="S1229" i="19" s="1"/>
  <c r="V1228" i="19"/>
  <c r="X1227" i="19"/>
  <c r="K1227" i="19" s="1"/>
  <c r="G569" i="22" s="1"/>
  <c r="T1227" i="19"/>
  <c r="V1226" i="19"/>
  <c r="X1225" i="19"/>
  <c r="K1225" i="19" s="1"/>
  <c r="G567" i="22" s="1"/>
  <c r="T1225" i="19"/>
  <c r="V1224" i="19"/>
  <c r="U1223" i="19"/>
  <c r="W1222" i="19"/>
  <c r="S1222" i="19" s="1"/>
  <c r="U1221" i="19"/>
  <c r="W1220" i="19"/>
  <c r="S1220" i="19" s="1"/>
  <c r="U1219" i="19"/>
  <c r="X1218" i="19"/>
  <c r="K1218" i="19" s="1"/>
  <c r="T1218" i="19"/>
  <c r="V1217" i="19"/>
  <c r="X1216" i="19"/>
  <c r="K1216" i="19" s="1"/>
  <c r="G564" i="22" s="1"/>
  <c r="T1216" i="19"/>
  <c r="V1215" i="19"/>
  <c r="X1214" i="19"/>
  <c r="T1214" i="19"/>
  <c r="W1213" i="19"/>
  <c r="S1213" i="19" s="1"/>
  <c r="U1212" i="19"/>
  <c r="W1211" i="19"/>
  <c r="S1211" i="19" s="1"/>
  <c r="U1210" i="19"/>
  <c r="W1209" i="19"/>
  <c r="S1209" i="19" s="1"/>
  <c r="V1208" i="19"/>
  <c r="X1207" i="19"/>
  <c r="K1207" i="19" s="1"/>
  <c r="T1207" i="19"/>
  <c r="V1206" i="19"/>
  <c r="X1205" i="19"/>
  <c r="K1205" i="19" s="1"/>
  <c r="G558" i="22" s="1"/>
  <c r="T1205" i="19"/>
  <c r="V1204" i="19"/>
  <c r="U1203" i="19"/>
  <c r="W1202" i="19"/>
  <c r="S1202" i="19" s="1"/>
  <c r="U1201" i="19"/>
  <c r="W1200" i="19"/>
  <c r="S1200" i="19" s="1"/>
  <c r="U1199" i="19"/>
  <c r="X1198" i="19"/>
  <c r="K1198" i="19" s="1"/>
  <c r="G556" i="22" s="1"/>
  <c r="T1198" i="19"/>
  <c r="V1197" i="19"/>
  <c r="X1196" i="19"/>
  <c r="K1196" i="19" s="1"/>
  <c r="G554" i="22" s="1"/>
  <c r="T1196" i="19"/>
  <c r="V1195" i="19"/>
  <c r="X1194" i="19"/>
  <c r="T1194" i="19"/>
  <c r="W1193" i="19"/>
  <c r="S1193" i="19" s="1"/>
  <c r="U1192" i="19"/>
  <c r="W1191" i="19"/>
  <c r="S1191" i="19" s="1"/>
  <c r="U1190" i="19"/>
  <c r="W1189" i="19"/>
  <c r="S1189" i="19" s="1"/>
  <c r="V1188" i="19"/>
  <c r="X1187" i="19"/>
  <c r="K1187" i="19" s="1"/>
  <c r="T1187" i="19"/>
  <c r="V1186" i="19"/>
  <c r="X1185" i="19"/>
  <c r="K1185" i="19" s="1"/>
  <c r="G550" i="22" s="1"/>
  <c r="T1185" i="19"/>
  <c r="V1184" i="19"/>
  <c r="U1183" i="19"/>
  <c r="W1182" i="19"/>
  <c r="S1182" i="19" s="1"/>
  <c r="U1181" i="19"/>
  <c r="W1180" i="19"/>
  <c r="S1180" i="19" s="1"/>
  <c r="U1179" i="19"/>
  <c r="X1178" i="19"/>
  <c r="K1178" i="19" s="1"/>
  <c r="T1178" i="19"/>
  <c r="V1177" i="19"/>
  <c r="X1176" i="19"/>
  <c r="K1176" i="19" s="1"/>
  <c r="G545" i="22" s="1"/>
  <c r="T1176" i="19"/>
  <c r="V1175" i="19"/>
  <c r="X1174" i="19"/>
  <c r="T1174" i="19"/>
  <c r="W1173" i="19"/>
  <c r="S1173" i="19" s="1"/>
  <c r="U1172" i="19"/>
  <c r="W1171" i="19"/>
  <c r="S1171" i="19" s="1"/>
  <c r="U1170" i="19"/>
  <c r="W1169" i="19"/>
  <c r="S1169" i="19" s="1"/>
  <c r="V1168" i="19"/>
  <c r="X1167" i="19"/>
  <c r="K1167" i="19" s="1"/>
  <c r="G541" i="22" s="1"/>
  <c r="T1167" i="19"/>
  <c r="V1166" i="19"/>
  <c r="X1165" i="19"/>
  <c r="K1165" i="19" s="1"/>
  <c r="G539" i="22" s="1"/>
  <c r="T1165" i="19"/>
  <c r="V1164" i="19"/>
  <c r="U1163" i="19"/>
  <c r="W1162" i="19"/>
  <c r="S1162" i="19" s="1"/>
  <c r="U1161" i="19"/>
  <c r="W1160" i="19"/>
  <c r="S1160" i="19" s="1"/>
  <c r="U1159" i="19"/>
  <c r="X1158" i="19"/>
  <c r="K1158" i="19" s="1"/>
  <c r="T1158" i="19"/>
  <c r="V1157" i="19"/>
  <c r="X1156" i="19"/>
  <c r="K1156" i="19" s="1"/>
  <c r="G537" i="22" s="1"/>
  <c r="T1156" i="19"/>
  <c r="V1155" i="19"/>
  <c r="X1154" i="19"/>
  <c r="T1154" i="19"/>
  <c r="W1153" i="19"/>
  <c r="S1153" i="19" s="1"/>
  <c r="U1152" i="19"/>
  <c r="W1151" i="19"/>
  <c r="S1151" i="19" s="1"/>
  <c r="U1150" i="19"/>
  <c r="W1149" i="19"/>
  <c r="S1149" i="19" s="1"/>
  <c r="V1148" i="19"/>
  <c r="X1147" i="19"/>
  <c r="K1147" i="19" s="1"/>
  <c r="G533" i="22" s="1"/>
  <c r="T1147" i="19"/>
  <c r="V1146" i="19"/>
  <c r="X1145" i="19"/>
  <c r="K1145" i="19" s="1"/>
  <c r="G531" i="22" s="1"/>
  <c r="T1145" i="19"/>
  <c r="V1144" i="19"/>
  <c r="U1143" i="19"/>
  <c r="W1142" i="19"/>
  <c r="S1142" i="19" s="1"/>
  <c r="U1141" i="19"/>
  <c r="W1140" i="19"/>
  <c r="S1140" i="19" s="1"/>
  <c r="U1139" i="19"/>
  <c r="X1138" i="19"/>
  <c r="K1138" i="19" s="1"/>
  <c r="T1138" i="19"/>
  <c r="V1137" i="19"/>
  <c r="X1136" i="19"/>
  <c r="K1136" i="19" s="1"/>
  <c r="G528" i="22" s="1"/>
  <c r="T1136" i="19"/>
  <c r="V1135" i="19"/>
  <c r="X1134" i="19"/>
  <c r="T1134" i="19"/>
  <c r="W1133" i="19"/>
  <c r="S1133" i="19" s="1"/>
  <c r="U1132" i="19"/>
  <c r="W1131" i="19"/>
  <c r="S1131" i="19" s="1"/>
  <c r="U1130" i="19"/>
  <c r="W1129" i="19"/>
  <c r="S1129" i="19" s="1"/>
  <c r="V1128" i="19"/>
  <c r="X1127" i="19"/>
  <c r="K1127" i="19" s="1"/>
  <c r="G524" i="22" s="1"/>
  <c r="T1127" i="19"/>
  <c r="V1126" i="19"/>
  <c r="X1125" i="19"/>
  <c r="K1125" i="19" s="1"/>
  <c r="G522" i="22" s="1"/>
  <c r="T1125" i="19"/>
  <c r="V1124" i="19"/>
  <c r="U1123" i="19"/>
  <c r="W1122" i="19"/>
  <c r="S1122" i="19" s="1"/>
  <c r="U1121" i="19"/>
  <c r="W1120" i="19"/>
  <c r="S1120" i="19" s="1"/>
  <c r="U1119" i="19"/>
  <c r="X1118" i="19"/>
  <c r="K1118" i="19" s="1"/>
  <c r="T1118" i="19"/>
  <c r="V1117" i="19"/>
  <c r="X1116" i="19"/>
  <c r="K1116" i="19" s="1"/>
  <c r="G517" i="22" s="1"/>
  <c r="T1116" i="19"/>
  <c r="V1115" i="19"/>
  <c r="X1114" i="19"/>
  <c r="T1114" i="19"/>
  <c r="W1113" i="19"/>
  <c r="S1113" i="19" s="1"/>
  <c r="U1112" i="19"/>
  <c r="W1111" i="19"/>
  <c r="S1111" i="19" s="1"/>
  <c r="U1110" i="19"/>
  <c r="W1109" i="19"/>
  <c r="S1109" i="19" s="1"/>
  <c r="V1108" i="19"/>
  <c r="X1107" i="19"/>
  <c r="K1107" i="19" s="1"/>
  <c r="G513" i="22" s="1"/>
  <c r="T1107" i="19"/>
  <c r="V1106" i="19"/>
  <c r="X1105" i="19"/>
  <c r="K1105" i="19" s="1"/>
  <c r="G511" i="22" s="1"/>
  <c r="T1105" i="19"/>
  <c r="V1104" i="19"/>
  <c r="U1103" i="19"/>
  <c r="W1102" i="19"/>
  <c r="S1102" i="19" s="1"/>
  <c r="U1101" i="19"/>
  <c r="W1100" i="19"/>
  <c r="S1100" i="19" s="1"/>
  <c r="U1099" i="19"/>
  <c r="X1098" i="19"/>
  <c r="K1098" i="19" s="1"/>
  <c r="T1098" i="19"/>
  <c r="V1097" i="19"/>
  <c r="X1096" i="19"/>
  <c r="K1096" i="19" s="1"/>
  <c r="G507" i="22" s="1"/>
  <c r="T1096" i="19"/>
  <c r="V1095" i="19"/>
  <c r="X1094" i="19"/>
  <c r="T1094" i="19"/>
  <c r="W1093" i="19"/>
  <c r="S1093" i="19" s="1"/>
  <c r="U1092" i="19"/>
  <c r="W1091" i="19"/>
  <c r="S1091" i="19" s="1"/>
  <c r="U1090" i="19"/>
  <c r="W1089" i="19"/>
  <c r="S1089" i="19" s="1"/>
  <c r="V1088" i="19"/>
  <c r="X1087" i="19"/>
  <c r="K1087" i="19" s="1"/>
  <c r="G503" i="22" s="1"/>
  <c r="T1087" i="19"/>
  <c r="V1086" i="19"/>
  <c r="X1085" i="19"/>
  <c r="K1085" i="19" s="1"/>
  <c r="G501" i="22" s="1"/>
  <c r="T1085" i="19"/>
  <c r="V1084" i="19"/>
  <c r="U1083" i="19"/>
  <c r="W1082" i="19"/>
  <c r="S1082" i="19" s="1"/>
  <c r="U1081" i="19"/>
  <c r="W1080" i="19"/>
  <c r="S1080" i="19" s="1"/>
  <c r="U1079" i="19"/>
  <c r="X1078" i="19"/>
  <c r="K1078" i="19" s="1"/>
  <c r="T1078" i="19"/>
  <c r="V1077" i="19"/>
  <c r="X1076" i="19"/>
  <c r="K1076" i="19" s="1"/>
  <c r="G498" i="22" s="1"/>
  <c r="T1076" i="19"/>
  <c r="V1075" i="19"/>
  <c r="X1074" i="19"/>
  <c r="T1074" i="19"/>
  <c r="W1073" i="19"/>
  <c r="S1073" i="19" s="1"/>
  <c r="U1072" i="19"/>
  <c r="W1071" i="19"/>
  <c r="S1071" i="19" s="1"/>
  <c r="U1070" i="19"/>
  <c r="W1069" i="19"/>
  <c r="S1069" i="19" s="1"/>
  <c r="V1068" i="19"/>
  <c r="X1067" i="19"/>
  <c r="K1067" i="19" s="1"/>
  <c r="G493" i="22" s="1"/>
  <c r="T1067" i="19"/>
  <c r="V1066" i="19"/>
  <c r="X1065" i="19"/>
  <c r="K1065" i="19" s="1"/>
  <c r="G491" i="22" s="1"/>
  <c r="T1065" i="19"/>
  <c r="V1064" i="19"/>
  <c r="U1063" i="19"/>
  <c r="W1062" i="19"/>
  <c r="S1062" i="19" s="1"/>
  <c r="U1061" i="19"/>
  <c r="W1060" i="19"/>
  <c r="S1060" i="19" s="1"/>
  <c r="U1059" i="19"/>
  <c r="X1058" i="19"/>
  <c r="K1058" i="19" s="1"/>
  <c r="T1058" i="19"/>
  <c r="V1057" i="19"/>
  <c r="X1056" i="19"/>
  <c r="K1056" i="19" s="1"/>
  <c r="G488" i="22" s="1"/>
  <c r="T1056" i="19"/>
  <c r="V1055" i="19"/>
  <c r="X1054" i="19"/>
  <c r="T1054" i="19"/>
  <c r="W1053" i="19"/>
  <c r="S1053" i="19" s="1"/>
  <c r="U1052" i="19"/>
  <c r="W1051" i="19"/>
  <c r="S1051" i="19" s="1"/>
  <c r="U1050" i="19"/>
  <c r="W1049" i="19"/>
  <c r="S1049" i="19" s="1"/>
  <c r="V1048" i="19"/>
  <c r="X1047" i="19"/>
  <c r="K1047" i="19" s="1"/>
  <c r="G483" i="22" s="1"/>
  <c r="T1047" i="19"/>
  <c r="V1046" i="19"/>
  <c r="X1045" i="19"/>
  <c r="K1045" i="19" s="1"/>
  <c r="G481" i="22" s="1"/>
  <c r="T1045" i="19"/>
  <c r="V1044" i="19"/>
  <c r="U1043" i="19"/>
  <c r="W1042" i="19"/>
  <c r="S1042" i="19" s="1"/>
  <c r="U1041" i="19"/>
  <c r="W1040" i="19"/>
  <c r="S1040" i="19" s="1"/>
  <c r="U1039" i="19"/>
  <c r="X1038" i="19"/>
  <c r="K1038" i="19" s="1"/>
  <c r="G479" i="22" s="1"/>
  <c r="T1038" i="19"/>
  <c r="V1037" i="19"/>
  <c r="X1036" i="19"/>
  <c r="K1036" i="19" s="1"/>
  <c r="G477" i="22" s="1"/>
  <c r="T1036" i="19"/>
  <c r="V1035" i="19"/>
  <c r="X1034" i="19"/>
  <c r="T1034" i="19"/>
  <c r="W1033" i="19"/>
  <c r="S1033" i="19" s="1"/>
  <c r="U1032" i="19"/>
  <c r="W1031" i="19"/>
  <c r="S1031" i="19" s="1"/>
  <c r="U1030" i="19"/>
  <c r="W1029" i="19"/>
  <c r="S1029" i="19" s="1"/>
  <c r="V1028" i="19"/>
  <c r="X1027" i="19"/>
  <c r="K1027" i="19" s="1"/>
  <c r="T1027" i="19"/>
  <c r="V1026" i="19"/>
  <c r="X1025" i="19"/>
  <c r="K1025" i="19" s="1"/>
  <c r="G472" i="22" s="1"/>
  <c r="T1025" i="19"/>
  <c r="V1024" i="19"/>
  <c r="U1023" i="19"/>
  <c r="W1022" i="19"/>
  <c r="S1022" i="19" s="1"/>
  <c r="U1021" i="19"/>
  <c r="W1020" i="19"/>
  <c r="S1020" i="19" s="1"/>
  <c r="U1019" i="19"/>
  <c r="X1018" i="19"/>
  <c r="K1018" i="19" s="1"/>
  <c r="T1018" i="19"/>
  <c r="V1017" i="19"/>
  <c r="X1016" i="19"/>
  <c r="K1016" i="19" s="1"/>
  <c r="G467" i="22" s="1"/>
  <c r="T1016" i="19"/>
  <c r="V1015" i="19"/>
  <c r="X1014" i="19"/>
  <c r="T1014" i="19"/>
  <c r="W1013" i="19"/>
  <c r="S1013" i="19" s="1"/>
  <c r="U1012" i="19"/>
  <c r="W1011" i="19"/>
  <c r="S1011" i="19" s="1"/>
  <c r="U1010" i="19"/>
  <c r="W1009" i="19"/>
  <c r="S1009" i="19" s="1"/>
  <c r="V1008" i="19"/>
  <c r="X1007" i="19"/>
  <c r="K1007" i="19" s="1"/>
  <c r="T1007" i="19"/>
  <c r="V1006" i="19"/>
  <c r="X1005" i="19"/>
  <c r="K1005" i="19" s="1"/>
  <c r="G462" i="22" s="1"/>
  <c r="T1005" i="19"/>
  <c r="V1004" i="19"/>
  <c r="U1003" i="19"/>
  <c r="W1002" i="19"/>
  <c r="S1002" i="19" s="1"/>
  <c r="U1001" i="19"/>
  <c r="W1000" i="19"/>
  <c r="S1000" i="19" s="1"/>
  <c r="U999" i="19"/>
  <c r="X998" i="19"/>
  <c r="K998" i="19" s="1"/>
  <c r="T998" i="19"/>
  <c r="V997" i="19"/>
  <c r="X996" i="19"/>
  <c r="K996" i="19" s="1"/>
  <c r="G458" i="22" s="1"/>
  <c r="T996" i="19"/>
  <c r="V995" i="19"/>
  <c r="X994" i="19"/>
  <c r="T994" i="19"/>
  <c r="W993" i="19"/>
  <c r="S993" i="19" s="1"/>
  <c r="U992" i="19"/>
  <c r="W991" i="19"/>
  <c r="S991" i="19" s="1"/>
  <c r="U990" i="19"/>
  <c r="W989" i="19"/>
  <c r="S989" i="19" s="1"/>
  <c r="V988" i="19"/>
  <c r="X987" i="19"/>
  <c r="K987" i="19" s="1"/>
  <c r="T987" i="19"/>
  <c r="V986" i="19"/>
  <c r="X985" i="19"/>
  <c r="K985" i="19" s="1"/>
  <c r="G454" i="22" s="1"/>
  <c r="T985" i="19"/>
  <c r="V984" i="19"/>
  <c r="U983" i="19"/>
  <c r="W982" i="19"/>
  <c r="S982" i="19" s="1"/>
  <c r="U981" i="19"/>
  <c r="W980" i="19"/>
  <c r="S980" i="19" s="1"/>
  <c r="U979" i="19"/>
  <c r="X978" i="19"/>
  <c r="K978" i="19" s="1"/>
  <c r="T978" i="19"/>
  <c r="V977" i="19"/>
  <c r="X976" i="19"/>
  <c r="K976" i="19" s="1"/>
  <c r="G452" i="22" s="1"/>
  <c r="T976" i="19"/>
  <c r="V975" i="19"/>
  <c r="X974" i="19"/>
  <c r="T974" i="19"/>
  <c r="W973" i="19"/>
  <c r="S973" i="19" s="1"/>
  <c r="U972" i="19"/>
  <c r="W971" i="19"/>
  <c r="S971" i="19" s="1"/>
  <c r="U970" i="19"/>
  <c r="W969" i="19"/>
  <c r="S969" i="19" s="1"/>
  <c r="V968" i="19"/>
  <c r="X967" i="19"/>
  <c r="K967" i="19" s="1"/>
  <c r="G448" i="22" s="1"/>
  <c r="T967" i="19"/>
  <c r="V966" i="19"/>
  <c r="X965" i="19"/>
  <c r="K965" i="19" s="1"/>
  <c r="G446" i="22" s="1"/>
  <c r="T965" i="19"/>
  <c r="V964" i="19"/>
  <c r="U963" i="19"/>
  <c r="W962" i="19"/>
  <c r="S962" i="19" s="1"/>
  <c r="U961" i="19"/>
  <c r="W960" i="19"/>
  <c r="S960" i="19" s="1"/>
  <c r="U959" i="19"/>
  <c r="X958" i="19"/>
  <c r="K958" i="19" s="1"/>
  <c r="T958" i="19"/>
  <c r="V957" i="19"/>
  <c r="X956" i="19"/>
  <c r="K956" i="19" s="1"/>
  <c r="G443" i="22" s="1"/>
  <c r="T956" i="19"/>
  <c r="V955" i="19"/>
  <c r="X954" i="19"/>
  <c r="T954" i="19"/>
  <c r="W953" i="19"/>
  <c r="S953" i="19" s="1"/>
  <c r="U952" i="19"/>
  <c r="W951" i="19"/>
  <c r="S951" i="19" s="1"/>
  <c r="U950" i="19"/>
  <c r="W949" i="19"/>
  <c r="S949" i="19" s="1"/>
  <c r="V948" i="19"/>
  <c r="X947" i="19"/>
  <c r="K947" i="19" s="1"/>
  <c r="G438" i="22" s="1"/>
  <c r="T947" i="19"/>
  <c r="V946" i="19"/>
  <c r="X945" i="19"/>
  <c r="K945" i="19" s="1"/>
  <c r="G436" i="22" s="1"/>
  <c r="T945" i="19"/>
  <c r="V944" i="19"/>
  <c r="U943" i="19"/>
  <c r="W942" i="19"/>
  <c r="S942" i="19" s="1"/>
  <c r="U941" i="19"/>
  <c r="W940" i="19"/>
  <c r="S940" i="19" s="1"/>
  <c r="U939" i="19"/>
  <c r="X938" i="19"/>
  <c r="K938" i="19" s="1"/>
  <c r="T938" i="19"/>
  <c r="V937" i="19"/>
  <c r="X936" i="19"/>
  <c r="K936" i="19" s="1"/>
  <c r="G432" i="22" s="1"/>
  <c r="T936" i="19"/>
  <c r="V935" i="19"/>
  <c r="X934" i="19"/>
  <c r="T934" i="19"/>
  <c r="W933" i="19"/>
  <c r="S933" i="19" s="1"/>
  <c r="U932" i="19"/>
  <c r="W931" i="19"/>
  <c r="S931" i="19" s="1"/>
  <c r="U930" i="19"/>
  <c r="W929" i="19"/>
  <c r="S929" i="19" s="1"/>
  <c r="V928" i="19"/>
  <c r="X927" i="19"/>
  <c r="K927" i="19" s="1"/>
  <c r="G428" i="22" s="1"/>
  <c r="T927" i="19"/>
  <c r="V926" i="19"/>
  <c r="X925" i="19"/>
  <c r="K925" i="19" s="1"/>
  <c r="G426" i="22" s="1"/>
  <c r="T925" i="19"/>
  <c r="V924" i="19"/>
  <c r="U923" i="19"/>
  <c r="W922" i="19"/>
  <c r="S922" i="19" s="1"/>
  <c r="U921" i="19"/>
  <c r="W920" i="19"/>
  <c r="S920" i="19" s="1"/>
  <c r="U919" i="19"/>
  <c r="X918" i="19"/>
  <c r="K918" i="19" s="1"/>
  <c r="T918" i="19"/>
  <c r="V917" i="19"/>
  <c r="X916" i="19"/>
  <c r="K916" i="19" s="1"/>
  <c r="G423" i="22" s="1"/>
  <c r="T916" i="19"/>
  <c r="V915" i="19"/>
  <c r="X914" i="19"/>
  <c r="T914" i="19"/>
  <c r="W913" i="19"/>
  <c r="S913" i="19" s="1"/>
  <c r="U912" i="19"/>
  <c r="W911" i="19"/>
  <c r="S911" i="19" s="1"/>
  <c r="U910" i="19"/>
  <c r="W909" i="19"/>
  <c r="S909" i="19" s="1"/>
  <c r="V908" i="19"/>
  <c r="X907" i="19"/>
  <c r="K907" i="19" s="1"/>
  <c r="G419" i="22" s="1"/>
  <c r="T907" i="19"/>
  <c r="V906" i="19"/>
  <c r="X905" i="19"/>
  <c r="K905" i="19" s="1"/>
  <c r="G417" i="22" s="1"/>
  <c r="T905" i="19"/>
  <c r="V904" i="19"/>
  <c r="U903" i="19"/>
  <c r="W902" i="19"/>
  <c r="S902" i="19" s="1"/>
  <c r="U901" i="19"/>
  <c r="W900" i="19"/>
  <c r="S900" i="19" s="1"/>
  <c r="U899" i="19"/>
  <c r="X898" i="19"/>
  <c r="K898" i="19" s="1"/>
  <c r="T898" i="19"/>
  <c r="V897" i="19"/>
  <c r="X896" i="19"/>
  <c r="K896" i="19" s="1"/>
  <c r="G413" i="22" s="1"/>
  <c r="T896" i="19"/>
  <c r="V895" i="19"/>
  <c r="X894" i="19"/>
  <c r="T894" i="19"/>
  <c r="W893" i="19"/>
  <c r="S893" i="19" s="1"/>
  <c r="U892" i="19"/>
  <c r="W891" i="19"/>
  <c r="S891" i="19" s="1"/>
  <c r="U890" i="19"/>
  <c r="W889" i="19"/>
  <c r="S889" i="19" s="1"/>
  <c r="V888" i="19"/>
  <c r="X887" i="19"/>
  <c r="K887" i="19" s="1"/>
  <c r="T887" i="19"/>
  <c r="V886" i="19"/>
  <c r="X885" i="19"/>
  <c r="K885" i="19" s="1"/>
  <c r="G408" i="22" s="1"/>
  <c r="T885" i="19"/>
  <c r="V884" i="19"/>
  <c r="U883" i="19"/>
  <c r="W882" i="19"/>
  <c r="S882" i="19" s="1"/>
  <c r="U881" i="19"/>
  <c r="W880" i="19"/>
  <c r="S880" i="19" s="1"/>
  <c r="U879" i="19"/>
  <c r="X878" i="19"/>
  <c r="K878" i="19" s="1"/>
  <c r="T878" i="19"/>
  <c r="V877" i="19"/>
  <c r="X876" i="19"/>
  <c r="K876" i="19" s="1"/>
  <c r="G404" i="22" s="1"/>
  <c r="T876" i="19"/>
  <c r="V875" i="19"/>
  <c r="X874" i="19"/>
  <c r="T874" i="19"/>
  <c r="W873" i="19"/>
  <c r="S873" i="19" s="1"/>
  <c r="U872" i="19"/>
  <c r="W871" i="19"/>
  <c r="S871" i="19" s="1"/>
  <c r="U870" i="19"/>
  <c r="W869" i="19"/>
  <c r="S869" i="19" s="1"/>
  <c r="V868" i="19"/>
  <c r="X867" i="19"/>
  <c r="K867" i="19" s="1"/>
  <c r="T867" i="19"/>
  <c r="V866" i="19"/>
  <c r="X865" i="19"/>
  <c r="K865" i="19" s="1"/>
  <c r="G398" i="22" s="1"/>
  <c r="T865" i="19"/>
  <c r="V864" i="19"/>
  <c r="U863" i="19"/>
  <c r="W862" i="19"/>
  <c r="S862" i="19" s="1"/>
  <c r="U861" i="19"/>
  <c r="W860" i="19"/>
  <c r="S860" i="19" s="1"/>
  <c r="U859" i="19"/>
  <c r="X858" i="19"/>
  <c r="K858" i="19" s="1"/>
  <c r="T858" i="19"/>
  <c r="V857" i="19"/>
  <c r="X856" i="19"/>
  <c r="K856" i="19" s="1"/>
  <c r="G396" i="22" s="1"/>
  <c r="T856" i="19"/>
  <c r="V855" i="19"/>
  <c r="X854" i="19"/>
  <c r="T854" i="19"/>
  <c r="W853" i="19"/>
  <c r="S853" i="19" s="1"/>
  <c r="U852" i="19"/>
  <c r="W851" i="19"/>
  <c r="S851" i="19" s="1"/>
  <c r="U850" i="19"/>
  <c r="W849" i="19"/>
  <c r="S849" i="19" s="1"/>
  <c r="V848" i="19"/>
  <c r="X847" i="19"/>
  <c r="K847" i="19" s="1"/>
  <c r="T847" i="19"/>
  <c r="V846" i="19"/>
  <c r="X845" i="19"/>
  <c r="K845" i="19" s="1"/>
  <c r="G390" i="22" s="1"/>
  <c r="T845" i="19"/>
  <c r="V844" i="19"/>
  <c r="U843" i="19"/>
  <c r="W842" i="19"/>
  <c r="S842" i="19" s="1"/>
  <c r="U841" i="19"/>
  <c r="W840" i="19"/>
  <c r="S840" i="19" s="1"/>
  <c r="U839" i="19"/>
  <c r="X838" i="19"/>
  <c r="K838" i="19" s="1"/>
  <c r="T838" i="19"/>
  <c r="V837" i="19"/>
  <c r="X836" i="19"/>
  <c r="K836" i="19" s="1"/>
  <c r="G385" i="22" s="1"/>
  <c r="T836" i="19"/>
  <c r="V835" i="19"/>
  <c r="X834" i="19"/>
  <c r="T834" i="19"/>
  <c r="W833" i="19"/>
  <c r="S833" i="19" s="1"/>
  <c r="U832" i="19"/>
  <c r="W831" i="19"/>
  <c r="S831" i="19" s="1"/>
  <c r="U830" i="19"/>
  <c r="W829" i="19"/>
  <c r="S829" i="19" s="1"/>
  <c r="V828" i="19"/>
  <c r="X827" i="19"/>
  <c r="K827" i="19" s="1"/>
  <c r="T827" i="19"/>
  <c r="V826" i="19"/>
  <c r="X825" i="19"/>
  <c r="K825" i="19" s="1"/>
  <c r="G380" i="22" s="1"/>
  <c r="T825" i="19"/>
  <c r="V824" i="19"/>
  <c r="U823" i="19"/>
  <c r="W822" i="19"/>
  <c r="S822" i="19" s="1"/>
  <c r="U821" i="19"/>
  <c r="W820" i="19"/>
  <c r="S820" i="19" s="1"/>
  <c r="U819" i="19"/>
  <c r="X818" i="19"/>
  <c r="K818" i="19" s="1"/>
  <c r="T818" i="19"/>
  <c r="V817" i="19"/>
  <c r="X816" i="19"/>
  <c r="K816" i="19" s="1"/>
  <c r="G378" i="22" s="1"/>
  <c r="T816" i="19"/>
  <c r="V815" i="19"/>
  <c r="X814" i="19"/>
  <c r="T814" i="19"/>
  <c r="W813" i="19"/>
  <c r="S813" i="19" s="1"/>
  <c r="U812" i="19"/>
  <c r="W811" i="19"/>
  <c r="S811" i="19" s="1"/>
  <c r="U810" i="19"/>
  <c r="W809" i="19"/>
  <c r="S809" i="19" s="1"/>
  <c r="V808" i="19"/>
  <c r="X807" i="19"/>
  <c r="K807" i="19" s="1"/>
  <c r="T807" i="19"/>
  <c r="V806" i="19"/>
  <c r="X805" i="19"/>
  <c r="K805" i="19" s="1"/>
  <c r="G374" i="22" s="1"/>
  <c r="T805" i="19"/>
  <c r="V804" i="19"/>
  <c r="U803" i="19"/>
  <c r="W802" i="19"/>
  <c r="S802" i="19" s="1"/>
  <c r="U801" i="19"/>
  <c r="W800" i="19"/>
  <c r="S800" i="19" s="1"/>
  <c r="U799" i="19"/>
  <c r="X798" i="19"/>
  <c r="K798" i="19" s="1"/>
  <c r="T798" i="19"/>
  <c r="V797" i="19"/>
  <c r="X796" i="19"/>
  <c r="K796" i="19" s="1"/>
  <c r="G372" i="22" s="1"/>
  <c r="T796" i="19"/>
  <c r="V795" i="19"/>
  <c r="X794" i="19"/>
  <c r="T794" i="19"/>
  <c r="W793" i="19"/>
  <c r="S793" i="19" s="1"/>
  <c r="U792" i="19"/>
  <c r="W791" i="19"/>
  <c r="S791" i="19" s="1"/>
  <c r="U790" i="19"/>
  <c r="W789" i="19"/>
  <c r="S789" i="19" s="1"/>
  <c r="V788" i="19"/>
  <c r="X787" i="19"/>
  <c r="K787" i="19" s="1"/>
  <c r="G368" i="22" s="1"/>
  <c r="T787" i="19"/>
  <c r="V786" i="19"/>
  <c r="X785" i="19"/>
  <c r="K785" i="19" s="1"/>
  <c r="G366" i="22" s="1"/>
  <c r="T785" i="19"/>
  <c r="V784" i="19"/>
  <c r="U783" i="19"/>
  <c r="W782" i="19"/>
  <c r="S782" i="19" s="1"/>
  <c r="U781" i="19"/>
  <c r="W780" i="19"/>
  <c r="S780" i="19" s="1"/>
  <c r="U779" i="19"/>
  <c r="X778" i="19"/>
  <c r="K778" i="19" s="1"/>
  <c r="T778" i="19"/>
  <c r="V777" i="19"/>
  <c r="X776" i="19"/>
  <c r="K776" i="19" s="1"/>
  <c r="G363" i="22" s="1"/>
  <c r="T776" i="19"/>
  <c r="V775" i="19"/>
  <c r="X774" i="19"/>
  <c r="T774" i="19"/>
  <c r="W773" i="19"/>
  <c r="S773" i="19" s="1"/>
  <c r="U772" i="19"/>
  <c r="W771" i="19"/>
  <c r="S771" i="19" s="1"/>
  <c r="U770" i="19"/>
  <c r="W769" i="19"/>
  <c r="S769" i="19" s="1"/>
  <c r="V768" i="19"/>
  <c r="X767" i="19"/>
  <c r="K767" i="19" s="1"/>
  <c r="T767" i="19"/>
  <c r="V766" i="19"/>
  <c r="X765" i="19"/>
  <c r="K765" i="19" s="1"/>
  <c r="G360" i="22" s="1"/>
  <c r="T765" i="19"/>
  <c r="V764" i="19"/>
  <c r="U763" i="19"/>
  <c r="W762" i="19"/>
  <c r="S762" i="19" s="1"/>
  <c r="U761" i="19"/>
  <c r="W760" i="19"/>
  <c r="S760" i="19" s="1"/>
  <c r="U759" i="19"/>
  <c r="X758" i="19"/>
  <c r="K758" i="19" s="1"/>
  <c r="T758" i="19"/>
  <c r="V757" i="19"/>
  <c r="X756" i="19"/>
  <c r="K756" i="19" s="1"/>
  <c r="T756" i="19"/>
  <c r="V755" i="19"/>
  <c r="X754" i="19"/>
  <c r="T754" i="19"/>
  <c r="W753" i="19"/>
  <c r="S753" i="19" s="1"/>
  <c r="U752" i="19"/>
  <c r="W751" i="19"/>
  <c r="S751" i="19" s="1"/>
  <c r="U750" i="19"/>
  <c r="W749" i="19"/>
  <c r="S749" i="19" s="1"/>
  <c r="U1245" i="19"/>
  <c r="U1236" i="19"/>
  <c r="T1231" i="19"/>
  <c r="X1230" i="19"/>
  <c r="K1230" i="19" s="1"/>
  <c r="G570" i="22" s="1"/>
  <c r="T1230" i="19"/>
  <c r="V1229" i="19"/>
  <c r="U1228" i="19"/>
  <c r="W1227" i="19"/>
  <c r="S1227" i="19" s="1"/>
  <c r="U1226" i="19"/>
  <c r="W1225" i="19"/>
  <c r="S1225" i="19" s="1"/>
  <c r="U1224" i="19"/>
  <c r="X1223" i="19"/>
  <c r="K1223" i="19" s="1"/>
  <c r="T1223" i="19"/>
  <c r="V1222" i="19"/>
  <c r="X1221" i="19"/>
  <c r="K1221" i="19" s="1"/>
  <c r="G566" i="22" s="1"/>
  <c r="T1221" i="19"/>
  <c r="V1220" i="19"/>
  <c r="X1219" i="19"/>
  <c r="T1219" i="19"/>
  <c r="W1218" i="19"/>
  <c r="S1218" i="19" s="1"/>
  <c r="U1217" i="19"/>
  <c r="W1216" i="19"/>
  <c r="S1216" i="19" s="1"/>
  <c r="U1215" i="19"/>
  <c r="W1214" i="19"/>
  <c r="S1214" i="19" s="1"/>
  <c r="V1213" i="19"/>
  <c r="X1212" i="19"/>
  <c r="K1212" i="19" s="1"/>
  <c r="G562" i="22" s="1"/>
  <c r="T1212" i="19"/>
  <c r="V1211" i="19"/>
  <c r="X1210" i="19"/>
  <c r="K1210" i="19" s="1"/>
  <c r="G560" i="22" s="1"/>
  <c r="T1210" i="19"/>
  <c r="V1209" i="19"/>
  <c r="U1208" i="19"/>
  <c r="W1207" i="19"/>
  <c r="S1207" i="19" s="1"/>
  <c r="U1206" i="19"/>
  <c r="W1205" i="19"/>
  <c r="S1205" i="19" s="1"/>
  <c r="U1204" i="19"/>
  <c r="X1203" i="19"/>
  <c r="K1203" i="19" s="1"/>
  <c r="T1203" i="19"/>
  <c r="V1202" i="19"/>
  <c r="X1201" i="19"/>
  <c r="K1201" i="19" s="1"/>
  <c r="T1201" i="19"/>
  <c r="V1200" i="19"/>
  <c r="X1199" i="19"/>
  <c r="T1199" i="19"/>
  <c r="W1198" i="19"/>
  <c r="S1198" i="19" s="1"/>
  <c r="U1197" i="19"/>
  <c r="W1196" i="19"/>
  <c r="S1196" i="19" s="1"/>
  <c r="U1195" i="19"/>
  <c r="W1194" i="19"/>
  <c r="S1194" i="19" s="1"/>
  <c r="V1193" i="19"/>
  <c r="X1192" i="19"/>
  <c r="K1192" i="19" s="1"/>
  <c r="T1192" i="19"/>
  <c r="V1191" i="19"/>
  <c r="X1190" i="19"/>
  <c r="K1190" i="19" s="1"/>
  <c r="G551" i="22" s="1"/>
  <c r="T1190" i="19"/>
  <c r="V1189" i="19"/>
  <c r="U1188" i="19"/>
  <c r="W1187" i="19"/>
  <c r="S1187" i="19" s="1"/>
  <c r="U1186" i="19"/>
  <c r="W1185" i="19"/>
  <c r="S1185" i="19" s="1"/>
  <c r="U1184" i="19"/>
  <c r="X1183" i="19"/>
  <c r="K1183" i="19" s="1"/>
  <c r="T1183" i="19"/>
  <c r="V1182" i="19"/>
  <c r="X1181" i="19"/>
  <c r="K1181" i="19" s="1"/>
  <c r="G548" i="22" s="1"/>
  <c r="T1181" i="19"/>
  <c r="V1180" i="19"/>
  <c r="X1179" i="19"/>
  <c r="T1179" i="19"/>
  <c r="W1178" i="19"/>
  <c r="S1178" i="19" s="1"/>
  <c r="U1177" i="19"/>
  <c r="W1176" i="19"/>
  <c r="S1176" i="19" s="1"/>
  <c r="U1175" i="19"/>
  <c r="W1174" i="19"/>
  <c r="S1174" i="19" s="1"/>
  <c r="V1173" i="19"/>
  <c r="X1172" i="19"/>
  <c r="K1172" i="19" s="1"/>
  <c r="T1172" i="19"/>
  <c r="V1171" i="19"/>
  <c r="X1170" i="19"/>
  <c r="K1170" i="19" s="1"/>
  <c r="G542" i="22" s="1"/>
  <c r="T1170" i="19"/>
  <c r="V1169" i="19"/>
  <c r="U1168" i="19"/>
  <c r="W1167" i="19"/>
  <c r="S1167" i="19" s="1"/>
  <c r="U1166" i="19"/>
  <c r="W1165" i="19"/>
  <c r="S1165" i="19" s="1"/>
  <c r="U1164" i="19"/>
  <c r="X1163" i="19"/>
  <c r="K1163" i="19" s="1"/>
  <c r="T1163" i="19"/>
  <c r="V1162" i="19"/>
  <c r="X1161" i="19"/>
  <c r="K1161" i="19" s="1"/>
  <c r="T1161" i="19"/>
  <c r="V1160" i="19"/>
  <c r="X1159" i="19"/>
  <c r="T1159" i="19"/>
  <c r="W1158" i="19"/>
  <c r="S1158" i="19" s="1"/>
  <c r="U1157" i="19"/>
  <c r="W1156" i="19"/>
  <c r="S1156" i="19" s="1"/>
  <c r="U1155" i="19"/>
  <c r="W1154" i="19"/>
  <c r="S1154" i="19" s="1"/>
  <c r="V1153" i="19"/>
  <c r="X1152" i="19"/>
  <c r="K1152" i="19" s="1"/>
  <c r="T1152" i="19"/>
  <c r="V1151" i="19"/>
  <c r="X1150" i="19"/>
  <c r="K1150" i="19" s="1"/>
  <c r="G534" i="22" s="1"/>
  <c r="T1150" i="19"/>
  <c r="V1149" i="19"/>
  <c r="U1148" i="19"/>
  <c r="W1147" i="19"/>
  <c r="S1147" i="19" s="1"/>
  <c r="U1146" i="19"/>
  <c r="W1145" i="19"/>
  <c r="S1145" i="19" s="1"/>
  <c r="U1144" i="19"/>
  <c r="X1143" i="19"/>
  <c r="K1143" i="19" s="1"/>
  <c r="T1143" i="19"/>
  <c r="V1142" i="19"/>
  <c r="X1141" i="19"/>
  <c r="K1141" i="19" s="1"/>
  <c r="G530" i="22" s="1"/>
  <c r="T1141" i="19"/>
  <c r="V1140" i="19"/>
  <c r="X1139" i="19"/>
  <c r="T1139" i="19"/>
  <c r="W1138" i="19"/>
  <c r="S1138" i="19" s="1"/>
  <c r="U1137" i="19"/>
  <c r="W1136" i="19"/>
  <c r="S1136" i="19" s="1"/>
  <c r="U1135" i="19"/>
  <c r="W1134" i="19"/>
  <c r="S1134" i="19" s="1"/>
  <c r="V1133" i="19"/>
  <c r="X1132" i="19"/>
  <c r="K1132" i="19" s="1"/>
  <c r="T1132" i="19"/>
  <c r="V1131" i="19"/>
  <c r="X1130" i="19"/>
  <c r="K1130" i="19" s="1"/>
  <c r="G525" i="22" s="1"/>
  <c r="T1130" i="19"/>
  <c r="V1129" i="19"/>
  <c r="U1128" i="19"/>
  <c r="W1127" i="19"/>
  <c r="S1127" i="19" s="1"/>
  <c r="U1126" i="19"/>
  <c r="W1125" i="19"/>
  <c r="S1125" i="19" s="1"/>
  <c r="U1124" i="19"/>
  <c r="X1123" i="19"/>
  <c r="K1123" i="19" s="1"/>
  <c r="T1123" i="19"/>
  <c r="V1122" i="19"/>
  <c r="X1121" i="19"/>
  <c r="K1121" i="19" s="1"/>
  <c r="G520" i="22" s="1"/>
  <c r="T1121" i="19"/>
  <c r="V1120" i="19"/>
  <c r="X1119" i="19"/>
  <c r="T1119" i="19"/>
  <c r="W1118" i="19"/>
  <c r="S1118" i="19" s="1"/>
  <c r="U1117" i="19"/>
  <c r="W1116" i="19"/>
  <c r="S1116" i="19" s="1"/>
  <c r="U1115" i="19"/>
  <c r="W1114" i="19"/>
  <c r="S1114" i="19" s="1"/>
  <c r="V1113" i="19"/>
  <c r="X1112" i="19"/>
  <c r="K1112" i="19" s="1"/>
  <c r="T1112" i="19"/>
  <c r="V1111" i="19"/>
  <c r="X1110" i="19"/>
  <c r="K1110" i="19" s="1"/>
  <c r="G514" i="22" s="1"/>
  <c r="T1110" i="19"/>
  <c r="V1109" i="19"/>
  <c r="U1108" i="19"/>
  <c r="W1107" i="19"/>
  <c r="S1107" i="19" s="1"/>
  <c r="U1106" i="19"/>
  <c r="W1105" i="19"/>
  <c r="S1105" i="19" s="1"/>
  <c r="U1104" i="19"/>
  <c r="X1103" i="19"/>
  <c r="K1103" i="19" s="1"/>
  <c r="T1103" i="19"/>
  <c r="V1102" i="19"/>
  <c r="X1101" i="19"/>
  <c r="K1101" i="19" s="1"/>
  <c r="G510" i="22" s="1"/>
  <c r="T1101" i="19"/>
  <c r="V1100" i="19"/>
  <c r="X1099" i="19"/>
  <c r="T1099" i="19"/>
  <c r="W1098" i="19"/>
  <c r="S1098" i="19" s="1"/>
  <c r="U1097" i="19"/>
  <c r="W1096" i="19"/>
  <c r="S1096" i="19" s="1"/>
  <c r="U1095" i="19"/>
  <c r="W1094" i="19"/>
  <c r="S1094" i="19" s="1"/>
  <c r="V1093" i="19"/>
  <c r="X1092" i="19"/>
  <c r="K1092" i="19" s="1"/>
  <c r="T1092" i="19"/>
  <c r="V1091" i="19"/>
  <c r="X1090" i="19"/>
  <c r="K1090" i="19" s="1"/>
  <c r="G504" i="22" s="1"/>
  <c r="T1090" i="19"/>
  <c r="V1089" i="19"/>
  <c r="U1088" i="19"/>
  <c r="W1087" i="19"/>
  <c r="S1087" i="19" s="1"/>
  <c r="U1086" i="19"/>
  <c r="W1085" i="19"/>
  <c r="S1085" i="19" s="1"/>
  <c r="U1084" i="19"/>
  <c r="X1083" i="19"/>
  <c r="K1083" i="19" s="1"/>
  <c r="T1083" i="19"/>
  <c r="V1082" i="19"/>
  <c r="X1081" i="19"/>
  <c r="K1081" i="19" s="1"/>
  <c r="G500" i="22" s="1"/>
  <c r="T1081" i="19"/>
  <c r="V1080" i="19"/>
  <c r="X1079" i="19"/>
  <c r="T1079" i="19"/>
  <c r="W1078" i="19"/>
  <c r="S1078" i="19" s="1"/>
  <c r="U1077" i="19"/>
  <c r="W1076" i="19"/>
  <c r="S1076" i="19" s="1"/>
  <c r="U1075" i="19"/>
  <c r="W1074" i="19"/>
  <c r="S1074" i="19" s="1"/>
  <c r="V1073" i="19"/>
  <c r="X1072" i="19"/>
  <c r="K1072" i="19" s="1"/>
  <c r="G496" i="22" s="1"/>
  <c r="T1072" i="19"/>
  <c r="V1071" i="19"/>
  <c r="X1070" i="19"/>
  <c r="K1070" i="19" s="1"/>
  <c r="G494" i="22" s="1"/>
  <c r="T1070" i="19"/>
  <c r="V1069" i="19"/>
  <c r="U1068" i="19"/>
  <c r="W1067" i="19"/>
  <c r="S1067" i="19" s="1"/>
  <c r="U1066" i="19"/>
  <c r="W1065" i="19"/>
  <c r="S1065" i="19" s="1"/>
  <c r="U1064" i="19"/>
  <c r="X1063" i="19"/>
  <c r="K1063" i="19" s="1"/>
  <c r="T1063" i="19"/>
  <c r="V1062" i="19"/>
  <c r="X1061" i="19"/>
  <c r="K1061" i="19" s="1"/>
  <c r="G490" i="22" s="1"/>
  <c r="T1061" i="19"/>
  <c r="V1060" i="19"/>
  <c r="X1059" i="19"/>
  <c r="T1059" i="19"/>
  <c r="W1058" i="19"/>
  <c r="S1058" i="19" s="1"/>
  <c r="U1057" i="19"/>
  <c r="W1056" i="19"/>
  <c r="S1056" i="19" s="1"/>
  <c r="U1055" i="19"/>
  <c r="W1054" i="19"/>
  <c r="S1054" i="19" s="1"/>
  <c r="V1053" i="19"/>
  <c r="X1052" i="19"/>
  <c r="K1052" i="19" s="1"/>
  <c r="T1052" i="19"/>
  <c r="V1051" i="19"/>
  <c r="X1050" i="19"/>
  <c r="K1050" i="19" s="1"/>
  <c r="G485" i="22" s="1"/>
  <c r="T1050" i="19"/>
  <c r="V1049" i="19"/>
  <c r="U1048" i="19"/>
  <c r="W1047" i="19"/>
  <c r="S1047" i="19" s="1"/>
  <c r="U1046" i="19"/>
  <c r="W1045" i="19"/>
  <c r="S1045" i="19" s="1"/>
  <c r="U1044" i="19"/>
  <c r="X1043" i="19"/>
  <c r="K1043" i="19" s="1"/>
  <c r="T1043" i="19"/>
  <c r="V1042" i="19"/>
  <c r="X1041" i="19"/>
  <c r="K1041" i="19" s="1"/>
  <c r="T1041" i="19"/>
  <c r="V1040" i="19"/>
  <c r="X1039" i="19"/>
  <c r="T1039" i="19"/>
  <c r="W1038" i="19"/>
  <c r="S1038" i="19" s="1"/>
  <c r="U1037" i="19"/>
  <c r="W1036" i="19"/>
  <c r="S1036" i="19" s="1"/>
  <c r="U1035" i="19"/>
  <c r="W1034" i="19"/>
  <c r="S1034" i="19" s="1"/>
  <c r="V1033" i="19"/>
  <c r="X1032" i="19"/>
  <c r="K1032" i="19" s="1"/>
  <c r="T1032" i="19"/>
  <c r="V1031" i="19"/>
  <c r="X1030" i="19"/>
  <c r="K1030" i="19" s="1"/>
  <c r="G474" i="22" s="1"/>
  <c r="T1030" i="19"/>
  <c r="V1029" i="19"/>
  <c r="U1028" i="19"/>
  <c r="W1027" i="19"/>
  <c r="S1027" i="19" s="1"/>
  <c r="U1026" i="19"/>
  <c r="W1025" i="19"/>
  <c r="S1025" i="19" s="1"/>
  <c r="U1024" i="19"/>
  <c r="X1023" i="19"/>
  <c r="K1023" i="19" s="1"/>
  <c r="T1023" i="19"/>
  <c r="V1022" i="19"/>
  <c r="X1021" i="19"/>
  <c r="K1021" i="19" s="1"/>
  <c r="G470" i="22" s="1"/>
  <c r="T1021" i="19"/>
  <c r="V1020" i="19"/>
  <c r="X1019" i="19"/>
  <c r="T1019" i="19"/>
  <c r="W1018" i="19"/>
  <c r="S1018" i="19" s="1"/>
  <c r="U1017" i="19"/>
  <c r="W1016" i="19"/>
  <c r="S1016" i="19" s="1"/>
  <c r="U1015" i="19"/>
  <c r="W1014" i="19"/>
  <c r="S1014" i="19" s="1"/>
  <c r="V1013" i="19"/>
  <c r="X1012" i="19"/>
  <c r="K1012" i="19" s="1"/>
  <c r="G465" i="22" s="1"/>
  <c r="T1012" i="19"/>
  <c r="V1011" i="19"/>
  <c r="X1010" i="19"/>
  <c r="K1010" i="19" s="1"/>
  <c r="G463" i="22" s="1"/>
  <c r="T1010" i="19"/>
  <c r="V1009" i="19"/>
  <c r="U1008" i="19"/>
  <c r="W1007" i="19"/>
  <c r="S1007" i="19" s="1"/>
  <c r="U1006" i="19"/>
  <c r="W1005" i="19"/>
  <c r="S1005" i="19" s="1"/>
  <c r="U1004" i="19"/>
  <c r="X1003" i="19"/>
  <c r="K1003" i="19" s="1"/>
  <c r="T1003" i="19"/>
  <c r="V1002" i="19"/>
  <c r="X1001" i="19"/>
  <c r="K1001" i="19" s="1"/>
  <c r="G460" i="22" s="1"/>
  <c r="T1001" i="19"/>
  <c r="V1000" i="19"/>
  <c r="X999" i="19"/>
  <c r="T999" i="19"/>
  <c r="W998" i="19"/>
  <c r="S998" i="19" s="1"/>
  <c r="U997" i="19"/>
  <c r="W996" i="19"/>
  <c r="S996" i="19" s="1"/>
  <c r="U995" i="19"/>
  <c r="W994" i="19"/>
  <c r="S994" i="19" s="1"/>
  <c r="V993" i="19"/>
  <c r="X992" i="19"/>
  <c r="K992" i="19" s="1"/>
  <c r="T992" i="19"/>
  <c r="V991" i="19"/>
  <c r="X990" i="19"/>
  <c r="K990" i="19" s="1"/>
  <c r="G456" i="22" s="1"/>
  <c r="T990" i="19"/>
  <c r="V989" i="19"/>
  <c r="U988" i="19"/>
  <c r="W987" i="19"/>
  <c r="S987" i="19" s="1"/>
  <c r="U986" i="19"/>
  <c r="W985" i="19"/>
  <c r="S985" i="19" s="1"/>
  <c r="U984" i="19"/>
  <c r="X983" i="19"/>
  <c r="K983" i="19" s="1"/>
  <c r="T983" i="19"/>
  <c r="V982" i="19"/>
  <c r="X981" i="19"/>
  <c r="K981" i="19" s="1"/>
  <c r="T981" i="19"/>
  <c r="V980" i="19"/>
  <c r="X979" i="19"/>
  <c r="T979" i="19"/>
  <c r="W978" i="19"/>
  <c r="S978" i="19" s="1"/>
  <c r="U977" i="19"/>
  <c r="W976" i="19"/>
  <c r="S976" i="19" s="1"/>
  <c r="U975" i="19"/>
  <c r="W974" i="19"/>
  <c r="S974" i="19" s="1"/>
  <c r="V973" i="19"/>
  <c r="X972" i="19"/>
  <c r="K972" i="19" s="1"/>
  <c r="T972" i="19"/>
  <c r="V971" i="19"/>
  <c r="X970" i="19"/>
  <c r="K970" i="19" s="1"/>
  <c r="G449" i="22" s="1"/>
  <c r="T970" i="19"/>
  <c r="V969" i="19"/>
  <c r="U968" i="19"/>
  <c r="W967" i="19"/>
  <c r="S967" i="19" s="1"/>
  <c r="U966" i="19"/>
  <c r="W965" i="19"/>
  <c r="S965" i="19" s="1"/>
  <c r="U964" i="19"/>
  <c r="X963" i="19"/>
  <c r="K963" i="19" s="1"/>
  <c r="T963" i="19"/>
  <c r="V962" i="19"/>
  <c r="X961" i="19"/>
  <c r="K961" i="19" s="1"/>
  <c r="G445" i="22" s="1"/>
  <c r="T961" i="19"/>
  <c r="V960" i="19"/>
  <c r="X959" i="19"/>
  <c r="T959" i="19"/>
  <c r="W958" i="19"/>
  <c r="S958" i="19" s="1"/>
  <c r="U957" i="19"/>
  <c r="W956" i="19"/>
  <c r="S956" i="19" s="1"/>
  <c r="U955" i="19"/>
  <c r="W954" i="19"/>
  <c r="S954" i="19" s="1"/>
  <c r="V953" i="19"/>
  <c r="X952" i="19"/>
  <c r="K952" i="19" s="1"/>
  <c r="G441" i="22" s="1"/>
  <c r="T952" i="19"/>
  <c r="V951" i="19"/>
  <c r="X950" i="19"/>
  <c r="K950" i="19" s="1"/>
  <c r="G439" i="22" s="1"/>
  <c r="T950" i="19"/>
  <c r="V949" i="19"/>
  <c r="U948" i="19"/>
  <c r="W947" i="19"/>
  <c r="S947" i="19" s="1"/>
  <c r="U946" i="19"/>
  <c r="W945" i="19"/>
  <c r="S945" i="19" s="1"/>
  <c r="U944" i="19"/>
  <c r="X943" i="19"/>
  <c r="K943" i="19" s="1"/>
  <c r="T943" i="19"/>
  <c r="V942" i="19"/>
  <c r="X941" i="19"/>
  <c r="K941" i="19" s="1"/>
  <c r="G434" i="22" s="1"/>
  <c r="T941" i="19"/>
  <c r="V940" i="19"/>
  <c r="X939" i="19"/>
  <c r="T939" i="19"/>
  <c r="W938" i="19"/>
  <c r="S938" i="19" s="1"/>
  <c r="U937" i="19"/>
  <c r="W936" i="19"/>
  <c r="S936" i="19" s="1"/>
  <c r="U935" i="19"/>
  <c r="W934" i="19"/>
  <c r="S934" i="19" s="1"/>
  <c r="V933" i="19"/>
  <c r="X932" i="19"/>
  <c r="K932" i="19" s="1"/>
  <c r="T932" i="19"/>
  <c r="V931" i="19"/>
  <c r="X930" i="19"/>
  <c r="K930" i="19" s="1"/>
  <c r="G429" i="22" s="1"/>
  <c r="T930" i="19"/>
  <c r="V929" i="19"/>
  <c r="U928" i="19"/>
  <c r="W927" i="19"/>
  <c r="S927" i="19" s="1"/>
  <c r="U926" i="19"/>
  <c r="W925" i="19"/>
  <c r="S925" i="19" s="1"/>
  <c r="U924" i="19"/>
  <c r="X923" i="19"/>
  <c r="K923" i="19" s="1"/>
  <c r="T923" i="19"/>
  <c r="V922" i="19"/>
  <c r="X921" i="19"/>
  <c r="K921" i="19" s="1"/>
  <c r="G425" i="22" s="1"/>
  <c r="T921" i="19"/>
  <c r="V920" i="19"/>
  <c r="X919" i="19"/>
  <c r="T919" i="19"/>
  <c r="W918" i="19"/>
  <c r="S918" i="19" s="1"/>
  <c r="U917" i="19"/>
  <c r="W916" i="19"/>
  <c r="S916" i="19" s="1"/>
  <c r="U915" i="19"/>
  <c r="W914" i="19"/>
  <c r="S914" i="19" s="1"/>
  <c r="V913" i="19"/>
  <c r="X912" i="19"/>
  <c r="K912" i="19" s="1"/>
  <c r="T912" i="19"/>
  <c r="V911" i="19"/>
  <c r="X910" i="19"/>
  <c r="K910" i="19" s="1"/>
  <c r="G420" i="22" s="1"/>
  <c r="T910" i="19"/>
  <c r="V909" i="19"/>
  <c r="U908" i="19"/>
  <c r="W907" i="19"/>
  <c r="S907" i="19" s="1"/>
  <c r="U906" i="19"/>
  <c r="W905" i="19"/>
  <c r="S905" i="19" s="1"/>
  <c r="U904" i="19"/>
  <c r="X903" i="19"/>
  <c r="K903" i="19" s="1"/>
  <c r="T903" i="19"/>
  <c r="V902" i="19"/>
  <c r="X901" i="19"/>
  <c r="K901" i="19" s="1"/>
  <c r="G415" i="22" s="1"/>
  <c r="T901" i="19"/>
  <c r="V900" i="19"/>
  <c r="X899" i="19"/>
  <c r="T899" i="19"/>
  <c r="W898" i="19"/>
  <c r="S898" i="19" s="1"/>
  <c r="U897" i="19"/>
  <c r="W896" i="19"/>
  <c r="S896" i="19" s="1"/>
  <c r="U895" i="19"/>
  <c r="W894" i="19"/>
  <c r="S894" i="19" s="1"/>
  <c r="V893" i="19"/>
  <c r="X892" i="19"/>
  <c r="K892" i="19" s="1"/>
  <c r="G411" i="22" s="1"/>
  <c r="T892" i="19"/>
  <c r="V891" i="19"/>
  <c r="X890" i="19"/>
  <c r="K890" i="19" s="1"/>
  <c r="G409" i="22" s="1"/>
  <c r="T890" i="19"/>
  <c r="V889" i="19"/>
  <c r="U888" i="19"/>
  <c r="W887" i="19"/>
  <c r="S887" i="19" s="1"/>
  <c r="U886" i="19"/>
  <c r="W885" i="19"/>
  <c r="S885" i="19" s="1"/>
  <c r="U884" i="19"/>
  <c r="X883" i="19"/>
  <c r="K883" i="19" s="1"/>
  <c r="T883" i="19"/>
  <c r="V882" i="19"/>
  <c r="X881" i="19"/>
  <c r="K881" i="19" s="1"/>
  <c r="G406" i="22" s="1"/>
  <c r="T881" i="19"/>
  <c r="V880" i="19"/>
  <c r="X879" i="19"/>
  <c r="T879" i="19"/>
  <c r="W878" i="19"/>
  <c r="S878" i="19" s="1"/>
  <c r="U877" i="19"/>
  <c r="W876" i="19"/>
  <c r="S876" i="19" s="1"/>
  <c r="U875" i="19"/>
  <c r="W874" i="19"/>
  <c r="S874" i="19" s="1"/>
  <c r="V873" i="19"/>
  <c r="X872" i="19"/>
  <c r="K872" i="19" s="1"/>
  <c r="G402" i="22" s="1"/>
  <c r="T872" i="19"/>
  <c r="V871" i="19"/>
  <c r="X870" i="19"/>
  <c r="K870" i="19" s="1"/>
  <c r="G400" i="22" s="1"/>
  <c r="T870" i="19"/>
  <c r="V869" i="19"/>
  <c r="U868" i="19"/>
  <c r="W867" i="19"/>
  <c r="S867" i="19" s="1"/>
  <c r="U866" i="19"/>
  <c r="W865" i="19"/>
  <c r="S865" i="19" s="1"/>
  <c r="U864" i="19"/>
  <c r="X863" i="19"/>
  <c r="K863" i="19" s="1"/>
  <c r="T863" i="19"/>
  <c r="V862" i="19"/>
  <c r="X861" i="19"/>
  <c r="K861" i="19" s="1"/>
  <c r="T861" i="19"/>
  <c r="V860" i="19"/>
  <c r="X859" i="19"/>
  <c r="T859" i="19"/>
  <c r="W858" i="19"/>
  <c r="S858" i="19" s="1"/>
  <c r="U857" i="19"/>
  <c r="W856" i="19"/>
  <c r="S856" i="19" s="1"/>
  <c r="U855" i="19"/>
  <c r="W854" i="19"/>
  <c r="S854" i="19" s="1"/>
  <c r="V853" i="19"/>
  <c r="X852" i="19"/>
  <c r="K852" i="19" s="1"/>
  <c r="G394" i="22" s="1"/>
  <c r="T852" i="19"/>
  <c r="V851" i="19"/>
  <c r="X850" i="19"/>
  <c r="K850" i="19" s="1"/>
  <c r="G392" i="22" s="1"/>
  <c r="T850" i="19"/>
  <c r="V849" i="19"/>
  <c r="U848" i="19"/>
  <c r="W847" i="19"/>
  <c r="S847" i="19" s="1"/>
  <c r="U846" i="19"/>
  <c r="W845" i="19"/>
  <c r="S845" i="19" s="1"/>
  <c r="U844" i="19"/>
  <c r="X843" i="19"/>
  <c r="K843" i="19" s="1"/>
  <c r="T843" i="19"/>
  <c r="V842" i="19"/>
  <c r="X841" i="19"/>
  <c r="K841" i="19" s="1"/>
  <c r="G388" i="22" s="1"/>
  <c r="T841" i="19"/>
  <c r="V840" i="19"/>
  <c r="X839" i="19"/>
  <c r="T839" i="19"/>
  <c r="W838" i="19"/>
  <c r="S838" i="19" s="1"/>
  <c r="U837" i="19"/>
  <c r="W836" i="19"/>
  <c r="S836" i="19" s="1"/>
  <c r="U835" i="19"/>
  <c r="W834" i="19"/>
  <c r="S834" i="19" s="1"/>
  <c r="V833" i="19"/>
  <c r="X832" i="19"/>
  <c r="K832" i="19" s="1"/>
  <c r="T832" i="19"/>
  <c r="V831" i="19"/>
  <c r="X830" i="19"/>
  <c r="K830" i="19" s="1"/>
  <c r="G382" i="22" s="1"/>
  <c r="T830" i="19"/>
  <c r="V829" i="19"/>
  <c r="U828" i="19"/>
  <c r="W827" i="19"/>
  <c r="S827" i="19" s="1"/>
  <c r="U826" i="19"/>
  <c r="W825" i="19"/>
  <c r="S825" i="19" s="1"/>
  <c r="U824" i="19"/>
  <c r="X823" i="19"/>
  <c r="K823" i="19" s="1"/>
  <c r="T823" i="19"/>
  <c r="V822" i="19"/>
  <c r="X821" i="19"/>
  <c r="K821" i="19" s="1"/>
  <c r="T821" i="19"/>
  <c r="V820" i="19"/>
  <c r="X819" i="19"/>
  <c r="T819" i="19"/>
  <c r="W818" i="19"/>
  <c r="S818" i="19" s="1"/>
  <c r="U817" i="19"/>
  <c r="W816" i="19"/>
  <c r="S816" i="19" s="1"/>
  <c r="U815" i="19"/>
  <c r="W814" i="19"/>
  <c r="S814" i="19" s="1"/>
  <c r="V813" i="19"/>
  <c r="X812" i="19"/>
  <c r="K812" i="19" s="1"/>
  <c r="T812" i="19"/>
  <c r="V811" i="19"/>
  <c r="X810" i="19"/>
  <c r="K810" i="19" s="1"/>
  <c r="G376" i="22" s="1"/>
  <c r="T810" i="19"/>
  <c r="V809" i="19"/>
  <c r="U808" i="19"/>
  <c r="W807" i="19"/>
  <c r="S807" i="19" s="1"/>
  <c r="U806" i="19"/>
  <c r="W805" i="19"/>
  <c r="S805" i="19" s="1"/>
  <c r="U804" i="19"/>
  <c r="X803" i="19"/>
  <c r="K803" i="19" s="1"/>
  <c r="T803" i="19"/>
  <c r="V802" i="19"/>
  <c r="X801" i="19"/>
  <c r="K801" i="19" s="1"/>
  <c r="T801" i="19"/>
  <c r="V800" i="19"/>
  <c r="X799" i="19"/>
  <c r="T799" i="19"/>
  <c r="W798" i="19"/>
  <c r="S798" i="19" s="1"/>
  <c r="U797" i="19"/>
  <c r="W796" i="19"/>
  <c r="S796" i="19" s="1"/>
  <c r="U795" i="19"/>
  <c r="W794" i="19"/>
  <c r="S794" i="19" s="1"/>
  <c r="V793" i="19"/>
  <c r="X792" i="19"/>
  <c r="K792" i="19" s="1"/>
  <c r="T792" i="19"/>
  <c r="V791" i="19"/>
  <c r="X790" i="19"/>
  <c r="K790" i="19" s="1"/>
  <c r="G369" i="22" s="1"/>
  <c r="T790" i="19"/>
  <c r="V789" i="19"/>
  <c r="U788" i="19"/>
  <c r="W787" i="19"/>
  <c r="S787" i="19" s="1"/>
  <c r="U786" i="19"/>
  <c r="W785" i="19"/>
  <c r="S785" i="19" s="1"/>
  <c r="U784" i="19"/>
  <c r="X783" i="19"/>
  <c r="K783" i="19" s="1"/>
  <c r="T783" i="19"/>
  <c r="V782" i="19"/>
  <c r="X781" i="19"/>
  <c r="K781" i="19" s="1"/>
  <c r="G365" i="22" s="1"/>
  <c r="T781" i="19"/>
  <c r="V780" i="19"/>
  <c r="X779" i="19"/>
  <c r="T779" i="19"/>
  <c r="W778" i="19"/>
  <c r="S778" i="19" s="1"/>
  <c r="U777" i="19"/>
  <c r="W776" i="19"/>
  <c r="S776" i="19" s="1"/>
  <c r="U775" i="19"/>
  <c r="W774" i="19"/>
  <c r="S774" i="19" s="1"/>
  <c r="V773" i="19"/>
  <c r="X772" i="19"/>
  <c r="K772" i="19" s="1"/>
  <c r="T772" i="19"/>
  <c r="V771" i="19"/>
  <c r="X770" i="19"/>
  <c r="K770" i="19" s="1"/>
  <c r="G361" i="22" s="1"/>
  <c r="T770" i="19"/>
  <c r="V769" i="19"/>
  <c r="W1244" i="19"/>
  <c r="S1244" i="19" s="1"/>
  <c r="X1242" i="19"/>
  <c r="K1242" i="19" s="1"/>
  <c r="G578" i="22" s="1"/>
  <c r="X1240" i="19"/>
  <c r="K1240" i="19" s="1"/>
  <c r="G576" i="22" s="1"/>
  <c r="U1238" i="19"/>
  <c r="W1235" i="19"/>
  <c r="S1235" i="19" s="1"/>
  <c r="X1233" i="19"/>
  <c r="K1233" i="19" s="1"/>
  <c r="G573" i="22" s="1"/>
  <c r="X1231" i="19"/>
  <c r="K1231" i="19" s="1"/>
  <c r="G571" i="22" s="1"/>
  <c r="W1230" i="19"/>
  <c r="S1230" i="19" s="1"/>
  <c r="U1229" i="19"/>
  <c r="X1228" i="19"/>
  <c r="K1228" i="19" s="1"/>
  <c r="T1228" i="19"/>
  <c r="V1227" i="19"/>
  <c r="X1226" i="19"/>
  <c r="K1226" i="19" s="1"/>
  <c r="G568" i="22" s="1"/>
  <c r="T1226" i="19"/>
  <c r="V1225" i="19"/>
  <c r="X1224" i="19"/>
  <c r="T1224" i="19"/>
  <c r="W1223" i="19"/>
  <c r="S1223" i="19" s="1"/>
  <c r="U1222" i="19"/>
  <c r="W1221" i="19"/>
  <c r="S1221" i="19" s="1"/>
  <c r="U1220" i="19"/>
  <c r="W1219" i="19"/>
  <c r="S1219" i="19" s="1"/>
  <c r="V1218" i="19"/>
  <c r="X1217" i="19"/>
  <c r="K1217" i="19" s="1"/>
  <c r="T1217" i="19"/>
  <c r="V1216" i="19"/>
  <c r="X1215" i="19"/>
  <c r="K1215" i="19" s="1"/>
  <c r="G563" i="22" s="1"/>
  <c r="T1215" i="19"/>
  <c r="V1214" i="19"/>
  <c r="U1213" i="19"/>
  <c r="W1212" i="19"/>
  <c r="S1212" i="19" s="1"/>
  <c r="U1211" i="19"/>
  <c r="W1210" i="19"/>
  <c r="S1210" i="19" s="1"/>
  <c r="U1209" i="19"/>
  <c r="X1208" i="19"/>
  <c r="K1208" i="19" s="1"/>
  <c r="T1208" i="19"/>
  <c r="V1207" i="19"/>
  <c r="X1206" i="19"/>
  <c r="K1206" i="19" s="1"/>
  <c r="G559" i="22" s="1"/>
  <c r="T1206" i="19"/>
  <c r="V1205" i="19"/>
  <c r="X1204" i="19"/>
  <c r="T1204" i="19"/>
  <c r="W1203" i="19"/>
  <c r="S1203" i="19" s="1"/>
  <c r="U1202" i="19"/>
  <c r="W1201" i="19"/>
  <c r="S1201" i="19" s="1"/>
  <c r="U1200" i="19"/>
  <c r="W1199" i="19"/>
  <c r="S1199" i="19" s="1"/>
  <c r="V1198" i="19"/>
  <c r="X1197" i="19"/>
  <c r="K1197" i="19" s="1"/>
  <c r="G555" i="22" s="1"/>
  <c r="T1197" i="19"/>
  <c r="V1196" i="19"/>
  <c r="X1195" i="19"/>
  <c r="K1195" i="19" s="1"/>
  <c r="G553" i="22" s="1"/>
  <c r="T1195" i="19"/>
  <c r="V1194" i="19"/>
  <c r="U1193" i="19"/>
  <c r="W1192" i="19"/>
  <c r="S1192" i="19" s="1"/>
  <c r="U1191" i="19"/>
  <c r="W1190" i="19"/>
  <c r="S1190" i="19" s="1"/>
  <c r="U1189" i="19"/>
  <c r="X1188" i="19"/>
  <c r="K1188" i="19" s="1"/>
  <c r="T1188" i="19"/>
  <c r="V1187" i="19"/>
  <c r="X1186" i="19"/>
  <c r="K1186" i="19" s="1"/>
  <c r="T1186" i="19"/>
  <c r="V1185" i="19"/>
  <c r="X1184" i="19"/>
  <c r="T1184" i="19"/>
  <c r="W1183" i="19"/>
  <c r="S1183" i="19" s="1"/>
  <c r="U1182" i="19"/>
  <c r="W1181" i="19"/>
  <c r="S1181" i="19" s="1"/>
  <c r="U1180" i="19"/>
  <c r="W1179" i="19"/>
  <c r="S1179" i="19" s="1"/>
  <c r="V1178" i="19"/>
  <c r="X1177" i="19"/>
  <c r="K1177" i="19" s="1"/>
  <c r="G546" i="22" s="1"/>
  <c r="T1177" i="19"/>
  <c r="V1176" i="19"/>
  <c r="X1175" i="19"/>
  <c r="K1175" i="19" s="1"/>
  <c r="G544" i="22" s="1"/>
  <c r="T1175" i="19"/>
  <c r="V1174" i="19"/>
  <c r="U1173" i="19"/>
  <c r="W1172" i="19"/>
  <c r="S1172" i="19" s="1"/>
  <c r="U1171" i="19"/>
  <c r="W1170" i="19"/>
  <c r="S1170" i="19" s="1"/>
  <c r="U1169" i="19"/>
  <c r="X1168" i="19"/>
  <c r="K1168" i="19" s="1"/>
  <c r="T1168" i="19"/>
  <c r="V1167" i="19"/>
  <c r="X1166" i="19"/>
  <c r="K1166" i="19" s="1"/>
  <c r="G540" i="22" s="1"/>
  <c r="T1166" i="19"/>
  <c r="V1165" i="19"/>
  <c r="X1164" i="19"/>
  <c r="T1164" i="19"/>
  <c r="W1163" i="19"/>
  <c r="S1163" i="19" s="1"/>
  <c r="U1162" i="19"/>
  <c r="W1161" i="19"/>
  <c r="S1161" i="19" s="1"/>
  <c r="U1160" i="19"/>
  <c r="W1159" i="19"/>
  <c r="S1159" i="19" s="1"/>
  <c r="V1158" i="19"/>
  <c r="X1157" i="19"/>
  <c r="K1157" i="19" s="1"/>
  <c r="T1157" i="19"/>
  <c r="V1156" i="19"/>
  <c r="X1155" i="19"/>
  <c r="K1155" i="19" s="1"/>
  <c r="G536" i="22" s="1"/>
  <c r="T1155" i="19"/>
  <c r="V1154" i="19"/>
  <c r="U1153" i="19"/>
  <c r="W1152" i="19"/>
  <c r="S1152" i="19" s="1"/>
  <c r="U1151" i="19"/>
  <c r="W1150" i="19"/>
  <c r="S1150" i="19" s="1"/>
  <c r="U1149" i="19"/>
  <c r="X1148" i="19"/>
  <c r="K1148" i="19" s="1"/>
  <c r="T1148" i="19"/>
  <c r="V1147" i="19"/>
  <c r="X1146" i="19"/>
  <c r="K1146" i="19" s="1"/>
  <c r="G532" i="22" s="1"/>
  <c r="T1146" i="19"/>
  <c r="V1145" i="19"/>
  <c r="X1144" i="19"/>
  <c r="T1144" i="19"/>
  <c r="W1143" i="19"/>
  <c r="S1143" i="19" s="1"/>
  <c r="U1142" i="19"/>
  <c r="W1141" i="19"/>
  <c r="S1141" i="19" s="1"/>
  <c r="U1140" i="19"/>
  <c r="W1139" i="19"/>
  <c r="S1139" i="19" s="1"/>
  <c r="V1138" i="19"/>
  <c r="X1137" i="19"/>
  <c r="K1137" i="19" s="1"/>
  <c r="T1137" i="19"/>
  <c r="V1136" i="19"/>
  <c r="X1135" i="19"/>
  <c r="K1135" i="19" s="1"/>
  <c r="G527" i="22" s="1"/>
  <c r="T1135" i="19"/>
  <c r="V1134" i="19"/>
  <c r="U1133" i="19"/>
  <c r="W1132" i="19"/>
  <c r="S1132" i="19" s="1"/>
  <c r="U1131" i="19"/>
  <c r="W1130" i="19"/>
  <c r="S1130" i="19" s="1"/>
  <c r="U1129" i="19"/>
  <c r="X1128" i="19"/>
  <c r="K1128" i="19" s="1"/>
  <c r="T1128" i="19"/>
  <c r="V1127" i="19"/>
  <c r="X1126" i="19"/>
  <c r="K1126" i="19" s="1"/>
  <c r="G523" i="22" s="1"/>
  <c r="T1126" i="19"/>
  <c r="V1125" i="19"/>
  <c r="X1124" i="19"/>
  <c r="T1124" i="19"/>
  <c r="W1123" i="19"/>
  <c r="S1123" i="19" s="1"/>
  <c r="U1122" i="19"/>
  <c r="W1121" i="19"/>
  <c r="S1121" i="19" s="1"/>
  <c r="U1120" i="19"/>
  <c r="W1119" i="19"/>
  <c r="S1119" i="19" s="1"/>
  <c r="V1118" i="19"/>
  <c r="X1117" i="19"/>
  <c r="K1117" i="19" s="1"/>
  <c r="G518" i="22" s="1"/>
  <c r="T1117" i="19"/>
  <c r="V1116" i="19"/>
  <c r="X1115" i="19"/>
  <c r="K1115" i="19" s="1"/>
  <c r="G516" i="22" s="1"/>
  <c r="T1115" i="19"/>
  <c r="V1114" i="19"/>
  <c r="U1113" i="19"/>
  <c r="W1112" i="19"/>
  <c r="S1112" i="19" s="1"/>
  <c r="U1111" i="19"/>
  <c r="W1110" i="19"/>
  <c r="S1110" i="19" s="1"/>
  <c r="U1109" i="19"/>
  <c r="X1108" i="19"/>
  <c r="K1108" i="19" s="1"/>
  <c r="T1108" i="19"/>
  <c r="V1107" i="19"/>
  <c r="X1106" i="19"/>
  <c r="K1106" i="19" s="1"/>
  <c r="G512" i="22" s="1"/>
  <c r="T1106" i="19"/>
  <c r="V1105" i="19"/>
  <c r="X1104" i="19"/>
  <c r="T1104" i="19"/>
  <c r="W1103" i="19"/>
  <c r="S1103" i="19" s="1"/>
  <c r="U1102" i="19"/>
  <c r="W1101" i="19"/>
  <c r="S1101" i="19" s="1"/>
  <c r="U1100" i="19"/>
  <c r="W1099" i="19"/>
  <c r="S1099" i="19" s="1"/>
  <c r="V1098" i="19"/>
  <c r="X1097" i="19"/>
  <c r="K1097" i="19" s="1"/>
  <c r="G508" i="22" s="1"/>
  <c r="T1097" i="19"/>
  <c r="V1096" i="19"/>
  <c r="X1095" i="19"/>
  <c r="K1095" i="19" s="1"/>
  <c r="G506" i="22" s="1"/>
  <c r="T1095" i="19"/>
  <c r="V1094" i="19"/>
  <c r="U1093" i="19"/>
  <c r="W1092" i="19"/>
  <c r="S1092" i="19" s="1"/>
  <c r="U1091" i="19"/>
  <c r="W1090" i="19"/>
  <c r="S1090" i="19" s="1"/>
  <c r="U1089" i="19"/>
  <c r="X1088" i="19"/>
  <c r="K1088" i="19" s="1"/>
  <c r="T1088" i="19"/>
  <c r="V1087" i="19"/>
  <c r="X1086" i="19"/>
  <c r="K1086" i="19" s="1"/>
  <c r="G502" i="22" s="1"/>
  <c r="T1086" i="19"/>
  <c r="V1085" i="19"/>
  <c r="X1084" i="19"/>
  <c r="T1084" i="19"/>
  <c r="W1083" i="19"/>
  <c r="S1083" i="19" s="1"/>
  <c r="U1082" i="19"/>
  <c r="W1081" i="19"/>
  <c r="S1081" i="19" s="1"/>
  <c r="U1080" i="19"/>
  <c r="W1079" i="19"/>
  <c r="S1079" i="19" s="1"/>
  <c r="V1078" i="19"/>
  <c r="X1077" i="19"/>
  <c r="K1077" i="19" s="1"/>
  <c r="T1077" i="19"/>
  <c r="V1076" i="19"/>
  <c r="X1075" i="19"/>
  <c r="K1075" i="19" s="1"/>
  <c r="G497" i="22" s="1"/>
  <c r="T1075" i="19"/>
  <c r="V1074" i="19"/>
  <c r="U1073" i="19"/>
  <c r="W1072" i="19"/>
  <c r="S1072" i="19" s="1"/>
  <c r="U1071" i="19"/>
  <c r="W1070" i="19"/>
  <c r="S1070" i="19" s="1"/>
  <c r="U1069" i="19"/>
  <c r="X1068" i="19"/>
  <c r="K1068" i="19" s="1"/>
  <c r="T1068" i="19"/>
  <c r="V1067" i="19"/>
  <c r="X1066" i="19"/>
  <c r="K1066" i="19" s="1"/>
  <c r="G492" i="22" s="1"/>
  <c r="T1066" i="19"/>
  <c r="V1065" i="19"/>
  <c r="X1064" i="19"/>
  <c r="T1064" i="19"/>
  <c r="W1063" i="19"/>
  <c r="S1063" i="19" s="1"/>
  <c r="U1062" i="19"/>
  <c r="W1061" i="19"/>
  <c r="S1061" i="19" s="1"/>
  <c r="U1060" i="19"/>
  <c r="W1059" i="19"/>
  <c r="S1059" i="19" s="1"/>
  <c r="V1058" i="19"/>
  <c r="X1057" i="19"/>
  <c r="K1057" i="19" s="1"/>
  <c r="T1057" i="19"/>
  <c r="V1056" i="19"/>
  <c r="X1055" i="19"/>
  <c r="K1055" i="19" s="1"/>
  <c r="G487" i="22" s="1"/>
  <c r="T1055" i="19"/>
  <c r="V1054" i="19"/>
  <c r="U1053" i="19"/>
  <c r="W1052" i="19"/>
  <c r="S1052" i="19" s="1"/>
  <c r="U1051" i="19"/>
  <c r="W1050" i="19"/>
  <c r="S1050" i="19" s="1"/>
  <c r="U1049" i="19"/>
  <c r="X1048" i="19"/>
  <c r="K1048" i="19" s="1"/>
  <c r="G484" i="22" s="1"/>
  <c r="T1048" i="19"/>
  <c r="V1047" i="19"/>
  <c r="X1046" i="19"/>
  <c r="K1046" i="19" s="1"/>
  <c r="G482" i="22" s="1"/>
  <c r="T1046" i="19"/>
  <c r="V1045" i="19"/>
  <c r="X1044" i="19"/>
  <c r="T1044" i="19"/>
  <c r="W1043" i="19"/>
  <c r="S1043" i="19" s="1"/>
  <c r="U1042" i="19"/>
  <c r="W1041" i="19"/>
  <c r="S1041" i="19" s="1"/>
  <c r="U1040" i="19"/>
  <c r="W1039" i="19"/>
  <c r="S1039" i="19" s="1"/>
  <c r="V1038" i="19"/>
  <c r="X1037" i="19"/>
  <c r="K1037" i="19" s="1"/>
  <c r="G478" i="22" s="1"/>
  <c r="T1037" i="19"/>
  <c r="V1036" i="19"/>
  <c r="X1035" i="19"/>
  <c r="K1035" i="19" s="1"/>
  <c r="G476" i="22" s="1"/>
  <c r="T1035" i="19"/>
  <c r="V1034" i="19"/>
  <c r="U1033" i="19"/>
  <c r="W1032" i="19"/>
  <c r="S1032" i="19" s="1"/>
  <c r="U1031" i="19"/>
  <c r="W1030" i="19"/>
  <c r="S1030" i="19" s="1"/>
  <c r="U1029" i="19"/>
  <c r="X1028" i="19"/>
  <c r="K1028" i="19" s="1"/>
  <c r="T1028" i="19"/>
  <c r="V1027" i="19"/>
  <c r="X1026" i="19"/>
  <c r="K1026" i="19" s="1"/>
  <c r="G473" i="22" s="1"/>
  <c r="T1026" i="19"/>
  <c r="V1025" i="19"/>
  <c r="X1024" i="19"/>
  <c r="T1024" i="19"/>
  <c r="W1023" i="19"/>
  <c r="S1023" i="19" s="1"/>
  <c r="U1022" i="19"/>
  <c r="W1021" i="19"/>
  <c r="S1021" i="19" s="1"/>
  <c r="U1020" i="19"/>
  <c r="W1019" i="19"/>
  <c r="S1019" i="19" s="1"/>
  <c r="V1018" i="19"/>
  <c r="X1017" i="19"/>
  <c r="K1017" i="19" s="1"/>
  <c r="G468" i="22" s="1"/>
  <c r="T1017" i="19"/>
  <c r="V1016" i="19"/>
  <c r="X1015" i="19"/>
  <c r="K1015" i="19" s="1"/>
  <c r="G466" i="22" s="1"/>
  <c r="T1015" i="19"/>
  <c r="V1014" i="19"/>
  <c r="U1013" i="19"/>
  <c r="W1012" i="19"/>
  <c r="S1012" i="19" s="1"/>
  <c r="U1011" i="19"/>
  <c r="W1010" i="19"/>
  <c r="S1010" i="19" s="1"/>
  <c r="U1009" i="19"/>
  <c r="X1008" i="19"/>
  <c r="K1008" i="19" s="1"/>
  <c r="T1008" i="19"/>
  <c r="V1007" i="19"/>
  <c r="X1006" i="19"/>
  <c r="K1006" i="19" s="1"/>
  <c r="T1006" i="19"/>
  <c r="V1005" i="19"/>
  <c r="X1004" i="19"/>
  <c r="T1004" i="19"/>
  <c r="W1003" i="19"/>
  <c r="S1003" i="19" s="1"/>
  <c r="U1002" i="19"/>
  <c r="W1001" i="19"/>
  <c r="S1001" i="19" s="1"/>
  <c r="U1000" i="19"/>
  <c r="W999" i="19"/>
  <c r="S999" i="19" s="1"/>
  <c r="V998" i="19"/>
  <c r="X997" i="19"/>
  <c r="K997" i="19" s="1"/>
  <c r="T997" i="19"/>
  <c r="V996" i="19"/>
  <c r="X995" i="19"/>
  <c r="K995" i="19" s="1"/>
  <c r="G457" i="22" s="1"/>
  <c r="T995" i="19"/>
  <c r="V994" i="19"/>
  <c r="U993" i="19"/>
  <c r="W992" i="19"/>
  <c r="S992" i="19" s="1"/>
  <c r="U991" i="19"/>
  <c r="W990" i="19"/>
  <c r="S990" i="19" s="1"/>
  <c r="U989" i="19"/>
  <c r="X988" i="19"/>
  <c r="K988" i="19" s="1"/>
  <c r="T988" i="19"/>
  <c r="V987" i="19"/>
  <c r="X986" i="19"/>
  <c r="K986" i="19" s="1"/>
  <c r="G455" i="22" s="1"/>
  <c r="T986" i="19"/>
  <c r="V985" i="19"/>
  <c r="X984" i="19"/>
  <c r="T984" i="19"/>
  <c r="W983" i="19"/>
  <c r="S983" i="19" s="1"/>
  <c r="U982" i="19"/>
  <c r="W981" i="19"/>
  <c r="S981" i="19" s="1"/>
  <c r="U980" i="19"/>
  <c r="W979" i="19"/>
  <c r="S979" i="19" s="1"/>
  <c r="V978" i="19"/>
  <c r="X977" i="19"/>
  <c r="K977" i="19" s="1"/>
  <c r="T977" i="19"/>
  <c r="V976" i="19"/>
  <c r="X975" i="19"/>
  <c r="K975" i="19" s="1"/>
  <c r="G451" i="22" s="1"/>
  <c r="T975" i="19"/>
  <c r="V974" i="19"/>
  <c r="U973" i="19"/>
  <c r="W972" i="19"/>
  <c r="S972" i="19" s="1"/>
  <c r="U971" i="19"/>
  <c r="W970" i="19"/>
  <c r="S970" i="19" s="1"/>
  <c r="U969" i="19"/>
  <c r="X968" i="19"/>
  <c r="K968" i="19" s="1"/>
  <c r="T968" i="19"/>
  <c r="V967" i="19"/>
  <c r="X966" i="19"/>
  <c r="K966" i="19" s="1"/>
  <c r="G447" i="22" s="1"/>
  <c r="T966" i="19"/>
  <c r="V965" i="19"/>
  <c r="X964" i="19"/>
  <c r="T964" i="19"/>
  <c r="W963" i="19"/>
  <c r="S963" i="19" s="1"/>
  <c r="U962" i="19"/>
  <c r="W961" i="19"/>
  <c r="S961" i="19" s="1"/>
  <c r="U960" i="19"/>
  <c r="W959" i="19"/>
  <c r="S959" i="19" s="1"/>
  <c r="V958" i="19"/>
  <c r="X957" i="19"/>
  <c r="K957" i="19" s="1"/>
  <c r="T957" i="19"/>
  <c r="V956" i="19"/>
  <c r="X955" i="19"/>
  <c r="K955" i="19" s="1"/>
  <c r="G442" i="22" s="1"/>
  <c r="T955" i="19"/>
  <c r="V954" i="19"/>
  <c r="U953" i="19"/>
  <c r="W952" i="19"/>
  <c r="S952" i="19" s="1"/>
  <c r="U951" i="19"/>
  <c r="W950" i="19"/>
  <c r="S950" i="19" s="1"/>
  <c r="U949" i="19"/>
  <c r="X948" i="19"/>
  <c r="K948" i="19" s="1"/>
  <c r="T948" i="19"/>
  <c r="V947" i="19"/>
  <c r="X946" i="19"/>
  <c r="K946" i="19" s="1"/>
  <c r="G437" i="22" s="1"/>
  <c r="T946" i="19"/>
  <c r="V945" i="19"/>
  <c r="X944" i="19"/>
  <c r="T944" i="19"/>
  <c r="W943" i="19"/>
  <c r="S943" i="19" s="1"/>
  <c r="U942" i="19"/>
  <c r="W941" i="19"/>
  <c r="S941" i="19" s="1"/>
  <c r="U940" i="19"/>
  <c r="W939" i="19"/>
  <c r="S939" i="19" s="1"/>
  <c r="V938" i="19"/>
  <c r="X937" i="19"/>
  <c r="K937" i="19" s="1"/>
  <c r="T937" i="19"/>
  <c r="V936" i="19"/>
  <c r="X935" i="19"/>
  <c r="K935" i="19" s="1"/>
  <c r="G431" i="22" s="1"/>
  <c r="T935" i="19"/>
  <c r="V934" i="19"/>
  <c r="U933" i="19"/>
  <c r="W932" i="19"/>
  <c r="S932" i="19" s="1"/>
  <c r="U931" i="19"/>
  <c r="W930" i="19"/>
  <c r="S930" i="19" s="1"/>
  <c r="U929" i="19"/>
  <c r="X928" i="19"/>
  <c r="K928" i="19" s="1"/>
  <c r="T928" i="19"/>
  <c r="V927" i="19"/>
  <c r="X926" i="19"/>
  <c r="K926" i="19" s="1"/>
  <c r="G427" i="22" s="1"/>
  <c r="T926" i="19"/>
  <c r="V925" i="19"/>
  <c r="X924" i="19"/>
  <c r="T924" i="19"/>
  <c r="W923" i="19"/>
  <c r="S923" i="19" s="1"/>
  <c r="U922" i="19"/>
  <c r="W921" i="19"/>
  <c r="S921" i="19" s="1"/>
  <c r="U920" i="19"/>
  <c r="W919" i="19"/>
  <c r="S919" i="19" s="1"/>
  <c r="V918" i="19"/>
  <c r="X917" i="19"/>
  <c r="K917" i="19" s="1"/>
  <c r="T917" i="19"/>
  <c r="V916" i="19"/>
  <c r="X915" i="19"/>
  <c r="K915" i="19" s="1"/>
  <c r="G422" i="22" s="1"/>
  <c r="T915" i="19"/>
  <c r="V914" i="19"/>
  <c r="U913" i="19"/>
  <c r="W912" i="19"/>
  <c r="S912" i="19" s="1"/>
  <c r="U911" i="19"/>
  <c r="W910" i="19"/>
  <c r="S910" i="19" s="1"/>
  <c r="U909" i="19"/>
  <c r="X908" i="19"/>
  <c r="K908" i="19" s="1"/>
  <c r="T908" i="19"/>
  <c r="V907" i="19"/>
  <c r="X906" i="19"/>
  <c r="K906" i="19" s="1"/>
  <c r="G418" i="22" s="1"/>
  <c r="T906" i="19"/>
  <c r="V905" i="19"/>
  <c r="X904" i="19"/>
  <c r="T904" i="19"/>
  <c r="W903" i="19"/>
  <c r="S903" i="19" s="1"/>
  <c r="U902" i="19"/>
  <c r="W901" i="19"/>
  <c r="S901" i="19" s="1"/>
  <c r="U900" i="19"/>
  <c r="W899" i="19"/>
  <c r="S899" i="19" s="1"/>
  <c r="V898" i="19"/>
  <c r="X897" i="19"/>
  <c r="K897" i="19" s="1"/>
  <c r="T897" i="19"/>
  <c r="V896" i="19"/>
  <c r="X895" i="19"/>
  <c r="K895" i="19" s="1"/>
  <c r="G412" i="22" s="1"/>
  <c r="T895" i="19"/>
  <c r="V894" i="19"/>
  <c r="U893" i="19"/>
  <c r="W892" i="19"/>
  <c r="S892" i="19" s="1"/>
  <c r="U891" i="19"/>
  <c r="W890" i="19"/>
  <c r="S890" i="19" s="1"/>
  <c r="U889" i="19"/>
  <c r="X888" i="19"/>
  <c r="K888" i="19" s="1"/>
  <c r="T888" i="19"/>
  <c r="V887" i="19"/>
  <c r="X886" i="19"/>
  <c r="K886" i="19" s="1"/>
  <c r="T886" i="19"/>
  <c r="V885" i="19"/>
  <c r="X884" i="19"/>
  <c r="T884" i="19"/>
  <c r="W883" i="19"/>
  <c r="S883" i="19" s="1"/>
  <c r="U882" i="19"/>
  <c r="W881" i="19"/>
  <c r="S881" i="19" s="1"/>
  <c r="U880" i="19"/>
  <c r="W879" i="19"/>
  <c r="S879" i="19" s="1"/>
  <c r="V878" i="19"/>
  <c r="X877" i="19"/>
  <c r="K877" i="19" s="1"/>
  <c r="T877" i="19"/>
  <c r="V876" i="19"/>
  <c r="X875" i="19"/>
  <c r="K875" i="19" s="1"/>
  <c r="G403" i="22" s="1"/>
  <c r="T875" i="19"/>
  <c r="V874" i="19"/>
  <c r="U873" i="19"/>
  <c r="W872" i="19"/>
  <c r="S872" i="19" s="1"/>
  <c r="U871" i="19"/>
  <c r="W870" i="19"/>
  <c r="S870" i="19" s="1"/>
  <c r="U869" i="19"/>
  <c r="X868" i="19"/>
  <c r="K868" i="19" s="1"/>
  <c r="T868" i="19"/>
  <c r="V867" i="19"/>
  <c r="X866" i="19"/>
  <c r="K866" i="19" s="1"/>
  <c r="G399" i="22" s="1"/>
  <c r="T866" i="19"/>
  <c r="V865" i="19"/>
  <c r="X864" i="19"/>
  <c r="T864" i="19"/>
  <c r="W863" i="19"/>
  <c r="S863" i="19" s="1"/>
  <c r="U862" i="19"/>
  <c r="W861" i="19"/>
  <c r="S861" i="19" s="1"/>
  <c r="U860" i="19"/>
  <c r="W859" i="19"/>
  <c r="S859" i="19" s="1"/>
  <c r="V858" i="19"/>
  <c r="X857" i="19"/>
  <c r="K857" i="19" s="1"/>
  <c r="T857" i="19"/>
  <c r="V856" i="19"/>
  <c r="X855" i="19"/>
  <c r="K855" i="19" s="1"/>
  <c r="G395" i="22" s="1"/>
  <c r="T855" i="19"/>
  <c r="V854" i="19"/>
  <c r="U853" i="19"/>
  <c r="W852" i="19"/>
  <c r="S852" i="19" s="1"/>
  <c r="U851" i="19"/>
  <c r="W850" i="19"/>
  <c r="S850" i="19" s="1"/>
  <c r="U849" i="19"/>
  <c r="X848" i="19"/>
  <c r="K848" i="19" s="1"/>
  <c r="T848" i="19"/>
  <c r="V847" i="19"/>
  <c r="X846" i="19"/>
  <c r="K846" i="19" s="1"/>
  <c r="G391" i="22" s="1"/>
  <c r="T846" i="19"/>
  <c r="V845" i="19"/>
  <c r="X844" i="19"/>
  <c r="T844" i="19"/>
  <c r="W843" i="19"/>
  <c r="S843" i="19" s="1"/>
  <c r="U842" i="19"/>
  <c r="W841" i="19"/>
  <c r="S841" i="19" s="1"/>
  <c r="U840" i="19"/>
  <c r="W839" i="19"/>
  <c r="S839" i="19" s="1"/>
  <c r="V838" i="19"/>
  <c r="X837" i="19"/>
  <c r="K837" i="19" s="1"/>
  <c r="G386" i="22" s="1"/>
  <c r="T837" i="19"/>
  <c r="V836" i="19"/>
  <c r="X835" i="19"/>
  <c r="K835" i="19" s="1"/>
  <c r="G384" i="22" s="1"/>
  <c r="T835" i="19"/>
  <c r="V834" i="19"/>
  <c r="U833" i="19"/>
  <c r="W832" i="19"/>
  <c r="S832" i="19" s="1"/>
  <c r="U831" i="19"/>
  <c r="W830" i="19"/>
  <c r="S830" i="19" s="1"/>
  <c r="U829" i="19"/>
  <c r="X828" i="19"/>
  <c r="K828" i="19" s="1"/>
  <c r="T828" i="19"/>
  <c r="V827" i="19"/>
  <c r="X826" i="19"/>
  <c r="K826" i="19" s="1"/>
  <c r="G381" i="22" s="1"/>
  <c r="T826" i="19"/>
  <c r="V825" i="19"/>
  <c r="X824" i="19"/>
  <c r="T824" i="19"/>
  <c r="W823" i="19"/>
  <c r="S823" i="19" s="1"/>
  <c r="U822" i="19"/>
  <c r="W821" i="19"/>
  <c r="S821" i="19" s="1"/>
  <c r="U820" i="19"/>
  <c r="W819" i="19"/>
  <c r="S819" i="19" s="1"/>
  <c r="V818" i="19"/>
  <c r="X817" i="19"/>
  <c r="K817" i="19" s="1"/>
  <c r="T817" i="19"/>
  <c r="V816" i="19"/>
  <c r="X815" i="19"/>
  <c r="K815" i="19" s="1"/>
  <c r="G377" i="22" s="1"/>
  <c r="T815" i="19"/>
  <c r="V814" i="19"/>
  <c r="U813" i="19"/>
  <c r="W812" i="19"/>
  <c r="S812" i="19" s="1"/>
  <c r="U811" i="19"/>
  <c r="W810" i="19"/>
  <c r="S810" i="19" s="1"/>
  <c r="U809" i="19"/>
  <c r="X808" i="19"/>
  <c r="K808" i="19" s="1"/>
  <c r="T808" i="19"/>
  <c r="V807" i="19"/>
  <c r="X806" i="19"/>
  <c r="K806" i="19" s="1"/>
  <c r="G375" i="22" s="1"/>
  <c r="T806" i="19"/>
  <c r="V805" i="19"/>
  <c r="X804" i="19"/>
  <c r="T804" i="19"/>
  <c r="W803" i="19"/>
  <c r="S803" i="19" s="1"/>
  <c r="U802" i="19"/>
  <c r="W801" i="19"/>
  <c r="S801" i="19" s="1"/>
  <c r="U800" i="19"/>
  <c r="W799" i="19"/>
  <c r="S799" i="19" s="1"/>
  <c r="V798" i="19"/>
  <c r="X797" i="19"/>
  <c r="K797" i="19" s="1"/>
  <c r="T797" i="19"/>
  <c r="V796" i="19"/>
  <c r="X795" i="19"/>
  <c r="K795" i="19" s="1"/>
  <c r="G371" i="22" s="1"/>
  <c r="T795" i="19"/>
  <c r="V794" i="19"/>
  <c r="U793" i="19"/>
  <c r="W792" i="19"/>
  <c r="S792" i="19" s="1"/>
  <c r="U791" i="19"/>
  <c r="W790" i="19"/>
  <c r="S790" i="19" s="1"/>
  <c r="U789" i="19"/>
  <c r="X788" i="19"/>
  <c r="K788" i="19" s="1"/>
  <c r="T788" i="19"/>
  <c r="V787" i="19"/>
  <c r="X786" i="19"/>
  <c r="K786" i="19" s="1"/>
  <c r="G367" i="22" s="1"/>
  <c r="T786" i="19"/>
  <c r="V785" i="19"/>
  <c r="X784" i="19"/>
  <c r="T784" i="19"/>
  <c r="W783" i="19"/>
  <c r="S783" i="19" s="1"/>
  <c r="U782" i="19"/>
  <c r="W781" i="19"/>
  <c r="S781" i="19" s="1"/>
  <c r="U780" i="19"/>
  <c r="W779" i="19"/>
  <c r="S779" i="19" s="1"/>
  <c r="V778" i="19"/>
  <c r="X777" i="19"/>
  <c r="K777" i="19" s="1"/>
  <c r="T777" i="19"/>
  <c r="V776" i="19"/>
  <c r="X775" i="19"/>
  <c r="K775" i="19" s="1"/>
  <c r="G362" i="22" s="1"/>
  <c r="T775" i="19"/>
  <c r="V774" i="19"/>
  <c r="U773" i="19"/>
  <c r="W772" i="19"/>
  <c r="S772" i="19" s="1"/>
  <c r="U771" i="19"/>
  <c r="W770" i="19"/>
  <c r="S770" i="19" s="1"/>
  <c r="U769" i="19"/>
  <c r="X768" i="19"/>
  <c r="K768" i="19" s="1"/>
  <c r="T768" i="19"/>
  <c r="V767" i="19"/>
  <c r="X766" i="19"/>
  <c r="K766" i="19" s="1"/>
  <c r="T766" i="19"/>
  <c r="V765" i="19"/>
  <c r="X764" i="19"/>
  <c r="T764" i="19"/>
  <c r="W763" i="19"/>
  <c r="S763" i="19" s="1"/>
  <c r="U762" i="19"/>
  <c r="W761" i="19"/>
  <c r="S761" i="19" s="1"/>
  <c r="U760" i="19"/>
  <c r="W759" i="19"/>
  <c r="S759" i="19" s="1"/>
  <c r="V758" i="19"/>
  <c r="X757" i="19"/>
  <c r="K757" i="19" s="1"/>
  <c r="T757" i="19"/>
  <c r="V756" i="19"/>
  <c r="X755" i="19"/>
  <c r="K755" i="19" s="1"/>
  <c r="G358" i="22" s="1"/>
  <c r="T755" i="19"/>
  <c r="V754" i="19"/>
  <c r="U753" i="19"/>
  <c r="W752" i="19"/>
  <c r="S752" i="19" s="1"/>
  <c r="U751" i="19"/>
  <c r="W750" i="19"/>
  <c r="S750" i="19" s="1"/>
  <c r="U749" i="19"/>
  <c r="W767" i="19"/>
  <c r="S767" i="19" s="1"/>
  <c r="T763" i="19"/>
  <c r="T761" i="19"/>
  <c r="T759" i="19"/>
  <c r="W756" i="19"/>
  <c r="S756" i="19" s="1"/>
  <c r="T752" i="19"/>
  <c r="T750" i="19"/>
  <c r="W748" i="19"/>
  <c r="S748" i="19" s="1"/>
  <c r="U747" i="19"/>
  <c r="W746" i="19"/>
  <c r="S746" i="19" s="1"/>
  <c r="U745" i="19"/>
  <c r="W744" i="19"/>
  <c r="S744" i="19" s="1"/>
  <c r="V743" i="19"/>
  <c r="X742" i="19"/>
  <c r="K742" i="19" s="1"/>
  <c r="G352" i="22" s="1"/>
  <c r="T742" i="19"/>
  <c r="V741" i="19"/>
  <c r="X740" i="19"/>
  <c r="K740" i="19" s="1"/>
  <c r="G350" i="22" s="1"/>
  <c r="T740" i="19"/>
  <c r="V739" i="19"/>
  <c r="U738" i="19"/>
  <c r="W737" i="19"/>
  <c r="S737" i="19" s="1"/>
  <c r="U736" i="19"/>
  <c r="W735" i="19"/>
  <c r="S735" i="19" s="1"/>
  <c r="U734" i="19"/>
  <c r="X733" i="19"/>
  <c r="K733" i="19" s="1"/>
  <c r="T733" i="19"/>
  <c r="V732" i="19"/>
  <c r="X731" i="19"/>
  <c r="K731" i="19" s="1"/>
  <c r="G346" i="22" s="1"/>
  <c r="T731" i="19"/>
  <c r="V730" i="19"/>
  <c r="X729" i="19"/>
  <c r="T729" i="19"/>
  <c r="W728" i="19"/>
  <c r="S728" i="19" s="1"/>
  <c r="U727" i="19"/>
  <c r="W726" i="19"/>
  <c r="S726" i="19" s="1"/>
  <c r="U725" i="19"/>
  <c r="W724" i="19"/>
  <c r="S724" i="19" s="1"/>
  <c r="V723" i="19"/>
  <c r="X722" i="19"/>
  <c r="K722" i="19" s="1"/>
  <c r="T722" i="19"/>
  <c r="V721" i="19"/>
  <c r="X720" i="19"/>
  <c r="K720" i="19" s="1"/>
  <c r="G341" i="22" s="1"/>
  <c r="T720" i="19"/>
  <c r="V719" i="19"/>
  <c r="U718" i="19"/>
  <c r="W717" i="19"/>
  <c r="S717" i="19" s="1"/>
  <c r="U716" i="19"/>
  <c r="W715" i="19"/>
  <c r="S715" i="19" s="1"/>
  <c r="U714" i="19"/>
  <c r="X713" i="19"/>
  <c r="K713" i="19" s="1"/>
  <c r="T713" i="19"/>
  <c r="V712" i="19"/>
  <c r="X711" i="19"/>
  <c r="K711" i="19" s="1"/>
  <c r="G339" i="22" s="1"/>
  <c r="T711" i="19"/>
  <c r="V710" i="19"/>
  <c r="X709" i="19"/>
  <c r="T709" i="19"/>
  <c r="W708" i="19"/>
  <c r="S708" i="19" s="1"/>
  <c r="U707" i="19"/>
  <c r="W706" i="19"/>
  <c r="S706" i="19" s="1"/>
  <c r="U705" i="19"/>
  <c r="W704" i="19"/>
  <c r="S704" i="19" s="1"/>
  <c r="V703" i="19"/>
  <c r="X702" i="19"/>
  <c r="K702" i="19" s="1"/>
  <c r="T702" i="19"/>
  <c r="V701" i="19"/>
  <c r="X700" i="19"/>
  <c r="K700" i="19" s="1"/>
  <c r="G333" i="22" s="1"/>
  <c r="T700" i="19"/>
  <c r="V699" i="19"/>
  <c r="U698" i="19"/>
  <c r="W697" i="19"/>
  <c r="S697" i="19" s="1"/>
  <c r="U696" i="19"/>
  <c r="W695" i="19"/>
  <c r="S695" i="19" s="1"/>
  <c r="U694" i="19"/>
  <c r="X693" i="19"/>
  <c r="K693" i="19" s="1"/>
  <c r="T693" i="19"/>
  <c r="V692" i="19"/>
  <c r="X691" i="19"/>
  <c r="K691" i="19" s="1"/>
  <c r="T691" i="19"/>
  <c r="V690" i="19"/>
  <c r="X689" i="19"/>
  <c r="T689" i="19"/>
  <c r="W688" i="19"/>
  <c r="S688" i="19" s="1"/>
  <c r="U687" i="19"/>
  <c r="W686" i="19"/>
  <c r="S686" i="19" s="1"/>
  <c r="U685" i="19"/>
  <c r="W684" i="19"/>
  <c r="S684" i="19" s="1"/>
  <c r="V683" i="19"/>
  <c r="X682" i="19"/>
  <c r="K682" i="19" s="1"/>
  <c r="T682" i="19"/>
  <c r="V681" i="19"/>
  <c r="X680" i="19"/>
  <c r="K680" i="19" s="1"/>
  <c r="G326" i="22" s="1"/>
  <c r="T680" i="19"/>
  <c r="V679" i="19"/>
  <c r="U678" i="19"/>
  <c r="W677" i="19"/>
  <c r="S677" i="19" s="1"/>
  <c r="U676" i="19"/>
  <c r="W675" i="19"/>
  <c r="S675" i="19" s="1"/>
  <c r="U674" i="19"/>
  <c r="X673" i="19"/>
  <c r="K673" i="19" s="1"/>
  <c r="T673" i="19"/>
  <c r="V672" i="19"/>
  <c r="X671" i="19"/>
  <c r="K671" i="19" s="1"/>
  <c r="G321" i="22" s="1"/>
  <c r="T671" i="19"/>
  <c r="V670" i="19"/>
  <c r="X669" i="19"/>
  <c r="T669" i="19"/>
  <c r="W668" i="19"/>
  <c r="S668" i="19" s="1"/>
  <c r="U667" i="19"/>
  <c r="W666" i="19"/>
  <c r="S666" i="19" s="1"/>
  <c r="U665" i="19"/>
  <c r="W664" i="19"/>
  <c r="S664" i="19" s="1"/>
  <c r="V663" i="19"/>
  <c r="X662" i="19"/>
  <c r="K662" i="19" s="1"/>
  <c r="T662" i="19"/>
  <c r="V661" i="19"/>
  <c r="X660" i="19"/>
  <c r="K660" i="19" s="1"/>
  <c r="G317" i="22" s="1"/>
  <c r="T660" i="19"/>
  <c r="V659" i="19"/>
  <c r="U658" i="19"/>
  <c r="W657" i="19"/>
  <c r="S657" i="19" s="1"/>
  <c r="U656" i="19"/>
  <c r="W655" i="19"/>
  <c r="S655" i="19" s="1"/>
  <c r="U654" i="19"/>
  <c r="X653" i="19"/>
  <c r="K653" i="19" s="1"/>
  <c r="T653" i="19"/>
  <c r="V652" i="19"/>
  <c r="X651" i="19"/>
  <c r="K651" i="19" s="1"/>
  <c r="G312" i="22" s="1"/>
  <c r="T651" i="19"/>
  <c r="V650" i="19"/>
  <c r="X649" i="19"/>
  <c r="T649" i="19"/>
  <c r="W648" i="19"/>
  <c r="S648" i="19" s="1"/>
  <c r="U647" i="19"/>
  <c r="W646" i="19"/>
  <c r="S646" i="19" s="1"/>
  <c r="U645" i="19"/>
  <c r="W644" i="19"/>
  <c r="S644" i="19" s="1"/>
  <c r="V643" i="19"/>
  <c r="X642" i="19"/>
  <c r="K642" i="19" s="1"/>
  <c r="T642" i="19"/>
  <c r="V641" i="19"/>
  <c r="X640" i="19"/>
  <c r="K640" i="19" s="1"/>
  <c r="G308" i="22" s="1"/>
  <c r="T640" i="19"/>
  <c r="V639" i="19"/>
  <c r="U638" i="19"/>
  <c r="W637" i="19"/>
  <c r="S637" i="19" s="1"/>
  <c r="U636" i="19"/>
  <c r="W635" i="19"/>
  <c r="S635" i="19" s="1"/>
  <c r="U634" i="19"/>
  <c r="X633" i="19"/>
  <c r="K633" i="19" s="1"/>
  <c r="T633" i="19"/>
  <c r="V632" i="19"/>
  <c r="X631" i="19"/>
  <c r="K631" i="19" s="1"/>
  <c r="G304" i="22" s="1"/>
  <c r="T631" i="19"/>
  <c r="V630" i="19"/>
  <c r="X629" i="19"/>
  <c r="T629" i="19"/>
  <c r="W628" i="19"/>
  <c r="S628" i="19" s="1"/>
  <c r="U627" i="19"/>
  <c r="W626" i="19"/>
  <c r="S626" i="19" s="1"/>
  <c r="U625" i="19"/>
  <c r="W624" i="19"/>
  <c r="S624" i="19" s="1"/>
  <c r="V623" i="19"/>
  <c r="X622" i="19"/>
  <c r="K622" i="19" s="1"/>
  <c r="G299" i="22" s="1"/>
  <c r="T622" i="19"/>
  <c r="V621" i="19"/>
  <c r="X620" i="19"/>
  <c r="K620" i="19" s="1"/>
  <c r="G297" i="22" s="1"/>
  <c r="T620" i="19"/>
  <c r="V619" i="19"/>
  <c r="U618" i="19"/>
  <c r="W617" i="19"/>
  <c r="S617" i="19" s="1"/>
  <c r="U616" i="19"/>
  <c r="W615" i="19"/>
  <c r="S615" i="19" s="1"/>
  <c r="U614" i="19"/>
  <c r="X613" i="19"/>
  <c r="K613" i="19" s="1"/>
  <c r="T613" i="19"/>
  <c r="V612" i="19"/>
  <c r="X611" i="19"/>
  <c r="K611" i="19" s="1"/>
  <c r="T611" i="19"/>
  <c r="V610" i="19"/>
  <c r="X609" i="19"/>
  <c r="T609" i="19"/>
  <c r="W608" i="19"/>
  <c r="S608" i="19" s="1"/>
  <c r="U607" i="19"/>
  <c r="W606" i="19"/>
  <c r="S606" i="19" s="1"/>
  <c r="U605" i="19"/>
  <c r="W604" i="19"/>
  <c r="S604" i="19" s="1"/>
  <c r="V603" i="19"/>
  <c r="X602" i="19"/>
  <c r="K602" i="19" s="1"/>
  <c r="G291" i="22" s="1"/>
  <c r="T602" i="19"/>
  <c r="V601" i="19"/>
  <c r="X600" i="19"/>
  <c r="K600" i="19" s="1"/>
  <c r="G289" i="22" s="1"/>
  <c r="T600" i="19"/>
  <c r="V599" i="19"/>
  <c r="U598" i="19"/>
  <c r="W597" i="19"/>
  <c r="S597" i="19" s="1"/>
  <c r="U596" i="19"/>
  <c r="W595" i="19"/>
  <c r="S595" i="19" s="1"/>
  <c r="U594" i="19"/>
  <c r="X593" i="19"/>
  <c r="K593" i="19" s="1"/>
  <c r="T593" i="19"/>
  <c r="V592" i="19"/>
  <c r="X591" i="19"/>
  <c r="K591" i="19" s="1"/>
  <c r="T591" i="19"/>
  <c r="V590" i="19"/>
  <c r="X589" i="19"/>
  <c r="T589" i="19"/>
  <c r="W588" i="19"/>
  <c r="S588" i="19" s="1"/>
  <c r="U587" i="19"/>
  <c r="W586" i="19"/>
  <c r="S586" i="19" s="1"/>
  <c r="U585" i="19"/>
  <c r="W584" i="19"/>
  <c r="S584" i="19" s="1"/>
  <c r="V583" i="19"/>
  <c r="X582" i="19"/>
  <c r="K582" i="19" s="1"/>
  <c r="G282" i="22" s="1"/>
  <c r="T582" i="19"/>
  <c r="V581" i="19"/>
  <c r="X580" i="19"/>
  <c r="K580" i="19" s="1"/>
  <c r="G280" i="22" s="1"/>
  <c r="T580" i="19"/>
  <c r="V579" i="19"/>
  <c r="U578" i="19"/>
  <c r="W577" i="19"/>
  <c r="S577" i="19" s="1"/>
  <c r="U576" i="19"/>
  <c r="W575" i="19"/>
  <c r="S575" i="19" s="1"/>
  <c r="U574" i="19"/>
  <c r="X573" i="19"/>
  <c r="K573" i="19" s="1"/>
  <c r="T573" i="19"/>
  <c r="V572" i="19"/>
  <c r="X571" i="19"/>
  <c r="K571" i="19" s="1"/>
  <c r="G277" i="22" s="1"/>
  <c r="T571" i="19"/>
  <c r="V570" i="19"/>
  <c r="X569" i="19"/>
  <c r="T569" i="19"/>
  <c r="W568" i="19"/>
  <c r="S568" i="19" s="1"/>
  <c r="U567" i="19"/>
  <c r="W566" i="19"/>
  <c r="S566" i="19" s="1"/>
  <c r="U565" i="19"/>
  <c r="W564" i="19"/>
  <c r="S564" i="19" s="1"/>
  <c r="V563" i="19"/>
  <c r="X562" i="19"/>
  <c r="K562" i="19" s="1"/>
  <c r="T562" i="19"/>
  <c r="V561" i="19"/>
  <c r="X560" i="19"/>
  <c r="K560" i="19" s="1"/>
  <c r="G272" i="22" s="1"/>
  <c r="T560" i="19"/>
  <c r="V559" i="19"/>
  <c r="U558" i="19"/>
  <c r="W557" i="19"/>
  <c r="S557" i="19" s="1"/>
  <c r="U556" i="19"/>
  <c r="W555" i="19"/>
  <c r="S555" i="19" s="1"/>
  <c r="U554" i="19"/>
  <c r="X553" i="19"/>
  <c r="K553" i="19" s="1"/>
  <c r="T553" i="19"/>
  <c r="V552" i="19"/>
  <c r="X551" i="19"/>
  <c r="K551" i="19" s="1"/>
  <c r="T551" i="19"/>
  <c r="V550" i="19"/>
  <c r="X549" i="19"/>
  <c r="T549" i="19"/>
  <c r="W548" i="19"/>
  <c r="S548" i="19" s="1"/>
  <c r="U547" i="19"/>
  <c r="W546" i="19"/>
  <c r="S546" i="19" s="1"/>
  <c r="U545" i="19"/>
  <c r="W544" i="19"/>
  <c r="S544" i="19" s="1"/>
  <c r="V543" i="19"/>
  <c r="X542" i="19"/>
  <c r="K542" i="19" s="1"/>
  <c r="T542" i="19"/>
  <c r="V541" i="19"/>
  <c r="X540" i="19"/>
  <c r="K540" i="19" s="1"/>
  <c r="G264" i="22" s="1"/>
  <c r="T540" i="19"/>
  <c r="V539" i="19"/>
  <c r="U538" i="19"/>
  <c r="W537" i="19"/>
  <c r="S537" i="19" s="1"/>
  <c r="U536" i="19"/>
  <c r="W535" i="19"/>
  <c r="S535" i="19" s="1"/>
  <c r="U534" i="19"/>
  <c r="X533" i="19"/>
  <c r="K533" i="19" s="1"/>
  <c r="T533" i="19"/>
  <c r="V532" i="19"/>
  <c r="X531" i="19"/>
  <c r="K531" i="19" s="1"/>
  <c r="G260" i="22" s="1"/>
  <c r="T531" i="19"/>
  <c r="V530" i="19"/>
  <c r="X529" i="19"/>
  <c r="T529" i="19"/>
  <c r="W528" i="19"/>
  <c r="S528" i="19" s="1"/>
  <c r="U527" i="19"/>
  <c r="W526" i="19"/>
  <c r="S526" i="19" s="1"/>
  <c r="U525" i="19"/>
  <c r="W524" i="19"/>
  <c r="S524" i="19" s="1"/>
  <c r="V523" i="19"/>
  <c r="X522" i="19"/>
  <c r="K522" i="19" s="1"/>
  <c r="T522" i="19"/>
  <c r="V521" i="19"/>
  <c r="X520" i="19"/>
  <c r="K520" i="19" s="1"/>
  <c r="G254" i="22" s="1"/>
  <c r="T520" i="19"/>
  <c r="V519" i="19"/>
  <c r="U518" i="19"/>
  <c r="W517" i="19"/>
  <c r="S517" i="19" s="1"/>
  <c r="U516" i="19"/>
  <c r="W515" i="19"/>
  <c r="S515" i="19" s="1"/>
  <c r="U514" i="19"/>
  <c r="X513" i="19"/>
  <c r="K513" i="19" s="1"/>
  <c r="T513" i="19"/>
  <c r="V512" i="19"/>
  <c r="X511" i="19"/>
  <c r="K511" i="19" s="1"/>
  <c r="G249" i="22" s="1"/>
  <c r="T511" i="19"/>
  <c r="V510" i="19"/>
  <c r="X509" i="19"/>
  <c r="T509" i="19"/>
  <c r="W508" i="19"/>
  <c r="S508" i="19" s="1"/>
  <c r="U507" i="19"/>
  <c r="W506" i="19"/>
  <c r="S506" i="19" s="1"/>
  <c r="U505" i="19"/>
  <c r="W504" i="19"/>
  <c r="S504" i="19" s="1"/>
  <c r="V503" i="19"/>
  <c r="X502" i="19"/>
  <c r="K502" i="19" s="1"/>
  <c r="G245" i="22" s="1"/>
  <c r="T502" i="19"/>
  <c r="V501" i="19"/>
  <c r="X500" i="19"/>
  <c r="K500" i="19" s="1"/>
  <c r="G243" i="22" s="1"/>
  <c r="T500" i="19"/>
  <c r="V499" i="19"/>
  <c r="U498" i="19"/>
  <c r="W497" i="19"/>
  <c r="S497" i="19" s="1"/>
  <c r="U496" i="19"/>
  <c r="W495" i="19"/>
  <c r="S495" i="19" s="1"/>
  <c r="U494" i="19"/>
  <c r="X493" i="19"/>
  <c r="K493" i="19" s="1"/>
  <c r="T493" i="19"/>
  <c r="V492" i="19"/>
  <c r="X491" i="19"/>
  <c r="K491" i="19" s="1"/>
  <c r="G240" i="22" s="1"/>
  <c r="T491" i="19"/>
  <c r="V490" i="19"/>
  <c r="X489" i="19"/>
  <c r="T489" i="19"/>
  <c r="W488" i="19"/>
  <c r="S488" i="19" s="1"/>
  <c r="U487" i="19"/>
  <c r="W486" i="19"/>
  <c r="S486" i="19" s="1"/>
  <c r="U485" i="19"/>
  <c r="W484" i="19"/>
  <c r="S484" i="19" s="1"/>
  <c r="V483" i="19"/>
  <c r="X482" i="19"/>
  <c r="K482" i="19" s="1"/>
  <c r="G236" i="22" s="1"/>
  <c r="T482" i="19"/>
  <c r="V481" i="19"/>
  <c r="X480" i="19"/>
  <c r="K480" i="19" s="1"/>
  <c r="G234" i="22" s="1"/>
  <c r="T480" i="19"/>
  <c r="V479" i="19"/>
  <c r="U478" i="19"/>
  <c r="W477" i="19"/>
  <c r="S477" i="19" s="1"/>
  <c r="U476" i="19"/>
  <c r="W475" i="19"/>
  <c r="S475" i="19" s="1"/>
  <c r="U474" i="19"/>
  <c r="X473" i="19"/>
  <c r="K473" i="19" s="1"/>
  <c r="T473" i="19"/>
  <c r="V472" i="19"/>
  <c r="X471" i="19"/>
  <c r="K471" i="19" s="1"/>
  <c r="T471" i="19"/>
  <c r="V470" i="19"/>
  <c r="X469" i="19"/>
  <c r="T469" i="19"/>
  <c r="W468" i="19"/>
  <c r="S468" i="19" s="1"/>
  <c r="U467" i="19"/>
  <c r="W466" i="19"/>
  <c r="S466" i="19" s="1"/>
  <c r="U465" i="19"/>
  <c r="W464" i="19"/>
  <c r="S464" i="19" s="1"/>
  <c r="V463" i="19"/>
  <c r="X462" i="19"/>
  <c r="K462" i="19" s="1"/>
  <c r="T462" i="19"/>
  <c r="V461" i="19"/>
  <c r="X460" i="19"/>
  <c r="K460" i="19" s="1"/>
  <c r="G225" i="22" s="1"/>
  <c r="T460" i="19"/>
  <c r="V459" i="19"/>
  <c r="U458" i="19"/>
  <c r="W457" i="19"/>
  <c r="S457" i="19" s="1"/>
  <c r="U456" i="19"/>
  <c r="W455" i="19"/>
  <c r="S455" i="19" s="1"/>
  <c r="U454" i="19"/>
  <c r="X453" i="19"/>
  <c r="K453" i="19" s="1"/>
  <c r="T453" i="19"/>
  <c r="V452" i="19"/>
  <c r="X451" i="19"/>
  <c r="K451" i="19" s="1"/>
  <c r="G222" i="22" s="1"/>
  <c r="T451" i="19"/>
  <c r="V450" i="19"/>
  <c r="X449" i="19"/>
  <c r="T449" i="19"/>
  <c r="W448" i="19"/>
  <c r="S448" i="19" s="1"/>
  <c r="U447" i="19"/>
  <c r="W446" i="19"/>
  <c r="S446" i="19" s="1"/>
  <c r="U445" i="19"/>
  <c r="W444" i="19"/>
  <c r="S444" i="19" s="1"/>
  <c r="V443" i="19"/>
  <c r="X442" i="19"/>
  <c r="K442" i="19" s="1"/>
  <c r="T442" i="19"/>
  <c r="V441" i="19"/>
  <c r="X440" i="19"/>
  <c r="K440" i="19" s="1"/>
  <c r="G217" i="22" s="1"/>
  <c r="T440" i="19"/>
  <c r="V439" i="19"/>
  <c r="U438" i="19"/>
  <c r="W437" i="19"/>
  <c r="S437" i="19" s="1"/>
  <c r="U436" i="19"/>
  <c r="W435" i="19"/>
  <c r="S435" i="19" s="1"/>
  <c r="U434" i="19"/>
  <c r="X433" i="19"/>
  <c r="K433" i="19" s="1"/>
  <c r="T433" i="19"/>
  <c r="V432" i="19"/>
  <c r="X431" i="19"/>
  <c r="K431" i="19" s="1"/>
  <c r="G214" i="22" s="1"/>
  <c r="T431" i="19"/>
  <c r="V430" i="19"/>
  <c r="X429" i="19"/>
  <c r="T429" i="19"/>
  <c r="W428" i="19"/>
  <c r="S428" i="19" s="1"/>
  <c r="U427" i="19"/>
  <c r="W426" i="19"/>
  <c r="S426" i="19" s="1"/>
  <c r="U425" i="19"/>
  <c r="W424" i="19"/>
  <c r="S424" i="19" s="1"/>
  <c r="V423" i="19"/>
  <c r="X422" i="19"/>
  <c r="K422" i="19" s="1"/>
  <c r="T422" i="19"/>
  <c r="V421" i="19"/>
  <c r="X420" i="19"/>
  <c r="K420" i="19" s="1"/>
  <c r="G209" i="22" s="1"/>
  <c r="T420" i="19"/>
  <c r="V419" i="19"/>
  <c r="U418" i="19"/>
  <c r="W417" i="19"/>
  <c r="S417" i="19" s="1"/>
  <c r="U416" i="19"/>
  <c r="W415" i="19"/>
  <c r="S415" i="19" s="1"/>
  <c r="U414" i="19"/>
  <c r="X413" i="19"/>
  <c r="K413" i="19" s="1"/>
  <c r="T413" i="19"/>
  <c r="V412" i="19"/>
  <c r="X411" i="19"/>
  <c r="K411" i="19" s="1"/>
  <c r="G206" i="22" s="1"/>
  <c r="T411" i="19"/>
  <c r="V410" i="19"/>
  <c r="X409" i="19"/>
  <c r="T409" i="19"/>
  <c r="W408" i="19"/>
  <c r="S408" i="19" s="1"/>
  <c r="U407" i="19"/>
  <c r="W406" i="19"/>
  <c r="S406" i="19" s="1"/>
  <c r="U405" i="19"/>
  <c r="W404" i="19"/>
  <c r="S404" i="19" s="1"/>
  <c r="V403" i="19"/>
  <c r="X402" i="19"/>
  <c r="K402" i="19" s="1"/>
  <c r="T402" i="19"/>
  <c r="V401" i="19"/>
  <c r="X400" i="19"/>
  <c r="K400" i="19" s="1"/>
  <c r="G200" i="22" s="1"/>
  <c r="T400" i="19"/>
  <c r="V399" i="19"/>
  <c r="U398" i="19"/>
  <c r="W397" i="19"/>
  <c r="S397" i="19" s="1"/>
  <c r="U396" i="19"/>
  <c r="W395" i="19"/>
  <c r="S395" i="19" s="1"/>
  <c r="U394" i="19"/>
  <c r="X393" i="19"/>
  <c r="K393" i="19" s="1"/>
  <c r="T393" i="19"/>
  <c r="V392" i="19"/>
  <c r="X391" i="19"/>
  <c r="K391" i="19" s="1"/>
  <c r="G195" i="22" s="1"/>
  <c r="T391" i="19"/>
  <c r="V390" i="19"/>
  <c r="X389" i="19"/>
  <c r="T389" i="19"/>
  <c r="W388" i="19"/>
  <c r="S388" i="19" s="1"/>
  <c r="U387" i="19"/>
  <c r="W386" i="19"/>
  <c r="S386" i="19" s="1"/>
  <c r="U385" i="19"/>
  <c r="W384" i="19"/>
  <c r="S384" i="19" s="1"/>
  <c r="V383" i="19"/>
  <c r="X382" i="19"/>
  <c r="K382" i="19" s="1"/>
  <c r="G189" i="22" s="1"/>
  <c r="T382" i="19"/>
  <c r="V381" i="19"/>
  <c r="X380" i="19"/>
  <c r="K380" i="19" s="1"/>
  <c r="G187" i="22" s="1"/>
  <c r="T380" i="19"/>
  <c r="V379" i="19"/>
  <c r="U378" i="19"/>
  <c r="W377" i="19"/>
  <c r="S377" i="19" s="1"/>
  <c r="U376" i="19"/>
  <c r="W375" i="19"/>
  <c r="S375" i="19" s="1"/>
  <c r="U374" i="19"/>
  <c r="X373" i="19"/>
  <c r="K373" i="19" s="1"/>
  <c r="T373" i="19"/>
  <c r="V372" i="19"/>
  <c r="X371" i="19"/>
  <c r="K371" i="19" s="1"/>
  <c r="G182" i="22" s="1"/>
  <c r="T371" i="19"/>
  <c r="V370" i="19"/>
  <c r="X369" i="19"/>
  <c r="T369" i="19"/>
  <c r="W368" i="19"/>
  <c r="S368" i="19" s="1"/>
  <c r="U367" i="19"/>
  <c r="W366" i="19"/>
  <c r="S366" i="19" s="1"/>
  <c r="U365" i="19"/>
  <c r="W364" i="19"/>
  <c r="S364" i="19" s="1"/>
  <c r="V363" i="19"/>
  <c r="X362" i="19"/>
  <c r="K362" i="19" s="1"/>
  <c r="T362" i="19"/>
  <c r="V361" i="19"/>
  <c r="X360" i="19"/>
  <c r="K360" i="19" s="1"/>
  <c r="G176" i="22" s="1"/>
  <c r="T360" i="19"/>
  <c r="V359" i="19"/>
  <c r="U358" i="19"/>
  <c r="W357" i="19"/>
  <c r="S357" i="19" s="1"/>
  <c r="U356" i="19"/>
  <c r="W355" i="19"/>
  <c r="S355" i="19" s="1"/>
  <c r="U354" i="19"/>
  <c r="X353" i="19"/>
  <c r="K353" i="19" s="1"/>
  <c r="T353" i="19"/>
  <c r="V352" i="19"/>
  <c r="X351" i="19"/>
  <c r="K351" i="19" s="1"/>
  <c r="G173" i="22" s="1"/>
  <c r="T351" i="19"/>
  <c r="V350" i="19"/>
  <c r="X349" i="19"/>
  <c r="T349" i="19"/>
  <c r="W348" i="19"/>
  <c r="S348" i="19" s="1"/>
  <c r="U347" i="19"/>
  <c r="W346" i="19"/>
  <c r="S346" i="19" s="1"/>
  <c r="U345" i="19"/>
  <c r="W344" i="19"/>
  <c r="S344" i="19" s="1"/>
  <c r="V343" i="19"/>
  <c r="X342" i="19"/>
  <c r="K342" i="19" s="1"/>
  <c r="G168" i="22" s="1"/>
  <c r="T342" i="19"/>
  <c r="V341" i="19"/>
  <c r="X340" i="19"/>
  <c r="K340" i="19" s="1"/>
  <c r="G166" i="22" s="1"/>
  <c r="T340" i="19"/>
  <c r="V339" i="19"/>
  <c r="U338" i="19"/>
  <c r="W337" i="19"/>
  <c r="S337" i="19" s="1"/>
  <c r="U336" i="19"/>
  <c r="W335" i="19"/>
  <c r="S335" i="19" s="1"/>
  <c r="U334" i="19"/>
  <c r="X333" i="19"/>
  <c r="K333" i="19" s="1"/>
  <c r="T333" i="19"/>
  <c r="V332" i="19"/>
  <c r="X331" i="19"/>
  <c r="K331" i="19" s="1"/>
  <c r="G161" i="22" s="1"/>
  <c r="T331" i="19"/>
  <c r="V330" i="19"/>
  <c r="X329" i="19"/>
  <c r="T329" i="19"/>
  <c r="W328" i="19"/>
  <c r="S328" i="19" s="1"/>
  <c r="U327" i="19"/>
  <c r="W326" i="19"/>
  <c r="S326" i="19" s="1"/>
  <c r="U325" i="19"/>
  <c r="W324" i="19"/>
  <c r="S324" i="19" s="1"/>
  <c r="V323" i="19"/>
  <c r="X322" i="19"/>
  <c r="K322" i="19" s="1"/>
  <c r="T322" i="19"/>
  <c r="V321" i="19"/>
  <c r="X320" i="19"/>
  <c r="K320" i="19" s="1"/>
  <c r="G157" i="22" s="1"/>
  <c r="T320" i="19"/>
  <c r="V319" i="19"/>
  <c r="U318" i="19"/>
  <c r="W317" i="19"/>
  <c r="S317" i="19" s="1"/>
  <c r="U316" i="19"/>
  <c r="W315" i="19"/>
  <c r="S315" i="19" s="1"/>
  <c r="U314" i="19"/>
  <c r="X313" i="19"/>
  <c r="K313" i="19" s="1"/>
  <c r="T313" i="19"/>
  <c r="V312" i="19"/>
  <c r="X311" i="19"/>
  <c r="K311" i="19" s="1"/>
  <c r="T311" i="19"/>
  <c r="V310" i="19"/>
  <c r="X309" i="19"/>
  <c r="T309" i="19"/>
  <c r="W308" i="19"/>
  <c r="S308" i="19" s="1"/>
  <c r="U307" i="19"/>
  <c r="W306" i="19"/>
  <c r="S306" i="19" s="1"/>
  <c r="U305" i="19"/>
  <c r="W304" i="19"/>
  <c r="S304" i="19" s="1"/>
  <c r="V303" i="19"/>
  <c r="X302" i="19"/>
  <c r="K302" i="19" s="1"/>
  <c r="T302" i="19"/>
  <c r="V301" i="19"/>
  <c r="X300" i="19"/>
  <c r="K300" i="19" s="1"/>
  <c r="G148" i="22" s="1"/>
  <c r="T300" i="19"/>
  <c r="V299" i="19"/>
  <c r="U298" i="19"/>
  <c r="W297" i="19"/>
  <c r="S297" i="19" s="1"/>
  <c r="U296" i="19"/>
  <c r="W295" i="19"/>
  <c r="S295" i="19" s="1"/>
  <c r="U294" i="19"/>
  <c r="X293" i="19"/>
  <c r="K293" i="19" s="1"/>
  <c r="T293" i="19"/>
  <c r="V292" i="19"/>
  <c r="X291" i="19"/>
  <c r="K291" i="19" s="1"/>
  <c r="G144" i="22" s="1"/>
  <c r="T291" i="19"/>
  <c r="V290" i="19"/>
  <c r="X289" i="19"/>
  <c r="T289" i="19"/>
  <c r="W288" i="19"/>
  <c r="S288" i="19" s="1"/>
  <c r="U287" i="19"/>
  <c r="W286" i="19"/>
  <c r="S286" i="19" s="1"/>
  <c r="U285" i="19"/>
  <c r="W284" i="19"/>
  <c r="S284" i="19" s="1"/>
  <c r="V283" i="19"/>
  <c r="X282" i="19"/>
  <c r="K282" i="19" s="1"/>
  <c r="G140" i="22" s="1"/>
  <c r="T282" i="19"/>
  <c r="V281" i="19"/>
  <c r="X280" i="19"/>
  <c r="K280" i="19" s="1"/>
  <c r="G138" i="22" s="1"/>
  <c r="T280" i="19"/>
  <c r="V279" i="19"/>
  <c r="U278" i="19"/>
  <c r="W277" i="19"/>
  <c r="S277" i="19" s="1"/>
  <c r="U276" i="19"/>
  <c r="W275" i="19"/>
  <c r="S275" i="19" s="1"/>
  <c r="U274" i="19"/>
  <c r="X273" i="19"/>
  <c r="K273" i="19" s="1"/>
  <c r="T273" i="19"/>
  <c r="V272" i="19"/>
  <c r="X271" i="19"/>
  <c r="K271" i="19" s="1"/>
  <c r="G133" i="22" s="1"/>
  <c r="T271" i="19"/>
  <c r="V270" i="19"/>
  <c r="X269" i="19"/>
  <c r="T269" i="19"/>
  <c r="W268" i="19"/>
  <c r="S268" i="19" s="1"/>
  <c r="U267" i="19"/>
  <c r="W266" i="19"/>
  <c r="S266" i="19" s="1"/>
  <c r="U764" i="19"/>
  <c r="V762" i="19"/>
  <c r="V760" i="19"/>
  <c r="W758" i="19"/>
  <c r="S758" i="19" s="1"/>
  <c r="V753" i="19"/>
  <c r="V751" i="19"/>
  <c r="V749" i="19"/>
  <c r="V748" i="19"/>
  <c r="X747" i="19"/>
  <c r="K747" i="19" s="1"/>
  <c r="G355" i="22" s="1"/>
  <c r="T747" i="19"/>
  <c r="V746" i="19"/>
  <c r="X745" i="19"/>
  <c r="K745" i="19" s="1"/>
  <c r="G353" i="22" s="1"/>
  <c r="T745" i="19"/>
  <c r="V744" i="19"/>
  <c r="U743" i="19"/>
  <c r="W742" i="19"/>
  <c r="S742" i="19" s="1"/>
  <c r="U741" i="19"/>
  <c r="W740" i="19"/>
  <c r="S740" i="19" s="1"/>
  <c r="U739" i="19"/>
  <c r="X738" i="19"/>
  <c r="K738" i="19" s="1"/>
  <c r="T738" i="19"/>
  <c r="V737" i="19"/>
  <c r="X736" i="19"/>
  <c r="K736" i="19" s="1"/>
  <c r="G348" i="22" s="1"/>
  <c r="T736" i="19"/>
  <c r="V735" i="19"/>
  <c r="X734" i="19"/>
  <c r="T734" i="19"/>
  <c r="W733" i="19"/>
  <c r="S733" i="19" s="1"/>
  <c r="U732" i="19"/>
  <c r="W731" i="19"/>
  <c r="S731" i="19" s="1"/>
  <c r="U730" i="19"/>
  <c r="W729" i="19"/>
  <c r="S729" i="19" s="1"/>
  <c r="V728" i="19"/>
  <c r="X727" i="19"/>
  <c r="K727" i="19" s="1"/>
  <c r="T727" i="19"/>
  <c r="V726" i="19"/>
  <c r="X725" i="19"/>
  <c r="K725" i="19" s="1"/>
  <c r="G343" i="22" s="1"/>
  <c r="T725" i="19"/>
  <c r="V724" i="19"/>
  <c r="U723" i="19"/>
  <c r="W722" i="19"/>
  <c r="S722" i="19" s="1"/>
  <c r="U721" i="19"/>
  <c r="W720" i="19"/>
  <c r="S720" i="19" s="1"/>
  <c r="U719" i="19"/>
  <c r="X718" i="19"/>
  <c r="K718" i="19" s="1"/>
  <c r="T718" i="19"/>
  <c r="V717" i="19"/>
  <c r="X716" i="19"/>
  <c r="K716" i="19" s="1"/>
  <c r="T716" i="19"/>
  <c r="V715" i="19"/>
  <c r="X714" i="19"/>
  <c r="T714" i="19"/>
  <c r="W713" i="19"/>
  <c r="S713" i="19" s="1"/>
  <c r="U712" i="19"/>
  <c r="W711" i="19"/>
  <c r="S711" i="19" s="1"/>
  <c r="U710" i="19"/>
  <c r="W709" i="19"/>
  <c r="S709" i="19" s="1"/>
  <c r="V708" i="19"/>
  <c r="X707" i="19"/>
  <c r="K707" i="19" s="1"/>
  <c r="G337" i="22" s="1"/>
  <c r="T707" i="19"/>
  <c r="V706" i="19"/>
  <c r="X705" i="19"/>
  <c r="K705" i="19" s="1"/>
  <c r="G335" i="22" s="1"/>
  <c r="T705" i="19"/>
  <c r="V704" i="19"/>
  <c r="U703" i="19"/>
  <c r="W702" i="19"/>
  <c r="S702" i="19" s="1"/>
  <c r="U701" i="19"/>
  <c r="W700" i="19"/>
  <c r="S700" i="19" s="1"/>
  <c r="U699" i="19"/>
  <c r="X698" i="19"/>
  <c r="K698" i="19" s="1"/>
  <c r="T698" i="19"/>
  <c r="V697" i="19"/>
  <c r="X696" i="19"/>
  <c r="K696" i="19" s="1"/>
  <c r="G332" i="22" s="1"/>
  <c r="T696" i="19"/>
  <c r="V695" i="19"/>
  <c r="X694" i="19"/>
  <c r="T694" i="19"/>
  <c r="W693" i="19"/>
  <c r="S693" i="19" s="1"/>
  <c r="U692" i="19"/>
  <c r="W691" i="19"/>
  <c r="S691" i="19" s="1"/>
  <c r="U690" i="19"/>
  <c r="W689" i="19"/>
  <c r="S689" i="19" s="1"/>
  <c r="V688" i="19"/>
  <c r="X687" i="19"/>
  <c r="K687" i="19" s="1"/>
  <c r="T687" i="19"/>
  <c r="V686" i="19"/>
  <c r="X685" i="19"/>
  <c r="K685" i="19" s="1"/>
  <c r="G328" i="22" s="1"/>
  <c r="T685" i="19"/>
  <c r="V684" i="19"/>
  <c r="U683" i="19"/>
  <c r="W682" i="19"/>
  <c r="S682" i="19" s="1"/>
  <c r="U681" i="19"/>
  <c r="W680" i="19"/>
  <c r="S680" i="19" s="1"/>
  <c r="U679" i="19"/>
  <c r="X678" i="19"/>
  <c r="K678" i="19" s="1"/>
  <c r="T678" i="19"/>
  <c r="V677" i="19"/>
  <c r="X676" i="19"/>
  <c r="K676" i="19" s="1"/>
  <c r="G324" i="22" s="1"/>
  <c r="T676" i="19"/>
  <c r="V675" i="19"/>
  <c r="X674" i="19"/>
  <c r="T674" i="19"/>
  <c r="W673" i="19"/>
  <c r="S673" i="19" s="1"/>
  <c r="U672" i="19"/>
  <c r="W671" i="19"/>
  <c r="S671" i="19" s="1"/>
  <c r="U670" i="19"/>
  <c r="W669" i="19"/>
  <c r="S669" i="19" s="1"/>
  <c r="V668" i="19"/>
  <c r="X667" i="19"/>
  <c r="K667" i="19" s="1"/>
  <c r="T667" i="19"/>
  <c r="V666" i="19"/>
  <c r="X665" i="19"/>
  <c r="K665" i="19" s="1"/>
  <c r="G318" i="22" s="1"/>
  <c r="T665" i="19"/>
  <c r="V664" i="19"/>
  <c r="U663" i="19"/>
  <c r="W662" i="19"/>
  <c r="S662" i="19" s="1"/>
  <c r="U661" i="19"/>
  <c r="W660" i="19"/>
  <c r="S660" i="19" s="1"/>
  <c r="U659" i="19"/>
  <c r="X658" i="19"/>
  <c r="K658" i="19" s="1"/>
  <c r="T658" i="19"/>
  <c r="V657" i="19"/>
  <c r="X656" i="19"/>
  <c r="K656" i="19" s="1"/>
  <c r="G315" i="22" s="1"/>
  <c r="T656" i="19"/>
  <c r="V655" i="19"/>
  <c r="X654" i="19"/>
  <c r="T654" i="19"/>
  <c r="W653" i="19"/>
  <c r="S653" i="19" s="1"/>
  <c r="U652" i="19"/>
  <c r="W651" i="19"/>
  <c r="S651" i="19" s="1"/>
  <c r="U650" i="19"/>
  <c r="W649" i="19"/>
  <c r="S649" i="19" s="1"/>
  <c r="V648" i="19"/>
  <c r="X647" i="19"/>
  <c r="K647" i="19" s="1"/>
  <c r="T647" i="19"/>
  <c r="V646" i="19"/>
  <c r="X645" i="19"/>
  <c r="K645" i="19" s="1"/>
  <c r="G309" i="22" s="1"/>
  <c r="T645" i="19"/>
  <c r="V644" i="19"/>
  <c r="U643" i="19"/>
  <c r="W642" i="19"/>
  <c r="S642" i="19" s="1"/>
  <c r="U641" i="19"/>
  <c r="W640" i="19"/>
  <c r="S640" i="19" s="1"/>
  <c r="U639" i="19"/>
  <c r="X638" i="19"/>
  <c r="K638" i="19" s="1"/>
  <c r="T638" i="19"/>
  <c r="V637" i="19"/>
  <c r="X636" i="19"/>
  <c r="K636" i="19" s="1"/>
  <c r="G306" i="22" s="1"/>
  <c r="T636" i="19"/>
  <c r="V635" i="19"/>
  <c r="X634" i="19"/>
  <c r="T634" i="19"/>
  <c r="W633" i="19"/>
  <c r="S633" i="19" s="1"/>
  <c r="U632" i="19"/>
  <c r="W631" i="19"/>
  <c r="S631" i="19" s="1"/>
  <c r="U630" i="19"/>
  <c r="W629" i="19"/>
  <c r="S629" i="19" s="1"/>
  <c r="V628" i="19"/>
  <c r="X627" i="19"/>
  <c r="K627" i="19" s="1"/>
  <c r="G302" i="22" s="1"/>
  <c r="T627" i="19"/>
  <c r="V626" i="19"/>
  <c r="X625" i="19"/>
  <c r="K625" i="19" s="1"/>
  <c r="G300" i="22" s="1"/>
  <c r="T625" i="19"/>
  <c r="V624" i="19"/>
  <c r="U623" i="19"/>
  <c r="W622" i="19"/>
  <c r="S622" i="19" s="1"/>
  <c r="U621" i="19"/>
  <c r="W620" i="19"/>
  <c r="S620" i="19" s="1"/>
  <c r="U619" i="19"/>
  <c r="X618" i="19"/>
  <c r="K618" i="19" s="1"/>
  <c r="T618" i="19"/>
  <c r="V617" i="19"/>
  <c r="X616" i="19"/>
  <c r="K616" i="19" s="1"/>
  <c r="G296" i="22" s="1"/>
  <c r="T616" i="19"/>
  <c r="V615" i="19"/>
  <c r="X614" i="19"/>
  <c r="T614" i="19"/>
  <c r="W613" i="19"/>
  <c r="S613" i="19" s="1"/>
  <c r="U612" i="19"/>
  <c r="W611" i="19"/>
  <c r="S611" i="19" s="1"/>
  <c r="U610" i="19"/>
  <c r="W609" i="19"/>
  <c r="S609" i="19" s="1"/>
  <c r="V608" i="19"/>
  <c r="X607" i="19"/>
  <c r="K607" i="19" s="1"/>
  <c r="T607" i="19"/>
  <c r="V606" i="19"/>
  <c r="X605" i="19"/>
  <c r="K605" i="19" s="1"/>
  <c r="G292" i="22" s="1"/>
  <c r="T605" i="19"/>
  <c r="V604" i="19"/>
  <c r="U603" i="19"/>
  <c r="W602" i="19"/>
  <c r="S602" i="19" s="1"/>
  <c r="U601" i="19"/>
  <c r="W600" i="19"/>
  <c r="S600" i="19" s="1"/>
  <c r="U599" i="19"/>
  <c r="X598" i="19"/>
  <c r="K598" i="19" s="1"/>
  <c r="T598" i="19"/>
  <c r="V597" i="19"/>
  <c r="X596" i="19"/>
  <c r="K596" i="19" s="1"/>
  <c r="G288" i="22" s="1"/>
  <c r="T596" i="19"/>
  <c r="V595" i="19"/>
  <c r="X594" i="19"/>
  <c r="T594" i="19"/>
  <c r="W593" i="19"/>
  <c r="S593" i="19" s="1"/>
  <c r="U592" i="19"/>
  <c r="W591" i="19"/>
  <c r="S591" i="19" s="1"/>
  <c r="U590" i="19"/>
  <c r="W589" i="19"/>
  <c r="S589" i="19" s="1"/>
  <c r="V588" i="19"/>
  <c r="X587" i="19"/>
  <c r="K587" i="19" s="1"/>
  <c r="G285" i="22" s="1"/>
  <c r="T587" i="19"/>
  <c r="V586" i="19"/>
  <c r="X585" i="19"/>
  <c r="K585" i="19" s="1"/>
  <c r="G283" i="22" s="1"/>
  <c r="T585" i="19"/>
  <c r="V584" i="19"/>
  <c r="U583" i="19"/>
  <c r="W582" i="19"/>
  <c r="S582" i="19" s="1"/>
  <c r="U581" i="19"/>
  <c r="W580" i="19"/>
  <c r="S580" i="19" s="1"/>
  <c r="U579" i="19"/>
  <c r="X578" i="19"/>
  <c r="K578" i="19" s="1"/>
  <c r="T578" i="19"/>
  <c r="V577" i="19"/>
  <c r="X576" i="19"/>
  <c r="K576" i="19" s="1"/>
  <c r="G279" i="22" s="1"/>
  <c r="T576" i="19"/>
  <c r="V575" i="19"/>
  <c r="X574" i="19"/>
  <c r="T574" i="19"/>
  <c r="W573" i="19"/>
  <c r="S573" i="19" s="1"/>
  <c r="U572" i="19"/>
  <c r="W571" i="19"/>
  <c r="S571" i="19" s="1"/>
  <c r="U570" i="19"/>
  <c r="W569" i="19"/>
  <c r="S569" i="19" s="1"/>
  <c r="V568" i="19"/>
  <c r="X567" i="19"/>
  <c r="K567" i="19" s="1"/>
  <c r="T567" i="19"/>
  <c r="V566" i="19"/>
  <c r="X565" i="19"/>
  <c r="K565" i="19" s="1"/>
  <c r="G274" i="22" s="1"/>
  <c r="T565" i="19"/>
  <c r="V564" i="19"/>
  <c r="U563" i="19"/>
  <c r="W562" i="19"/>
  <c r="S562" i="19" s="1"/>
  <c r="U561" i="19"/>
  <c r="W560" i="19"/>
  <c r="S560" i="19" s="1"/>
  <c r="U559" i="19"/>
  <c r="X558" i="19"/>
  <c r="K558" i="19" s="1"/>
  <c r="T558" i="19"/>
  <c r="V557" i="19"/>
  <c r="X556" i="19"/>
  <c r="K556" i="19" s="1"/>
  <c r="G271" i="22" s="1"/>
  <c r="T556" i="19"/>
  <c r="V555" i="19"/>
  <c r="X554" i="19"/>
  <c r="T554" i="19"/>
  <c r="W553" i="19"/>
  <c r="S553" i="19" s="1"/>
  <c r="U552" i="19"/>
  <c r="W551" i="19"/>
  <c r="S551" i="19" s="1"/>
  <c r="U550" i="19"/>
  <c r="W549" i="19"/>
  <c r="S549" i="19" s="1"/>
  <c r="V548" i="19"/>
  <c r="X547" i="19"/>
  <c r="K547" i="19" s="1"/>
  <c r="G268" i="22" s="1"/>
  <c r="T547" i="19"/>
  <c r="V546" i="19"/>
  <c r="X545" i="19"/>
  <c r="K545" i="19" s="1"/>
  <c r="G266" i="22" s="1"/>
  <c r="T545" i="19"/>
  <c r="V544" i="19"/>
  <c r="U543" i="19"/>
  <c r="W542" i="19"/>
  <c r="S542" i="19" s="1"/>
  <c r="U541" i="19"/>
  <c r="W540" i="19"/>
  <c r="S540" i="19" s="1"/>
  <c r="U539" i="19"/>
  <c r="X538" i="19"/>
  <c r="K538" i="19" s="1"/>
  <c r="T538" i="19"/>
  <c r="V537" i="19"/>
  <c r="X536" i="19"/>
  <c r="K536" i="19" s="1"/>
  <c r="G262" i="22" s="1"/>
  <c r="T536" i="19"/>
  <c r="V535" i="19"/>
  <c r="X534" i="19"/>
  <c r="T534" i="19"/>
  <c r="W533" i="19"/>
  <c r="S533" i="19" s="1"/>
  <c r="U532" i="19"/>
  <c r="W531" i="19"/>
  <c r="S531" i="19" s="1"/>
  <c r="U530" i="19"/>
  <c r="W529" i="19"/>
  <c r="S529" i="19" s="1"/>
  <c r="V528" i="19"/>
  <c r="X527" i="19"/>
  <c r="K527" i="19" s="1"/>
  <c r="G258" i="22" s="1"/>
  <c r="T527" i="19"/>
  <c r="V526" i="19"/>
  <c r="X525" i="19"/>
  <c r="K525" i="19" s="1"/>
  <c r="G256" i="22" s="1"/>
  <c r="T525" i="19"/>
  <c r="V524" i="19"/>
  <c r="U523" i="19"/>
  <c r="W522" i="19"/>
  <c r="S522" i="19" s="1"/>
  <c r="U521" i="19"/>
  <c r="W520" i="19"/>
  <c r="S520" i="19" s="1"/>
  <c r="U519" i="19"/>
  <c r="X518" i="19"/>
  <c r="K518" i="19" s="1"/>
  <c r="T518" i="19"/>
  <c r="V517" i="19"/>
  <c r="X516" i="19"/>
  <c r="K516" i="19" s="1"/>
  <c r="G252" i="22" s="1"/>
  <c r="T516" i="19"/>
  <c r="V515" i="19"/>
  <c r="X514" i="19"/>
  <c r="T514" i="19"/>
  <c r="W513" i="19"/>
  <c r="S513" i="19" s="1"/>
  <c r="U512" i="19"/>
  <c r="W511" i="19"/>
  <c r="S511" i="19" s="1"/>
  <c r="U510" i="19"/>
  <c r="W509" i="19"/>
  <c r="S509" i="19" s="1"/>
  <c r="V508" i="19"/>
  <c r="X507" i="19"/>
  <c r="K507" i="19" s="1"/>
  <c r="T507" i="19"/>
  <c r="V506" i="19"/>
  <c r="X505" i="19"/>
  <c r="K505" i="19" s="1"/>
  <c r="G246" i="22" s="1"/>
  <c r="T505" i="19"/>
  <c r="V504" i="19"/>
  <c r="U503" i="19"/>
  <c r="W502" i="19"/>
  <c r="S502" i="19" s="1"/>
  <c r="U501" i="19"/>
  <c r="W500" i="19"/>
  <c r="S500" i="19" s="1"/>
  <c r="U499" i="19"/>
  <c r="X498" i="19"/>
  <c r="K498" i="19" s="1"/>
  <c r="T498" i="19"/>
  <c r="V497" i="19"/>
  <c r="X496" i="19"/>
  <c r="K496" i="19" s="1"/>
  <c r="G242" i="22" s="1"/>
  <c r="T496" i="19"/>
  <c r="V495" i="19"/>
  <c r="X494" i="19"/>
  <c r="T494" i="19"/>
  <c r="W493" i="19"/>
  <c r="S493" i="19" s="1"/>
  <c r="U492" i="19"/>
  <c r="W491" i="19"/>
  <c r="S491" i="19" s="1"/>
  <c r="U490" i="19"/>
  <c r="W489" i="19"/>
  <c r="S489" i="19" s="1"/>
  <c r="V488" i="19"/>
  <c r="X487" i="19"/>
  <c r="K487" i="19" s="1"/>
  <c r="T487" i="19"/>
  <c r="V486" i="19"/>
  <c r="X485" i="19"/>
  <c r="K485" i="19" s="1"/>
  <c r="G237" i="22" s="1"/>
  <c r="T485" i="19"/>
  <c r="V484" i="19"/>
  <c r="U483" i="19"/>
  <c r="W482" i="19"/>
  <c r="S482" i="19" s="1"/>
  <c r="U481" i="19"/>
  <c r="W480" i="19"/>
  <c r="S480" i="19" s="1"/>
  <c r="U479" i="19"/>
  <c r="X478" i="19"/>
  <c r="K478" i="19" s="1"/>
  <c r="T478" i="19"/>
  <c r="V477" i="19"/>
  <c r="X476" i="19"/>
  <c r="K476" i="19" s="1"/>
  <c r="G232" i="22" s="1"/>
  <c r="T476" i="19"/>
  <c r="V475" i="19"/>
  <c r="X474" i="19"/>
  <c r="T474" i="19"/>
  <c r="W473" i="19"/>
  <c r="S473" i="19" s="1"/>
  <c r="U472" i="19"/>
  <c r="W471" i="19"/>
  <c r="S471" i="19" s="1"/>
  <c r="U470" i="19"/>
  <c r="W469" i="19"/>
  <c r="S469" i="19" s="1"/>
  <c r="V468" i="19"/>
  <c r="X467" i="19"/>
  <c r="K467" i="19" s="1"/>
  <c r="G229" i="22" s="1"/>
  <c r="T467" i="19"/>
  <c r="V466" i="19"/>
  <c r="X465" i="19"/>
  <c r="K465" i="19" s="1"/>
  <c r="G227" i="22" s="1"/>
  <c r="T465" i="19"/>
  <c r="V464" i="19"/>
  <c r="U463" i="19"/>
  <c r="W462" i="19"/>
  <c r="S462" i="19" s="1"/>
  <c r="U461" i="19"/>
  <c r="W460" i="19"/>
  <c r="S460" i="19" s="1"/>
  <c r="U459" i="19"/>
  <c r="X458" i="19"/>
  <c r="K458" i="19" s="1"/>
  <c r="T458" i="19"/>
  <c r="V457" i="19"/>
  <c r="X456" i="19"/>
  <c r="K456" i="19" s="1"/>
  <c r="G224" i="22" s="1"/>
  <c r="T456" i="19"/>
  <c r="V455" i="19"/>
  <c r="X454" i="19"/>
  <c r="T454" i="19"/>
  <c r="W453" i="19"/>
  <c r="S453" i="19" s="1"/>
  <c r="U452" i="19"/>
  <c r="W451" i="19"/>
  <c r="S451" i="19" s="1"/>
  <c r="U450" i="19"/>
  <c r="W449" i="19"/>
  <c r="S449" i="19" s="1"/>
  <c r="V448" i="19"/>
  <c r="X447" i="19"/>
  <c r="K447" i="19" s="1"/>
  <c r="G220" i="22" s="1"/>
  <c r="T447" i="19"/>
  <c r="V446" i="19"/>
  <c r="X445" i="19"/>
  <c r="K445" i="19" s="1"/>
  <c r="G218" i="22" s="1"/>
  <c r="T445" i="19"/>
  <c r="V444" i="19"/>
  <c r="U443" i="19"/>
  <c r="W442" i="19"/>
  <c r="S442" i="19" s="1"/>
  <c r="U441" i="19"/>
  <c r="W440" i="19"/>
  <c r="S440" i="19" s="1"/>
  <c r="U439" i="19"/>
  <c r="X438" i="19"/>
  <c r="K438" i="19" s="1"/>
  <c r="T438" i="19"/>
  <c r="V437" i="19"/>
  <c r="X436" i="19"/>
  <c r="K436" i="19" s="1"/>
  <c r="T436" i="19"/>
  <c r="V435" i="19"/>
  <c r="X434" i="19"/>
  <c r="T434" i="19"/>
  <c r="W433" i="19"/>
  <c r="S433" i="19" s="1"/>
  <c r="U432" i="19"/>
  <c r="W431" i="19"/>
  <c r="S431" i="19" s="1"/>
  <c r="U430" i="19"/>
  <c r="W429" i="19"/>
  <c r="S429" i="19" s="1"/>
  <c r="V428" i="19"/>
  <c r="X427" i="19"/>
  <c r="K427" i="19" s="1"/>
  <c r="T427" i="19"/>
  <c r="V426" i="19"/>
  <c r="X425" i="19"/>
  <c r="K425" i="19" s="1"/>
  <c r="G211" i="22" s="1"/>
  <c r="T425" i="19"/>
  <c r="V424" i="19"/>
  <c r="U423" i="19"/>
  <c r="W422" i="19"/>
  <c r="S422" i="19" s="1"/>
  <c r="U421" i="19"/>
  <c r="W420" i="19"/>
  <c r="S420" i="19" s="1"/>
  <c r="U419" i="19"/>
  <c r="X418" i="19"/>
  <c r="K418" i="19" s="1"/>
  <c r="T418" i="19"/>
  <c r="V417" i="19"/>
  <c r="X416" i="19"/>
  <c r="K416" i="19" s="1"/>
  <c r="T416" i="19"/>
  <c r="V415" i="19"/>
  <c r="X414" i="19"/>
  <c r="T414" i="19"/>
  <c r="W413" i="19"/>
  <c r="S413" i="19" s="1"/>
  <c r="U412" i="19"/>
  <c r="W411" i="19"/>
  <c r="S411" i="19" s="1"/>
  <c r="U410" i="19"/>
  <c r="W409" i="19"/>
  <c r="S409" i="19" s="1"/>
  <c r="V408" i="19"/>
  <c r="X407" i="19"/>
  <c r="K407" i="19" s="1"/>
  <c r="G204" i="22" s="1"/>
  <c r="T407" i="19"/>
  <c r="V406" i="19"/>
  <c r="X405" i="19"/>
  <c r="K405" i="19" s="1"/>
  <c r="G202" i="22" s="1"/>
  <c r="T405" i="19"/>
  <c r="V404" i="19"/>
  <c r="U403" i="19"/>
  <c r="W402" i="19"/>
  <c r="S402" i="19" s="1"/>
  <c r="U401" i="19"/>
  <c r="W400" i="19"/>
  <c r="S400" i="19" s="1"/>
  <c r="U399" i="19"/>
  <c r="X398" i="19"/>
  <c r="K398" i="19" s="1"/>
  <c r="G199" i="22" s="1"/>
  <c r="T398" i="19"/>
  <c r="V397" i="19"/>
  <c r="X396" i="19"/>
  <c r="K396" i="19" s="1"/>
  <c r="G197" i="22" s="1"/>
  <c r="T396" i="19"/>
  <c r="V395" i="19"/>
  <c r="X394" i="19"/>
  <c r="T394" i="19"/>
  <c r="W393" i="19"/>
  <c r="S393" i="19" s="1"/>
  <c r="U392" i="19"/>
  <c r="W391" i="19"/>
  <c r="S391" i="19" s="1"/>
  <c r="U390" i="19"/>
  <c r="W389" i="19"/>
  <c r="S389" i="19" s="1"/>
  <c r="V388" i="19"/>
  <c r="X387" i="19"/>
  <c r="K387" i="19" s="1"/>
  <c r="G192" i="22" s="1"/>
  <c r="T387" i="19"/>
  <c r="V386" i="19"/>
  <c r="X385" i="19"/>
  <c r="K385" i="19" s="1"/>
  <c r="G190" i="22" s="1"/>
  <c r="T385" i="19"/>
  <c r="V384" i="19"/>
  <c r="U383" i="19"/>
  <c r="W382" i="19"/>
  <c r="S382" i="19" s="1"/>
  <c r="U381" i="19"/>
  <c r="W380" i="19"/>
  <c r="S380" i="19" s="1"/>
  <c r="U379" i="19"/>
  <c r="X378" i="19"/>
  <c r="K378" i="19" s="1"/>
  <c r="T378" i="19"/>
  <c r="V377" i="19"/>
  <c r="X376" i="19"/>
  <c r="K376" i="19" s="1"/>
  <c r="G185" i="22" s="1"/>
  <c r="T376" i="19"/>
  <c r="V375" i="19"/>
  <c r="X374" i="19"/>
  <c r="T374" i="19"/>
  <c r="W373" i="19"/>
  <c r="S373" i="19" s="1"/>
  <c r="U372" i="19"/>
  <c r="W371" i="19"/>
  <c r="S371" i="19" s="1"/>
  <c r="U370" i="19"/>
  <c r="W369" i="19"/>
  <c r="S369" i="19" s="1"/>
  <c r="V368" i="19"/>
  <c r="X367" i="19"/>
  <c r="K367" i="19" s="1"/>
  <c r="G180" i="22" s="1"/>
  <c r="T367" i="19"/>
  <c r="V366" i="19"/>
  <c r="X365" i="19"/>
  <c r="K365" i="19" s="1"/>
  <c r="G178" i="22" s="1"/>
  <c r="T365" i="19"/>
  <c r="V364" i="19"/>
  <c r="U363" i="19"/>
  <c r="W362" i="19"/>
  <c r="S362" i="19" s="1"/>
  <c r="U361" i="19"/>
  <c r="W360" i="19"/>
  <c r="S360" i="19" s="1"/>
  <c r="U359" i="19"/>
  <c r="X358" i="19"/>
  <c r="K358" i="19" s="1"/>
  <c r="T358" i="19"/>
  <c r="V357" i="19"/>
  <c r="X356" i="19"/>
  <c r="K356" i="19" s="1"/>
  <c r="G175" i="22" s="1"/>
  <c r="T356" i="19"/>
  <c r="V355" i="19"/>
  <c r="X354" i="19"/>
  <c r="T354" i="19"/>
  <c r="W353" i="19"/>
  <c r="S353" i="19" s="1"/>
  <c r="U352" i="19"/>
  <c r="W351" i="19"/>
  <c r="S351" i="19" s="1"/>
  <c r="U350" i="19"/>
  <c r="W349" i="19"/>
  <c r="S349" i="19" s="1"/>
  <c r="V348" i="19"/>
  <c r="X347" i="19"/>
  <c r="K347" i="19" s="1"/>
  <c r="G171" i="22" s="1"/>
  <c r="T347" i="19"/>
  <c r="V346" i="19"/>
  <c r="X345" i="19"/>
  <c r="K345" i="19" s="1"/>
  <c r="G169" i="22" s="1"/>
  <c r="T345" i="19"/>
  <c r="V344" i="19"/>
  <c r="U343" i="19"/>
  <c r="W342" i="19"/>
  <c r="S342" i="19" s="1"/>
  <c r="U341" i="19"/>
  <c r="W340" i="19"/>
  <c r="S340" i="19" s="1"/>
  <c r="U339" i="19"/>
  <c r="X338" i="19"/>
  <c r="K338" i="19" s="1"/>
  <c r="T338" i="19"/>
  <c r="V337" i="19"/>
  <c r="X336" i="19"/>
  <c r="K336" i="19" s="1"/>
  <c r="G164" i="22" s="1"/>
  <c r="T336" i="19"/>
  <c r="V335" i="19"/>
  <c r="X334" i="19"/>
  <c r="T334" i="19"/>
  <c r="W333" i="19"/>
  <c r="S333" i="19" s="1"/>
  <c r="U332" i="19"/>
  <c r="W331" i="19"/>
  <c r="S331" i="19" s="1"/>
  <c r="U330" i="19"/>
  <c r="W329" i="19"/>
  <c r="S329" i="19" s="1"/>
  <c r="V328" i="19"/>
  <c r="X327" i="19"/>
  <c r="K327" i="19" s="1"/>
  <c r="T327" i="19"/>
  <c r="V326" i="19"/>
  <c r="X325" i="19"/>
  <c r="K325" i="19" s="1"/>
  <c r="G159" i="22" s="1"/>
  <c r="T325" i="19"/>
  <c r="V324" i="19"/>
  <c r="U323" i="19"/>
  <c r="W322" i="19"/>
  <c r="S322" i="19" s="1"/>
  <c r="U321" i="19"/>
  <c r="W320" i="19"/>
  <c r="S320" i="19" s="1"/>
  <c r="U319" i="19"/>
  <c r="X318" i="19"/>
  <c r="K318" i="19" s="1"/>
  <c r="T318" i="19"/>
  <c r="V317" i="19"/>
  <c r="X316" i="19"/>
  <c r="K316" i="19" s="1"/>
  <c r="G155" i="22" s="1"/>
  <c r="T316" i="19"/>
  <c r="V315" i="19"/>
  <c r="X314" i="19"/>
  <c r="T314" i="19"/>
  <c r="W313" i="19"/>
  <c r="S313" i="19" s="1"/>
  <c r="U312" i="19"/>
  <c r="W311" i="19"/>
  <c r="S311" i="19" s="1"/>
  <c r="U310" i="19"/>
  <c r="W309" i="19"/>
  <c r="S309" i="19" s="1"/>
  <c r="V308" i="19"/>
  <c r="X307" i="19"/>
  <c r="K307" i="19" s="1"/>
  <c r="G152" i="22" s="1"/>
  <c r="T307" i="19"/>
  <c r="V306" i="19"/>
  <c r="X305" i="19"/>
  <c r="K305" i="19" s="1"/>
  <c r="G150" i="22" s="1"/>
  <c r="T305" i="19"/>
  <c r="V304" i="19"/>
  <c r="U303" i="19"/>
  <c r="W302" i="19"/>
  <c r="S302" i="19" s="1"/>
  <c r="U301" i="19"/>
  <c r="W300" i="19"/>
  <c r="S300" i="19" s="1"/>
  <c r="U299" i="19"/>
  <c r="X298" i="19"/>
  <c r="K298" i="19" s="1"/>
  <c r="T298" i="19"/>
  <c r="V297" i="19"/>
  <c r="X296" i="19"/>
  <c r="K296" i="19" s="1"/>
  <c r="G146" i="22" s="1"/>
  <c r="T296" i="19"/>
  <c r="V295" i="19"/>
  <c r="X294" i="19"/>
  <c r="T294" i="19"/>
  <c r="W293" i="19"/>
  <c r="S293" i="19" s="1"/>
  <c r="U292" i="19"/>
  <c r="W291" i="19"/>
  <c r="S291" i="19" s="1"/>
  <c r="U290" i="19"/>
  <c r="W289" i="19"/>
  <c r="S289" i="19" s="1"/>
  <c r="V288" i="19"/>
  <c r="X287" i="19"/>
  <c r="K287" i="19" s="1"/>
  <c r="T287" i="19"/>
  <c r="V286" i="19"/>
  <c r="X285" i="19"/>
  <c r="K285" i="19" s="1"/>
  <c r="G141" i="22" s="1"/>
  <c r="T285" i="19"/>
  <c r="V284" i="19"/>
  <c r="U283" i="19"/>
  <c r="W282" i="19"/>
  <c r="S282" i="19" s="1"/>
  <c r="U281" i="19"/>
  <c r="W280" i="19"/>
  <c r="S280" i="19" s="1"/>
  <c r="U279" i="19"/>
  <c r="X278" i="19"/>
  <c r="K278" i="19" s="1"/>
  <c r="T278" i="19"/>
  <c r="V277" i="19"/>
  <c r="X276" i="19"/>
  <c r="K276" i="19" s="1"/>
  <c r="G136" i="22" s="1"/>
  <c r="T276" i="19"/>
  <c r="V275" i="19"/>
  <c r="X274" i="19"/>
  <c r="T274" i="19"/>
  <c r="W273" i="19"/>
  <c r="S273" i="19" s="1"/>
  <c r="U272" i="19"/>
  <c r="W271" i="19"/>
  <c r="S271" i="19" s="1"/>
  <c r="U270" i="19"/>
  <c r="W269" i="19"/>
  <c r="S269" i="19" s="1"/>
  <c r="V268" i="19"/>
  <c r="X267" i="19"/>
  <c r="K267" i="19" s="1"/>
  <c r="T267" i="19"/>
  <c r="U766" i="19"/>
  <c r="U755" i="19"/>
  <c r="U748" i="19"/>
  <c r="W747" i="19"/>
  <c r="S747" i="19" s="1"/>
  <c r="U746" i="19"/>
  <c r="W745" i="19"/>
  <c r="S745" i="19" s="1"/>
  <c r="U744" i="19"/>
  <c r="X743" i="19"/>
  <c r="K743" i="19" s="1"/>
  <c r="T743" i="19"/>
  <c r="V742" i="19"/>
  <c r="X741" i="19"/>
  <c r="K741" i="19" s="1"/>
  <c r="G351" i="22" s="1"/>
  <c r="T741" i="19"/>
  <c r="V740" i="19"/>
  <c r="X739" i="19"/>
  <c r="T739" i="19"/>
  <c r="W738" i="19"/>
  <c r="S738" i="19" s="1"/>
  <c r="U737" i="19"/>
  <c r="W736" i="19"/>
  <c r="S736" i="19" s="1"/>
  <c r="U735" i="19"/>
  <c r="W734" i="19"/>
  <c r="S734" i="19" s="1"/>
  <c r="V733" i="19"/>
  <c r="X732" i="19"/>
  <c r="K732" i="19" s="1"/>
  <c r="T732" i="19"/>
  <c r="V731" i="19"/>
  <c r="X730" i="19"/>
  <c r="K730" i="19" s="1"/>
  <c r="G345" i="22" s="1"/>
  <c r="T730" i="19"/>
  <c r="V729" i="19"/>
  <c r="U728" i="19"/>
  <c r="W727" i="19"/>
  <c r="S727" i="19" s="1"/>
  <c r="U726" i="19"/>
  <c r="W725" i="19"/>
  <c r="S725" i="19" s="1"/>
  <c r="U724" i="19"/>
  <c r="X723" i="19"/>
  <c r="K723" i="19" s="1"/>
  <c r="T723" i="19"/>
  <c r="V722" i="19"/>
  <c r="X721" i="19"/>
  <c r="K721" i="19" s="1"/>
  <c r="G342" i="22" s="1"/>
  <c r="T721" i="19"/>
  <c r="V720" i="19"/>
  <c r="X719" i="19"/>
  <c r="T719" i="19"/>
  <c r="W718" i="19"/>
  <c r="S718" i="19" s="1"/>
  <c r="U717" i="19"/>
  <c r="W716" i="19"/>
  <c r="S716" i="19" s="1"/>
  <c r="U715" i="19"/>
  <c r="W714" i="19"/>
  <c r="S714" i="19" s="1"/>
  <c r="V713" i="19"/>
  <c r="X712" i="19"/>
  <c r="K712" i="19" s="1"/>
  <c r="T712" i="19"/>
  <c r="V711" i="19"/>
  <c r="X710" i="19"/>
  <c r="K710" i="19" s="1"/>
  <c r="G338" i="22" s="1"/>
  <c r="T710" i="19"/>
  <c r="V709" i="19"/>
  <c r="U708" i="19"/>
  <c r="W707" i="19"/>
  <c r="S707" i="19" s="1"/>
  <c r="U706" i="19"/>
  <c r="W705" i="19"/>
  <c r="S705" i="19" s="1"/>
  <c r="U704" i="19"/>
  <c r="X703" i="19"/>
  <c r="K703" i="19" s="1"/>
  <c r="T703" i="19"/>
  <c r="V702" i="19"/>
  <c r="X701" i="19"/>
  <c r="K701" i="19" s="1"/>
  <c r="G334" i="22" s="1"/>
  <c r="T701" i="19"/>
  <c r="V700" i="19"/>
  <c r="X699" i="19"/>
  <c r="T699" i="19"/>
  <c r="W698" i="19"/>
  <c r="S698" i="19" s="1"/>
  <c r="U697" i="19"/>
  <c r="W696" i="19"/>
  <c r="S696" i="19" s="1"/>
  <c r="U695" i="19"/>
  <c r="W694" i="19"/>
  <c r="S694" i="19" s="1"/>
  <c r="V693" i="19"/>
  <c r="X692" i="19"/>
  <c r="K692" i="19" s="1"/>
  <c r="T692" i="19"/>
  <c r="V691" i="19"/>
  <c r="X690" i="19"/>
  <c r="K690" i="19" s="1"/>
  <c r="G330" i="22" s="1"/>
  <c r="T690" i="19"/>
  <c r="V689" i="19"/>
  <c r="U688" i="19"/>
  <c r="W687" i="19"/>
  <c r="S687" i="19" s="1"/>
  <c r="U686" i="19"/>
  <c r="W685" i="19"/>
  <c r="S685" i="19" s="1"/>
  <c r="U684" i="19"/>
  <c r="X683" i="19"/>
  <c r="K683" i="19" s="1"/>
  <c r="T683" i="19"/>
  <c r="V682" i="19"/>
  <c r="X681" i="19"/>
  <c r="K681" i="19" s="1"/>
  <c r="G327" i="22" s="1"/>
  <c r="T681" i="19"/>
  <c r="V680" i="19"/>
  <c r="X679" i="19"/>
  <c r="T679" i="19"/>
  <c r="W678" i="19"/>
  <c r="S678" i="19" s="1"/>
  <c r="U677" i="19"/>
  <c r="W676" i="19"/>
  <c r="S676" i="19" s="1"/>
  <c r="U675" i="19"/>
  <c r="W674" i="19"/>
  <c r="S674" i="19" s="1"/>
  <c r="V673" i="19"/>
  <c r="X672" i="19"/>
  <c r="K672" i="19" s="1"/>
  <c r="G322" i="22" s="1"/>
  <c r="T672" i="19"/>
  <c r="V671" i="19"/>
  <c r="X670" i="19"/>
  <c r="K670" i="19" s="1"/>
  <c r="G320" i="22" s="1"/>
  <c r="T670" i="19"/>
  <c r="V669" i="19"/>
  <c r="U668" i="19"/>
  <c r="W667" i="19"/>
  <c r="S667" i="19" s="1"/>
  <c r="U666" i="19"/>
  <c r="W665" i="19"/>
  <c r="S665" i="19" s="1"/>
  <c r="U664" i="19"/>
  <c r="X663" i="19"/>
  <c r="K663" i="19" s="1"/>
  <c r="T663" i="19"/>
  <c r="V662" i="19"/>
  <c r="X661" i="19"/>
  <c r="K661" i="19" s="1"/>
  <c r="T661" i="19"/>
  <c r="V660" i="19"/>
  <c r="X659" i="19"/>
  <c r="T659" i="19"/>
  <c r="W658" i="19"/>
  <c r="S658" i="19" s="1"/>
  <c r="U657" i="19"/>
  <c r="W656" i="19"/>
  <c r="S656" i="19" s="1"/>
  <c r="U655" i="19"/>
  <c r="W654" i="19"/>
  <c r="S654" i="19" s="1"/>
  <c r="V653" i="19"/>
  <c r="X652" i="19"/>
  <c r="K652" i="19" s="1"/>
  <c r="G313" i="22" s="1"/>
  <c r="T652" i="19"/>
  <c r="V651" i="19"/>
  <c r="X650" i="19"/>
  <c r="K650" i="19" s="1"/>
  <c r="G311" i="22" s="1"/>
  <c r="T650" i="19"/>
  <c r="V649" i="19"/>
  <c r="U648" i="19"/>
  <c r="W647" i="19"/>
  <c r="S647" i="19" s="1"/>
  <c r="U646" i="19"/>
  <c r="W645" i="19"/>
  <c r="S645" i="19" s="1"/>
  <c r="U644" i="19"/>
  <c r="X643" i="19"/>
  <c r="K643" i="19" s="1"/>
  <c r="T643" i="19"/>
  <c r="V642" i="19"/>
  <c r="X641" i="19"/>
  <c r="K641" i="19" s="1"/>
  <c r="T641" i="19"/>
  <c r="V640" i="19"/>
  <c r="X639" i="19"/>
  <c r="T639" i="19"/>
  <c r="W638" i="19"/>
  <c r="S638" i="19" s="1"/>
  <c r="U637" i="19"/>
  <c r="W636" i="19"/>
  <c r="S636" i="19" s="1"/>
  <c r="U635" i="19"/>
  <c r="W634" i="19"/>
  <c r="S634" i="19" s="1"/>
  <c r="V633" i="19"/>
  <c r="X632" i="19"/>
  <c r="K632" i="19" s="1"/>
  <c r="T632" i="19"/>
  <c r="V631" i="19"/>
  <c r="X630" i="19"/>
  <c r="K630" i="19" s="1"/>
  <c r="G303" i="22" s="1"/>
  <c r="T630" i="19"/>
  <c r="V629" i="19"/>
  <c r="U628" i="19"/>
  <c r="W627" i="19"/>
  <c r="S627" i="19" s="1"/>
  <c r="U626" i="19"/>
  <c r="W625" i="19"/>
  <c r="S625" i="19" s="1"/>
  <c r="U624" i="19"/>
  <c r="X623" i="19"/>
  <c r="K623" i="19" s="1"/>
  <c r="T623" i="19"/>
  <c r="V622" i="19"/>
  <c r="X621" i="19"/>
  <c r="K621" i="19" s="1"/>
  <c r="G298" i="22" s="1"/>
  <c r="T621" i="19"/>
  <c r="V620" i="19"/>
  <c r="X619" i="19"/>
  <c r="T619" i="19"/>
  <c r="W618" i="19"/>
  <c r="S618" i="19" s="1"/>
  <c r="U617" i="19"/>
  <c r="W616" i="19"/>
  <c r="S616" i="19" s="1"/>
  <c r="U615" i="19"/>
  <c r="W614" i="19"/>
  <c r="S614" i="19" s="1"/>
  <c r="V613" i="19"/>
  <c r="X612" i="19"/>
  <c r="K612" i="19" s="1"/>
  <c r="T612" i="19"/>
  <c r="V611" i="19"/>
  <c r="X610" i="19"/>
  <c r="K610" i="19" s="1"/>
  <c r="G294" i="22" s="1"/>
  <c r="T610" i="19"/>
  <c r="V609" i="19"/>
  <c r="U608" i="19"/>
  <c r="W607" i="19"/>
  <c r="S607" i="19" s="1"/>
  <c r="U606" i="19"/>
  <c r="W605" i="19"/>
  <c r="S605" i="19" s="1"/>
  <c r="U604" i="19"/>
  <c r="X603" i="19"/>
  <c r="K603" i="19" s="1"/>
  <c r="T603" i="19"/>
  <c r="V602" i="19"/>
  <c r="X601" i="19"/>
  <c r="K601" i="19" s="1"/>
  <c r="G290" i="22" s="1"/>
  <c r="T601" i="19"/>
  <c r="V600" i="19"/>
  <c r="X599" i="19"/>
  <c r="T599" i="19"/>
  <c r="W598" i="19"/>
  <c r="S598" i="19" s="1"/>
  <c r="U597" i="19"/>
  <c r="W596" i="19"/>
  <c r="S596" i="19" s="1"/>
  <c r="U595" i="19"/>
  <c r="W594" i="19"/>
  <c r="S594" i="19" s="1"/>
  <c r="V593" i="19"/>
  <c r="X592" i="19"/>
  <c r="K592" i="19" s="1"/>
  <c r="T592" i="19"/>
  <c r="V591" i="19"/>
  <c r="X590" i="19"/>
  <c r="K590" i="19" s="1"/>
  <c r="G286" i="22" s="1"/>
  <c r="T590" i="19"/>
  <c r="V589" i="19"/>
  <c r="U588" i="19"/>
  <c r="W587" i="19"/>
  <c r="S587" i="19" s="1"/>
  <c r="U586" i="19"/>
  <c r="W585" i="19"/>
  <c r="S585" i="19" s="1"/>
  <c r="U584" i="19"/>
  <c r="X583" i="19"/>
  <c r="K583" i="19" s="1"/>
  <c r="T583" i="19"/>
  <c r="V582" i="19"/>
  <c r="X581" i="19"/>
  <c r="K581" i="19" s="1"/>
  <c r="G281" i="22" s="1"/>
  <c r="T581" i="19"/>
  <c r="V580" i="19"/>
  <c r="X579" i="19"/>
  <c r="T579" i="19"/>
  <c r="W578" i="19"/>
  <c r="S578" i="19" s="1"/>
  <c r="U577" i="19"/>
  <c r="W576" i="19"/>
  <c r="S576" i="19" s="1"/>
  <c r="U575" i="19"/>
  <c r="W574" i="19"/>
  <c r="S574" i="19" s="1"/>
  <c r="V573" i="19"/>
  <c r="X572" i="19"/>
  <c r="K572" i="19" s="1"/>
  <c r="T572" i="19"/>
  <c r="V571" i="19"/>
  <c r="X570" i="19"/>
  <c r="K570" i="19" s="1"/>
  <c r="G276" i="22" s="1"/>
  <c r="T570" i="19"/>
  <c r="V569" i="19"/>
  <c r="U568" i="19"/>
  <c r="W567" i="19"/>
  <c r="S567" i="19" s="1"/>
  <c r="U566" i="19"/>
  <c r="W565" i="19"/>
  <c r="S565" i="19" s="1"/>
  <c r="U564" i="19"/>
  <c r="X563" i="19"/>
  <c r="K563" i="19" s="1"/>
  <c r="T563" i="19"/>
  <c r="V562" i="19"/>
  <c r="X561" i="19"/>
  <c r="K561" i="19" s="1"/>
  <c r="G273" i="22" s="1"/>
  <c r="T561" i="19"/>
  <c r="V560" i="19"/>
  <c r="X559" i="19"/>
  <c r="T559" i="19"/>
  <c r="W558" i="19"/>
  <c r="S558" i="19" s="1"/>
  <c r="U557" i="19"/>
  <c r="W556" i="19"/>
  <c r="S556" i="19" s="1"/>
  <c r="U555" i="19"/>
  <c r="W554" i="19"/>
  <c r="S554" i="19" s="1"/>
  <c r="V553" i="19"/>
  <c r="X552" i="19"/>
  <c r="K552" i="19" s="1"/>
  <c r="T552" i="19"/>
  <c r="V551" i="19"/>
  <c r="X550" i="19"/>
  <c r="K550" i="19" s="1"/>
  <c r="G269" i="22" s="1"/>
  <c r="T550" i="19"/>
  <c r="V549" i="19"/>
  <c r="U548" i="19"/>
  <c r="W547" i="19"/>
  <c r="S547" i="19" s="1"/>
  <c r="U546" i="19"/>
  <c r="W545" i="19"/>
  <c r="S545" i="19" s="1"/>
  <c r="U544" i="19"/>
  <c r="X543" i="19"/>
  <c r="K543" i="19" s="1"/>
  <c r="T543" i="19"/>
  <c r="V542" i="19"/>
  <c r="X541" i="19"/>
  <c r="K541" i="19" s="1"/>
  <c r="G265" i="22" s="1"/>
  <c r="T541" i="19"/>
  <c r="V540" i="19"/>
  <c r="X539" i="19"/>
  <c r="T539" i="19"/>
  <c r="W538" i="19"/>
  <c r="S538" i="19" s="1"/>
  <c r="U537" i="19"/>
  <c r="W536" i="19"/>
  <c r="S536" i="19" s="1"/>
  <c r="U535" i="19"/>
  <c r="W534" i="19"/>
  <c r="S534" i="19" s="1"/>
  <c r="V533" i="19"/>
  <c r="X532" i="19"/>
  <c r="K532" i="19" s="1"/>
  <c r="T532" i="19"/>
  <c r="V531" i="19"/>
  <c r="X530" i="19"/>
  <c r="K530" i="19" s="1"/>
  <c r="G259" i="22" s="1"/>
  <c r="T530" i="19"/>
  <c r="V529" i="19"/>
  <c r="U528" i="19"/>
  <c r="W527" i="19"/>
  <c r="S527" i="19" s="1"/>
  <c r="U526" i="19"/>
  <c r="W525" i="19"/>
  <c r="S525" i="19" s="1"/>
  <c r="U524" i="19"/>
  <c r="X523" i="19"/>
  <c r="K523" i="19" s="1"/>
  <c r="T523" i="19"/>
  <c r="V522" i="19"/>
  <c r="X521" i="19"/>
  <c r="K521" i="19" s="1"/>
  <c r="G255" i="22" s="1"/>
  <c r="T521" i="19"/>
  <c r="V520" i="19"/>
  <c r="X519" i="19"/>
  <c r="T519" i="19"/>
  <c r="W518" i="19"/>
  <c r="S518" i="19" s="1"/>
  <c r="U517" i="19"/>
  <c r="W516" i="19"/>
  <c r="S516" i="19" s="1"/>
  <c r="U515" i="19"/>
  <c r="W514" i="19"/>
  <c r="S514" i="19" s="1"/>
  <c r="V513" i="19"/>
  <c r="X512" i="19"/>
  <c r="K512" i="19" s="1"/>
  <c r="G250" i="22" s="1"/>
  <c r="T512" i="19"/>
  <c r="V511" i="19"/>
  <c r="X510" i="19"/>
  <c r="K510" i="19" s="1"/>
  <c r="G248" i="22" s="1"/>
  <c r="T510" i="19"/>
  <c r="V509" i="19"/>
  <c r="U508" i="19"/>
  <c r="W507" i="19"/>
  <c r="S507" i="19" s="1"/>
  <c r="U506" i="19"/>
  <c r="W505" i="19"/>
  <c r="S505" i="19" s="1"/>
  <c r="U504" i="19"/>
  <c r="X503" i="19"/>
  <c r="K503" i="19" s="1"/>
  <c r="T503" i="19"/>
  <c r="V502" i="19"/>
  <c r="X501" i="19"/>
  <c r="K501" i="19" s="1"/>
  <c r="G244" i="22" s="1"/>
  <c r="T501" i="19"/>
  <c r="V500" i="19"/>
  <c r="X499" i="19"/>
  <c r="T499" i="19"/>
  <c r="W498" i="19"/>
  <c r="S498" i="19" s="1"/>
  <c r="U497" i="19"/>
  <c r="W496" i="19"/>
  <c r="S496" i="19" s="1"/>
  <c r="U495" i="19"/>
  <c r="W494" i="19"/>
  <c r="S494" i="19" s="1"/>
  <c r="V493" i="19"/>
  <c r="X492" i="19"/>
  <c r="K492" i="19" s="1"/>
  <c r="T492" i="19"/>
  <c r="V491" i="19"/>
  <c r="X490" i="19"/>
  <c r="K490" i="19" s="1"/>
  <c r="G239" i="22" s="1"/>
  <c r="T490" i="19"/>
  <c r="V489" i="19"/>
  <c r="U488" i="19"/>
  <c r="W487" i="19"/>
  <c r="S487" i="19" s="1"/>
  <c r="U486" i="19"/>
  <c r="W485" i="19"/>
  <c r="S485" i="19" s="1"/>
  <c r="U484" i="19"/>
  <c r="X483" i="19"/>
  <c r="K483" i="19" s="1"/>
  <c r="T483" i="19"/>
  <c r="V482" i="19"/>
  <c r="X481" i="19"/>
  <c r="K481" i="19" s="1"/>
  <c r="G235" i="22" s="1"/>
  <c r="T481" i="19"/>
  <c r="V480" i="19"/>
  <c r="X479" i="19"/>
  <c r="T479" i="19"/>
  <c r="W478" i="19"/>
  <c r="S478" i="19" s="1"/>
  <c r="U477" i="19"/>
  <c r="W476" i="19"/>
  <c r="S476" i="19" s="1"/>
  <c r="U475" i="19"/>
  <c r="W474" i="19"/>
  <c r="S474" i="19" s="1"/>
  <c r="V473" i="19"/>
  <c r="X472" i="19"/>
  <c r="K472" i="19" s="1"/>
  <c r="T472" i="19"/>
  <c r="V471" i="19"/>
  <c r="X470" i="19"/>
  <c r="K470" i="19" s="1"/>
  <c r="G230" i="22" s="1"/>
  <c r="T470" i="19"/>
  <c r="V469" i="19"/>
  <c r="U468" i="19"/>
  <c r="W467" i="19"/>
  <c r="S467" i="19" s="1"/>
  <c r="U466" i="19"/>
  <c r="W465" i="19"/>
  <c r="S465" i="19" s="1"/>
  <c r="U464" i="19"/>
  <c r="X463" i="19"/>
  <c r="K463" i="19" s="1"/>
  <c r="T463" i="19"/>
  <c r="V462" i="19"/>
  <c r="X461" i="19"/>
  <c r="K461" i="19" s="1"/>
  <c r="G226" i="22" s="1"/>
  <c r="T461" i="19"/>
  <c r="V460" i="19"/>
  <c r="X459" i="19"/>
  <c r="T459" i="19"/>
  <c r="W458" i="19"/>
  <c r="S458" i="19" s="1"/>
  <c r="U457" i="19"/>
  <c r="W456" i="19"/>
  <c r="S456" i="19" s="1"/>
  <c r="U455" i="19"/>
  <c r="W454" i="19"/>
  <c r="S454" i="19" s="1"/>
  <c r="V453" i="19"/>
  <c r="X452" i="19"/>
  <c r="K452" i="19" s="1"/>
  <c r="T452" i="19"/>
  <c r="V451" i="19"/>
  <c r="X450" i="19"/>
  <c r="K450" i="19" s="1"/>
  <c r="G221" i="22" s="1"/>
  <c r="T450" i="19"/>
  <c r="V449" i="19"/>
  <c r="U448" i="19"/>
  <c r="W447" i="19"/>
  <c r="S447" i="19" s="1"/>
  <c r="U446" i="19"/>
  <c r="W445" i="19"/>
  <c r="S445" i="19" s="1"/>
  <c r="U444" i="19"/>
  <c r="X443" i="19"/>
  <c r="K443" i="19" s="1"/>
  <c r="T443" i="19"/>
  <c r="V442" i="19"/>
  <c r="X441" i="19"/>
  <c r="K441" i="19" s="1"/>
  <c r="T441" i="19"/>
  <c r="V440" i="19"/>
  <c r="X439" i="19"/>
  <c r="T439" i="19"/>
  <c r="W438" i="19"/>
  <c r="S438" i="19" s="1"/>
  <c r="U437" i="19"/>
  <c r="W436" i="19"/>
  <c r="S436" i="19" s="1"/>
  <c r="U435" i="19"/>
  <c r="W434" i="19"/>
  <c r="S434" i="19" s="1"/>
  <c r="V433" i="19"/>
  <c r="X432" i="19"/>
  <c r="K432" i="19" s="1"/>
  <c r="G215" i="22" s="1"/>
  <c r="T432" i="19"/>
  <c r="V431" i="19"/>
  <c r="X430" i="19"/>
  <c r="K430" i="19" s="1"/>
  <c r="G213" i="22" s="1"/>
  <c r="T430" i="19"/>
  <c r="V429" i="19"/>
  <c r="U428" i="19"/>
  <c r="W427" i="19"/>
  <c r="S427" i="19" s="1"/>
  <c r="U426" i="19"/>
  <c r="W425" i="19"/>
  <c r="S425" i="19" s="1"/>
  <c r="U424" i="19"/>
  <c r="X423" i="19"/>
  <c r="K423" i="19" s="1"/>
  <c r="T423" i="19"/>
  <c r="V422" i="19"/>
  <c r="X421" i="19"/>
  <c r="K421" i="19" s="1"/>
  <c r="G210" i="22" s="1"/>
  <c r="T421" i="19"/>
  <c r="V420" i="19"/>
  <c r="X419" i="19"/>
  <c r="T419" i="19"/>
  <c r="W418" i="19"/>
  <c r="S418" i="19" s="1"/>
  <c r="U417" i="19"/>
  <c r="W416" i="19"/>
  <c r="S416" i="19" s="1"/>
  <c r="U415" i="19"/>
  <c r="W414" i="19"/>
  <c r="S414" i="19" s="1"/>
  <c r="V413" i="19"/>
  <c r="X412" i="19"/>
  <c r="K412" i="19" s="1"/>
  <c r="G207" i="22" s="1"/>
  <c r="T412" i="19"/>
  <c r="V411" i="19"/>
  <c r="X410" i="19"/>
  <c r="K410" i="19" s="1"/>
  <c r="G205" i="22" s="1"/>
  <c r="T410" i="19"/>
  <c r="V409" i="19"/>
  <c r="U408" i="19"/>
  <c r="W407" i="19"/>
  <c r="S407" i="19" s="1"/>
  <c r="U406" i="19"/>
  <c r="W405" i="19"/>
  <c r="S405" i="19" s="1"/>
  <c r="U404" i="19"/>
  <c r="X403" i="19"/>
  <c r="K403" i="19" s="1"/>
  <c r="T403" i="19"/>
  <c r="V402" i="19"/>
  <c r="X401" i="19"/>
  <c r="K401" i="19" s="1"/>
  <c r="G201" i="22" s="1"/>
  <c r="T401" i="19"/>
  <c r="V400" i="19"/>
  <c r="X399" i="19"/>
  <c r="T399" i="19"/>
  <c r="W398" i="19"/>
  <c r="S398" i="19" s="1"/>
  <c r="U397" i="19"/>
  <c r="W396" i="19"/>
  <c r="S396" i="19" s="1"/>
  <c r="U395" i="19"/>
  <c r="W394" i="19"/>
  <c r="S394" i="19" s="1"/>
  <c r="V393" i="19"/>
  <c r="X392" i="19"/>
  <c r="K392" i="19" s="1"/>
  <c r="T392" i="19"/>
  <c r="V391" i="19"/>
  <c r="X390" i="19"/>
  <c r="K390" i="19" s="1"/>
  <c r="G194" i="22" s="1"/>
  <c r="T390" i="19"/>
  <c r="V389" i="19"/>
  <c r="U388" i="19"/>
  <c r="W387" i="19"/>
  <c r="S387" i="19" s="1"/>
  <c r="U386" i="19"/>
  <c r="W385" i="19"/>
  <c r="S385" i="19" s="1"/>
  <c r="U384" i="19"/>
  <c r="X383" i="19"/>
  <c r="K383" i="19" s="1"/>
  <c r="T383" i="19"/>
  <c r="V382" i="19"/>
  <c r="X381" i="19"/>
  <c r="K381" i="19" s="1"/>
  <c r="G188" i="22" s="1"/>
  <c r="T381" i="19"/>
  <c r="V380" i="19"/>
  <c r="X379" i="19"/>
  <c r="T379" i="19"/>
  <c r="W378" i="19"/>
  <c r="S378" i="19" s="1"/>
  <c r="U377" i="19"/>
  <c r="W376" i="19"/>
  <c r="S376" i="19" s="1"/>
  <c r="U375" i="19"/>
  <c r="W374" i="19"/>
  <c r="S374" i="19" s="1"/>
  <c r="V373" i="19"/>
  <c r="X372" i="19"/>
  <c r="K372" i="19" s="1"/>
  <c r="G183" i="22" s="1"/>
  <c r="T372" i="19"/>
  <c r="V371" i="19"/>
  <c r="X370" i="19"/>
  <c r="K370" i="19" s="1"/>
  <c r="G181" i="22" s="1"/>
  <c r="T370" i="19"/>
  <c r="V369" i="19"/>
  <c r="U368" i="19"/>
  <c r="W367" i="19"/>
  <c r="S367" i="19" s="1"/>
  <c r="U366" i="19"/>
  <c r="W365" i="19"/>
  <c r="S365" i="19" s="1"/>
  <c r="U364" i="19"/>
  <c r="X363" i="19"/>
  <c r="K363" i="19" s="1"/>
  <c r="T363" i="19"/>
  <c r="V362" i="19"/>
  <c r="X361" i="19"/>
  <c r="K361" i="19" s="1"/>
  <c r="G177" i="22" s="1"/>
  <c r="T361" i="19"/>
  <c r="V360" i="19"/>
  <c r="X359" i="19"/>
  <c r="T359" i="19"/>
  <c r="W358" i="19"/>
  <c r="S358" i="19" s="1"/>
  <c r="U357" i="19"/>
  <c r="W356" i="19"/>
  <c r="S356" i="19" s="1"/>
  <c r="U355" i="19"/>
  <c r="W354" i="19"/>
  <c r="S354" i="19" s="1"/>
  <c r="V353" i="19"/>
  <c r="X352" i="19"/>
  <c r="K352" i="19" s="1"/>
  <c r="T352" i="19"/>
  <c r="V351" i="19"/>
  <c r="X350" i="19"/>
  <c r="K350" i="19" s="1"/>
  <c r="G172" i="22" s="1"/>
  <c r="T350" i="19"/>
  <c r="V349" i="19"/>
  <c r="U348" i="19"/>
  <c r="W347" i="19"/>
  <c r="S347" i="19" s="1"/>
  <c r="U346" i="19"/>
  <c r="W345" i="19"/>
  <c r="S345" i="19" s="1"/>
  <c r="U344" i="19"/>
  <c r="X343" i="19"/>
  <c r="K343" i="19" s="1"/>
  <c r="T343" i="19"/>
  <c r="V342" i="19"/>
  <c r="X341" i="19"/>
  <c r="K341" i="19" s="1"/>
  <c r="G167" i="22" s="1"/>
  <c r="T341" i="19"/>
  <c r="V340" i="19"/>
  <c r="X339" i="19"/>
  <c r="T339" i="19"/>
  <c r="W338" i="19"/>
  <c r="S338" i="19" s="1"/>
  <c r="U337" i="19"/>
  <c r="W336" i="19"/>
  <c r="S336" i="19" s="1"/>
  <c r="U335" i="19"/>
  <c r="W334" i="19"/>
  <c r="S334" i="19" s="1"/>
  <c r="V333" i="19"/>
  <c r="X332" i="19"/>
  <c r="K332" i="19" s="1"/>
  <c r="G162" i="22" s="1"/>
  <c r="T332" i="19"/>
  <c r="V331" i="19"/>
  <c r="X330" i="19"/>
  <c r="K330" i="19" s="1"/>
  <c r="G160" i="22" s="1"/>
  <c r="T330" i="19"/>
  <c r="V329" i="19"/>
  <c r="U328" i="19"/>
  <c r="W327" i="19"/>
  <c r="S327" i="19" s="1"/>
  <c r="U326" i="19"/>
  <c r="W325" i="19"/>
  <c r="S325" i="19" s="1"/>
  <c r="U324" i="19"/>
  <c r="X323" i="19"/>
  <c r="K323" i="19" s="1"/>
  <c r="T323" i="19"/>
  <c r="V322" i="19"/>
  <c r="X321" i="19"/>
  <c r="K321" i="19" s="1"/>
  <c r="G158" i="22" s="1"/>
  <c r="T321" i="19"/>
  <c r="V320" i="19"/>
  <c r="X319" i="19"/>
  <c r="T319" i="19"/>
  <c r="W318" i="19"/>
  <c r="S318" i="19" s="1"/>
  <c r="U317" i="19"/>
  <c r="W316" i="19"/>
  <c r="S316" i="19" s="1"/>
  <c r="U315" i="19"/>
  <c r="W314" i="19"/>
  <c r="S314" i="19" s="1"/>
  <c r="V313" i="19"/>
  <c r="X312" i="19"/>
  <c r="K312" i="19" s="1"/>
  <c r="T312" i="19"/>
  <c r="V311" i="19"/>
  <c r="X310" i="19"/>
  <c r="K310" i="19" s="1"/>
  <c r="G153" i="22" s="1"/>
  <c r="T310" i="19"/>
  <c r="V309" i="19"/>
  <c r="U308" i="19"/>
  <c r="W307" i="19"/>
  <c r="S307" i="19" s="1"/>
  <c r="U306" i="19"/>
  <c r="W305" i="19"/>
  <c r="S305" i="19" s="1"/>
  <c r="U304" i="19"/>
  <c r="X303" i="19"/>
  <c r="K303" i="19" s="1"/>
  <c r="T303" i="19"/>
  <c r="V302" i="19"/>
  <c r="X301" i="19"/>
  <c r="K301" i="19" s="1"/>
  <c r="G149" i="22" s="1"/>
  <c r="T301" i="19"/>
  <c r="V300" i="19"/>
  <c r="X299" i="19"/>
  <c r="T299" i="19"/>
  <c r="W298" i="19"/>
  <c r="S298" i="19" s="1"/>
  <c r="U297" i="19"/>
  <c r="W296" i="19"/>
  <c r="S296" i="19" s="1"/>
  <c r="U295" i="19"/>
  <c r="W294" i="19"/>
  <c r="S294" i="19" s="1"/>
  <c r="V293" i="19"/>
  <c r="X292" i="19"/>
  <c r="K292" i="19" s="1"/>
  <c r="T292" i="19"/>
  <c r="V291" i="19"/>
  <c r="X290" i="19"/>
  <c r="K290" i="19" s="1"/>
  <c r="G143" i="22" s="1"/>
  <c r="T290" i="19"/>
  <c r="V289" i="19"/>
  <c r="U288" i="19"/>
  <c r="W287" i="19"/>
  <c r="S287" i="19" s="1"/>
  <c r="U286" i="19"/>
  <c r="W285" i="19"/>
  <c r="S285" i="19" s="1"/>
  <c r="U284" i="19"/>
  <c r="X283" i="19"/>
  <c r="K283" i="19" s="1"/>
  <c r="T283" i="19"/>
  <c r="V282" i="19"/>
  <c r="X281" i="19"/>
  <c r="K281" i="19" s="1"/>
  <c r="G139" i="22" s="1"/>
  <c r="T281" i="19"/>
  <c r="V280" i="19"/>
  <c r="U768" i="19"/>
  <c r="W765" i="19"/>
  <c r="S765" i="19" s="1"/>
  <c r="X763" i="19"/>
  <c r="K763" i="19" s="1"/>
  <c r="X761" i="19"/>
  <c r="K761" i="19" s="1"/>
  <c r="X759" i="19"/>
  <c r="U757" i="19"/>
  <c r="W754" i="19"/>
  <c r="S754" i="19" s="1"/>
  <c r="X752" i="19"/>
  <c r="K752" i="19" s="1"/>
  <c r="X750" i="19"/>
  <c r="K750" i="19" s="1"/>
  <c r="G356" i="22" s="1"/>
  <c r="X748" i="19"/>
  <c r="K748" i="19" s="1"/>
  <c r="T748" i="19"/>
  <c r="V747" i="19"/>
  <c r="X746" i="19"/>
  <c r="K746" i="19" s="1"/>
  <c r="G354" i="22" s="1"/>
  <c r="T746" i="19"/>
  <c r="V745" i="19"/>
  <c r="X744" i="19"/>
  <c r="T744" i="19"/>
  <c r="W743" i="19"/>
  <c r="S743" i="19" s="1"/>
  <c r="U742" i="19"/>
  <c r="W741" i="19"/>
  <c r="S741" i="19" s="1"/>
  <c r="U740" i="19"/>
  <c r="W739" i="19"/>
  <c r="S739" i="19" s="1"/>
  <c r="V738" i="19"/>
  <c r="X737" i="19"/>
  <c r="K737" i="19" s="1"/>
  <c r="G349" i="22" s="1"/>
  <c r="T737" i="19"/>
  <c r="V736" i="19"/>
  <c r="X735" i="19"/>
  <c r="K735" i="19" s="1"/>
  <c r="G347" i="22" s="1"/>
  <c r="T735" i="19"/>
  <c r="V734" i="19"/>
  <c r="U733" i="19"/>
  <c r="W732" i="19"/>
  <c r="S732" i="19" s="1"/>
  <c r="U731" i="19"/>
  <c r="W730" i="19"/>
  <c r="S730" i="19" s="1"/>
  <c r="U729" i="19"/>
  <c r="X728" i="19"/>
  <c r="K728" i="19" s="1"/>
  <c r="T728" i="19"/>
  <c r="V727" i="19"/>
  <c r="X726" i="19"/>
  <c r="K726" i="19" s="1"/>
  <c r="G344" i="22" s="1"/>
  <c r="T726" i="19"/>
  <c r="V725" i="19"/>
  <c r="X724" i="19"/>
  <c r="T724" i="19"/>
  <c r="W723" i="19"/>
  <c r="S723" i="19" s="1"/>
  <c r="U722" i="19"/>
  <c r="W721" i="19"/>
  <c r="S721" i="19" s="1"/>
  <c r="U720" i="19"/>
  <c r="W719" i="19"/>
  <c r="S719" i="19" s="1"/>
  <c r="V718" i="19"/>
  <c r="X717" i="19"/>
  <c r="K717" i="19" s="1"/>
  <c r="T717" i="19"/>
  <c r="V716" i="19"/>
  <c r="X715" i="19"/>
  <c r="K715" i="19" s="1"/>
  <c r="G340" i="22" s="1"/>
  <c r="T715" i="19"/>
  <c r="V714" i="19"/>
  <c r="U713" i="19"/>
  <c r="W712" i="19"/>
  <c r="S712" i="19" s="1"/>
  <c r="U711" i="19"/>
  <c r="W710" i="19"/>
  <c r="S710" i="19" s="1"/>
  <c r="U709" i="19"/>
  <c r="X708" i="19"/>
  <c r="K708" i="19" s="1"/>
  <c r="T708" i="19"/>
  <c r="V707" i="19"/>
  <c r="X706" i="19"/>
  <c r="K706" i="19" s="1"/>
  <c r="G336" i="22" s="1"/>
  <c r="T706" i="19"/>
  <c r="V705" i="19"/>
  <c r="X704" i="19"/>
  <c r="T704" i="19"/>
  <c r="W703" i="19"/>
  <c r="S703" i="19" s="1"/>
  <c r="U702" i="19"/>
  <c r="W701" i="19"/>
  <c r="S701" i="19" s="1"/>
  <c r="U700" i="19"/>
  <c r="W699" i="19"/>
  <c r="S699" i="19" s="1"/>
  <c r="V698" i="19"/>
  <c r="X697" i="19"/>
  <c r="K697" i="19" s="1"/>
  <c r="T697" i="19"/>
  <c r="V696" i="19"/>
  <c r="X695" i="19"/>
  <c r="K695" i="19" s="1"/>
  <c r="G331" i="22" s="1"/>
  <c r="T695" i="19"/>
  <c r="V694" i="19"/>
  <c r="U693" i="19"/>
  <c r="W692" i="19"/>
  <c r="S692" i="19" s="1"/>
  <c r="U691" i="19"/>
  <c r="W690" i="19"/>
  <c r="S690" i="19" s="1"/>
  <c r="U689" i="19"/>
  <c r="X688" i="19"/>
  <c r="K688" i="19" s="1"/>
  <c r="T688" i="19"/>
  <c r="V687" i="19"/>
  <c r="X686" i="19"/>
  <c r="K686" i="19" s="1"/>
  <c r="G329" i="22" s="1"/>
  <c r="T686" i="19"/>
  <c r="V685" i="19"/>
  <c r="X684" i="19"/>
  <c r="T684" i="19"/>
  <c r="W683" i="19"/>
  <c r="S683" i="19" s="1"/>
  <c r="U682" i="19"/>
  <c r="W681" i="19"/>
  <c r="S681" i="19" s="1"/>
  <c r="U680" i="19"/>
  <c r="W679" i="19"/>
  <c r="S679" i="19" s="1"/>
  <c r="V678" i="19"/>
  <c r="X677" i="19"/>
  <c r="K677" i="19" s="1"/>
  <c r="G325" i="22" s="1"/>
  <c r="T677" i="19"/>
  <c r="V676" i="19"/>
  <c r="X675" i="19"/>
  <c r="K675" i="19" s="1"/>
  <c r="G323" i="22" s="1"/>
  <c r="T675" i="19"/>
  <c r="V674" i="19"/>
  <c r="U673" i="19"/>
  <c r="W672" i="19"/>
  <c r="S672" i="19" s="1"/>
  <c r="U671" i="19"/>
  <c r="W670" i="19"/>
  <c r="S670" i="19" s="1"/>
  <c r="U669" i="19"/>
  <c r="X668" i="19"/>
  <c r="K668" i="19" s="1"/>
  <c r="T668" i="19"/>
  <c r="V667" i="19"/>
  <c r="X666" i="19"/>
  <c r="K666" i="19" s="1"/>
  <c r="G319" i="22" s="1"/>
  <c r="T666" i="19"/>
  <c r="V665" i="19"/>
  <c r="X664" i="19"/>
  <c r="T664" i="19"/>
  <c r="W663" i="19"/>
  <c r="S663" i="19" s="1"/>
  <c r="U662" i="19"/>
  <c r="W661" i="19"/>
  <c r="S661" i="19" s="1"/>
  <c r="U660" i="19"/>
  <c r="W659" i="19"/>
  <c r="S659" i="19" s="1"/>
  <c r="V658" i="19"/>
  <c r="X657" i="19"/>
  <c r="K657" i="19" s="1"/>
  <c r="G316" i="22" s="1"/>
  <c r="T657" i="19"/>
  <c r="V656" i="19"/>
  <c r="X655" i="19"/>
  <c r="K655" i="19" s="1"/>
  <c r="G314" i="22" s="1"/>
  <c r="T655" i="19"/>
  <c r="V654" i="19"/>
  <c r="U653" i="19"/>
  <c r="W652" i="19"/>
  <c r="S652" i="19" s="1"/>
  <c r="U651" i="19"/>
  <c r="W650" i="19"/>
  <c r="S650" i="19" s="1"/>
  <c r="U649" i="19"/>
  <c r="X648" i="19"/>
  <c r="K648" i="19" s="1"/>
  <c r="T648" i="19"/>
  <c r="V647" i="19"/>
  <c r="X646" i="19"/>
  <c r="K646" i="19" s="1"/>
  <c r="G310" i="22" s="1"/>
  <c r="T646" i="19"/>
  <c r="V645" i="19"/>
  <c r="X644" i="19"/>
  <c r="T644" i="19"/>
  <c r="W643" i="19"/>
  <c r="S643" i="19" s="1"/>
  <c r="U642" i="19"/>
  <c r="W641" i="19"/>
  <c r="S641" i="19" s="1"/>
  <c r="U640" i="19"/>
  <c r="W639" i="19"/>
  <c r="S639" i="19" s="1"/>
  <c r="V638" i="19"/>
  <c r="X637" i="19"/>
  <c r="K637" i="19" s="1"/>
  <c r="G307" i="22" s="1"/>
  <c r="T637" i="19"/>
  <c r="V636" i="19"/>
  <c r="X635" i="19"/>
  <c r="K635" i="19" s="1"/>
  <c r="G305" i="22" s="1"/>
  <c r="T635" i="19"/>
  <c r="V634" i="19"/>
  <c r="U633" i="19"/>
  <c r="W632" i="19"/>
  <c r="S632" i="19" s="1"/>
  <c r="U631" i="19"/>
  <c r="W630" i="19"/>
  <c r="S630" i="19" s="1"/>
  <c r="U629" i="19"/>
  <c r="X628" i="19"/>
  <c r="K628" i="19" s="1"/>
  <c r="T628" i="19"/>
  <c r="V627" i="19"/>
  <c r="X626" i="19"/>
  <c r="K626" i="19" s="1"/>
  <c r="G301" i="22" s="1"/>
  <c r="T626" i="19"/>
  <c r="V625" i="19"/>
  <c r="X624" i="19"/>
  <c r="T624" i="19"/>
  <c r="W623" i="19"/>
  <c r="S623" i="19" s="1"/>
  <c r="U622" i="19"/>
  <c r="W621" i="19"/>
  <c r="S621" i="19" s="1"/>
  <c r="U620" i="19"/>
  <c r="W619" i="19"/>
  <c r="S619" i="19" s="1"/>
  <c r="V618" i="19"/>
  <c r="X617" i="19"/>
  <c r="K617" i="19" s="1"/>
  <c r="T617" i="19"/>
  <c r="V616" i="19"/>
  <c r="X615" i="19"/>
  <c r="K615" i="19" s="1"/>
  <c r="G295" i="22" s="1"/>
  <c r="T615" i="19"/>
  <c r="V614" i="19"/>
  <c r="U613" i="19"/>
  <c r="W612" i="19"/>
  <c r="S612" i="19" s="1"/>
  <c r="U611" i="19"/>
  <c r="W610" i="19"/>
  <c r="S610" i="19" s="1"/>
  <c r="U609" i="19"/>
  <c r="X608" i="19"/>
  <c r="K608" i="19" s="1"/>
  <c r="T608" i="19"/>
  <c r="V607" i="19"/>
  <c r="X606" i="19"/>
  <c r="K606" i="19" s="1"/>
  <c r="G293" i="22" s="1"/>
  <c r="T606" i="19"/>
  <c r="V605" i="19"/>
  <c r="X604" i="19"/>
  <c r="T604" i="19"/>
  <c r="W603" i="19"/>
  <c r="S603" i="19" s="1"/>
  <c r="U602" i="19"/>
  <c r="W601" i="19"/>
  <c r="S601" i="19" s="1"/>
  <c r="U600" i="19"/>
  <c r="W599" i="19"/>
  <c r="S599" i="19" s="1"/>
  <c r="V598" i="19"/>
  <c r="X597" i="19"/>
  <c r="K597" i="19" s="1"/>
  <c r="T597" i="19"/>
  <c r="V596" i="19"/>
  <c r="X595" i="19"/>
  <c r="K595" i="19" s="1"/>
  <c r="G287" i="22" s="1"/>
  <c r="T595" i="19"/>
  <c r="V594" i="19"/>
  <c r="U593" i="19"/>
  <c r="W592" i="19"/>
  <c r="S592" i="19" s="1"/>
  <c r="U591" i="19"/>
  <c r="W590" i="19"/>
  <c r="S590" i="19" s="1"/>
  <c r="U589" i="19"/>
  <c r="X588" i="19"/>
  <c r="K588" i="19" s="1"/>
  <c r="T588" i="19"/>
  <c r="V587" i="19"/>
  <c r="X586" i="19"/>
  <c r="K586" i="19" s="1"/>
  <c r="G284" i="22" s="1"/>
  <c r="T586" i="19"/>
  <c r="V585" i="19"/>
  <c r="X584" i="19"/>
  <c r="T584" i="19"/>
  <c r="W583" i="19"/>
  <c r="S583" i="19" s="1"/>
  <c r="U582" i="19"/>
  <c r="W581" i="19"/>
  <c r="S581" i="19" s="1"/>
  <c r="U580" i="19"/>
  <c r="W579" i="19"/>
  <c r="S579" i="19" s="1"/>
  <c r="V578" i="19"/>
  <c r="X577" i="19"/>
  <c r="K577" i="19" s="1"/>
  <c r="T577" i="19"/>
  <c r="V576" i="19"/>
  <c r="X575" i="19"/>
  <c r="K575" i="19" s="1"/>
  <c r="G278" i="22" s="1"/>
  <c r="T575" i="19"/>
  <c r="V574" i="19"/>
  <c r="U573" i="19"/>
  <c r="W572" i="19"/>
  <c r="S572" i="19" s="1"/>
  <c r="U571" i="19"/>
  <c r="W570" i="19"/>
  <c r="S570" i="19" s="1"/>
  <c r="U569" i="19"/>
  <c r="X568" i="19"/>
  <c r="K568" i="19" s="1"/>
  <c r="T568" i="19"/>
  <c r="V567" i="19"/>
  <c r="X566" i="19"/>
  <c r="K566" i="19" s="1"/>
  <c r="G275" i="22" s="1"/>
  <c r="T566" i="19"/>
  <c r="V565" i="19"/>
  <c r="X564" i="19"/>
  <c r="T564" i="19"/>
  <c r="W563" i="19"/>
  <c r="S563" i="19" s="1"/>
  <c r="U562" i="19"/>
  <c r="W561" i="19"/>
  <c r="S561" i="19" s="1"/>
  <c r="U560" i="19"/>
  <c r="W559" i="19"/>
  <c r="S559" i="19" s="1"/>
  <c r="V558" i="19"/>
  <c r="X557" i="19"/>
  <c r="K557" i="19" s="1"/>
  <c r="T557" i="19"/>
  <c r="V556" i="19"/>
  <c r="X555" i="19"/>
  <c r="K555" i="19" s="1"/>
  <c r="G270" i="22" s="1"/>
  <c r="T555" i="19"/>
  <c r="V554" i="19"/>
  <c r="U553" i="19"/>
  <c r="W552" i="19"/>
  <c r="S552" i="19" s="1"/>
  <c r="U551" i="19"/>
  <c r="W550" i="19"/>
  <c r="S550" i="19" s="1"/>
  <c r="U549" i="19"/>
  <c r="X548" i="19"/>
  <c r="K548" i="19" s="1"/>
  <c r="T548" i="19"/>
  <c r="V547" i="19"/>
  <c r="X546" i="19"/>
  <c r="K546" i="19" s="1"/>
  <c r="G267" i="22" s="1"/>
  <c r="T546" i="19"/>
  <c r="V545" i="19"/>
  <c r="X544" i="19"/>
  <c r="T544" i="19"/>
  <c r="W543" i="19"/>
  <c r="S543" i="19" s="1"/>
  <c r="U542" i="19"/>
  <c r="W541" i="19"/>
  <c r="S541" i="19" s="1"/>
  <c r="U540" i="19"/>
  <c r="W539" i="19"/>
  <c r="S539" i="19" s="1"/>
  <c r="V538" i="19"/>
  <c r="X537" i="19"/>
  <c r="K537" i="19" s="1"/>
  <c r="G263" i="22" s="1"/>
  <c r="T537" i="19"/>
  <c r="V536" i="19"/>
  <c r="X535" i="19"/>
  <c r="K535" i="19" s="1"/>
  <c r="G261" i="22" s="1"/>
  <c r="T535" i="19"/>
  <c r="V534" i="19"/>
  <c r="U533" i="19"/>
  <c r="W532" i="19"/>
  <c r="S532" i="19" s="1"/>
  <c r="U531" i="19"/>
  <c r="W530" i="19"/>
  <c r="S530" i="19" s="1"/>
  <c r="U529" i="19"/>
  <c r="X528" i="19"/>
  <c r="K528" i="19" s="1"/>
  <c r="T528" i="19"/>
  <c r="V527" i="19"/>
  <c r="X526" i="19"/>
  <c r="K526" i="19" s="1"/>
  <c r="G257" i="22" s="1"/>
  <c r="T526" i="19"/>
  <c r="V525" i="19"/>
  <c r="X524" i="19"/>
  <c r="T524" i="19"/>
  <c r="W523" i="19"/>
  <c r="S523" i="19" s="1"/>
  <c r="U522" i="19"/>
  <c r="W521" i="19"/>
  <c r="S521" i="19" s="1"/>
  <c r="U520" i="19"/>
  <c r="W519" i="19"/>
  <c r="S519" i="19" s="1"/>
  <c r="V518" i="19"/>
  <c r="X517" i="19"/>
  <c r="K517" i="19" s="1"/>
  <c r="G253" i="22" s="1"/>
  <c r="T517" i="19"/>
  <c r="V516" i="19"/>
  <c r="X515" i="19"/>
  <c r="K515" i="19" s="1"/>
  <c r="G251" i="22" s="1"/>
  <c r="T515" i="19"/>
  <c r="V514" i="19"/>
  <c r="U513" i="19"/>
  <c r="W512" i="19"/>
  <c r="S512" i="19" s="1"/>
  <c r="U511" i="19"/>
  <c r="W510" i="19"/>
  <c r="S510" i="19" s="1"/>
  <c r="U509" i="19"/>
  <c r="X508" i="19"/>
  <c r="K508" i="19" s="1"/>
  <c r="T508" i="19"/>
  <c r="V507" i="19"/>
  <c r="X506" i="19"/>
  <c r="K506" i="19" s="1"/>
  <c r="G247" i="22" s="1"/>
  <c r="T506" i="19"/>
  <c r="V505" i="19"/>
  <c r="X504" i="19"/>
  <c r="T504" i="19"/>
  <c r="W503" i="19"/>
  <c r="S503" i="19" s="1"/>
  <c r="U502" i="19"/>
  <c r="W501" i="19"/>
  <c r="S501" i="19" s="1"/>
  <c r="U500" i="19"/>
  <c r="W499" i="19"/>
  <c r="S499" i="19" s="1"/>
  <c r="V498" i="19"/>
  <c r="X497" i="19"/>
  <c r="K497" i="19" s="1"/>
  <c r="T497" i="19"/>
  <c r="V496" i="19"/>
  <c r="X495" i="19"/>
  <c r="K495" i="19" s="1"/>
  <c r="G241" i="22" s="1"/>
  <c r="T495" i="19"/>
  <c r="V494" i="19"/>
  <c r="U493" i="19"/>
  <c r="W492" i="19"/>
  <c r="S492" i="19" s="1"/>
  <c r="U491" i="19"/>
  <c r="W490" i="19"/>
  <c r="S490" i="19" s="1"/>
  <c r="U489" i="19"/>
  <c r="X488" i="19"/>
  <c r="K488" i="19" s="1"/>
  <c r="T488" i="19"/>
  <c r="V487" i="19"/>
  <c r="X486" i="19"/>
  <c r="K486" i="19" s="1"/>
  <c r="G238" i="22" s="1"/>
  <c r="T486" i="19"/>
  <c r="V485" i="19"/>
  <c r="X484" i="19"/>
  <c r="T484" i="19"/>
  <c r="W483" i="19"/>
  <c r="S483" i="19" s="1"/>
  <c r="U482" i="19"/>
  <c r="W481" i="19"/>
  <c r="S481" i="19" s="1"/>
  <c r="U480" i="19"/>
  <c r="W479" i="19"/>
  <c r="S479" i="19" s="1"/>
  <c r="V478" i="19"/>
  <c r="X477" i="19"/>
  <c r="K477" i="19" s="1"/>
  <c r="G233" i="22" s="1"/>
  <c r="T477" i="19"/>
  <c r="V476" i="19"/>
  <c r="X475" i="19"/>
  <c r="K475" i="19" s="1"/>
  <c r="G231" i="22" s="1"/>
  <c r="T475" i="19"/>
  <c r="V474" i="19"/>
  <c r="U473" i="19"/>
  <c r="W472" i="19"/>
  <c r="S472" i="19" s="1"/>
  <c r="U471" i="19"/>
  <c r="W470" i="19"/>
  <c r="S470" i="19" s="1"/>
  <c r="U469" i="19"/>
  <c r="X468" i="19"/>
  <c r="K468" i="19" s="1"/>
  <c r="T468" i="19"/>
  <c r="V467" i="19"/>
  <c r="X466" i="19"/>
  <c r="K466" i="19" s="1"/>
  <c r="G228" i="22" s="1"/>
  <c r="T466" i="19"/>
  <c r="V465" i="19"/>
  <c r="X464" i="19"/>
  <c r="T464" i="19"/>
  <c r="W463" i="19"/>
  <c r="S463" i="19" s="1"/>
  <c r="U462" i="19"/>
  <c r="W461" i="19"/>
  <c r="S461" i="19" s="1"/>
  <c r="U460" i="19"/>
  <c r="W459" i="19"/>
  <c r="S459" i="19" s="1"/>
  <c r="V458" i="19"/>
  <c r="X457" i="19"/>
  <c r="K457" i="19" s="1"/>
  <c r="T457" i="19"/>
  <c r="V456" i="19"/>
  <c r="X455" i="19"/>
  <c r="K455" i="19" s="1"/>
  <c r="G223" i="22" s="1"/>
  <c r="T455" i="19"/>
  <c r="V454" i="19"/>
  <c r="U453" i="19"/>
  <c r="W452" i="19"/>
  <c r="S452" i="19" s="1"/>
  <c r="U451" i="19"/>
  <c r="W450" i="19"/>
  <c r="S450" i="19" s="1"/>
  <c r="U449" i="19"/>
  <c r="X448" i="19"/>
  <c r="K448" i="19" s="1"/>
  <c r="T448" i="19"/>
  <c r="V447" i="19"/>
  <c r="X446" i="19"/>
  <c r="K446" i="19" s="1"/>
  <c r="G219" i="22" s="1"/>
  <c r="T446" i="19"/>
  <c r="V445" i="19"/>
  <c r="X444" i="19"/>
  <c r="T444" i="19"/>
  <c r="W443" i="19"/>
  <c r="S443" i="19" s="1"/>
  <c r="U442" i="19"/>
  <c r="W441" i="19"/>
  <c r="S441" i="19" s="1"/>
  <c r="U440" i="19"/>
  <c r="W439" i="19"/>
  <c r="S439" i="19" s="1"/>
  <c r="V438" i="19"/>
  <c r="X437" i="19"/>
  <c r="K437" i="19" s="1"/>
  <c r="T437" i="19"/>
  <c r="V436" i="19"/>
  <c r="X435" i="19"/>
  <c r="K435" i="19" s="1"/>
  <c r="G216" i="22" s="1"/>
  <c r="T435" i="19"/>
  <c r="V434" i="19"/>
  <c r="U433" i="19"/>
  <c r="W432" i="19"/>
  <c r="S432" i="19" s="1"/>
  <c r="U431" i="19"/>
  <c r="W430" i="19"/>
  <c r="S430" i="19" s="1"/>
  <c r="U429" i="19"/>
  <c r="X428" i="19"/>
  <c r="K428" i="19" s="1"/>
  <c r="T428" i="19"/>
  <c r="V427" i="19"/>
  <c r="X426" i="19"/>
  <c r="K426" i="19" s="1"/>
  <c r="G212" i="22" s="1"/>
  <c r="T426" i="19"/>
  <c r="V425" i="19"/>
  <c r="X424" i="19"/>
  <c r="T424" i="19"/>
  <c r="W423" i="19"/>
  <c r="S423" i="19" s="1"/>
  <c r="U422" i="19"/>
  <c r="W421" i="19"/>
  <c r="S421" i="19" s="1"/>
  <c r="U420" i="19"/>
  <c r="W419" i="19"/>
  <c r="S419" i="19" s="1"/>
  <c r="V418" i="19"/>
  <c r="X417" i="19"/>
  <c r="K417" i="19" s="1"/>
  <c r="T417" i="19"/>
  <c r="V416" i="19"/>
  <c r="X415" i="19"/>
  <c r="K415" i="19" s="1"/>
  <c r="G208" i="22" s="1"/>
  <c r="T415" i="19"/>
  <c r="V414" i="19"/>
  <c r="U413" i="19"/>
  <c r="W412" i="19"/>
  <c r="S412" i="19" s="1"/>
  <c r="U411" i="19"/>
  <c r="W410" i="19"/>
  <c r="S410" i="19" s="1"/>
  <c r="U409" i="19"/>
  <c r="X408" i="19"/>
  <c r="K408" i="19" s="1"/>
  <c r="T408" i="19"/>
  <c r="V407" i="19"/>
  <c r="X406" i="19"/>
  <c r="K406" i="19" s="1"/>
  <c r="G203" i="22" s="1"/>
  <c r="T406" i="19"/>
  <c r="V405" i="19"/>
  <c r="X404" i="19"/>
  <c r="T404" i="19"/>
  <c r="W403" i="19"/>
  <c r="S403" i="19" s="1"/>
  <c r="U402" i="19"/>
  <c r="W401" i="19"/>
  <c r="S401" i="19" s="1"/>
  <c r="U400" i="19"/>
  <c r="W399" i="19"/>
  <c r="S399" i="19" s="1"/>
  <c r="V398" i="19"/>
  <c r="X397" i="19"/>
  <c r="K397" i="19" s="1"/>
  <c r="G198" i="22" s="1"/>
  <c r="T397" i="19"/>
  <c r="V396" i="19"/>
  <c r="X395" i="19"/>
  <c r="K395" i="19" s="1"/>
  <c r="G196" i="22" s="1"/>
  <c r="T395" i="19"/>
  <c r="V394" i="19"/>
  <c r="U393" i="19"/>
  <c r="W392" i="19"/>
  <c r="S392" i="19" s="1"/>
  <c r="U391" i="19"/>
  <c r="W390" i="19"/>
  <c r="S390" i="19" s="1"/>
  <c r="U389" i="19"/>
  <c r="X388" i="19"/>
  <c r="K388" i="19" s="1"/>
  <c r="G193" i="22" s="1"/>
  <c r="T388" i="19"/>
  <c r="V387" i="19"/>
  <c r="X386" i="19"/>
  <c r="K386" i="19" s="1"/>
  <c r="G191" i="22" s="1"/>
  <c r="T386" i="19"/>
  <c r="V385" i="19"/>
  <c r="X384" i="19"/>
  <c r="T384" i="19"/>
  <c r="W383" i="19"/>
  <c r="S383" i="19" s="1"/>
  <c r="U382" i="19"/>
  <c r="W381" i="19"/>
  <c r="S381" i="19" s="1"/>
  <c r="U380" i="19"/>
  <c r="W379" i="19"/>
  <c r="S379" i="19" s="1"/>
  <c r="V378" i="19"/>
  <c r="X377" i="19"/>
  <c r="K377" i="19" s="1"/>
  <c r="G186" i="22" s="1"/>
  <c r="T377" i="19"/>
  <c r="V376" i="19"/>
  <c r="X375" i="19"/>
  <c r="K375" i="19" s="1"/>
  <c r="G184" i="22" s="1"/>
  <c r="T375" i="19"/>
  <c r="V374" i="19"/>
  <c r="U373" i="19"/>
  <c r="W372" i="19"/>
  <c r="S372" i="19" s="1"/>
  <c r="U371" i="19"/>
  <c r="W370" i="19"/>
  <c r="S370" i="19" s="1"/>
  <c r="U369" i="19"/>
  <c r="X368" i="19"/>
  <c r="K368" i="19" s="1"/>
  <c r="T368" i="19"/>
  <c r="V367" i="19"/>
  <c r="X366" i="19"/>
  <c r="K366" i="19" s="1"/>
  <c r="G179" i="22" s="1"/>
  <c r="T366" i="19"/>
  <c r="V365" i="19"/>
  <c r="X364" i="19"/>
  <c r="T364" i="19"/>
  <c r="W363" i="19"/>
  <c r="S363" i="19" s="1"/>
  <c r="U362" i="19"/>
  <c r="W361" i="19"/>
  <c r="S361" i="19" s="1"/>
  <c r="U360" i="19"/>
  <c r="W359" i="19"/>
  <c r="S359" i="19" s="1"/>
  <c r="V358" i="19"/>
  <c r="X357" i="19"/>
  <c r="K357" i="19" s="1"/>
  <c r="T357" i="19"/>
  <c r="V356" i="19"/>
  <c r="X355" i="19"/>
  <c r="K355" i="19" s="1"/>
  <c r="G174" i="22" s="1"/>
  <c r="T355" i="19"/>
  <c r="V354" i="19"/>
  <c r="U353" i="19"/>
  <c r="W352" i="19"/>
  <c r="S352" i="19" s="1"/>
  <c r="U351" i="19"/>
  <c r="W350" i="19"/>
  <c r="S350" i="19" s="1"/>
  <c r="U349" i="19"/>
  <c r="X348" i="19"/>
  <c r="K348" i="19" s="1"/>
  <c r="T348" i="19"/>
  <c r="V347" i="19"/>
  <c r="X346" i="19"/>
  <c r="K346" i="19" s="1"/>
  <c r="G170" i="22" s="1"/>
  <c r="T346" i="19"/>
  <c r="V345" i="19"/>
  <c r="X344" i="19"/>
  <c r="T344" i="19"/>
  <c r="W343" i="19"/>
  <c r="S343" i="19" s="1"/>
  <c r="U342" i="19"/>
  <c r="W341" i="19"/>
  <c r="S341" i="19" s="1"/>
  <c r="U340" i="19"/>
  <c r="W339" i="19"/>
  <c r="S339" i="19" s="1"/>
  <c r="V338" i="19"/>
  <c r="X337" i="19"/>
  <c r="K337" i="19" s="1"/>
  <c r="G165" i="22" s="1"/>
  <c r="T337" i="19"/>
  <c r="V336" i="19"/>
  <c r="X335" i="19"/>
  <c r="K335" i="19" s="1"/>
  <c r="G163" i="22" s="1"/>
  <c r="T335" i="19"/>
  <c r="V334" i="19"/>
  <c r="U333" i="19"/>
  <c r="W332" i="19"/>
  <c r="S332" i="19" s="1"/>
  <c r="U331" i="19"/>
  <c r="W330" i="19"/>
  <c r="S330" i="19" s="1"/>
  <c r="U329" i="19"/>
  <c r="X328" i="19"/>
  <c r="K328" i="19" s="1"/>
  <c r="T328" i="19"/>
  <c r="V327" i="19"/>
  <c r="X326" i="19"/>
  <c r="K326" i="19" s="1"/>
  <c r="T326" i="19"/>
  <c r="V325" i="19"/>
  <c r="X324" i="19"/>
  <c r="T324" i="19"/>
  <c r="W323" i="19"/>
  <c r="S323" i="19" s="1"/>
  <c r="U322" i="19"/>
  <c r="W321" i="19"/>
  <c r="S321" i="19" s="1"/>
  <c r="U320" i="19"/>
  <c r="W319" i="19"/>
  <c r="S319" i="19" s="1"/>
  <c r="V318" i="19"/>
  <c r="X317" i="19"/>
  <c r="K317" i="19" s="1"/>
  <c r="G156" i="22" s="1"/>
  <c r="T317" i="19"/>
  <c r="V316" i="19"/>
  <c r="X315" i="19"/>
  <c r="K315" i="19" s="1"/>
  <c r="G154" i="22" s="1"/>
  <c r="T315" i="19"/>
  <c r="V314" i="19"/>
  <c r="U313" i="19"/>
  <c r="W312" i="19"/>
  <c r="S312" i="19" s="1"/>
  <c r="U311" i="19"/>
  <c r="W310" i="19"/>
  <c r="S310" i="19" s="1"/>
  <c r="U309" i="19"/>
  <c r="X308" i="19"/>
  <c r="K308" i="19" s="1"/>
  <c r="T308" i="19"/>
  <c r="V307" i="19"/>
  <c r="X306" i="19"/>
  <c r="K306" i="19" s="1"/>
  <c r="G151" i="22" s="1"/>
  <c r="T306" i="19"/>
  <c r="V305" i="19"/>
  <c r="X304" i="19"/>
  <c r="T304" i="19"/>
  <c r="W303" i="19"/>
  <c r="S303" i="19" s="1"/>
  <c r="U302" i="19"/>
  <c r="W301" i="19"/>
  <c r="S301" i="19" s="1"/>
  <c r="U300" i="19"/>
  <c r="W299" i="19"/>
  <c r="S299" i="19" s="1"/>
  <c r="V298" i="19"/>
  <c r="X297" i="19"/>
  <c r="K297" i="19" s="1"/>
  <c r="G147" i="22" s="1"/>
  <c r="T297" i="19"/>
  <c r="V296" i="19"/>
  <c r="X295" i="19"/>
  <c r="K295" i="19" s="1"/>
  <c r="G145" i="22" s="1"/>
  <c r="T295" i="19"/>
  <c r="V294" i="19"/>
  <c r="U293" i="19"/>
  <c r="W292" i="19"/>
  <c r="S292" i="19" s="1"/>
  <c r="U291" i="19"/>
  <c r="W290" i="19"/>
  <c r="S290" i="19" s="1"/>
  <c r="U289" i="19"/>
  <c r="X288" i="19"/>
  <c r="K288" i="19" s="1"/>
  <c r="T288" i="19"/>
  <c r="V287" i="19"/>
  <c r="X286" i="19"/>
  <c r="K286" i="19" s="1"/>
  <c r="G142" i="22" s="1"/>
  <c r="T286" i="19"/>
  <c r="V285" i="19"/>
  <c r="X284" i="19"/>
  <c r="T284" i="19"/>
  <c r="W283" i="19"/>
  <c r="S283" i="19" s="1"/>
  <c r="U282" i="19"/>
  <c r="W281" i="19"/>
  <c r="S281" i="19" s="1"/>
  <c r="U280" i="19"/>
  <c r="W279" i="19"/>
  <c r="S279" i="19" s="1"/>
  <c r="V278" i="19"/>
  <c r="X277" i="19"/>
  <c r="K277" i="19" s="1"/>
  <c r="G137" i="22" s="1"/>
  <c r="T277" i="19"/>
  <c r="V276" i="19"/>
  <c r="X275" i="19"/>
  <c r="K275" i="19" s="1"/>
  <c r="G135" i="22" s="1"/>
  <c r="T275" i="19"/>
  <c r="V274" i="19"/>
  <c r="U273" i="19"/>
  <c r="W272" i="19"/>
  <c r="S272" i="19" s="1"/>
  <c r="U271" i="19"/>
  <c r="W270" i="19"/>
  <c r="S270" i="19" s="1"/>
  <c r="U269" i="19"/>
  <c r="X268" i="19"/>
  <c r="K268" i="19" s="1"/>
  <c r="T268" i="19"/>
  <c r="V267" i="19"/>
  <c r="W10" i="19"/>
  <c r="U11" i="19"/>
  <c r="W12" i="19"/>
  <c r="S12" i="19" s="1"/>
  <c r="U13" i="19"/>
  <c r="V14" i="19"/>
  <c r="T15" i="19"/>
  <c r="X15" i="19"/>
  <c r="K15" i="19" s="1"/>
  <c r="G12" i="22" s="1"/>
  <c r="V16" i="19"/>
  <c r="T17" i="19"/>
  <c r="X17" i="19"/>
  <c r="K17" i="19" s="1"/>
  <c r="G14" i="22" s="1"/>
  <c r="V18" i="19"/>
  <c r="W19" i="19"/>
  <c r="S19" i="19" s="1"/>
  <c r="U20" i="19"/>
  <c r="W21" i="19"/>
  <c r="S21" i="19" s="1"/>
  <c r="U22" i="19"/>
  <c r="W23" i="19"/>
  <c r="S23" i="19" s="1"/>
  <c r="T24" i="19"/>
  <c r="X24" i="19"/>
  <c r="V25" i="19"/>
  <c r="T26" i="19"/>
  <c r="X26" i="19"/>
  <c r="K26" i="19" s="1"/>
  <c r="G19" i="22" s="1"/>
  <c r="V27" i="19"/>
  <c r="T28" i="19"/>
  <c r="X28" i="19"/>
  <c r="K28" i="19" s="1"/>
  <c r="U29" i="19"/>
  <c r="W30" i="19"/>
  <c r="S30" i="19" s="1"/>
  <c r="U31" i="19"/>
  <c r="W32" i="19"/>
  <c r="S32" i="19" s="1"/>
  <c r="U33" i="19"/>
  <c r="V34" i="19"/>
  <c r="T35" i="19"/>
  <c r="X35" i="19"/>
  <c r="K35" i="19" s="1"/>
  <c r="G22" i="22" s="1"/>
  <c r="V36" i="19"/>
  <c r="T37" i="19"/>
  <c r="X37" i="19"/>
  <c r="K37" i="19" s="1"/>
  <c r="V38" i="19"/>
  <c r="W39" i="19"/>
  <c r="S39" i="19" s="1"/>
  <c r="U40" i="19"/>
  <c r="W41" i="19"/>
  <c r="S41" i="19" s="1"/>
  <c r="U42" i="19"/>
  <c r="W43" i="19"/>
  <c r="S43" i="19" s="1"/>
  <c r="T44" i="19"/>
  <c r="X44" i="19"/>
  <c r="V45" i="19"/>
  <c r="T46" i="19"/>
  <c r="X46" i="19"/>
  <c r="K46" i="19" s="1"/>
  <c r="G27" i="22" s="1"/>
  <c r="V47" i="19"/>
  <c r="T48" i="19"/>
  <c r="X48" i="19"/>
  <c r="K48" i="19" s="1"/>
  <c r="U49" i="19"/>
  <c r="W50" i="19"/>
  <c r="S50" i="19" s="1"/>
  <c r="U51" i="19"/>
  <c r="W52" i="19"/>
  <c r="S52" i="19" s="1"/>
  <c r="U53" i="19"/>
  <c r="V54" i="19"/>
  <c r="T55" i="19"/>
  <c r="X55" i="19"/>
  <c r="K55" i="19" s="1"/>
  <c r="G30" i="22" s="1"/>
  <c r="V56" i="19"/>
  <c r="T57" i="19"/>
  <c r="X57" i="19"/>
  <c r="K57" i="19" s="1"/>
  <c r="V58" i="19"/>
  <c r="W59" i="19"/>
  <c r="S59" i="19" s="1"/>
  <c r="U60" i="19"/>
  <c r="W61" i="19"/>
  <c r="S61" i="19" s="1"/>
  <c r="U62" i="19"/>
  <c r="W63" i="19"/>
  <c r="S63" i="19" s="1"/>
  <c r="T64" i="19"/>
  <c r="X64" i="19"/>
  <c r="V65" i="19"/>
  <c r="T66" i="19"/>
  <c r="X66" i="19"/>
  <c r="K66" i="19" s="1"/>
  <c r="G36" i="22" s="1"/>
  <c r="V67" i="19"/>
  <c r="T68" i="19"/>
  <c r="X68" i="19"/>
  <c r="K68" i="19" s="1"/>
  <c r="U69" i="19"/>
  <c r="W70" i="19"/>
  <c r="S70" i="19" s="1"/>
  <c r="U71" i="19"/>
  <c r="W72" i="19"/>
  <c r="S72" i="19" s="1"/>
  <c r="U73" i="19"/>
  <c r="V74" i="19"/>
  <c r="T75" i="19"/>
  <c r="X75" i="19"/>
  <c r="K75" i="19" s="1"/>
  <c r="G40" i="22" s="1"/>
  <c r="V76" i="19"/>
  <c r="T77" i="19"/>
  <c r="X77" i="19"/>
  <c r="K77" i="19" s="1"/>
  <c r="V78" i="19"/>
  <c r="W79" i="19"/>
  <c r="S79" i="19" s="1"/>
  <c r="U80" i="19"/>
  <c r="W81" i="19"/>
  <c r="S81" i="19" s="1"/>
  <c r="U82" i="19"/>
  <c r="W83" i="19"/>
  <c r="S83" i="19" s="1"/>
  <c r="T84" i="19"/>
  <c r="X84" i="19"/>
  <c r="V85" i="19"/>
  <c r="T86" i="19"/>
  <c r="X86" i="19"/>
  <c r="K86" i="19" s="1"/>
  <c r="G46" i="22" s="1"/>
  <c r="V87" i="19"/>
  <c r="T88" i="19"/>
  <c r="X88" i="19"/>
  <c r="K88" i="19" s="1"/>
  <c r="U89" i="19"/>
  <c r="W90" i="19"/>
  <c r="S90" i="19" s="1"/>
  <c r="U91" i="19"/>
  <c r="W92" i="19"/>
  <c r="S92" i="19" s="1"/>
  <c r="U93" i="19"/>
  <c r="V94" i="19"/>
  <c r="T95" i="19"/>
  <c r="X95" i="19"/>
  <c r="K95" i="19" s="1"/>
  <c r="G49" i="22" s="1"/>
  <c r="V96" i="19"/>
  <c r="T97" i="19"/>
  <c r="X97" i="19"/>
  <c r="K97" i="19" s="1"/>
  <c r="G51" i="22" s="1"/>
  <c r="V98" i="19"/>
  <c r="W99" i="19"/>
  <c r="S99" i="19" s="1"/>
  <c r="U100" i="19"/>
  <c r="W101" i="19"/>
  <c r="S101" i="19" s="1"/>
  <c r="U102" i="19"/>
  <c r="W103" i="19"/>
  <c r="S103" i="19" s="1"/>
  <c r="T104" i="19"/>
  <c r="X104" i="19"/>
  <c r="V105" i="19"/>
  <c r="T106" i="19"/>
  <c r="X106" i="19"/>
  <c r="K106" i="19" s="1"/>
  <c r="G56" i="22" s="1"/>
  <c r="V107" i="19"/>
  <c r="T108" i="19"/>
  <c r="X108" i="19"/>
  <c r="K108" i="19" s="1"/>
  <c r="U109" i="19"/>
  <c r="W110" i="19"/>
  <c r="S110" i="19" s="1"/>
  <c r="U111" i="19"/>
  <c r="W112" i="19"/>
  <c r="S112" i="19" s="1"/>
  <c r="U113" i="19"/>
  <c r="V114" i="19"/>
  <c r="T115" i="19"/>
  <c r="X115" i="19"/>
  <c r="K115" i="19" s="1"/>
  <c r="G60" i="22" s="1"/>
  <c r="V116" i="19"/>
  <c r="T117" i="19"/>
  <c r="X117" i="19"/>
  <c r="K117" i="19" s="1"/>
  <c r="V118" i="19"/>
  <c r="W119" i="19"/>
  <c r="S119" i="19" s="1"/>
  <c r="U120" i="19"/>
  <c r="W121" i="19"/>
  <c r="S121" i="19" s="1"/>
  <c r="U122" i="19"/>
  <c r="W123" i="19"/>
  <c r="S123" i="19" s="1"/>
  <c r="T124" i="19"/>
  <c r="X124" i="19"/>
  <c r="V125" i="19"/>
  <c r="T126" i="19"/>
  <c r="X126" i="19"/>
  <c r="K126" i="19" s="1"/>
  <c r="G65" i="22" s="1"/>
  <c r="V127" i="19"/>
  <c r="T128" i="19"/>
  <c r="X128" i="19"/>
  <c r="K128" i="19" s="1"/>
  <c r="U129" i="19"/>
  <c r="W130" i="19"/>
  <c r="S130" i="19" s="1"/>
  <c r="U131" i="19"/>
  <c r="W132" i="19"/>
  <c r="S132" i="19" s="1"/>
  <c r="U133" i="19"/>
  <c r="V134" i="19"/>
  <c r="T135" i="19"/>
  <c r="X135" i="19"/>
  <c r="K135" i="19" s="1"/>
  <c r="G69" i="22" s="1"/>
  <c r="V136" i="19"/>
  <c r="T137" i="19"/>
  <c r="X137" i="19"/>
  <c r="K137" i="19" s="1"/>
  <c r="V138" i="19"/>
  <c r="W139" i="19"/>
  <c r="S139" i="19" s="1"/>
  <c r="U140" i="19"/>
  <c r="W141" i="19"/>
  <c r="S141" i="19" s="1"/>
  <c r="U142" i="19"/>
  <c r="W143" i="19"/>
  <c r="S143" i="19" s="1"/>
  <c r="T144" i="19"/>
  <c r="X144" i="19"/>
  <c r="V145" i="19"/>
  <c r="T146" i="19"/>
  <c r="X146" i="19"/>
  <c r="K146" i="19" s="1"/>
  <c r="G75" i="22" s="1"/>
  <c r="V147" i="19"/>
  <c r="T148" i="19"/>
  <c r="X148" i="19"/>
  <c r="K148" i="19" s="1"/>
  <c r="U149" i="19"/>
  <c r="W150" i="19"/>
  <c r="S150" i="19" s="1"/>
  <c r="U151" i="19"/>
  <c r="W152" i="19"/>
  <c r="S152" i="19" s="1"/>
  <c r="U153" i="19"/>
  <c r="V154" i="19"/>
  <c r="T155" i="19"/>
  <c r="X155" i="19"/>
  <c r="K155" i="19" s="1"/>
  <c r="G80" i="22" s="1"/>
  <c r="V156" i="19"/>
  <c r="T157" i="19"/>
  <c r="X157" i="19"/>
  <c r="K157" i="19" s="1"/>
  <c r="V158" i="19"/>
  <c r="W159" i="19"/>
  <c r="S159" i="19" s="1"/>
  <c r="U160" i="19"/>
  <c r="W161" i="19"/>
  <c r="S161" i="19" s="1"/>
  <c r="U162" i="19"/>
  <c r="W163" i="19"/>
  <c r="S163" i="19" s="1"/>
  <c r="T164" i="19"/>
  <c r="X164" i="19"/>
  <c r="V165" i="19"/>
  <c r="T166" i="19"/>
  <c r="X166" i="19"/>
  <c r="K166" i="19" s="1"/>
  <c r="G85" i="22" s="1"/>
  <c r="V167" i="19"/>
  <c r="T168" i="19"/>
  <c r="X168" i="19"/>
  <c r="K168" i="19" s="1"/>
  <c r="U169" i="19"/>
  <c r="W170" i="19"/>
  <c r="S170" i="19" s="1"/>
  <c r="U171" i="19"/>
  <c r="W172" i="19"/>
  <c r="S172" i="19" s="1"/>
  <c r="U173" i="19"/>
  <c r="V174" i="19"/>
  <c r="T175" i="19"/>
  <c r="X175" i="19"/>
  <c r="K175" i="19" s="1"/>
  <c r="G89" i="22" s="1"/>
  <c r="V176" i="19"/>
  <c r="T177" i="19"/>
  <c r="X177" i="19"/>
  <c r="K177" i="19" s="1"/>
  <c r="G91" i="22" s="1"/>
  <c r="V178" i="19"/>
  <c r="W179" i="19"/>
  <c r="S179" i="19" s="1"/>
  <c r="U180" i="19"/>
  <c r="W181" i="19"/>
  <c r="S181" i="19" s="1"/>
  <c r="U182" i="19"/>
  <c r="W183" i="19"/>
  <c r="S183" i="19" s="1"/>
  <c r="T184" i="19"/>
  <c r="X184" i="19"/>
  <c r="V185" i="19"/>
  <c r="T186" i="19"/>
  <c r="X186" i="19"/>
  <c r="K186" i="19" s="1"/>
  <c r="G94" i="22" s="1"/>
  <c r="V187" i="19"/>
  <c r="T188" i="19"/>
  <c r="X188" i="19"/>
  <c r="K188" i="19" s="1"/>
  <c r="U189" i="19"/>
  <c r="W190" i="19"/>
  <c r="S190" i="19" s="1"/>
  <c r="U191" i="19"/>
  <c r="W192" i="19"/>
  <c r="S192" i="19" s="1"/>
  <c r="U193" i="19"/>
  <c r="V194" i="19"/>
  <c r="T195" i="19"/>
  <c r="X195" i="19"/>
  <c r="K195" i="19" s="1"/>
  <c r="G97" i="22" s="1"/>
  <c r="V196" i="19"/>
  <c r="T197" i="19"/>
  <c r="X197" i="19"/>
  <c r="K197" i="19" s="1"/>
  <c r="G99" i="22" s="1"/>
  <c r="V198" i="19"/>
  <c r="W199" i="19"/>
  <c r="S199" i="19" s="1"/>
  <c r="U200" i="19"/>
  <c r="W201" i="19"/>
  <c r="S201" i="19" s="1"/>
  <c r="U202" i="19"/>
  <c r="W203" i="19"/>
  <c r="S203" i="19" s="1"/>
  <c r="T204" i="19"/>
  <c r="X204" i="19"/>
  <c r="V205" i="19"/>
  <c r="T206" i="19"/>
  <c r="X206" i="19"/>
  <c r="K206" i="19" s="1"/>
  <c r="G103" i="22" s="1"/>
  <c r="V207" i="19"/>
  <c r="T208" i="19"/>
  <c r="X208" i="19"/>
  <c r="K208" i="19" s="1"/>
  <c r="U209" i="19"/>
  <c r="W210" i="19"/>
  <c r="S210" i="19" s="1"/>
  <c r="U211" i="19"/>
  <c r="W212" i="19"/>
  <c r="S212" i="19" s="1"/>
  <c r="U213" i="19"/>
  <c r="V214" i="19"/>
  <c r="T215" i="19"/>
  <c r="X215" i="19"/>
  <c r="K215" i="19" s="1"/>
  <c r="G108" i="22" s="1"/>
  <c r="V216" i="19"/>
  <c r="T217" i="19"/>
  <c r="X217" i="19"/>
  <c r="K217" i="19" s="1"/>
  <c r="G110" i="22" s="1"/>
  <c r="V218" i="19"/>
  <c r="W219" i="19"/>
  <c r="S219" i="19" s="1"/>
  <c r="U220" i="19"/>
  <c r="W221" i="19"/>
  <c r="S221" i="19" s="1"/>
  <c r="U222" i="19"/>
  <c r="W223" i="19"/>
  <c r="S223" i="19" s="1"/>
  <c r="T224" i="19"/>
  <c r="X224" i="19"/>
  <c r="V225" i="19"/>
  <c r="T226" i="19"/>
  <c r="X226" i="19"/>
  <c r="K226" i="19" s="1"/>
  <c r="G114" i="22" s="1"/>
  <c r="V227" i="19"/>
  <c r="T228" i="19"/>
  <c r="X228" i="19"/>
  <c r="K228" i="19" s="1"/>
  <c r="U229" i="19"/>
  <c r="W230" i="19"/>
  <c r="S230" i="19" s="1"/>
  <c r="U231" i="19"/>
  <c r="W232" i="19"/>
  <c r="S232" i="19" s="1"/>
  <c r="U233" i="19"/>
  <c r="V234" i="19"/>
  <c r="T235" i="19"/>
  <c r="X235" i="19"/>
  <c r="K235" i="19" s="1"/>
  <c r="G117" i="22" s="1"/>
  <c r="V236" i="19"/>
  <c r="T237" i="19"/>
  <c r="X237" i="19"/>
  <c r="K237" i="19" s="1"/>
  <c r="V238" i="19"/>
  <c r="W239" i="19"/>
  <c r="S239" i="19" s="1"/>
  <c r="U240" i="19"/>
  <c r="W241" i="19"/>
  <c r="S241" i="19" s="1"/>
  <c r="U242" i="19"/>
  <c r="W243" i="19"/>
  <c r="S243" i="19" s="1"/>
  <c r="T244" i="19"/>
  <c r="X244" i="19"/>
  <c r="V245" i="19"/>
  <c r="T246" i="19"/>
  <c r="X246" i="19"/>
  <c r="K246" i="19" s="1"/>
  <c r="G123" i="22" s="1"/>
  <c r="V247" i="19"/>
  <c r="T248" i="19"/>
  <c r="X248" i="19"/>
  <c r="K248" i="19" s="1"/>
  <c r="U249" i="19"/>
  <c r="W250" i="19"/>
  <c r="S250" i="19" s="1"/>
  <c r="U251" i="19"/>
  <c r="W252" i="19"/>
  <c r="S252" i="19" s="1"/>
  <c r="U253" i="19"/>
  <c r="V254" i="19"/>
  <c r="T255" i="19"/>
  <c r="X255" i="19"/>
  <c r="K255" i="19" s="1"/>
  <c r="G125" i="22" s="1"/>
  <c r="V256" i="19"/>
  <c r="T257" i="19"/>
  <c r="X257" i="19"/>
  <c r="K257" i="19" s="1"/>
  <c r="G127" i="22" s="1"/>
  <c r="V258" i="19"/>
  <c r="W259" i="19"/>
  <c r="S259" i="19" s="1"/>
  <c r="U260" i="19"/>
  <c r="W261" i="19"/>
  <c r="S261" i="19" s="1"/>
  <c r="U262" i="19"/>
  <c r="W263" i="19"/>
  <c r="S263" i="19" s="1"/>
  <c r="T264" i="19"/>
  <c r="X264" i="19"/>
  <c r="V265" i="19"/>
  <c r="V266" i="19"/>
  <c r="W267" i="19"/>
  <c r="S267" i="19" s="1"/>
  <c r="T270" i="19"/>
  <c r="T272" i="19"/>
  <c r="W276" i="19"/>
  <c r="S276" i="19" s="1"/>
  <c r="T279" i="19"/>
  <c r="T10" i="19"/>
  <c r="X10" i="19"/>
  <c r="V11" i="19"/>
  <c r="T12" i="19"/>
  <c r="X12" i="19"/>
  <c r="K12" i="19" s="1"/>
  <c r="V13" i="19"/>
  <c r="W14" i="19"/>
  <c r="S14" i="19" s="1"/>
  <c r="U15" i="19"/>
  <c r="W16" i="19"/>
  <c r="S16" i="19" s="1"/>
  <c r="U17" i="19"/>
  <c r="W18" i="19"/>
  <c r="S18" i="19" s="1"/>
  <c r="T19" i="19"/>
  <c r="X19" i="19"/>
  <c r="V20" i="19"/>
  <c r="T21" i="19"/>
  <c r="X21" i="19"/>
  <c r="K21" i="19" s="1"/>
  <c r="G16" i="22" s="1"/>
  <c r="V22" i="19"/>
  <c r="T23" i="19"/>
  <c r="X23" i="19"/>
  <c r="K23" i="19" s="1"/>
  <c r="U24" i="19"/>
  <c r="W25" i="19"/>
  <c r="S25" i="19" s="1"/>
  <c r="U26" i="19"/>
  <c r="W27" i="19"/>
  <c r="S27" i="19" s="1"/>
  <c r="U28" i="19"/>
  <c r="V29" i="19"/>
  <c r="T30" i="19"/>
  <c r="X30" i="19"/>
  <c r="K30" i="19" s="1"/>
  <c r="G21" i="22" s="1"/>
  <c r="V31" i="19"/>
  <c r="T32" i="19"/>
  <c r="X32" i="19"/>
  <c r="K32" i="19" s="1"/>
  <c r="V33" i="19"/>
  <c r="W34" i="19"/>
  <c r="S34" i="19" s="1"/>
  <c r="U35" i="19"/>
  <c r="W36" i="19"/>
  <c r="S36" i="19" s="1"/>
  <c r="U37" i="19"/>
  <c r="W38" i="19"/>
  <c r="S38" i="19" s="1"/>
  <c r="T39" i="19"/>
  <c r="X39" i="19"/>
  <c r="V40" i="19"/>
  <c r="T41" i="19"/>
  <c r="X41" i="19"/>
  <c r="K41" i="19" s="1"/>
  <c r="G25" i="22" s="1"/>
  <c r="V42" i="19"/>
  <c r="T43" i="19"/>
  <c r="X43" i="19"/>
  <c r="K43" i="19" s="1"/>
  <c r="U44" i="19"/>
  <c r="W45" i="19"/>
  <c r="S45" i="19" s="1"/>
  <c r="U46" i="19"/>
  <c r="W47" i="19"/>
  <c r="S47" i="19" s="1"/>
  <c r="U48" i="19"/>
  <c r="V49" i="19"/>
  <c r="T50" i="19"/>
  <c r="X50" i="19"/>
  <c r="K50" i="19" s="1"/>
  <c r="G28" i="22" s="1"/>
  <c r="V51" i="19"/>
  <c r="T52" i="19"/>
  <c r="X52" i="19"/>
  <c r="K52" i="19" s="1"/>
  <c r="V53" i="19"/>
  <c r="W54" i="19"/>
  <c r="S54" i="19" s="1"/>
  <c r="U55" i="19"/>
  <c r="W56" i="19"/>
  <c r="S56" i="19" s="1"/>
  <c r="U57" i="19"/>
  <c r="W58" i="19"/>
  <c r="S58" i="19" s="1"/>
  <c r="T59" i="19"/>
  <c r="X59" i="19"/>
  <c r="V60" i="19"/>
  <c r="T61" i="19"/>
  <c r="X61" i="19"/>
  <c r="K61" i="19" s="1"/>
  <c r="G33" i="22" s="1"/>
  <c r="V62" i="19"/>
  <c r="T63" i="19"/>
  <c r="X63" i="19"/>
  <c r="K63" i="19" s="1"/>
  <c r="U64" i="19"/>
  <c r="W65" i="19"/>
  <c r="S65" i="19" s="1"/>
  <c r="U66" i="19"/>
  <c r="W67" i="19"/>
  <c r="S67" i="19" s="1"/>
  <c r="U68" i="19"/>
  <c r="V69" i="19"/>
  <c r="T70" i="19"/>
  <c r="X70" i="19"/>
  <c r="K70" i="19" s="1"/>
  <c r="G38" i="22" s="1"/>
  <c r="V71" i="19"/>
  <c r="T72" i="19"/>
  <c r="X72" i="19"/>
  <c r="K72" i="19" s="1"/>
  <c r="V73" i="19"/>
  <c r="W74" i="19"/>
  <c r="S74" i="19" s="1"/>
  <c r="U75" i="19"/>
  <c r="W76" i="19"/>
  <c r="S76" i="19" s="1"/>
  <c r="U77" i="19"/>
  <c r="W78" i="19"/>
  <c r="S78" i="19" s="1"/>
  <c r="T79" i="19"/>
  <c r="X79" i="19"/>
  <c r="V80" i="19"/>
  <c r="T81" i="19"/>
  <c r="X81" i="19"/>
  <c r="K81" i="19" s="1"/>
  <c r="G43" i="22" s="1"/>
  <c r="V82" i="19"/>
  <c r="T83" i="19"/>
  <c r="X83" i="19"/>
  <c r="K83" i="19" s="1"/>
  <c r="U84" i="19"/>
  <c r="W85" i="19"/>
  <c r="S85" i="19" s="1"/>
  <c r="U86" i="19"/>
  <c r="W87" i="19"/>
  <c r="S87" i="19" s="1"/>
  <c r="U88" i="19"/>
  <c r="V89" i="19"/>
  <c r="T90" i="19"/>
  <c r="X90" i="19"/>
  <c r="K90" i="19" s="1"/>
  <c r="G47" i="22" s="1"/>
  <c r="V91" i="19"/>
  <c r="T92" i="19"/>
  <c r="X92" i="19"/>
  <c r="K92" i="19" s="1"/>
  <c r="V93" i="19"/>
  <c r="W94" i="19"/>
  <c r="S94" i="19" s="1"/>
  <c r="U95" i="19"/>
  <c r="W96" i="19"/>
  <c r="S96" i="19" s="1"/>
  <c r="U97" i="19"/>
  <c r="W98" i="19"/>
  <c r="S98" i="19" s="1"/>
  <c r="T99" i="19"/>
  <c r="X99" i="19"/>
  <c r="V100" i="19"/>
  <c r="T101" i="19"/>
  <c r="X101" i="19"/>
  <c r="K101" i="19" s="1"/>
  <c r="G53" i="22" s="1"/>
  <c r="V102" i="19"/>
  <c r="T103" i="19"/>
  <c r="X103" i="19"/>
  <c r="K103" i="19" s="1"/>
  <c r="U104" i="19"/>
  <c r="W105" i="19"/>
  <c r="S105" i="19" s="1"/>
  <c r="U106" i="19"/>
  <c r="W107" i="19"/>
  <c r="S107" i="19" s="1"/>
  <c r="U108" i="19"/>
  <c r="V109" i="19"/>
  <c r="T110" i="19"/>
  <c r="X110" i="19"/>
  <c r="K110" i="19" s="1"/>
  <c r="G57" i="22" s="1"/>
  <c r="V111" i="19"/>
  <c r="T112" i="19"/>
  <c r="X112" i="19"/>
  <c r="K112" i="19" s="1"/>
  <c r="G59" i="22" s="1"/>
  <c r="V113" i="19"/>
  <c r="W114" i="19"/>
  <c r="S114" i="19" s="1"/>
  <c r="U115" i="19"/>
  <c r="W116" i="19"/>
  <c r="S116" i="19" s="1"/>
  <c r="U117" i="19"/>
  <c r="W118" i="19"/>
  <c r="S118" i="19" s="1"/>
  <c r="T119" i="19"/>
  <c r="X119" i="19"/>
  <c r="V120" i="19"/>
  <c r="T121" i="19"/>
  <c r="X121" i="19"/>
  <c r="K121" i="19" s="1"/>
  <c r="G63" i="22" s="1"/>
  <c r="V122" i="19"/>
  <c r="T123" i="19"/>
  <c r="X123" i="19"/>
  <c r="K123" i="19" s="1"/>
  <c r="U124" i="19"/>
  <c r="W125" i="19"/>
  <c r="S125" i="19" s="1"/>
  <c r="U126" i="19"/>
  <c r="W127" i="19"/>
  <c r="S127" i="19" s="1"/>
  <c r="U128" i="19"/>
  <c r="V129" i="19"/>
  <c r="T130" i="19"/>
  <c r="X130" i="19"/>
  <c r="K130" i="19" s="1"/>
  <c r="G66" i="22" s="1"/>
  <c r="V131" i="19"/>
  <c r="T132" i="19"/>
  <c r="X132" i="19"/>
  <c r="K132" i="19" s="1"/>
  <c r="G68" i="22" s="1"/>
  <c r="V133" i="19"/>
  <c r="W134" i="19"/>
  <c r="S134" i="19" s="1"/>
  <c r="U135" i="19"/>
  <c r="W136" i="19"/>
  <c r="S136" i="19" s="1"/>
  <c r="U137" i="19"/>
  <c r="W138" i="19"/>
  <c r="S138" i="19" s="1"/>
  <c r="T139" i="19"/>
  <c r="X139" i="19"/>
  <c r="V140" i="19"/>
  <c r="T141" i="19"/>
  <c r="X141" i="19"/>
  <c r="K141" i="19" s="1"/>
  <c r="G71" i="22" s="1"/>
  <c r="V142" i="19"/>
  <c r="T143" i="19"/>
  <c r="X143" i="19"/>
  <c r="K143" i="19" s="1"/>
  <c r="G73" i="22" s="1"/>
  <c r="U144" i="19"/>
  <c r="W145" i="19"/>
  <c r="S145" i="19" s="1"/>
  <c r="U146" i="19"/>
  <c r="W147" i="19"/>
  <c r="S147" i="19" s="1"/>
  <c r="U148" i="19"/>
  <c r="V149" i="19"/>
  <c r="T150" i="19"/>
  <c r="X150" i="19"/>
  <c r="K150" i="19" s="1"/>
  <c r="G77" i="22" s="1"/>
  <c r="V151" i="19"/>
  <c r="T152" i="19"/>
  <c r="X152" i="19"/>
  <c r="K152" i="19" s="1"/>
  <c r="G79" i="22" s="1"/>
  <c r="V153" i="19"/>
  <c r="W154" i="19"/>
  <c r="S154" i="19" s="1"/>
  <c r="U155" i="19"/>
  <c r="W156" i="19"/>
  <c r="S156" i="19" s="1"/>
  <c r="U157" i="19"/>
  <c r="W158" i="19"/>
  <c r="S158" i="19" s="1"/>
  <c r="T159" i="19"/>
  <c r="X159" i="19"/>
  <c r="V160" i="19"/>
  <c r="T161" i="19"/>
  <c r="X161" i="19"/>
  <c r="K161" i="19" s="1"/>
  <c r="G83" i="22" s="1"/>
  <c r="V162" i="19"/>
  <c r="T163" i="19"/>
  <c r="X163" i="19"/>
  <c r="K163" i="19" s="1"/>
  <c r="U164" i="19"/>
  <c r="W165" i="19"/>
  <c r="S165" i="19" s="1"/>
  <c r="U166" i="19"/>
  <c r="W167" i="19"/>
  <c r="S167" i="19" s="1"/>
  <c r="U168" i="19"/>
  <c r="V169" i="19"/>
  <c r="T170" i="19"/>
  <c r="X170" i="19"/>
  <c r="K170" i="19" s="1"/>
  <c r="G87" i="22" s="1"/>
  <c r="V171" i="19"/>
  <c r="T172" i="19"/>
  <c r="X172" i="19"/>
  <c r="K172" i="19" s="1"/>
  <c r="V173" i="19"/>
  <c r="W174" i="19"/>
  <c r="S174" i="19" s="1"/>
  <c r="U175" i="19"/>
  <c r="W176" i="19"/>
  <c r="S176" i="19" s="1"/>
  <c r="U177" i="19"/>
  <c r="W178" i="19"/>
  <c r="S178" i="19" s="1"/>
  <c r="T179" i="19"/>
  <c r="X179" i="19"/>
  <c r="V180" i="19"/>
  <c r="T181" i="19"/>
  <c r="X181" i="19"/>
  <c r="K181" i="19" s="1"/>
  <c r="V182" i="19"/>
  <c r="T183" i="19"/>
  <c r="X183" i="19"/>
  <c r="K183" i="19" s="1"/>
  <c r="U184" i="19"/>
  <c r="W185" i="19"/>
  <c r="S185" i="19" s="1"/>
  <c r="U186" i="19"/>
  <c r="W187" i="19"/>
  <c r="S187" i="19" s="1"/>
  <c r="U188" i="19"/>
  <c r="V189" i="19"/>
  <c r="T190" i="19"/>
  <c r="X190" i="19"/>
  <c r="K190" i="19" s="1"/>
  <c r="G95" i="22" s="1"/>
  <c r="V191" i="19"/>
  <c r="T192" i="19"/>
  <c r="X192" i="19"/>
  <c r="K192" i="19" s="1"/>
  <c r="V193" i="19"/>
  <c r="W194" i="19"/>
  <c r="S194" i="19" s="1"/>
  <c r="U195" i="19"/>
  <c r="W196" i="19"/>
  <c r="S196" i="19" s="1"/>
  <c r="U197" i="19"/>
  <c r="W198" i="19"/>
  <c r="S198" i="19" s="1"/>
  <c r="T199" i="19"/>
  <c r="X199" i="19"/>
  <c r="V200" i="19"/>
  <c r="T201" i="19"/>
  <c r="X201" i="19"/>
  <c r="K201" i="19" s="1"/>
  <c r="G101" i="22" s="1"/>
  <c r="V202" i="19"/>
  <c r="T203" i="19"/>
  <c r="X203" i="19"/>
  <c r="K203" i="19" s="1"/>
  <c r="U204" i="19"/>
  <c r="W205" i="19"/>
  <c r="S205" i="19" s="1"/>
  <c r="U206" i="19"/>
  <c r="W207" i="19"/>
  <c r="S207" i="19" s="1"/>
  <c r="U208" i="19"/>
  <c r="V209" i="19"/>
  <c r="T210" i="19"/>
  <c r="X210" i="19"/>
  <c r="K210" i="19" s="1"/>
  <c r="G105" i="22" s="1"/>
  <c r="V211" i="19"/>
  <c r="T212" i="19"/>
  <c r="X212" i="19"/>
  <c r="K212" i="19" s="1"/>
  <c r="G107" i="22" s="1"/>
  <c r="V213" i="19"/>
  <c r="W214" i="19"/>
  <c r="S214" i="19" s="1"/>
  <c r="U215" i="19"/>
  <c r="W216" i="19"/>
  <c r="S216" i="19" s="1"/>
  <c r="U217" i="19"/>
  <c r="W218" i="19"/>
  <c r="S218" i="19" s="1"/>
  <c r="T219" i="19"/>
  <c r="X219" i="19"/>
  <c r="V220" i="19"/>
  <c r="T221" i="19"/>
  <c r="X221" i="19"/>
  <c r="K221" i="19" s="1"/>
  <c r="G112" i="22" s="1"/>
  <c r="V222" i="19"/>
  <c r="T223" i="19"/>
  <c r="X223" i="19"/>
  <c r="K223" i="19" s="1"/>
  <c r="U224" i="19"/>
  <c r="W225" i="19"/>
  <c r="S225" i="19" s="1"/>
  <c r="U226" i="19"/>
  <c r="W227" i="19"/>
  <c r="S227" i="19" s="1"/>
  <c r="U228" i="19"/>
  <c r="V229" i="19"/>
  <c r="T230" i="19"/>
  <c r="X230" i="19"/>
  <c r="K230" i="19" s="1"/>
  <c r="G115" i="22" s="1"/>
  <c r="V231" i="19"/>
  <c r="T232" i="19"/>
  <c r="X232" i="19"/>
  <c r="K232" i="19" s="1"/>
  <c r="V233" i="19"/>
  <c r="W234" i="19"/>
  <c r="S234" i="19" s="1"/>
  <c r="U235" i="19"/>
  <c r="W236" i="19"/>
  <c r="S236" i="19" s="1"/>
  <c r="U237" i="19"/>
  <c r="W238" i="19"/>
  <c r="S238" i="19" s="1"/>
  <c r="T239" i="19"/>
  <c r="X239" i="19"/>
  <c r="V240" i="19"/>
  <c r="T241" i="19"/>
  <c r="X241" i="19"/>
  <c r="K241" i="19" s="1"/>
  <c r="G120" i="22" s="1"/>
  <c r="V242" i="19"/>
  <c r="T243" i="19"/>
  <c r="X243" i="19"/>
  <c r="K243" i="19" s="1"/>
  <c r="U244" i="19"/>
  <c r="W245" i="19"/>
  <c r="S245" i="19" s="1"/>
  <c r="U246" i="19"/>
  <c r="W247" i="19"/>
  <c r="S247" i="19" s="1"/>
  <c r="U248" i="19"/>
  <c r="V249" i="19"/>
  <c r="T250" i="19"/>
  <c r="X250" i="19"/>
  <c r="K250" i="19" s="1"/>
  <c r="G124" i="22" s="1"/>
  <c r="V251" i="19"/>
  <c r="T252" i="19"/>
  <c r="X252" i="19"/>
  <c r="K252" i="19" s="1"/>
  <c r="V253" i="19"/>
  <c r="W254" i="19"/>
  <c r="S254" i="19" s="1"/>
  <c r="U255" i="19"/>
  <c r="W256" i="19"/>
  <c r="S256" i="19" s="1"/>
  <c r="U257" i="19"/>
  <c r="W258" i="19"/>
  <c r="S258" i="19" s="1"/>
  <c r="T259" i="19"/>
  <c r="X259" i="19"/>
  <c r="V260" i="19"/>
  <c r="T261" i="19"/>
  <c r="X261" i="19"/>
  <c r="K261" i="19" s="1"/>
  <c r="G129" i="22" s="1"/>
  <c r="V262" i="19"/>
  <c r="T263" i="19"/>
  <c r="X263" i="19"/>
  <c r="K263" i="19" s="1"/>
  <c r="U264" i="19"/>
  <c r="W265" i="19"/>
  <c r="S265" i="19" s="1"/>
  <c r="X266" i="19"/>
  <c r="K266" i="19" s="1"/>
  <c r="G131" i="22" s="1"/>
  <c r="U268" i="19"/>
  <c r="X270" i="19"/>
  <c r="K270" i="19" s="1"/>
  <c r="G132" i="22" s="1"/>
  <c r="X272" i="19"/>
  <c r="K272" i="19" s="1"/>
  <c r="G134" i="22" s="1"/>
  <c r="W274" i="19"/>
  <c r="S274" i="19" s="1"/>
  <c r="U277" i="19"/>
  <c r="X279" i="19"/>
  <c r="AI10" i="13"/>
  <c r="AI14" i="13"/>
  <c r="AI18" i="13"/>
  <c r="AI22" i="13"/>
  <c r="AI26" i="13"/>
  <c r="AI30" i="13"/>
  <c r="AI34" i="13"/>
  <c r="AI38" i="13"/>
  <c r="AI42" i="13"/>
  <c r="AI46" i="13"/>
  <c r="AI50" i="13"/>
  <c r="AI54" i="13"/>
  <c r="AI55" i="13"/>
  <c r="AI66" i="13"/>
  <c r="AI56" i="13"/>
  <c r="AI78" i="13"/>
  <c r="AI82" i="13"/>
  <c r="AI90" i="13"/>
  <c r="AI442" i="13"/>
  <c r="AI438" i="13"/>
  <c r="AI434" i="13"/>
  <c r="AI430" i="13"/>
  <c r="AI426" i="13"/>
  <c r="AI443" i="13"/>
  <c r="AI439" i="13"/>
  <c r="AI437" i="13"/>
  <c r="AI435" i="13"/>
  <c r="AI433" i="13"/>
  <c r="AI431" i="13"/>
  <c r="AI429" i="13"/>
  <c r="AI427" i="13"/>
  <c r="AI425" i="13"/>
  <c r="AI423" i="13"/>
  <c r="AI420" i="13"/>
  <c r="AI416" i="13"/>
  <c r="AI412" i="13"/>
  <c r="AI408" i="13"/>
  <c r="AI404" i="13"/>
  <c r="AI400" i="13"/>
  <c r="AI396" i="13"/>
  <c r="AI392" i="13"/>
  <c r="AI388" i="13"/>
  <c r="AI384" i="13"/>
  <c r="AI380" i="13"/>
  <c r="AI376" i="13"/>
  <c r="AI372" i="13"/>
  <c r="AI368" i="13"/>
  <c r="AI364" i="13"/>
  <c r="AI360" i="13"/>
  <c r="AI355" i="13"/>
  <c r="AI444" i="13"/>
  <c r="AI440" i="13"/>
  <c r="AI419" i="13"/>
  <c r="AI415" i="13"/>
  <c r="AI411" i="13"/>
  <c r="AI407" i="13"/>
  <c r="AI403" i="13"/>
  <c r="AI399" i="13"/>
  <c r="AI395" i="13"/>
  <c r="AI391" i="13"/>
  <c r="AI387" i="13"/>
  <c r="AI421" i="13"/>
  <c r="AI417" i="13"/>
  <c r="AI413" i="13"/>
  <c r="AI409" i="13"/>
  <c r="AI422" i="13"/>
  <c r="AI418" i="13"/>
  <c r="AI414" i="13"/>
  <c r="AI410" i="13"/>
  <c r="AI406" i="13"/>
  <c r="AI405" i="13"/>
  <c r="AI401" i="13"/>
  <c r="AI397" i="13"/>
  <c r="AI393" i="13"/>
  <c r="AI389" i="13"/>
  <c r="AI385" i="13"/>
  <c r="AI358" i="13"/>
  <c r="AI353" i="13"/>
  <c r="AI352" i="13"/>
  <c r="AI349" i="13"/>
  <c r="AI345" i="13"/>
  <c r="AI341" i="13"/>
  <c r="AI337" i="13"/>
  <c r="AI333" i="13"/>
  <c r="AI329" i="13"/>
  <c r="AI325" i="13"/>
  <c r="AI321" i="13"/>
  <c r="AI317" i="13"/>
  <c r="AI313" i="13"/>
  <c r="AI309" i="13"/>
  <c r="AI305" i="13"/>
  <c r="AI301" i="13"/>
  <c r="AI297" i="13"/>
  <c r="AI293" i="13"/>
  <c r="AI445" i="13"/>
  <c r="AI432" i="13"/>
  <c r="AI424" i="13"/>
  <c r="AI402" i="13"/>
  <c r="AI398" i="13"/>
  <c r="AI394" i="13"/>
  <c r="AI390" i="13"/>
  <c r="AI386" i="13"/>
  <c r="AI383" i="13"/>
  <c r="AI381" i="13"/>
  <c r="AI379" i="13"/>
  <c r="AI377" i="13"/>
  <c r="AI375" i="13"/>
  <c r="AI373" i="13"/>
  <c r="AI371" i="13"/>
  <c r="AI369" i="13"/>
  <c r="AI367" i="13"/>
  <c r="AI365" i="13"/>
  <c r="AI363" i="13"/>
  <c r="AI361" i="13"/>
  <c r="AI359" i="13"/>
  <c r="AI350" i="13"/>
  <c r="AI346" i="13"/>
  <c r="AI342" i="13"/>
  <c r="AI338" i="13"/>
  <c r="AI334" i="13"/>
  <c r="AI330" i="13"/>
  <c r="AI326" i="13"/>
  <c r="AI441" i="13"/>
  <c r="AI436" i="13"/>
  <c r="AI428" i="13"/>
  <c r="AI382" i="13"/>
  <c r="AI374" i="13"/>
  <c r="AI366" i="13"/>
  <c r="AI356" i="13"/>
  <c r="AI348" i="13"/>
  <c r="AI331" i="13"/>
  <c r="AI357" i="13"/>
  <c r="AI343" i="13"/>
  <c r="AI340" i="13"/>
  <c r="AI339" i="13"/>
  <c r="AI327" i="13"/>
  <c r="AI324" i="13"/>
  <c r="AI319" i="13"/>
  <c r="AI354" i="13"/>
  <c r="AI344" i="13"/>
  <c r="AI336" i="13"/>
  <c r="AI335" i="13"/>
  <c r="AI328" i="13"/>
  <c r="AI332" i="13"/>
  <c r="AI323" i="13"/>
  <c r="AI312" i="13"/>
  <c r="AI307" i="13"/>
  <c r="AI306" i="13"/>
  <c r="AI295" i="13"/>
  <c r="AI294" i="13"/>
  <c r="AI378" i="13"/>
  <c r="AI322" i="13"/>
  <c r="AI318" i="13"/>
  <c r="AI314" i="13"/>
  <c r="AI311" i="13"/>
  <c r="AI310" i="13"/>
  <c r="AI304" i="13"/>
  <c r="AI300" i="13"/>
  <c r="AI370" i="13"/>
  <c r="AI351" i="13"/>
  <c r="AI320" i="13"/>
  <c r="AI316" i="13"/>
  <c r="AI315" i="13"/>
  <c r="AI362" i="13"/>
  <c r="AI347" i="13"/>
  <c r="AI308" i="13"/>
  <c r="AI299" i="13"/>
  <c r="AI289" i="13"/>
  <c r="AI285" i="13"/>
  <c r="AI281" i="13"/>
  <c r="AI277" i="13"/>
  <c r="AI273" i="13"/>
  <c r="AI303" i="13"/>
  <c r="AI288" i="13"/>
  <c r="AI286" i="13"/>
  <c r="AI282" i="13"/>
  <c r="AI278" i="13"/>
  <c r="AI274" i="13"/>
  <c r="AI270" i="13"/>
  <c r="AI296" i="13"/>
  <c r="AI290" i="13"/>
  <c r="AI287" i="13"/>
  <c r="AI283" i="13"/>
  <c r="AI279" i="13"/>
  <c r="AI275" i="13"/>
  <c r="AI271" i="13"/>
  <c r="AI302" i="13"/>
  <c r="AI298" i="13"/>
  <c r="AI292" i="13"/>
  <c r="AI291" i="13"/>
  <c r="AI284" i="13"/>
  <c r="AI280" i="13"/>
  <c r="AI276" i="13"/>
  <c r="AI268" i="13"/>
  <c r="AI267" i="13"/>
  <c r="AI265" i="13"/>
  <c r="AI261" i="13"/>
  <c r="AI257" i="13"/>
  <c r="AI253" i="13"/>
  <c r="AI249" i="13"/>
  <c r="AI245" i="13"/>
  <c r="AI241" i="13"/>
  <c r="AI237" i="13"/>
  <c r="AI233" i="13"/>
  <c r="AI229" i="13"/>
  <c r="AI225" i="13"/>
  <c r="AI221" i="13"/>
  <c r="AI217" i="13"/>
  <c r="AI213" i="13"/>
  <c r="AI209" i="13"/>
  <c r="AI266" i="13"/>
  <c r="AI262" i="13"/>
  <c r="AI258" i="13"/>
  <c r="AI254" i="13"/>
  <c r="AI250" i="13"/>
  <c r="AI246" i="13"/>
  <c r="AI242" i="13"/>
  <c r="AI238" i="13"/>
  <c r="AI234" i="13"/>
  <c r="AI230" i="13"/>
  <c r="AI226" i="13"/>
  <c r="AI222" i="13"/>
  <c r="AI218" i="13"/>
  <c r="AI214" i="13"/>
  <c r="AI210" i="13"/>
  <c r="AI206" i="13"/>
  <c r="AI202" i="13"/>
  <c r="AI272" i="13"/>
  <c r="AI263" i="13"/>
  <c r="AI259" i="13"/>
  <c r="AI255" i="13"/>
  <c r="AI251" i="13"/>
  <c r="AI247" i="13"/>
  <c r="AI243" i="13"/>
  <c r="AI269" i="13"/>
  <c r="AI264" i="13"/>
  <c r="AI260" i="13"/>
  <c r="AI256" i="13"/>
  <c r="AI252" i="13"/>
  <c r="AI248" i="13"/>
  <c r="AI244" i="13"/>
  <c r="AI240" i="13"/>
  <c r="AI236" i="13"/>
  <c r="AI232" i="13"/>
  <c r="AI228" i="13"/>
  <c r="AI224" i="13"/>
  <c r="AI220" i="13"/>
  <c r="AI216" i="13"/>
  <c r="AI239" i="13"/>
  <c r="AI235" i="13"/>
  <c r="AI215" i="13"/>
  <c r="AI212" i="13"/>
  <c r="AI211" i="13"/>
  <c r="AI205" i="13"/>
  <c r="AI195" i="13"/>
  <c r="AI191" i="13"/>
  <c r="AI187" i="13"/>
  <c r="AI183" i="13"/>
  <c r="AI179" i="13"/>
  <c r="AI175" i="13"/>
  <c r="AI171" i="13"/>
  <c r="AI167" i="13"/>
  <c r="AI163" i="13"/>
  <c r="AI223" i="13"/>
  <c r="AI219" i="13"/>
  <c r="AI208" i="13"/>
  <c r="AI204" i="13"/>
  <c r="AI203" i="13"/>
  <c r="AI200" i="13"/>
  <c r="AI196" i="13"/>
  <c r="AI192" i="13"/>
  <c r="AI188" i="13"/>
  <c r="AI184" i="13"/>
  <c r="AI180" i="13"/>
  <c r="AI176" i="13"/>
  <c r="AI199" i="13"/>
  <c r="AI197" i="13"/>
  <c r="AI193" i="13"/>
  <c r="AI189" i="13"/>
  <c r="AI185" i="13"/>
  <c r="AI181" i="13"/>
  <c r="AI177" i="13"/>
  <c r="AI173" i="13"/>
  <c r="AI169" i="13"/>
  <c r="AI165" i="13"/>
  <c r="AI231" i="13"/>
  <c r="AI227" i="13"/>
  <c r="AI207" i="13"/>
  <c r="AI201" i="13"/>
  <c r="AI198" i="13"/>
  <c r="AI194" i="13"/>
  <c r="AI190" i="13"/>
  <c r="AI186" i="13"/>
  <c r="AI182" i="13"/>
  <c r="AI178" i="13"/>
  <c r="AI174" i="13"/>
  <c r="AI170" i="13"/>
  <c r="AI166" i="13"/>
  <c r="AI168" i="13"/>
  <c r="AI159" i="13"/>
  <c r="AI155" i="13"/>
  <c r="AI151" i="13"/>
  <c r="AI147" i="13"/>
  <c r="AI143" i="13"/>
  <c r="AI139" i="13"/>
  <c r="AI135" i="13"/>
  <c r="AI131" i="13"/>
  <c r="AI127" i="13"/>
  <c r="AI123" i="13"/>
  <c r="AI119" i="13"/>
  <c r="AI115" i="13"/>
  <c r="AI111" i="13"/>
  <c r="AI107" i="13"/>
  <c r="AI103" i="13"/>
  <c r="AI99" i="13"/>
  <c r="AI95" i="13"/>
  <c r="AI91" i="13"/>
  <c r="AI87" i="13"/>
  <c r="AI83" i="13"/>
  <c r="AI79" i="13"/>
  <c r="AI75" i="13"/>
  <c r="AI71" i="13"/>
  <c r="AI67" i="13"/>
  <c r="AI63" i="13"/>
  <c r="AI59" i="13"/>
  <c r="AI156" i="13"/>
  <c r="AI152" i="13"/>
  <c r="AI148" i="13"/>
  <c r="AI144" i="13"/>
  <c r="AI140" i="13"/>
  <c r="AI136" i="13"/>
  <c r="AI132" i="13"/>
  <c r="AI128" i="13"/>
  <c r="AI124" i="13"/>
  <c r="AI120" i="13"/>
  <c r="AI116" i="13"/>
  <c r="AI112" i="13"/>
  <c r="AI108" i="13"/>
  <c r="AI104" i="13"/>
  <c r="AI100" i="13"/>
  <c r="AI96" i="13"/>
  <c r="AI92" i="13"/>
  <c r="AI88" i="13"/>
  <c r="AI84" i="13"/>
  <c r="AI80" i="13"/>
  <c r="AI76" i="13"/>
  <c r="AI72" i="13"/>
  <c r="AI68" i="13"/>
  <c r="AI64" i="13"/>
  <c r="AI60" i="13"/>
  <c r="AI172" i="13"/>
  <c r="AI164" i="13"/>
  <c r="AI157" i="13"/>
  <c r="AI153" i="13"/>
  <c r="AI149" i="13"/>
  <c r="AI145" i="13"/>
  <c r="AI141" i="13"/>
  <c r="AI137" i="13"/>
  <c r="AI133" i="13"/>
  <c r="AI129" i="13"/>
  <c r="AI125" i="13"/>
  <c r="AI121" i="13"/>
  <c r="AI117" i="13"/>
  <c r="AI113" i="13"/>
  <c r="AI109" i="13"/>
  <c r="AI105" i="13"/>
  <c r="AI101" i="13"/>
  <c r="AI97" i="13"/>
  <c r="AI93" i="13"/>
  <c r="AI89" i="13"/>
  <c r="AI85" i="13"/>
  <c r="AI81" i="13"/>
  <c r="AI77" i="13"/>
  <c r="AI73" i="13"/>
  <c r="AI69" i="13"/>
  <c r="AI65" i="13"/>
  <c r="AI61" i="13"/>
  <c r="AI57" i="13"/>
  <c r="AI162" i="13"/>
  <c r="AI161" i="13"/>
  <c r="AI160" i="13"/>
  <c r="AI158" i="13"/>
  <c r="AI154" i="13"/>
  <c r="AI150" i="13"/>
  <c r="AI146" i="13"/>
  <c r="AI142" i="13"/>
  <c r="AI138" i="13"/>
  <c r="AI134" i="13"/>
  <c r="AI130" i="13"/>
  <c r="AI126" i="13"/>
  <c r="AI122" i="13"/>
  <c r="AI118" i="13"/>
  <c r="AI114" i="13"/>
  <c r="AI110" i="13"/>
  <c r="AI106" i="13"/>
  <c r="AI8" i="13"/>
  <c r="AI12" i="13"/>
  <c r="AI16" i="13"/>
  <c r="AI20" i="13"/>
  <c r="AI24" i="13"/>
  <c r="AI28" i="13"/>
  <c r="AI32" i="13"/>
  <c r="AI36" i="13"/>
  <c r="AI40" i="13"/>
  <c r="AI44" i="13"/>
  <c r="AI48" i="13"/>
  <c r="AI52" i="13"/>
  <c r="AI58" i="13"/>
  <c r="AI62" i="13"/>
  <c r="AI86" i="13"/>
  <c r="AI94" i="13"/>
  <c r="AI98" i="13"/>
  <c r="AI11" i="13"/>
  <c r="AI15" i="13"/>
  <c r="AI19" i="13"/>
  <c r="AI23" i="13"/>
  <c r="AI27" i="13"/>
  <c r="AI31" i="13"/>
  <c r="AI35" i="13"/>
  <c r="AI39" i="13"/>
  <c r="AI43" i="13"/>
  <c r="AI47" i="13"/>
  <c r="AI51" i="13"/>
  <c r="AI70" i="13"/>
  <c r="AI74" i="13"/>
  <c r="AI102" i="13"/>
  <c r="W1765" i="19" l="1"/>
  <c r="S10" i="19"/>
  <c r="X1765" i="19"/>
  <c r="B491" i="17"/>
  <c r="H490" i="17"/>
  <c r="O174" i="13"/>
  <c r="O206" i="13"/>
  <c r="O238" i="13"/>
  <c r="O161" i="13"/>
  <c r="O193" i="13"/>
  <c r="O225" i="13"/>
  <c r="O278" i="13"/>
  <c r="O281" i="13"/>
  <c r="O276" i="13"/>
  <c r="O275" i="13"/>
  <c r="O327" i="13"/>
  <c r="O326" i="13"/>
  <c r="O301" i="13"/>
  <c r="O333" i="13"/>
  <c r="O300" i="13"/>
  <c r="O332" i="13"/>
  <c r="O344" i="13"/>
  <c r="O345" i="13"/>
  <c r="O53" i="13"/>
  <c r="O21" i="13"/>
  <c r="O58" i="13"/>
  <c r="O26" i="13"/>
  <c r="O103" i="13"/>
  <c r="O78" i="13"/>
  <c r="O110" i="13"/>
  <c r="O142" i="13"/>
  <c r="O89" i="13"/>
  <c r="O121" i="13"/>
  <c r="O153" i="13"/>
  <c r="O156" i="13"/>
  <c r="O188" i="13"/>
  <c r="O220" i="13"/>
  <c r="O252" i="13"/>
  <c r="O175" i="13"/>
  <c r="O207" i="13"/>
  <c r="O239" i="13"/>
  <c r="O178" i="13"/>
  <c r="O210" i="13"/>
  <c r="O242" i="13"/>
  <c r="O165" i="13"/>
  <c r="O197" i="13"/>
  <c r="O229" i="13"/>
  <c r="O282" i="13"/>
  <c r="O285" i="13"/>
  <c r="O280" i="13"/>
  <c r="O279" i="13"/>
  <c r="O298" i="13"/>
  <c r="O331" i="13"/>
  <c r="O330" i="13"/>
  <c r="O305" i="13"/>
  <c r="O337" i="13"/>
  <c r="O304" i="13"/>
  <c r="O336" i="13"/>
  <c r="O348" i="13"/>
  <c r="O338" i="13"/>
  <c r="O349" i="13"/>
  <c r="O49" i="13"/>
  <c r="O17" i="13"/>
  <c r="O54" i="13"/>
  <c r="O22" i="13"/>
  <c r="O19" i="13"/>
  <c r="O124" i="13"/>
  <c r="O131" i="13"/>
  <c r="O149" i="13"/>
  <c r="O48" i="13"/>
  <c r="O128" i="13"/>
  <c r="O132" i="13"/>
  <c r="O75" i="13"/>
  <c r="O125" i="13"/>
  <c r="O160" i="13"/>
  <c r="O192" i="13"/>
  <c r="O224" i="13"/>
  <c r="O179" i="13"/>
  <c r="O211" i="13"/>
  <c r="O243" i="13"/>
  <c r="O182" i="13"/>
  <c r="O214" i="13"/>
  <c r="O246" i="13"/>
  <c r="O169" i="13"/>
  <c r="O201" i="13"/>
  <c r="O233" i="13"/>
  <c r="O254" i="13"/>
  <c r="O286" i="13"/>
  <c r="O257" i="13"/>
  <c r="O289" i="13"/>
  <c r="O284" i="13"/>
  <c r="O283" i="13"/>
  <c r="O335" i="13"/>
  <c r="O334" i="13"/>
  <c r="O309" i="13"/>
  <c r="O308" i="13"/>
  <c r="O352" i="13"/>
  <c r="O342" i="13"/>
  <c r="O353" i="13"/>
  <c r="O45" i="13"/>
  <c r="O13" i="13"/>
  <c r="O50" i="13"/>
  <c r="O18" i="13"/>
  <c r="O52" i="13"/>
  <c r="O138" i="13"/>
  <c r="O85" i="13"/>
  <c r="O15" i="13"/>
  <c r="O71" i="13"/>
  <c r="O135" i="13"/>
  <c r="O11" i="13"/>
  <c r="O93" i="13"/>
  <c r="O72" i="13"/>
  <c r="O104" i="13"/>
  <c r="O136" i="13"/>
  <c r="O79" i="13"/>
  <c r="O111" i="13"/>
  <c r="O143" i="13"/>
  <c r="O86" i="13"/>
  <c r="O118" i="13"/>
  <c r="O150" i="13"/>
  <c r="O65" i="13"/>
  <c r="O97" i="13"/>
  <c r="O129" i="13"/>
  <c r="O164" i="13"/>
  <c r="O196" i="13"/>
  <c r="O228" i="13"/>
  <c r="O183" i="13"/>
  <c r="O215" i="13"/>
  <c r="O247" i="13"/>
  <c r="O186" i="13"/>
  <c r="O218" i="13"/>
  <c r="O250" i="13"/>
  <c r="O173" i="13"/>
  <c r="O205" i="13"/>
  <c r="O237" i="13"/>
  <c r="O258" i="13"/>
  <c r="O290" i="13"/>
  <c r="O261" i="13"/>
  <c r="O293" i="13"/>
  <c r="O256" i="13"/>
  <c r="O288" i="13"/>
  <c r="O255" i="13"/>
  <c r="O287" i="13"/>
  <c r="O307" i="13"/>
  <c r="O339" i="13"/>
  <c r="O306" i="13"/>
  <c r="O313" i="13"/>
  <c r="O312" i="13"/>
  <c r="O356" i="13"/>
  <c r="O346" i="13"/>
  <c r="O357" i="13"/>
  <c r="O41" i="13"/>
  <c r="O46" i="13"/>
  <c r="O14" i="13"/>
  <c r="O60" i="13"/>
  <c r="O74" i="13"/>
  <c r="O117" i="13"/>
  <c r="O184" i="13"/>
  <c r="O171" i="13"/>
  <c r="O235" i="13"/>
  <c r="O68" i="13"/>
  <c r="O114" i="13"/>
  <c r="O61" i="13"/>
  <c r="O39" i="13"/>
  <c r="O40" i="13"/>
  <c r="O35" i="13"/>
  <c r="O36" i="13"/>
  <c r="O76" i="13"/>
  <c r="O108" i="13"/>
  <c r="O140" i="13"/>
  <c r="O83" i="13"/>
  <c r="O115" i="13"/>
  <c r="O147" i="13"/>
  <c r="O90" i="13"/>
  <c r="O122" i="13"/>
  <c r="O154" i="13"/>
  <c r="O69" i="13"/>
  <c r="O101" i="13"/>
  <c r="O133" i="13"/>
  <c r="O168" i="13"/>
  <c r="O200" i="13"/>
  <c r="O232" i="13"/>
  <c r="O253" i="13"/>
  <c r="O187" i="13"/>
  <c r="O219" i="13"/>
  <c r="O251" i="13"/>
  <c r="O158" i="13"/>
  <c r="O190" i="13"/>
  <c r="O222" i="13"/>
  <c r="O177" i="13"/>
  <c r="O209" i="13"/>
  <c r="O241" i="13"/>
  <c r="O262" i="13"/>
  <c r="O294" i="13"/>
  <c r="O265" i="13"/>
  <c r="O299" i="13"/>
  <c r="O260" i="13"/>
  <c r="O292" i="13"/>
  <c r="O259" i="13"/>
  <c r="O291" i="13"/>
  <c r="O311" i="13"/>
  <c r="O343" i="13"/>
  <c r="O310" i="13"/>
  <c r="O317" i="13"/>
  <c r="O316" i="13"/>
  <c r="O350" i="13"/>
  <c r="O37" i="13"/>
  <c r="O42" i="13"/>
  <c r="O10" i="13"/>
  <c r="O9" i="13"/>
  <c r="O248" i="13"/>
  <c r="O16" i="13"/>
  <c r="O96" i="13"/>
  <c r="O44" i="13"/>
  <c r="O107" i="13"/>
  <c r="O146" i="13"/>
  <c r="O80" i="13"/>
  <c r="O112" i="13"/>
  <c r="O87" i="13"/>
  <c r="O119" i="13"/>
  <c r="O151" i="13"/>
  <c r="O62" i="13"/>
  <c r="O94" i="13"/>
  <c r="O126" i="13"/>
  <c r="O73" i="13"/>
  <c r="O105" i="13"/>
  <c r="O137" i="13"/>
  <c r="O172" i="13"/>
  <c r="O204" i="13"/>
  <c r="O236" i="13"/>
  <c r="O191" i="13"/>
  <c r="O223" i="13"/>
  <c r="O162" i="13"/>
  <c r="O194" i="13"/>
  <c r="O226" i="13"/>
  <c r="O181" i="13"/>
  <c r="O213" i="13"/>
  <c r="O245" i="13"/>
  <c r="O266" i="13"/>
  <c r="O269" i="13"/>
  <c r="O264" i="13"/>
  <c r="O263" i="13"/>
  <c r="O295" i="13"/>
  <c r="O315" i="13"/>
  <c r="O347" i="13"/>
  <c r="O314" i="13"/>
  <c r="O321" i="13"/>
  <c r="O320" i="13"/>
  <c r="O354" i="13"/>
  <c r="O33" i="13"/>
  <c r="O38" i="13"/>
  <c r="O20" i="13"/>
  <c r="O67" i="13"/>
  <c r="O106" i="13"/>
  <c r="O216" i="13"/>
  <c r="O64" i="13"/>
  <c r="O43" i="13"/>
  <c r="O12" i="13"/>
  <c r="O100" i="13"/>
  <c r="O139" i="13"/>
  <c r="O32" i="13"/>
  <c r="O144" i="13"/>
  <c r="O59" i="13"/>
  <c r="O27" i="13"/>
  <c r="O28" i="13"/>
  <c r="O84" i="13"/>
  <c r="O116" i="13"/>
  <c r="O148" i="13"/>
  <c r="O159" i="13"/>
  <c r="O91" i="13"/>
  <c r="O123" i="13"/>
  <c r="O155" i="13"/>
  <c r="O66" i="13"/>
  <c r="O98" i="13"/>
  <c r="O130" i="13"/>
  <c r="O77" i="13"/>
  <c r="O411" i="13"/>
  <c r="O109" i="13"/>
  <c r="O141" i="13"/>
  <c r="O176" i="13"/>
  <c r="O208" i="13"/>
  <c r="O240" i="13"/>
  <c r="O163" i="13"/>
  <c r="O195" i="13"/>
  <c r="O227" i="13"/>
  <c r="O166" i="13"/>
  <c r="O198" i="13"/>
  <c r="O230" i="13"/>
  <c r="O185" i="13"/>
  <c r="O217" i="13"/>
  <c r="O249" i="13"/>
  <c r="O270" i="13"/>
  <c r="O273" i="13"/>
  <c r="O268" i="13"/>
  <c r="O267" i="13"/>
  <c r="O319" i="13"/>
  <c r="D213" i="15" s="1"/>
  <c r="E213" i="15" s="1"/>
  <c r="O351" i="13"/>
  <c r="O318" i="13"/>
  <c r="O325" i="13"/>
  <c r="O324" i="13"/>
  <c r="O358" i="13"/>
  <c r="O29" i="13"/>
  <c r="O34" i="13"/>
  <c r="O51" i="13"/>
  <c r="O92" i="13"/>
  <c r="O99" i="13"/>
  <c r="O203" i="13"/>
  <c r="O359" i="13"/>
  <c r="O47" i="13"/>
  <c r="O82" i="13"/>
  <c r="O31" i="13"/>
  <c r="O55" i="13"/>
  <c r="O23" i="13"/>
  <c r="O56" i="13"/>
  <c r="O24" i="13"/>
  <c r="O88" i="13"/>
  <c r="O120" i="13"/>
  <c r="O152" i="13"/>
  <c r="O63" i="13"/>
  <c r="O95" i="13"/>
  <c r="O127" i="13"/>
  <c r="O70" i="13"/>
  <c r="O102" i="13"/>
  <c r="O134" i="13"/>
  <c r="O81" i="13"/>
  <c r="O113" i="13"/>
  <c r="O145" i="13"/>
  <c r="O180" i="13"/>
  <c r="O212" i="13"/>
  <c r="O244" i="13"/>
  <c r="O167" i="13"/>
  <c r="O199" i="13"/>
  <c r="O231" i="13"/>
  <c r="O170" i="13"/>
  <c r="O202" i="13"/>
  <c r="O234" i="13"/>
  <c r="O157" i="13"/>
  <c r="O189" i="13"/>
  <c r="O221" i="13"/>
  <c r="O274" i="13"/>
  <c r="O296" i="13"/>
  <c r="O277" i="13"/>
  <c r="O303" i="13"/>
  <c r="O272" i="13"/>
  <c r="O271" i="13"/>
  <c r="O302" i="13"/>
  <c r="O323" i="13"/>
  <c r="O355" i="13"/>
  <c r="O322" i="13"/>
  <c r="O297" i="13"/>
  <c r="O329" i="13"/>
  <c r="O328" i="13"/>
  <c r="O340" i="13"/>
  <c r="O341" i="13"/>
  <c r="O57" i="13"/>
  <c r="O25" i="13"/>
  <c r="O30" i="13"/>
  <c r="I9" i="9"/>
  <c r="N9" i="9"/>
  <c r="L9" i="9"/>
  <c r="P9" i="9"/>
  <c r="O9" i="9"/>
  <c r="M9" i="9"/>
  <c r="Q9" i="9"/>
  <c r="K9" i="9"/>
  <c r="G12" i="8"/>
  <c r="G11" i="8"/>
  <c r="G10" i="8"/>
  <c r="G15" i="12"/>
  <c r="E9" i="9"/>
  <c r="C9" i="9"/>
  <c r="F9" i="9"/>
  <c r="H9" i="9"/>
  <c r="D9" i="9"/>
  <c r="G9" i="9"/>
  <c r="O399" i="13"/>
  <c r="O394" i="13"/>
  <c r="O360" i="13"/>
  <c r="G20" i="12"/>
  <c r="I20" i="12"/>
  <c r="J14" i="12"/>
  <c r="H9" i="12"/>
  <c r="G13" i="12"/>
  <c r="I14" i="12"/>
  <c r="I9" i="12"/>
  <c r="H14" i="12"/>
  <c r="I13" i="12"/>
  <c r="H13" i="12"/>
  <c r="J13" i="12"/>
  <c r="G14" i="12"/>
  <c r="J16" i="12"/>
  <c r="I15" i="12"/>
  <c r="J15" i="12"/>
  <c r="G16" i="12"/>
  <c r="F9" i="12"/>
  <c r="I16" i="12"/>
  <c r="H15" i="12"/>
  <c r="F16" i="12"/>
  <c r="F15" i="12"/>
  <c r="F13" i="12"/>
  <c r="H16" i="12"/>
  <c r="G9" i="12"/>
  <c r="F14" i="12"/>
  <c r="Y11" i="7"/>
  <c r="AH13" i="7"/>
  <c r="AG12" i="7"/>
  <c r="AG11" i="7"/>
  <c r="AH12" i="7"/>
  <c r="AH11" i="7"/>
  <c r="AG13" i="7"/>
  <c r="B5" i="9"/>
  <c r="G19" i="12"/>
  <c r="I19" i="12"/>
  <c r="O370" i="13"/>
  <c r="H19" i="12"/>
  <c r="W11" i="7"/>
  <c r="V12" i="7"/>
  <c r="AA13" i="7"/>
  <c r="X11" i="7"/>
  <c r="AA12" i="7"/>
  <c r="X13" i="7"/>
  <c r="Y12" i="7"/>
  <c r="J19" i="12"/>
  <c r="Y13" i="7"/>
  <c r="X12" i="7"/>
  <c r="V11" i="7"/>
  <c r="AE11" i="7"/>
  <c r="AC12" i="7"/>
  <c r="AF11" i="7"/>
  <c r="AD12" i="7"/>
  <c r="AF13" i="7"/>
  <c r="AC13" i="7"/>
  <c r="W12" i="7"/>
  <c r="W13" i="7"/>
  <c r="AC11" i="7"/>
  <c r="AF12" i="7"/>
  <c r="Z13" i="7"/>
  <c r="AD11" i="7"/>
  <c r="AA11" i="7"/>
  <c r="AE12" i="7"/>
  <c r="AE13" i="7"/>
  <c r="C14" i="8"/>
  <c r="O417" i="13"/>
  <c r="O373" i="13"/>
  <c r="O425" i="13"/>
  <c r="H20" i="12"/>
  <c r="F19" i="12"/>
  <c r="C12" i="8"/>
  <c r="C10" i="8"/>
  <c r="C11" i="8"/>
  <c r="O395" i="13"/>
  <c r="Z12" i="7"/>
  <c r="V13" i="7"/>
  <c r="AB12" i="7"/>
  <c r="Z11" i="7"/>
  <c r="AB13" i="7"/>
  <c r="AB11" i="7"/>
  <c r="AD13" i="7"/>
  <c r="O366" i="13"/>
  <c r="O385" i="13"/>
  <c r="O386" i="13"/>
  <c r="O384" i="13"/>
  <c r="O393" i="13"/>
  <c r="O364" i="13"/>
  <c r="O413" i="13"/>
  <c r="O415" i="13"/>
  <c r="O365" i="13"/>
  <c r="O397" i="13"/>
  <c r="O407" i="13"/>
  <c r="O398" i="13"/>
  <c r="O372" i="13"/>
  <c r="O389" i="13"/>
  <c r="O392" i="13"/>
  <c r="O375" i="13"/>
  <c r="O387" i="13"/>
  <c r="O402" i="13"/>
  <c r="O369" i="13"/>
  <c r="O363" i="13"/>
  <c r="O383" i="13"/>
  <c r="O423" i="13"/>
  <c r="O429" i="13"/>
  <c r="O428" i="13"/>
  <c r="O379" i="13"/>
  <c r="O378" i="13"/>
  <c r="O434" i="13"/>
  <c r="O418" i="13"/>
  <c r="O424" i="13"/>
  <c r="O435" i="13"/>
  <c r="O371" i="13"/>
  <c r="O443" i="13"/>
  <c r="O391" i="13"/>
  <c r="O441" i="13"/>
  <c r="O410" i="13"/>
  <c r="O403" i="13"/>
  <c r="O409" i="13"/>
  <c r="O430" i="13"/>
  <c r="O432" i="13"/>
  <c r="O376" i="13"/>
  <c r="O412" i="13"/>
  <c r="O408" i="13"/>
  <c r="O374" i="13"/>
  <c r="O390" i="13"/>
  <c r="O400" i="13"/>
  <c r="I52" i="13"/>
  <c r="G34" i="15" s="1"/>
  <c r="K234" i="19"/>
  <c r="H51" i="10" s="1"/>
  <c r="I36" i="13"/>
  <c r="K154" i="19"/>
  <c r="H35" i="10" s="1"/>
  <c r="I437" i="13"/>
  <c r="O420" i="13"/>
  <c r="I20" i="13"/>
  <c r="K74" i="19"/>
  <c r="I443" i="13"/>
  <c r="I53" i="13"/>
  <c r="G35" i="15" s="1"/>
  <c r="K239" i="19"/>
  <c r="I37" i="13"/>
  <c r="G25" i="15" s="1"/>
  <c r="K159" i="19"/>
  <c r="H36" i="10" s="1"/>
  <c r="I436" i="13"/>
  <c r="I445" i="13"/>
  <c r="I21" i="13"/>
  <c r="G15" i="15" s="1"/>
  <c r="K79" i="19"/>
  <c r="H20" i="10" s="1"/>
  <c r="I362" i="13"/>
  <c r="I430" i="13"/>
  <c r="I61" i="13"/>
  <c r="K279" i="19"/>
  <c r="H60" i="10" s="1"/>
  <c r="I77" i="13"/>
  <c r="K359" i="19"/>
  <c r="H76" i="10" s="1"/>
  <c r="I93" i="13"/>
  <c r="G59" i="15" s="1"/>
  <c r="K439" i="19"/>
  <c r="H92" i="10" s="1"/>
  <c r="I109" i="13"/>
  <c r="K519" i="19"/>
  <c r="H108" i="10" s="1"/>
  <c r="I410" i="13"/>
  <c r="I125" i="13"/>
  <c r="G80" i="15" s="1"/>
  <c r="K599" i="19"/>
  <c r="H124" i="10" s="1"/>
  <c r="I141" i="13"/>
  <c r="K679" i="19"/>
  <c r="H140" i="10" s="1"/>
  <c r="I394" i="13"/>
  <c r="I68" i="13"/>
  <c r="G43" i="15" s="1"/>
  <c r="K314" i="19"/>
  <c r="H67" i="10" s="1"/>
  <c r="I84" i="13"/>
  <c r="G53" i="15" s="1"/>
  <c r="K394" i="19"/>
  <c r="H83" i="10" s="1"/>
  <c r="I100" i="13"/>
  <c r="G64" i="15" s="1"/>
  <c r="K474" i="19"/>
  <c r="H99" i="10" s="1"/>
  <c r="I116" i="13"/>
  <c r="K554" i="19"/>
  <c r="H115" i="10" s="1"/>
  <c r="Y115" i="10" s="1"/>
  <c r="I384" i="13"/>
  <c r="I132" i="13"/>
  <c r="G83" i="15" s="1"/>
  <c r="K634" i="19"/>
  <c r="H131" i="10" s="1"/>
  <c r="I148" i="13"/>
  <c r="G93" i="15" s="1"/>
  <c r="K714" i="19"/>
  <c r="H147" i="10" s="1"/>
  <c r="I391" i="13"/>
  <c r="I75" i="13"/>
  <c r="G48" i="15" s="1"/>
  <c r="K349" i="19"/>
  <c r="H74" i="10" s="1"/>
  <c r="I375" i="13"/>
  <c r="I91" i="13"/>
  <c r="K429" i="19"/>
  <c r="H90" i="10" s="1"/>
  <c r="I107" i="13"/>
  <c r="G71" i="15" s="1"/>
  <c r="K509" i="19"/>
  <c r="H106" i="10" s="1"/>
  <c r="I123" i="13"/>
  <c r="K589" i="19"/>
  <c r="H122" i="10" s="1"/>
  <c r="I139" i="13"/>
  <c r="K669" i="19"/>
  <c r="H138" i="10" s="1"/>
  <c r="I155" i="13"/>
  <c r="K749" i="19"/>
  <c r="I434" i="13"/>
  <c r="O414" i="13"/>
  <c r="I70" i="13"/>
  <c r="G44" i="15" s="1"/>
  <c r="K324" i="19"/>
  <c r="H69" i="10" s="1"/>
  <c r="O380" i="13"/>
  <c r="I86" i="13"/>
  <c r="G55" i="15" s="1"/>
  <c r="K404" i="19"/>
  <c r="H85" i="10" s="1"/>
  <c r="I102" i="13"/>
  <c r="G66" i="15" s="1"/>
  <c r="K484" i="19"/>
  <c r="H101" i="10" s="1"/>
  <c r="I118" i="13"/>
  <c r="G77" i="15" s="1"/>
  <c r="K564" i="19"/>
  <c r="H117" i="10" s="1"/>
  <c r="I134" i="13"/>
  <c r="G84" i="15" s="1"/>
  <c r="K644" i="19"/>
  <c r="H133" i="10" s="1"/>
  <c r="I150" i="13"/>
  <c r="K724" i="19"/>
  <c r="H149" i="10" s="1"/>
  <c r="I169" i="13"/>
  <c r="G109" i="15" s="1"/>
  <c r="K819" i="19"/>
  <c r="H168" i="10" s="1"/>
  <c r="I185" i="13"/>
  <c r="G124" i="15" s="1"/>
  <c r="K899" i="19"/>
  <c r="H184" i="10" s="1"/>
  <c r="I201" i="13"/>
  <c r="K979" i="19"/>
  <c r="H200" i="10" s="1"/>
  <c r="I217" i="13"/>
  <c r="G142" i="15" s="1"/>
  <c r="K1059" i="19"/>
  <c r="H216" i="10" s="1"/>
  <c r="I233" i="13"/>
  <c r="G155" i="15" s="1"/>
  <c r="K1139" i="19"/>
  <c r="H232" i="10" s="1"/>
  <c r="I249" i="13"/>
  <c r="G165" i="15" s="1"/>
  <c r="K1219" i="19"/>
  <c r="H248" i="10" s="1"/>
  <c r="I254" i="13"/>
  <c r="K1244" i="19"/>
  <c r="H253" i="10" s="1"/>
  <c r="I172" i="13"/>
  <c r="G112" i="15" s="1"/>
  <c r="K834" i="19"/>
  <c r="H171" i="10" s="1"/>
  <c r="I188" i="13"/>
  <c r="G125" i="15" s="1"/>
  <c r="K914" i="19"/>
  <c r="H187" i="10" s="1"/>
  <c r="I204" i="13"/>
  <c r="G134" i="15" s="1"/>
  <c r="K994" i="19"/>
  <c r="H203" i="10" s="1"/>
  <c r="I220" i="13"/>
  <c r="G145" i="15" s="1"/>
  <c r="K1074" i="19"/>
  <c r="H219" i="10" s="1"/>
  <c r="I236" i="13"/>
  <c r="G157" i="15" s="1"/>
  <c r="K1154" i="19"/>
  <c r="H235" i="10" s="1"/>
  <c r="I252" i="13"/>
  <c r="K1234" i="19"/>
  <c r="H251" i="10" s="1"/>
  <c r="I159" i="13"/>
  <c r="G100" i="15" s="1"/>
  <c r="K769" i="19"/>
  <c r="I175" i="13"/>
  <c r="G114" i="15" s="1"/>
  <c r="K849" i="19"/>
  <c r="I191" i="13"/>
  <c r="G127" i="15" s="1"/>
  <c r="K929" i="19"/>
  <c r="H190" i="10" s="1"/>
  <c r="I207" i="13"/>
  <c r="K1009" i="19"/>
  <c r="I359" i="13"/>
  <c r="I223" i="13"/>
  <c r="K1089" i="19"/>
  <c r="I239" i="13"/>
  <c r="K1169" i="19"/>
  <c r="H238" i="10" s="1"/>
  <c r="I162" i="13"/>
  <c r="G103" i="15" s="1"/>
  <c r="K784" i="19"/>
  <c r="H161" i="10" s="1"/>
  <c r="I178" i="13"/>
  <c r="G117" i="15" s="1"/>
  <c r="K864" i="19"/>
  <c r="H177" i="10" s="1"/>
  <c r="I194" i="13"/>
  <c r="G130" i="15" s="1"/>
  <c r="K944" i="19"/>
  <c r="I210" i="13"/>
  <c r="K1024" i="19"/>
  <c r="H209" i="10" s="1"/>
  <c r="O388" i="13"/>
  <c r="I400" i="13"/>
  <c r="I226" i="13"/>
  <c r="G150" i="15" s="1"/>
  <c r="K1104" i="19"/>
  <c r="H225" i="10" s="1"/>
  <c r="I242" i="13"/>
  <c r="K1184" i="19"/>
  <c r="H241" i="10" s="1"/>
  <c r="I263" i="13"/>
  <c r="K1289" i="19"/>
  <c r="I279" i="13"/>
  <c r="G184" i="15" s="1"/>
  <c r="K1369" i="19"/>
  <c r="H278" i="10" s="1"/>
  <c r="I295" i="13"/>
  <c r="G195" i="15" s="1"/>
  <c r="K1449" i="19"/>
  <c r="H294" i="10" s="1"/>
  <c r="I266" i="13"/>
  <c r="K1304" i="19"/>
  <c r="H265" i="10" s="1"/>
  <c r="I282" i="13"/>
  <c r="G187" i="15" s="1"/>
  <c r="K1384" i="19"/>
  <c r="H281" i="10" s="1"/>
  <c r="I261" i="13"/>
  <c r="K1279" i="19"/>
  <c r="H260" i="10" s="1"/>
  <c r="I277" i="13"/>
  <c r="K1359" i="19"/>
  <c r="H276" i="10" s="1"/>
  <c r="I293" i="13"/>
  <c r="K1439" i="19"/>
  <c r="H292" i="10" s="1"/>
  <c r="I260" i="13"/>
  <c r="G174" i="15" s="1"/>
  <c r="K1274" i="19"/>
  <c r="H259" i="10" s="1"/>
  <c r="I276" i="13"/>
  <c r="G182" i="15" s="1"/>
  <c r="K1354" i="19"/>
  <c r="H275" i="10" s="1"/>
  <c r="I292" i="13"/>
  <c r="G193" i="15" s="1"/>
  <c r="K1434" i="19"/>
  <c r="H291" i="10" s="1"/>
  <c r="I312" i="13"/>
  <c r="G207" i="15" s="1"/>
  <c r="K1534" i="19"/>
  <c r="H311" i="10" s="1"/>
  <c r="I328" i="13"/>
  <c r="G219" i="15" s="1"/>
  <c r="K1614" i="19"/>
  <c r="H327" i="10" s="1"/>
  <c r="I344" i="13"/>
  <c r="G230" i="15" s="1"/>
  <c r="K1694" i="19"/>
  <c r="H343" i="10" s="1"/>
  <c r="I311" i="13"/>
  <c r="G206" i="15" s="1"/>
  <c r="K1529" i="19"/>
  <c r="I327" i="13"/>
  <c r="K1609" i="19"/>
  <c r="I302" i="13"/>
  <c r="G201" i="15" s="1"/>
  <c r="K1484" i="19"/>
  <c r="H301" i="10" s="1"/>
  <c r="I318" i="13"/>
  <c r="K1564" i="19"/>
  <c r="H317" i="10" s="1"/>
  <c r="I334" i="13"/>
  <c r="G224" i="15" s="1"/>
  <c r="K1644" i="19"/>
  <c r="H333" i="10" s="1"/>
  <c r="I301" i="13"/>
  <c r="K1479" i="19"/>
  <c r="H300" i="10" s="1"/>
  <c r="I317" i="13"/>
  <c r="G212" i="15" s="1"/>
  <c r="K1559" i="19"/>
  <c r="H316" i="10" s="1"/>
  <c r="I333" i="13"/>
  <c r="G223" i="15" s="1"/>
  <c r="K1639" i="19"/>
  <c r="H332" i="10" s="1"/>
  <c r="I345" i="13"/>
  <c r="K1699" i="19"/>
  <c r="H344" i="10" s="1"/>
  <c r="I351" i="13"/>
  <c r="G234" i="15" s="1"/>
  <c r="K1729" i="19"/>
  <c r="H350" i="10" s="1"/>
  <c r="I346" i="13"/>
  <c r="K1704" i="19"/>
  <c r="H345" i="10" s="1"/>
  <c r="I54" i="13"/>
  <c r="K244" i="19"/>
  <c r="H53" i="10" s="1"/>
  <c r="I377" i="13"/>
  <c r="O442" i="13"/>
  <c r="I38" i="13"/>
  <c r="G26" i="15" s="1"/>
  <c r="K164" i="19"/>
  <c r="H37" i="10" s="1"/>
  <c r="I419" i="13"/>
  <c r="O422" i="13"/>
  <c r="I433" i="13"/>
  <c r="I22" i="13"/>
  <c r="K84" i="19"/>
  <c r="H21" i="10" s="1"/>
  <c r="I426" i="13"/>
  <c r="O361" i="13"/>
  <c r="I444" i="13"/>
  <c r="I47" i="13"/>
  <c r="G30" i="15" s="1"/>
  <c r="K209" i="19"/>
  <c r="I398" i="13"/>
  <c r="O404" i="13"/>
  <c r="I418" i="13"/>
  <c r="I31" i="13"/>
  <c r="G21" i="15" s="1"/>
  <c r="K129" i="19"/>
  <c r="I420" i="13"/>
  <c r="O396" i="13"/>
  <c r="I15" i="13"/>
  <c r="G12" i="15" s="1"/>
  <c r="K49" i="19"/>
  <c r="I360" i="13"/>
  <c r="I60" i="13"/>
  <c r="K274" i="19"/>
  <c r="H59" i="10" s="1"/>
  <c r="I372" i="13"/>
  <c r="I48" i="13"/>
  <c r="G31" i="15" s="1"/>
  <c r="K214" i="19"/>
  <c r="H47" i="10" s="1"/>
  <c r="I424" i="13"/>
  <c r="I32" i="13"/>
  <c r="G22" i="15" s="1"/>
  <c r="K134" i="19"/>
  <c r="H31" i="10" s="1"/>
  <c r="I365" i="13"/>
  <c r="I16" i="13"/>
  <c r="G13" i="15" s="1"/>
  <c r="K54" i="19"/>
  <c r="H15" i="10" s="1"/>
  <c r="I435" i="13"/>
  <c r="I49" i="13"/>
  <c r="K219" i="19"/>
  <c r="H48" i="10" s="1"/>
  <c r="I442" i="13"/>
  <c r="I33" i="13"/>
  <c r="G23" i="15" s="1"/>
  <c r="K139" i="19"/>
  <c r="H32" i="10" s="1"/>
  <c r="I422" i="13"/>
  <c r="I17" i="13"/>
  <c r="G14" i="15" s="1"/>
  <c r="K59" i="19"/>
  <c r="H16" i="10" s="1"/>
  <c r="I361" i="13"/>
  <c r="O8" i="13"/>
  <c r="I65" i="13"/>
  <c r="K299" i="19"/>
  <c r="H64" i="10" s="1"/>
  <c r="I414" i="13"/>
  <c r="I380" i="13"/>
  <c r="I81" i="13"/>
  <c r="G52" i="15" s="1"/>
  <c r="K379" i="19"/>
  <c r="H80" i="10" s="1"/>
  <c r="I411" i="13"/>
  <c r="I97" i="13"/>
  <c r="K459" i="19"/>
  <c r="H96" i="10" s="1"/>
  <c r="I113" i="13"/>
  <c r="K539" i="19"/>
  <c r="H112" i="10" s="1"/>
  <c r="I403" i="13"/>
  <c r="I129" i="13"/>
  <c r="G82" i="15" s="1"/>
  <c r="K619" i="19"/>
  <c r="H128" i="10" s="1"/>
  <c r="I145" i="13"/>
  <c r="G91" i="15" s="1"/>
  <c r="K699" i="19"/>
  <c r="H144" i="10" s="1"/>
  <c r="I395" i="13"/>
  <c r="I156" i="13"/>
  <c r="G97" i="15" s="1"/>
  <c r="K754" i="19"/>
  <c r="H155" i="10" s="1"/>
  <c r="I72" i="13"/>
  <c r="G46" i="15" s="1"/>
  <c r="K334" i="19"/>
  <c r="H71" i="10" s="1"/>
  <c r="I373" i="13"/>
  <c r="I88" i="13"/>
  <c r="K414" i="19"/>
  <c r="H87" i="10" s="1"/>
  <c r="I104" i="13"/>
  <c r="G68" i="15" s="1"/>
  <c r="K494" i="19"/>
  <c r="H103" i="10" s="1"/>
  <c r="I120" i="13"/>
  <c r="K574" i="19"/>
  <c r="H119" i="10" s="1"/>
  <c r="I417" i="13"/>
  <c r="I136" i="13"/>
  <c r="K654" i="19"/>
  <c r="H135" i="10" s="1"/>
  <c r="I152" i="13"/>
  <c r="G96" i="15" s="1"/>
  <c r="K734" i="19"/>
  <c r="H151" i="10" s="1"/>
  <c r="I63" i="13"/>
  <c r="G41" i="15" s="1"/>
  <c r="K289" i="19"/>
  <c r="H62" i="10" s="1"/>
  <c r="I386" i="13"/>
  <c r="I79" i="13"/>
  <c r="G50" i="15" s="1"/>
  <c r="K369" i="19"/>
  <c r="H78" i="10" s="1"/>
  <c r="I95" i="13"/>
  <c r="G61" i="15" s="1"/>
  <c r="K449" i="19"/>
  <c r="H94" i="10" s="1"/>
  <c r="I111" i="13"/>
  <c r="K529" i="19"/>
  <c r="H110" i="10" s="1"/>
  <c r="I127" i="13"/>
  <c r="K609" i="19"/>
  <c r="H126" i="10" s="1"/>
  <c r="I143" i="13"/>
  <c r="G89" i="15" s="1"/>
  <c r="K689" i="19"/>
  <c r="H142" i="10" s="1"/>
  <c r="I74" i="13"/>
  <c r="G47" i="15" s="1"/>
  <c r="K344" i="19"/>
  <c r="H73" i="10" s="1"/>
  <c r="O427" i="13"/>
  <c r="I90" i="13"/>
  <c r="G57" i="15" s="1"/>
  <c r="K424" i="19"/>
  <c r="H89" i="10" s="1"/>
  <c r="I106" i="13"/>
  <c r="G70" i="15" s="1"/>
  <c r="K504" i="19"/>
  <c r="H105" i="10" s="1"/>
  <c r="I122" i="13"/>
  <c r="K584" i="19"/>
  <c r="H121" i="10" s="1"/>
  <c r="I138" i="13"/>
  <c r="G86" i="15" s="1"/>
  <c r="K664" i="19"/>
  <c r="H137" i="10" s="1"/>
  <c r="I154" i="13"/>
  <c r="K744" i="19"/>
  <c r="H153" i="10" s="1"/>
  <c r="I157" i="13"/>
  <c r="G98" i="15" s="1"/>
  <c r="K759" i="19"/>
  <c r="H156" i="10" s="1"/>
  <c r="I173" i="13"/>
  <c r="K839" i="19"/>
  <c r="H172" i="10" s="1"/>
  <c r="I189" i="13"/>
  <c r="G126" i="15" s="1"/>
  <c r="K919" i="19"/>
  <c r="H188" i="10" s="1"/>
  <c r="I205" i="13"/>
  <c r="G135" i="15" s="1"/>
  <c r="K999" i="19"/>
  <c r="H204" i="10" s="1"/>
  <c r="I388" i="13"/>
  <c r="I221" i="13"/>
  <c r="G146" i="15" s="1"/>
  <c r="K1079" i="19"/>
  <c r="H220" i="10" s="1"/>
  <c r="I237" i="13"/>
  <c r="G158" i="15" s="1"/>
  <c r="K1159" i="19"/>
  <c r="H236" i="10" s="1"/>
  <c r="I160" i="13"/>
  <c r="G101" i="15" s="1"/>
  <c r="K774" i="19"/>
  <c r="H159" i="10" s="1"/>
  <c r="I176" i="13"/>
  <c r="G115" i="15" s="1"/>
  <c r="K854" i="19"/>
  <c r="H175" i="10" s="1"/>
  <c r="I393" i="13"/>
  <c r="I192" i="13"/>
  <c r="G128" i="15" s="1"/>
  <c r="K934" i="19"/>
  <c r="H191" i="10" s="1"/>
  <c r="I208" i="13"/>
  <c r="G137" i="15" s="1"/>
  <c r="K1014" i="19"/>
  <c r="H207" i="10" s="1"/>
  <c r="I224" i="13"/>
  <c r="G148" i="15" s="1"/>
  <c r="K1094" i="19"/>
  <c r="H223" i="10" s="1"/>
  <c r="I240" i="13"/>
  <c r="K1174" i="19"/>
  <c r="H239" i="10" s="1"/>
  <c r="I163" i="13"/>
  <c r="K789" i="19"/>
  <c r="H162" i="10" s="1"/>
  <c r="I179" i="13"/>
  <c r="G118" i="15" s="1"/>
  <c r="K869" i="19"/>
  <c r="H178" i="10" s="1"/>
  <c r="I195" i="13"/>
  <c r="K949" i="19"/>
  <c r="H194" i="10" s="1"/>
  <c r="I211" i="13"/>
  <c r="G138" i="15" s="1"/>
  <c r="K1029" i="19"/>
  <c r="H210" i="10" s="1"/>
  <c r="I227" i="13"/>
  <c r="G151" i="15" s="1"/>
  <c r="K1109" i="19"/>
  <c r="H226" i="10" s="1"/>
  <c r="I243" i="13"/>
  <c r="G161" i="15" s="1"/>
  <c r="K1189" i="19"/>
  <c r="H242" i="10" s="1"/>
  <c r="I166" i="13"/>
  <c r="G106" i="15" s="1"/>
  <c r="K804" i="19"/>
  <c r="H165" i="10" s="1"/>
  <c r="I402" i="13"/>
  <c r="I182" i="13"/>
  <c r="G121" i="15" s="1"/>
  <c r="K884" i="19"/>
  <c r="H181" i="10" s="1"/>
  <c r="I198" i="13"/>
  <c r="G132" i="15" s="1"/>
  <c r="K964" i="19"/>
  <c r="H197" i="10" s="1"/>
  <c r="O406" i="13"/>
  <c r="I214" i="13"/>
  <c r="G139" i="15" s="1"/>
  <c r="K1044" i="19"/>
  <c r="H213" i="10" s="1"/>
  <c r="I230" i="13"/>
  <c r="G153" i="15" s="1"/>
  <c r="K1124" i="19"/>
  <c r="H229" i="10" s="1"/>
  <c r="I246" i="13"/>
  <c r="G163" i="15" s="1"/>
  <c r="K1204" i="19"/>
  <c r="H245" i="10" s="1"/>
  <c r="I267" i="13"/>
  <c r="K1309" i="19"/>
  <c r="H266" i="10" s="1"/>
  <c r="I283" i="13"/>
  <c r="G188" i="15" s="1"/>
  <c r="K1389" i="19"/>
  <c r="H282" i="10" s="1"/>
  <c r="I270" i="13"/>
  <c r="G178" i="15" s="1"/>
  <c r="K1324" i="19"/>
  <c r="H269" i="10" s="1"/>
  <c r="I286" i="13"/>
  <c r="K1404" i="19"/>
  <c r="H285" i="10" s="1"/>
  <c r="I265" i="13"/>
  <c r="G175" i="15" s="1"/>
  <c r="K1299" i="19"/>
  <c r="H264" i="10" s="1"/>
  <c r="I281" i="13"/>
  <c r="G186" i="15" s="1"/>
  <c r="K1379" i="19"/>
  <c r="H280" i="10" s="1"/>
  <c r="I299" i="13"/>
  <c r="G199" i="15" s="1"/>
  <c r="K1469" i="19"/>
  <c r="H298" i="10" s="1"/>
  <c r="I264" i="13"/>
  <c r="K1294" i="19"/>
  <c r="H263" i="10" s="1"/>
  <c r="I280" i="13"/>
  <c r="G185" i="15" s="1"/>
  <c r="K1374" i="19"/>
  <c r="H279" i="10" s="1"/>
  <c r="I316" i="13"/>
  <c r="G211" i="15" s="1"/>
  <c r="K1554" i="19"/>
  <c r="H315" i="10" s="1"/>
  <c r="I332" i="13"/>
  <c r="G222" i="15" s="1"/>
  <c r="K1634" i="19"/>
  <c r="H331" i="10" s="1"/>
  <c r="I348" i="13"/>
  <c r="K1714" i="19"/>
  <c r="H347" i="10" s="1"/>
  <c r="I315" i="13"/>
  <c r="G210" i="15" s="1"/>
  <c r="K1549" i="19"/>
  <c r="H314" i="10" s="1"/>
  <c r="I331" i="13"/>
  <c r="K1629" i="19"/>
  <c r="H330" i="10" s="1"/>
  <c r="I306" i="13"/>
  <c r="K1504" i="19"/>
  <c r="H305" i="10" s="1"/>
  <c r="I322" i="13"/>
  <c r="G215" i="15" s="1"/>
  <c r="K1584" i="19"/>
  <c r="H321" i="10" s="1"/>
  <c r="I305" i="13"/>
  <c r="G203" i="15" s="1"/>
  <c r="K1499" i="19"/>
  <c r="H304" i="10" s="1"/>
  <c r="I321" i="13"/>
  <c r="G214" i="15" s="1"/>
  <c r="K1579" i="19"/>
  <c r="H320" i="10" s="1"/>
  <c r="I337" i="13"/>
  <c r="G225" i="15" s="1"/>
  <c r="K1659" i="19"/>
  <c r="H336" i="10" s="1"/>
  <c r="I349" i="13"/>
  <c r="G232" i="15" s="1"/>
  <c r="K1719" i="19"/>
  <c r="H348" i="10" s="1"/>
  <c r="I339" i="13"/>
  <c r="G227" i="15" s="1"/>
  <c r="K1669" i="19"/>
  <c r="H338" i="10" s="1"/>
  <c r="I355" i="13"/>
  <c r="G237" i="15" s="1"/>
  <c r="K1749" i="19"/>
  <c r="H354" i="10" s="1"/>
  <c r="I350" i="13"/>
  <c r="G233" i="15" s="1"/>
  <c r="K1724" i="19"/>
  <c r="H349" i="10" s="1"/>
  <c r="I50" i="13"/>
  <c r="G32" i="15" s="1"/>
  <c r="K224" i="19"/>
  <c r="H49" i="10" s="1"/>
  <c r="O368" i="13"/>
  <c r="I34" i="13"/>
  <c r="G24" i="15" s="1"/>
  <c r="K144" i="19"/>
  <c r="H33" i="10" s="1"/>
  <c r="I405" i="13"/>
  <c r="I18" i="13"/>
  <c r="K64" i="19"/>
  <c r="H17" i="10" s="1"/>
  <c r="I59" i="13"/>
  <c r="G40" i="15" s="1"/>
  <c r="K269" i="19"/>
  <c r="H58" i="10" s="1"/>
  <c r="O377" i="13"/>
  <c r="I43" i="13"/>
  <c r="G28" i="15" s="1"/>
  <c r="K189" i="19"/>
  <c r="H42" i="10" s="1"/>
  <c r="I423" i="13"/>
  <c r="O419" i="13"/>
  <c r="I27" i="13"/>
  <c r="G19" i="15" s="1"/>
  <c r="K109" i="19"/>
  <c r="H26" i="10" s="1"/>
  <c r="O433" i="13"/>
  <c r="I429" i="13"/>
  <c r="O426" i="13"/>
  <c r="I11" i="13"/>
  <c r="K29" i="19"/>
  <c r="O444" i="13"/>
  <c r="D358" i="10"/>
  <c r="AI446" i="13"/>
  <c r="I44" i="13"/>
  <c r="K194" i="19"/>
  <c r="H43" i="10" s="1"/>
  <c r="I28" i="13"/>
  <c r="K114" i="19"/>
  <c r="H27" i="10" s="1"/>
  <c r="I364" i="13"/>
  <c r="I12" i="13"/>
  <c r="G10" i="15" s="1"/>
  <c r="K34" i="19"/>
  <c r="H11" i="10" s="1"/>
  <c r="I45" i="13"/>
  <c r="G29" i="15" s="1"/>
  <c r="K199" i="19"/>
  <c r="H44" i="10" s="1"/>
  <c r="I368" i="13"/>
  <c r="I29" i="13"/>
  <c r="K119" i="19"/>
  <c r="H28" i="10" s="1"/>
  <c r="I13" i="13"/>
  <c r="K39" i="19"/>
  <c r="H12" i="10" s="1"/>
  <c r="I69" i="13"/>
  <c r="K319" i="19"/>
  <c r="H68" i="10" s="1"/>
  <c r="I427" i="13"/>
  <c r="I85" i="13"/>
  <c r="G54" i="15" s="1"/>
  <c r="K399" i="19"/>
  <c r="H84" i="10" s="1"/>
  <c r="I101" i="13"/>
  <c r="G65" i="15" s="1"/>
  <c r="K479" i="19"/>
  <c r="H100" i="10" s="1"/>
  <c r="I117" i="13"/>
  <c r="G76" i="15" s="1"/>
  <c r="K559" i="19"/>
  <c r="H116" i="10" s="1"/>
  <c r="I385" i="13"/>
  <c r="I133" i="13"/>
  <c r="K639" i="19"/>
  <c r="H132" i="10" s="1"/>
  <c r="I149" i="13"/>
  <c r="G94" i="15" s="1"/>
  <c r="K719" i="19"/>
  <c r="H148" i="10" s="1"/>
  <c r="I76" i="13"/>
  <c r="K354" i="19"/>
  <c r="H75" i="10" s="1"/>
  <c r="I428" i="13"/>
  <c r="I92" i="13"/>
  <c r="G58" i="15" s="1"/>
  <c r="K434" i="19"/>
  <c r="H91" i="10" s="1"/>
  <c r="I425" i="13"/>
  <c r="I108" i="13"/>
  <c r="G72" i="15" s="1"/>
  <c r="K514" i="19"/>
  <c r="H107" i="10" s="1"/>
  <c r="I124" i="13"/>
  <c r="G79" i="15" s="1"/>
  <c r="K594" i="19"/>
  <c r="H123" i="10" s="1"/>
  <c r="I140" i="13"/>
  <c r="G87" i="15" s="1"/>
  <c r="K674" i="19"/>
  <c r="H139" i="10" s="1"/>
  <c r="I376" i="13"/>
  <c r="I67" i="13"/>
  <c r="K309" i="19"/>
  <c r="H66" i="10" s="1"/>
  <c r="I83" i="13"/>
  <c r="K389" i="19"/>
  <c r="O382" i="13"/>
  <c r="I99" i="13"/>
  <c r="K469" i="19"/>
  <c r="H98" i="10" s="1"/>
  <c r="I379" i="13"/>
  <c r="I115" i="13"/>
  <c r="K549" i="19"/>
  <c r="H114" i="10" s="1"/>
  <c r="I407" i="13"/>
  <c r="I131" i="13"/>
  <c r="K629" i="19"/>
  <c r="H130" i="10" s="1"/>
  <c r="I415" i="13"/>
  <c r="I147" i="13"/>
  <c r="K709" i="19"/>
  <c r="H146" i="10" s="1"/>
  <c r="I62" i="13"/>
  <c r="K284" i="19"/>
  <c r="H61" i="10" s="1"/>
  <c r="I78" i="13"/>
  <c r="G49" i="15" s="1"/>
  <c r="K364" i="19"/>
  <c r="H77" i="10" s="1"/>
  <c r="I382" i="13"/>
  <c r="I94" i="13"/>
  <c r="G60" i="15" s="1"/>
  <c r="K444" i="19"/>
  <c r="H93" i="10" s="1"/>
  <c r="I110" i="13"/>
  <c r="G73" i="15" s="1"/>
  <c r="K524" i="19"/>
  <c r="H109" i="10" s="1"/>
  <c r="I366" i="13"/>
  <c r="I126" i="13"/>
  <c r="K604" i="19"/>
  <c r="H125" i="10" s="1"/>
  <c r="I142" i="13"/>
  <c r="G88" i="15" s="1"/>
  <c r="K684" i="19"/>
  <c r="H141" i="10" s="1"/>
  <c r="I161" i="13"/>
  <c r="G102" i="15" s="1"/>
  <c r="K779" i="19"/>
  <c r="H160" i="10" s="1"/>
  <c r="I177" i="13"/>
  <c r="G116" i="15" s="1"/>
  <c r="K859" i="19"/>
  <c r="H176" i="10" s="1"/>
  <c r="I193" i="13"/>
  <c r="G129" i="15" s="1"/>
  <c r="K939" i="19"/>
  <c r="H192" i="10" s="1"/>
  <c r="I209" i="13"/>
  <c r="K1019" i="19"/>
  <c r="H208" i="10" s="1"/>
  <c r="I406" i="13"/>
  <c r="I225" i="13"/>
  <c r="G149" i="15" s="1"/>
  <c r="K1099" i="19"/>
  <c r="H224" i="10" s="1"/>
  <c r="I241" i="13"/>
  <c r="G160" i="15" s="1"/>
  <c r="K1179" i="19"/>
  <c r="H240" i="10" s="1"/>
  <c r="I164" i="13"/>
  <c r="G104" i="15" s="1"/>
  <c r="K794" i="19"/>
  <c r="H163" i="10" s="1"/>
  <c r="I180" i="13"/>
  <c r="G119" i="15" s="1"/>
  <c r="K874" i="19"/>
  <c r="H179" i="10" s="1"/>
  <c r="I196" i="13"/>
  <c r="G131" i="15" s="1"/>
  <c r="K954" i="19"/>
  <c r="H195" i="10" s="1"/>
  <c r="I212" i="13"/>
  <c r="K1034" i="19"/>
  <c r="H211" i="10" s="1"/>
  <c r="I228" i="13"/>
  <c r="G152" i="15" s="1"/>
  <c r="K1114" i="19"/>
  <c r="H227" i="10" s="1"/>
  <c r="I244" i="13"/>
  <c r="K1194" i="19"/>
  <c r="H243" i="10" s="1"/>
  <c r="I167" i="13"/>
  <c r="G107" i="15" s="1"/>
  <c r="K809" i="19"/>
  <c r="H166" i="10" s="1"/>
  <c r="I183" i="13"/>
  <c r="G122" i="15" s="1"/>
  <c r="K889" i="19"/>
  <c r="I199" i="13"/>
  <c r="K969" i="19"/>
  <c r="I215" i="13"/>
  <c r="G140" i="15" s="1"/>
  <c r="K1049" i="19"/>
  <c r="H214" i="10" s="1"/>
  <c r="I231" i="13"/>
  <c r="G154" i="15" s="1"/>
  <c r="K1129" i="19"/>
  <c r="H230" i="10" s="1"/>
  <c r="I247" i="13"/>
  <c r="G164" i="15" s="1"/>
  <c r="K1209" i="19"/>
  <c r="H246" i="10" s="1"/>
  <c r="I389" i="13"/>
  <c r="I170" i="13"/>
  <c r="G110" i="15" s="1"/>
  <c r="K824" i="19"/>
  <c r="H169" i="10" s="1"/>
  <c r="I186" i="13"/>
  <c r="K904" i="19"/>
  <c r="H185" i="10" s="1"/>
  <c r="I202" i="13"/>
  <c r="K984" i="19"/>
  <c r="H201" i="10" s="1"/>
  <c r="I218" i="13"/>
  <c r="G143" i="15" s="1"/>
  <c r="K1064" i="19"/>
  <c r="H217" i="10" s="1"/>
  <c r="I234" i="13"/>
  <c r="G156" i="15" s="1"/>
  <c r="K1144" i="19"/>
  <c r="H233" i="10" s="1"/>
  <c r="I250" i="13"/>
  <c r="K1224" i="19"/>
  <c r="H249" i="10" s="1"/>
  <c r="I255" i="13"/>
  <c r="G169" i="15" s="1"/>
  <c r="K1249" i="19"/>
  <c r="H254" i="10" s="1"/>
  <c r="I271" i="13"/>
  <c r="G179" i="15" s="1"/>
  <c r="K1329" i="19"/>
  <c r="H270" i="10" s="1"/>
  <c r="I287" i="13"/>
  <c r="K1409" i="19"/>
  <c r="H286" i="10" s="1"/>
  <c r="I258" i="13"/>
  <c r="G172" i="15" s="1"/>
  <c r="K1264" i="19"/>
  <c r="H257" i="10" s="1"/>
  <c r="I274" i="13"/>
  <c r="K1344" i="19"/>
  <c r="H273" i="10" s="1"/>
  <c r="I290" i="13"/>
  <c r="K1424" i="19"/>
  <c r="H289" i="10" s="1"/>
  <c r="I296" i="13"/>
  <c r="G196" i="15" s="1"/>
  <c r="K1454" i="19"/>
  <c r="H295" i="10" s="1"/>
  <c r="I253" i="13"/>
  <c r="G168" i="15" s="1"/>
  <c r="K1239" i="19"/>
  <c r="H252" i="10" s="1"/>
  <c r="I269" i="13"/>
  <c r="G177" i="15" s="1"/>
  <c r="K1319" i="19"/>
  <c r="H268" i="10" s="1"/>
  <c r="I285" i="13"/>
  <c r="G190" i="15" s="1"/>
  <c r="K1399" i="19"/>
  <c r="H284" i="10" s="1"/>
  <c r="I303" i="13"/>
  <c r="G202" i="15" s="1"/>
  <c r="K1489" i="19"/>
  <c r="H302" i="10" s="1"/>
  <c r="I268" i="13"/>
  <c r="G176" i="15" s="1"/>
  <c r="K1314" i="19"/>
  <c r="H267" i="10" s="1"/>
  <c r="I284" i="13"/>
  <c r="G189" i="15" s="1"/>
  <c r="K1394" i="19"/>
  <c r="H283" i="10" s="1"/>
  <c r="I320" i="13"/>
  <c r="K1574" i="19"/>
  <c r="H319" i="10" s="1"/>
  <c r="I336" i="13"/>
  <c r="K1654" i="19"/>
  <c r="H335" i="10" s="1"/>
  <c r="I352" i="13"/>
  <c r="K1734" i="19"/>
  <c r="H351" i="10" s="1"/>
  <c r="I319" i="13"/>
  <c r="G213" i="15" s="1"/>
  <c r="K1569" i="19"/>
  <c r="H318" i="10" s="1"/>
  <c r="I335" i="13"/>
  <c r="K1649" i="19"/>
  <c r="H334" i="10" s="1"/>
  <c r="I310" i="13"/>
  <c r="K1524" i="19"/>
  <c r="H309" i="10" s="1"/>
  <c r="I326" i="13"/>
  <c r="K1604" i="19"/>
  <c r="H325" i="10" s="1"/>
  <c r="I309" i="13"/>
  <c r="K1519" i="19"/>
  <c r="H308" i="10" s="1"/>
  <c r="I325" i="13"/>
  <c r="G218" i="15" s="1"/>
  <c r="K1599" i="19"/>
  <c r="H324" i="10" s="1"/>
  <c r="I353" i="13"/>
  <c r="G235" i="15" s="1"/>
  <c r="K1739" i="19"/>
  <c r="H352" i="10" s="1"/>
  <c r="I343" i="13"/>
  <c r="G229" i="15" s="1"/>
  <c r="K1689" i="19"/>
  <c r="H342" i="10" s="1"/>
  <c r="I338" i="13"/>
  <c r="G226" i="15" s="1"/>
  <c r="K1664" i="19"/>
  <c r="H337" i="10" s="1"/>
  <c r="I354" i="13"/>
  <c r="G236" i="15" s="1"/>
  <c r="K1744" i="19"/>
  <c r="H353" i="10" s="1"/>
  <c r="O438" i="13"/>
  <c r="I46" i="13"/>
  <c r="K204" i="19"/>
  <c r="H45" i="10" s="1"/>
  <c r="I381" i="13"/>
  <c r="O367" i="13"/>
  <c r="I421" i="13"/>
  <c r="I30" i="13"/>
  <c r="G20" i="15" s="1"/>
  <c r="K124" i="19"/>
  <c r="H29" i="10" s="1"/>
  <c r="I440" i="13"/>
  <c r="O401" i="13"/>
  <c r="I431" i="13"/>
  <c r="I14" i="13"/>
  <c r="G11" i="15" s="1"/>
  <c r="K44" i="19"/>
  <c r="H13" i="10" s="1"/>
  <c r="I55" i="13"/>
  <c r="G36" i="15" s="1"/>
  <c r="K249" i="19"/>
  <c r="H54" i="10" s="1"/>
  <c r="I369" i="13"/>
  <c r="I39" i="13"/>
  <c r="K169" i="19"/>
  <c r="H38" i="10" s="1"/>
  <c r="O405" i="13"/>
  <c r="I23" i="13"/>
  <c r="G16" i="15" s="1"/>
  <c r="K89" i="19"/>
  <c r="H22" i="10" s="1"/>
  <c r="I432" i="13"/>
  <c r="I439" i="13"/>
  <c r="I56" i="13"/>
  <c r="G37" i="15" s="1"/>
  <c r="K254" i="19"/>
  <c r="H55" i="10" s="1"/>
  <c r="I412" i="13"/>
  <c r="I40" i="13"/>
  <c r="K174" i="19"/>
  <c r="H39" i="10" s="1"/>
  <c r="I408" i="13"/>
  <c r="I24" i="13"/>
  <c r="G17" i="15" s="1"/>
  <c r="K94" i="19"/>
  <c r="H23" i="10" s="1"/>
  <c r="I363" i="13"/>
  <c r="K10" i="19"/>
  <c r="I57" i="13"/>
  <c r="G38" i="15" s="1"/>
  <c r="K259" i="19"/>
  <c r="H56" i="10" s="1"/>
  <c r="I438" i="13"/>
  <c r="I41" i="13"/>
  <c r="K179" i="19"/>
  <c r="H40" i="10" s="1"/>
  <c r="I367" i="13"/>
  <c r="O437" i="13"/>
  <c r="I25" i="13"/>
  <c r="G18" i="15" s="1"/>
  <c r="K99" i="19"/>
  <c r="I401" i="13"/>
  <c r="I9" i="13"/>
  <c r="K19" i="19"/>
  <c r="H8" i="10" s="1"/>
  <c r="I370" i="13"/>
  <c r="I73" i="13"/>
  <c r="K339" i="19"/>
  <c r="H72" i="10" s="1"/>
  <c r="I374" i="13"/>
  <c r="I89" i="13"/>
  <c r="G56" i="15" s="1"/>
  <c r="K419" i="19"/>
  <c r="H88" i="10" s="1"/>
  <c r="I390" i="13"/>
  <c r="I105" i="13"/>
  <c r="G69" i="15" s="1"/>
  <c r="K499" i="19"/>
  <c r="H104" i="10" s="1"/>
  <c r="I121" i="13"/>
  <c r="G78" i="15" s="1"/>
  <c r="K579" i="19"/>
  <c r="H120" i="10" s="1"/>
  <c r="I137" i="13"/>
  <c r="K659" i="19"/>
  <c r="H136" i="10" s="1"/>
  <c r="I153" i="13"/>
  <c r="K739" i="19"/>
  <c r="H152" i="10" s="1"/>
  <c r="I64" i="13"/>
  <c r="G42" i="15" s="1"/>
  <c r="K294" i="19"/>
  <c r="H63" i="10" s="1"/>
  <c r="I80" i="13"/>
  <c r="G51" i="15" s="1"/>
  <c r="K374" i="19"/>
  <c r="H79" i="10" s="1"/>
  <c r="I96" i="13"/>
  <c r="G62" i="15" s="1"/>
  <c r="K454" i="19"/>
  <c r="H95" i="10" s="1"/>
  <c r="I112" i="13"/>
  <c r="G74" i="15" s="1"/>
  <c r="K534" i="19"/>
  <c r="H111" i="10" s="1"/>
  <c r="I128" i="13"/>
  <c r="G81" i="15" s="1"/>
  <c r="K614" i="19"/>
  <c r="H127" i="10" s="1"/>
  <c r="I144" i="13"/>
  <c r="G90" i="15" s="1"/>
  <c r="K694" i="19"/>
  <c r="H143" i="10" s="1"/>
  <c r="I71" i="13"/>
  <c r="G45" i="15" s="1"/>
  <c r="K329" i="19"/>
  <c r="I87" i="13"/>
  <c r="K409" i="19"/>
  <c r="H86" i="10" s="1"/>
  <c r="I103" i="13"/>
  <c r="G67" i="15" s="1"/>
  <c r="K489" i="19"/>
  <c r="I383" i="13"/>
  <c r="I119" i="13"/>
  <c r="K569" i="19"/>
  <c r="H118" i="10" s="1"/>
  <c r="I135" i="13"/>
  <c r="G85" i="15" s="1"/>
  <c r="K649" i="19"/>
  <c r="H134" i="10" s="1"/>
  <c r="I151" i="13"/>
  <c r="G95" i="15" s="1"/>
  <c r="K729" i="19"/>
  <c r="I387" i="13"/>
  <c r="I66" i="13"/>
  <c r="K304" i="19"/>
  <c r="H65" i="10" s="1"/>
  <c r="I82" i="13"/>
  <c r="K384" i="19"/>
  <c r="H81" i="10" s="1"/>
  <c r="I98" i="13"/>
  <c r="G63" i="15" s="1"/>
  <c r="K464" i="19"/>
  <c r="H97" i="10" s="1"/>
  <c r="I441" i="13"/>
  <c r="I114" i="13"/>
  <c r="G75" i="15" s="1"/>
  <c r="K544" i="19"/>
  <c r="H113" i="10" s="1"/>
  <c r="I130" i="13"/>
  <c r="K624" i="19"/>
  <c r="H129" i="10" s="1"/>
  <c r="I146" i="13"/>
  <c r="G92" i="15" s="1"/>
  <c r="K704" i="19"/>
  <c r="H145" i="10" s="1"/>
  <c r="I165" i="13"/>
  <c r="G105" i="15" s="1"/>
  <c r="K799" i="19"/>
  <c r="H164" i="10" s="1"/>
  <c r="I181" i="13"/>
  <c r="G120" i="15" s="1"/>
  <c r="K879" i="19"/>
  <c r="H180" i="10" s="1"/>
  <c r="I197" i="13"/>
  <c r="K959" i="19"/>
  <c r="H196" i="10" s="1"/>
  <c r="I213" i="13"/>
  <c r="K1039" i="19"/>
  <c r="H212" i="10" s="1"/>
  <c r="I229" i="13"/>
  <c r="K1119" i="19"/>
  <c r="H228" i="10" s="1"/>
  <c r="I245" i="13"/>
  <c r="G162" i="15" s="1"/>
  <c r="K1199" i="19"/>
  <c r="H244" i="10" s="1"/>
  <c r="I168" i="13"/>
  <c r="G108" i="15" s="1"/>
  <c r="K814" i="19"/>
  <c r="H167" i="10" s="1"/>
  <c r="I184" i="13"/>
  <c r="G123" i="15" s="1"/>
  <c r="K894" i="19"/>
  <c r="H183" i="10" s="1"/>
  <c r="I200" i="13"/>
  <c r="K974" i="19"/>
  <c r="H199" i="10" s="1"/>
  <c r="I413" i="13"/>
  <c r="I216" i="13"/>
  <c r="G141" i="15" s="1"/>
  <c r="K1054" i="19"/>
  <c r="H215" i="10" s="1"/>
  <c r="I232" i="13"/>
  <c r="K1134" i="19"/>
  <c r="H231" i="10" s="1"/>
  <c r="I397" i="13"/>
  <c r="I248" i="13"/>
  <c r="K1214" i="19"/>
  <c r="H247" i="10" s="1"/>
  <c r="I171" i="13"/>
  <c r="G111" i="15" s="1"/>
  <c r="K829" i="19"/>
  <c r="I187" i="13"/>
  <c r="K909" i="19"/>
  <c r="I203" i="13"/>
  <c r="G133" i="15" s="1"/>
  <c r="K989" i="19"/>
  <c r="H202" i="10" s="1"/>
  <c r="I399" i="13"/>
  <c r="I219" i="13"/>
  <c r="G144" i="15" s="1"/>
  <c r="K1069" i="19"/>
  <c r="I235" i="13"/>
  <c r="K1149" i="19"/>
  <c r="H234" i="10" s="1"/>
  <c r="I251" i="13"/>
  <c r="G167" i="15" s="1"/>
  <c r="K1229" i="19"/>
  <c r="H250" i="10" s="1"/>
  <c r="I158" i="13"/>
  <c r="G99" i="15" s="1"/>
  <c r="K764" i="19"/>
  <c r="H157" i="10" s="1"/>
  <c r="I174" i="13"/>
  <c r="G113" i="15" s="1"/>
  <c r="K844" i="19"/>
  <c r="H173" i="10" s="1"/>
  <c r="I190" i="13"/>
  <c r="K924" i="19"/>
  <c r="H189" i="10" s="1"/>
  <c r="I206" i="13"/>
  <c r="G136" i="15" s="1"/>
  <c r="K1004" i="19"/>
  <c r="H205" i="10" s="1"/>
  <c r="I222" i="13"/>
  <c r="G147" i="15" s="1"/>
  <c r="K1084" i="19"/>
  <c r="H221" i="10" s="1"/>
  <c r="I378" i="13"/>
  <c r="I238" i="13"/>
  <c r="G159" i="15" s="1"/>
  <c r="K1164" i="19"/>
  <c r="H237" i="10" s="1"/>
  <c r="I259" i="13"/>
  <c r="G173" i="15" s="1"/>
  <c r="K1269" i="19"/>
  <c r="H258" i="10" s="1"/>
  <c r="I275" i="13"/>
  <c r="K1349" i="19"/>
  <c r="H274" i="10" s="1"/>
  <c r="I291" i="13"/>
  <c r="G192" i="15" s="1"/>
  <c r="K1429" i="19"/>
  <c r="H290" i="10" s="1"/>
  <c r="I300" i="13"/>
  <c r="G200" i="15" s="1"/>
  <c r="K1474" i="19"/>
  <c r="H299" i="10" s="1"/>
  <c r="I304" i="13"/>
  <c r="K1494" i="19"/>
  <c r="H303" i="10" s="1"/>
  <c r="I262" i="13"/>
  <c r="K1284" i="19"/>
  <c r="H261" i="10" s="1"/>
  <c r="I278" i="13"/>
  <c r="G183" i="15" s="1"/>
  <c r="K1364" i="19"/>
  <c r="H277" i="10" s="1"/>
  <c r="I294" i="13"/>
  <c r="G194" i="15" s="1"/>
  <c r="K1444" i="19"/>
  <c r="H293" i="10" s="1"/>
  <c r="I257" i="13"/>
  <c r="G171" i="15" s="1"/>
  <c r="K1259" i="19"/>
  <c r="H256" i="10" s="1"/>
  <c r="I273" i="13"/>
  <c r="G181" i="15" s="1"/>
  <c r="K1339" i="19"/>
  <c r="H272" i="10" s="1"/>
  <c r="I289" i="13"/>
  <c r="K1419" i="19"/>
  <c r="H288" i="10" s="1"/>
  <c r="I256" i="13"/>
  <c r="G170" i="15" s="1"/>
  <c r="K1254" i="19"/>
  <c r="H255" i="10" s="1"/>
  <c r="I272" i="13"/>
  <c r="G180" i="15" s="1"/>
  <c r="K1334" i="19"/>
  <c r="H271" i="10" s="1"/>
  <c r="I288" i="13"/>
  <c r="G191" i="15" s="1"/>
  <c r="K1414" i="19"/>
  <c r="H287" i="10" s="1"/>
  <c r="I308" i="13"/>
  <c r="G205" i="15" s="1"/>
  <c r="K1514" i="19"/>
  <c r="H307" i="10" s="1"/>
  <c r="I416" i="13"/>
  <c r="I324" i="13"/>
  <c r="G217" i="15" s="1"/>
  <c r="K1594" i="19"/>
  <c r="H323" i="10" s="1"/>
  <c r="I340" i="13"/>
  <c r="K1674" i="19"/>
  <c r="H339" i="10" s="1"/>
  <c r="I356" i="13"/>
  <c r="G238" i="15" s="1"/>
  <c r="K1754" i="19"/>
  <c r="H355" i="10" s="1"/>
  <c r="I307" i="13"/>
  <c r="G204" i="15" s="1"/>
  <c r="K1509" i="19"/>
  <c r="H306" i="10" s="1"/>
  <c r="I323" i="13"/>
  <c r="G216" i="15" s="1"/>
  <c r="K1589" i="19"/>
  <c r="H322" i="10" s="1"/>
  <c r="I298" i="13"/>
  <c r="G198" i="15" s="1"/>
  <c r="K1464" i="19"/>
  <c r="I314" i="13"/>
  <c r="G209" i="15" s="1"/>
  <c r="K1544" i="19"/>
  <c r="H313" i="10" s="1"/>
  <c r="I330" i="13"/>
  <c r="G221" i="15" s="1"/>
  <c r="K1624" i="19"/>
  <c r="I297" i="13"/>
  <c r="G197" i="15" s="1"/>
  <c r="K1459" i="19"/>
  <c r="H296" i="10" s="1"/>
  <c r="I313" i="13"/>
  <c r="G208" i="15" s="1"/>
  <c r="K1539" i="19"/>
  <c r="H312" i="10" s="1"/>
  <c r="O416" i="13"/>
  <c r="I329" i="13"/>
  <c r="G220" i="15" s="1"/>
  <c r="K1619" i="19"/>
  <c r="H328" i="10" s="1"/>
  <c r="I341" i="13"/>
  <c r="K1679" i="19"/>
  <c r="H340" i="10" s="1"/>
  <c r="I357" i="13"/>
  <c r="G239" i="15" s="1"/>
  <c r="K1759" i="19"/>
  <c r="H356" i="10" s="1"/>
  <c r="I347" i="13"/>
  <c r="G231" i="15" s="1"/>
  <c r="K1709" i="19"/>
  <c r="H346" i="10" s="1"/>
  <c r="I342" i="13"/>
  <c r="G228" i="15" s="1"/>
  <c r="K1684" i="19"/>
  <c r="H341" i="10" s="1"/>
  <c r="I358" i="13"/>
  <c r="K1764" i="19"/>
  <c r="H357" i="10" s="1"/>
  <c r="I58" i="13"/>
  <c r="G39" i="15" s="1"/>
  <c r="K264" i="19"/>
  <c r="H57" i="10" s="1"/>
  <c r="I42" i="13"/>
  <c r="G27" i="15" s="1"/>
  <c r="K184" i="19"/>
  <c r="H41" i="10" s="1"/>
  <c r="I404" i="13"/>
  <c r="O436" i="13"/>
  <c r="I26" i="13"/>
  <c r="K104" i="19"/>
  <c r="H25" i="10" s="1"/>
  <c r="O445" i="13"/>
  <c r="I396" i="13"/>
  <c r="O362" i="13"/>
  <c r="I10" i="13"/>
  <c r="G9" i="15" s="1"/>
  <c r="K24" i="19"/>
  <c r="H9" i="10" s="1"/>
  <c r="I51" i="13"/>
  <c r="G33" i="15" s="1"/>
  <c r="K229" i="19"/>
  <c r="H50" i="10" s="1"/>
  <c r="I392" i="13"/>
  <c r="O381" i="13"/>
  <c r="I35" i="13"/>
  <c r="K149" i="19"/>
  <c r="H34" i="10" s="1"/>
  <c r="O421" i="13"/>
  <c r="I371" i="13"/>
  <c r="O440" i="13"/>
  <c r="I19" i="13"/>
  <c r="K69" i="19"/>
  <c r="H18" i="10" s="1"/>
  <c r="O431" i="13"/>
  <c r="I409" i="13"/>
  <c r="O439" i="13"/>
  <c r="H213" i="15" l="1"/>
  <c r="T126" i="13"/>
  <c r="T235" i="13"/>
  <c r="T223" i="13"/>
  <c r="T187" i="13"/>
  <c r="T267" i="13"/>
  <c r="T266" i="13"/>
  <c r="T209" i="13"/>
  <c r="T18" i="13"/>
  <c r="T229" i="13"/>
  <c r="T275" i="13"/>
  <c r="T277" i="13"/>
  <c r="T113" i="13"/>
  <c r="T82" i="13"/>
  <c r="T29" i="13"/>
  <c r="T109" i="13"/>
  <c r="T91" i="13"/>
  <c r="T62" i="13"/>
  <c r="T44" i="13"/>
  <c r="T232" i="13"/>
  <c r="T35" i="13"/>
  <c r="T346" i="13"/>
  <c r="T11" i="13"/>
  <c r="T49" i="13"/>
  <c r="T197" i="13"/>
  <c r="T252" i="13"/>
  <c r="T141" i="13"/>
  <c r="T36" i="13"/>
  <c r="T287" i="13"/>
  <c r="T254" i="13"/>
  <c r="T345" i="13"/>
  <c r="T120" i="13"/>
  <c r="T358" i="13"/>
  <c r="T67" i="13"/>
  <c r="T213" i="13"/>
  <c r="T200" i="13"/>
  <c r="T147" i="13"/>
  <c r="T40" i="13"/>
  <c r="T173" i="13"/>
  <c r="T13" i="13"/>
  <c r="T335" i="13"/>
  <c r="T201" i="13"/>
  <c r="T331" i="13"/>
  <c r="T155" i="13"/>
  <c r="T320" i="13"/>
  <c r="T76" i="13"/>
  <c r="T41" i="13"/>
  <c r="T150" i="13"/>
  <c r="T202" i="13"/>
  <c r="T123" i="13"/>
  <c r="T122" i="13"/>
  <c r="T309" i="13"/>
  <c r="T274" i="13"/>
  <c r="T199" i="13"/>
  <c r="T88" i="13"/>
  <c r="T195" i="13"/>
  <c r="T77" i="13"/>
  <c r="T139" i="13"/>
  <c r="T20" i="13"/>
  <c r="T119" i="13"/>
  <c r="T190" i="13"/>
  <c r="T115" i="13"/>
  <c r="T39" i="13"/>
  <c r="T111" i="13"/>
  <c r="T131" i="13"/>
  <c r="T242" i="13"/>
  <c r="T163" i="13"/>
  <c r="T130" i="13"/>
  <c r="T116" i="13"/>
  <c r="T137" i="13"/>
  <c r="T87" i="13"/>
  <c r="T248" i="13"/>
  <c r="T310" i="13"/>
  <c r="T133" i="13"/>
  <c r="T83" i="13"/>
  <c r="T61" i="13"/>
  <c r="T60" i="13"/>
  <c r="T293" i="13"/>
  <c r="T348" i="13"/>
  <c r="T210" i="13"/>
  <c r="T26" i="13"/>
  <c r="T286" i="13"/>
  <c r="T207" i="13"/>
  <c r="T341" i="13"/>
  <c r="T244" i="13"/>
  <c r="T99" i="13"/>
  <c r="T318" i="13"/>
  <c r="T240" i="13"/>
  <c r="T263" i="13"/>
  <c r="T9" i="13"/>
  <c r="T306" i="13"/>
  <c r="T261" i="13"/>
  <c r="T186" i="13"/>
  <c r="T97" i="13"/>
  <c r="T136" i="13"/>
  <c r="T289" i="13"/>
  <c r="T19" i="13"/>
  <c r="T336" i="13"/>
  <c r="T153" i="13"/>
  <c r="T301" i="13"/>
  <c r="T154" i="13"/>
  <c r="T54" i="13"/>
  <c r="T327" i="13"/>
  <c r="T340" i="13"/>
  <c r="T212" i="13"/>
  <c r="T127" i="13"/>
  <c r="T66" i="13"/>
  <c r="T28" i="13"/>
  <c r="T264" i="13"/>
  <c r="T73" i="13"/>
  <c r="T262" i="13"/>
  <c r="T69" i="13"/>
  <c r="T46" i="13"/>
  <c r="T290" i="13"/>
  <c r="T65" i="13"/>
  <c r="T352" i="13"/>
  <c r="T22" i="13"/>
  <c r="T304" i="13"/>
  <c r="T239" i="13"/>
  <c r="T326" i="13"/>
  <c r="Q51" i="10"/>
  <c r="Q288" i="10"/>
  <c r="Q40" i="10"/>
  <c r="Q130" i="10"/>
  <c r="Q236" i="10"/>
  <c r="Q350" i="10"/>
  <c r="Q149" i="10"/>
  <c r="Q205" i="10"/>
  <c r="Q249" i="10"/>
  <c r="Q148" i="10"/>
  <c r="Q285" i="10"/>
  <c r="Q128" i="10"/>
  <c r="Q251" i="10"/>
  <c r="Q101" i="10"/>
  <c r="Q140" i="10"/>
  <c r="Q20" i="10"/>
  <c r="Q303" i="10"/>
  <c r="Q157" i="10"/>
  <c r="Q228" i="10"/>
  <c r="Q65" i="10"/>
  <c r="Q134" i="10"/>
  <c r="Q63" i="10"/>
  <c r="Q308" i="10"/>
  <c r="Q283" i="10"/>
  <c r="Q273" i="10"/>
  <c r="Q201" i="10"/>
  <c r="Q227" i="10"/>
  <c r="Q160" i="10"/>
  <c r="Q98" i="10"/>
  <c r="Q28" i="10"/>
  <c r="Q11" i="10"/>
  <c r="Q43" i="10"/>
  <c r="Q304" i="10"/>
  <c r="Q279" i="10"/>
  <c r="Q266" i="10"/>
  <c r="Q181" i="10"/>
  <c r="Q242" i="10"/>
  <c r="Q207" i="10"/>
  <c r="Q175" i="10"/>
  <c r="Q121" i="10"/>
  <c r="Q126" i="10"/>
  <c r="Q15" i="10"/>
  <c r="Q53" i="10"/>
  <c r="Q317" i="10"/>
  <c r="Q275" i="10"/>
  <c r="Q278" i="10"/>
  <c r="Q161" i="10"/>
  <c r="Q203" i="10"/>
  <c r="Q184" i="10"/>
  <c r="Q90" i="10"/>
  <c r="Q83" i="10"/>
  <c r="Q60" i="10"/>
  <c r="Q136" i="10"/>
  <c r="Q286" i="10"/>
  <c r="Q93" i="10"/>
  <c r="Q204" i="10"/>
  <c r="Q241" i="10"/>
  <c r="Q357" i="10"/>
  <c r="Q237" i="10"/>
  <c r="Q111" i="10"/>
  <c r="Q208" i="10"/>
  <c r="Q33" i="10"/>
  <c r="Q155" i="10"/>
  <c r="Q327" i="10"/>
  <c r="Q232" i="10"/>
  <c r="Q138" i="10"/>
  <c r="Q108" i="10"/>
  <c r="Q356" i="10"/>
  <c r="Q271" i="10"/>
  <c r="Q50" i="10"/>
  <c r="Q41" i="10"/>
  <c r="Q322" i="10"/>
  <c r="Q272" i="10"/>
  <c r="Q274" i="10"/>
  <c r="Q180" i="10"/>
  <c r="Q143" i="10"/>
  <c r="Q120" i="10"/>
  <c r="Q88" i="10"/>
  <c r="Q23" i="10"/>
  <c r="Q22" i="10"/>
  <c r="Q353" i="10"/>
  <c r="Q334" i="10"/>
  <c r="Q284" i="10"/>
  <c r="Q270" i="10"/>
  <c r="Q214" i="10"/>
  <c r="Q179" i="10"/>
  <c r="Q146" i="10"/>
  <c r="Q354" i="10"/>
  <c r="Q330" i="10"/>
  <c r="Q280" i="10"/>
  <c r="Q213" i="10"/>
  <c r="Q194" i="10"/>
  <c r="Q220" i="10"/>
  <c r="Q188" i="10"/>
  <c r="Q78" i="10"/>
  <c r="Q151" i="10"/>
  <c r="Q119" i="10"/>
  <c r="Q16" i="10"/>
  <c r="Q344" i="10"/>
  <c r="Q276" i="10"/>
  <c r="Q225" i="10"/>
  <c r="Q253" i="10"/>
  <c r="Q133" i="10"/>
  <c r="Q202" i="10"/>
  <c r="Q39" i="10"/>
  <c r="Q195" i="10"/>
  <c r="Q305" i="10"/>
  <c r="Q62" i="10"/>
  <c r="Q69" i="10"/>
  <c r="Q293" i="10"/>
  <c r="Q145" i="10"/>
  <c r="Q240" i="10"/>
  <c r="Q116" i="10"/>
  <c r="Q162" i="10"/>
  <c r="Q96" i="10"/>
  <c r="Q312" i="10"/>
  <c r="Q277" i="10"/>
  <c r="Q189" i="10"/>
  <c r="Q167" i="10"/>
  <c r="Q129" i="10"/>
  <c r="Q97" i="10"/>
  <c r="Q95" i="10"/>
  <c r="Q54" i="10"/>
  <c r="Q352" i="10"/>
  <c r="Q335" i="10"/>
  <c r="Q295" i="10"/>
  <c r="Q233" i="10"/>
  <c r="Q166" i="10"/>
  <c r="Q224" i="10"/>
  <c r="Q192" i="10"/>
  <c r="Q107" i="10"/>
  <c r="Q132" i="10"/>
  <c r="Q100" i="10"/>
  <c r="Q68" i="10"/>
  <c r="Q17" i="10"/>
  <c r="Q336" i="10"/>
  <c r="Q331" i="10"/>
  <c r="Q269" i="10"/>
  <c r="Q239" i="10"/>
  <c r="Q153" i="10"/>
  <c r="Q73" i="10"/>
  <c r="Q47" i="10"/>
  <c r="Q21" i="10"/>
  <c r="Q37" i="10"/>
  <c r="Q300" i="10"/>
  <c r="Q311" i="10"/>
  <c r="Q265" i="10"/>
  <c r="Q235" i="10"/>
  <c r="Q216" i="10"/>
  <c r="Q85" i="10"/>
  <c r="Q122" i="10"/>
  <c r="Q147" i="10"/>
  <c r="Q115" i="10"/>
  <c r="I115" i="10"/>
  <c r="Q67" i="10"/>
  <c r="Q124" i="10"/>
  <c r="Q92" i="10"/>
  <c r="Q234" i="10"/>
  <c r="Q309" i="10"/>
  <c r="Q125" i="10"/>
  <c r="Q298" i="10"/>
  <c r="Q94" i="10"/>
  <c r="Q171" i="10"/>
  <c r="Q247" i="10"/>
  <c r="Q351" i="10"/>
  <c r="Q91" i="10"/>
  <c r="Q347" i="10"/>
  <c r="Q316" i="10"/>
  <c r="Q341" i="10"/>
  <c r="Q34" i="10"/>
  <c r="Q255" i="10"/>
  <c r="Q299" i="10"/>
  <c r="Q250" i="10"/>
  <c r="Q212" i="10"/>
  <c r="Q118" i="10"/>
  <c r="Q86" i="10"/>
  <c r="Q152" i="10"/>
  <c r="Q8" i="10"/>
  <c r="Q56" i="10"/>
  <c r="Q55" i="10"/>
  <c r="Q325" i="10"/>
  <c r="Q267" i="10"/>
  <c r="Q257" i="10"/>
  <c r="Q185" i="10"/>
  <c r="Q246" i="10"/>
  <c r="Q211" i="10"/>
  <c r="Q141" i="10"/>
  <c r="Q109" i="10"/>
  <c r="Q77" i="10"/>
  <c r="Q114" i="10"/>
  <c r="Q42" i="10"/>
  <c r="Q49" i="10"/>
  <c r="Q321" i="10"/>
  <c r="Q263" i="10"/>
  <c r="Q245" i="10"/>
  <c r="Q226" i="10"/>
  <c r="Q191" i="10"/>
  <c r="Q159" i="10"/>
  <c r="Q105" i="10"/>
  <c r="Q110" i="10"/>
  <c r="Q64" i="10"/>
  <c r="Q48" i="10"/>
  <c r="Q345" i="10"/>
  <c r="Q301" i="10"/>
  <c r="Q259" i="10"/>
  <c r="Q238" i="10"/>
  <c r="Q187" i="10"/>
  <c r="Q168" i="10"/>
  <c r="Q196" i="10"/>
  <c r="Q169" i="10"/>
  <c r="Q61" i="10"/>
  <c r="Q210" i="10"/>
  <c r="Q32" i="10"/>
  <c r="Q190" i="10"/>
  <c r="Q215" i="10"/>
  <c r="Q252" i="10"/>
  <c r="Q123" i="10"/>
  <c r="Q348" i="10"/>
  <c r="Q87" i="10"/>
  <c r="Q281" i="10"/>
  <c r="Q307" i="10"/>
  <c r="Q340" i="10"/>
  <c r="Q18" i="10"/>
  <c r="Q9" i="10"/>
  <c r="Q57" i="10"/>
  <c r="Q306" i="10"/>
  <c r="Q256" i="10"/>
  <c r="Q258" i="10"/>
  <c r="Q221" i="10"/>
  <c r="Q231" i="10"/>
  <c r="Q199" i="10"/>
  <c r="Q164" i="10"/>
  <c r="Q127" i="10"/>
  <c r="Q104" i="10"/>
  <c r="Q337" i="10"/>
  <c r="Q318" i="10"/>
  <c r="Q268" i="10"/>
  <c r="Q254" i="10"/>
  <c r="Q163" i="10"/>
  <c r="Q139" i="10"/>
  <c r="Q75" i="10"/>
  <c r="Q338" i="10"/>
  <c r="Q314" i="10"/>
  <c r="Q264" i="10"/>
  <c r="Q178" i="10"/>
  <c r="Q172" i="10"/>
  <c r="Q135" i="10"/>
  <c r="Q103" i="10"/>
  <c r="Q71" i="10"/>
  <c r="Q144" i="10"/>
  <c r="Q112" i="10"/>
  <c r="Q80" i="10"/>
  <c r="Q332" i="10"/>
  <c r="Q343" i="10"/>
  <c r="Q260" i="10"/>
  <c r="Q248" i="10"/>
  <c r="Q117" i="10"/>
  <c r="Q35" i="10"/>
  <c r="Q328" i="10"/>
  <c r="Q290" i="10"/>
  <c r="Q72" i="10"/>
  <c r="Q302" i="10"/>
  <c r="Q230" i="10"/>
  <c r="Q349" i="10"/>
  <c r="Q229" i="10"/>
  <c r="Q89" i="10"/>
  <c r="Q292" i="10"/>
  <c r="Q36" i="10"/>
  <c r="Q355" i="10"/>
  <c r="Q183" i="10"/>
  <c r="Q342" i="10"/>
  <c r="Q66" i="10"/>
  <c r="Q58" i="10"/>
  <c r="Q156" i="10"/>
  <c r="Q59" i="10"/>
  <c r="Q209" i="10"/>
  <c r="Q339" i="10"/>
  <c r="Q25" i="10"/>
  <c r="Q313" i="10"/>
  <c r="Q346" i="10"/>
  <c r="Q296" i="10"/>
  <c r="Q323" i="10"/>
  <c r="Q287" i="10"/>
  <c r="Q261" i="10"/>
  <c r="Q173" i="10"/>
  <c r="Q244" i="10"/>
  <c r="Q113" i="10"/>
  <c r="Q81" i="10"/>
  <c r="Q79" i="10"/>
  <c r="Q38" i="10"/>
  <c r="Q13" i="10"/>
  <c r="Q29" i="10"/>
  <c r="Q45" i="10"/>
  <c r="Q324" i="10"/>
  <c r="Q319" i="10"/>
  <c r="Q289" i="10"/>
  <c r="Q217" i="10"/>
  <c r="Q243" i="10"/>
  <c r="Q176" i="10"/>
  <c r="Q84" i="10"/>
  <c r="Q12" i="10"/>
  <c r="Q44" i="10"/>
  <c r="Q27" i="10"/>
  <c r="Q26" i="10"/>
  <c r="Q320" i="10"/>
  <c r="Q315" i="10"/>
  <c r="Q282" i="10"/>
  <c r="Q197" i="10"/>
  <c r="Q165" i="10"/>
  <c r="Q223" i="10"/>
  <c r="Q137" i="10"/>
  <c r="Q142" i="10"/>
  <c r="Q31" i="10"/>
  <c r="Q333" i="10"/>
  <c r="Q291" i="10"/>
  <c r="Q294" i="10"/>
  <c r="Q177" i="10"/>
  <c r="Q219" i="10"/>
  <c r="Q200" i="10"/>
  <c r="Q106" i="10"/>
  <c r="Q74" i="10"/>
  <c r="Q131" i="10"/>
  <c r="Q99" i="10"/>
  <c r="Q76" i="10"/>
  <c r="T319" i="13"/>
  <c r="Q319" i="13"/>
  <c r="S1765" i="19"/>
  <c r="T440" i="13"/>
  <c r="T396" i="13"/>
  <c r="T404" i="13"/>
  <c r="T361" i="13"/>
  <c r="T422" i="13"/>
  <c r="T376" i="13"/>
  <c r="T443" i="13"/>
  <c r="T428" i="13"/>
  <c r="T375" i="13"/>
  <c r="T415" i="13"/>
  <c r="T395" i="13"/>
  <c r="T373" i="13"/>
  <c r="T271" i="13"/>
  <c r="T157" i="13"/>
  <c r="T23" i="13"/>
  <c r="T92" i="13"/>
  <c r="T351" i="13"/>
  <c r="T185" i="13"/>
  <c r="T208" i="13"/>
  <c r="T43" i="13"/>
  <c r="T354" i="13"/>
  <c r="T162" i="13"/>
  <c r="T80" i="13"/>
  <c r="T10" i="13"/>
  <c r="T311" i="13"/>
  <c r="T219" i="13"/>
  <c r="T108" i="13"/>
  <c r="T68" i="13"/>
  <c r="T339" i="13"/>
  <c r="T247" i="13"/>
  <c r="T104" i="13"/>
  <c r="T138" i="13"/>
  <c r="T257" i="13"/>
  <c r="T182" i="13"/>
  <c r="T75" i="13"/>
  <c r="T285" i="13"/>
  <c r="T121" i="13"/>
  <c r="T21" i="13"/>
  <c r="T161" i="13"/>
  <c r="T362" i="13"/>
  <c r="T439" i="13"/>
  <c r="T438" i="13"/>
  <c r="T419" i="13"/>
  <c r="T432" i="13"/>
  <c r="T371" i="13"/>
  <c r="T429" i="13"/>
  <c r="T392" i="13"/>
  <c r="T413" i="13"/>
  <c r="T417" i="13"/>
  <c r="T399" i="13"/>
  <c r="T328" i="13"/>
  <c r="T272" i="13"/>
  <c r="T234" i="13"/>
  <c r="T180" i="13"/>
  <c r="T95" i="13"/>
  <c r="T55" i="13"/>
  <c r="T51" i="13"/>
  <c r="T230" i="13"/>
  <c r="T176" i="13"/>
  <c r="T27" i="13"/>
  <c r="T64" i="13"/>
  <c r="T269" i="13"/>
  <c r="T146" i="13"/>
  <c r="T42" i="13"/>
  <c r="T291" i="13"/>
  <c r="T241" i="13"/>
  <c r="T307" i="13"/>
  <c r="T258" i="13"/>
  <c r="T215" i="13"/>
  <c r="T72" i="13"/>
  <c r="T52" i="13"/>
  <c r="T308" i="13"/>
  <c r="T243" i="13"/>
  <c r="T132" i="13"/>
  <c r="T337" i="13"/>
  <c r="T282" i="13"/>
  <c r="T89" i="13"/>
  <c r="T53" i="13"/>
  <c r="T238" i="13"/>
  <c r="T426" i="13"/>
  <c r="T427" i="13"/>
  <c r="T414" i="13"/>
  <c r="T420" i="13"/>
  <c r="T430" i="13"/>
  <c r="T435" i="13"/>
  <c r="T423" i="13"/>
  <c r="T389" i="13"/>
  <c r="T364" i="13"/>
  <c r="T329" i="13"/>
  <c r="T303" i="13"/>
  <c r="T145" i="13"/>
  <c r="T63" i="13"/>
  <c r="T31" i="13"/>
  <c r="T34" i="13"/>
  <c r="T198" i="13"/>
  <c r="T59" i="13"/>
  <c r="T216" i="13"/>
  <c r="T321" i="13"/>
  <c r="T191" i="13"/>
  <c r="T94" i="13"/>
  <c r="T107" i="13"/>
  <c r="T37" i="13"/>
  <c r="T259" i="13"/>
  <c r="T253" i="13"/>
  <c r="T171" i="13"/>
  <c r="T357" i="13"/>
  <c r="T237" i="13"/>
  <c r="T183" i="13"/>
  <c r="T118" i="13"/>
  <c r="T93" i="13"/>
  <c r="T211" i="13"/>
  <c r="T128" i="13"/>
  <c r="T17" i="13"/>
  <c r="T305" i="13"/>
  <c r="T175" i="13"/>
  <c r="T142" i="13"/>
  <c r="T206" i="13"/>
  <c r="T416" i="13"/>
  <c r="T421" i="13"/>
  <c r="T445" i="13"/>
  <c r="T401" i="13"/>
  <c r="T367" i="13"/>
  <c r="T368" i="13"/>
  <c r="T400" i="13"/>
  <c r="T409" i="13"/>
  <c r="T424" i="13"/>
  <c r="T383" i="13"/>
  <c r="T372" i="13"/>
  <c r="T393" i="13"/>
  <c r="T360" i="13"/>
  <c r="T297" i="13"/>
  <c r="T170" i="13"/>
  <c r="T152" i="13"/>
  <c r="T268" i="13"/>
  <c r="T166" i="13"/>
  <c r="T144" i="13"/>
  <c r="T106" i="13"/>
  <c r="T314" i="13"/>
  <c r="T245" i="13"/>
  <c r="T236" i="13"/>
  <c r="T350" i="13"/>
  <c r="T292" i="13"/>
  <c r="T177" i="13"/>
  <c r="T90" i="13"/>
  <c r="T184" i="13"/>
  <c r="T255" i="13"/>
  <c r="T205" i="13"/>
  <c r="T228" i="13"/>
  <c r="T86" i="13"/>
  <c r="T50" i="13"/>
  <c r="T334" i="13"/>
  <c r="T233" i="13"/>
  <c r="T179" i="13"/>
  <c r="T48" i="13"/>
  <c r="T330" i="13"/>
  <c r="T110" i="13"/>
  <c r="T344" i="13"/>
  <c r="T276" i="13"/>
  <c r="T174" i="13"/>
  <c r="T437" i="13"/>
  <c r="T382" i="13"/>
  <c r="T390" i="13"/>
  <c r="T403" i="13"/>
  <c r="T418" i="13"/>
  <c r="T363" i="13"/>
  <c r="T398" i="13"/>
  <c r="T384" i="13"/>
  <c r="T394" i="13"/>
  <c r="T30" i="13"/>
  <c r="T322" i="13"/>
  <c r="T296" i="13"/>
  <c r="T231" i="13"/>
  <c r="T81" i="13"/>
  <c r="T47" i="13"/>
  <c r="T273" i="13"/>
  <c r="T227" i="13"/>
  <c r="T411" i="13"/>
  <c r="T159" i="13"/>
  <c r="T32" i="13"/>
  <c r="T347" i="13"/>
  <c r="T204" i="13"/>
  <c r="T151" i="13"/>
  <c r="T96" i="13"/>
  <c r="T316" i="13"/>
  <c r="T260" i="13"/>
  <c r="T222" i="13"/>
  <c r="T117" i="13"/>
  <c r="T356" i="13"/>
  <c r="T288" i="13"/>
  <c r="T196" i="13"/>
  <c r="T143" i="13"/>
  <c r="T135" i="13"/>
  <c r="T224" i="13"/>
  <c r="T149" i="13"/>
  <c r="T349" i="13"/>
  <c r="T165" i="13"/>
  <c r="T220" i="13"/>
  <c r="T78" i="13"/>
  <c r="T332" i="13"/>
  <c r="T281" i="13"/>
  <c r="T405" i="13"/>
  <c r="T433" i="13"/>
  <c r="T406" i="13"/>
  <c r="T374" i="13"/>
  <c r="T410" i="13"/>
  <c r="T434" i="13"/>
  <c r="T369" i="13"/>
  <c r="T407" i="13"/>
  <c r="T386" i="13"/>
  <c r="T25" i="13"/>
  <c r="T355" i="13"/>
  <c r="T134" i="13"/>
  <c r="T359" i="13"/>
  <c r="T324" i="13"/>
  <c r="T270" i="13"/>
  <c r="T148" i="13"/>
  <c r="T315" i="13"/>
  <c r="T181" i="13"/>
  <c r="T172" i="13"/>
  <c r="T16" i="13"/>
  <c r="T317" i="13"/>
  <c r="T299" i="13"/>
  <c r="T168" i="13"/>
  <c r="T74" i="13"/>
  <c r="T312" i="13"/>
  <c r="T256" i="13"/>
  <c r="T250" i="13"/>
  <c r="T164" i="13"/>
  <c r="T71" i="13"/>
  <c r="T45" i="13"/>
  <c r="T283" i="13"/>
  <c r="T169" i="13"/>
  <c r="T192" i="13"/>
  <c r="T338" i="13"/>
  <c r="T298" i="13"/>
  <c r="T188" i="13"/>
  <c r="T103" i="13"/>
  <c r="T300" i="13"/>
  <c r="T278" i="13"/>
  <c r="T431" i="13"/>
  <c r="T444" i="13"/>
  <c r="T442" i="13"/>
  <c r="T380" i="13"/>
  <c r="T408" i="13"/>
  <c r="T441" i="13"/>
  <c r="T378" i="13"/>
  <c r="T402" i="13"/>
  <c r="T397" i="13"/>
  <c r="T385" i="13"/>
  <c r="T370" i="13"/>
  <c r="T57" i="13"/>
  <c r="T323" i="13"/>
  <c r="T221" i="13"/>
  <c r="T167" i="13"/>
  <c r="T102" i="13"/>
  <c r="T24" i="13"/>
  <c r="T203" i="13"/>
  <c r="T325" i="13"/>
  <c r="T249" i="13"/>
  <c r="T100" i="13"/>
  <c r="T38" i="13"/>
  <c r="T295" i="13"/>
  <c r="T226" i="13"/>
  <c r="T265" i="13"/>
  <c r="T158" i="13"/>
  <c r="T313" i="13"/>
  <c r="T218" i="13"/>
  <c r="T129" i="13"/>
  <c r="T79" i="13"/>
  <c r="T15" i="13"/>
  <c r="T353" i="13"/>
  <c r="T284" i="13"/>
  <c r="T246" i="13"/>
  <c r="T160" i="13"/>
  <c r="T124" i="13"/>
  <c r="T279" i="13"/>
  <c r="T156" i="13"/>
  <c r="T333" i="13"/>
  <c r="T225" i="13"/>
  <c r="T381" i="13"/>
  <c r="T436" i="13"/>
  <c r="T377" i="13"/>
  <c r="T388" i="13"/>
  <c r="T412" i="13"/>
  <c r="T391" i="13"/>
  <c r="T379" i="13"/>
  <c r="T387" i="13"/>
  <c r="T365" i="13"/>
  <c r="T366" i="13"/>
  <c r="T425" i="13"/>
  <c r="T302" i="13"/>
  <c r="T189" i="13"/>
  <c r="T70" i="13"/>
  <c r="T56" i="13"/>
  <c r="T217" i="13"/>
  <c r="T98" i="13"/>
  <c r="T84" i="13"/>
  <c r="T12" i="13"/>
  <c r="T33" i="13"/>
  <c r="T194" i="13"/>
  <c r="T105" i="13"/>
  <c r="T112" i="13"/>
  <c r="T343" i="13"/>
  <c r="T294" i="13"/>
  <c r="T251" i="13"/>
  <c r="T101" i="13"/>
  <c r="T140" i="13"/>
  <c r="T114" i="13"/>
  <c r="T14" i="13"/>
  <c r="T85" i="13"/>
  <c r="T342" i="13"/>
  <c r="T214" i="13"/>
  <c r="T125" i="13"/>
  <c r="T280" i="13"/>
  <c r="T178" i="13"/>
  <c r="T58" i="13"/>
  <c r="T193" i="13"/>
  <c r="T8" i="13"/>
  <c r="AP440" i="13"/>
  <c r="AP362" i="13"/>
  <c r="AP396" i="13"/>
  <c r="AP404" i="13"/>
  <c r="AP361" i="13"/>
  <c r="AP422" i="13"/>
  <c r="AP376" i="13"/>
  <c r="AP443" i="13"/>
  <c r="AP428" i="13"/>
  <c r="AP375" i="13"/>
  <c r="AP415" i="13"/>
  <c r="AP395" i="13"/>
  <c r="AP373" i="13"/>
  <c r="AP340" i="13"/>
  <c r="AP271" i="13"/>
  <c r="AP157" i="13"/>
  <c r="AP212" i="13"/>
  <c r="AP127" i="13"/>
  <c r="AP23" i="13"/>
  <c r="AP92" i="13"/>
  <c r="AP351" i="13"/>
  <c r="AP185" i="13"/>
  <c r="AP208" i="13"/>
  <c r="AP66" i="13"/>
  <c r="AP28" i="13"/>
  <c r="AP43" i="13"/>
  <c r="AP354" i="13"/>
  <c r="AP264" i="13"/>
  <c r="AP162" i="13"/>
  <c r="AP73" i="13"/>
  <c r="AP80" i="13"/>
  <c r="AP10" i="13"/>
  <c r="AP311" i="13"/>
  <c r="AP262" i="13"/>
  <c r="AP219" i="13"/>
  <c r="AP69" i="13"/>
  <c r="AP108" i="13"/>
  <c r="AP68" i="13"/>
  <c r="AP46" i="13"/>
  <c r="AP339" i="13"/>
  <c r="AP290" i="13"/>
  <c r="AP247" i="13"/>
  <c r="AP65" i="13"/>
  <c r="AP104" i="13"/>
  <c r="AP138" i="13"/>
  <c r="AP352" i="13"/>
  <c r="AP257" i="13"/>
  <c r="AP182" i="13"/>
  <c r="AP75" i="13"/>
  <c r="AP22" i="13"/>
  <c r="AP304" i="13"/>
  <c r="AP285" i="13"/>
  <c r="AP239" i="13"/>
  <c r="AP121" i="13"/>
  <c r="AP21" i="13"/>
  <c r="AP326" i="13"/>
  <c r="AP161" i="13"/>
  <c r="AP438" i="13"/>
  <c r="AP419" i="13"/>
  <c r="AP432" i="13"/>
  <c r="AP371" i="13"/>
  <c r="AP429" i="13"/>
  <c r="AP392" i="13"/>
  <c r="AP413" i="13"/>
  <c r="AP417" i="13"/>
  <c r="AP399" i="13"/>
  <c r="AP328" i="13"/>
  <c r="AP272" i="13"/>
  <c r="AP234" i="13"/>
  <c r="AP180" i="13"/>
  <c r="AP95" i="13"/>
  <c r="AP55" i="13"/>
  <c r="AP51" i="13"/>
  <c r="AP319" i="13"/>
  <c r="AP230" i="13"/>
  <c r="AP176" i="13"/>
  <c r="AP155" i="13"/>
  <c r="AP27" i="13"/>
  <c r="AP64" i="13"/>
  <c r="AP320" i="13"/>
  <c r="AP269" i="13"/>
  <c r="AP223" i="13"/>
  <c r="AP126" i="13"/>
  <c r="AP146" i="13"/>
  <c r="AP42" i="13"/>
  <c r="AP291" i="13"/>
  <c r="AP241" i="13"/>
  <c r="AP187" i="13"/>
  <c r="AP154" i="13"/>
  <c r="AP76" i="13"/>
  <c r="AP235" i="13"/>
  <c r="AP41" i="13"/>
  <c r="AP307" i="13"/>
  <c r="AP258" i="13"/>
  <c r="AP215" i="13"/>
  <c r="AP150" i="13"/>
  <c r="AP72" i="13"/>
  <c r="AP52" i="13"/>
  <c r="AP308" i="13"/>
  <c r="AP286" i="13"/>
  <c r="AP243" i="13"/>
  <c r="AP132" i="13"/>
  <c r="AP54" i="13"/>
  <c r="AP337" i="13"/>
  <c r="AP282" i="13"/>
  <c r="AP207" i="13"/>
  <c r="AP89" i="13"/>
  <c r="AP53" i="13"/>
  <c r="AP327" i="13"/>
  <c r="AP238" i="13"/>
  <c r="AP426" i="13"/>
  <c r="AP427" i="13"/>
  <c r="AP414" i="13"/>
  <c r="AP420" i="13"/>
  <c r="AP430" i="13"/>
  <c r="AP435" i="13"/>
  <c r="AP423" i="13"/>
  <c r="AP389" i="13"/>
  <c r="AP364" i="13"/>
  <c r="AP329" i="13"/>
  <c r="AP303" i="13"/>
  <c r="AP202" i="13"/>
  <c r="AP145" i="13"/>
  <c r="AP63" i="13"/>
  <c r="AP31" i="13"/>
  <c r="AP34" i="13"/>
  <c r="AP267" i="13"/>
  <c r="AP198" i="13"/>
  <c r="AP141" i="13"/>
  <c r="AP123" i="13"/>
  <c r="AP59" i="13"/>
  <c r="AP216" i="13"/>
  <c r="AP321" i="13"/>
  <c r="AP266" i="13"/>
  <c r="AP191" i="13"/>
  <c r="AP94" i="13"/>
  <c r="AP107" i="13"/>
  <c r="AP37" i="13"/>
  <c r="AP259" i="13"/>
  <c r="AP209" i="13"/>
  <c r="AP253" i="13"/>
  <c r="AP122" i="13"/>
  <c r="AP36" i="13"/>
  <c r="AP171" i="13"/>
  <c r="AP357" i="13"/>
  <c r="AP287" i="13"/>
  <c r="AP237" i="13"/>
  <c r="AP183" i="13"/>
  <c r="AP118" i="13"/>
  <c r="AP93" i="13"/>
  <c r="AP18" i="13"/>
  <c r="AP309" i="13"/>
  <c r="AP254" i="13"/>
  <c r="AP211" i="13"/>
  <c r="AP128" i="13"/>
  <c r="AP17" i="13"/>
  <c r="AP305" i="13"/>
  <c r="AP229" i="13"/>
  <c r="AP175" i="13"/>
  <c r="AP142" i="13"/>
  <c r="AP345" i="13"/>
  <c r="AP275" i="13"/>
  <c r="AP206" i="13"/>
  <c r="AP401" i="13"/>
  <c r="AP367" i="13"/>
  <c r="AP368" i="13"/>
  <c r="AP400" i="13"/>
  <c r="AP409" i="13"/>
  <c r="AP424" i="13"/>
  <c r="AP383" i="13"/>
  <c r="AP372" i="13"/>
  <c r="AP393" i="13"/>
  <c r="AP360" i="13"/>
  <c r="AP297" i="13"/>
  <c r="AP277" i="13"/>
  <c r="AP170" i="13"/>
  <c r="AP113" i="13"/>
  <c r="AP152" i="13"/>
  <c r="AP82" i="13"/>
  <c r="AP29" i="13"/>
  <c r="AP268" i="13"/>
  <c r="AP166" i="13"/>
  <c r="AP109" i="13"/>
  <c r="AP91" i="13"/>
  <c r="AP144" i="13"/>
  <c r="AP106" i="13"/>
  <c r="AP314" i="13"/>
  <c r="AP245" i="13"/>
  <c r="AP236" i="13"/>
  <c r="AP62" i="13"/>
  <c r="AP44" i="13"/>
  <c r="AP350" i="13"/>
  <c r="AP292" i="13"/>
  <c r="AP177" i="13"/>
  <c r="AP232" i="13"/>
  <c r="AP90" i="13"/>
  <c r="AP35" i="13"/>
  <c r="AP184" i="13"/>
  <c r="AP346" i="13"/>
  <c r="AP255" i="13"/>
  <c r="AP205" i="13"/>
  <c r="AP228" i="13"/>
  <c r="AP86" i="13"/>
  <c r="AP11" i="13"/>
  <c r="AP50" i="13"/>
  <c r="AP334" i="13"/>
  <c r="AP233" i="13"/>
  <c r="AP179" i="13"/>
  <c r="AP48" i="13"/>
  <c r="AP49" i="13"/>
  <c r="AP330" i="13"/>
  <c r="AP197" i="13"/>
  <c r="AP252" i="13"/>
  <c r="AP110" i="13"/>
  <c r="AP344" i="13"/>
  <c r="AP276" i="13"/>
  <c r="AP174" i="13"/>
  <c r="AP437" i="13"/>
  <c r="AP382" i="13"/>
  <c r="AP390" i="13"/>
  <c r="AP403" i="13"/>
  <c r="AP418" i="13"/>
  <c r="AP363" i="13"/>
  <c r="AP398" i="13"/>
  <c r="AP384" i="13"/>
  <c r="AP394" i="13"/>
  <c r="AP30" i="13"/>
  <c r="AP322" i="13"/>
  <c r="AP296" i="13"/>
  <c r="AP231" i="13"/>
  <c r="AP81" i="13"/>
  <c r="AP120" i="13"/>
  <c r="AP47" i="13"/>
  <c r="AP358" i="13"/>
  <c r="AP273" i="13"/>
  <c r="AP227" i="13"/>
  <c r="AP411" i="13"/>
  <c r="AP159" i="13"/>
  <c r="AP32" i="13"/>
  <c r="AP67" i="13"/>
  <c r="AP347" i="13"/>
  <c r="AP213" i="13"/>
  <c r="AP204" i="13"/>
  <c r="AP151" i="13"/>
  <c r="AP96" i="13"/>
  <c r="AP316" i="13"/>
  <c r="AP260" i="13"/>
  <c r="AP222" i="13"/>
  <c r="AP200" i="13"/>
  <c r="AP147" i="13"/>
  <c r="AP40" i="13"/>
  <c r="AP117" i="13"/>
  <c r="AP356" i="13"/>
  <c r="AP288" i="13"/>
  <c r="AP173" i="13"/>
  <c r="AP196" i="13"/>
  <c r="AP143" i="13"/>
  <c r="AP135" i="13"/>
  <c r="AP13" i="13"/>
  <c r="AP335" i="13"/>
  <c r="AP201" i="13"/>
  <c r="AP224" i="13"/>
  <c r="AP149" i="13"/>
  <c r="AP349" i="13"/>
  <c r="AP331" i="13"/>
  <c r="AP165" i="13"/>
  <c r="AP220" i="13"/>
  <c r="AP78" i="13"/>
  <c r="AP332" i="13"/>
  <c r="AP281" i="13"/>
  <c r="AP445" i="13"/>
  <c r="AP431" i="13"/>
  <c r="AP405" i="13"/>
  <c r="AP433" i="13"/>
  <c r="AP406" i="13"/>
  <c r="AP374" i="13"/>
  <c r="AP410" i="13"/>
  <c r="AP434" i="13"/>
  <c r="AP369" i="13"/>
  <c r="AP407" i="13"/>
  <c r="AP386" i="13"/>
  <c r="AP25" i="13"/>
  <c r="AP355" i="13"/>
  <c r="AP274" i="13"/>
  <c r="AP199" i="13"/>
  <c r="AP134" i="13"/>
  <c r="AP88" i="13"/>
  <c r="AP359" i="13"/>
  <c r="AP324" i="13"/>
  <c r="AP270" i="13"/>
  <c r="AP195" i="13"/>
  <c r="AP77" i="13"/>
  <c r="AP148" i="13"/>
  <c r="AP139" i="13"/>
  <c r="AP20" i="13"/>
  <c r="AP315" i="13"/>
  <c r="AP181" i="13"/>
  <c r="AP172" i="13"/>
  <c r="AP119" i="13"/>
  <c r="AP16" i="13"/>
  <c r="AP317" i="13"/>
  <c r="AP299" i="13"/>
  <c r="AP190" i="13"/>
  <c r="AP168" i="13"/>
  <c r="AP115" i="13"/>
  <c r="AP39" i="13"/>
  <c r="AP74" i="13"/>
  <c r="AP312" i="13"/>
  <c r="AP256" i="13"/>
  <c r="AP250" i="13"/>
  <c r="AP164" i="13"/>
  <c r="AP111" i="13"/>
  <c r="AP71" i="13"/>
  <c r="AP45" i="13"/>
  <c r="AP283" i="13"/>
  <c r="AP169" i="13"/>
  <c r="AP192" i="13"/>
  <c r="AP131" i="13"/>
  <c r="AP338" i="13"/>
  <c r="AP298" i="13"/>
  <c r="AP242" i="13"/>
  <c r="AP188" i="13"/>
  <c r="AP103" i="13"/>
  <c r="AP300" i="13"/>
  <c r="AP278" i="13"/>
  <c r="AP416" i="13"/>
  <c r="AP421" i="13"/>
  <c r="AP444" i="13"/>
  <c r="AP442" i="13"/>
  <c r="AP380" i="13"/>
  <c r="AP408" i="13"/>
  <c r="AP441" i="13"/>
  <c r="AP378" i="13"/>
  <c r="AP402" i="13"/>
  <c r="AP397" i="13"/>
  <c r="AP385" i="13"/>
  <c r="AP370" i="13"/>
  <c r="AP57" i="13"/>
  <c r="AP323" i="13"/>
  <c r="AP221" i="13"/>
  <c r="AP167" i="13"/>
  <c r="AP102" i="13"/>
  <c r="AP24" i="13"/>
  <c r="AP203" i="13"/>
  <c r="AP325" i="13"/>
  <c r="AP249" i="13"/>
  <c r="AP163" i="13"/>
  <c r="AP130" i="13"/>
  <c r="AP116" i="13"/>
  <c r="AP100" i="13"/>
  <c r="AP38" i="13"/>
  <c r="AP295" i="13"/>
  <c r="AP226" i="13"/>
  <c r="AP137" i="13"/>
  <c r="AP87" i="13"/>
  <c r="AP248" i="13"/>
  <c r="AP310" i="13"/>
  <c r="AP265" i="13"/>
  <c r="AP158" i="13"/>
  <c r="AP133" i="13"/>
  <c r="AP83" i="13"/>
  <c r="AP61" i="13"/>
  <c r="AP60" i="13"/>
  <c r="AP313" i="13"/>
  <c r="AP293" i="13"/>
  <c r="AP218" i="13"/>
  <c r="AP129" i="13"/>
  <c r="AP79" i="13"/>
  <c r="AP15" i="13"/>
  <c r="AP353" i="13"/>
  <c r="AP284" i="13"/>
  <c r="AP246" i="13"/>
  <c r="AP160" i="13"/>
  <c r="AP124" i="13"/>
  <c r="AP348" i="13"/>
  <c r="AP279" i="13"/>
  <c r="AP210" i="13"/>
  <c r="AP156" i="13"/>
  <c r="AP26" i="13"/>
  <c r="AP333" i="13"/>
  <c r="AP225" i="13"/>
  <c r="AP439" i="13"/>
  <c r="AP381" i="13"/>
  <c r="AP436" i="13"/>
  <c r="AP377" i="13"/>
  <c r="AP8" i="13"/>
  <c r="AP388" i="13"/>
  <c r="AP412" i="13"/>
  <c r="AP391" i="13"/>
  <c r="AP379" i="13"/>
  <c r="AP387" i="13"/>
  <c r="AP365" i="13"/>
  <c r="AP366" i="13"/>
  <c r="AP425" i="13"/>
  <c r="AP341" i="13"/>
  <c r="AP302" i="13"/>
  <c r="AP189" i="13"/>
  <c r="AP244" i="13"/>
  <c r="AP70" i="13"/>
  <c r="AP56" i="13"/>
  <c r="AP99" i="13"/>
  <c r="AP318" i="13"/>
  <c r="AP217" i="13"/>
  <c r="AP240" i="13"/>
  <c r="AP98" i="13"/>
  <c r="AP84" i="13"/>
  <c r="AP12" i="13"/>
  <c r="AP33" i="13"/>
  <c r="AP263" i="13"/>
  <c r="AP194" i="13"/>
  <c r="AP105" i="13"/>
  <c r="AP112" i="13"/>
  <c r="AP9" i="13"/>
  <c r="AP343" i="13"/>
  <c r="AP294" i="13"/>
  <c r="AP251" i="13"/>
  <c r="AP101" i="13"/>
  <c r="AP140" i="13"/>
  <c r="AP114" i="13"/>
  <c r="AP14" i="13"/>
  <c r="AP306" i="13"/>
  <c r="AP261" i="13"/>
  <c r="AP186" i="13"/>
  <c r="AP97" i="13"/>
  <c r="AP136" i="13"/>
  <c r="AP85" i="13"/>
  <c r="AP342" i="13"/>
  <c r="AP289" i="13"/>
  <c r="AP214" i="13"/>
  <c r="AP125" i="13"/>
  <c r="AP19" i="13"/>
  <c r="AP336" i="13"/>
  <c r="AP280" i="13"/>
  <c r="AP178" i="13"/>
  <c r="AP153" i="13"/>
  <c r="AP58" i="13"/>
  <c r="AP301" i="13"/>
  <c r="AP193" i="13"/>
  <c r="D303" i="15"/>
  <c r="D254" i="15"/>
  <c r="D227" i="15"/>
  <c r="D86" i="15"/>
  <c r="H86" i="15" s="1"/>
  <c r="D190" i="15"/>
  <c r="D15" i="15"/>
  <c r="D102" i="15"/>
  <c r="D321" i="15"/>
  <c r="D276" i="15"/>
  <c r="D236" i="15"/>
  <c r="D171" i="15"/>
  <c r="D320" i="15"/>
  <c r="D313" i="15"/>
  <c r="D252" i="15"/>
  <c r="D310" i="15"/>
  <c r="D273" i="15"/>
  <c r="D294" i="15"/>
  <c r="D298" i="15"/>
  <c r="D280" i="15"/>
  <c r="D219" i="15"/>
  <c r="D180" i="15"/>
  <c r="D156" i="15"/>
  <c r="D119" i="15"/>
  <c r="D61" i="15"/>
  <c r="D36" i="15"/>
  <c r="D33" i="15"/>
  <c r="D153" i="15"/>
  <c r="D115" i="15"/>
  <c r="D19" i="15"/>
  <c r="D42" i="15"/>
  <c r="D177" i="15"/>
  <c r="D92" i="15"/>
  <c r="D27" i="15"/>
  <c r="D192" i="15"/>
  <c r="D160" i="15"/>
  <c r="D204" i="15"/>
  <c r="D172" i="15"/>
  <c r="D140" i="15"/>
  <c r="D46" i="15"/>
  <c r="D34" i="15"/>
  <c r="D205" i="15"/>
  <c r="D161" i="15"/>
  <c r="H161" i="15" s="1"/>
  <c r="D83" i="15"/>
  <c r="D225" i="15"/>
  <c r="D187" i="15"/>
  <c r="D56" i="15"/>
  <c r="D35" i="15"/>
  <c r="D159" i="15"/>
  <c r="D68" i="15"/>
  <c r="D48" i="15"/>
  <c r="D300" i="15"/>
  <c r="D307" i="15"/>
  <c r="D308" i="15"/>
  <c r="D295" i="15"/>
  <c r="D301" i="15"/>
  <c r="D311" i="15"/>
  <c r="D316" i="15"/>
  <c r="D304" i="15"/>
  <c r="D270" i="15"/>
  <c r="D245" i="15"/>
  <c r="D220" i="15"/>
  <c r="D202" i="15"/>
  <c r="D91" i="15"/>
  <c r="D41" i="15"/>
  <c r="D21" i="15"/>
  <c r="D24" i="15"/>
  <c r="H24" i="15" s="1"/>
  <c r="D132" i="15"/>
  <c r="D40" i="15"/>
  <c r="D141" i="15"/>
  <c r="D214" i="15"/>
  <c r="D127" i="15"/>
  <c r="D60" i="15"/>
  <c r="D71" i="15"/>
  <c r="D25" i="15"/>
  <c r="D173" i="15"/>
  <c r="D168" i="15"/>
  <c r="D111" i="15"/>
  <c r="D239" i="15"/>
  <c r="D158" i="15"/>
  <c r="D122" i="15"/>
  <c r="D77" i="15"/>
  <c r="D59" i="15"/>
  <c r="D138" i="15"/>
  <c r="D81" i="15"/>
  <c r="D14" i="15"/>
  <c r="D203" i="15"/>
  <c r="D114" i="15"/>
  <c r="D88" i="15"/>
  <c r="D136" i="15"/>
  <c r="D309" i="15"/>
  <c r="D234" i="15"/>
  <c r="D103" i="15"/>
  <c r="D72" i="15"/>
  <c r="D164" i="15"/>
  <c r="D121" i="15"/>
  <c r="D302" i="15"/>
  <c r="D326" i="15"/>
  <c r="D282" i="15"/>
  <c r="D248" i="15"/>
  <c r="D249" i="15"/>
  <c r="D281" i="15"/>
  <c r="D290" i="15"/>
  <c r="D305" i="15"/>
  <c r="D264" i="15"/>
  <c r="D253" i="15"/>
  <c r="D274" i="15"/>
  <c r="D241" i="15"/>
  <c r="D197" i="15"/>
  <c r="D110" i="15"/>
  <c r="D96" i="15"/>
  <c r="D176" i="15"/>
  <c r="D106" i="15"/>
  <c r="D90" i="15"/>
  <c r="D70" i="15"/>
  <c r="D209" i="15"/>
  <c r="D162" i="15"/>
  <c r="D157" i="15"/>
  <c r="D233" i="15"/>
  <c r="D193" i="15"/>
  <c r="D116" i="15"/>
  <c r="D57" i="15"/>
  <c r="D123" i="15"/>
  <c r="D169" i="15"/>
  <c r="D135" i="15"/>
  <c r="D152" i="15"/>
  <c r="D55" i="15"/>
  <c r="D32" i="15"/>
  <c r="D224" i="15"/>
  <c r="D155" i="15"/>
  <c r="D118" i="15"/>
  <c r="D31" i="15"/>
  <c r="D221" i="15"/>
  <c r="D73" i="15"/>
  <c r="D230" i="15"/>
  <c r="D182" i="15"/>
  <c r="D113" i="15"/>
  <c r="D277" i="15"/>
  <c r="D296" i="15"/>
  <c r="D137" i="15"/>
  <c r="D28" i="15"/>
  <c r="D9" i="15"/>
  <c r="D144" i="15"/>
  <c r="D78" i="15"/>
  <c r="D312" i="15"/>
  <c r="D318" i="15"/>
  <c r="D263" i="15"/>
  <c r="D271" i="15"/>
  <c r="D284" i="15"/>
  <c r="D299" i="15"/>
  <c r="D244" i="15"/>
  <c r="D279" i="15"/>
  <c r="D265" i="15"/>
  <c r="D275" i="15"/>
  <c r="D20" i="15"/>
  <c r="D215" i="15"/>
  <c r="D196" i="15"/>
  <c r="D154" i="15"/>
  <c r="D52" i="15"/>
  <c r="D30" i="15"/>
  <c r="D181" i="15"/>
  <c r="D151" i="15"/>
  <c r="D292" i="15"/>
  <c r="D100" i="15"/>
  <c r="D22" i="15"/>
  <c r="H22" i="15" s="1"/>
  <c r="D231" i="15"/>
  <c r="D134" i="15"/>
  <c r="D95" i="15"/>
  <c r="D62" i="15"/>
  <c r="D211" i="15"/>
  <c r="D174" i="15"/>
  <c r="D147" i="15"/>
  <c r="D76" i="15"/>
  <c r="D238" i="15"/>
  <c r="D191" i="15"/>
  <c r="D131" i="15"/>
  <c r="D89" i="15"/>
  <c r="D85" i="15"/>
  <c r="D148" i="15"/>
  <c r="D94" i="15"/>
  <c r="D232" i="15"/>
  <c r="D105" i="15"/>
  <c r="D145" i="15"/>
  <c r="D49" i="15"/>
  <c r="D222" i="15"/>
  <c r="D186" i="15"/>
  <c r="D242" i="15"/>
  <c r="D256" i="15"/>
  <c r="D98" i="15"/>
  <c r="D124" i="15"/>
  <c r="D206" i="15"/>
  <c r="D43" i="15"/>
  <c r="D319" i="15"/>
  <c r="D297" i="15"/>
  <c r="D286" i="15"/>
  <c r="D314" i="15"/>
  <c r="D287" i="15"/>
  <c r="D255" i="15"/>
  <c r="D291" i="15"/>
  <c r="D315" i="15"/>
  <c r="D250" i="15"/>
  <c r="D288" i="15"/>
  <c r="D267" i="15"/>
  <c r="D18" i="15"/>
  <c r="D237" i="15"/>
  <c r="D84" i="15"/>
  <c r="D240" i="15"/>
  <c r="D217" i="15"/>
  <c r="D178" i="15"/>
  <c r="D93" i="15"/>
  <c r="D210" i="15"/>
  <c r="D120" i="15"/>
  <c r="D112" i="15"/>
  <c r="D13" i="15"/>
  <c r="D212" i="15"/>
  <c r="D199" i="15"/>
  <c r="D108" i="15"/>
  <c r="D47" i="15"/>
  <c r="D207" i="15"/>
  <c r="D170" i="15"/>
  <c r="D166" i="15"/>
  <c r="D104" i="15"/>
  <c r="D45" i="15"/>
  <c r="D29" i="15"/>
  <c r="D188" i="15"/>
  <c r="D109" i="15"/>
  <c r="D128" i="15"/>
  <c r="D226" i="15"/>
  <c r="D198" i="15"/>
  <c r="D125" i="15"/>
  <c r="D67" i="15"/>
  <c r="D200" i="15"/>
  <c r="D183" i="15"/>
  <c r="D243" i="15"/>
  <c r="D285" i="15"/>
  <c r="D257" i="15"/>
  <c r="D16" i="15"/>
  <c r="D51" i="15"/>
  <c r="D323" i="15"/>
  <c r="D261" i="15"/>
  <c r="D289" i="15"/>
  <c r="D322" i="15"/>
  <c r="D259" i="15"/>
  <c r="D283" i="15"/>
  <c r="D278" i="15"/>
  <c r="D266" i="15"/>
  <c r="D251" i="15"/>
  <c r="D38" i="15"/>
  <c r="D216" i="15"/>
  <c r="D146" i="15"/>
  <c r="D107" i="15"/>
  <c r="D66" i="15"/>
  <c r="D17" i="15"/>
  <c r="D133" i="15"/>
  <c r="D218" i="15"/>
  <c r="D165" i="15"/>
  <c r="D64" i="15"/>
  <c r="D26" i="15"/>
  <c r="D195" i="15"/>
  <c r="D150" i="15"/>
  <c r="D175" i="15"/>
  <c r="D99" i="15"/>
  <c r="D208" i="15"/>
  <c r="D143" i="15"/>
  <c r="D82" i="15"/>
  <c r="D50" i="15"/>
  <c r="D12" i="15"/>
  <c r="D235" i="15"/>
  <c r="D189" i="15"/>
  <c r="D163" i="15"/>
  <c r="D101" i="15"/>
  <c r="D79" i="15"/>
  <c r="D184" i="15"/>
  <c r="D97" i="15"/>
  <c r="D223" i="15"/>
  <c r="D149" i="15"/>
  <c r="D324" i="15"/>
  <c r="D179" i="15"/>
  <c r="D58" i="15"/>
  <c r="D325" i="15"/>
  <c r="D262" i="15"/>
  <c r="D317" i="15"/>
  <c r="D258" i="15"/>
  <c r="D8" i="15"/>
  <c r="D269" i="15"/>
  <c r="D293" i="15"/>
  <c r="D272" i="15"/>
  <c r="D260" i="15"/>
  <c r="D268" i="15"/>
  <c r="D246" i="15"/>
  <c r="D247" i="15"/>
  <c r="D306" i="15"/>
  <c r="D201" i="15"/>
  <c r="D126" i="15"/>
  <c r="D44" i="15"/>
  <c r="D37" i="15"/>
  <c r="D142" i="15"/>
  <c r="D63" i="15"/>
  <c r="D53" i="15"/>
  <c r="D10" i="15"/>
  <c r="D23" i="15"/>
  <c r="D130" i="15"/>
  <c r="D69" i="15"/>
  <c r="D74" i="15"/>
  <c r="D229" i="15"/>
  <c r="D194" i="15"/>
  <c r="D167" i="15"/>
  <c r="D65" i="15"/>
  <c r="D87" i="15"/>
  <c r="H87" i="15" s="1"/>
  <c r="D75" i="15"/>
  <c r="D11" i="15"/>
  <c r="D54" i="15"/>
  <c r="D228" i="15"/>
  <c r="D139" i="15"/>
  <c r="D80" i="15"/>
  <c r="D185" i="15"/>
  <c r="D117" i="15"/>
  <c r="H117" i="15" s="1"/>
  <c r="D39" i="15"/>
  <c r="D129" i="15"/>
  <c r="P19" i="9"/>
  <c r="P15" i="9"/>
  <c r="P11" i="9"/>
  <c r="P14" i="9"/>
  <c r="P18" i="9"/>
  <c r="P12" i="9"/>
  <c r="P16" i="9"/>
  <c r="P10" i="9"/>
  <c r="P17" i="9"/>
  <c r="P13" i="9"/>
  <c r="P20" i="9"/>
  <c r="F20" i="12"/>
  <c r="G10" i="22"/>
  <c r="G166" i="15"/>
  <c r="G259" i="15"/>
  <c r="G264" i="15"/>
  <c r="G282" i="15"/>
  <c r="G260" i="15"/>
  <c r="G274" i="15"/>
  <c r="G316" i="15"/>
  <c r="G258" i="15"/>
  <c r="G273" i="15"/>
  <c r="G285" i="15"/>
  <c r="G271" i="15"/>
  <c r="G244" i="15"/>
  <c r="G313" i="15"/>
  <c r="G298" i="15"/>
  <c r="G261" i="15"/>
  <c r="G242" i="15"/>
  <c r="G277" i="15"/>
  <c r="G297" i="15"/>
  <c r="G322" i="15"/>
  <c r="G250" i="15"/>
  <c r="G312" i="15"/>
  <c r="G302" i="15"/>
  <c r="G308" i="15"/>
  <c r="G305" i="15"/>
  <c r="G301" i="15"/>
  <c r="G279" i="15"/>
  <c r="G307" i="15"/>
  <c r="G300" i="15"/>
  <c r="G272" i="15"/>
  <c r="G265" i="15"/>
  <c r="G252" i="15"/>
  <c r="G290" i="15"/>
  <c r="G251" i="15"/>
  <c r="G319" i="15"/>
  <c r="G293" i="15"/>
  <c r="G270" i="15"/>
  <c r="G247" i="15"/>
  <c r="G263" i="15"/>
  <c r="G288" i="15"/>
  <c r="G304" i="15"/>
  <c r="G295" i="15"/>
  <c r="G323" i="15"/>
  <c r="G240" i="15"/>
  <c r="G257" i="15"/>
  <c r="G309" i="15"/>
  <c r="G310" i="15"/>
  <c r="G254" i="15"/>
  <c r="G276" i="15"/>
  <c r="G284" i="15"/>
  <c r="G292" i="15"/>
  <c r="G241" i="15"/>
  <c r="G315" i="15"/>
  <c r="G326" i="15"/>
  <c r="G318" i="15"/>
  <c r="G268" i="15"/>
  <c r="G321" i="15"/>
  <c r="G262" i="15"/>
  <c r="G249" i="15"/>
  <c r="G245" i="15"/>
  <c r="G283" i="15"/>
  <c r="G246" i="15"/>
  <c r="G256" i="15"/>
  <c r="G311" i="15"/>
  <c r="G294" i="15"/>
  <c r="G280" i="15"/>
  <c r="G255" i="15"/>
  <c r="G248" i="15"/>
  <c r="G289" i="15"/>
  <c r="G296" i="15"/>
  <c r="G269" i="15"/>
  <c r="G267" i="15"/>
  <c r="G303" i="15"/>
  <c r="G281" i="15"/>
  <c r="G317" i="15"/>
  <c r="G324" i="15"/>
  <c r="G278" i="15"/>
  <c r="G320" i="15"/>
  <c r="G287" i="15"/>
  <c r="G306" i="15"/>
  <c r="G266" i="15"/>
  <c r="G286" i="15"/>
  <c r="G253" i="15"/>
  <c r="G299" i="15"/>
  <c r="G325" i="15"/>
  <c r="G314" i="15"/>
  <c r="G275" i="15"/>
  <c r="G291" i="15"/>
  <c r="G243" i="15"/>
  <c r="AQ35" i="13"/>
  <c r="AQ26" i="13"/>
  <c r="AQ119" i="13"/>
  <c r="AQ153" i="13"/>
  <c r="AQ326" i="13"/>
  <c r="AQ186" i="13"/>
  <c r="AQ212" i="13"/>
  <c r="AQ115" i="13"/>
  <c r="AQ264" i="13"/>
  <c r="AQ111" i="13"/>
  <c r="AQ65" i="13"/>
  <c r="AQ49" i="13"/>
  <c r="AQ346" i="13"/>
  <c r="AQ263" i="13"/>
  <c r="AQ239" i="13"/>
  <c r="AQ207" i="13"/>
  <c r="AQ261" i="13"/>
  <c r="AQ155" i="13"/>
  <c r="AQ341" i="13"/>
  <c r="AQ232" i="13"/>
  <c r="AQ200" i="13"/>
  <c r="AQ173" i="13"/>
  <c r="AQ136" i="13"/>
  <c r="AQ113" i="13"/>
  <c r="AQ262" i="13"/>
  <c r="AQ82" i="13"/>
  <c r="AQ39" i="13"/>
  <c r="AQ46" i="13"/>
  <c r="AQ320" i="13"/>
  <c r="AQ290" i="13"/>
  <c r="AQ244" i="13"/>
  <c r="AQ13" i="13"/>
  <c r="AQ28" i="13"/>
  <c r="AQ201" i="13"/>
  <c r="AQ36" i="13"/>
  <c r="AQ87" i="13"/>
  <c r="AQ319" i="13"/>
  <c r="AQ199" i="13"/>
  <c r="AQ83" i="13"/>
  <c r="AQ76" i="13"/>
  <c r="AQ289" i="13"/>
  <c r="AQ235" i="13"/>
  <c r="AQ197" i="13"/>
  <c r="AQ137" i="13"/>
  <c r="AQ73" i="13"/>
  <c r="AQ41" i="13"/>
  <c r="AQ40" i="13"/>
  <c r="AQ310" i="13"/>
  <c r="AQ287" i="13"/>
  <c r="AQ126" i="13"/>
  <c r="AQ62" i="13"/>
  <c r="AQ131" i="13"/>
  <c r="AQ11" i="13"/>
  <c r="AQ306" i="13"/>
  <c r="AQ327" i="13"/>
  <c r="AQ293" i="13"/>
  <c r="AQ242" i="13"/>
  <c r="AQ223" i="13"/>
  <c r="AQ150" i="13"/>
  <c r="AQ77" i="13"/>
  <c r="AQ352" i="13"/>
  <c r="AQ209" i="13"/>
  <c r="AQ67" i="13"/>
  <c r="AQ348" i="13"/>
  <c r="AQ286" i="13"/>
  <c r="AQ163" i="13"/>
  <c r="AQ88" i="13"/>
  <c r="AQ97" i="13"/>
  <c r="AQ60" i="13"/>
  <c r="AQ210" i="13"/>
  <c r="AQ252" i="13"/>
  <c r="AQ139" i="13"/>
  <c r="AQ20" i="13"/>
  <c r="AQ9" i="13"/>
  <c r="AQ304" i="13"/>
  <c r="AQ229" i="13"/>
  <c r="AQ66" i="13"/>
  <c r="AQ64" i="13"/>
  <c r="AQ309" i="13"/>
  <c r="AQ274" i="13"/>
  <c r="AQ202" i="13"/>
  <c r="AQ99" i="13"/>
  <c r="AQ29" i="13"/>
  <c r="AQ44" i="13"/>
  <c r="AQ267" i="13"/>
  <c r="AQ122" i="13"/>
  <c r="AQ127" i="13"/>
  <c r="AQ54" i="13"/>
  <c r="AQ318" i="13"/>
  <c r="AQ91" i="13"/>
  <c r="AQ141" i="13"/>
  <c r="AQ109" i="13"/>
  <c r="AQ248" i="13"/>
  <c r="AQ275" i="13"/>
  <c r="AQ187" i="13"/>
  <c r="AQ335" i="13"/>
  <c r="AQ147" i="13"/>
  <c r="AQ331" i="13"/>
  <c r="AQ195" i="13"/>
  <c r="AQ120" i="13"/>
  <c r="AQ345" i="13"/>
  <c r="AQ277" i="13"/>
  <c r="AQ254" i="13"/>
  <c r="AQ61" i="13"/>
  <c r="AQ213" i="13"/>
  <c r="AQ19" i="13"/>
  <c r="AQ358" i="13"/>
  <c r="AQ340" i="13"/>
  <c r="AQ190" i="13"/>
  <c r="AQ130" i="13"/>
  <c r="AQ336" i="13"/>
  <c r="AQ133" i="13"/>
  <c r="AQ69" i="13"/>
  <c r="AQ18" i="13"/>
  <c r="AQ240" i="13"/>
  <c r="AQ154" i="13"/>
  <c r="AQ22" i="13"/>
  <c r="AQ301" i="13"/>
  <c r="AQ266" i="13"/>
  <c r="AQ123" i="13"/>
  <c r="AQ116" i="13"/>
  <c r="Q253" i="13"/>
  <c r="Q37" i="13"/>
  <c r="Q237" i="13"/>
  <c r="Q17" i="13"/>
  <c r="Q305" i="13"/>
  <c r="Q206" i="13"/>
  <c r="Q297" i="13"/>
  <c r="Q170" i="13"/>
  <c r="Q152" i="13"/>
  <c r="Q268" i="13"/>
  <c r="Q166" i="13"/>
  <c r="Q184" i="13"/>
  <c r="Q48" i="13"/>
  <c r="Q171" i="13"/>
  <c r="Q118" i="13"/>
  <c r="Q47" i="13"/>
  <c r="Q204" i="13"/>
  <c r="Q151" i="13"/>
  <c r="Q260" i="13"/>
  <c r="Q222" i="13"/>
  <c r="Q356" i="13"/>
  <c r="Q288" i="13"/>
  <c r="Q196" i="13"/>
  <c r="Q143" i="13"/>
  <c r="Q135" i="13"/>
  <c r="Q224" i="13"/>
  <c r="Q349" i="13"/>
  <c r="Q321" i="13"/>
  <c r="Q211" i="13"/>
  <c r="Q134" i="13"/>
  <c r="Q359" i="13"/>
  <c r="Q270" i="13"/>
  <c r="Q74" i="13"/>
  <c r="Q71" i="13"/>
  <c r="Q31" i="13"/>
  <c r="Q93" i="13"/>
  <c r="Q24" i="13"/>
  <c r="Q100" i="13"/>
  <c r="Q38" i="13"/>
  <c r="Q295" i="13"/>
  <c r="Q226" i="13"/>
  <c r="Q265" i="13"/>
  <c r="Q158" i="13"/>
  <c r="Q313" i="13"/>
  <c r="Q218" i="13"/>
  <c r="Q129" i="13"/>
  <c r="Q353" i="13"/>
  <c r="Q284" i="13"/>
  <c r="Q246" i="13"/>
  <c r="Q160" i="13"/>
  <c r="Q279" i="13"/>
  <c r="Q156" i="13"/>
  <c r="Q94" i="13"/>
  <c r="Q175" i="13"/>
  <c r="Q302" i="13"/>
  <c r="Q189" i="13"/>
  <c r="Q70" i="13"/>
  <c r="Q217" i="13"/>
  <c r="Q98" i="13"/>
  <c r="Q84" i="13"/>
  <c r="Q12" i="13"/>
  <c r="Q112" i="13"/>
  <c r="Q191" i="13"/>
  <c r="Q23" i="13"/>
  <c r="Q354" i="13"/>
  <c r="Q80" i="13"/>
  <c r="Q311" i="13"/>
  <c r="Q104" i="13"/>
  <c r="Q182" i="13"/>
  <c r="Q75" i="13"/>
  <c r="Q285" i="13"/>
  <c r="Q121" i="13"/>
  <c r="Q259" i="13"/>
  <c r="Q272" i="13"/>
  <c r="Q234" i="13"/>
  <c r="Q95" i="13"/>
  <c r="Q230" i="13"/>
  <c r="Q176" i="13"/>
  <c r="Q27" i="13"/>
  <c r="Q52" i="13"/>
  <c r="Q34" i="13"/>
  <c r="Q276" i="13"/>
  <c r="Q241" i="13"/>
  <c r="Q238" i="13"/>
  <c r="Q307" i="13"/>
  <c r="Q53" i="13"/>
  <c r="Q258" i="13"/>
  <c r="Q215" i="13"/>
  <c r="Q42" i="13"/>
  <c r="Q89" i="13"/>
  <c r="Q21" i="13"/>
  <c r="B492" i="17"/>
  <c r="H491" i="17"/>
  <c r="Q138" i="13"/>
  <c r="Q110" i="13"/>
  <c r="Q344" i="13"/>
  <c r="Q334" i="13"/>
  <c r="Q233" i="13"/>
  <c r="Q205" i="13"/>
  <c r="Q174" i="13"/>
  <c r="Q228" i="13"/>
  <c r="Q330" i="13"/>
  <c r="Q161" i="13"/>
  <c r="Q208" i="13"/>
  <c r="Q269" i="13"/>
  <c r="Q92" i="13"/>
  <c r="Q314" i="13"/>
  <c r="Q350" i="13"/>
  <c r="Q194" i="13"/>
  <c r="Q342" i="13"/>
  <c r="Q55" i="13"/>
  <c r="Q59" i="13"/>
  <c r="Q157" i="13"/>
  <c r="Q145" i="13"/>
  <c r="Q101" i="13"/>
  <c r="Q114" i="13"/>
  <c r="Q140" i="13"/>
  <c r="Q280" i="13"/>
  <c r="Q85" i="13"/>
  <c r="Q193" i="13"/>
  <c r="Q14" i="13"/>
  <c r="Q251" i="13"/>
  <c r="Q58" i="13"/>
  <c r="Q105" i="13"/>
  <c r="Q300" i="13"/>
  <c r="Q315" i="13"/>
  <c r="Q78" i="13"/>
  <c r="Q281" i="13"/>
  <c r="Q149" i="13"/>
  <c r="Q332" i="13"/>
  <c r="Q159" i="13"/>
  <c r="Q298" i="13"/>
  <c r="Q338" i="13"/>
  <c r="Q103" i="13"/>
  <c r="Q181" i="13"/>
  <c r="Q164" i="13"/>
  <c r="Q278" i="13"/>
  <c r="Q45" i="13"/>
  <c r="Q317" i="13"/>
  <c r="Q32" i="13"/>
  <c r="Q102" i="13"/>
  <c r="Q225" i="13"/>
  <c r="Q221" i="13"/>
  <c r="Q333" i="13"/>
  <c r="Q325" i="13"/>
  <c r="Q117" i="13"/>
  <c r="Q323" i="13"/>
  <c r="Q411" i="13"/>
  <c r="Q322" i="13"/>
  <c r="Q231" i="13"/>
  <c r="Q30" i="13"/>
  <c r="Q329" i="13"/>
  <c r="Q271" i="13"/>
  <c r="Q81" i="13"/>
  <c r="Q273" i="13"/>
  <c r="Q227" i="13"/>
  <c r="Q15" i="13"/>
  <c r="Q124" i="13"/>
  <c r="Q236" i="13"/>
  <c r="Q292" i="13"/>
  <c r="Q108" i="13"/>
  <c r="Q312" i="13"/>
  <c r="Q72" i="13"/>
  <c r="Q169" i="13"/>
  <c r="Q192" i="13"/>
  <c r="Q132" i="13"/>
  <c r="Q303" i="13"/>
  <c r="Q56" i="13"/>
  <c r="Q16" i="13"/>
  <c r="Q249" i="13"/>
  <c r="Q33" i="13"/>
  <c r="Q245" i="13"/>
  <c r="Q172" i="13"/>
  <c r="Q316" i="13"/>
  <c r="Q299" i="13"/>
  <c r="Q219" i="13"/>
  <c r="Q43" i="13"/>
  <c r="Q339" i="13"/>
  <c r="Q250" i="13"/>
  <c r="Q308" i="13"/>
  <c r="Q214" i="13"/>
  <c r="Q125" i="13"/>
  <c r="Q68" i="13"/>
  <c r="Q355" i="13"/>
  <c r="Q296" i="13"/>
  <c r="Q167" i="13"/>
  <c r="Q324" i="13"/>
  <c r="Q185" i="13"/>
  <c r="Q178" i="13"/>
  <c r="Q188" i="13"/>
  <c r="Q106" i="13"/>
  <c r="Q343" i="13"/>
  <c r="Q294" i="13"/>
  <c r="Q168" i="13"/>
  <c r="Q282" i="13"/>
  <c r="Q51" i="13"/>
  <c r="Q255" i="13"/>
  <c r="Q247" i="13"/>
  <c r="Q86" i="13"/>
  <c r="Q220" i="13"/>
  <c r="Q203" i="13"/>
  <c r="Q283" i="13"/>
  <c r="Q243" i="13"/>
  <c r="Q146" i="13"/>
  <c r="Q165" i="13"/>
  <c r="Q25" i="13"/>
  <c r="Q57" i="13"/>
  <c r="Q180" i="13"/>
  <c r="Q63" i="13"/>
  <c r="Q337" i="13"/>
  <c r="Q351" i="13"/>
  <c r="Q198" i="13"/>
  <c r="Q148" i="13"/>
  <c r="Q142" i="13"/>
  <c r="Q216" i="13"/>
  <c r="Q347" i="13"/>
  <c r="Q162" i="13"/>
  <c r="Q144" i="13"/>
  <c r="Q128" i="13"/>
  <c r="Q10" i="13"/>
  <c r="Q291" i="13"/>
  <c r="Q177" i="13"/>
  <c r="Q90" i="13"/>
  <c r="Q64" i="13"/>
  <c r="Q357" i="13"/>
  <c r="Q256" i="13"/>
  <c r="Q183" i="13"/>
  <c r="Q79" i="13"/>
  <c r="Q96" i="13"/>
  <c r="Q50" i="13"/>
  <c r="Q257" i="13"/>
  <c r="Q179" i="13"/>
  <c r="Q107" i="13"/>
  <c r="Q328" i="13"/>
  <c r="Q430" i="13"/>
  <c r="Q435" i="13"/>
  <c r="Q423" i="13"/>
  <c r="Q389" i="13"/>
  <c r="Q364" i="13"/>
  <c r="Q394" i="13"/>
  <c r="Q400" i="13"/>
  <c r="Q409" i="13"/>
  <c r="Q424" i="13"/>
  <c r="Q383" i="13"/>
  <c r="Q372" i="13"/>
  <c r="Q393" i="13"/>
  <c r="Q390" i="13"/>
  <c r="Q403" i="13"/>
  <c r="Q418" i="13"/>
  <c r="Q363" i="13"/>
  <c r="Q398" i="13"/>
  <c r="Q384" i="13"/>
  <c r="Q374" i="13"/>
  <c r="Q410" i="13"/>
  <c r="Q434" i="13"/>
  <c r="Q369" i="13"/>
  <c r="Q407" i="13"/>
  <c r="Q386" i="13"/>
  <c r="Q370" i="13"/>
  <c r="Q408" i="13"/>
  <c r="Q441" i="13"/>
  <c r="Q378" i="13"/>
  <c r="Q402" i="13"/>
  <c r="Q397" i="13"/>
  <c r="Q385" i="13"/>
  <c r="Q412" i="13"/>
  <c r="Q391" i="13"/>
  <c r="Q379" i="13"/>
  <c r="Q387" i="13"/>
  <c r="Q365" i="13"/>
  <c r="Q366" i="13"/>
  <c r="Q425" i="13"/>
  <c r="Q399" i="13"/>
  <c r="Q376" i="13"/>
  <c r="Q443" i="13"/>
  <c r="Q428" i="13"/>
  <c r="Q375" i="13"/>
  <c r="Q415" i="13"/>
  <c r="Q395" i="13"/>
  <c r="Q373" i="13"/>
  <c r="Q432" i="13"/>
  <c r="Q371" i="13"/>
  <c r="Q429" i="13"/>
  <c r="Q392" i="13"/>
  <c r="Q413" i="13"/>
  <c r="Q417" i="13"/>
  <c r="Q360" i="13"/>
  <c r="AQ371" i="13"/>
  <c r="AQ342" i="13"/>
  <c r="Q437" i="13"/>
  <c r="AQ55" i="13"/>
  <c r="AQ231" i="13"/>
  <c r="AQ94" i="13"/>
  <c r="AQ117" i="13"/>
  <c r="AQ442" i="13"/>
  <c r="AQ344" i="13"/>
  <c r="AQ437" i="13"/>
  <c r="AQ272" i="13"/>
  <c r="AQ259" i="13"/>
  <c r="AQ71" i="13"/>
  <c r="AQ427" i="13"/>
  <c r="AQ281" i="13"/>
  <c r="AQ297" i="13"/>
  <c r="AQ416" i="13"/>
  <c r="Q439" i="13"/>
  <c r="AQ42" i="13"/>
  <c r="AQ329" i="13"/>
  <c r="AQ278" i="13"/>
  <c r="AQ397" i="13"/>
  <c r="AQ383" i="13"/>
  <c r="AQ408" i="13"/>
  <c r="AQ23" i="13"/>
  <c r="AQ421" i="13"/>
  <c r="Q438" i="13"/>
  <c r="AQ10" i="13"/>
  <c r="Q416" i="13"/>
  <c r="AQ257" i="13"/>
  <c r="AQ105" i="13"/>
  <c r="AQ374" i="13"/>
  <c r="AQ25" i="13"/>
  <c r="AQ56" i="13"/>
  <c r="Q405" i="13"/>
  <c r="Q367" i="13"/>
  <c r="AQ234" i="13"/>
  <c r="AQ167" i="13"/>
  <c r="AQ228" i="13"/>
  <c r="AQ164" i="13"/>
  <c r="AQ193" i="13"/>
  <c r="AQ161" i="13"/>
  <c r="Q382" i="13"/>
  <c r="Q433" i="13"/>
  <c r="AQ34" i="13"/>
  <c r="AQ166" i="13"/>
  <c r="AQ393" i="13"/>
  <c r="AQ160" i="13"/>
  <c r="AQ189" i="13"/>
  <c r="AQ157" i="13"/>
  <c r="AQ417" i="13"/>
  <c r="AQ72" i="13"/>
  <c r="AQ411" i="13"/>
  <c r="AQ414" i="13"/>
  <c r="AQ32" i="13"/>
  <c r="AQ372" i="13"/>
  <c r="AQ15" i="13"/>
  <c r="AQ418" i="13"/>
  <c r="Q442" i="13"/>
  <c r="AQ317" i="13"/>
  <c r="AQ400" i="13"/>
  <c r="AQ194" i="13"/>
  <c r="AQ162" i="13"/>
  <c r="AQ172" i="13"/>
  <c r="AQ134" i="13"/>
  <c r="AQ70" i="13"/>
  <c r="AQ430" i="13"/>
  <c r="AQ445" i="13"/>
  <c r="AQ53" i="13"/>
  <c r="AQ52" i="13"/>
  <c r="AQ357" i="13"/>
  <c r="AQ203" i="13"/>
  <c r="AQ165" i="13"/>
  <c r="AQ366" i="13"/>
  <c r="AQ350" i="13"/>
  <c r="Q396" i="13"/>
  <c r="AQ260" i="13"/>
  <c r="AQ169" i="13"/>
  <c r="AQ409" i="13"/>
  <c r="Q421" i="13"/>
  <c r="AQ58" i="13"/>
  <c r="AQ330" i="13"/>
  <c r="AQ298" i="13"/>
  <c r="AQ307" i="13"/>
  <c r="AQ308" i="13"/>
  <c r="AQ158" i="13"/>
  <c r="AQ168" i="13"/>
  <c r="AQ98" i="13"/>
  <c r="AQ135" i="13"/>
  <c r="AQ96" i="13"/>
  <c r="AQ390" i="13"/>
  <c r="AQ438" i="13"/>
  <c r="AQ440" i="13"/>
  <c r="AQ343" i="13"/>
  <c r="AQ325" i="13"/>
  <c r="AQ406" i="13"/>
  <c r="AQ379" i="13"/>
  <c r="AQ108" i="13"/>
  <c r="AQ43" i="13"/>
  <c r="AQ321" i="13"/>
  <c r="AQ322" i="13"/>
  <c r="AQ316" i="13"/>
  <c r="AQ246" i="13"/>
  <c r="AQ214" i="13"/>
  <c r="AQ152" i="13"/>
  <c r="AQ145" i="13"/>
  <c r="AQ16" i="13"/>
  <c r="AQ424" i="13"/>
  <c r="Q361" i="13"/>
  <c r="Q422" i="13"/>
  <c r="AQ292" i="13"/>
  <c r="AQ279" i="13"/>
  <c r="Q388" i="13"/>
  <c r="AQ359" i="13"/>
  <c r="AQ191" i="13"/>
  <c r="AQ159" i="13"/>
  <c r="AQ75" i="13"/>
  <c r="AQ132" i="13"/>
  <c r="AQ68" i="13"/>
  <c r="AQ436" i="13"/>
  <c r="AQ443" i="13"/>
  <c r="AQ434" i="13"/>
  <c r="AQ100" i="13"/>
  <c r="AQ362" i="13"/>
  <c r="Q436" i="13"/>
  <c r="AQ439" i="13"/>
  <c r="AQ255" i="13"/>
  <c r="Q444" i="13"/>
  <c r="AQ90" i="13"/>
  <c r="AQ433" i="13"/>
  <c r="AQ236" i="13"/>
  <c r="AQ294" i="13"/>
  <c r="AQ381" i="13"/>
  <c r="AQ296" i="13"/>
  <c r="AQ27" i="13"/>
  <c r="AQ283" i="13"/>
  <c r="AQ179" i="13"/>
  <c r="AQ208" i="13"/>
  <c r="Q427" i="13"/>
  <c r="AQ81" i="13"/>
  <c r="AQ420" i="13"/>
  <c r="AQ396" i="13"/>
  <c r="AQ291" i="13"/>
  <c r="AQ219" i="13"/>
  <c r="AQ121" i="13"/>
  <c r="AQ24" i="13"/>
  <c r="AQ250" i="13"/>
  <c r="AQ218" i="13"/>
  <c r="AQ183" i="13"/>
  <c r="AQ180" i="13"/>
  <c r="AQ241" i="13"/>
  <c r="AQ177" i="13"/>
  <c r="AQ142" i="13"/>
  <c r="AQ140" i="13"/>
  <c r="AQ425" i="13"/>
  <c r="Q419" i="13"/>
  <c r="AQ50" i="13"/>
  <c r="AQ355" i="13"/>
  <c r="AQ176" i="13"/>
  <c r="AQ205" i="13"/>
  <c r="AQ386" i="13"/>
  <c r="AQ373" i="13"/>
  <c r="AQ156" i="13"/>
  <c r="Q8" i="13"/>
  <c r="AQ422" i="13"/>
  <c r="AQ398" i="13"/>
  <c r="AQ426" i="13"/>
  <c r="AQ419" i="13"/>
  <c r="AQ333" i="13"/>
  <c r="AQ328" i="13"/>
  <c r="AQ178" i="13"/>
  <c r="AQ188" i="13"/>
  <c r="AQ118" i="13"/>
  <c r="AQ86" i="13"/>
  <c r="AQ391" i="13"/>
  <c r="AQ384" i="13"/>
  <c r="AQ394" i="13"/>
  <c r="Q362" i="13"/>
  <c r="AQ363" i="13"/>
  <c r="AQ428" i="13"/>
  <c r="AQ388" i="13"/>
  <c r="AQ17" i="13"/>
  <c r="AQ233" i="13"/>
  <c r="AQ387" i="13"/>
  <c r="AQ354" i="13"/>
  <c r="AQ382" i="13"/>
  <c r="AQ182" i="13"/>
  <c r="AQ237" i="13"/>
  <c r="AQ377" i="13"/>
  <c r="AQ51" i="13"/>
  <c r="AQ404" i="13"/>
  <c r="AQ324" i="13"/>
  <c r="AQ222" i="13"/>
  <c r="AQ114" i="13"/>
  <c r="AQ367" i="13"/>
  <c r="AQ14" i="13"/>
  <c r="AQ284" i="13"/>
  <c r="Q445" i="13"/>
  <c r="AQ347" i="13"/>
  <c r="AQ356" i="13"/>
  <c r="AQ273" i="13"/>
  <c r="AQ251" i="13"/>
  <c r="AQ216" i="13"/>
  <c r="AQ245" i="13"/>
  <c r="AQ181" i="13"/>
  <c r="AQ146" i="13"/>
  <c r="AQ80" i="13"/>
  <c r="AQ401" i="13"/>
  <c r="AQ57" i="13"/>
  <c r="AQ412" i="13"/>
  <c r="AQ30" i="13"/>
  <c r="AQ353" i="13"/>
  <c r="AQ247" i="13"/>
  <c r="AQ215" i="13"/>
  <c r="AQ110" i="13"/>
  <c r="AQ407" i="13"/>
  <c r="AQ385" i="13"/>
  <c r="AQ101" i="13"/>
  <c r="AQ12" i="13"/>
  <c r="Q426" i="13"/>
  <c r="AQ405" i="13"/>
  <c r="AQ402" i="13"/>
  <c r="AQ243" i="13"/>
  <c r="AQ211" i="13"/>
  <c r="AQ95" i="13"/>
  <c r="AQ129" i="13"/>
  <c r="AQ380" i="13"/>
  <c r="AQ365" i="13"/>
  <c r="AQ48" i="13"/>
  <c r="AQ360" i="13"/>
  <c r="AQ351" i="13"/>
  <c r="AQ311" i="13"/>
  <c r="AQ220" i="13"/>
  <c r="AQ217" i="13"/>
  <c r="AQ185" i="13"/>
  <c r="Q380" i="13"/>
  <c r="AQ125" i="13"/>
  <c r="AQ37" i="13"/>
  <c r="AQ171" i="13"/>
  <c r="AQ376" i="13"/>
  <c r="AQ85" i="13"/>
  <c r="AQ45" i="13"/>
  <c r="AQ227" i="13"/>
  <c r="AQ79" i="13"/>
  <c r="Q404" i="13"/>
  <c r="AQ204" i="13"/>
  <c r="AQ107" i="13"/>
  <c r="AQ313" i="13"/>
  <c r="AQ103" i="13"/>
  <c r="AQ128" i="13"/>
  <c r="AQ303" i="13"/>
  <c r="Q377" i="13"/>
  <c r="Q406" i="13"/>
  <c r="AQ314" i="13"/>
  <c r="AQ174" i="13"/>
  <c r="AQ399" i="13"/>
  <c r="AQ184" i="13"/>
  <c r="AQ441" i="13"/>
  <c r="AQ151" i="13"/>
  <c r="AQ112" i="13"/>
  <c r="AQ89" i="13"/>
  <c r="AQ370" i="13"/>
  <c r="AQ369" i="13"/>
  <c r="AQ431" i="13"/>
  <c r="AQ338" i="13"/>
  <c r="AQ258" i="13"/>
  <c r="AQ271" i="13"/>
  <c r="AQ368" i="13"/>
  <c r="AQ337" i="13"/>
  <c r="AQ305" i="13"/>
  <c r="AQ315" i="13"/>
  <c r="AQ332" i="13"/>
  <c r="AQ230" i="13"/>
  <c r="AQ192" i="13"/>
  <c r="AQ106" i="13"/>
  <c r="AQ74" i="13"/>
  <c r="AQ104" i="13"/>
  <c r="AQ395" i="13"/>
  <c r="AQ361" i="13"/>
  <c r="AQ31" i="13"/>
  <c r="AQ302" i="13"/>
  <c r="AQ276" i="13"/>
  <c r="AQ226" i="13"/>
  <c r="AQ175" i="13"/>
  <c r="AQ249" i="13"/>
  <c r="AQ84" i="13"/>
  <c r="AQ93" i="13"/>
  <c r="AQ21" i="13"/>
  <c r="Q420" i="13"/>
  <c r="AQ392" i="13"/>
  <c r="AQ378" i="13"/>
  <c r="AQ389" i="13"/>
  <c r="AQ196" i="13"/>
  <c r="Q368" i="13"/>
  <c r="AQ143" i="13"/>
  <c r="AQ444" i="13"/>
  <c r="Q414" i="13"/>
  <c r="Q431" i="13"/>
  <c r="AQ432" i="13"/>
  <c r="AQ269" i="13"/>
  <c r="AQ349" i="13"/>
  <c r="Q381" i="13"/>
  <c r="AQ323" i="13"/>
  <c r="AQ256" i="13"/>
  <c r="Q440" i="13"/>
  <c r="AQ288" i="13"/>
  <c r="AQ238" i="13"/>
  <c r="AQ206" i="13"/>
  <c r="AQ413" i="13"/>
  <c r="AQ144" i="13"/>
  <c r="Q401" i="13"/>
  <c r="AQ268" i="13"/>
  <c r="AQ285" i="13"/>
  <c r="AQ253" i="13"/>
  <c r="AQ170" i="13"/>
  <c r="AQ225" i="13"/>
  <c r="AQ78" i="13"/>
  <c r="AQ415" i="13"/>
  <c r="AQ124" i="13"/>
  <c r="AQ92" i="13"/>
  <c r="AQ149" i="13"/>
  <c r="AQ364" i="13"/>
  <c r="AQ429" i="13"/>
  <c r="AQ423" i="13"/>
  <c r="AQ59" i="13"/>
  <c r="AQ339" i="13"/>
  <c r="AQ280" i="13"/>
  <c r="AQ299" i="13"/>
  <c r="AQ265" i="13"/>
  <c r="AQ270" i="13"/>
  <c r="AQ198" i="13"/>
  <c r="AQ224" i="13"/>
  <c r="AQ221" i="13"/>
  <c r="AQ138" i="13"/>
  <c r="AQ63" i="13"/>
  <c r="AQ403" i="13"/>
  <c r="AQ33" i="13"/>
  <c r="AQ435" i="13"/>
  <c r="AQ47" i="13"/>
  <c r="AQ38" i="13"/>
  <c r="AQ334" i="13"/>
  <c r="AQ312" i="13"/>
  <c r="AQ282" i="13"/>
  <c r="AQ295" i="13"/>
  <c r="AQ102" i="13"/>
  <c r="AQ375" i="13"/>
  <c r="AQ148" i="13"/>
  <c r="AQ410" i="13"/>
  <c r="AQ300" i="13"/>
  <c r="I15" i="9"/>
  <c r="I19" i="9"/>
  <c r="I20" i="9"/>
  <c r="L20" i="9"/>
  <c r="L19" i="9"/>
  <c r="L15" i="9"/>
  <c r="K19" i="9"/>
  <c r="K15" i="9"/>
  <c r="N20" i="9"/>
  <c r="N19" i="9"/>
  <c r="N15" i="9"/>
  <c r="O19" i="9"/>
  <c r="O15" i="9"/>
  <c r="M20" i="9"/>
  <c r="M15" i="9"/>
  <c r="M19" i="9"/>
  <c r="J328" i="10"/>
  <c r="J335" i="10"/>
  <c r="J233" i="10"/>
  <c r="J142" i="10"/>
  <c r="J87" i="10"/>
  <c r="J96" i="10"/>
  <c r="J48" i="10"/>
  <c r="J300" i="10"/>
  <c r="J317" i="10"/>
  <c r="J343" i="10"/>
  <c r="J241" i="10"/>
  <c r="J190" i="10"/>
  <c r="J85" i="10"/>
  <c r="J356" i="10"/>
  <c r="J313" i="10"/>
  <c r="J287" i="10"/>
  <c r="J255" i="10"/>
  <c r="J272" i="10"/>
  <c r="J261" i="10"/>
  <c r="J180" i="10"/>
  <c r="J8" i="10"/>
  <c r="J45" i="10"/>
  <c r="J324" i="10"/>
  <c r="J252" i="10"/>
  <c r="J289" i="10"/>
  <c r="J246" i="10"/>
  <c r="J211" i="10"/>
  <c r="J179" i="10"/>
  <c r="J109" i="10"/>
  <c r="J66" i="10"/>
  <c r="J123" i="10"/>
  <c r="J91" i="10"/>
  <c r="J148" i="10"/>
  <c r="J27" i="10"/>
  <c r="J305" i="10"/>
  <c r="J279" i="10"/>
  <c r="J229" i="10"/>
  <c r="J181" i="10"/>
  <c r="J207" i="10"/>
  <c r="J121" i="10"/>
  <c r="J291" i="10"/>
  <c r="J259" i="10"/>
  <c r="J276" i="10"/>
  <c r="J281" i="10"/>
  <c r="J168" i="10"/>
  <c r="J133" i="10"/>
  <c r="J101" i="10"/>
  <c r="J74" i="10"/>
  <c r="J76" i="10"/>
  <c r="J18" i="10"/>
  <c r="J199" i="10"/>
  <c r="J192" i="10"/>
  <c r="J280" i="10"/>
  <c r="J307" i="10"/>
  <c r="J234" i="10"/>
  <c r="J127" i="10"/>
  <c r="J337" i="10"/>
  <c r="J302" i="10"/>
  <c r="J130" i="10"/>
  <c r="J348" i="10"/>
  <c r="J320" i="10"/>
  <c r="J315" i="10"/>
  <c r="J226" i="10"/>
  <c r="J194" i="10"/>
  <c r="J162" i="10"/>
  <c r="J188" i="10"/>
  <c r="J110" i="10"/>
  <c r="J59" i="10"/>
  <c r="J161" i="10"/>
  <c r="J235" i="10"/>
  <c r="J248" i="10"/>
  <c r="J216" i="10"/>
  <c r="J122" i="10"/>
  <c r="J131" i="10"/>
  <c r="J124" i="10"/>
  <c r="J339" i="10"/>
  <c r="J286" i="10"/>
  <c r="J61" i="10"/>
  <c r="J49" i="10"/>
  <c r="J357" i="10"/>
  <c r="J167" i="10"/>
  <c r="J72" i="10"/>
  <c r="J283" i="10"/>
  <c r="J125" i="10"/>
  <c r="J28" i="10"/>
  <c r="J9" i="10"/>
  <c r="J322" i="10"/>
  <c r="J355" i="10"/>
  <c r="J323" i="10"/>
  <c r="J247" i="10"/>
  <c r="J215" i="10"/>
  <c r="J145" i="10"/>
  <c r="J113" i="10"/>
  <c r="J86" i="10"/>
  <c r="J88" i="10"/>
  <c r="J351" i="10"/>
  <c r="J319" i="10"/>
  <c r="J257" i="10"/>
  <c r="J249" i="10"/>
  <c r="J214" i="10"/>
  <c r="J240" i="10"/>
  <c r="J146" i="10"/>
  <c r="J314" i="10"/>
  <c r="J298" i="10"/>
  <c r="J175" i="10"/>
  <c r="J236" i="10"/>
  <c r="J62" i="10"/>
  <c r="J135" i="10"/>
  <c r="J103" i="10"/>
  <c r="J144" i="10"/>
  <c r="J112" i="10"/>
  <c r="J32" i="10"/>
  <c r="J47" i="10"/>
  <c r="J345" i="10"/>
  <c r="J344" i="10"/>
  <c r="J316" i="10"/>
  <c r="J333" i="10"/>
  <c r="J301" i="10"/>
  <c r="J327" i="10"/>
  <c r="J294" i="10"/>
  <c r="J51" i="10"/>
  <c r="J306" i="10"/>
  <c r="J40" i="10"/>
  <c r="J166" i="10"/>
  <c r="J220" i="10"/>
  <c r="J290" i="10"/>
  <c r="J228" i="10"/>
  <c r="J95" i="10"/>
  <c r="J54" i="10"/>
  <c r="J169" i="10"/>
  <c r="J100" i="10"/>
  <c r="J41" i="10"/>
  <c r="J312" i="10"/>
  <c r="J288" i="10"/>
  <c r="J256" i="10"/>
  <c r="J277" i="10"/>
  <c r="J303" i="10"/>
  <c r="J221" i="10"/>
  <c r="J157" i="10"/>
  <c r="J202" i="10"/>
  <c r="J196" i="10"/>
  <c r="J134" i="10"/>
  <c r="J104" i="10"/>
  <c r="J38" i="10"/>
  <c r="J268" i="10"/>
  <c r="J107" i="10"/>
  <c r="J68" i="10"/>
  <c r="J11" i="10"/>
  <c r="J26" i="10"/>
  <c r="J42" i="10"/>
  <c r="J33" i="10"/>
  <c r="J321" i="10"/>
  <c r="J285" i="10"/>
  <c r="J282" i="10"/>
  <c r="J245" i="10"/>
  <c r="J197" i="10"/>
  <c r="J223" i="10"/>
  <c r="J191" i="10"/>
  <c r="J156" i="10"/>
  <c r="J137" i="10"/>
  <c r="J105" i="10"/>
  <c r="J78" i="10"/>
  <c r="J155" i="10"/>
  <c r="J16" i="10"/>
  <c r="J292" i="10"/>
  <c r="J203" i="10"/>
  <c r="J171" i="10"/>
  <c r="J184" i="10"/>
  <c r="J69" i="10"/>
  <c r="J90" i="10"/>
  <c r="J99" i="10"/>
  <c r="J67" i="10"/>
  <c r="J92" i="10"/>
  <c r="J231" i="10"/>
  <c r="J254" i="10"/>
  <c r="J159" i="10"/>
  <c r="J258" i="10"/>
  <c r="J97" i="10"/>
  <c r="J136" i="10"/>
  <c r="J309" i="10"/>
  <c r="J227" i="10"/>
  <c r="J58" i="10"/>
  <c r="J25" i="10"/>
  <c r="J340" i="10"/>
  <c r="J183" i="10"/>
  <c r="J244" i="10"/>
  <c r="J143" i="10"/>
  <c r="J111" i="10"/>
  <c r="J79" i="10"/>
  <c r="J152" i="10"/>
  <c r="J55" i="10"/>
  <c r="J13" i="10"/>
  <c r="J325" i="10"/>
  <c r="J334" i="10"/>
  <c r="J267" i="10"/>
  <c r="J270" i="10"/>
  <c r="J217" i="10"/>
  <c r="J185" i="10"/>
  <c r="J208" i="10"/>
  <c r="J176" i="10"/>
  <c r="J77" i="10"/>
  <c r="J116" i="10"/>
  <c r="J43" i="10"/>
  <c r="J17" i="10"/>
  <c r="J338" i="10"/>
  <c r="J336" i="10"/>
  <c r="J331" i="10"/>
  <c r="J264" i="10"/>
  <c r="J242" i="10"/>
  <c r="J178" i="10"/>
  <c r="J204" i="10"/>
  <c r="J73" i="10"/>
  <c r="J126" i="10"/>
  <c r="J80" i="10"/>
  <c r="J225" i="10"/>
  <c r="J209" i="10"/>
  <c r="J177" i="10"/>
  <c r="J251" i="10"/>
  <c r="J232" i="10"/>
  <c r="J140" i="10"/>
  <c r="J341" i="10"/>
  <c r="J318" i="10"/>
  <c r="J201" i="10"/>
  <c r="J347" i="10"/>
  <c r="J119" i="10"/>
  <c r="J189" i="10"/>
  <c r="J65" i="10"/>
  <c r="J63" i="10"/>
  <c r="J352" i="10"/>
  <c r="J160" i="10"/>
  <c r="J354" i="10"/>
  <c r="J346" i="10"/>
  <c r="J34" i="10"/>
  <c r="J50" i="10"/>
  <c r="J271" i="10"/>
  <c r="J164" i="10"/>
  <c r="J129" i="10"/>
  <c r="J39" i="10"/>
  <c r="J22" i="10"/>
  <c r="J308" i="10"/>
  <c r="J295" i="10"/>
  <c r="J273" i="10"/>
  <c r="J230" i="10"/>
  <c r="J195" i="10"/>
  <c r="J163" i="10"/>
  <c r="J224" i="10"/>
  <c r="J93" i="10"/>
  <c r="J98" i="10"/>
  <c r="J139" i="10"/>
  <c r="J75" i="10"/>
  <c r="J132" i="10"/>
  <c r="J330" i="10"/>
  <c r="J263" i="10"/>
  <c r="J213" i="10"/>
  <c r="J165" i="10"/>
  <c r="J151" i="10"/>
  <c r="J128" i="10"/>
  <c r="J64" i="10"/>
  <c r="J31" i="10"/>
  <c r="J21" i="10"/>
  <c r="J37" i="10"/>
  <c r="J53" i="10"/>
  <c r="J350" i="10"/>
  <c r="J332" i="10"/>
  <c r="J311" i="10"/>
  <c r="J275" i="10"/>
  <c r="J260" i="10"/>
  <c r="J265" i="10"/>
  <c r="J278" i="10"/>
  <c r="J149" i="10"/>
  <c r="J117" i="10"/>
  <c r="J60" i="10"/>
  <c r="J36" i="10"/>
  <c r="J35" i="10"/>
  <c r="J57" i="10"/>
  <c r="J296" i="10"/>
  <c r="J293" i="10"/>
  <c r="J299" i="10"/>
  <c r="J274" i="10"/>
  <c r="J237" i="10"/>
  <c r="J205" i="10"/>
  <c r="J173" i="10"/>
  <c r="J250" i="10"/>
  <c r="J212" i="10"/>
  <c r="J81" i="10"/>
  <c r="J118" i="10"/>
  <c r="J120" i="10"/>
  <c r="J56" i="10"/>
  <c r="J23" i="10"/>
  <c r="J29" i="10"/>
  <c r="J353" i="10"/>
  <c r="J342" i="10"/>
  <c r="J284" i="10"/>
  <c r="J243" i="10"/>
  <c r="J141" i="10"/>
  <c r="J114" i="10"/>
  <c r="J84" i="10"/>
  <c r="J12" i="10"/>
  <c r="J44" i="10"/>
  <c r="J349" i="10"/>
  <c r="J304" i="10"/>
  <c r="J269" i="10"/>
  <c r="J266" i="10"/>
  <c r="J210" i="10"/>
  <c r="J239" i="10"/>
  <c r="J172" i="10"/>
  <c r="J153" i="10"/>
  <c r="J89" i="10"/>
  <c r="J94" i="10"/>
  <c r="J71" i="10"/>
  <c r="J15" i="10"/>
  <c r="J238" i="10"/>
  <c r="J219" i="10"/>
  <c r="J187" i="10"/>
  <c r="J253" i="10"/>
  <c r="J200" i="10"/>
  <c r="J138" i="10"/>
  <c r="J106" i="10"/>
  <c r="J147" i="10"/>
  <c r="J115" i="10"/>
  <c r="J83" i="10"/>
  <c r="J108" i="10"/>
  <c r="J20" i="10"/>
  <c r="G18" i="7"/>
  <c r="G20" i="7"/>
  <c r="O20" i="9"/>
  <c r="K20" i="9"/>
  <c r="F20" i="9"/>
  <c r="F15" i="9"/>
  <c r="F19" i="9"/>
  <c r="C20" i="9"/>
  <c r="C19" i="9"/>
  <c r="C15" i="9"/>
  <c r="G20" i="9"/>
  <c r="G15" i="9"/>
  <c r="G19" i="9"/>
  <c r="E19" i="9"/>
  <c r="E20" i="9"/>
  <c r="E15" i="9"/>
  <c r="H19" i="9"/>
  <c r="H20" i="9"/>
  <c r="H15" i="9"/>
  <c r="D19" i="9"/>
  <c r="D20" i="9"/>
  <c r="D15" i="9"/>
  <c r="H154" i="10"/>
  <c r="AG341" i="13"/>
  <c r="AC341" i="13"/>
  <c r="L1623" i="19"/>
  <c r="L1621" i="19"/>
  <c r="L1622" i="19"/>
  <c r="L1620" i="19"/>
  <c r="L1463" i="19"/>
  <c r="L1461" i="19"/>
  <c r="L1460" i="19"/>
  <c r="L1462" i="19"/>
  <c r="AG324" i="13"/>
  <c r="AC324" i="13"/>
  <c r="AG58" i="13"/>
  <c r="AC58" i="13"/>
  <c r="AG409" i="13"/>
  <c r="AC409" i="13"/>
  <c r="AC307" i="13"/>
  <c r="AG307" i="13"/>
  <c r="AG272" i="13"/>
  <c r="AC272" i="13"/>
  <c r="L1252" i="19"/>
  <c r="L1250" i="19"/>
  <c r="L1253" i="19"/>
  <c r="L1251" i="19"/>
  <c r="AC294" i="13"/>
  <c r="AG294" i="13"/>
  <c r="AG304" i="13"/>
  <c r="AC304" i="13"/>
  <c r="AG291" i="13"/>
  <c r="AC291" i="13"/>
  <c r="L1162" i="19"/>
  <c r="L1160" i="19"/>
  <c r="L1163" i="19"/>
  <c r="L1161" i="19"/>
  <c r="L67" i="19"/>
  <c r="L65" i="19"/>
  <c r="L68" i="19"/>
  <c r="L66" i="19"/>
  <c r="AG371" i="13"/>
  <c r="AC371" i="13"/>
  <c r="AG51" i="13"/>
  <c r="AC51" i="13"/>
  <c r="AG10" i="13"/>
  <c r="AC10" i="13"/>
  <c r="AG404" i="13"/>
  <c r="AC404" i="13"/>
  <c r="L183" i="19"/>
  <c r="L181" i="19"/>
  <c r="L182" i="19"/>
  <c r="L180" i="19"/>
  <c r="L1682" i="19"/>
  <c r="L1680" i="19"/>
  <c r="L1683" i="19"/>
  <c r="L1681" i="19"/>
  <c r="AC347" i="13"/>
  <c r="AG347" i="13"/>
  <c r="L1677" i="19"/>
  <c r="L1675" i="19"/>
  <c r="L1676" i="19"/>
  <c r="L1678" i="19"/>
  <c r="L1617" i="19"/>
  <c r="L1615" i="19"/>
  <c r="L1618" i="19"/>
  <c r="L1616" i="19"/>
  <c r="AC297" i="13"/>
  <c r="AG297" i="13"/>
  <c r="H329" i="10"/>
  <c r="AG314" i="13"/>
  <c r="AC314" i="13"/>
  <c r="H297" i="10"/>
  <c r="L1588" i="19"/>
  <c r="L1586" i="19"/>
  <c r="L1587" i="19"/>
  <c r="L1585" i="19"/>
  <c r="L1673" i="19"/>
  <c r="L1671" i="19"/>
  <c r="L1672" i="19"/>
  <c r="L1670" i="19"/>
  <c r="L1592" i="19"/>
  <c r="L1590" i="19"/>
  <c r="L1593" i="19"/>
  <c r="L1591" i="19"/>
  <c r="L1512" i="19"/>
  <c r="L1510" i="19"/>
  <c r="L1513" i="19"/>
  <c r="L1511" i="19"/>
  <c r="AC288" i="13"/>
  <c r="AG288" i="13"/>
  <c r="AG256" i="13"/>
  <c r="AC256" i="13"/>
  <c r="L1418" i="19"/>
  <c r="L1416" i="19"/>
  <c r="L1417" i="19"/>
  <c r="L1415" i="19"/>
  <c r="L1363" i="19"/>
  <c r="L1361" i="19"/>
  <c r="L1362" i="19"/>
  <c r="L1360" i="19"/>
  <c r="L1347" i="19"/>
  <c r="L1345" i="19"/>
  <c r="L1348" i="19"/>
  <c r="L1346" i="19"/>
  <c r="L1267" i="19"/>
  <c r="L1265" i="19"/>
  <c r="L1268" i="19"/>
  <c r="L1266" i="19"/>
  <c r="AG238" i="13"/>
  <c r="AC238" i="13"/>
  <c r="AC206" i="13"/>
  <c r="AG206" i="13"/>
  <c r="L922" i="19"/>
  <c r="L920" i="19"/>
  <c r="L923" i="19"/>
  <c r="L921" i="19"/>
  <c r="AG174" i="13"/>
  <c r="AC174" i="13"/>
  <c r="AG251" i="13"/>
  <c r="AC251" i="13"/>
  <c r="AG235" i="13"/>
  <c r="AC235" i="13"/>
  <c r="AC399" i="13"/>
  <c r="AG399" i="13"/>
  <c r="AC203" i="13"/>
  <c r="AG203" i="13"/>
  <c r="AG248" i="13"/>
  <c r="AC248" i="13"/>
  <c r="AG413" i="13"/>
  <c r="AC413" i="13"/>
  <c r="AG200" i="13"/>
  <c r="AC200" i="13"/>
  <c r="AG168" i="13"/>
  <c r="AC168" i="13"/>
  <c r="AG245" i="13"/>
  <c r="AC245" i="13"/>
  <c r="AG213" i="13"/>
  <c r="AC213" i="13"/>
  <c r="AG165" i="13"/>
  <c r="AC165" i="13"/>
  <c r="AG130" i="13"/>
  <c r="AC130" i="13"/>
  <c r="L542" i="19"/>
  <c r="L540" i="19"/>
  <c r="L543" i="19"/>
  <c r="L541" i="19"/>
  <c r="AC441" i="13"/>
  <c r="AG441" i="13"/>
  <c r="L382" i="19"/>
  <c r="L380" i="19"/>
  <c r="L383" i="19"/>
  <c r="L381" i="19"/>
  <c r="AG135" i="13"/>
  <c r="AC135" i="13"/>
  <c r="AG119" i="13"/>
  <c r="AC119" i="13"/>
  <c r="AG87" i="13"/>
  <c r="AC87" i="13"/>
  <c r="AG128" i="13"/>
  <c r="AC128" i="13"/>
  <c r="AG112" i="13"/>
  <c r="AC112" i="13"/>
  <c r="AG80" i="13"/>
  <c r="AC80" i="13"/>
  <c r="AG64" i="13"/>
  <c r="AC64" i="13"/>
  <c r="AG153" i="13"/>
  <c r="AC153" i="13"/>
  <c r="AG105" i="13"/>
  <c r="AC105" i="13"/>
  <c r="AG89" i="13"/>
  <c r="AC89" i="13"/>
  <c r="AG73" i="13"/>
  <c r="AC73" i="13"/>
  <c r="AG41" i="13"/>
  <c r="AC41" i="13"/>
  <c r="AC438" i="13"/>
  <c r="AG438" i="13"/>
  <c r="L258" i="19"/>
  <c r="L256" i="19"/>
  <c r="L257" i="19"/>
  <c r="L255" i="19"/>
  <c r="L92" i="19"/>
  <c r="L90" i="19"/>
  <c r="L93" i="19"/>
  <c r="L91" i="19"/>
  <c r="L252" i="19"/>
  <c r="L250" i="19"/>
  <c r="L253" i="19"/>
  <c r="L251" i="19"/>
  <c r="AG55" i="13"/>
  <c r="AC55" i="13"/>
  <c r="AG354" i="13"/>
  <c r="AC354" i="13"/>
  <c r="L1662" i="19"/>
  <c r="L1660" i="19"/>
  <c r="L1663" i="19"/>
  <c r="L1661" i="19"/>
  <c r="L1737" i="19"/>
  <c r="L1735" i="19"/>
  <c r="L1736" i="19"/>
  <c r="L1738" i="19"/>
  <c r="L1517" i="19"/>
  <c r="L1515" i="19"/>
  <c r="L1518" i="19"/>
  <c r="L1516" i="19"/>
  <c r="L1603" i="19"/>
  <c r="L1601" i="19"/>
  <c r="L1602" i="19"/>
  <c r="L1600" i="19"/>
  <c r="AG335" i="13"/>
  <c r="AC335" i="13"/>
  <c r="AC319" i="13"/>
  <c r="AG319" i="13"/>
  <c r="AC352" i="13"/>
  <c r="AG352" i="13"/>
  <c r="AC268" i="13"/>
  <c r="AG268" i="13"/>
  <c r="L1398" i="19"/>
  <c r="L1396" i="19"/>
  <c r="L1397" i="19"/>
  <c r="L1395" i="19"/>
  <c r="L1238" i="19"/>
  <c r="L1236" i="19"/>
  <c r="L1235" i="19"/>
  <c r="L1237" i="19"/>
  <c r="L1343" i="19"/>
  <c r="L1341" i="19"/>
  <c r="L1342" i="19"/>
  <c r="L1340" i="19"/>
  <c r="L1407" i="19"/>
  <c r="L1405" i="19"/>
  <c r="L1408" i="19"/>
  <c r="L1406" i="19"/>
  <c r="AG250" i="13"/>
  <c r="AC250" i="13"/>
  <c r="L822" i="19"/>
  <c r="L820" i="19"/>
  <c r="L823" i="19"/>
  <c r="L821" i="19"/>
  <c r="AG389" i="13"/>
  <c r="AC389" i="13"/>
  <c r="AG231" i="13"/>
  <c r="AC231" i="13"/>
  <c r="AG215" i="13"/>
  <c r="AC215" i="13"/>
  <c r="AG167" i="13"/>
  <c r="AC167" i="13"/>
  <c r="AG244" i="13"/>
  <c r="AC244" i="13"/>
  <c r="AG228" i="13"/>
  <c r="AC228" i="13"/>
  <c r="AG212" i="13"/>
  <c r="AC212" i="13"/>
  <c r="AG164" i="13"/>
  <c r="AC164" i="13"/>
  <c r="AG177" i="13"/>
  <c r="AC177" i="13"/>
  <c r="L682" i="19"/>
  <c r="L680" i="19"/>
  <c r="L683" i="19"/>
  <c r="L681" i="19"/>
  <c r="AG94" i="13"/>
  <c r="AC94" i="13"/>
  <c r="AG67" i="13"/>
  <c r="AC67" i="13"/>
  <c r="AG108" i="13"/>
  <c r="AC108" i="13"/>
  <c r="AC428" i="13"/>
  <c r="AG428" i="13"/>
  <c r="AG76" i="13"/>
  <c r="AC76" i="13"/>
  <c r="AG149" i="13"/>
  <c r="AC149" i="13"/>
  <c r="AG385" i="13"/>
  <c r="AC385" i="13"/>
  <c r="AG101" i="13"/>
  <c r="AC101" i="13"/>
  <c r="AG427" i="13"/>
  <c r="AC427" i="13"/>
  <c r="AG69" i="13"/>
  <c r="AC69" i="13"/>
  <c r="L118" i="19"/>
  <c r="L116" i="19"/>
  <c r="L117" i="19"/>
  <c r="L115" i="19"/>
  <c r="AC364" i="13"/>
  <c r="AG364" i="13"/>
  <c r="AG28" i="13"/>
  <c r="AC28" i="13"/>
  <c r="AG423" i="13"/>
  <c r="AC423" i="13"/>
  <c r="L187" i="19"/>
  <c r="L185" i="19"/>
  <c r="L188" i="19"/>
  <c r="L186" i="19"/>
  <c r="L268" i="19"/>
  <c r="L266" i="19"/>
  <c r="L267" i="19"/>
  <c r="L265" i="19"/>
  <c r="AG18" i="13"/>
  <c r="AC18" i="13"/>
  <c r="AG405" i="13"/>
  <c r="AC405" i="13"/>
  <c r="L143" i="19"/>
  <c r="L141" i="19"/>
  <c r="L142" i="19"/>
  <c r="L140" i="19"/>
  <c r="L1722" i="19"/>
  <c r="L1720" i="19"/>
  <c r="L1723" i="19"/>
  <c r="L1721" i="19"/>
  <c r="L1748" i="19"/>
  <c r="L1746" i="19"/>
  <c r="L1745" i="19"/>
  <c r="L1747" i="19"/>
  <c r="L1668" i="19"/>
  <c r="L1666" i="19"/>
  <c r="L1665" i="19"/>
  <c r="L1667" i="19"/>
  <c r="L1577" i="19"/>
  <c r="L1575" i="19"/>
  <c r="L1578" i="19"/>
  <c r="L1576" i="19"/>
  <c r="AC305" i="13"/>
  <c r="AG305" i="13"/>
  <c r="L1583" i="19"/>
  <c r="L1581" i="19"/>
  <c r="L1582" i="19"/>
  <c r="L1580" i="19"/>
  <c r="L1628" i="19"/>
  <c r="L1626" i="19"/>
  <c r="L1627" i="19"/>
  <c r="L1625" i="19"/>
  <c r="L1713" i="19"/>
  <c r="L1711" i="19"/>
  <c r="L1712" i="19"/>
  <c r="L1710" i="19"/>
  <c r="L1552" i="19"/>
  <c r="L1550" i="19"/>
  <c r="L1553" i="19"/>
  <c r="L1551" i="19"/>
  <c r="L1292" i="19"/>
  <c r="L1290" i="19"/>
  <c r="L1293" i="19"/>
  <c r="L1291" i="19"/>
  <c r="AG281" i="13"/>
  <c r="AC281" i="13"/>
  <c r="AG283" i="13"/>
  <c r="AC283" i="13"/>
  <c r="AC267" i="13"/>
  <c r="AG267" i="13"/>
  <c r="L1122" i="19"/>
  <c r="L1120" i="19"/>
  <c r="L1123" i="19"/>
  <c r="L1121" i="19"/>
  <c r="AC214" i="13"/>
  <c r="AG214" i="13"/>
  <c r="AG198" i="13"/>
  <c r="AC198" i="13"/>
  <c r="L1188" i="19"/>
  <c r="L1186" i="19"/>
  <c r="L1187" i="19"/>
  <c r="L1185" i="19"/>
  <c r="L1108" i="19"/>
  <c r="L1106" i="19"/>
  <c r="L1107" i="19"/>
  <c r="L1105" i="19"/>
  <c r="L788" i="19"/>
  <c r="L786" i="19"/>
  <c r="L787" i="19"/>
  <c r="L785" i="19"/>
  <c r="L1093" i="19"/>
  <c r="L1091" i="19"/>
  <c r="L1092" i="19"/>
  <c r="L1090" i="19"/>
  <c r="L1013" i="19"/>
  <c r="L1011" i="19"/>
  <c r="L1012" i="19"/>
  <c r="L1010" i="19"/>
  <c r="L933" i="19"/>
  <c r="L931" i="19"/>
  <c r="L932" i="19"/>
  <c r="L930" i="19"/>
  <c r="L853" i="19"/>
  <c r="L851" i="19"/>
  <c r="L852" i="19"/>
  <c r="L850" i="19"/>
  <c r="L1157" i="19"/>
  <c r="L1155" i="19"/>
  <c r="L1158" i="19"/>
  <c r="L1156" i="19"/>
  <c r="L917" i="19"/>
  <c r="L915" i="19"/>
  <c r="L918" i="19"/>
  <c r="L916" i="19"/>
  <c r="L662" i="19"/>
  <c r="L660" i="19"/>
  <c r="L663" i="19"/>
  <c r="L661" i="19"/>
  <c r="AG90" i="13"/>
  <c r="AC90" i="13"/>
  <c r="AG74" i="13"/>
  <c r="AC74" i="13"/>
  <c r="L688" i="19"/>
  <c r="L686" i="19"/>
  <c r="L687" i="19"/>
  <c r="L685" i="19"/>
  <c r="L528" i="19"/>
  <c r="L526" i="19"/>
  <c r="L527" i="19"/>
  <c r="L525" i="19"/>
  <c r="L368" i="19"/>
  <c r="L366" i="19"/>
  <c r="L367" i="19"/>
  <c r="L365" i="19"/>
  <c r="L288" i="19"/>
  <c r="L286" i="19"/>
  <c r="L287" i="19"/>
  <c r="L285" i="19"/>
  <c r="L733" i="19"/>
  <c r="L731" i="19"/>
  <c r="L732" i="19"/>
  <c r="L730" i="19"/>
  <c r="L653" i="19"/>
  <c r="L651" i="19"/>
  <c r="L652" i="19"/>
  <c r="L650" i="19"/>
  <c r="L573" i="19"/>
  <c r="L571" i="19"/>
  <c r="L572" i="19"/>
  <c r="L570" i="19"/>
  <c r="L413" i="19"/>
  <c r="L411" i="19"/>
  <c r="L412" i="19"/>
  <c r="L410" i="19"/>
  <c r="L333" i="19"/>
  <c r="L331" i="19"/>
  <c r="L332" i="19"/>
  <c r="L330" i="19"/>
  <c r="L537" i="19"/>
  <c r="L535" i="19"/>
  <c r="L538" i="19"/>
  <c r="L536" i="19"/>
  <c r="L457" i="19"/>
  <c r="L455" i="19"/>
  <c r="L458" i="19"/>
  <c r="L456" i="19"/>
  <c r="L377" i="19"/>
  <c r="L375" i="19"/>
  <c r="L378" i="19"/>
  <c r="L376" i="19"/>
  <c r="AG361" i="13"/>
  <c r="AC361" i="13"/>
  <c r="L58" i="19"/>
  <c r="L56" i="19"/>
  <c r="L57" i="19"/>
  <c r="L55" i="19"/>
  <c r="L132" i="19"/>
  <c r="L130" i="19"/>
  <c r="L133" i="19"/>
  <c r="L131" i="19"/>
  <c r="L212" i="19"/>
  <c r="L210" i="19"/>
  <c r="L213" i="19"/>
  <c r="L211" i="19"/>
  <c r="L273" i="19"/>
  <c r="L271" i="19"/>
  <c r="L272" i="19"/>
  <c r="L270" i="19"/>
  <c r="AG22" i="13"/>
  <c r="AC22" i="13"/>
  <c r="AG433" i="13"/>
  <c r="AC433" i="13"/>
  <c r="AG54" i="13"/>
  <c r="AC54" i="13"/>
  <c r="AG346" i="13"/>
  <c r="AC346" i="13"/>
  <c r="L1557" i="19"/>
  <c r="L1555" i="19"/>
  <c r="L1558" i="19"/>
  <c r="L1556" i="19"/>
  <c r="AG301" i="13"/>
  <c r="AC301" i="13"/>
  <c r="L1643" i="19"/>
  <c r="L1641" i="19"/>
  <c r="L1642" i="19"/>
  <c r="L1640" i="19"/>
  <c r="AG344" i="13"/>
  <c r="AC344" i="13"/>
  <c r="AG328" i="13"/>
  <c r="AC328" i="13"/>
  <c r="AG312" i="13"/>
  <c r="AC312" i="13"/>
  <c r="L1432" i="19"/>
  <c r="L1430" i="19"/>
  <c r="L1433" i="19"/>
  <c r="L1431" i="19"/>
  <c r="AG276" i="13"/>
  <c r="AC276" i="13"/>
  <c r="L1272" i="19"/>
  <c r="L1270" i="19"/>
  <c r="L1273" i="19"/>
  <c r="L1271" i="19"/>
  <c r="AC293" i="13"/>
  <c r="AG293" i="13"/>
  <c r="AG261" i="13"/>
  <c r="AC261" i="13"/>
  <c r="AG282" i="13"/>
  <c r="AC282" i="13"/>
  <c r="AC295" i="13"/>
  <c r="AG295" i="13"/>
  <c r="AG279" i="13"/>
  <c r="AC279" i="13"/>
  <c r="AG242" i="13"/>
  <c r="AC242" i="13"/>
  <c r="L1022" i="19"/>
  <c r="L1020" i="19"/>
  <c r="L1023" i="19"/>
  <c r="L1021" i="19"/>
  <c r="L862" i="19"/>
  <c r="L860" i="19"/>
  <c r="L863" i="19"/>
  <c r="L861" i="19"/>
  <c r="AG162" i="13"/>
  <c r="AC162" i="13"/>
  <c r="AG239" i="13"/>
  <c r="AC239" i="13"/>
  <c r="AC359" i="13"/>
  <c r="AG359" i="13"/>
  <c r="AG191" i="13"/>
  <c r="AC191" i="13"/>
  <c r="AG236" i="13"/>
  <c r="AC236" i="13"/>
  <c r="AC204" i="13"/>
  <c r="AG204" i="13"/>
  <c r="AG188" i="13"/>
  <c r="AC188" i="13"/>
  <c r="AG217" i="13"/>
  <c r="AC217" i="13"/>
  <c r="AG185" i="13"/>
  <c r="AC185" i="13"/>
  <c r="L722" i="19"/>
  <c r="L720" i="19"/>
  <c r="L723" i="19"/>
  <c r="L721" i="19"/>
  <c r="AG102" i="13"/>
  <c r="AC102" i="13"/>
  <c r="L402" i="19"/>
  <c r="L400" i="19"/>
  <c r="L403" i="19"/>
  <c r="L401" i="19"/>
  <c r="L748" i="19"/>
  <c r="L746" i="19"/>
  <c r="L747" i="19"/>
  <c r="L745" i="19"/>
  <c r="L508" i="19"/>
  <c r="L506" i="19"/>
  <c r="L507" i="19"/>
  <c r="L505" i="19"/>
  <c r="L348" i="19"/>
  <c r="L346" i="19"/>
  <c r="L347" i="19"/>
  <c r="L345" i="19"/>
  <c r="L553" i="19"/>
  <c r="L551" i="19"/>
  <c r="L552" i="19"/>
  <c r="L550" i="19"/>
  <c r="L313" i="19"/>
  <c r="L311" i="19"/>
  <c r="L312" i="19"/>
  <c r="L310" i="19"/>
  <c r="L677" i="19"/>
  <c r="L675" i="19"/>
  <c r="L678" i="19"/>
  <c r="L676" i="19"/>
  <c r="L597" i="19"/>
  <c r="L595" i="19"/>
  <c r="L598" i="19"/>
  <c r="L596" i="19"/>
  <c r="L437" i="19"/>
  <c r="L435" i="19"/>
  <c r="L438" i="19"/>
  <c r="L436" i="19"/>
  <c r="L357" i="19"/>
  <c r="L355" i="19"/>
  <c r="L358" i="19"/>
  <c r="L356" i="19"/>
  <c r="AG37" i="13"/>
  <c r="AC37" i="13"/>
  <c r="L238" i="19"/>
  <c r="L236" i="19"/>
  <c r="L237" i="19"/>
  <c r="L235" i="19"/>
  <c r="L72" i="19"/>
  <c r="L70" i="19"/>
  <c r="L73" i="19"/>
  <c r="L71" i="19"/>
  <c r="AG36" i="13"/>
  <c r="AC36" i="13"/>
  <c r="AG52" i="13"/>
  <c r="AC52" i="13"/>
  <c r="AG396" i="13"/>
  <c r="AC396" i="13"/>
  <c r="AG42" i="13"/>
  <c r="AC42" i="13"/>
  <c r="L263" i="19"/>
  <c r="L261" i="19"/>
  <c r="L262" i="19"/>
  <c r="L260" i="19"/>
  <c r="L1762" i="19"/>
  <c r="L1760" i="19"/>
  <c r="L1763" i="19"/>
  <c r="L1761" i="19"/>
  <c r="AG289" i="13"/>
  <c r="AC289" i="13"/>
  <c r="AG275" i="13"/>
  <c r="AC275" i="13"/>
  <c r="AG259" i="13"/>
  <c r="AC259" i="13"/>
  <c r="AG190" i="13"/>
  <c r="AC190" i="13"/>
  <c r="L1068" i="19"/>
  <c r="L1066" i="19"/>
  <c r="L1067" i="19"/>
  <c r="L1065" i="19"/>
  <c r="L908" i="19"/>
  <c r="L906" i="19"/>
  <c r="L907" i="19"/>
  <c r="L905" i="19"/>
  <c r="L828" i="19"/>
  <c r="L826" i="19"/>
  <c r="L827" i="19"/>
  <c r="L825" i="19"/>
  <c r="L1133" i="19"/>
  <c r="L1131" i="19"/>
  <c r="L1132" i="19"/>
  <c r="L1130" i="19"/>
  <c r="L1053" i="19"/>
  <c r="L1051" i="19"/>
  <c r="L1052" i="19"/>
  <c r="L1050" i="19"/>
  <c r="L893" i="19"/>
  <c r="L891" i="19"/>
  <c r="L892" i="19"/>
  <c r="L890" i="19"/>
  <c r="L1117" i="19"/>
  <c r="L1115" i="19"/>
  <c r="L1118" i="19"/>
  <c r="L1116" i="19"/>
  <c r="L957" i="19"/>
  <c r="L955" i="19"/>
  <c r="L958" i="19"/>
  <c r="L956" i="19"/>
  <c r="L877" i="19"/>
  <c r="L875" i="19"/>
  <c r="L878" i="19"/>
  <c r="L876" i="19"/>
  <c r="AG114" i="13"/>
  <c r="AC114" i="13"/>
  <c r="L462" i="19"/>
  <c r="L460" i="19"/>
  <c r="L463" i="19"/>
  <c r="L461" i="19"/>
  <c r="AG82" i="13"/>
  <c r="AC82" i="13"/>
  <c r="L302" i="19"/>
  <c r="L300" i="19"/>
  <c r="L303" i="19"/>
  <c r="L301" i="19"/>
  <c r="AG387" i="13"/>
  <c r="AC387" i="13"/>
  <c r="L728" i="19"/>
  <c r="L726" i="19"/>
  <c r="L727" i="19"/>
  <c r="L725" i="19"/>
  <c r="L488" i="19"/>
  <c r="L486" i="19"/>
  <c r="L487" i="19"/>
  <c r="L485" i="19"/>
  <c r="L328" i="19"/>
  <c r="L326" i="19"/>
  <c r="L327" i="19"/>
  <c r="L325" i="19"/>
  <c r="L693" i="19"/>
  <c r="L691" i="19"/>
  <c r="L692" i="19"/>
  <c r="L690" i="19"/>
  <c r="L453" i="19"/>
  <c r="L451" i="19"/>
  <c r="L452" i="19"/>
  <c r="L450" i="19"/>
  <c r="L657" i="19"/>
  <c r="L655" i="19"/>
  <c r="L658" i="19"/>
  <c r="L656" i="19"/>
  <c r="L577" i="19"/>
  <c r="L575" i="19"/>
  <c r="L578" i="19"/>
  <c r="L576" i="19"/>
  <c r="AG401" i="13"/>
  <c r="AC401" i="13"/>
  <c r="L98" i="19"/>
  <c r="L96" i="19"/>
  <c r="L97" i="19"/>
  <c r="L95" i="19"/>
  <c r="AG57" i="13"/>
  <c r="AC57" i="13"/>
  <c r="AG363" i="13"/>
  <c r="AC363" i="13"/>
  <c r="AC24" i="13"/>
  <c r="AG24" i="13"/>
  <c r="AG412" i="13"/>
  <c r="AC412" i="13"/>
  <c r="AG56" i="13"/>
  <c r="AC56" i="13"/>
  <c r="AC338" i="13"/>
  <c r="AG338" i="13"/>
  <c r="AC353" i="13"/>
  <c r="AG353" i="13"/>
  <c r="L1597" i="19"/>
  <c r="L1595" i="19"/>
  <c r="L1598" i="19"/>
  <c r="L1596" i="19"/>
  <c r="AC309" i="13"/>
  <c r="AG309" i="13"/>
  <c r="AG326" i="13"/>
  <c r="AC326" i="13"/>
  <c r="L1652" i="19"/>
  <c r="L1650" i="19"/>
  <c r="L1653" i="19"/>
  <c r="L1651" i="19"/>
  <c r="L1572" i="19"/>
  <c r="L1570" i="19"/>
  <c r="L1573" i="19"/>
  <c r="L1571" i="19"/>
  <c r="AG285" i="13"/>
  <c r="AC285" i="13"/>
  <c r="AG253" i="13"/>
  <c r="AC253" i="13"/>
  <c r="AG274" i="13"/>
  <c r="AC274" i="13"/>
  <c r="AG287" i="13"/>
  <c r="AC287" i="13"/>
  <c r="L1062" i="19"/>
  <c r="L1060" i="19"/>
  <c r="L1063" i="19"/>
  <c r="L1061" i="19"/>
  <c r="L902" i="19"/>
  <c r="L900" i="19"/>
  <c r="L903" i="19"/>
  <c r="L901" i="19"/>
  <c r="AG170" i="13"/>
  <c r="AC170" i="13"/>
  <c r="L1208" i="19"/>
  <c r="L1206" i="19"/>
  <c r="L1207" i="19"/>
  <c r="L1205" i="19"/>
  <c r="L968" i="19"/>
  <c r="L966" i="19"/>
  <c r="L967" i="19"/>
  <c r="L965" i="19"/>
  <c r="L888" i="19"/>
  <c r="L886" i="19"/>
  <c r="L887" i="19"/>
  <c r="L885" i="19"/>
  <c r="L953" i="19"/>
  <c r="L951" i="19"/>
  <c r="L952" i="19"/>
  <c r="L950" i="19"/>
  <c r="L873" i="19"/>
  <c r="L871" i="19"/>
  <c r="L872" i="19"/>
  <c r="L870" i="19"/>
  <c r="L1177" i="19"/>
  <c r="L1175" i="19"/>
  <c r="L1178" i="19"/>
  <c r="L1176" i="19"/>
  <c r="L1097" i="19"/>
  <c r="L1095" i="19"/>
  <c r="L1098" i="19"/>
  <c r="L1096" i="19"/>
  <c r="L1017" i="19"/>
  <c r="L1015" i="19"/>
  <c r="L1018" i="19"/>
  <c r="L1016" i="19"/>
  <c r="L937" i="19"/>
  <c r="L935" i="19"/>
  <c r="L938" i="19"/>
  <c r="L936" i="19"/>
  <c r="L777" i="19"/>
  <c r="L775" i="19"/>
  <c r="L778" i="19"/>
  <c r="L776" i="19"/>
  <c r="AG142" i="13"/>
  <c r="AC142" i="13"/>
  <c r="L602" i="19"/>
  <c r="L600" i="19"/>
  <c r="L603" i="19"/>
  <c r="L601" i="19"/>
  <c r="AC366" i="13"/>
  <c r="AG366" i="13"/>
  <c r="L282" i="19"/>
  <c r="L280" i="19"/>
  <c r="L283" i="19"/>
  <c r="L281" i="19"/>
  <c r="AC415" i="13"/>
  <c r="AG415" i="13"/>
  <c r="AC407" i="13"/>
  <c r="AG407" i="13"/>
  <c r="AG379" i="13"/>
  <c r="AC379" i="13"/>
  <c r="L388" i="19"/>
  <c r="L386" i="19"/>
  <c r="L387" i="19"/>
  <c r="L385" i="19"/>
  <c r="L673" i="19"/>
  <c r="L671" i="19"/>
  <c r="L672" i="19"/>
  <c r="L670" i="19"/>
  <c r="L593" i="19"/>
  <c r="L591" i="19"/>
  <c r="L592" i="19"/>
  <c r="L590" i="19"/>
  <c r="L433" i="19"/>
  <c r="L431" i="19"/>
  <c r="L432" i="19"/>
  <c r="L430" i="19"/>
  <c r="L637" i="19"/>
  <c r="L635" i="19"/>
  <c r="L638" i="19"/>
  <c r="L636" i="19"/>
  <c r="L557" i="19"/>
  <c r="L555" i="19"/>
  <c r="L558" i="19"/>
  <c r="L556" i="19"/>
  <c r="L397" i="19"/>
  <c r="L395" i="19"/>
  <c r="L398" i="19"/>
  <c r="L396" i="19"/>
  <c r="L38" i="19"/>
  <c r="L36" i="19"/>
  <c r="L37" i="19"/>
  <c r="L35" i="19"/>
  <c r="AG29" i="13"/>
  <c r="AC29" i="13"/>
  <c r="AC368" i="13"/>
  <c r="AG368" i="13"/>
  <c r="L198" i="19"/>
  <c r="L196" i="19"/>
  <c r="L197" i="19"/>
  <c r="L195" i="19"/>
  <c r="L32" i="19"/>
  <c r="L30" i="19"/>
  <c r="L33" i="19"/>
  <c r="L31" i="19"/>
  <c r="L192" i="19"/>
  <c r="L190" i="19"/>
  <c r="L193" i="19"/>
  <c r="L191" i="19"/>
  <c r="L27" i="19"/>
  <c r="L25" i="19"/>
  <c r="L28" i="19"/>
  <c r="L26" i="19"/>
  <c r="AG429" i="13"/>
  <c r="AC429" i="13"/>
  <c r="AG43" i="13"/>
  <c r="AC43" i="13"/>
  <c r="AG59" i="13"/>
  <c r="AC59" i="13"/>
  <c r="AG34" i="13"/>
  <c r="AC34" i="13"/>
  <c r="AG350" i="13"/>
  <c r="AC350" i="13"/>
  <c r="AG355" i="13"/>
  <c r="AC355" i="13"/>
  <c r="AC339" i="13"/>
  <c r="AG339" i="13"/>
  <c r="L1658" i="19"/>
  <c r="L1657" i="19"/>
  <c r="L1655" i="19"/>
  <c r="L1656" i="19"/>
  <c r="AC321" i="13"/>
  <c r="AG321" i="13"/>
  <c r="AC322" i="13"/>
  <c r="AG322" i="13"/>
  <c r="AC331" i="13"/>
  <c r="AG331" i="13"/>
  <c r="AG348" i="13"/>
  <c r="AC348" i="13"/>
  <c r="AG316" i="13"/>
  <c r="AC316" i="13"/>
  <c r="L1372" i="19"/>
  <c r="L1370" i="19"/>
  <c r="L1373" i="19"/>
  <c r="L1371" i="19"/>
  <c r="AG264" i="13"/>
  <c r="AC264" i="13"/>
  <c r="L1468" i="19"/>
  <c r="L1466" i="19"/>
  <c r="L1467" i="19"/>
  <c r="L1465" i="19"/>
  <c r="L1298" i="19"/>
  <c r="L1296" i="19"/>
  <c r="L1297" i="19"/>
  <c r="L1295" i="19"/>
  <c r="L1403" i="19"/>
  <c r="L1401" i="19"/>
  <c r="L1402" i="19"/>
  <c r="L1400" i="19"/>
  <c r="L1323" i="19"/>
  <c r="L1321" i="19"/>
  <c r="L1322" i="19"/>
  <c r="L1320" i="19"/>
  <c r="L1202" i="19"/>
  <c r="L1200" i="19"/>
  <c r="L1203" i="19"/>
  <c r="L1201" i="19"/>
  <c r="AC230" i="13"/>
  <c r="AG230" i="13"/>
  <c r="L802" i="19"/>
  <c r="L800" i="19"/>
  <c r="L803" i="19"/>
  <c r="L801" i="19"/>
  <c r="AG243" i="13"/>
  <c r="AC243" i="13"/>
  <c r="AG227" i="13"/>
  <c r="AC227" i="13"/>
  <c r="AC163" i="13"/>
  <c r="AG163" i="13"/>
  <c r="AG224" i="13"/>
  <c r="AC224" i="13"/>
  <c r="AG208" i="13"/>
  <c r="AC208" i="13"/>
  <c r="AG192" i="13"/>
  <c r="AC192" i="13"/>
  <c r="AG176" i="13"/>
  <c r="AC176" i="13"/>
  <c r="AG237" i="13"/>
  <c r="AC237" i="13"/>
  <c r="AG388" i="13"/>
  <c r="AC388" i="13"/>
  <c r="AG189" i="13"/>
  <c r="AC189" i="13"/>
  <c r="L757" i="19"/>
  <c r="L755" i="19"/>
  <c r="L756" i="19"/>
  <c r="L758" i="19"/>
  <c r="L742" i="19"/>
  <c r="L740" i="19"/>
  <c r="L743" i="19"/>
  <c r="L741" i="19"/>
  <c r="AG138" i="13"/>
  <c r="AC138" i="13"/>
  <c r="L582" i="19"/>
  <c r="L580" i="19"/>
  <c r="L583" i="19"/>
  <c r="L581" i="19"/>
  <c r="AG143" i="13"/>
  <c r="AC143" i="13"/>
  <c r="AG111" i="13"/>
  <c r="AC111" i="13"/>
  <c r="AG79" i="13"/>
  <c r="AC79" i="13"/>
  <c r="AC386" i="13"/>
  <c r="AG386" i="13"/>
  <c r="AG63" i="13"/>
  <c r="AC63" i="13"/>
  <c r="AG152" i="13"/>
  <c r="AC152" i="13"/>
  <c r="AG136" i="13"/>
  <c r="AC136" i="13"/>
  <c r="AG120" i="13"/>
  <c r="AC120" i="13"/>
  <c r="AG88" i="13"/>
  <c r="AC88" i="13"/>
  <c r="AG72" i="13"/>
  <c r="AC72" i="13"/>
  <c r="AG395" i="13"/>
  <c r="AC395" i="13"/>
  <c r="AC403" i="13"/>
  <c r="AG403" i="13"/>
  <c r="AG113" i="13"/>
  <c r="AC113" i="13"/>
  <c r="AG97" i="13"/>
  <c r="AC97" i="13"/>
  <c r="AG81" i="13"/>
  <c r="AC81" i="13"/>
  <c r="O446" i="13"/>
  <c r="O448" i="13" s="1"/>
  <c r="O449" i="13" s="1"/>
  <c r="AG17" i="13"/>
  <c r="AC17" i="13"/>
  <c r="L138" i="19"/>
  <c r="L136" i="19"/>
  <c r="L137" i="19"/>
  <c r="L135" i="19"/>
  <c r="AG365" i="13"/>
  <c r="AC365" i="13"/>
  <c r="AG32" i="13"/>
  <c r="AC32" i="13"/>
  <c r="AG48" i="13"/>
  <c r="AC48" i="13"/>
  <c r="AC372" i="13"/>
  <c r="AG372" i="13"/>
  <c r="AG60" i="13"/>
  <c r="AC60" i="13"/>
  <c r="AC360" i="13"/>
  <c r="AG360" i="13"/>
  <c r="L47" i="19"/>
  <c r="L45" i="19"/>
  <c r="L48" i="19"/>
  <c r="L46" i="19"/>
  <c r="AG420" i="13"/>
  <c r="AC420" i="13"/>
  <c r="L127" i="19"/>
  <c r="L125" i="19"/>
  <c r="L128" i="19"/>
  <c r="L126" i="19"/>
  <c r="AC398" i="13"/>
  <c r="AG398" i="13"/>
  <c r="L207" i="19"/>
  <c r="L205" i="19"/>
  <c r="L208" i="19"/>
  <c r="L206" i="19"/>
  <c r="AC419" i="13"/>
  <c r="AG419" i="13"/>
  <c r="L163" i="19"/>
  <c r="L161" i="19"/>
  <c r="L162" i="19"/>
  <c r="L160" i="19"/>
  <c r="L1697" i="19"/>
  <c r="L1695" i="19"/>
  <c r="L1696" i="19"/>
  <c r="L1698" i="19"/>
  <c r="L1637" i="19"/>
  <c r="L1635" i="19"/>
  <c r="L1638" i="19"/>
  <c r="L1636" i="19"/>
  <c r="AC317" i="13"/>
  <c r="AG317" i="13"/>
  <c r="AC334" i="13"/>
  <c r="AG334" i="13"/>
  <c r="L1608" i="19"/>
  <c r="L1606" i="19"/>
  <c r="L1607" i="19"/>
  <c r="L1605" i="19"/>
  <c r="L1528" i="19"/>
  <c r="L1526" i="19"/>
  <c r="L1527" i="19"/>
  <c r="L1525" i="19"/>
  <c r="AG292" i="13"/>
  <c r="AC292" i="13"/>
  <c r="AG260" i="13"/>
  <c r="AC260" i="13"/>
  <c r="L1358" i="19"/>
  <c r="L1356" i="19"/>
  <c r="L1357" i="19"/>
  <c r="L1355" i="19"/>
  <c r="L1303" i="19"/>
  <c r="L1301" i="19"/>
  <c r="L1302" i="19"/>
  <c r="L1300" i="19"/>
  <c r="L1287" i="19"/>
  <c r="L1285" i="19"/>
  <c r="L1288" i="19"/>
  <c r="L1286" i="19"/>
  <c r="AC210" i="13"/>
  <c r="AG210" i="13"/>
  <c r="L942" i="19"/>
  <c r="L940" i="19"/>
  <c r="L943" i="19"/>
  <c r="L941" i="19"/>
  <c r="AG178" i="13"/>
  <c r="AC178" i="13"/>
  <c r="L1088" i="19"/>
  <c r="L1086" i="19"/>
  <c r="L1087" i="19"/>
  <c r="L1085" i="19"/>
  <c r="L1008" i="19"/>
  <c r="L1006" i="19"/>
  <c r="L1007" i="19"/>
  <c r="L1005" i="19"/>
  <c r="L848" i="19"/>
  <c r="L846" i="19"/>
  <c r="L847" i="19"/>
  <c r="L845" i="19"/>
  <c r="L768" i="19"/>
  <c r="L766" i="19"/>
  <c r="L765" i="19"/>
  <c r="L767" i="19"/>
  <c r="L1232" i="19"/>
  <c r="L1233" i="19"/>
  <c r="L1231" i="19"/>
  <c r="L1230" i="19"/>
  <c r="L1073" i="19"/>
  <c r="L1071" i="19"/>
  <c r="L1072" i="19"/>
  <c r="L1070" i="19"/>
  <c r="L833" i="19"/>
  <c r="L831" i="19"/>
  <c r="L832" i="19"/>
  <c r="L830" i="19"/>
  <c r="L1243" i="19"/>
  <c r="L1241" i="19"/>
  <c r="L1242" i="19"/>
  <c r="L1240" i="19"/>
  <c r="L1217" i="19"/>
  <c r="L1215" i="19"/>
  <c r="L1218" i="19"/>
  <c r="L1216" i="19"/>
  <c r="L1137" i="19"/>
  <c r="L1135" i="19"/>
  <c r="L1138" i="19"/>
  <c r="L1136" i="19"/>
  <c r="L977" i="19"/>
  <c r="L975" i="19"/>
  <c r="L978" i="19"/>
  <c r="L976" i="19"/>
  <c r="L817" i="19"/>
  <c r="L815" i="19"/>
  <c r="L818" i="19"/>
  <c r="L816" i="19"/>
  <c r="AG150" i="13"/>
  <c r="AC150" i="13"/>
  <c r="L642" i="19"/>
  <c r="L640" i="19"/>
  <c r="L643" i="19"/>
  <c r="L641" i="19"/>
  <c r="AG86" i="13"/>
  <c r="AC86" i="13"/>
  <c r="AG155" i="13"/>
  <c r="AC155" i="13"/>
  <c r="AG107" i="13"/>
  <c r="AC107" i="13"/>
  <c r="AC375" i="13"/>
  <c r="AG375" i="13"/>
  <c r="AG75" i="13"/>
  <c r="AC75" i="13"/>
  <c r="AC384" i="13"/>
  <c r="AG384" i="13"/>
  <c r="AG116" i="13"/>
  <c r="AC116" i="13"/>
  <c r="AG68" i="13"/>
  <c r="AC68" i="13"/>
  <c r="AC394" i="13"/>
  <c r="AG394" i="13"/>
  <c r="AG141" i="13"/>
  <c r="AC141" i="13"/>
  <c r="AG125" i="13"/>
  <c r="AC125" i="13"/>
  <c r="AG93" i="13"/>
  <c r="AC93" i="13"/>
  <c r="AC77" i="13"/>
  <c r="AG77" i="13"/>
  <c r="AC436" i="13"/>
  <c r="AG436" i="13"/>
  <c r="AG53" i="13"/>
  <c r="AC53" i="13"/>
  <c r="AG443" i="13"/>
  <c r="AC443" i="13"/>
  <c r="AG20" i="13"/>
  <c r="AC20" i="13"/>
  <c r="AG329" i="13"/>
  <c r="AC329" i="13"/>
  <c r="AG340" i="13"/>
  <c r="AC340" i="13"/>
  <c r="AG278" i="13"/>
  <c r="AC278" i="13"/>
  <c r="AG35" i="13"/>
  <c r="AC35" i="13"/>
  <c r="L103" i="19"/>
  <c r="L101" i="19"/>
  <c r="L102" i="19"/>
  <c r="L100" i="19"/>
  <c r="AC357" i="13"/>
  <c r="AG357" i="13"/>
  <c r="L1537" i="19"/>
  <c r="L1535" i="19"/>
  <c r="L1538" i="19"/>
  <c r="L1536" i="19"/>
  <c r="AC330" i="13"/>
  <c r="AG330" i="13"/>
  <c r="AG298" i="13"/>
  <c r="AC298" i="13"/>
  <c r="L1508" i="19"/>
  <c r="L1506" i="19"/>
  <c r="L1507" i="19"/>
  <c r="L1505" i="19"/>
  <c r="L1753" i="19"/>
  <c r="L1751" i="19"/>
  <c r="L1752" i="19"/>
  <c r="L1750" i="19"/>
  <c r="L1332" i="19"/>
  <c r="L1330" i="19"/>
  <c r="L1333" i="19"/>
  <c r="L1331" i="19"/>
  <c r="L1338" i="19"/>
  <c r="L1336" i="19"/>
  <c r="L1337" i="19"/>
  <c r="L1335" i="19"/>
  <c r="L1258" i="19"/>
  <c r="L1256" i="19"/>
  <c r="L1257" i="19"/>
  <c r="L1255" i="19"/>
  <c r="L1443" i="19"/>
  <c r="L1441" i="19"/>
  <c r="L1442" i="19"/>
  <c r="L1440" i="19"/>
  <c r="L1283" i="19"/>
  <c r="L1281" i="19"/>
  <c r="L1282" i="19"/>
  <c r="L1280" i="19"/>
  <c r="L1492" i="19"/>
  <c r="L1490" i="19"/>
  <c r="L1493" i="19"/>
  <c r="L1491" i="19"/>
  <c r="L1472" i="19"/>
  <c r="L1470" i="19"/>
  <c r="L1473" i="19"/>
  <c r="L1471" i="19"/>
  <c r="L1427" i="19"/>
  <c r="L1425" i="19"/>
  <c r="L1428" i="19"/>
  <c r="L1426" i="19"/>
  <c r="L1082" i="19"/>
  <c r="L1080" i="19"/>
  <c r="L1083" i="19"/>
  <c r="L1081" i="19"/>
  <c r="L762" i="19"/>
  <c r="L760" i="19"/>
  <c r="L763" i="19"/>
  <c r="L761" i="19"/>
  <c r="AG219" i="13"/>
  <c r="AC219" i="13"/>
  <c r="AG187" i="13"/>
  <c r="AC187" i="13"/>
  <c r="AG171" i="13"/>
  <c r="AC171" i="13"/>
  <c r="AG397" i="13"/>
  <c r="AC397" i="13"/>
  <c r="AG232" i="13"/>
  <c r="AC232" i="13"/>
  <c r="AG216" i="13"/>
  <c r="AC216" i="13"/>
  <c r="AG184" i="13"/>
  <c r="AC184" i="13"/>
  <c r="AG229" i="13"/>
  <c r="AC229" i="13"/>
  <c r="AG197" i="13"/>
  <c r="AC197" i="13"/>
  <c r="AG181" i="13"/>
  <c r="AC181" i="13"/>
  <c r="L702" i="19"/>
  <c r="L700" i="19"/>
  <c r="L703" i="19"/>
  <c r="L701" i="19"/>
  <c r="AG98" i="13"/>
  <c r="AC98" i="13"/>
  <c r="AG66" i="13"/>
  <c r="AC66" i="13"/>
  <c r="AG151" i="13"/>
  <c r="AC151" i="13"/>
  <c r="AC383" i="13"/>
  <c r="AG383" i="13"/>
  <c r="AG103" i="13"/>
  <c r="AC103" i="13"/>
  <c r="AG71" i="13"/>
  <c r="AC71" i="13"/>
  <c r="AG144" i="13"/>
  <c r="AC144" i="13"/>
  <c r="AG96" i="13"/>
  <c r="AC96" i="13"/>
  <c r="AG137" i="13"/>
  <c r="AC137" i="13"/>
  <c r="AG121" i="13"/>
  <c r="AC121" i="13"/>
  <c r="AC390" i="13"/>
  <c r="AG390" i="13"/>
  <c r="AC374" i="13"/>
  <c r="AG374" i="13"/>
  <c r="AC370" i="13"/>
  <c r="AG370" i="13"/>
  <c r="L18" i="19"/>
  <c r="L16" i="19"/>
  <c r="L17" i="19"/>
  <c r="L15" i="19"/>
  <c r="AG25" i="13"/>
  <c r="AC25" i="13"/>
  <c r="I8" i="13"/>
  <c r="K14" i="19"/>
  <c r="H7" i="10" s="1"/>
  <c r="L172" i="19"/>
  <c r="L170" i="19"/>
  <c r="L173" i="19"/>
  <c r="L171" i="19"/>
  <c r="AC432" i="13"/>
  <c r="AG432" i="13"/>
  <c r="L87" i="19"/>
  <c r="L85" i="19"/>
  <c r="L88" i="19"/>
  <c r="L86" i="19"/>
  <c r="L167" i="19"/>
  <c r="L165" i="19"/>
  <c r="L168" i="19"/>
  <c r="L166" i="19"/>
  <c r="L43" i="19"/>
  <c r="L41" i="19"/>
  <c r="L42" i="19"/>
  <c r="L40" i="19"/>
  <c r="AC440" i="13"/>
  <c r="AG440" i="13"/>
  <c r="L123" i="19"/>
  <c r="L121" i="19"/>
  <c r="L122" i="19"/>
  <c r="L120" i="19"/>
  <c r="AG381" i="13"/>
  <c r="AC381" i="13"/>
  <c r="L203" i="19"/>
  <c r="L201" i="19"/>
  <c r="L202" i="19"/>
  <c r="L200" i="19"/>
  <c r="L1688" i="19"/>
  <c r="L1686" i="19"/>
  <c r="L1685" i="19"/>
  <c r="L1687" i="19"/>
  <c r="AC325" i="13"/>
  <c r="AG325" i="13"/>
  <c r="L1523" i="19"/>
  <c r="L1521" i="19"/>
  <c r="L1522" i="19"/>
  <c r="L1520" i="19"/>
  <c r="AG336" i="13"/>
  <c r="AC336" i="13"/>
  <c r="AG320" i="13"/>
  <c r="AC320" i="13"/>
  <c r="L1392" i="19"/>
  <c r="L1390" i="19"/>
  <c r="L1393" i="19"/>
  <c r="L1391" i="19"/>
  <c r="L1488" i="19"/>
  <c r="L1486" i="19"/>
  <c r="L1487" i="19"/>
  <c r="L1485" i="19"/>
  <c r="L1318" i="19"/>
  <c r="L1316" i="19"/>
  <c r="L1317" i="19"/>
  <c r="L1315" i="19"/>
  <c r="L1451" i="19"/>
  <c r="L1450" i="19"/>
  <c r="L1453" i="19"/>
  <c r="L1452" i="19"/>
  <c r="L1423" i="19"/>
  <c r="L1421" i="19"/>
  <c r="L1422" i="19"/>
  <c r="L1420" i="19"/>
  <c r="L1263" i="19"/>
  <c r="L1261" i="19"/>
  <c r="L1262" i="19"/>
  <c r="L1260" i="19"/>
  <c r="L1327" i="19"/>
  <c r="L1325" i="19"/>
  <c r="L1328" i="19"/>
  <c r="L1326" i="19"/>
  <c r="L1247" i="19"/>
  <c r="L1245" i="19"/>
  <c r="L1248" i="19"/>
  <c r="L1246" i="19"/>
  <c r="L1142" i="19"/>
  <c r="L1140" i="19"/>
  <c r="L1143" i="19"/>
  <c r="L1141" i="19"/>
  <c r="AG218" i="13"/>
  <c r="AC218" i="13"/>
  <c r="L982" i="19"/>
  <c r="L980" i="19"/>
  <c r="L983" i="19"/>
  <c r="L981" i="19"/>
  <c r="AG186" i="13"/>
  <c r="AC186" i="13"/>
  <c r="AG247" i="13"/>
  <c r="AC247" i="13"/>
  <c r="AC199" i="13"/>
  <c r="AG199" i="13"/>
  <c r="AG183" i="13"/>
  <c r="AC183" i="13"/>
  <c r="AG196" i="13"/>
  <c r="AC196" i="13"/>
  <c r="AG180" i="13"/>
  <c r="AC180" i="13"/>
  <c r="AG241" i="13"/>
  <c r="AC241" i="13"/>
  <c r="AG225" i="13"/>
  <c r="AC225" i="13"/>
  <c r="AC406" i="13"/>
  <c r="AG406" i="13"/>
  <c r="AG209" i="13"/>
  <c r="AC209" i="13"/>
  <c r="AG193" i="13"/>
  <c r="AC193" i="13"/>
  <c r="AG161" i="13"/>
  <c r="AC161" i="13"/>
  <c r="AG126" i="13"/>
  <c r="AC126" i="13"/>
  <c r="L522" i="19"/>
  <c r="L520" i="19"/>
  <c r="L523" i="19"/>
  <c r="L521" i="19"/>
  <c r="L362" i="19"/>
  <c r="L360" i="19"/>
  <c r="L363" i="19"/>
  <c r="L361" i="19"/>
  <c r="AG62" i="13"/>
  <c r="AC62" i="13"/>
  <c r="L708" i="19"/>
  <c r="L706" i="19"/>
  <c r="L707" i="19"/>
  <c r="L705" i="19"/>
  <c r="L628" i="19"/>
  <c r="L626" i="19"/>
  <c r="L627" i="19"/>
  <c r="L625" i="19"/>
  <c r="L548" i="19"/>
  <c r="L546" i="19"/>
  <c r="L547" i="19"/>
  <c r="L545" i="19"/>
  <c r="L468" i="19"/>
  <c r="L466" i="19"/>
  <c r="L467" i="19"/>
  <c r="L465" i="19"/>
  <c r="AG83" i="13"/>
  <c r="AC83" i="13"/>
  <c r="AC376" i="13"/>
  <c r="AG376" i="13"/>
  <c r="AG140" i="13"/>
  <c r="AC140" i="13"/>
  <c r="AG124" i="13"/>
  <c r="AC124" i="13"/>
  <c r="AG425" i="13"/>
  <c r="AC425" i="13"/>
  <c r="AG92" i="13"/>
  <c r="AC92" i="13"/>
  <c r="AG133" i="13"/>
  <c r="AC133" i="13"/>
  <c r="AG117" i="13"/>
  <c r="AC117" i="13"/>
  <c r="AG85" i="13"/>
  <c r="AC85" i="13"/>
  <c r="AG13" i="13"/>
  <c r="AC13" i="13"/>
  <c r="AG45" i="13"/>
  <c r="AC45" i="13"/>
  <c r="AG12" i="13"/>
  <c r="AC12" i="13"/>
  <c r="AG44" i="13"/>
  <c r="AC44" i="13"/>
  <c r="AG11" i="13"/>
  <c r="AC11" i="13"/>
  <c r="L107" i="19"/>
  <c r="L105" i="19"/>
  <c r="L108" i="19"/>
  <c r="L106" i="19"/>
  <c r="L223" i="19"/>
  <c r="L221" i="19"/>
  <c r="L222" i="19"/>
  <c r="L220" i="19"/>
  <c r="L1717" i="19"/>
  <c r="L1715" i="19"/>
  <c r="L1716" i="19"/>
  <c r="L1718" i="19"/>
  <c r="AG337" i="13"/>
  <c r="AC337" i="13"/>
  <c r="L1503" i="19"/>
  <c r="L1501" i="19"/>
  <c r="L1502" i="19"/>
  <c r="L1500" i="19"/>
  <c r="L1548" i="19"/>
  <c r="L1546" i="19"/>
  <c r="L1547" i="19"/>
  <c r="L1545" i="19"/>
  <c r="L1632" i="19"/>
  <c r="L1630" i="19"/>
  <c r="L1633" i="19"/>
  <c r="L1631" i="19"/>
  <c r="AG280" i="13"/>
  <c r="AC280" i="13"/>
  <c r="AG299" i="13"/>
  <c r="AC299" i="13"/>
  <c r="AG265" i="13"/>
  <c r="AC265" i="13"/>
  <c r="AG286" i="13"/>
  <c r="AC286" i="13"/>
  <c r="AG270" i="13"/>
  <c r="AC270" i="13"/>
  <c r="AG246" i="13"/>
  <c r="AC246" i="13"/>
  <c r="L882" i="19"/>
  <c r="L880" i="19"/>
  <c r="L883" i="19"/>
  <c r="L881" i="19"/>
  <c r="AC402" i="13"/>
  <c r="AG402" i="13"/>
  <c r="AG166" i="13"/>
  <c r="AC166" i="13"/>
  <c r="L1028" i="19"/>
  <c r="L1026" i="19"/>
  <c r="L1027" i="19"/>
  <c r="L1025" i="19"/>
  <c r="L948" i="19"/>
  <c r="L946" i="19"/>
  <c r="L947" i="19"/>
  <c r="L945" i="19"/>
  <c r="L868" i="19"/>
  <c r="L866" i="19"/>
  <c r="L867" i="19"/>
  <c r="L865" i="19"/>
  <c r="L1173" i="19"/>
  <c r="L1171" i="19"/>
  <c r="L1172" i="19"/>
  <c r="L1170" i="19"/>
  <c r="L773" i="19"/>
  <c r="L771" i="19"/>
  <c r="L772" i="19"/>
  <c r="L770" i="19"/>
  <c r="L1077" i="19"/>
  <c r="L1075" i="19"/>
  <c r="L1078" i="19"/>
  <c r="L1076" i="19"/>
  <c r="L997" i="19"/>
  <c r="L995" i="19"/>
  <c r="L998" i="19"/>
  <c r="L996" i="19"/>
  <c r="L837" i="19"/>
  <c r="L835" i="19"/>
  <c r="L838" i="19"/>
  <c r="L836" i="19"/>
  <c r="AG157" i="13"/>
  <c r="AC157" i="13"/>
  <c r="AG154" i="13"/>
  <c r="AC154" i="13"/>
  <c r="AG122" i="13"/>
  <c r="AC122" i="13"/>
  <c r="L502" i="19"/>
  <c r="L500" i="19"/>
  <c r="L503" i="19"/>
  <c r="L501" i="19"/>
  <c r="L608" i="19"/>
  <c r="L606" i="19"/>
  <c r="L607" i="19"/>
  <c r="L605" i="19"/>
  <c r="L448" i="19"/>
  <c r="L446" i="19"/>
  <c r="L447" i="19"/>
  <c r="L445" i="19"/>
  <c r="L493" i="19"/>
  <c r="L491" i="19"/>
  <c r="L492" i="19"/>
  <c r="L490" i="19"/>
  <c r="L753" i="19"/>
  <c r="L751" i="19"/>
  <c r="L752" i="19"/>
  <c r="L750" i="19"/>
  <c r="L697" i="19"/>
  <c r="L695" i="19"/>
  <c r="L698" i="19"/>
  <c r="L696" i="19"/>
  <c r="L617" i="19"/>
  <c r="L615" i="19"/>
  <c r="L618" i="19"/>
  <c r="L616" i="19"/>
  <c r="L297" i="19"/>
  <c r="L295" i="19"/>
  <c r="L298" i="19"/>
  <c r="L296" i="19"/>
  <c r="AC422" i="13"/>
  <c r="AG422" i="13"/>
  <c r="AG33" i="13"/>
  <c r="AC33" i="13"/>
  <c r="L218" i="19"/>
  <c r="L216" i="19"/>
  <c r="L217" i="19"/>
  <c r="L215" i="19"/>
  <c r="L52" i="19"/>
  <c r="L50" i="19"/>
  <c r="L53" i="19"/>
  <c r="L51" i="19"/>
  <c r="AG15" i="13"/>
  <c r="AC15" i="13"/>
  <c r="AG31" i="13"/>
  <c r="AC31" i="13"/>
  <c r="AC418" i="13"/>
  <c r="AG418" i="13"/>
  <c r="AG47" i="13"/>
  <c r="AC47" i="13"/>
  <c r="AC444" i="13"/>
  <c r="AG444" i="13"/>
  <c r="AG38" i="13"/>
  <c r="AC38" i="13"/>
  <c r="L1728" i="19"/>
  <c r="L1726" i="19"/>
  <c r="L1725" i="19"/>
  <c r="L1727" i="19"/>
  <c r="AG345" i="13"/>
  <c r="AC345" i="13"/>
  <c r="AG333" i="13"/>
  <c r="AC333" i="13"/>
  <c r="L1563" i="19"/>
  <c r="L1561" i="19"/>
  <c r="L1562" i="19"/>
  <c r="L1560" i="19"/>
  <c r="L1483" i="19"/>
  <c r="L1481" i="19"/>
  <c r="L1480" i="19"/>
  <c r="L1482" i="19"/>
  <c r="AC327" i="13"/>
  <c r="AG327" i="13"/>
  <c r="AC311" i="13"/>
  <c r="AG311" i="13"/>
  <c r="AG277" i="13"/>
  <c r="AC277" i="13"/>
  <c r="AG266" i="13"/>
  <c r="AC266" i="13"/>
  <c r="AG263" i="13"/>
  <c r="AC263" i="13"/>
  <c r="L1102" i="19"/>
  <c r="L1100" i="19"/>
  <c r="L1103" i="19"/>
  <c r="L1101" i="19"/>
  <c r="AG400" i="13"/>
  <c r="AC400" i="13"/>
  <c r="AG194" i="13"/>
  <c r="AC194" i="13"/>
  <c r="AG223" i="13"/>
  <c r="AC223" i="13"/>
  <c r="AG207" i="13"/>
  <c r="AC207" i="13"/>
  <c r="AG175" i="13"/>
  <c r="AC175" i="13"/>
  <c r="AG159" i="13"/>
  <c r="AC159" i="13"/>
  <c r="AG252" i="13"/>
  <c r="AC252" i="13"/>
  <c r="AG220" i="13"/>
  <c r="AC220" i="13"/>
  <c r="AG172" i="13"/>
  <c r="AC172" i="13"/>
  <c r="AG254" i="13"/>
  <c r="AC254" i="13"/>
  <c r="AG249" i="13"/>
  <c r="AC249" i="13"/>
  <c r="AG233" i="13"/>
  <c r="AC233" i="13"/>
  <c r="AG201" i="13"/>
  <c r="AC201" i="13"/>
  <c r="AG169" i="13"/>
  <c r="AC169" i="13"/>
  <c r="AG134" i="13"/>
  <c r="AC134" i="13"/>
  <c r="L562" i="19"/>
  <c r="L560" i="19"/>
  <c r="L563" i="19"/>
  <c r="L561" i="19"/>
  <c r="L322" i="19"/>
  <c r="L320" i="19"/>
  <c r="L323" i="19"/>
  <c r="L321" i="19"/>
  <c r="L668" i="19"/>
  <c r="L666" i="19"/>
  <c r="L667" i="19"/>
  <c r="L665" i="19"/>
  <c r="L588" i="19"/>
  <c r="L586" i="19"/>
  <c r="L587" i="19"/>
  <c r="L585" i="19"/>
  <c r="L428" i="19"/>
  <c r="L426" i="19"/>
  <c r="L427" i="19"/>
  <c r="L425" i="19"/>
  <c r="L713" i="19"/>
  <c r="L711" i="19"/>
  <c r="L712" i="19"/>
  <c r="L710" i="19"/>
  <c r="L633" i="19"/>
  <c r="L631" i="19"/>
  <c r="L632" i="19"/>
  <c r="L630" i="19"/>
  <c r="L473" i="19"/>
  <c r="L471" i="19"/>
  <c r="L472" i="19"/>
  <c r="L470" i="19"/>
  <c r="L393" i="19"/>
  <c r="L391" i="19"/>
  <c r="L392" i="19"/>
  <c r="L390" i="19"/>
  <c r="L517" i="19"/>
  <c r="L515" i="19"/>
  <c r="L518" i="19"/>
  <c r="L516" i="19"/>
  <c r="L277" i="19"/>
  <c r="L275" i="19"/>
  <c r="L278" i="19"/>
  <c r="L276" i="19"/>
  <c r="AC430" i="13"/>
  <c r="AG430" i="13"/>
  <c r="AC362" i="13"/>
  <c r="AG362" i="13"/>
  <c r="L78" i="19"/>
  <c r="L76" i="19"/>
  <c r="L77" i="19"/>
  <c r="L75" i="19"/>
  <c r="AG437" i="13"/>
  <c r="AC437" i="13"/>
  <c r="AG19" i="13"/>
  <c r="AC19" i="13"/>
  <c r="L147" i="19"/>
  <c r="L145" i="19"/>
  <c r="L148" i="19"/>
  <c r="L146" i="19"/>
  <c r="AC342" i="13"/>
  <c r="AG342" i="13"/>
  <c r="L1757" i="19"/>
  <c r="L1755" i="19"/>
  <c r="L1756" i="19"/>
  <c r="L1758" i="19"/>
  <c r="AG323" i="13"/>
  <c r="AC323" i="13"/>
  <c r="AG308" i="13"/>
  <c r="AC308" i="13"/>
  <c r="AG358" i="13"/>
  <c r="AC358" i="13"/>
  <c r="AG392" i="13"/>
  <c r="AC392" i="13"/>
  <c r="L227" i="19"/>
  <c r="L225" i="19"/>
  <c r="L228" i="19"/>
  <c r="L226" i="19"/>
  <c r="L23" i="19"/>
  <c r="L21" i="19"/>
  <c r="L22" i="19"/>
  <c r="L20" i="19"/>
  <c r="AG26" i="13"/>
  <c r="AC26" i="13"/>
  <c r="L1708" i="19"/>
  <c r="L1706" i="19"/>
  <c r="L1705" i="19"/>
  <c r="L1707" i="19"/>
  <c r="AG313" i="13"/>
  <c r="AC313" i="13"/>
  <c r="L1457" i="19"/>
  <c r="L1455" i="19"/>
  <c r="L1456" i="19"/>
  <c r="L1458" i="19"/>
  <c r="L1543" i="19"/>
  <c r="L1541" i="19"/>
  <c r="L1542" i="19"/>
  <c r="L1540" i="19"/>
  <c r="AG356" i="13"/>
  <c r="AC356" i="13"/>
  <c r="AG416" i="13"/>
  <c r="AC416" i="13"/>
  <c r="L1412" i="19"/>
  <c r="L1410" i="19"/>
  <c r="L1413" i="19"/>
  <c r="L1411" i="19"/>
  <c r="AG273" i="13"/>
  <c r="AC273" i="13"/>
  <c r="AG257" i="13"/>
  <c r="AC257" i="13"/>
  <c r="AG262" i="13"/>
  <c r="AC262" i="13"/>
  <c r="AG300" i="13"/>
  <c r="AC300" i="13"/>
  <c r="AC378" i="13"/>
  <c r="AG378" i="13"/>
  <c r="AC222" i="13"/>
  <c r="AG222" i="13"/>
  <c r="L1002" i="19"/>
  <c r="L1000" i="19"/>
  <c r="L1003" i="19"/>
  <c r="L1001" i="19"/>
  <c r="L842" i="19"/>
  <c r="L840" i="19"/>
  <c r="L843" i="19"/>
  <c r="L841" i="19"/>
  <c r="AG158" i="13"/>
  <c r="AC158" i="13"/>
  <c r="L1228" i="19"/>
  <c r="L1226" i="19"/>
  <c r="L1227" i="19"/>
  <c r="L1225" i="19"/>
  <c r="L1148" i="19"/>
  <c r="L1146" i="19"/>
  <c r="L1147" i="19"/>
  <c r="L1145" i="19"/>
  <c r="H218" i="10"/>
  <c r="L988" i="19"/>
  <c r="L986" i="19"/>
  <c r="L987" i="19"/>
  <c r="L985" i="19"/>
  <c r="H186" i="10"/>
  <c r="H170" i="10"/>
  <c r="L1213" i="19"/>
  <c r="L1211" i="19"/>
  <c r="L1212" i="19"/>
  <c r="L1210" i="19"/>
  <c r="L973" i="19"/>
  <c r="L971" i="19"/>
  <c r="L972" i="19"/>
  <c r="L970" i="19"/>
  <c r="L813" i="19"/>
  <c r="L811" i="19"/>
  <c r="L812" i="19"/>
  <c r="L810" i="19"/>
  <c r="L1197" i="19"/>
  <c r="L1195" i="19"/>
  <c r="L1198" i="19"/>
  <c r="L1196" i="19"/>
  <c r="L1037" i="19"/>
  <c r="L1035" i="19"/>
  <c r="L1038" i="19"/>
  <c r="L1036" i="19"/>
  <c r="L797" i="19"/>
  <c r="L795" i="19"/>
  <c r="L798" i="19"/>
  <c r="L796" i="19"/>
  <c r="AG146" i="13"/>
  <c r="AC146" i="13"/>
  <c r="L622" i="19"/>
  <c r="L620" i="19"/>
  <c r="L623" i="19"/>
  <c r="L621" i="19"/>
  <c r="H150" i="10"/>
  <c r="L648" i="19"/>
  <c r="L646" i="19"/>
  <c r="L647" i="19"/>
  <c r="L645" i="19"/>
  <c r="L568" i="19"/>
  <c r="L566" i="19"/>
  <c r="L567" i="19"/>
  <c r="L565" i="19"/>
  <c r="H102" i="10"/>
  <c r="L408" i="19"/>
  <c r="L406" i="19"/>
  <c r="L407" i="19"/>
  <c r="L405" i="19"/>
  <c r="H70" i="10"/>
  <c r="L613" i="19"/>
  <c r="L611" i="19"/>
  <c r="L612" i="19"/>
  <c r="L610" i="19"/>
  <c r="L533" i="19"/>
  <c r="L531" i="19"/>
  <c r="L532" i="19"/>
  <c r="L530" i="19"/>
  <c r="L373" i="19"/>
  <c r="L371" i="19"/>
  <c r="L372" i="19"/>
  <c r="L370" i="19"/>
  <c r="L293" i="19"/>
  <c r="L291" i="19"/>
  <c r="L292" i="19"/>
  <c r="L290" i="19"/>
  <c r="L737" i="19"/>
  <c r="L735" i="19"/>
  <c r="L738" i="19"/>
  <c r="L736" i="19"/>
  <c r="L497" i="19"/>
  <c r="L495" i="19"/>
  <c r="L498" i="19"/>
  <c r="L496" i="19"/>
  <c r="L417" i="19"/>
  <c r="L415" i="19"/>
  <c r="L418" i="19"/>
  <c r="L416" i="19"/>
  <c r="L337" i="19"/>
  <c r="L335" i="19"/>
  <c r="L338" i="19"/>
  <c r="L336" i="19"/>
  <c r="AG9" i="13"/>
  <c r="AC9" i="13"/>
  <c r="H24" i="10"/>
  <c r="AC367" i="13"/>
  <c r="AG367" i="13"/>
  <c r="L178" i="19"/>
  <c r="L176" i="19"/>
  <c r="L177" i="19"/>
  <c r="L175" i="19"/>
  <c r="AG408" i="13"/>
  <c r="AC408" i="13"/>
  <c r="AC40" i="13"/>
  <c r="AG40" i="13"/>
  <c r="AG439" i="13"/>
  <c r="AC439" i="13"/>
  <c r="AG23" i="13"/>
  <c r="AC23" i="13"/>
  <c r="AG39" i="13"/>
  <c r="AC39" i="13"/>
  <c r="AG369" i="13"/>
  <c r="AC369" i="13"/>
  <c r="L247" i="19"/>
  <c r="L245" i="19"/>
  <c r="L248" i="19"/>
  <c r="L246" i="19"/>
  <c r="AG14" i="13"/>
  <c r="AC14" i="13"/>
  <c r="AG431" i="13"/>
  <c r="AC431" i="13"/>
  <c r="AG30" i="13"/>
  <c r="AC30" i="13"/>
  <c r="AG421" i="13"/>
  <c r="AC421" i="13"/>
  <c r="AG46" i="13"/>
  <c r="AC46" i="13"/>
  <c r="L1742" i="19"/>
  <c r="L1740" i="19"/>
  <c r="L1743" i="19"/>
  <c r="L1741" i="19"/>
  <c r="AC343" i="13"/>
  <c r="AG343" i="13"/>
  <c r="AC310" i="13"/>
  <c r="AG310" i="13"/>
  <c r="L1648" i="19"/>
  <c r="L1646" i="19"/>
  <c r="L1647" i="19"/>
  <c r="L1645" i="19"/>
  <c r="L1568" i="19"/>
  <c r="L1566" i="19"/>
  <c r="L1567" i="19"/>
  <c r="L1565" i="19"/>
  <c r="L1733" i="19"/>
  <c r="L1731" i="19"/>
  <c r="L1732" i="19"/>
  <c r="L1730" i="19"/>
  <c r="AG284" i="13"/>
  <c r="AC284" i="13"/>
  <c r="L1312" i="19"/>
  <c r="L1310" i="19"/>
  <c r="L1313" i="19"/>
  <c r="L1311" i="19"/>
  <c r="AG303" i="13"/>
  <c r="AC303" i="13"/>
  <c r="AG269" i="13"/>
  <c r="AC269" i="13"/>
  <c r="AG296" i="13"/>
  <c r="AC296" i="13"/>
  <c r="AG290" i="13"/>
  <c r="AC290" i="13"/>
  <c r="AG258" i="13"/>
  <c r="AC258" i="13"/>
  <c r="AG271" i="13"/>
  <c r="AC271" i="13"/>
  <c r="AG255" i="13"/>
  <c r="AC255" i="13"/>
  <c r="L1222" i="19"/>
  <c r="L1220" i="19"/>
  <c r="L1223" i="19"/>
  <c r="L1221" i="19"/>
  <c r="AG234" i="13"/>
  <c r="AC234" i="13"/>
  <c r="AC202" i="13"/>
  <c r="AG202" i="13"/>
  <c r="L1128" i="19"/>
  <c r="L1126" i="19"/>
  <c r="L1127" i="19"/>
  <c r="L1125" i="19"/>
  <c r="L1048" i="19"/>
  <c r="L1046" i="19"/>
  <c r="L1047" i="19"/>
  <c r="L1045" i="19"/>
  <c r="H198" i="10"/>
  <c r="H182" i="10"/>
  <c r="L808" i="19"/>
  <c r="L806" i="19"/>
  <c r="L807" i="19"/>
  <c r="L805" i="19"/>
  <c r="L1193" i="19"/>
  <c r="L1191" i="19"/>
  <c r="L1192" i="19"/>
  <c r="L1190" i="19"/>
  <c r="L1113" i="19"/>
  <c r="L1111" i="19"/>
  <c r="L1112" i="19"/>
  <c r="L1110" i="19"/>
  <c r="L1033" i="19"/>
  <c r="L1031" i="19"/>
  <c r="L1032" i="19"/>
  <c r="L1030" i="19"/>
  <c r="L793" i="19"/>
  <c r="L791" i="19"/>
  <c r="L792" i="19"/>
  <c r="L790" i="19"/>
  <c r="L857" i="19"/>
  <c r="L855" i="19"/>
  <c r="L858" i="19"/>
  <c r="L856" i="19"/>
  <c r="AG110" i="13"/>
  <c r="AC110" i="13"/>
  <c r="L442" i="19"/>
  <c r="L440" i="19"/>
  <c r="L443" i="19"/>
  <c r="L441" i="19"/>
  <c r="AC382" i="13"/>
  <c r="AG382" i="13"/>
  <c r="AG78" i="13"/>
  <c r="AC78" i="13"/>
  <c r="AG147" i="13"/>
  <c r="AC147" i="13"/>
  <c r="AG131" i="13"/>
  <c r="AC131" i="13"/>
  <c r="AG115" i="13"/>
  <c r="AC115" i="13"/>
  <c r="AG99" i="13"/>
  <c r="AC99" i="13"/>
  <c r="H82" i="10"/>
  <c r="L308" i="19"/>
  <c r="L306" i="19"/>
  <c r="L307" i="19"/>
  <c r="L305" i="19"/>
  <c r="L513" i="19"/>
  <c r="L511" i="19"/>
  <c r="L512" i="19"/>
  <c r="L510" i="19"/>
  <c r="L353" i="19"/>
  <c r="L351" i="19"/>
  <c r="L352" i="19"/>
  <c r="L350" i="19"/>
  <c r="L717" i="19"/>
  <c r="L715" i="19"/>
  <c r="L718" i="19"/>
  <c r="L716" i="19"/>
  <c r="L477" i="19"/>
  <c r="L475" i="19"/>
  <c r="L478" i="19"/>
  <c r="L476" i="19"/>
  <c r="L317" i="19"/>
  <c r="L315" i="19"/>
  <c r="L318" i="19"/>
  <c r="L316" i="19"/>
  <c r="L112" i="19"/>
  <c r="L110" i="19"/>
  <c r="L113" i="19"/>
  <c r="L111" i="19"/>
  <c r="H10" i="10"/>
  <c r="AG27" i="13"/>
  <c r="AC27" i="13"/>
  <c r="L63" i="19"/>
  <c r="L61" i="19"/>
  <c r="L62" i="19"/>
  <c r="L60" i="19"/>
  <c r="AG50" i="13"/>
  <c r="AC50" i="13"/>
  <c r="AG349" i="13"/>
  <c r="AC349" i="13"/>
  <c r="L1497" i="19"/>
  <c r="L1495" i="19"/>
  <c r="L1496" i="19"/>
  <c r="L1498" i="19"/>
  <c r="AC306" i="13"/>
  <c r="AG306" i="13"/>
  <c r="AG315" i="13"/>
  <c r="AC315" i="13"/>
  <c r="AG332" i="13"/>
  <c r="AC332" i="13"/>
  <c r="L1378" i="19"/>
  <c r="L1376" i="19"/>
  <c r="L1377" i="19"/>
  <c r="L1375" i="19"/>
  <c r="L1387" i="19"/>
  <c r="L1385" i="19"/>
  <c r="L1388" i="19"/>
  <c r="L1386" i="19"/>
  <c r="L1307" i="19"/>
  <c r="L1305" i="19"/>
  <c r="L1308" i="19"/>
  <c r="L1306" i="19"/>
  <c r="L1042" i="19"/>
  <c r="L1040" i="19"/>
  <c r="L1043" i="19"/>
  <c r="L1041" i="19"/>
  <c r="L962" i="19"/>
  <c r="L960" i="19"/>
  <c r="L963" i="19"/>
  <c r="L961" i="19"/>
  <c r="AG182" i="13"/>
  <c r="AC182" i="13"/>
  <c r="AG211" i="13"/>
  <c r="AC211" i="13"/>
  <c r="AG195" i="13"/>
  <c r="AC195" i="13"/>
  <c r="AG179" i="13"/>
  <c r="AC179" i="13"/>
  <c r="AG240" i="13"/>
  <c r="AC240" i="13"/>
  <c r="AG393" i="13"/>
  <c r="AC393" i="13"/>
  <c r="AG160" i="13"/>
  <c r="AC160" i="13"/>
  <c r="AG221" i="13"/>
  <c r="AC221" i="13"/>
  <c r="AG205" i="13"/>
  <c r="AC205" i="13"/>
  <c r="AG173" i="13"/>
  <c r="AC173" i="13"/>
  <c r="AG106" i="13"/>
  <c r="AC106" i="13"/>
  <c r="L422" i="19"/>
  <c r="L420" i="19"/>
  <c r="L423" i="19"/>
  <c r="L421" i="19"/>
  <c r="L342" i="19"/>
  <c r="L340" i="19"/>
  <c r="L343" i="19"/>
  <c r="L341" i="19"/>
  <c r="AG127" i="13"/>
  <c r="AC127" i="13"/>
  <c r="AG95" i="13"/>
  <c r="AC95" i="13"/>
  <c r="AG417" i="13"/>
  <c r="AC417" i="13"/>
  <c r="AG104" i="13"/>
  <c r="AC104" i="13"/>
  <c r="AG373" i="13"/>
  <c r="AC373" i="13"/>
  <c r="AG156" i="13"/>
  <c r="AC156" i="13"/>
  <c r="AG145" i="13"/>
  <c r="AC145" i="13"/>
  <c r="AG129" i="13"/>
  <c r="AC129" i="13"/>
  <c r="AC411" i="13"/>
  <c r="AG411" i="13"/>
  <c r="AC380" i="13"/>
  <c r="AG380" i="13"/>
  <c r="AC414" i="13"/>
  <c r="AG414" i="13"/>
  <c r="AG65" i="13"/>
  <c r="AC65" i="13"/>
  <c r="AC442" i="13"/>
  <c r="AG442" i="13"/>
  <c r="AG49" i="13"/>
  <c r="AC49" i="13"/>
  <c r="AG435" i="13"/>
  <c r="AC435" i="13"/>
  <c r="AG16" i="13"/>
  <c r="AC16" i="13"/>
  <c r="AC424" i="13"/>
  <c r="AG424" i="13"/>
  <c r="H14" i="10"/>
  <c r="H30" i="10"/>
  <c r="H46" i="10"/>
  <c r="AC426" i="13"/>
  <c r="AG426" i="13"/>
  <c r="L83" i="19"/>
  <c r="L81" i="19"/>
  <c r="L82" i="19"/>
  <c r="L80" i="19"/>
  <c r="AG377" i="13"/>
  <c r="AC377" i="13"/>
  <c r="L243" i="19"/>
  <c r="L241" i="19"/>
  <c r="L242" i="19"/>
  <c r="L240" i="19"/>
  <c r="L1702" i="19"/>
  <c r="L1700" i="19"/>
  <c r="L1703" i="19"/>
  <c r="L1701" i="19"/>
  <c r="AC351" i="13"/>
  <c r="AG351" i="13"/>
  <c r="L1477" i="19"/>
  <c r="L1475" i="19"/>
  <c r="L1476" i="19"/>
  <c r="L1478" i="19"/>
  <c r="AC318" i="13"/>
  <c r="AG318" i="13"/>
  <c r="AG302" i="13"/>
  <c r="AC302" i="13"/>
  <c r="H326" i="10"/>
  <c r="H310" i="10"/>
  <c r="L1693" i="19"/>
  <c r="L1691" i="19"/>
  <c r="L1692" i="19"/>
  <c r="L1690" i="19"/>
  <c r="L1612" i="19"/>
  <c r="L1610" i="19"/>
  <c r="L1613" i="19"/>
  <c r="L1611" i="19"/>
  <c r="L1532" i="19"/>
  <c r="L1530" i="19"/>
  <c r="L1533" i="19"/>
  <c r="L1531" i="19"/>
  <c r="L1352" i="19"/>
  <c r="L1350" i="19"/>
  <c r="L1353" i="19"/>
  <c r="L1351" i="19"/>
  <c r="L1438" i="19"/>
  <c r="L1436" i="19"/>
  <c r="L1437" i="19"/>
  <c r="L1435" i="19"/>
  <c r="L1278" i="19"/>
  <c r="L1276" i="19"/>
  <c r="L1277" i="19"/>
  <c r="L1275" i="19"/>
  <c r="L1383" i="19"/>
  <c r="L1381" i="19"/>
  <c r="L1382" i="19"/>
  <c r="L1380" i="19"/>
  <c r="L1448" i="19"/>
  <c r="L1447" i="19"/>
  <c r="L1445" i="19"/>
  <c r="L1446" i="19"/>
  <c r="L1367" i="19"/>
  <c r="L1365" i="19"/>
  <c r="L1368" i="19"/>
  <c r="L1366" i="19"/>
  <c r="H262" i="10"/>
  <c r="L1182" i="19"/>
  <c r="L1180" i="19"/>
  <c r="L1183" i="19"/>
  <c r="L1181" i="19"/>
  <c r="AC226" i="13"/>
  <c r="AG226" i="13"/>
  <c r="H193" i="10"/>
  <c r="L782" i="19"/>
  <c r="L780" i="19"/>
  <c r="L783" i="19"/>
  <c r="L781" i="19"/>
  <c r="L1168" i="19"/>
  <c r="L1166" i="19"/>
  <c r="L1167" i="19"/>
  <c r="L1165" i="19"/>
  <c r="H222" i="10"/>
  <c r="H206" i="10"/>
  <c r="L928" i="19"/>
  <c r="L926" i="19"/>
  <c r="L927" i="19"/>
  <c r="L925" i="19"/>
  <c r="H174" i="10"/>
  <c r="H158" i="10"/>
  <c r="L1153" i="19"/>
  <c r="L1151" i="19"/>
  <c r="L1152" i="19"/>
  <c r="L1150" i="19"/>
  <c r="L993" i="19"/>
  <c r="L991" i="19"/>
  <c r="L992" i="19"/>
  <c r="L990" i="19"/>
  <c r="L913" i="19"/>
  <c r="L911" i="19"/>
  <c r="L912" i="19"/>
  <c r="L910" i="19"/>
  <c r="L1057" i="19"/>
  <c r="L1055" i="19"/>
  <c r="L1058" i="19"/>
  <c r="L1056" i="19"/>
  <c r="L897" i="19"/>
  <c r="L895" i="19"/>
  <c r="L898" i="19"/>
  <c r="L896" i="19"/>
  <c r="AG118" i="13"/>
  <c r="AC118" i="13"/>
  <c r="L482" i="19"/>
  <c r="L480" i="19"/>
  <c r="L483" i="19"/>
  <c r="L481" i="19"/>
  <c r="AG70" i="13"/>
  <c r="AC70" i="13"/>
  <c r="AC434" i="13"/>
  <c r="AG434" i="13"/>
  <c r="AG139" i="13"/>
  <c r="AC139" i="13"/>
  <c r="AG123" i="13"/>
  <c r="AC123" i="13"/>
  <c r="AG91" i="13"/>
  <c r="AC91" i="13"/>
  <c r="AG391" i="13"/>
  <c r="AC391" i="13"/>
  <c r="AG148" i="13"/>
  <c r="AC148" i="13"/>
  <c r="AG132" i="13"/>
  <c r="AC132" i="13"/>
  <c r="AG100" i="13"/>
  <c r="AC100" i="13"/>
  <c r="AG84" i="13"/>
  <c r="AC84" i="13"/>
  <c r="AC410" i="13"/>
  <c r="AG410" i="13"/>
  <c r="AG109" i="13"/>
  <c r="AC109" i="13"/>
  <c r="AC61" i="13"/>
  <c r="AG61" i="13"/>
  <c r="AG21" i="13"/>
  <c r="AC21" i="13"/>
  <c r="AC445" i="13"/>
  <c r="AG445" i="13"/>
  <c r="L158" i="19"/>
  <c r="L156" i="19"/>
  <c r="L157" i="19"/>
  <c r="L155" i="19"/>
  <c r="H52" i="10"/>
  <c r="H19" i="10"/>
  <c r="L152" i="19"/>
  <c r="L150" i="19"/>
  <c r="L153" i="19"/>
  <c r="L151" i="19"/>
  <c r="L232" i="19"/>
  <c r="L230" i="19"/>
  <c r="L233" i="19"/>
  <c r="L231" i="19"/>
  <c r="G8" i="15" l="1"/>
  <c r="H8" i="15" s="1"/>
  <c r="Q24" i="10"/>
  <c r="Q222" i="10"/>
  <c r="Q262" i="10"/>
  <c r="Q46" i="10"/>
  <c r="Q82" i="10"/>
  <c r="Q70" i="10"/>
  <c r="Q326" i="10"/>
  <c r="Q206" i="10"/>
  <c r="Q158" i="10"/>
  <c r="Q174" i="10"/>
  <c r="Q30" i="10"/>
  <c r="Q154" i="10"/>
  <c r="Q170" i="10"/>
  <c r="Q150" i="10"/>
  <c r="Q19" i="10"/>
  <c r="Q14" i="10"/>
  <c r="Q7" i="10"/>
  <c r="Q329" i="10"/>
  <c r="Q193" i="10"/>
  <c r="Q10" i="10"/>
  <c r="Q182" i="10"/>
  <c r="Q218" i="10"/>
  <c r="Q297" i="10"/>
  <c r="Q102" i="10"/>
  <c r="Q186" i="10"/>
  <c r="Q52" i="10"/>
  <c r="Q310" i="10"/>
  <c r="Q198" i="10"/>
  <c r="D21" i="7"/>
  <c r="T446" i="13"/>
  <c r="AP446" i="13"/>
  <c r="D29" i="7"/>
  <c r="D327" i="15"/>
  <c r="E327" i="15" s="1"/>
  <c r="H67" i="15"/>
  <c r="H11" i="7"/>
  <c r="H81" i="15"/>
  <c r="H23" i="15"/>
  <c r="H49" i="15"/>
  <c r="H230" i="15"/>
  <c r="H292" i="15"/>
  <c r="H56" i="15"/>
  <c r="H107" i="15"/>
  <c r="H140" i="15"/>
  <c r="H39" i="15"/>
  <c r="H28" i="15"/>
  <c r="H205" i="15"/>
  <c r="H223" i="15"/>
  <c r="H215" i="15"/>
  <c r="H199" i="15"/>
  <c r="H38" i="15"/>
  <c r="H124" i="15"/>
  <c r="H65" i="15"/>
  <c r="H212" i="15"/>
  <c r="H202" i="15"/>
  <c r="H135" i="15"/>
  <c r="H185" i="15"/>
  <c r="H181" i="15"/>
  <c r="H204" i="15"/>
  <c r="H162" i="15"/>
  <c r="H221" i="15"/>
  <c r="H165" i="15"/>
  <c r="H149" i="15"/>
  <c r="H116" i="15"/>
  <c r="H137" i="15"/>
  <c r="H172" i="15"/>
  <c r="H146" i="15"/>
  <c r="H193" i="15"/>
  <c r="H35" i="15"/>
  <c r="H32" i="15"/>
  <c r="H46" i="15"/>
  <c r="H222" i="15"/>
  <c r="H179" i="15"/>
  <c r="H182" i="15"/>
  <c r="H100" i="15"/>
  <c r="H109" i="15"/>
  <c r="H12" i="15"/>
  <c r="H40" i="15"/>
  <c r="H72" i="15"/>
  <c r="H66" i="15"/>
  <c r="H224" i="15"/>
  <c r="H229" i="15"/>
  <c r="H37" i="15"/>
  <c r="H132" i="15"/>
  <c r="H210" i="15"/>
  <c r="H113" i="15"/>
  <c r="H196" i="15"/>
  <c r="H27" i="15"/>
  <c r="H228" i="15"/>
  <c r="H207" i="15"/>
  <c r="H54" i="15"/>
  <c r="H128" i="15"/>
  <c r="H58" i="15"/>
  <c r="H52" i="15"/>
  <c r="H169" i="15"/>
  <c r="H133" i="15"/>
  <c r="H15" i="15"/>
  <c r="H83" i="15"/>
  <c r="H41" i="15"/>
  <c r="H160" i="15"/>
  <c r="H166" i="15"/>
  <c r="H13" i="15"/>
  <c r="H209" i="15"/>
  <c r="H118" i="15"/>
  <c r="H104" i="15"/>
  <c r="H200" i="15"/>
  <c r="H94" i="15"/>
  <c r="H170" i="15"/>
  <c r="H20" i="15"/>
  <c r="H55" i="15"/>
  <c r="H226" i="15"/>
  <c r="H75" i="15"/>
  <c r="H194" i="15"/>
  <c r="H220" i="15"/>
  <c r="H187" i="15"/>
  <c r="H79" i="15"/>
  <c r="H29" i="15"/>
  <c r="H120" i="15"/>
  <c r="H125" i="15"/>
  <c r="H192" i="15"/>
  <c r="H139" i="15"/>
  <c r="H233" i="15"/>
  <c r="H186" i="15"/>
  <c r="H70" i="15"/>
  <c r="H98" i="15"/>
  <c r="H218" i="15"/>
  <c r="H130" i="15"/>
  <c r="H91" i="15"/>
  <c r="H154" i="15"/>
  <c r="H136" i="15"/>
  <c r="H234" i="15"/>
  <c r="H43" i="15"/>
  <c r="H216" i="15"/>
  <c r="H151" i="15"/>
  <c r="H102" i="15"/>
  <c r="H76" i="15"/>
  <c r="H90" i="15"/>
  <c r="H11" i="15"/>
  <c r="H129" i="15"/>
  <c r="H80" i="15"/>
  <c r="H108" i="15"/>
  <c r="H198" i="15"/>
  <c r="H177" i="15"/>
  <c r="H155" i="15"/>
  <c r="H57" i="15"/>
  <c r="H69" i="15"/>
  <c r="H73" i="15"/>
  <c r="H225" i="15"/>
  <c r="H188" i="15"/>
  <c r="H152" i="15"/>
  <c r="H183" i="15"/>
  <c r="H167" i="15"/>
  <c r="H112" i="15"/>
  <c r="H36" i="15"/>
  <c r="H159" i="15"/>
  <c r="H157" i="15"/>
  <c r="H110" i="15"/>
  <c r="B493" i="17"/>
  <c r="H492" i="17"/>
  <c r="H10" i="15"/>
  <c r="H142" i="15"/>
  <c r="H201" i="15"/>
  <c r="H123" i="15"/>
  <c r="H53" i="15"/>
  <c r="H126" i="15"/>
  <c r="H63" i="15"/>
  <c r="H176" i="15"/>
  <c r="H31" i="15"/>
  <c r="H68" i="15"/>
  <c r="H147" i="15"/>
  <c r="H105" i="15"/>
  <c r="H195" i="15"/>
  <c r="H148" i="15"/>
  <c r="H114" i="15"/>
  <c r="H47" i="15"/>
  <c r="H208" i="15"/>
  <c r="H217" i="15"/>
  <c r="H9" i="15"/>
  <c r="H93" i="15"/>
  <c r="H30" i="15"/>
  <c r="H71" i="15"/>
  <c r="H191" i="15"/>
  <c r="H134" i="15"/>
  <c r="H237" i="15"/>
  <c r="H84" i="15"/>
  <c r="H235" i="15"/>
  <c r="H64" i="15"/>
  <c r="H82" i="15"/>
  <c r="H99" i="15"/>
  <c r="H42" i="15"/>
  <c r="H178" i="15"/>
  <c r="H168" i="15"/>
  <c r="H203" i="15"/>
  <c r="H25" i="15"/>
  <c r="H14" i="15"/>
  <c r="H17" i="15"/>
  <c r="H240" i="15"/>
  <c r="H211" i="15"/>
  <c r="H34" i="15"/>
  <c r="H171" i="15"/>
  <c r="H232" i="15"/>
  <c r="H131" i="15"/>
  <c r="H153" i="15"/>
  <c r="H145" i="15"/>
  <c r="H61" i="15"/>
  <c r="H164" i="15"/>
  <c r="H189" i="15"/>
  <c r="H236" i="15"/>
  <c r="H77" i="15"/>
  <c r="H88" i="15"/>
  <c r="H78" i="15"/>
  <c r="H48" i="15"/>
  <c r="H85" i="15"/>
  <c r="H156" i="15"/>
  <c r="H18" i="15"/>
  <c r="H45" i="15"/>
  <c r="H26" i="15"/>
  <c r="H50" i="15"/>
  <c r="H206" i="15"/>
  <c r="H238" i="15"/>
  <c r="H158" i="15"/>
  <c r="H143" i="15"/>
  <c r="H144" i="15"/>
  <c r="H150" i="15"/>
  <c r="H95" i="15"/>
  <c r="H111" i="15"/>
  <c r="H51" i="15"/>
  <c r="H141" i="15"/>
  <c r="H231" i="15"/>
  <c r="H97" i="15"/>
  <c r="H19" i="15"/>
  <c r="H127" i="15"/>
  <c r="H163" i="15"/>
  <c r="H180" i="15"/>
  <c r="H21" i="15"/>
  <c r="H138" i="15"/>
  <c r="H184" i="15"/>
  <c r="H214" i="15"/>
  <c r="H89" i="15"/>
  <c r="H59" i="15"/>
  <c r="H121" i="15"/>
  <c r="H115" i="15"/>
  <c r="H103" i="15"/>
  <c r="H227" i="15"/>
  <c r="H92" i="15"/>
  <c r="H33" i="15"/>
  <c r="H219" i="15"/>
  <c r="H119" i="15"/>
  <c r="H62" i="15"/>
  <c r="H175" i="15"/>
  <c r="H190" i="15"/>
  <c r="H122" i="15"/>
  <c r="H174" i="15"/>
  <c r="H16" i="15"/>
  <c r="H44" i="15"/>
  <c r="H106" i="15"/>
  <c r="H74" i="15"/>
  <c r="H101" i="15"/>
  <c r="H197" i="15"/>
  <c r="H173" i="15"/>
  <c r="H96" i="15"/>
  <c r="H239" i="15"/>
  <c r="H60" i="15"/>
  <c r="H299" i="15"/>
  <c r="H273" i="15"/>
  <c r="AQ8" i="13"/>
  <c r="H305" i="15"/>
  <c r="H275" i="15"/>
  <c r="H306" i="15"/>
  <c r="H272" i="15"/>
  <c r="H322" i="15"/>
  <c r="H290" i="15"/>
  <c r="H283" i="15"/>
  <c r="H293" i="15"/>
  <c r="H324" i="15"/>
  <c r="H274" i="15"/>
  <c r="H316" i="15"/>
  <c r="H271" i="15"/>
  <c r="H251" i="15"/>
  <c r="H266" i="15"/>
  <c r="H313" i="15"/>
  <c r="H254" i="15"/>
  <c r="H304" i="15"/>
  <c r="H291" i="15"/>
  <c r="H284" i="15"/>
  <c r="H289" i="15"/>
  <c r="H252" i="15"/>
  <c r="H257" i="15"/>
  <c r="H298" i="15"/>
  <c r="H264" i="15"/>
  <c r="H276" i="15"/>
  <c r="H279" i="15"/>
  <c r="H281" i="15"/>
  <c r="H255" i="15"/>
  <c r="H246" i="15"/>
  <c r="H245" i="15"/>
  <c r="H288" i="15"/>
  <c r="H259" i="15"/>
  <c r="H311" i="15"/>
  <c r="H256" i="15"/>
  <c r="H280" i="15"/>
  <c r="J150" i="10"/>
  <c r="J222" i="10"/>
  <c r="J193" i="10"/>
  <c r="J30" i="10"/>
  <c r="J170" i="10"/>
  <c r="J329" i="10"/>
  <c r="J186" i="10"/>
  <c r="J326" i="10"/>
  <c r="J182" i="10"/>
  <c r="J82" i="10"/>
  <c r="J198" i="10"/>
  <c r="J158" i="10"/>
  <c r="J70" i="10"/>
  <c r="J297" i="10"/>
  <c r="J262" i="10"/>
  <c r="J46" i="10"/>
  <c r="J10" i="10"/>
  <c r="J154" i="10"/>
  <c r="Q20" i="9"/>
  <c r="Q15" i="9"/>
  <c r="Q19" i="9"/>
  <c r="J102" i="10"/>
  <c r="J52" i="10"/>
  <c r="J19" i="10"/>
  <c r="J310" i="10"/>
  <c r="J7" i="10"/>
  <c r="J24" i="10"/>
  <c r="J218" i="10"/>
  <c r="J174" i="10"/>
  <c r="J14" i="10"/>
  <c r="J206" i="10"/>
  <c r="H241" i="15"/>
  <c r="H247" i="15"/>
  <c r="J20" i="12"/>
  <c r="H260" i="15"/>
  <c r="H278" i="15"/>
  <c r="H294" i="15"/>
  <c r="H270" i="15"/>
  <c r="H250" i="15"/>
  <c r="H309" i="15"/>
  <c r="H268" i="15"/>
  <c r="H267" i="15"/>
  <c r="H253" i="15"/>
  <c r="C20" i="8"/>
  <c r="H265" i="15"/>
  <c r="H315" i="15"/>
  <c r="H296" i="15"/>
  <c r="H310" i="15"/>
  <c r="H244" i="15"/>
  <c r="K1765" i="19"/>
  <c r="C26" i="3" s="1"/>
  <c r="H323" i="15"/>
  <c r="H282" i="15"/>
  <c r="H258" i="15"/>
  <c r="H326" i="15"/>
  <c r="H297" i="15"/>
  <c r="L239" i="19"/>
  <c r="L544" i="19"/>
  <c r="H312" i="15"/>
  <c r="H302" i="15"/>
  <c r="H320" i="15"/>
  <c r="H295" i="15"/>
  <c r="H263" i="15"/>
  <c r="H261" i="15"/>
  <c r="H248" i="15"/>
  <c r="H262" i="15"/>
  <c r="H318" i="15"/>
  <c r="H307" i="15"/>
  <c r="H243" i="15"/>
  <c r="H303" i="15"/>
  <c r="H321" i="15"/>
  <c r="H317" i="15"/>
  <c r="L1224" i="19"/>
  <c r="L1324" i="19"/>
  <c r="L1404" i="19"/>
  <c r="L1299" i="19"/>
  <c r="L1469" i="19"/>
  <c r="L1064" i="19"/>
  <c r="H325" i="15"/>
  <c r="L1549" i="19"/>
  <c r="L294" i="19"/>
  <c r="L374" i="19"/>
  <c r="L534" i="19"/>
  <c r="L614" i="19"/>
  <c r="L1564" i="19"/>
  <c r="H287" i="15"/>
  <c r="L1499" i="19"/>
  <c r="L469" i="19"/>
  <c r="L549" i="19"/>
  <c r="L629" i="19"/>
  <c r="L709" i="19"/>
  <c r="L19" i="19"/>
  <c r="L764" i="19"/>
  <c r="L1539" i="19"/>
  <c r="L344" i="19"/>
  <c r="L424" i="19"/>
  <c r="L1379" i="19"/>
  <c r="L624" i="19"/>
  <c r="L774" i="19"/>
  <c r="L1174" i="19"/>
  <c r="L769" i="19"/>
  <c r="H249" i="15"/>
  <c r="L1274" i="19"/>
  <c r="L1409" i="19"/>
  <c r="L384" i="19"/>
  <c r="L1694" i="19"/>
  <c r="L1704" i="19"/>
  <c r="L1369" i="19"/>
  <c r="L1479" i="19"/>
  <c r="L319" i="19"/>
  <c r="L479" i="19"/>
  <c r="L719" i="19"/>
  <c r="L794" i="19"/>
  <c r="L1034" i="19"/>
  <c r="L1114" i="19"/>
  <c r="L1194" i="19"/>
  <c r="L809" i="19"/>
  <c r="L1314" i="19"/>
  <c r="L1004" i="19"/>
  <c r="L219" i="19"/>
  <c r="L1264" i="19"/>
  <c r="L584" i="19"/>
  <c r="L804" i="19"/>
  <c r="L1659" i="19"/>
  <c r="L284" i="19"/>
  <c r="L889" i="19"/>
  <c r="L969" i="19"/>
  <c r="L694" i="19"/>
  <c r="L329" i="19"/>
  <c r="L1069" i="19"/>
  <c r="L1559" i="19"/>
  <c r="L1269" i="19"/>
  <c r="L1349" i="19"/>
  <c r="L1674" i="19"/>
  <c r="L1589" i="19"/>
  <c r="L234" i="19"/>
  <c r="L159" i="19"/>
  <c r="L484" i="19"/>
  <c r="L899" i="19"/>
  <c r="L1059" i="19"/>
  <c r="L929" i="19"/>
  <c r="L784" i="19"/>
  <c r="L1184" i="19"/>
  <c r="L1449" i="19"/>
  <c r="L1354" i="19"/>
  <c r="L964" i="19"/>
  <c r="L1044" i="19"/>
  <c r="L64" i="19"/>
  <c r="L1734" i="19"/>
  <c r="L1569" i="19"/>
  <c r="L1649" i="19"/>
  <c r="L1744" i="19"/>
  <c r="L179" i="19"/>
  <c r="L814" i="19"/>
  <c r="L974" i="19"/>
  <c r="L1214" i="19"/>
  <c r="L1414" i="19"/>
  <c r="L1459" i="19"/>
  <c r="L1709" i="19"/>
  <c r="L24" i="19"/>
  <c r="L149" i="19"/>
  <c r="L79" i="19"/>
  <c r="L394" i="19"/>
  <c r="L474" i="19"/>
  <c r="L634" i="19"/>
  <c r="L714" i="19"/>
  <c r="L299" i="19"/>
  <c r="L619" i="19"/>
  <c r="L699" i="19"/>
  <c r="L449" i="19"/>
  <c r="L869" i="19"/>
  <c r="L949" i="19"/>
  <c r="L1029" i="19"/>
  <c r="L1504" i="19"/>
  <c r="L224" i="19"/>
  <c r="L1144" i="19"/>
  <c r="L1249" i="19"/>
  <c r="L1329" i="19"/>
  <c r="L1424" i="19"/>
  <c r="L1319" i="19"/>
  <c r="L1489" i="19"/>
  <c r="L1524" i="19"/>
  <c r="L169" i="19"/>
  <c r="I446" i="13"/>
  <c r="AC8" i="13"/>
  <c r="AG8" i="13"/>
  <c r="L1429" i="19"/>
  <c r="L1474" i="19"/>
  <c r="L1494" i="19"/>
  <c r="L1754" i="19"/>
  <c r="L1509" i="19"/>
  <c r="L1244" i="19"/>
  <c r="L834" i="19"/>
  <c r="L1074" i="19"/>
  <c r="L1234" i="19"/>
  <c r="L849" i="19"/>
  <c r="L944" i="19"/>
  <c r="L1289" i="19"/>
  <c r="L1304" i="19"/>
  <c r="L1359" i="19"/>
  <c r="H301" i="15"/>
  <c r="L49" i="19"/>
  <c r="L29" i="19"/>
  <c r="L199" i="19"/>
  <c r="L39" i="19"/>
  <c r="L434" i="19"/>
  <c r="L594" i="19"/>
  <c r="L674" i="19"/>
  <c r="L779" i="19"/>
  <c r="L939" i="19"/>
  <c r="L1019" i="19"/>
  <c r="L1099" i="19"/>
  <c r="L1179" i="19"/>
  <c r="L1599" i="19"/>
  <c r="L99" i="19"/>
  <c r="L579" i="19"/>
  <c r="L659" i="19"/>
  <c r="L489" i="19"/>
  <c r="L304" i="19"/>
  <c r="L464" i="19"/>
  <c r="L879" i="19"/>
  <c r="L959" i="19"/>
  <c r="L1119" i="19"/>
  <c r="L1764" i="19"/>
  <c r="L359" i="19"/>
  <c r="L439" i="19"/>
  <c r="L599" i="19"/>
  <c r="L679" i="19"/>
  <c r="L214" i="19"/>
  <c r="L134" i="19"/>
  <c r="L379" i="19"/>
  <c r="L459" i="19"/>
  <c r="L539" i="19"/>
  <c r="L854" i="19"/>
  <c r="L934" i="19"/>
  <c r="L1014" i="19"/>
  <c r="L1094" i="19"/>
  <c r="L789" i="19"/>
  <c r="L1109" i="19"/>
  <c r="L1189" i="19"/>
  <c r="L1124" i="19"/>
  <c r="L1714" i="19"/>
  <c r="L1629" i="19"/>
  <c r="L1584" i="19"/>
  <c r="L119" i="19"/>
  <c r="H308" i="15"/>
  <c r="L824" i="19"/>
  <c r="L1239" i="19"/>
  <c r="L1604" i="19"/>
  <c r="L259" i="19"/>
  <c r="H319" i="15"/>
  <c r="L1684" i="19"/>
  <c r="L69" i="19"/>
  <c r="L1254" i="19"/>
  <c r="H358" i="10"/>
  <c r="L914" i="19"/>
  <c r="L994" i="19"/>
  <c r="L1154" i="19"/>
  <c r="L114" i="19"/>
  <c r="L409" i="19"/>
  <c r="L799" i="19"/>
  <c r="L1039" i="19"/>
  <c r="L1199" i="19"/>
  <c r="L989" i="19"/>
  <c r="L844" i="19"/>
  <c r="L1544" i="19"/>
  <c r="L229" i="19"/>
  <c r="L279" i="19"/>
  <c r="L519" i="19"/>
  <c r="L589" i="19"/>
  <c r="L669" i="19"/>
  <c r="L1104" i="19"/>
  <c r="L1484" i="19"/>
  <c r="L1729" i="19"/>
  <c r="L754" i="19"/>
  <c r="L494" i="19"/>
  <c r="L504" i="19"/>
  <c r="L884" i="19"/>
  <c r="L1719" i="19"/>
  <c r="L109" i="19"/>
  <c r="L1454" i="19"/>
  <c r="L1394" i="19"/>
  <c r="L1689" i="19"/>
  <c r="L204" i="19"/>
  <c r="L124" i="19"/>
  <c r="L44" i="19"/>
  <c r="L89" i="19"/>
  <c r="L174" i="19"/>
  <c r="L12" i="19"/>
  <c r="H21" i="12" s="1"/>
  <c r="L10" i="19"/>
  <c r="F21" i="12" s="1"/>
  <c r="L13" i="19"/>
  <c r="I21" i="12" s="1"/>
  <c r="L11" i="19"/>
  <c r="L704" i="19"/>
  <c r="L1284" i="19"/>
  <c r="L1444" i="19"/>
  <c r="L1259" i="19"/>
  <c r="L1339" i="19"/>
  <c r="L644" i="19"/>
  <c r="L819" i="19"/>
  <c r="L979" i="19"/>
  <c r="L1139" i="19"/>
  <c r="L1219" i="19"/>
  <c r="L1529" i="19"/>
  <c r="L1609" i="19"/>
  <c r="L1639" i="19"/>
  <c r="L1699" i="19"/>
  <c r="L164" i="19"/>
  <c r="H300" i="15"/>
  <c r="L209" i="19"/>
  <c r="L129" i="19"/>
  <c r="L139" i="19"/>
  <c r="L744" i="19"/>
  <c r="L759" i="19"/>
  <c r="L194" i="19"/>
  <c r="L34" i="19"/>
  <c r="L399" i="19"/>
  <c r="L559" i="19"/>
  <c r="L639" i="19"/>
  <c r="L874" i="19"/>
  <c r="L954" i="19"/>
  <c r="L904" i="19"/>
  <c r="L454" i="19"/>
  <c r="L729" i="19"/>
  <c r="L894" i="19"/>
  <c r="L1054" i="19"/>
  <c r="L1134" i="19"/>
  <c r="L829" i="19"/>
  <c r="L909" i="19"/>
  <c r="L264" i="19"/>
  <c r="L314" i="19"/>
  <c r="L554" i="19"/>
  <c r="L349" i="19"/>
  <c r="L509" i="19"/>
  <c r="L749" i="19"/>
  <c r="L404" i="19"/>
  <c r="L864" i="19"/>
  <c r="L1024" i="19"/>
  <c r="L1434" i="19"/>
  <c r="L274" i="19"/>
  <c r="L59" i="19"/>
  <c r="H242" i="15"/>
  <c r="L334" i="19"/>
  <c r="L414" i="19"/>
  <c r="L574" i="19"/>
  <c r="L654" i="19"/>
  <c r="L734" i="19"/>
  <c r="L289" i="19"/>
  <c r="L369" i="19"/>
  <c r="L529" i="19"/>
  <c r="L689" i="19"/>
  <c r="L664" i="19"/>
  <c r="L919" i="19"/>
  <c r="L1159" i="19"/>
  <c r="L1294" i="19"/>
  <c r="L1554" i="19"/>
  <c r="L1669" i="19"/>
  <c r="L1749" i="19"/>
  <c r="L684" i="19"/>
  <c r="L1519" i="19"/>
  <c r="L1739" i="19"/>
  <c r="L1664" i="19"/>
  <c r="L254" i="19"/>
  <c r="L94" i="19"/>
  <c r="L184" i="19"/>
  <c r="H285" i="15"/>
  <c r="L1624" i="19"/>
  <c r="L1169" i="19"/>
  <c r="L154" i="19"/>
  <c r="L1384" i="19"/>
  <c r="L1279" i="19"/>
  <c r="L1439" i="19"/>
  <c r="L1534" i="19"/>
  <c r="L1614" i="19"/>
  <c r="L244" i="19"/>
  <c r="L84" i="19"/>
  <c r="L1309" i="19"/>
  <c r="L1389" i="19"/>
  <c r="L354" i="19"/>
  <c r="L514" i="19"/>
  <c r="L309" i="19"/>
  <c r="L444" i="19"/>
  <c r="L859" i="19"/>
  <c r="L1049" i="19"/>
  <c r="L1129" i="19"/>
  <c r="L249" i="19"/>
  <c r="L339" i="19"/>
  <c r="L419" i="19"/>
  <c r="L499" i="19"/>
  <c r="L739" i="19"/>
  <c r="L569" i="19"/>
  <c r="L649" i="19"/>
  <c r="L1149" i="19"/>
  <c r="L1229" i="19"/>
  <c r="L1759" i="19"/>
  <c r="L429" i="19"/>
  <c r="L324" i="19"/>
  <c r="L564" i="19"/>
  <c r="L54" i="19"/>
  <c r="L609" i="19"/>
  <c r="L839" i="19"/>
  <c r="L999" i="19"/>
  <c r="L1079" i="19"/>
  <c r="L1634" i="19"/>
  <c r="L364" i="19"/>
  <c r="L524" i="19"/>
  <c r="L984" i="19"/>
  <c r="L1084" i="19"/>
  <c r="L1334" i="19"/>
  <c r="L104" i="19"/>
  <c r="L1009" i="19"/>
  <c r="L1089" i="19"/>
  <c r="H269" i="15"/>
  <c r="L1204" i="19"/>
  <c r="L1374" i="19"/>
  <c r="L389" i="19"/>
  <c r="L604" i="19"/>
  <c r="L1209" i="19"/>
  <c r="L1574" i="19"/>
  <c r="L1654" i="19"/>
  <c r="H277" i="15"/>
  <c r="L74" i="19"/>
  <c r="L724" i="19"/>
  <c r="L1644" i="19"/>
  <c r="H314" i="15"/>
  <c r="L1579" i="19"/>
  <c r="L1724" i="19"/>
  <c r="L144" i="19"/>
  <c r="H286" i="15"/>
  <c r="L269" i="19"/>
  <c r="L189" i="19"/>
  <c r="L1344" i="19"/>
  <c r="L1399" i="19"/>
  <c r="L924" i="19"/>
  <c r="L1364" i="19"/>
  <c r="L1419" i="19"/>
  <c r="L1514" i="19"/>
  <c r="L1594" i="19"/>
  <c r="L1619" i="19"/>
  <c r="L1679" i="19"/>
  <c r="L1164" i="19"/>
  <c r="L1464" i="19"/>
  <c r="AO13" i="7" l="1"/>
  <c r="I452" i="13"/>
  <c r="C21" i="8"/>
  <c r="G327" i="15"/>
  <c r="D15" i="7"/>
  <c r="H12" i="7"/>
  <c r="B494" i="17"/>
  <c r="H493" i="17"/>
  <c r="AQ446" i="13"/>
  <c r="I11" i="7"/>
  <c r="J11" i="7" s="1"/>
  <c r="G21" i="12"/>
  <c r="J358" i="10"/>
  <c r="L14" i="19"/>
  <c r="J21" i="12" s="1"/>
  <c r="B495" i="17" l="1"/>
  <c r="H494" i="17"/>
  <c r="I12" i="7"/>
  <c r="H327" i="15"/>
  <c r="H330" i="15" l="1"/>
  <c r="H331" i="15"/>
  <c r="J12" i="7"/>
  <c r="B496" i="17"/>
  <c r="H495" i="17"/>
  <c r="G13" i="8"/>
  <c r="P358" i="10"/>
  <c r="Q358" i="10" s="1"/>
  <c r="B497" i="17" l="1"/>
  <c r="H496" i="17"/>
  <c r="B498" i="17" l="1"/>
  <c r="H497" i="17"/>
  <c r="B499" i="17" l="1"/>
  <c r="H498" i="17"/>
  <c r="B500" i="17" l="1"/>
  <c r="H499" i="17"/>
  <c r="B501" i="17" l="1"/>
  <c r="H500" i="17"/>
  <c r="B502" i="17" l="1"/>
  <c r="H501" i="17"/>
  <c r="B503" i="17" l="1"/>
  <c r="H502" i="17"/>
  <c r="B504" i="17" l="1"/>
  <c r="H503" i="17"/>
  <c r="AB13" i="13"/>
  <c r="AB36" i="13"/>
  <c r="AB277" i="13"/>
  <c r="AB120" i="13"/>
  <c r="AB341" i="13"/>
  <c r="AB111" i="13"/>
  <c r="AB119" i="13"/>
  <c r="AB306" i="13"/>
  <c r="AB264" i="13"/>
  <c r="AB335" i="13"/>
  <c r="AB19" i="13"/>
  <c r="AB82" i="13"/>
  <c r="AB97" i="13"/>
  <c r="AB113" i="13"/>
  <c r="AB290" i="13"/>
  <c r="AB326" i="13"/>
  <c r="AB88" i="13"/>
  <c r="AB173" i="13"/>
  <c r="AB340" i="13"/>
  <c r="AB254" i="13"/>
  <c r="AB22" i="13"/>
  <c r="AB267" i="13"/>
  <c r="AB327" i="13"/>
  <c r="AB133" i="13"/>
  <c r="AB137" i="13"/>
  <c r="AB242" i="13"/>
  <c r="AB232" i="13"/>
  <c r="AB286" i="13"/>
  <c r="AB69" i="13"/>
  <c r="AB358" i="13"/>
  <c r="AB147" i="13"/>
  <c r="AB126" i="13"/>
  <c r="AB62" i="13"/>
  <c r="AB122" i="13"/>
  <c r="AB213" i="13"/>
  <c r="AB212" i="13"/>
  <c r="AB99" i="13"/>
  <c r="AB252" i="13"/>
  <c r="AB73" i="13"/>
  <c r="AB127" i="13"/>
  <c r="AB262" i="13"/>
  <c r="AB346" i="13"/>
  <c r="AB26" i="13"/>
  <c r="AB28" i="13"/>
  <c r="AB35" i="13"/>
  <c r="AB239" i="13"/>
  <c r="AB348" i="13"/>
  <c r="AB200" i="13"/>
  <c r="AB18" i="13"/>
  <c r="AB304" i="13"/>
  <c r="AB163" i="13"/>
  <c r="B505" i="17" l="1"/>
  <c r="H504" i="17"/>
  <c r="B506" i="17" l="1"/>
  <c r="H505" i="17"/>
  <c r="B507" i="17" l="1"/>
  <c r="H506" i="17"/>
  <c r="B508" i="17" l="1"/>
  <c r="H507" i="17"/>
  <c r="E27" i="15" l="1"/>
  <c r="B509" i="17"/>
  <c r="H508" i="17"/>
  <c r="E308" i="15" l="1"/>
  <c r="E295" i="15"/>
  <c r="E296" i="15"/>
  <c r="E319" i="15"/>
  <c r="E318" i="15"/>
  <c r="E323" i="15"/>
  <c r="E247" i="15"/>
  <c r="E255" i="15"/>
  <c r="E268" i="15"/>
  <c r="E317" i="15"/>
  <c r="E321" i="15"/>
  <c r="E265" i="15"/>
  <c r="E242" i="15"/>
  <c r="E269" i="15"/>
  <c r="E261" i="15"/>
  <c r="E274" i="15"/>
  <c r="E313" i="15"/>
  <c r="E264" i="15"/>
  <c r="E316" i="15"/>
  <c r="E288" i="15"/>
  <c r="E259" i="15"/>
  <c r="E271" i="15"/>
  <c r="E251" i="15"/>
  <c r="E281" i="15"/>
  <c r="E292" i="15"/>
  <c r="E300" i="15"/>
  <c r="E250" i="15"/>
  <c r="E307" i="15"/>
  <c r="E309" i="15"/>
  <c r="E273" i="15"/>
  <c r="E244" i="15"/>
  <c r="E289" i="15"/>
  <c r="E262" i="15"/>
  <c r="E276" i="15"/>
  <c r="E254" i="15"/>
  <c r="E258" i="15"/>
  <c r="E263" i="15"/>
  <c r="E326" i="15"/>
  <c r="E280" i="15"/>
  <c r="E284" i="15"/>
  <c r="E312" i="15"/>
  <c r="E279" i="15"/>
  <c r="E294" i="15"/>
  <c r="E304" i="15"/>
  <c r="E285" i="15"/>
  <c r="E257" i="15"/>
  <c r="E311" i="15"/>
  <c r="E245" i="15"/>
  <c r="E299" i="15"/>
  <c r="E303" i="15"/>
  <c r="E283" i="15"/>
  <c r="E310" i="15"/>
  <c r="E270" i="15"/>
  <c r="E253" i="15"/>
  <c r="E282" i="15"/>
  <c r="E260" i="15"/>
  <c r="E248" i="15"/>
  <c r="E275" i="15"/>
  <c r="E293" i="15"/>
  <c r="E322" i="15"/>
  <c r="E252" i="15"/>
  <c r="E324" i="15"/>
  <c r="E314" i="15"/>
  <c r="E243" i="15"/>
  <c r="E290" i="15"/>
  <c r="E278" i="15"/>
  <c r="E249" i="15"/>
  <c r="E291" i="15"/>
  <c r="E240" i="15"/>
  <c r="E306" i="15"/>
  <c r="E325" i="15"/>
  <c r="E286" i="15"/>
  <c r="E298" i="15"/>
  <c r="E315" i="15"/>
  <c r="E301" i="15"/>
  <c r="E297" i="15"/>
  <c r="E266" i="15"/>
  <c r="E287" i="15"/>
  <c r="E302" i="15"/>
  <c r="E246" i="15"/>
  <c r="E256" i="15"/>
  <c r="E241" i="15"/>
  <c r="B510" i="17"/>
  <c r="H509" i="17"/>
  <c r="E272" i="15" l="1"/>
  <c r="E267" i="15"/>
  <c r="B511" i="17"/>
  <c r="H510" i="17"/>
  <c r="E277" i="15" l="1"/>
  <c r="E8" i="15"/>
  <c r="E305" i="15"/>
  <c r="B512" i="17"/>
  <c r="H511" i="17"/>
  <c r="E320" i="15" l="1"/>
  <c r="B513" i="17"/>
  <c r="H512" i="17"/>
  <c r="B514" i="17" l="1"/>
  <c r="H513" i="17"/>
  <c r="B515" i="17" l="1"/>
  <c r="H514" i="17"/>
  <c r="B516" i="17" l="1"/>
  <c r="H515" i="17"/>
  <c r="L147" i="15" l="1"/>
  <c r="AB9" i="13"/>
  <c r="AB11" i="13"/>
  <c r="B517" i="17"/>
  <c r="H516" i="17"/>
  <c r="L195" i="15" l="1"/>
  <c r="L131" i="15"/>
  <c r="L67" i="15"/>
  <c r="L323" i="15"/>
  <c r="L199" i="15"/>
  <c r="L256" i="15"/>
  <c r="L68" i="15"/>
  <c r="L185" i="15"/>
  <c r="L221" i="15"/>
  <c r="L294" i="15"/>
  <c r="L280" i="15"/>
  <c r="L30" i="15"/>
  <c r="L89" i="15"/>
  <c r="L151" i="15"/>
  <c r="L126" i="15"/>
  <c r="L20" i="15"/>
  <c r="L219" i="15"/>
  <c r="L142" i="15"/>
  <c r="L120" i="15"/>
  <c r="L71" i="15"/>
  <c r="L168" i="15"/>
  <c r="L117" i="15"/>
  <c r="L118" i="15"/>
  <c r="L140" i="15"/>
  <c r="L96" i="15"/>
  <c r="L15" i="15"/>
  <c r="L94" i="15"/>
  <c r="L319" i="15"/>
  <c r="L171" i="15"/>
  <c r="L181" i="15"/>
  <c r="L32" i="15"/>
  <c r="L237" i="15"/>
  <c r="L137" i="15"/>
  <c r="L166" i="15"/>
  <c r="L193" i="15"/>
  <c r="L134" i="15"/>
  <c r="L176" i="15"/>
  <c r="L197" i="15"/>
  <c r="L123" i="15"/>
  <c r="L105" i="15"/>
  <c r="L200" i="15"/>
  <c r="L285" i="15"/>
  <c r="L266" i="15"/>
  <c r="L100" i="15"/>
  <c r="L21" i="15"/>
  <c r="L57" i="15"/>
  <c r="L248" i="15"/>
  <c r="L159" i="15"/>
  <c r="L186" i="15"/>
  <c r="L79" i="15"/>
  <c r="L93" i="15"/>
  <c r="L250" i="15"/>
  <c r="AB235" i="13"/>
  <c r="B518" i="17"/>
  <c r="H517" i="17"/>
  <c r="L326" i="15" l="1"/>
  <c r="L260" i="15"/>
  <c r="L77" i="15"/>
  <c r="L31" i="15"/>
  <c r="L273" i="15"/>
  <c r="L42" i="15"/>
  <c r="L174" i="15"/>
  <c r="L263" i="15"/>
  <c r="L308" i="15"/>
  <c r="L262" i="15"/>
  <c r="L47" i="15"/>
  <c r="L238" i="15"/>
  <c r="L144" i="15"/>
  <c r="L103" i="15"/>
  <c r="L63" i="15"/>
  <c r="L24" i="15"/>
  <c r="L291" i="15"/>
  <c r="L203" i="15"/>
  <c r="L98" i="15"/>
  <c r="L311" i="15"/>
  <c r="L161" i="15"/>
  <c r="L46" i="15"/>
  <c r="L119" i="15"/>
  <c r="L52" i="15"/>
  <c r="L66" i="15"/>
  <c r="L22" i="15"/>
  <c r="L233" i="15"/>
  <c r="L156" i="15"/>
  <c r="L241" i="15"/>
  <c r="L62" i="15"/>
  <c r="L169" i="15"/>
  <c r="L191" i="15"/>
  <c r="L172" i="15"/>
  <c r="L141" i="15"/>
  <c r="L56" i="15"/>
  <c r="L208" i="15"/>
  <c r="L87" i="15"/>
  <c r="L14" i="15"/>
  <c r="L34" i="15"/>
  <c r="L236" i="15"/>
  <c r="L153" i="15"/>
  <c r="L160" i="15"/>
  <c r="L284" i="15"/>
  <c r="L230" i="15"/>
  <c r="L162" i="15"/>
  <c r="L128" i="15"/>
  <c r="L75" i="15"/>
  <c r="L99" i="15"/>
  <c r="L232" i="15"/>
  <c r="L104" i="15"/>
  <c r="L19" i="15"/>
  <c r="L270" i="15"/>
  <c r="L218" i="15"/>
  <c r="L257" i="15"/>
  <c r="L321" i="15"/>
  <c r="L51" i="15"/>
  <c r="L16" i="15"/>
  <c r="L283" i="15"/>
  <c r="L152" i="15"/>
  <c r="L64" i="15"/>
  <c r="L300" i="15"/>
  <c r="L316" i="15"/>
  <c r="L110" i="15"/>
  <c r="L149" i="15"/>
  <c r="L265" i="15"/>
  <c r="L125" i="15"/>
  <c r="L39" i="15"/>
  <c r="L60" i="15"/>
  <c r="L41" i="15"/>
  <c r="L82" i="15"/>
  <c r="L139" i="15"/>
  <c r="L252" i="15"/>
  <c r="L167" i="15"/>
  <c r="L255" i="15"/>
  <c r="L318" i="15"/>
  <c r="L138" i="15"/>
  <c r="L54" i="15"/>
  <c r="L306" i="15"/>
  <c r="L177" i="15"/>
  <c r="L301" i="15"/>
  <c r="L205" i="15"/>
  <c r="L226" i="15"/>
  <c r="L322" i="15"/>
  <c r="L287" i="15"/>
  <c r="L317" i="15"/>
  <c r="L23" i="15"/>
  <c r="L224" i="15"/>
  <c r="L155" i="15"/>
  <c r="L286" i="15"/>
  <c r="L246" i="15"/>
  <c r="L84" i="15"/>
  <c r="L86" i="15"/>
  <c r="L281" i="15"/>
  <c r="L298" i="15"/>
  <c r="L258" i="15"/>
  <c r="L278" i="15"/>
  <c r="L107" i="15"/>
  <c r="L239" i="15"/>
  <c r="L225" i="15"/>
  <c r="L182" i="15"/>
  <c r="L12" i="15"/>
  <c r="L259" i="15"/>
  <c r="L43" i="15"/>
  <c r="L297" i="15"/>
  <c r="L48" i="15"/>
  <c r="L187" i="15"/>
  <c r="L325" i="15"/>
  <c r="L97" i="15"/>
  <c r="L206" i="15"/>
  <c r="L315" i="15"/>
  <c r="L196" i="15"/>
  <c r="L83" i="15"/>
  <c r="L121" i="15"/>
  <c r="L253" i="15"/>
  <c r="L132" i="15"/>
  <c r="L95" i="15"/>
  <c r="L275" i="15"/>
  <c r="L251" i="15"/>
  <c r="L164" i="15"/>
  <c r="L163" i="15"/>
  <c r="L10" i="15"/>
  <c r="L310" i="15"/>
  <c r="L244" i="15"/>
  <c r="L304" i="15"/>
  <c r="L274" i="15"/>
  <c r="L49" i="15"/>
  <c r="L211" i="15"/>
  <c r="L113" i="15"/>
  <c r="L158" i="15"/>
  <c r="L112" i="15"/>
  <c r="L279" i="15"/>
  <c r="L37" i="15"/>
  <c r="L109" i="15"/>
  <c r="L314" i="15"/>
  <c r="L74" i="15"/>
  <c r="L13" i="15"/>
  <c r="L26" i="15"/>
  <c r="L212" i="15"/>
  <c r="L154" i="15"/>
  <c r="L242" i="15"/>
  <c r="L115" i="15"/>
  <c r="L11" i="15"/>
  <c r="L150" i="15"/>
  <c r="L36" i="15"/>
  <c r="L157" i="15"/>
  <c r="L133" i="15"/>
  <c r="L33" i="15"/>
  <c r="L122" i="15"/>
  <c r="L108" i="15"/>
  <c r="L145" i="15"/>
  <c r="L180" i="15"/>
  <c r="L173" i="15"/>
  <c r="L209" i="15"/>
  <c r="L88" i="15"/>
  <c r="L53" i="15"/>
  <c r="L116" i="15"/>
  <c r="L192" i="15"/>
  <c r="L235" i="15"/>
  <c r="L243" i="15"/>
  <c r="L35" i="15"/>
  <c r="L189" i="15"/>
  <c r="L183" i="15"/>
  <c r="L165" i="15"/>
  <c r="L178" i="15"/>
  <c r="L25" i="15"/>
  <c r="L65" i="15"/>
  <c r="L70" i="15"/>
  <c r="L81" i="15"/>
  <c r="L55" i="15"/>
  <c r="L261" i="15"/>
  <c r="L269" i="15"/>
  <c r="L222" i="15"/>
  <c r="L268" i="15"/>
  <c r="L80" i="15"/>
  <c r="L324" i="15"/>
  <c r="L216" i="15"/>
  <c r="L309" i="15"/>
  <c r="L234" i="15"/>
  <c r="L207" i="15"/>
  <c r="L170" i="15"/>
  <c r="L78" i="15"/>
  <c r="L101" i="15"/>
  <c r="L201" i="15"/>
  <c r="L282" i="15"/>
  <c r="L38" i="15"/>
  <c r="L61" i="15"/>
  <c r="L299" i="15"/>
  <c r="L249" i="15"/>
  <c r="L220" i="15"/>
  <c r="L111" i="15"/>
  <c r="L245" i="15"/>
  <c r="L229" i="15"/>
  <c r="L124" i="15"/>
  <c r="L17" i="15"/>
  <c r="L91" i="15"/>
  <c r="L194" i="15"/>
  <c r="L129" i="15"/>
  <c r="L9" i="15"/>
  <c r="L198" i="15"/>
  <c r="L254" i="15"/>
  <c r="L85" i="15"/>
  <c r="L184" i="15"/>
  <c r="L295" i="15"/>
  <c r="L307" i="15"/>
  <c r="L92" i="15"/>
  <c r="L190" i="15"/>
  <c r="L135" i="15"/>
  <c r="L271" i="15"/>
  <c r="L228" i="15"/>
  <c r="L179" i="15"/>
  <c r="L130" i="15"/>
  <c r="L210" i="15"/>
  <c r="L313" i="15"/>
  <c r="L175" i="15"/>
  <c r="L44" i="15"/>
  <c r="L127" i="15"/>
  <c r="L215" i="15"/>
  <c r="L188" i="15"/>
  <c r="L73" i="15"/>
  <c r="L90" i="15"/>
  <c r="L303" i="15"/>
  <c r="L114" i="15"/>
  <c r="L264" i="15"/>
  <c r="L72" i="15"/>
  <c r="L289" i="15"/>
  <c r="L296" i="15"/>
  <c r="L292" i="15"/>
  <c r="L214" i="15"/>
  <c r="L136" i="15"/>
  <c r="L148" i="15"/>
  <c r="L28" i="15"/>
  <c r="L293" i="15"/>
  <c r="L102" i="15"/>
  <c r="L143" i="15"/>
  <c r="L217" i="15"/>
  <c r="L76" i="15"/>
  <c r="L59" i="15"/>
  <c r="L40" i="15"/>
  <c r="L240" i="15"/>
  <c r="L45" i="15"/>
  <c r="L302" i="15"/>
  <c r="L312" i="15"/>
  <c r="L288" i="15"/>
  <c r="L146" i="15"/>
  <c r="L106" i="15"/>
  <c r="L29" i="15"/>
  <c r="L18" i="15"/>
  <c r="L227" i="15"/>
  <c r="L69" i="15"/>
  <c r="L50" i="15"/>
  <c r="L276" i="15"/>
  <c r="B519" i="17"/>
  <c r="H518" i="17"/>
  <c r="L204" i="15" l="1"/>
  <c r="L247" i="15"/>
  <c r="L27" i="15"/>
  <c r="L231" i="15"/>
  <c r="L272" i="15"/>
  <c r="L290" i="15"/>
  <c r="L58" i="15"/>
  <c r="L223" i="15"/>
  <c r="L202" i="15"/>
  <c r="L267" i="15"/>
  <c r="AB229" i="13"/>
  <c r="AB275" i="13"/>
  <c r="B520" i="17"/>
  <c r="H519" i="17"/>
  <c r="L305" i="15" l="1"/>
  <c r="L277" i="15"/>
  <c r="B521" i="17"/>
  <c r="H520" i="17"/>
  <c r="B522" i="17" l="1"/>
  <c r="H521" i="17"/>
  <c r="L320" i="15" l="1"/>
  <c r="B523" i="17"/>
  <c r="H522" i="17"/>
  <c r="B524" i="17" l="1"/>
  <c r="H523" i="17"/>
  <c r="G4" i="16" s="1"/>
  <c r="B3" i="17" s="1"/>
  <c r="E4" i="16" l="1"/>
  <c r="E14" i="16"/>
  <c r="B525" i="17"/>
  <c r="H524" i="17"/>
  <c r="B45" i="16" l="1"/>
  <c r="B36" i="16"/>
  <c r="B55" i="16"/>
  <c r="B20" i="16"/>
  <c r="B34" i="16"/>
  <c r="B29" i="16"/>
  <c r="B39" i="16"/>
  <c r="B22" i="16"/>
  <c r="B48" i="16"/>
  <c r="B49" i="16"/>
  <c r="B19" i="16"/>
  <c r="B30" i="16"/>
  <c r="B14" i="16"/>
  <c r="B37" i="16"/>
  <c r="B24" i="16"/>
  <c r="B38" i="16"/>
  <c r="B31" i="16"/>
  <c r="B17" i="16"/>
  <c r="B27" i="16"/>
  <c r="B62" i="16"/>
  <c r="B56" i="16"/>
  <c r="B63" i="16"/>
  <c r="B46" i="16"/>
  <c r="B51" i="16"/>
  <c r="B44" i="16"/>
  <c r="B26" i="16"/>
  <c r="B58" i="16"/>
  <c r="B66" i="16"/>
  <c r="B32" i="16"/>
  <c r="B33" i="16"/>
  <c r="B25" i="16"/>
  <c r="B54" i="16"/>
  <c r="B61" i="16"/>
  <c r="B35" i="16"/>
  <c r="B57" i="16"/>
  <c r="B23" i="16"/>
  <c r="B50" i="16"/>
  <c r="B40" i="16"/>
  <c r="B64" i="16"/>
  <c r="B52" i="16"/>
  <c r="B28" i="16"/>
  <c r="B42" i="16"/>
  <c r="B65" i="16"/>
  <c r="B67" i="16"/>
  <c r="B59" i="16"/>
  <c r="B47" i="16"/>
  <c r="B53" i="16"/>
  <c r="B41" i="16"/>
  <c r="B60" i="16"/>
  <c r="B21" i="16"/>
  <c r="B43" i="16"/>
  <c r="B526" i="17"/>
  <c r="H525" i="17"/>
  <c r="F23" i="16" l="1"/>
  <c r="E61" i="16"/>
  <c r="H65" i="16"/>
  <c r="H62" i="16"/>
  <c r="J48" i="16"/>
  <c r="L52" i="16"/>
  <c r="F43" i="16"/>
  <c r="H66" i="16"/>
  <c r="A63" i="16"/>
  <c r="L49" i="16"/>
  <c r="H63" i="16"/>
  <c r="H52" i="16"/>
  <c r="A58" i="16"/>
  <c r="E46" i="16"/>
  <c r="A46" i="16" s="1"/>
  <c r="F57" i="16"/>
  <c r="F66" i="16"/>
  <c r="L67" i="16"/>
  <c r="E45" i="16"/>
  <c r="A45" i="16" s="1"/>
  <c r="H55" i="16"/>
  <c r="K61" i="16"/>
  <c r="E62" i="16"/>
  <c r="E28" i="16"/>
  <c r="A28" i="16" s="1"/>
  <c r="H28" i="16" s="1"/>
  <c r="I28" i="16" s="1"/>
  <c r="F26" i="16"/>
  <c r="K65" i="16"/>
  <c r="I56" i="16"/>
  <c r="F55" i="16"/>
  <c r="J52" i="16"/>
  <c r="A52" i="16"/>
  <c r="I53" i="16"/>
  <c r="J47" i="16"/>
  <c r="J56" i="16"/>
  <c r="A30" i="16"/>
  <c r="G30" i="16" s="1"/>
  <c r="H37" i="16"/>
  <c r="K42" i="16"/>
  <c r="P63" i="16"/>
  <c r="I58" i="16"/>
  <c r="J59" i="16"/>
  <c r="J50" i="16"/>
  <c r="A55" i="16"/>
  <c r="E50" i="16"/>
  <c r="F65" i="16"/>
  <c r="J54" i="16"/>
  <c r="A50" i="16"/>
  <c r="E47" i="16"/>
  <c r="J57" i="16"/>
  <c r="G67" i="16"/>
  <c r="I65" i="16"/>
  <c r="E38" i="16"/>
  <c r="A38" i="16" s="1"/>
  <c r="G50" i="16"/>
  <c r="F52" i="16"/>
  <c r="E65" i="16"/>
  <c r="E37" i="16"/>
  <c r="A37" i="16" s="1"/>
  <c r="J49" i="16"/>
  <c r="G51" i="16"/>
  <c r="I59" i="16"/>
  <c r="H61" i="16"/>
  <c r="K67" i="16"/>
  <c r="G55" i="16"/>
  <c r="L53" i="16"/>
  <c r="G48" i="16"/>
  <c r="E24" i="16"/>
  <c r="A24" i="16" s="1"/>
  <c r="J24" i="16" s="1"/>
  <c r="A67" i="16"/>
  <c r="L50" i="16"/>
  <c r="G66" i="16"/>
  <c r="F46" i="16"/>
  <c r="J46" i="16"/>
  <c r="G39" i="16"/>
  <c r="K39" i="16"/>
  <c r="P64" i="16"/>
  <c r="L55" i="16"/>
  <c r="K52" i="16"/>
  <c r="E20" i="16"/>
  <c r="A20" i="16" s="1"/>
  <c r="G20" i="16" s="1"/>
  <c r="A49" i="16"/>
  <c r="I47" i="16"/>
  <c r="G58" i="16"/>
  <c r="F30" i="16"/>
  <c r="L65" i="16"/>
  <c r="E39" i="16"/>
  <c r="A39" i="16" s="1"/>
  <c r="K50" i="16"/>
  <c r="G53" i="16"/>
  <c r="L62" i="16"/>
  <c r="E30" i="16"/>
  <c r="F29" i="16"/>
  <c r="E21" i="16"/>
  <c r="A21" i="16" s="1"/>
  <c r="H21" i="16" s="1"/>
  <c r="I62" i="16"/>
  <c r="E29" i="16"/>
  <c r="A29" i="16" s="1"/>
  <c r="J29" i="16" s="1"/>
  <c r="F27" i="16"/>
  <c r="E19" i="16"/>
  <c r="A19" i="16" s="1"/>
  <c r="H19" i="16" s="1"/>
  <c r="L56" i="16"/>
  <c r="J55" i="16"/>
  <c r="K53" i="16"/>
  <c r="A57" i="16"/>
  <c r="E51" i="16"/>
  <c r="K66" i="16"/>
  <c r="K57" i="16"/>
  <c r="A56" i="16"/>
  <c r="E48" i="16"/>
  <c r="H59" i="16"/>
  <c r="J58" i="16"/>
  <c r="J38" i="16"/>
  <c r="J37" i="16"/>
  <c r="P66" i="16"/>
  <c r="A60" i="16"/>
  <c r="E53" i="16"/>
  <c r="F47" i="16"/>
  <c r="K55" i="16"/>
  <c r="E66" i="16"/>
  <c r="E40" i="16"/>
  <c r="A40" i="16" s="1"/>
  <c r="H51" i="16"/>
  <c r="H54" i="16"/>
  <c r="E63" i="16"/>
  <c r="E31" i="16"/>
  <c r="A31" i="16" s="1"/>
  <c r="J31" i="16" s="1"/>
  <c r="F33" i="16"/>
  <c r="E23" i="16"/>
  <c r="A23" i="16" s="1"/>
  <c r="H23" i="16" s="1"/>
  <c r="E60" i="16"/>
  <c r="J63" i="16"/>
  <c r="F20" i="16"/>
  <c r="G57" i="16"/>
  <c r="L59" i="16"/>
  <c r="F63" i="16"/>
  <c r="F19" i="16"/>
  <c r="F56" i="16"/>
  <c r="E54" i="16"/>
  <c r="K48" i="16"/>
  <c r="E26" i="16"/>
  <c r="A26" i="16" s="1"/>
  <c r="J26" i="16" s="1"/>
  <c r="A48" i="16"/>
  <c r="I48" i="16"/>
  <c r="F61" i="16"/>
  <c r="G47" i="16"/>
  <c r="L66" i="16"/>
  <c r="E42" i="16"/>
  <c r="A42" i="16" s="1"/>
  <c r="H42" i="16" s="1"/>
  <c r="J53" i="16"/>
  <c r="F34" i="16"/>
  <c r="G28" i="16"/>
  <c r="J41" i="16"/>
  <c r="P62" i="16"/>
  <c r="A47" i="16"/>
  <c r="I50" i="16"/>
  <c r="J65" i="16"/>
  <c r="F32" i="16"/>
  <c r="I63" i="16"/>
  <c r="E32" i="16"/>
  <c r="A32" i="16" s="1"/>
  <c r="G32" i="16" s="1"/>
  <c r="F37" i="16"/>
  <c r="E25" i="16"/>
  <c r="A25" i="16" s="1"/>
  <c r="J25" i="16" s="1"/>
  <c r="I60" i="16"/>
  <c r="G64" i="16"/>
  <c r="F21" i="16"/>
  <c r="H58" i="16"/>
  <c r="I57" i="16"/>
  <c r="K56" i="16"/>
  <c r="G59" i="16"/>
  <c r="F38" i="16"/>
  <c r="E57" i="16"/>
  <c r="G56" i="16"/>
  <c r="F58" i="16"/>
  <c r="A62" i="16"/>
  <c r="I51" i="16"/>
  <c r="H67" i="16"/>
  <c r="F62" i="16"/>
  <c r="E67" i="16"/>
  <c r="E43" i="16"/>
  <c r="A43" i="16" s="1"/>
  <c r="J43" i="16" s="1"/>
  <c r="G54" i="16"/>
  <c r="K59" i="16"/>
  <c r="E64" i="16"/>
  <c r="E34" i="16"/>
  <c r="A34" i="16" s="1"/>
  <c r="F45" i="16"/>
  <c r="K63" i="16"/>
  <c r="G38" i="16"/>
  <c r="G37" i="16"/>
  <c r="P65" i="16"/>
  <c r="A64" i="16"/>
  <c r="L47" i="16"/>
  <c r="K58" i="16"/>
  <c r="H56" i="16"/>
  <c r="L60" i="16"/>
  <c r="K64" i="16"/>
  <c r="F22" i="16"/>
  <c r="H60" i="16"/>
  <c r="L57" i="16"/>
  <c r="H57" i="16"/>
  <c r="F60" i="16"/>
  <c r="F40" i="16"/>
  <c r="L54" i="16"/>
  <c r="F51" i="16"/>
  <c r="F42" i="16"/>
  <c r="A54" i="16"/>
  <c r="I54" i="16"/>
  <c r="H49" i="16"/>
  <c r="F28" i="16"/>
  <c r="A51" i="16"/>
  <c r="L48" i="16"/>
  <c r="J61" i="16"/>
  <c r="F48" i="16"/>
  <c r="I64" i="16"/>
  <c r="E35" i="16"/>
  <c r="A35" i="16" s="1"/>
  <c r="H47" i="16"/>
  <c r="F36" i="16"/>
  <c r="I61" i="16"/>
  <c r="F67" i="16"/>
  <c r="H64" i="16"/>
  <c r="K49" i="16"/>
  <c r="H38" i="16"/>
  <c r="K46" i="16"/>
  <c r="J39" i="16"/>
  <c r="K38" i="16"/>
  <c r="P67" i="16"/>
  <c r="I66" i="16"/>
  <c r="E41" i="16"/>
  <c r="A41" i="16" s="1"/>
  <c r="K41" i="16" s="1"/>
  <c r="F53" i="16"/>
  <c r="E27" i="16"/>
  <c r="A27" i="16" s="1"/>
  <c r="H27" i="16" s="1"/>
  <c r="E58" i="16"/>
  <c r="F59" i="16"/>
  <c r="G61" i="16"/>
  <c r="K47" i="16"/>
  <c r="E55" i="16"/>
  <c r="J51" i="16"/>
  <c r="F44" i="16"/>
  <c r="A61" i="16"/>
  <c r="E52" i="16"/>
  <c r="F35" i="16"/>
  <c r="F64" i="16"/>
  <c r="A59" i="16"/>
  <c r="L51" i="16"/>
  <c r="F31" i="16"/>
  <c r="G63" i="16"/>
  <c r="I67" i="16"/>
  <c r="E44" i="16"/>
  <c r="A44" i="16" s="1"/>
  <c r="J44" i="16" s="1"/>
  <c r="K54" i="16"/>
  <c r="J60" i="16"/>
  <c r="L61" i="16"/>
  <c r="J67" i="16"/>
  <c r="F25" i="16"/>
  <c r="J64" i="16"/>
  <c r="L58" i="16"/>
  <c r="G60" i="16"/>
  <c r="K51" i="16"/>
  <c r="H46" i="16"/>
  <c r="F24" i="16"/>
  <c r="L63" i="16"/>
  <c r="E33" i="16"/>
  <c r="A33" i="16" s="1"/>
  <c r="G33" i="16" s="1"/>
  <c r="F41" i="16"/>
  <c r="J62" i="16"/>
  <c r="I55" i="16"/>
  <c r="G52" i="16"/>
  <c r="H48" i="16"/>
  <c r="A53" i="16"/>
  <c r="I52" i="16"/>
  <c r="F39" i="16"/>
  <c r="G65" i="16"/>
  <c r="A65" i="16"/>
  <c r="I49" i="16"/>
  <c r="K62" i="16"/>
  <c r="H50" i="16"/>
  <c r="A66" i="16"/>
  <c r="E49" i="16"/>
  <c r="G62" i="16"/>
  <c r="G49" i="16"/>
  <c r="L64" i="16"/>
  <c r="E36" i="16"/>
  <c r="A36" i="16" s="1"/>
  <c r="F49" i="16"/>
  <c r="F50" i="16"/>
  <c r="E59" i="16"/>
  <c r="K60" i="16"/>
  <c r="J66" i="16"/>
  <c r="F54" i="16"/>
  <c r="E56" i="16"/>
  <c r="H53" i="16"/>
  <c r="E22" i="16"/>
  <c r="A22" i="16" s="1"/>
  <c r="J22" i="16" s="1"/>
  <c r="G46" i="16"/>
  <c r="H39" i="16"/>
  <c r="K43" i="16"/>
  <c r="G43" i="16"/>
  <c r="L38" i="16"/>
  <c r="J36" i="16"/>
  <c r="J40" i="16"/>
  <c r="G31" i="16"/>
  <c r="G45" i="16"/>
  <c r="H32" i="16"/>
  <c r="I32" i="16" s="1"/>
  <c r="I39" i="16"/>
  <c r="J42" i="16"/>
  <c r="L42" i="16" s="1"/>
  <c r="K40" i="16"/>
  <c r="J32" i="16"/>
  <c r="J45" i="16"/>
  <c r="H36" i="16"/>
  <c r="G41" i="16"/>
  <c r="J35" i="16"/>
  <c r="K45" i="16"/>
  <c r="G36" i="16"/>
  <c r="K44" i="16"/>
  <c r="G34" i="16"/>
  <c r="I41" i="16"/>
  <c r="G44" i="16"/>
  <c r="H30" i="16"/>
  <c r="I30" i="16" s="1"/>
  <c r="J34" i="16"/>
  <c r="G29" i="16"/>
  <c r="I37" i="16"/>
  <c r="H44" i="16"/>
  <c r="J30" i="16"/>
  <c r="G35" i="16"/>
  <c r="L39" i="16"/>
  <c r="H34" i="16"/>
  <c r="H33" i="16"/>
  <c r="I33" i="16" s="1"/>
  <c r="I38" i="16"/>
  <c r="G42" i="16"/>
  <c r="I42" i="16" s="1"/>
  <c r="J28" i="16"/>
  <c r="H35" i="16"/>
  <c r="L41" i="16"/>
  <c r="H40" i="16"/>
  <c r="J33" i="16"/>
  <c r="I46" i="16"/>
  <c r="L43" i="16"/>
  <c r="H41" i="16"/>
  <c r="L46" i="16"/>
  <c r="G40" i="16"/>
  <c r="H31" i="16"/>
  <c r="H45" i="16"/>
  <c r="H43" i="16"/>
  <c r="I43" i="16" s="1"/>
  <c r="I40" i="16"/>
  <c r="I34" i="16"/>
  <c r="I45" i="16"/>
  <c r="L44" i="16"/>
  <c r="L40" i="16"/>
  <c r="I31" i="16"/>
  <c r="I44" i="16"/>
  <c r="I35" i="16"/>
  <c r="L45" i="16"/>
  <c r="I36" i="16"/>
  <c r="L8" i="15"/>
  <c r="B527" i="17"/>
  <c r="H526" i="17"/>
  <c r="I13" i="9"/>
  <c r="H13" i="9"/>
  <c r="O11" i="9"/>
  <c r="L18" i="9"/>
  <c r="E13" i="9"/>
  <c r="M11" i="9"/>
  <c r="F12" i="9"/>
  <c r="M16" i="9"/>
  <c r="L11" i="9"/>
  <c r="H17" i="9"/>
  <c r="N12" i="9"/>
  <c r="L12" i="9"/>
  <c r="D11" i="9"/>
  <c r="G14" i="9"/>
  <c r="K11" i="9"/>
  <c r="D18" i="9"/>
  <c r="F11" i="9"/>
  <c r="F13" i="9"/>
  <c r="F16" i="9"/>
  <c r="N11" i="9"/>
  <c r="E12" i="9"/>
  <c r="N16" i="9"/>
  <c r="K16" i="9"/>
  <c r="H16" i="9"/>
  <c r="N13" i="9"/>
  <c r="D12" i="9"/>
  <c r="N14" i="9"/>
  <c r="H12" i="9"/>
  <c r="O18" i="9"/>
  <c r="O16" i="9"/>
  <c r="M12" i="9"/>
  <c r="O12" i="9"/>
  <c r="L13" i="9"/>
  <c r="M17" i="9"/>
  <c r="L14" i="9"/>
  <c r="E11" i="9"/>
  <c r="L16" i="9"/>
  <c r="H18" i="9"/>
  <c r="M18" i="9"/>
  <c r="H14" i="9"/>
  <c r="I17" i="9"/>
  <c r="M14" i="9"/>
  <c r="I11" i="9"/>
  <c r="O13" i="9"/>
  <c r="I18" i="9"/>
  <c r="G16" i="9"/>
  <c r="H11" i="9"/>
  <c r="G12" i="9"/>
  <c r="I14" i="9"/>
  <c r="E18" i="9"/>
  <c r="F14" i="9"/>
  <c r="K17" i="9"/>
  <c r="E17" i="9"/>
  <c r="K13" i="9"/>
  <c r="K14" i="9"/>
  <c r="F18" i="9"/>
  <c r="K18" i="9"/>
  <c r="G11" i="9"/>
  <c r="M13" i="9"/>
  <c r="K12" i="9"/>
  <c r="D17" i="9"/>
  <c r="I12" i="9"/>
  <c r="I16" i="9"/>
  <c r="G13" i="9"/>
  <c r="L17" i="9"/>
  <c r="F17" i="9"/>
  <c r="O17" i="9"/>
  <c r="D14" i="9"/>
  <c r="N17" i="9"/>
  <c r="D16" i="9"/>
  <c r="E16" i="9"/>
  <c r="O14" i="9"/>
  <c r="E14" i="9"/>
  <c r="D13" i="9"/>
  <c r="G17" i="9"/>
  <c r="N18" i="9"/>
  <c r="G18" i="9"/>
  <c r="F10" i="9"/>
  <c r="H10" i="9"/>
  <c r="C18" i="9"/>
  <c r="I10" i="9"/>
  <c r="C13" i="9"/>
  <c r="K10" i="9"/>
  <c r="L10" i="9"/>
  <c r="C12" i="9"/>
  <c r="C10" i="9"/>
  <c r="C11" i="9"/>
  <c r="C16" i="9"/>
  <c r="C17" i="9"/>
  <c r="D10" i="9"/>
  <c r="M10" i="9"/>
  <c r="G10" i="9"/>
  <c r="E10" i="9"/>
  <c r="O10" i="9"/>
  <c r="N10" i="9"/>
  <c r="C14" i="9"/>
  <c r="G27" i="16" l="1"/>
  <c r="I27" i="16" s="1"/>
  <c r="J21" i="16"/>
  <c r="G21" i="16"/>
  <c r="I21" i="16" s="1"/>
  <c r="H24" i="16"/>
  <c r="G24" i="16"/>
  <c r="H29" i="16"/>
  <c r="I29" i="16" s="1"/>
  <c r="J27" i="16"/>
  <c r="G23" i="16"/>
  <c r="I23" i="16" s="1"/>
  <c r="G22" i="16"/>
  <c r="J23" i="16"/>
  <c r="H20" i="16"/>
  <c r="I20" i="16" s="1"/>
  <c r="J20" i="16"/>
  <c r="J19" i="16"/>
  <c r="G19" i="16"/>
  <c r="I19" i="16" s="1"/>
  <c r="H22" i="16"/>
  <c r="H26" i="16"/>
  <c r="G25" i="16"/>
  <c r="G26" i="16"/>
  <c r="H25" i="16"/>
  <c r="L327" i="15"/>
  <c r="D12" i="7"/>
  <c r="D21" i="9"/>
  <c r="C21" i="9"/>
  <c r="B528" i="17"/>
  <c r="H527" i="17"/>
  <c r="P21" i="9"/>
  <c r="M21" i="9"/>
  <c r="I21" i="9"/>
  <c r="G21" i="9"/>
  <c r="K21" i="9"/>
  <c r="O21" i="9"/>
  <c r="Q17" i="9"/>
  <c r="N21" i="9"/>
  <c r="Q11" i="9"/>
  <c r="F21" i="9"/>
  <c r="Q13" i="9"/>
  <c r="Q16" i="9"/>
  <c r="Q12" i="9"/>
  <c r="L21" i="9"/>
  <c r="Q18" i="9"/>
  <c r="Q14" i="9"/>
  <c r="Q10" i="9"/>
  <c r="H21" i="9"/>
  <c r="E21" i="9"/>
  <c r="I24" i="16" l="1"/>
  <c r="J18" i="16"/>
  <c r="I25" i="16"/>
  <c r="G18" i="16"/>
  <c r="I26" i="16"/>
  <c r="I22" i="16"/>
  <c r="H18" i="16"/>
  <c r="B529" i="17"/>
  <c r="H528" i="17"/>
  <c r="Q21" i="9"/>
  <c r="I18" i="16" l="1"/>
  <c r="Q25" i="9"/>
  <c r="B530" i="17"/>
  <c r="H529" i="17"/>
  <c r="Q23" i="9"/>
  <c r="Q26" i="9"/>
  <c r="B531" i="17" l="1"/>
  <c r="H530" i="17"/>
  <c r="B532" i="17" l="1"/>
  <c r="H531" i="17"/>
  <c r="B533" i="17" l="1"/>
  <c r="H532" i="17"/>
  <c r="B534" i="17" l="1"/>
  <c r="H533" i="17"/>
  <c r="B535" i="17" l="1"/>
  <c r="H534" i="17"/>
  <c r="H535" i="17" l="1"/>
  <c r="B536" i="17"/>
  <c r="H536" i="17" s="1"/>
  <c r="AB155" i="13" l="1"/>
  <c r="AB41" i="13" l="1"/>
  <c r="E358" i="10" l="1"/>
  <c r="C33" i="3" s="1"/>
  <c r="C34" i="3" s="1"/>
  <c r="C30" i="3" s="1"/>
  <c r="F5" i="10" s="1"/>
  <c r="F346" i="10" l="1"/>
  <c r="G346" i="10" s="1"/>
  <c r="K346" i="10" s="1"/>
  <c r="C15" i="8"/>
  <c r="F274" i="10"/>
  <c r="G274" i="10" s="1"/>
  <c r="F157" i="10"/>
  <c r="G157" i="10" s="1"/>
  <c r="F80" i="10"/>
  <c r="G80" i="10" s="1"/>
  <c r="F158" i="10"/>
  <c r="G158" i="10" s="1"/>
  <c r="F169" i="10"/>
  <c r="G169" i="10" s="1"/>
  <c r="F337" i="10"/>
  <c r="G337" i="10" s="1"/>
  <c r="F197" i="10"/>
  <c r="G197" i="10" s="1"/>
  <c r="F354" i="10"/>
  <c r="G354" i="10" s="1"/>
  <c r="F342" i="10"/>
  <c r="G342" i="10" s="1"/>
  <c r="F200" i="10"/>
  <c r="G200" i="10" s="1"/>
  <c r="F198" i="10"/>
  <c r="G198" i="10" s="1"/>
  <c r="F220" i="10"/>
  <c r="G220" i="10" s="1"/>
  <c r="F283" i="10"/>
  <c r="G283" i="10" s="1"/>
  <c r="F27" i="10"/>
  <c r="G27" i="10" s="1"/>
  <c r="F58" i="10"/>
  <c r="G58" i="10" s="1"/>
  <c r="F201" i="10"/>
  <c r="G201" i="10" s="1"/>
  <c r="F49" i="10"/>
  <c r="G49" i="10" s="1"/>
  <c r="F48" i="10"/>
  <c r="G48" i="10" s="1"/>
  <c r="F207" i="10"/>
  <c r="G207" i="10" s="1"/>
  <c r="F9" i="10"/>
  <c r="G9" i="10" s="1"/>
  <c r="I9" i="10" s="1"/>
  <c r="F54" i="10"/>
  <c r="G54" i="10" s="1"/>
  <c r="F260" i="10"/>
  <c r="G260" i="10" s="1"/>
  <c r="F323" i="10"/>
  <c r="G323" i="10" s="1"/>
  <c r="F67" i="10"/>
  <c r="G67" i="10" s="1"/>
  <c r="F98" i="10"/>
  <c r="G98" i="10" s="1"/>
  <c r="F22" i="10"/>
  <c r="G22" i="10" s="1"/>
  <c r="F52" i="10"/>
  <c r="G52" i="10" s="1"/>
  <c r="F115" i="10"/>
  <c r="G115" i="10" s="1"/>
  <c r="F269" i="22" s="1"/>
  <c r="H269" i="22" s="1"/>
  <c r="F82" i="10"/>
  <c r="G82" i="10" s="1"/>
  <c r="F353" i="10"/>
  <c r="G353" i="10" s="1"/>
  <c r="F318" i="10"/>
  <c r="G318" i="10" s="1"/>
  <c r="F217" i="10"/>
  <c r="G217" i="10" s="1"/>
  <c r="F325" i="10"/>
  <c r="G325" i="10" s="1"/>
  <c r="F216" i="10"/>
  <c r="G216" i="10" s="1"/>
  <c r="F214" i="10"/>
  <c r="G214" i="10" s="1"/>
  <c r="F227" i="10"/>
  <c r="G227" i="10" s="1"/>
  <c r="F258" i="10"/>
  <c r="G258" i="10" s="1"/>
  <c r="F165" i="10"/>
  <c r="G165" i="10" s="1"/>
  <c r="F351" i="10"/>
  <c r="G351" i="10" s="1"/>
  <c r="F21" i="10"/>
  <c r="G21" i="10" s="1"/>
  <c r="F84" i="10"/>
  <c r="G84" i="10" s="1"/>
  <c r="F147" i="10"/>
  <c r="G147" i="10" s="1"/>
  <c r="F178" i="10"/>
  <c r="G178" i="10" s="1"/>
  <c r="F261" i="10"/>
  <c r="G261" i="10" s="1"/>
  <c r="F213" i="10"/>
  <c r="G213" i="10" s="1"/>
  <c r="F249" i="10"/>
  <c r="G249" i="10" s="1"/>
  <c r="F17" i="10"/>
  <c r="G17" i="10" s="1"/>
  <c r="F110" i="10"/>
  <c r="G110" i="10" s="1"/>
  <c r="F296" i="10"/>
  <c r="G296" i="10" s="1"/>
  <c r="F294" i="10"/>
  <c r="G294" i="10" s="1"/>
  <c r="F204" i="10"/>
  <c r="G204" i="10" s="1"/>
  <c r="F203" i="10"/>
  <c r="G203" i="10" s="1"/>
  <c r="F234" i="10"/>
  <c r="G234" i="10" s="1"/>
  <c r="F341" i="10"/>
  <c r="G341" i="10" s="1"/>
  <c r="F41" i="10"/>
  <c r="G41" i="10" s="1"/>
  <c r="F144" i="10"/>
  <c r="G144" i="10" s="1"/>
  <c r="F222" i="10"/>
  <c r="G222" i="10" s="1"/>
  <c r="F135" i="10"/>
  <c r="G135" i="10" s="1"/>
  <c r="F109" i="10"/>
  <c r="G109" i="10" s="1"/>
  <c r="F78" i="10"/>
  <c r="G78" i="10" s="1"/>
  <c r="F264" i="10"/>
  <c r="G264" i="10" s="1"/>
  <c r="F262" i="10"/>
  <c r="G262" i="10" s="1"/>
  <c r="F188" i="10"/>
  <c r="G188" i="10" s="1"/>
  <c r="F251" i="10"/>
  <c r="G251" i="10" s="1"/>
  <c r="F282" i="10"/>
  <c r="G282" i="10" s="1"/>
  <c r="F26" i="10"/>
  <c r="G26" i="10" s="1"/>
  <c r="F344" i="10"/>
  <c r="G344" i="10" s="1"/>
  <c r="F181" i="10"/>
  <c r="G181" i="10" s="1"/>
  <c r="F205" i="10"/>
  <c r="G205" i="10" s="1"/>
  <c r="F120" i="10"/>
  <c r="G120" i="10" s="1"/>
  <c r="F118" i="10"/>
  <c r="G118" i="10" s="1"/>
  <c r="F308" i="10"/>
  <c r="G308" i="10" s="1"/>
  <c r="F93" i="10"/>
  <c r="G93" i="10" s="1"/>
  <c r="F104" i="10"/>
  <c r="G104" i="10" s="1"/>
  <c r="F102" i="10"/>
  <c r="G102" i="10" s="1"/>
  <c r="F172" i="10"/>
  <c r="G172" i="10" s="1"/>
  <c r="F235" i="10"/>
  <c r="G235" i="10" s="1"/>
  <c r="F266" i="10"/>
  <c r="G266" i="10" s="1"/>
  <c r="F10" i="10"/>
  <c r="G10" i="10" s="1"/>
  <c r="F277" i="10"/>
  <c r="G277" i="10" s="1"/>
  <c r="F105" i="10"/>
  <c r="G105" i="10" s="1"/>
  <c r="F16" i="10"/>
  <c r="G16" i="10" s="1"/>
  <c r="F164" i="10"/>
  <c r="G164" i="10" s="1"/>
  <c r="F145" i="10"/>
  <c r="G145" i="10" s="1"/>
  <c r="F225" i="10"/>
  <c r="G225" i="10" s="1"/>
  <c r="F314" i="10"/>
  <c r="G314" i="10" s="1"/>
  <c r="F46" i="10"/>
  <c r="G46" i="10" s="1"/>
  <c r="F297" i="10"/>
  <c r="G297" i="10" s="1"/>
  <c r="F72" i="10"/>
  <c r="G72" i="10" s="1"/>
  <c r="F70" i="10"/>
  <c r="G70" i="10" s="1"/>
  <c r="F31" i="10"/>
  <c r="G31" i="10" s="1"/>
  <c r="F156" i="10"/>
  <c r="G156" i="10" s="1"/>
  <c r="F219" i="10"/>
  <c r="G219" i="10" s="1"/>
  <c r="F250" i="10"/>
  <c r="G250" i="10" s="1"/>
  <c r="F265" i="10"/>
  <c r="G265" i="10" s="1"/>
  <c r="F185" i="10"/>
  <c r="G185" i="10" s="1"/>
  <c r="F233" i="10"/>
  <c r="G233" i="10" s="1"/>
  <c r="F279" i="10"/>
  <c r="G279" i="10" s="1"/>
  <c r="F280" i="10"/>
  <c r="G280" i="10" s="1"/>
  <c r="F196" i="10"/>
  <c r="G196" i="10" s="1"/>
  <c r="F259" i="10"/>
  <c r="G259" i="10" s="1"/>
  <c r="F290" i="10"/>
  <c r="G290" i="10" s="1"/>
  <c r="F34" i="10"/>
  <c r="G34" i="10" s="1"/>
  <c r="F32" i="10"/>
  <c r="G32" i="10" s="1"/>
  <c r="F307" i="10"/>
  <c r="G307" i="10" s="1"/>
  <c r="F51" i="10"/>
  <c r="G51" i="10" s="1"/>
  <c r="F18" i="10"/>
  <c r="G18" i="10" s="1"/>
  <c r="F257" i="10"/>
  <c r="G257" i="10" s="1"/>
  <c r="F336" i="10"/>
  <c r="G336" i="10" s="1"/>
  <c r="F133" i="10"/>
  <c r="G133" i="10" s="1"/>
  <c r="F88" i="10"/>
  <c r="G88" i="10" s="1"/>
  <c r="F86" i="10"/>
  <c r="G86" i="10" s="1"/>
  <c r="F39" i="10"/>
  <c r="G39" i="10" s="1"/>
  <c r="F163" i="10"/>
  <c r="G163" i="10" s="1"/>
  <c r="F194" i="10"/>
  <c r="G194" i="10" s="1"/>
  <c r="F176" i="10"/>
  <c r="G176" i="10" s="1"/>
  <c r="F276" i="10"/>
  <c r="G276" i="10" s="1"/>
  <c r="F20" i="10"/>
  <c r="G20" i="10" s="1"/>
  <c r="F83" i="10"/>
  <c r="G83" i="10" s="1"/>
  <c r="F114" i="10"/>
  <c r="G114" i="10" s="1"/>
  <c r="F209" i="10"/>
  <c r="G209" i="10" s="1"/>
  <c r="F317" i="10"/>
  <c r="G317" i="10" s="1"/>
  <c r="F117" i="10"/>
  <c r="G117" i="10" s="1"/>
  <c r="F293" i="10"/>
  <c r="G293" i="10" s="1"/>
  <c r="F33" i="10"/>
  <c r="G33" i="10" s="1"/>
  <c r="F168" i="10"/>
  <c r="G168" i="10" s="1"/>
  <c r="F166" i="10"/>
  <c r="G166" i="10" s="1"/>
  <c r="F140" i="10"/>
  <c r="G140" i="10" s="1"/>
  <c r="F139" i="10"/>
  <c r="G139" i="10" s="1"/>
  <c r="F170" i="10"/>
  <c r="G170" i="10" s="1"/>
  <c r="F149" i="10"/>
  <c r="G149" i="10" s="1"/>
  <c r="F137" i="10"/>
  <c r="G137" i="10" s="1"/>
  <c r="F298" i="10"/>
  <c r="G298" i="10" s="1"/>
  <c r="F94" i="10"/>
  <c r="G94" i="10" s="1"/>
  <c r="F150" i="10"/>
  <c r="G150" i="10" s="1"/>
  <c r="F229" i="10"/>
  <c r="G229" i="10" s="1"/>
  <c r="F285" i="10"/>
  <c r="G285" i="10" s="1"/>
  <c r="F136" i="10"/>
  <c r="G136" i="10" s="1"/>
  <c r="F134" i="10"/>
  <c r="G134" i="10" s="1"/>
  <c r="F124" i="10"/>
  <c r="G124" i="10" s="1"/>
  <c r="F187" i="10"/>
  <c r="G187" i="10" s="1"/>
  <c r="F218" i="10"/>
  <c r="G218" i="10" s="1"/>
  <c r="F101" i="10"/>
  <c r="G101" i="10" s="1"/>
  <c r="F240" i="10"/>
  <c r="G240" i="10" s="1"/>
  <c r="F313" i="10"/>
  <c r="G313" i="10" s="1"/>
  <c r="F173" i="10"/>
  <c r="G173" i="10" s="1"/>
  <c r="F253" i="10"/>
  <c r="G253" i="10" s="1"/>
  <c r="F311" i="10"/>
  <c r="G311" i="10" s="1"/>
  <c r="F244" i="10"/>
  <c r="G244" i="10" s="1"/>
  <c r="F77" i="10"/>
  <c r="G77" i="10" s="1"/>
  <c r="F141" i="10"/>
  <c r="G141" i="10" s="1"/>
  <c r="F303" i="10"/>
  <c r="G303" i="10" s="1"/>
  <c r="F45" i="10"/>
  <c r="G45" i="10" s="1"/>
  <c r="F108" i="10"/>
  <c r="G108" i="10" s="1"/>
  <c r="F171" i="10"/>
  <c r="G171" i="10" s="1"/>
  <c r="F202" i="10"/>
  <c r="G202" i="10" s="1"/>
  <c r="F241" i="10"/>
  <c r="G241" i="10" s="1"/>
  <c r="F328" i="10"/>
  <c r="G328" i="10" s="1"/>
  <c r="F85" i="10"/>
  <c r="G85" i="10" s="1"/>
  <c r="F357" i="10"/>
  <c r="G357" i="10" s="1"/>
  <c r="F100" i="10"/>
  <c r="G100" i="10" s="1"/>
  <c r="F312" i="10"/>
  <c r="G312" i="10" s="1"/>
  <c r="F97" i="10"/>
  <c r="G97" i="10" s="1"/>
  <c r="F192" i="10"/>
  <c r="G192" i="10" s="1"/>
  <c r="F270" i="10"/>
  <c r="G270" i="10" s="1"/>
  <c r="F281" i="10"/>
  <c r="G281" i="10" s="1"/>
  <c r="F310" i="10"/>
  <c r="G310" i="10" s="1"/>
  <c r="F287" i="10"/>
  <c r="G287" i="10" s="1"/>
  <c r="F29" i="10"/>
  <c r="G29" i="10" s="1"/>
  <c r="I29" i="10" s="1"/>
  <c r="F92" i="10"/>
  <c r="G92" i="10" s="1"/>
  <c r="F155" i="10"/>
  <c r="G155" i="10" s="1"/>
  <c r="F186" i="10"/>
  <c r="G186" i="10" s="1"/>
  <c r="F189" i="10"/>
  <c r="G189" i="10" s="1"/>
  <c r="F126" i="10"/>
  <c r="G126" i="10" s="1"/>
  <c r="F309" i="10"/>
  <c r="G309" i="10" s="1"/>
  <c r="F306" i="10"/>
  <c r="G306" i="10" s="1"/>
  <c r="F152" i="10"/>
  <c r="G152" i="10" s="1"/>
  <c r="F69" i="10"/>
  <c r="G69" i="10" s="1"/>
  <c r="F132" i="10"/>
  <c r="G132" i="10" s="1"/>
  <c r="F195" i="10"/>
  <c r="G195" i="10" s="1"/>
  <c r="F226" i="10"/>
  <c r="G226" i="10" s="1"/>
  <c r="F289" i="10"/>
  <c r="G289" i="10" s="1"/>
  <c r="F61" i="10"/>
  <c r="G61" i="10" s="1"/>
  <c r="F243" i="10"/>
  <c r="G243" i="10" s="1"/>
  <c r="F210" i="10"/>
  <c r="G210" i="10" s="1"/>
  <c r="F273" i="10"/>
  <c r="G273" i="10" s="1"/>
  <c r="F129" i="10"/>
  <c r="G129" i="10" s="1"/>
  <c r="F224" i="10"/>
  <c r="G224" i="10" s="1"/>
  <c r="F14" i="10"/>
  <c r="G14" i="10" s="1"/>
  <c r="F295" i="10"/>
  <c r="G295" i="10" s="1"/>
  <c r="F37" i="10"/>
  <c r="G37" i="10" s="1"/>
  <c r="F99" i="10"/>
  <c r="G99" i="10" s="1"/>
  <c r="F40" i="10"/>
  <c r="G40" i="10" s="1"/>
  <c r="F212" i="10"/>
  <c r="G212" i="10" s="1"/>
  <c r="F275" i="10"/>
  <c r="G275" i="10" s="1"/>
  <c r="F19" i="10"/>
  <c r="G19" i="10" s="1"/>
  <c r="F50" i="10"/>
  <c r="G50" i="10" s="1"/>
  <c r="F81" i="10"/>
  <c r="G81" i="10" s="1"/>
  <c r="F193" i="10"/>
  <c r="G193" i="10" s="1"/>
  <c r="F288" i="10"/>
  <c r="G288" i="10" s="1"/>
  <c r="F343" i="10"/>
  <c r="G343" i="10" s="1"/>
  <c r="F73" i="10"/>
  <c r="G73" i="10" s="1"/>
  <c r="F30" i="10"/>
  <c r="G30" i="10" s="1"/>
  <c r="F25" i="10"/>
  <c r="G25" i="10" s="1"/>
  <c r="F13" i="10"/>
  <c r="G13" i="10" s="1"/>
  <c r="F75" i="10"/>
  <c r="G75" i="10" s="1"/>
  <c r="F106" i="10"/>
  <c r="G106" i="10" s="1"/>
  <c r="F304" i="10"/>
  <c r="G304" i="10" s="1"/>
  <c r="F65" i="10"/>
  <c r="G65" i="10" s="1"/>
  <c r="F245" i="10"/>
  <c r="G245" i="10" s="1"/>
  <c r="F256" i="10"/>
  <c r="G256" i="10" s="1"/>
  <c r="F326" i="10"/>
  <c r="G326" i="10" s="1"/>
  <c r="F269" i="10"/>
  <c r="G269" i="10" s="1"/>
  <c r="F334" i="10"/>
  <c r="G334" i="10" s="1"/>
  <c r="F319" i="10"/>
  <c r="G319" i="10" s="1"/>
  <c r="F60" i="10"/>
  <c r="G60" i="10" s="1"/>
  <c r="F123" i="10"/>
  <c r="G123" i="10" s="1"/>
  <c r="F154" i="10"/>
  <c r="G154" i="10" s="1"/>
  <c r="F24" i="10"/>
  <c r="G24" i="10" s="1"/>
  <c r="F112" i="10"/>
  <c r="G112" i="10" s="1"/>
  <c r="F190" i="10"/>
  <c r="G190" i="10" s="1"/>
  <c r="F348" i="10"/>
  <c r="G348" i="10" s="1"/>
  <c r="F347" i="10"/>
  <c r="G347" i="10" s="1"/>
  <c r="F174" i="10"/>
  <c r="G174" i="10" s="1"/>
  <c r="F340" i="10"/>
  <c r="G340" i="10" s="1"/>
  <c r="F339" i="10"/>
  <c r="G339" i="10" s="1"/>
  <c r="F239" i="10"/>
  <c r="G239" i="10" s="1"/>
  <c r="F300" i="10"/>
  <c r="G300" i="10" s="1"/>
  <c r="F44" i="10"/>
  <c r="G44" i="10" s="1"/>
  <c r="F107" i="10"/>
  <c r="G107" i="10" s="1"/>
  <c r="F138" i="10"/>
  <c r="G138" i="10" s="1"/>
  <c r="F113" i="10"/>
  <c r="G113" i="10" s="1"/>
  <c r="F208" i="10"/>
  <c r="G208" i="10" s="1"/>
  <c r="F286" i="10"/>
  <c r="G286" i="10" s="1"/>
  <c r="F349" i="10"/>
  <c r="G349" i="10" s="1"/>
  <c r="F36" i="10"/>
  <c r="G36" i="10" s="1"/>
  <c r="F66" i="10"/>
  <c r="G66" i="10" s="1"/>
  <c r="F305" i="10"/>
  <c r="G305" i="10" s="1"/>
  <c r="F56" i="10"/>
  <c r="G56" i="10" s="1"/>
  <c r="F62" i="10"/>
  <c r="G62" i="10" s="1"/>
  <c r="F142" i="10"/>
  <c r="G142" i="10" s="1"/>
  <c r="F321" i="10"/>
  <c r="G321" i="10" s="1"/>
  <c r="F320" i="10"/>
  <c r="G320" i="10" s="1"/>
  <c r="F223" i="10"/>
  <c r="G223" i="10" s="1"/>
  <c r="F284" i="10"/>
  <c r="G284" i="10" s="1"/>
  <c r="F28" i="10"/>
  <c r="G28" i="10" s="1"/>
  <c r="F91" i="10"/>
  <c r="G91" i="10" s="1"/>
  <c r="F122" i="10"/>
  <c r="G122" i="10" s="1"/>
  <c r="F221" i="10"/>
  <c r="G221" i="10" s="1"/>
  <c r="F184" i="10"/>
  <c r="G184" i="10" s="1"/>
  <c r="F182" i="10"/>
  <c r="F350" i="10"/>
  <c r="G350" i="10" s="1"/>
  <c r="F8" i="10"/>
  <c r="G8" i="10" s="1"/>
  <c r="F263" i="10"/>
  <c r="G263" i="10" s="1"/>
  <c r="F324" i="10"/>
  <c r="G324" i="10" s="1"/>
  <c r="F68" i="10"/>
  <c r="G68" i="10" s="1"/>
  <c r="F131" i="10"/>
  <c r="G131" i="10" s="1"/>
  <c r="F162" i="10"/>
  <c r="G162" i="10" s="1"/>
  <c r="F161" i="10"/>
  <c r="G161" i="10" s="1"/>
  <c r="F116" i="10"/>
  <c r="G116" i="10" s="1"/>
  <c r="F179" i="10"/>
  <c r="G179" i="10" s="1"/>
  <c r="F146" i="10"/>
  <c r="G146" i="10" s="1"/>
  <c r="F89" i="10"/>
  <c r="G89" i="10" s="1"/>
  <c r="F237" i="10"/>
  <c r="G237" i="10" s="1"/>
  <c r="F96" i="10"/>
  <c r="G96" i="10" s="1"/>
  <c r="F331" i="10"/>
  <c r="G331" i="10" s="1"/>
  <c r="F231" i="10"/>
  <c r="G231" i="10" s="1"/>
  <c r="F292" i="10"/>
  <c r="G292" i="10" s="1"/>
  <c r="F35" i="10"/>
  <c r="G35" i="10" s="1"/>
  <c r="F322" i="10"/>
  <c r="G322" i="10" s="1"/>
  <c r="F330" i="10"/>
  <c r="G330" i="10" s="1"/>
  <c r="F23" i="10"/>
  <c r="G23" i="10" s="1"/>
  <c r="F148" i="10"/>
  <c r="G148" i="10" s="1"/>
  <c r="F211" i="10"/>
  <c r="G211" i="10" s="1"/>
  <c r="F242" i="10"/>
  <c r="G242" i="10" s="1"/>
  <c r="F125" i="10"/>
  <c r="G125" i="10" s="1"/>
  <c r="F64" i="10"/>
  <c r="G64" i="10" s="1"/>
  <c r="F160" i="10"/>
  <c r="G160" i="10" s="1"/>
  <c r="F238" i="10"/>
  <c r="G238" i="10" s="1"/>
  <c r="F121" i="10"/>
  <c r="G121" i="10" s="1"/>
  <c r="F153" i="10"/>
  <c r="G153" i="10" s="1"/>
  <c r="F268" i="10"/>
  <c r="G268" i="10" s="1"/>
  <c r="F267" i="10"/>
  <c r="G267" i="10" s="1"/>
  <c r="F11" i="10"/>
  <c r="G11" i="10" s="1"/>
  <c r="F42" i="10"/>
  <c r="G42" i="10" s="1"/>
  <c r="F177" i="10"/>
  <c r="G177" i="10" s="1"/>
  <c r="F272" i="10"/>
  <c r="G272" i="10" s="1"/>
  <c r="F335" i="10"/>
  <c r="G335" i="10" s="1"/>
  <c r="F128" i="10"/>
  <c r="G128" i="10" s="1"/>
  <c r="F206" i="10"/>
  <c r="G206" i="10" s="1"/>
  <c r="F356" i="10"/>
  <c r="G356" i="10" s="1"/>
  <c r="F355" i="10"/>
  <c r="G355" i="10" s="1"/>
  <c r="F255" i="10"/>
  <c r="G255" i="10" s="1"/>
  <c r="F252" i="10"/>
  <c r="G252" i="10" s="1"/>
  <c r="F315" i="10"/>
  <c r="G315" i="10" s="1"/>
  <c r="F59" i="10"/>
  <c r="G59" i="10" s="1"/>
  <c r="F90" i="10"/>
  <c r="G90" i="10" s="1"/>
  <c r="F338" i="10"/>
  <c r="G338" i="10" s="1"/>
  <c r="F333" i="10"/>
  <c r="G333" i="10" s="1"/>
  <c r="F57" i="10"/>
  <c r="G57" i="10" s="1"/>
  <c r="F248" i="10"/>
  <c r="G248" i="10" s="1"/>
  <c r="F246" i="10"/>
  <c r="G246" i="10" s="1"/>
  <c r="F38" i="10"/>
  <c r="G38" i="10" s="1"/>
  <c r="F232" i="10"/>
  <c r="G232" i="10" s="1"/>
  <c r="F230" i="10"/>
  <c r="G230" i="10" s="1"/>
  <c r="F175" i="10"/>
  <c r="G175" i="10" s="1"/>
  <c r="F236" i="10"/>
  <c r="G236" i="10" s="1"/>
  <c r="F299" i="10"/>
  <c r="G299" i="10" s="1"/>
  <c r="F43" i="10"/>
  <c r="G43" i="10" s="1"/>
  <c r="F74" i="10"/>
  <c r="G74" i="10" s="1"/>
  <c r="F7" i="10"/>
  <c r="F301" i="10"/>
  <c r="G301" i="10" s="1"/>
  <c r="F63" i="10"/>
  <c r="G63" i="10" s="1"/>
  <c r="F345" i="10"/>
  <c r="G345" i="10" s="1"/>
  <c r="F143" i="10"/>
  <c r="G143" i="10" s="1"/>
  <c r="F95" i="10"/>
  <c r="G95" i="10" s="1"/>
  <c r="F55" i="10"/>
  <c r="G55" i="10" s="1"/>
  <c r="F332" i="10"/>
  <c r="G332" i="10" s="1"/>
  <c r="F316" i="10"/>
  <c r="G316" i="10" s="1"/>
  <c r="F180" i="10"/>
  <c r="G180" i="10" s="1"/>
  <c r="F76" i="10"/>
  <c r="G76" i="10" s="1"/>
  <c r="F352" i="10"/>
  <c r="G352" i="10" s="1"/>
  <c r="F71" i="10"/>
  <c r="G71" i="10" s="1"/>
  <c r="F47" i="10"/>
  <c r="G47" i="10" s="1"/>
  <c r="F103" i="10"/>
  <c r="G103" i="10" s="1"/>
  <c r="F228" i="10"/>
  <c r="G228" i="10" s="1"/>
  <c r="F199" i="10"/>
  <c r="G199" i="10" s="1"/>
  <c r="F119" i="10"/>
  <c r="G119" i="10" s="1"/>
  <c r="F12" i="10"/>
  <c r="G12" i="10" s="1"/>
  <c r="F247" i="10"/>
  <c r="G247" i="10" s="1"/>
  <c r="F151" i="10"/>
  <c r="G151" i="10" s="1"/>
  <c r="F15" i="10"/>
  <c r="G15" i="10" s="1"/>
  <c r="F79" i="10"/>
  <c r="G79" i="10" s="1"/>
  <c r="F127" i="10"/>
  <c r="G127" i="10" s="1"/>
  <c r="F111" i="10"/>
  <c r="G111" i="10" s="1"/>
  <c r="F167" i="10"/>
  <c r="G167" i="10" s="1"/>
  <c r="F159" i="10"/>
  <c r="G159" i="10" s="1"/>
  <c r="F271" i="10"/>
  <c r="G271" i="10" s="1"/>
  <c r="F87" i="10"/>
  <c r="G87" i="10" s="1"/>
  <c r="F327" i="10"/>
  <c r="G327" i="10" s="1"/>
  <c r="F130" i="10"/>
  <c r="G130" i="10" s="1"/>
  <c r="F215" i="10"/>
  <c r="G215" i="10" s="1"/>
  <c r="F254" i="10"/>
  <c r="G254" i="10" s="1"/>
  <c r="F278" i="10"/>
  <c r="G278" i="10" s="1"/>
  <c r="F191" i="10"/>
  <c r="G191" i="10" s="1"/>
  <c r="F291" i="10"/>
  <c r="G291" i="10" s="1"/>
  <c r="F183" i="10"/>
  <c r="G183" i="10" s="1"/>
  <c r="F329" i="10"/>
  <c r="G329" i="10" s="1"/>
  <c r="F53" i="10"/>
  <c r="G53" i="10" s="1"/>
  <c r="F302" i="10"/>
  <c r="G302" i="10" s="1"/>
  <c r="I95" i="10" l="1"/>
  <c r="F221" i="22"/>
  <c r="H221" i="22" s="1"/>
  <c r="F222" i="22"/>
  <c r="H222" i="22" s="1"/>
  <c r="I292" i="10"/>
  <c r="F666" i="22"/>
  <c r="H666" i="22" s="1"/>
  <c r="F667" i="22"/>
  <c r="H667" i="22" s="1"/>
  <c r="F668" i="22"/>
  <c r="H668" i="22" s="1"/>
  <c r="I326" i="10"/>
  <c r="F745" i="22"/>
  <c r="H745" i="22" s="1"/>
  <c r="F743" i="22"/>
  <c r="H743" i="22" s="1"/>
  <c r="F744" i="22"/>
  <c r="H744" i="22" s="1"/>
  <c r="I186" i="10"/>
  <c r="F417" i="22"/>
  <c r="H417" i="22" s="1"/>
  <c r="F418" i="22"/>
  <c r="H418" i="22" s="1"/>
  <c r="F419" i="22"/>
  <c r="H419" i="22" s="1"/>
  <c r="I293" i="10"/>
  <c r="F669" i="22"/>
  <c r="H669" i="22" s="1"/>
  <c r="F670" i="22"/>
  <c r="H670" i="22" s="1"/>
  <c r="I172" i="10"/>
  <c r="F384" i="22"/>
  <c r="H384" i="22" s="1"/>
  <c r="F385" i="22"/>
  <c r="H385" i="22" s="1"/>
  <c r="F386" i="22"/>
  <c r="H386" i="22" s="1"/>
  <c r="I261" i="10"/>
  <c r="F594" i="22"/>
  <c r="H594" i="22" s="1"/>
  <c r="F595" i="22"/>
  <c r="H595" i="22" s="1"/>
  <c r="F596" i="22"/>
  <c r="H596" i="22" s="1"/>
  <c r="I53" i="10"/>
  <c r="F121" i="22"/>
  <c r="H121" i="22" s="1"/>
  <c r="F119" i="22"/>
  <c r="H119" i="22" s="1"/>
  <c r="F120" i="22"/>
  <c r="H120" i="22" s="1"/>
  <c r="I130" i="10"/>
  <c r="F301" i="22"/>
  <c r="H301" i="22" s="1"/>
  <c r="F300" i="22"/>
  <c r="H300" i="22" s="1"/>
  <c r="F302" i="22"/>
  <c r="H302" i="22" s="1"/>
  <c r="I79" i="10"/>
  <c r="F181" i="22"/>
  <c r="H181" i="22" s="1"/>
  <c r="F182" i="22"/>
  <c r="H182" i="22" s="1"/>
  <c r="F183" i="22"/>
  <c r="H183" i="22" s="1"/>
  <c r="I103" i="10"/>
  <c r="F239" i="22"/>
  <c r="H239" i="22" s="1"/>
  <c r="F240" i="22"/>
  <c r="H240" i="22" s="1"/>
  <c r="I55" i="10"/>
  <c r="F124" i="22"/>
  <c r="H124" i="22" s="1"/>
  <c r="I43" i="10"/>
  <c r="F95" i="22"/>
  <c r="H95" i="22" s="1"/>
  <c r="F96" i="22"/>
  <c r="H96" i="22" s="1"/>
  <c r="I248" i="10"/>
  <c r="F563" i="22"/>
  <c r="H563" i="22" s="1"/>
  <c r="F564" i="22"/>
  <c r="H564" i="22" s="1"/>
  <c r="I255" i="10"/>
  <c r="F582" i="22"/>
  <c r="H582" i="22" s="1"/>
  <c r="I42" i="10"/>
  <c r="F93" i="22"/>
  <c r="H93" i="22" s="1"/>
  <c r="F94" i="22"/>
  <c r="H94" i="22" s="1"/>
  <c r="I64" i="10"/>
  <c r="F145" i="22"/>
  <c r="H145" i="22" s="1"/>
  <c r="F147" i="22"/>
  <c r="H147" i="22" s="1"/>
  <c r="F146" i="22"/>
  <c r="H146" i="22" s="1"/>
  <c r="I35" i="10"/>
  <c r="F77" i="22"/>
  <c r="H77" i="22" s="1"/>
  <c r="F78" i="22"/>
  <c r="H78" i="22" s="1"/>
  <c r="F79" i="22"/>
  <c r="H79" i="22" s="1"/>
  <c r="I179" i="10"/>
  <c r="F400" i="22"/>
  <c r="H400" i="22" s="1"/>
  <c r="F401" i="22"/>
  <c r="H401" i="22" s="1"/>
  <c r="F402" i="22"/>
  <c r="H402" i="22" s="1"/>
  <c r="I8" i="10"/>
  <c r="F12" i="22"/>
  <c r="H12" i="22" s="1"/>
  <c r="F13" i="22"/>
  <c r="H13" i="22" s="1"/>
  <c r="F14" i="22"/>
  <c r="H14" i="22" s="1"/>
  <c r="I284" i="10"/>
  <c r="F649" i="22"/>
  <c r="H649" i="22" s="1"/>
  <c r="I66" i="10"/>
  <c r="F150" i="22"/>
  <c r="H150" i="22" s="1"/>
  <c r="F151" i="22"/>
  <c r="H151" i="22" s="1"/>
  <c r="F152" i="22"/>
  <c r="H152" i="22" s="1"/>
  <c r="I44" i="10"/>
  <c r="F97" i="22"/>
  <c r="H97" i="22" s="1"/>
  <c r="F98" i="22"/>
  <c r="H98" i="22" s="1"/>
  <c r="F99" i="22"/>
  <c r="H99" i="22" s="1"/>
  <c r="I190" i="10"/>
  <c r="F426" i="22"/>
  <c r="H426" i="22" s="1"/>
  <c r="F427" i="22"/>
  <c r="H427" i="22" s="1"/>
  <c r="F428" i="22"/>
  <c r="H428" i="22" s="1"/>
  <c r="I269" i="10"/>
  <c r="F613" i="22"/>
  <c r="H613" i="22" s="1"/>
  <c r="F614" i="22"/>
  <c r="H614" i="22" s="1"/>
  <c r="I13" i="10"/>
  <c r="F25" i="22"/>
  <c r="H25" i="22" s="1"/>
  <c r="F24" i="22"/>
  <c r="H24" i="22" s="1"/>
  <c r="I50" i="10"/>
  <c r="F113" i="22"/>
  <c r="H113" i="22" s="1"/>
  <c r="F114" i="22"/>
  <c r="H114" i="22" s="1"/>
  <c r="I14" i="10"/>
  <c r="F26" i="22"/>
  <c r="H26" i="22" s="1"/>
  <c r="F27" i="22"/>
  <c r="H27" i="22" s="1"/>
  <c r="I226" i="10"/>
  <c r="F511" i="22"/>
  <c r="H511" i="22" s="1"/>
  <c r="F512" i="22"/>
  <c r="H512" i="22" s="1"/>
  <c r="F513" i="22"/>
  <c r="H513" i="22" s="1"/>
  <c r="I189" i="10"/>
  <c r="F424" i="22"/>
  <c r="H424" i="22" s="1"/>
  <c r="F425" i="22"/>
  <c r="H425" i="22" s="1"/>
  <c r="I270" i="10"/>
  <c r="F616" i="22"/>
  <c r="H616" i="22" s="1"/>
  <c r="F615" i="22"/>
  <c r="H615" i="22" s="1"/>
  <c r="I241" i="10"/>
  <c r="F549" i="22"/>
  <c r="H549" i="22" s="1"/>
  <c r="F547" i="22"/>
  <c r="H547" i="22" s="1"/>
  <c r="F548" i="22"/>
  <c r="H548" i="22" s="1"/>
  <c r="I244" i="10"/>
  <c r="F553" i="22"/>
  <c r="H553" i="22" s="1"/>
  <c r="F554" i="22"/>
  <c r="H554" i="22" s="1"/>
  <c r="F555" i="22"/>
  <c r="H555" i="22" s="1"/>
  <c r="F556" i="22"/>
  <c r="H556" i="22" s="1"/>
  <c r="I187" i="10"/>
  <c r="F421" i="22"/>
  <c r="H421" i="22" s="1"/>
  <c r="F420" i="22"/>
  <c r="H420" i="22" s="1"/>
  <c r="I298" i="10"/>
  <c r="F680" i="22"/>
  <c r="H680" i="22" s="1"/>
  <c r="F681" i="22"/>
  <c r="H681" i="22" s="1"/>
  <c r="F682" i="22"/>
  <c r="H682" i="22" s="1"/>
  <c r="I33" i="10"/>
  <c r="F73" i="22"/>
  <c r="H73" i="22" s="1"/>
  <c r="F72" i="22"/>
  <c r="H72" i="22" s="1"/>
  <c r="F70" i="22"/>
  <c r="H70" i="22" s="1"/>
  <c r="F71" i="22"/>
  <c r="H71" i="22" s="1"/>
  <c r="I276" i="10"/>
  <c r="F631" i="22"/>
  <c r="H631" i="22" s="1"/>
  <c r="F632" i="22"/>
  <c r="H632" i="22" s="1"/>
  <c r="F633" i="22"/>
  <c r="H633" i="22" s="1"/>
  <c r="I336" i="10"/>
  <c r="F764" i="22"/>
  <c r="H764" i="22" s="1"/>
  <c r="I259" i="10"/>
  <c r="F590" i="22"/>
  <c r="H590" i="22" s="1"/>
  <c r="I219" i="10"/>
  <c r="F494" i="22"/>
  <c r="H494" i="22" s="1"/>
  <c r="F495" i="22"/>
  <c r="H495" i="22" s="1"/>
  <c r="F496" i="22"/>
  <c r="H496" i="22" s="1"/>
  <c r="I225" i="10"/>
  <c r="F509" i="22"/>
  <c r="H509" i="22" s="1"/>
  <c r="F510" i="22"/>
  <c r="H510" i="22" s="1"/>
  <c r="I235" i="10"/>
  <c r="F534" i="22"/>
  <c r="H534" i="22" s="1"/>
  <c r="F535" i="22"/>
  <c r="H535" i="22" s="1"/>
  <c r="I205" i="10"/>
  <c r="F461" i="22"/>
  <c r="H461" i="22" s="1"/>
  <c r="F460" i="22"/>
  <c r="H460" i="22" s="1"/>
  <c r="F459" i="22"/>
  <c r="H459" i="22" s="1"/>
  <c r="I264" i="10"/>
  <c r="F602" i="22"/>
  <c r="H602" i="22" s="1"/>
  <c r="F603" i="22"/>
  <c r="H603" i="22" s="1"/>
  <c r="I234" i="10"/>
  <c r="F533" i="22"/>
  <c r="H533" i="22" s="1"/>
  <c r="F531" i="22"/>
  <c r="H531" i="22" s="1"/>
  <c r="F532" i="22"/>
  <c r="H532" i="22" s="1"/>
  <c r="I213" i="10"/>
  <c r="F480" i="22"/>
  <c r="H480" i="22" s="1"/>
  <c r="I258" i="10"/>
  <c r="F589" i="22"/>
  <c r="H589" i="22" s="1"/>
  <c r="F588" i="22"/>
  <c r="H588" i="22" s="1"/>
  <c r="I82" i="10"/>
  <c r="F190" i="22"/>
  <c r="H190" i="22" s="1"/>
  <c r="F191" i="22"/>
  <c r="H191" i="22" s="1"/>
  <c r="F192" i="22"/>
  <c r="H192" i="22" s="1"/>
  <c r="F193" i="22"/>
  <c r="H193" i="22" s="1"/>
  <c r="I54" i="10"/>
  <c r="F122" i="22"/>
  <c r="H122" i="22" s="1"/>
  <c r="F123" i="22"/>
  <c r="H123" i="22" s="1"/>
  <c r="I283" i="10"/>
  <c r="F648" i="22"/>
  <c r="H648" i="22" s="1"/>
  <c r="F647" i="22"/>
  <c r="H647" i="22" s="1"/>
  <c r="I169" i="10"/>
  <c r="F379" i="22"/>
  <c r="H379" i="22" s="1"/>
  <c r="I350" i="10"/>
  <c r="F796" i="22"/>
  <c r="H796" i="22" s="1"/>
  <c r="F797" i="22"/>
  <c r="H797" i="22" s="1"/>
  <c r="I183" i="10"/>
  <c r="F409" i="22"/>
  <c r="H409" i="22" s="1"/>
  <c r="F410" i="22"/>
  <c r="H410" i="22" s="1"/>
  <c r="F411" i="22"/>
  <c r="H411" i="22" s="1"/>
  <c r="I87" i="10"/>
  <c r="F205" i="22"/>
  <c r="H205" i="22" s="1"/>
  <c r="F206" i="22"/>
  <c r="H206" i="22" s="1"/>
  <c r="F207" i="22"/>
  <c r="H207" i="22" s="1"/>
  <c r="I151" i="10"/>
  <c r="F345" i="22"/>
  <c r="H345" i="22" s="1"/>
  <c r="F346" i="22"/>
  <c r="H346" i="22" s="1"/>
  <c r="I71" i="10"/>
  <c r="F161" i="22"/>
  <c r="H161" i="22" s="1"/>
  <c r="F160" i="22"/>
  <c r="H160" i="22" s="1"/>
  <c r="F162" i="22"/>
  <c r="H162" i="22" s="1"/>
  <c r="I143" i="10"/>
  <c r="F330" i="22"/>
  <c r="H330" i="22" s="1"/>
  <c r="I236" i="10"/>
  <c r="F536" i="22"/>
  <c r="H536" i="22" s="1"/>
  <c r="F537" i="22"/>
  <c r="H537" i="22" s="1"/>
  <c r="I333" i="10"/>
  <c r="F756" i="22"/>
  <c r="H756" i="22" s="1"/>
  <c r="F757" i="22"/>
  <c r="H757" i="22" s="1"/>
  <c r="I356" i="10"/>
  <c r="F808" i="22"/>
  <c r="H808" i="22" s="1"/>
  <c r="F809" i="22"/>
  <c r="H809" i="22" s="1"/>
  <c r="F806" i="22"/>
  <c r="H806" i="22" s="1"/>
  <c r="F807" i="22"/>
  <c r="H807" i="22" s="1"/>
  <c r="I267" i="10"/>
  <c r="F609" i="22"/>
  <c r="H609" i="22" s="1"/>
  <c r="F610" i="22"/>
  <c r="H610" i="22" s="1"/>
  <c r="I242" i="10"/>
  <c r="F550" i="22"/>
  <c r="H550" i="22" s="1"/>
  <c r="I231" i="10"/>
  <c r="F525" i="22"/>
  <c r="H525" i="22" s="1"/>
  <c r="F526" i="22"/>
  <c r="H526" i="22" s="1"/>
  <c r="I161" i="10"/>
  <c r="F365" i="22"/>
  <c r="H365" i="22" s="1"/>
  <c r="F364" i="22"/>
  <c r="H364" i="22" s="1"/>
  <c r="I320" i="10"/>
  <c r="F730" i="22"/>
  <c r="H730" i="22" s="1"/>
  <c r="I349" i="10"/>
  <c r="F794" i="22"/>
  <c r="H794" i="22" s="1"/>
  <c r="F795" i="22"/>
  <c r="H795" i="22" s="1"/>
  <c r="I239" i="10"/>
  <c r="F543" i="22"/>
  <c r="H543" i="22" s="1"/>
  <c r="F542" i="22"/>
  <c r="H542" i="22" s="1"/>
  <c r="I24" i="10"/>
  <c r="F49" i="22"/>
  <c r="H49" i="22" s="1"/>
  <c r="F51" i="22"/>
  <c r="H51" i="22" s="1"/>
  <c r="F50" i="22"/>
  <c r="H50" i="22" s="1"/>
  <c r="I256" i="10"/>
  <c r="F583" i="22"/>
  <c r="H583" i="22" s="1"/>
  <c r="F584" i="22"/>
  <c r="H584" i="22" s="1"/>
  <c r="F585" i="22"/>
  <c r="H585" i="22" s="1"/>
  <c r="I30" i="10"/>
  <c r="F65" i="22"/>
  <c r="H65" i="22" s="1"/>
  <c r="F64" i="22"/>
  <c r="H64" i="22" s="1"/>
  <c r="I275" i="10"/>
  <c r="F629" i="22"/>
  <c r="H629" i="22" s="1"/>
  <c r="F630" i="22"/>
  <c r="H630" i="22" s="1"/>
  <c r="F628" i="22"/>
  <c r="H628" i="22" s="1"/>
  <c r="I129" i="10"/>
  <c r="F297" i="22"/>
  <c r="H297" i="22" s="1"/>
  <c r="F298" i="22"/>
  <c r="H298" i="22" s="1"/>
  <c r="F299" i="22"/>
  <c r="H299" i="22" s="1"/>
  <c r="I132" i="10"/>
  <c r="AI132" i="10" s="1"/>
  <c r="F305" i="22"/>
  <c r="H305" i="22" s="1"/>
  <c r="F306" i="22"/>
  <c r="H306" i="22" s="1"/>
  <c r="F307" i="22"/>
  <c r="H307" i="22" s="1"/>
  <c r="I155" i="10"/>
  <c r="F357" i="22"/>
  <c r="H357" i="22" s="1"/>
  <c r="F356" i="22"/>
  <c r="H356" i="22" s="1"/>
  <c r="I97" i="10"/>
  <c r="F225" i="22"/>
  <c r="H225" i="22" s="1"/>
  <c r="F226" i="22"/>
  <c r="H226" i="22" s="1"/>
  <c r="I171" i="10"/>
  <c r="F382" i="22"/>
  <c r="H382" i="22" s="1"/>
  <c r="F383" i="22"/>
  <c r="H383" i="22" s="1"/>
  <c r="I253" i="10"/>
  <c r="F579" i="22"/>
  <c r="H579" i="22" s="1"/>
  <c r="F576" i="22"/>
  <c r="H576" i="22" s="1"/>
  <c r="F577" i="22"/>
  <c r="H577" i="22" s="1"/>
  <c r="F578" i="22"/>
  <c r="H578" i="22" s="1"/>
  <c r="I134" i="10"/>
  <c r="F309" i="22"/>
  <c r="H309" i="22" s="1"/>
  <c r="F310" i="22"/>
  <c r="H310" i="22" s="1"/>
  <c r="I149" i="10"/>
  <c r="F341" i="22"/>
  <c r="H341" i="22" s="1"/>
  <c r="F342" i="22"/>
  <c r="H342" i="22" s="1"/>
  <c r="I117" i="10"/>
  <c r="F272" i="22"/>
  <c r="H272" i="22" s="1"/>
  <c r="F273" i="22"/>
  <c r="H273" i="22" s="1"/>
  <c r="I194" i="10"/>
  <c r="F437" i="22"/>
  <c r="H437" i="22" s="1"/>
  <c r="F436" i="22"/>
  <c r="H436" i="22" s="1"/>
  <c r="F438" i="22"/>
  <c r="H438" i="22" s="1"/>
  <c r="I18" i="10"/>
  <c r="F37" i="22"/>
  <c r="H37" i="22" s="1"/>
  <c r="F35" i="22"/>
  <c r="H35" i="22" s="1"/>
  <c r="F36" i="22"/>
  <c r="H36" i="22" s="1"/>
  <c r="I280" i="10"/>
  <c r="F641" i="22"/>
  <c r="H641" i="22" s="1"/>
  <c r="I31" i="10"/>
  <c r="F66" i="22"/>
  <c r="H66" i="22" s="1"/>
  <c r="F67" i="22"/>
  <c r="H67" i="22" s="1"/>
  <c r="F68" i="22"/>
  <c r="H68" i="22" s="1"/>
  <c r="I164" i="10"/>
  <c r="F371" i="22"/>
  <c r="H371" i="22" s="1"/>
  <c r="F372" i="22"/>
  <c r="H372" i="22" s="1"/>
  <c r="I102" i="10"/>
  <c r="F237" i="22"/>
  <c r="H237" i="22" s="1"/>
  <c r="F238" i="22"/>
  <c r="H238" i="22" s="1"/>
  <c r="I344" i="10"/>
  <c r="F782" i="22"/>
  <c r="H782" i="22" s="1"/>
  <c r="F783" i="22"/>
  <c r="H783" i="22" s="1"/>
  <c r="F784" i="22"/>
  <c r="H784" i="22" s="1"/>
  <c r="I109" i="10"/>
  <c r="F254" i="22"/>
  <c r="H254" i="22" s="1"/>
  <c r="F255" i="22"/>
  <c r="H255" i="22" s="1"/>
  <c r="I204" i="10"/>
  <c r="F457" i="22"/>
  <c r="H457" i="22" s="1"/>
  <c r="F458" i="22"/>
  <c r="H458" i="22" s="1"/>
  <c r="I178" i="10"/>
  <c r="F398" i="22"/>
  <c r="H398" i="22" s="1"/>
  <c r="F399" i="22"/>
  <c r="H399" i="22" s="1"/>
  <c r="I214" i="10"/>
  <c r="F481" i="22"/>
  <c r="H481" i="22" s="1"/>
  <c r="F482" i="22"/>
  <c r="H482" i="22" s="1"/>
  <c r="F483" i="22"/>
  <c r="H483" i="22" s="1"/>
  <c r="F484" i="22"/>
  <c r="H484" i="22" s="1"/>
  <c r="I52" i="10"/>
  <c r="F117" i="22"/>
  <c r="H117" i="22" s="1"/>
  <c r="F118" i="22"/>
  <c r="H118" i="22" s="1"/>
  <c r="I207" i="10"/>
  <c r="F463" i="22"/>
  <c r="H463" i="22" s="1"/>
  <c r="F464" i="22"/>
  <c r="H464" i="22" s="1"/>
  <c r="F465" i="22"/>
  <c r="H465" i="22" s="1"/>
  <c r="I198" i="10"/>
  <c r="F446" i="22"/>
  <c r="H446" i="22" s="1"/>
  <c r="F447" i="22"/>
  <c r="H447" i="22" s="1"/>
  <c r="F448" i="22"/>
  <c r="H448" i="22" s="1"/>
  <c r="I80" i="10"/>
  <c r="F186" i="22"/>
  <c r="H186" i="22" s="1"/>
  <c r="F184" i="22"/>
  <c r="H184" i="22" s="1"/>
  <c r="F185" i="22"/>
  <c r="H185" i="22" s="1"/>
  <c r="I329" i="10"/>
  <c r="F750" i="22"/>
  <c r="H750" i="22" s="1"/>
  <c r="F749" i="22"/>
  <c r="H749" i="22" s="1"/>
  <c r="I57" i="10"/>
  <c r="F129" i="22"/>
  <c r="H129" i="22" s="1"/>
  <c r="F128" i="22"/>
  <c r="H128" i="22" s="1"/>
  <c r="I223" i="10"/>
  <c r="F504" i="22"/>
  <c r="H504" i="22" s="1"/>
  <c r="F505" i="22"/>
  <c r="H505" i="22" s="1"/>
  <c r="I19" i="10"/>
  <c r="F38" i="22"/>
  <c r="H38" i="22" s="1"/>
  <c r="F39" i="22"/>
  <c r="H39" i="22" s="1"/>
  <c r="I311" i="10"/>
  <c r="F711" i="22"/>
  <c r="H711" i="22" s="1"/>
  <c r="F712" i="22"/>
  <c r="H712" i="22" s="1"/>
  <c r="I196" i="10"/>
  <c r="F442" i="22"/>
  <c r="H442" i="22" s="1"/>
  <c r="F443" i="22"/>
  <c r="H443" i="22" s="1"/>
  <c r="I158" i="10"/>
  <c r="F360" i="22"/>
  <c r="H360" i="22" s="1"/>
  <c r="I291" i="10"/>
  <c r="F663" i="22"/>
  <c r="H663" i="22" s="1"/>
  <c r="F664" i="22"/>
  <c r="H664" i="22" s="1"/>
  <c r="F665" i="22"/>
  <c r="H665" i="22" s="1"/>
  <c r="I271" i="10"/>
  <c r="F617" i="22"/>
  <c r="H617" i="22" s="1"/>
  <c r="F618" i="22"/>
  <c r="H618" i="22" s="1"/>
  <c r="F619" i="22"/>
  <c r="H619" i="22" s="1"/>
  <c r="I247" i="10"/>
  <c r="F561" i="22"/>
  <c r="H561" i="22" s="1"/>
  <c r="F562" i="22"/>
  <c r="H562" i="22" s="1"/>
  <c r="F560" i="22"/>
  <c r="H560" i="22" s="1"/>
  <c r="I352" i="10"/>
  <c r="F801" i="22"/>
  <c r="H801" i="22" s="1"/>
  <c r="F800" i="22"/>
  <c r="H800" i="22" s="1"/>
  <c r="I345" i="10"/>
  <c r="F785" i="22"/>
  <c r="H785" i="22" s="1"/>
  <c r="F786" i="22"/>
  <c r="H786" i="22" s="1"/>
  <c r="I175" i="10"/>
  <c r="F392" i="22"/>
  <c r="H392" i="22" s="1"/>
  <c r="F393" i="22"/>
  <c r="H393" i="22" s="1"/>
  <c r="F394" i="22"/>
  <c r="H394" i="22" s="1"/>
  <c r="I338" i="10"/>
  <c r="F768" i="22"/>
  <c r="H768" i="22" s="1"/>
  <c r="I206" i="10"/>
  <c r="F462" i="22"/>
  <c r="H462" i="22" s="1"/>
  <c r="I268" i="10"/>
  <c r="F611" i="22"/>
  <c r="H611" i="22" s="1"/>
  <c r="F612" i="22"/>
  <c r="H612" i="22" s="1"/>
  <c r="I211" i="10"/>
  <c r="AI211" i="10" s="1"/>
  <c r="F474" i="22"/>
  <c r="H474" i="22" s="1"/>
  <c r="F475" i="22"/>
  <c r="H475" i="22" s="1"/>
  <c r="I331" i="10"/>
  <c r="F753" i="22"/>
  <c r="H753" i="22" s="1"/>
  <c r="I162" i="10"/>
  <c r="F366" i="22"/>
  <c r="H366" i="22" s="1"/>
  <c r="F367" i="22"/>
  <c r="H367" i="22" s="1"/>
  <c r="F368" i="22"/>
  <c r="H368" i="22" s="1"/>
  <c r="I184" i="10"/>
  <c r="F413" i="22"/>
  <c r="H413" i="22" s="1"/>
  <c r="F412" i="22"/>
  <c r="H412" i="22" s="1"/>
  <c r="I321" i="10"/>
  <c r="F731" i="22"/>
  <c r="H731" i="22" s="1"/>
  <c r="I286" i="10"/>
  <c r="F653" i="22"/>
  <c r="H653" i="22" s="1"/>
  <c r="F652" i="22"/>
  <c r="H652" i="22" s="1"/>
  <c r="F654" i="22"/>
  <c r="H654" i="22" s="1"/>
  <c r="I339" i="10"/>
  <c r="F769" i="22"/>
  <c r="H769" i="22" s="1"/>
  <c r="F770" i="22"/>
  <c r="H770" i="22" s="1"/>
  <c r="I154" i="10"/>
  <c r="F353" i="22"/>
  <c r="H353" i="22" s="1"/>
  <c r="F354" i="22"/>
  <c r="H354" i="22" s="1"/>
  <c r="F355" i="22"/>
  <c r="H355" i="22" s="1"/>
  <c r="I245" i="10"/>
  <c r="F557" i="22"/>
  <c r="H557" i="22" s="1"/>
  <c r="I73" i="10"/>
  <c r="F168" i="22"/>
  <c r="H168" i="22" s="1"/>
  <c r="F166" i="22"/>
  <c r="H166" i="22" s="1"/>
  <c r="F167" i="22"/>
  <c r="H167" i="22" s="1"/>
  <c r="I212" i="10"/>
  <c r="F477" i="22"/>
  <c r="H477" i="22" s="1"/>
  <c r="F479" i="22"/>
  <c r="H479" i="22" s="1"/>
  <c r="F476" i="22"/>
  <c r="H476" i="22" s="1"/>
  <c r="F478" i="22"/>
  <c r="H478" i="22" s="1"/>
  <c r="I273" i="10"/>
  <c r="F623" i="22"/>
  <c r="H623" i="22" s="1"/>
  <c r="F624" i="22"/>
  <c r="H624" i="22" s="1"/>
  <c r="I69" i="10"/>
  <c r="F157" i="22"/>
  <c r="H157" i="22" s="1"/>
  <c r="F158" i="22"/>
  <c r="H158" i="22" s="1"/>
  <c r="I92" i="10"/>
  <c r="F216" i="22"/>
  <c r="H216" i="22" s="1"/>
  <c r="I312" i="10"/>
  <c r="F713" i="22"/>
  <c r="H713" i="22" s="1"/>
  <c r="F714" i="22"/>
  <c r="H714" i="22" s="1"/>
  <c r="I108" i="10"/>
  <c r="F253" i="22"/>
  <c r="H253" i="22" s="1"/>
  <c r="F251" i="22"/>
  <c r="H251" i="22" s="1"/>
  <c r="F252" i="22"/>
  <c r="H252" i="22" s="1"/>
  <c r="I173" i="10"/>
  <c r="F389" i="22"/>
  <c r="H389" i="22" s="1"/>
  <c r="F387" i="22"/>
  <c r="H387" i="22" s="1"/>
  <c r="F388" i="22"/>
  <c r="H388" i="22" s="1"/>
  <c r="I136" i="10"/>
  <c r="F314" i="22"/>
  <c r="H314" i="22" s="1"/>
  <c r="F315" i="22"/>
  <c r="H315" i="22" s="1"/>
  <c r="F316" i="22"/>
  <c r="H316" i="22" s="1"/>
  <c r="I170" i="10"/>
  <c r="F381" i="22"/>
  <c r="H381" i="22" s="1"/>
  <c r="F380" i="22"/>
  <c r="H380" i="22" s="1"/>
  <c r="I317" i="10"/>
  <c r="F723" i="22"/>
  <c r="H723" i="22" s="1"/>
  <c r="F724" i="22"/>
  <c r="H724" i="22" s="1"/>
  <c r="F725" i="22"/>
  <c r="H725" i="22" s="1"/>
  <c r="I163" i="10"/>
  <c r="F369" i="22"/>
  <c r="H369" i="22" s="1"/>
  <c r="F370" i="22"/>
  <c r="H370" i="22" s="1"/>
  <c r="I51" i="10"/>
  <c r="F115" i="22"/>
  <c r="H115" i="22" s="1"/>
  <c r="F116" i="22"/>
  <c r="H116" i="22" s="1"/>
  <c r="I279" i="10"/>
  <c r="F637" i="22"/>
  <c r="H637" i="22" s="1"/>
  <c r="F639" i="22"/>
  <c r="H639" i="22" s="1"/>
  <c r="F640" i="22"/>
  <c r="H640" i="22" s="1"/>
  <c r="F638" i="22"/>
  <c r="H638" i="22" s="1"/>
  <c r="I70" i="10"/>
  <c r="F159" i="22"/>
  <c r="H159" i="22" s="1"/>
  <c r="I16" i="10"/>
  <c r="F30" i="22"/>
  <c r="H30" i="22" s="1"/>
  <c r="F31" i="22"/>
  <c r="H31" i="22" s="1"/>
  <c r="I104" i="10"/>
  <c r="F241" i="22"/>
  <c r="H241" i="22" s="1"/>
  <c r="F242" i="22"/>
  <c r="H242" i="22" s="1"/>
  <c r="I26" i="10"/>
  <c r="F55" i="22"/>
  <c r="H55" i="22" s="1"/>
  <c r="F56" i="22"/>
  <c r="H56" i="22" s="1"/>
  <c r="I135" i="10"/>
  <c r="F311" i="22"/>
  <c r="H311" i="22" s="1"/>
  <c r="F312" i="22"/>
  <c r="H312" i="22" s="1"/>
  <c r="F313" i="22"/>
  <c r="H313" i="22" s="1"/>
  <c r="I294" i="10"/>
  <c r="F671" i="22"/>
  <c r="H671" i="22" s="1"/>
  <c r="F672" i="22"/>
  <c r="H672" i="22" s="1"/>
  <c r="I147" i="10"/>
  <c r="F338" i="22"/>
  <c r="H338" i="22" s="1"/>
  <c r="F339" i="22"/>
  <c r="H339" i="22" s="1"/>
  <c r="I216" i="10"/>
  <c r="F488" i="22"/>
  <c r="H488" i="22" s="1"/>
  <c r="F487" i="22"/>
  <c r="H487" i="22" s="1"/>
  <c r="I22" i="10"/>
  <c r="F45" i="22"/>
  <c r="H45" i="22" s="1"/>
  <c r="F46" i="22"/>
  <c r="H46" i="22" s="1"/>
  <c r="I48" i="10"/>
  <c r="F109" i="22"/>
  <c r="H109" i="22" s="1"/>
  <c r="F108" i="22"/>
  <c r="H108" i="22" s="1"/>
  <c r="F110" i="22"/>
  <c r="H110" i="22" s="1"/>
  <c r="I200" i="10"/>
  <c r="F451" i="22"/>
  <c r="H451" i="22" s="1"/>
  <c r="F452" i="22"/>
  <c r="H452" i="22" s="1"/>
  <c r="I157" i="10"/>
  <c r="F359" i="22"/>
  <c r="H359" i="22" s="1"/>
  <c r="I47" i="10"/>
  <c r="F105" i="22"/>
  <c r="H105" i="22" s="1"/>
  <c r="F106" i="22"/>
  <c r="H106" i="22" s="1"/>
  <c r="F107" i="22"/>
  <c r="H107" i="22" s="1"/>
  <c r="I125" i="10"/>
  <c r="F289" i="22"/>
  <c r="H289" i="22" s="1"/>
  <c r="F290" i="22"/>
  <c r="H290" i="22" s="1"/>
  <c r="F291" i="22"/>
  <c r="H291" i="22" s="1"/>
  <c r="I112" i="10"/>
  <c r="F261" i="22"/>
  <c r="H261" i="22" s="1"/>
  <c r="F262" i="22"/>
  <c r="H262" i="22" s="1"/>
  <c r="F263" i="22"/>
  <c r="H263" i="22" s="1"/>
  <c r="I192" i="10"/>
  <c r="F431" i="22"/>
  <c r="H431" i="22" s="1"/>
  <c r="F432" i="22"/>
  <c r="H432" i="22" s="1"/>
  <c r="I176" i="10"/>
  <c r="F396" i="22"/>
  <c r="H396" i="22" s="1"/>
  <c r="F395" i="22"/>
  <c r="H395" i="22" s="1"/>
  <c r="F15" i="22"/>
  <c r="H15" i="22" s="1"/>
  <c r="F16" i="22"/>
  <c r="H16" i="22" s="1"/>
  <c r="F17" i="22"/>
  <c r="H17" i="22" s="1"/>
  <c r="I191" i="10"/>
  <c r="F429" i="22"/>
  <c r="H429" i="22" s="1"/>
  <c r="F430" i="22"/>
  <c r="H430" i="22" s="1"/>
  <c r="I159" i="10"/>
  <c r="F361" i="22"/>
  <c r="H361" i="22" s="1"/>
  <c r="I12" i="10"/>
  <c r="F22" i="22"/>
  <c r="H22" i="22" s="1"/>
  <c r="F23" i="22"/>
  <c r="H23" i="22" s="1"/>
  <c r="I76" i="10"/>
  <c r="F174" i="22"/>
  <c r="H174" i="22" s="1"/>
  <c r="F175" i="22"/>
  <c r="H175" i="22" s="1"/>
  <c r="I63" i="10"/>
  <c r="F143" i="22"/>
  <c r="H143" i="22" s="1"/>
  <c r="F144" i="22"/>
  <c r="H144" i="22" s="1"/>
  <c r="I230" i="10"/>
  <c r="F524" i="22"/>
  <c r="H524" i="22" s="1"/>
  <c r="F522" i="22"/>
  <c r="H522" i="22" s="1"/>
  <c r="F523" i="22"/>
  <c r="H523" i="22" s="1"/>
  <c r="I90" i="10"/>
  <c r="F211" i="22"/>
  <c r="H211" i="22" s="1"/>
  <c r="F212" i="22"/>
  <c r="H212" i="22" s="1"/>
  <c r="I128" i="10"/>
  <c r="F296" i="22"/>
  <c r="H296" i="22" s="1"/>
  <c r="F295" i="22"/>
  <c r="H295" i="22" s="1"/>
  <c r="I153" i="10"/>
  <c r="F351" i="22"/>
  <c r="H351" i="22" s="1"/>
  <c r="F352" i="22"/>
  <c r="H352" i="22" s="1"/>
  <c r="F350" i="22"/>
  <c r="H350" i="22" s="1"/>
  <c r="I148" i="10"/>
  <c r="F340" i="22"/>
  <c r="H340" i="22" s="1"/>
  <c r="I96" i="10"/>
  <c r="F223" i="22"/>
  <c r="H223" i="22" s="1"/>
  <c r="F224" i="22"/>
  <c r="H224" i="22" s="1"/>
  <c r="I131" i="10"/>
  <c r="F303" i="22"/>
  <c r="H303" i="22" s="1"/>
  <c r="F304" i="22"/>
  <c r="H304" i="22" s="1"/>
  <c r="I221" i="10"/>
  <c r="F499" i="22"/>
  <c r="H499" i="22" s="1"/>
  <c r="F500" i="22"/>
  <c r="H500" i="22" s="1"/>
  <c r="I142" i="10"/>
  <c r="F328" i="22"/>
  <c r="H328" i="22" s="1"/>
  <c r="F329" i="22"/>
  <c r="H329" i="22" s="1"/>
  <c r="I208" i="10"/>
  <c r="F466" i="22"/>
  <c r="H466" i="22" s="1"/>
  <c r="F467" i="22"/>
  <c r="H467" i="22" s="1"/>
  <c r="F468" i="22"/>
  <c r="H468" i="22" s="1"/>
  <c r="I340" i="10"/>
  <c r="F771" i="22"/>
  <c r="H771" i="22" s="1"/>
  <c r="F772" i="22"/>
  <c r="H772" i="22" s="1"/>
  <c r="F773" i="22"/>
  <c r="H773" i="22" s="1"/>
  <c r="I123" i="10"/>
  <c r="F286" i="22"/>
  <c r="H286" i="22" s="1"/>
  <c r="I65" i="10"/>
  <c r="F149" i="22"/>
  <c r="H149" i="22" s="1"/>
  <c r="F148" i="22"/>
  <c r="H148" i="22" s="1"/>
  <c r="I343" i="10"/>
  <c r="F780" i="22"/>
  <c r="H780" i="22" s="1"/>
  <c r="F779" i="22"/>
  <c r="H779" i="22" s="1"/>
  <c r="F781" i="22"/>
  <c r="H781" i="22" s="1"/>
  <c r="I40" i="10"/>
  <c r="F89" i="22"/>
  <c r="H89" i="22" s="1"/>
  <c r="F90" i="22"/>
  <c r="H90" i="22" s="1"/>
  <c r="F91" i="22"/>
  <c r="H91" i="22" s="1"/>
  <c r="I210" i="10"/>
  <c r="F472" i="22"/>
  <c r="H472" i="22" s="1"/>
  <c r="F473" i="22"/>
  <c r="H473" i="22" s="1"/>
  <c r="I152" i="10"/>
  <c r="F349" i="22"/>
  <c r="H349" i="22" s="1"/>
  <c r="F347" i="22"/>
  <c r="H347" i="22" s="1"/>
  <c r="F348" i="22"/>
  <c r="H348" i="22" s="1"/>
  <c r="F62" i="22"/>
  <c r="H62" i="22" s="1"/>
  <c r="F63" i="22"/>
  <c r="H63" i="22" s="1"/>
  <c r="I100" i="10"/>
  <c r="F232" i="22"/>
  <c r="H232" i="22" s="1"/>
  <c r="F233" i="22"/>
  <c r="H233" i="22" s="1"/>
  <c r="F231" i="22"/>
  <c r="H231" i="22" s="1"/>
  <c r="I45" i="10"/>
  <c r="F101" i="22"/>
  <c r="H101" i="22" s="1"/>
  <c r="F100" i="22"/>
  <c r="H100" i="22" s="1"/>
  <c r="I313" i="10"/>
  <c r="F715" i="22"/>
  <c r="H715" i="22" s="1"/>
  <c r="F716" i="22"/>
  <c r="H716" i="22" s="1"/>
  <c r="F717" i="22"/>
  <c r="H717" i="22" s="1"/>
  <c r="I285" i="10"/>
  <c r="F650" i="22"/>
  <c r="H650" i="22" s="1"/>
  <c r="F651" i="22"/>
  <c r="H651" i="22" s="1"/>
  <c r="I139" i="10"/>
  <c r="F320" i="22"/>
  <c r="H320" i="22" s="1"/>
  <c r="F321" i="22"/>
  <c r="H321" i="22" s="1"/>
  <c r="F322" i="22"/>
  <c r="H322" i="22" s="1"/>
  <c r="I209" i="10"/>
  <c r="F469" i="22"/>
  <c r="H469" i="22" s="1"/>
  <c r="F470" i="22"/>
  <c r="H470" i="22" s="1"/>
  <c r="F471" i="22"/>
  <c r="H471" i="22" s="1"/>
  <c r="I39" i="10"/>
  <c r="F87" i="22"/>
  <c r="H87" i="22" s="1"/>
  <c r="F88" i="22"/>
  <c r="H88" i="22" s="1"/>
  <c r="I307" i="10"/>
  <c r="F703" i="22"/>
  <c r="H703" i="22" s="1"/>
  <c r="F704" i="22"/>
  <c r="H704" i="22" s="1"/>
  <c r="I233" i="10"/>
  <c r="F529" i="22"/>
  <c r="H529" i="22" s="1"/>
  <c r="F530" i="22"/>
  <c r="H530" i="22" s="1"/>
  <c r="I72" i="10"/>
  <c r="F165" i="22"/>
  <c r="H165" i="22" s="1"/>
  <c r="F163" i="22"/>
  <c r="H163" i="22" s="1"/>
  <c r="F164" i="22"/>
  <c r="H164" i="22" s="1"/>
  <c r="I105" i="10"/>
  <c r="F245" i="22"/>
  <c r="H245" i="22" s="1"/>
  <c r="F243" i="22"/>
  <c r="H243" i="22" s="1"/>
  <c r="F244" i="22"/>
  <c r="H244" i="22" s="1"/>
  <c r="I93" i="10"/>
  <c r="F217" i="22"/>
  <c r="H217" i="22" s="1"/>
  <c r="I282" i="10"/>
  <c r="F645" i="22"/>
  <c r="H645" i="22" s="1"/>
  <c r="F644" i="22"/>
  <c r="H644" i="22" s="1"/>
  <c r="F646" i="22"/>
  <c r="H646" i="22" s="1"/>
  <c r="I222" i="10"/>
  <c r="F501" i="22"/>
  <c r="H501" i="22" s="1"/>
  <c r="F502" i="22"/>
  <c r="H502" i="22" s="1"/>
  <c r="F503" i="22"/>
  <c r="H503" i="22" s="1"/>
  <c r="I296" i="10"/>
  <c r="F677" i="22"/>
  <c r="H677" i="22" s="1"/>
  <c r="F676" i="22"/>
  <c r="H676" i="22" s="1"/>
  <c r="I84" i="10"/>
  <c r="F197" i="22"/>
  <c r="H197" i="22" s="1"/>
  <c r="F196" i="22"/>
  <c r="H196" i="22" s="1"/>
  <c r="F198" i="22"/>
  <c r="H198" i="22" s="1"/>
  <c r="F199" i="22"/>
  <c r="H199" i="22" s="1"/>
  <c r="I325" i="10"/>
  <c r="F742" i="22"/>
  <c r="H742" i="22" s="1"/>
  <c r="F741" i="22"/>
  <c r="H741" i="22" s="1"/>
  <c r="F739" i="22"/>
  <c r="H739" i="22" s="1"/>
  <c r="F740" i="22"/>
  <c r="H740" i="22" s="1"/>
  <c r="I98" i="10"/>
  <c r="F229" i="22"/>
  <c r="H229" i="22" s="1"/>
  <c r="F227" i="22"/>
  <c r="H227" i="22" s="1"/>
  <c r="F228" i="22"/>
  <c r="H228" i="22" s="1"/>
  <c r="I49" i="10"/>
  <c r="F111" i="22"/>
  <c r="H111" i="22" s="1"/>
  <c r="F112" i="22"/>
  <c r="H112" i="22" s="1"/>
  <c r="I342" i="10"/>
  <c r="F777" i="22"/>
  <c r="H777" i="22" s="1"/>
  <c r="F778" i="22"/>
  <c r="H778" i="22" s="1"/>
  <c r="I274" i="10"/>
  <c r="F625" i="22"/>
  <c r="H625" i="22" s="1"/>
  <c r="F626" i="22"/>
  <c r="H626" i="22" s="1"/>
  <c r="F627" i="22"/>
  <c r="H627" i="22" s="1"/>
  <c r="I299" i="10"/>
  <c r="F685" i="22"/>
  <c r="H685" i="22" s="1"/>
  <c r="F684" i="22"/>
  <c r="H684" i="22" s="1"/>
  <c r="F683" i="22"/>
  <c r="H683" i="22" s="1"/>
  <c r="I116" i="10"/>
  <c r="F270" i="22"/>
  <c r="H270" i="22" s="1"/>
  <c r="F271" i="22"/>
  <c r="H271" i="22" s="1"/>
  <c r="I25" i="10"/>
  <c r="F53" i="22"/>
  <c r="H53" i="22" s="1"/>
  <c r="F52" i="22"/>
  <c r="H52" i="22" s="1"/>
  <c r="F54" i="22"/>
  <c r="H54" i="22" s="1"/>
  <c r="I202" i="10"/>
  <c r="F454" i="22"/>
  <c r="H454" i="22" s="1"/>
  <c r="F455" i="22"/>
  <c r="H455" i="22" s="1"/>
  <c r="I257" i="10"/>
  <c r="F586" i="22"/>
  <c r="H586" i="22" s="1"/>
  <c r="F587" i="22"/>
  <c r="H587" i="22" s="1"/>
  <c r="I181" i="10"/>
  <c r="F405" i="22"/>
  <c r="H405" i="22" s="1"/>
  <c r="F406" i="22"/>
  <c r="H406" i="22" s="1"/>
  <c r="F407" i="22"/>
  <c r="H407" i="22" s="1"/>
  <c r="I220" i="10"/>
  <c r="F497" i="22"/>
  <c r="H497" i="22" s="1"/>
  <c r="F498" i="22"/>
  <c r="H498" i="22" s="1"/>
  <c r="I278" i="10"/>
  <c r="F635" i="22"/>
  <c r="H635" i="22" s="1"/>
  <c r="F636" i="22"/>
  <c r="H636" i="22" s="1"/>
  <c r="I167" i="10"/>
  <c r="F376" i="22"/>
  <c r="H376" i="22" s="1"/>
  <c r="I119" i="10"/>
  <c r="F277" i="22"/>
  <c r="H277" i="22" s="1"/>
  <c r="F276" i="22"/>
  <c r="H276" i="22" s="1"/>
  <c r="I180" i="10"/>
  <c r="F403" i="22"/>
  <c r="H403" i="22" s="1"/>
  <c r="F404" i="22"/>
  <c r="H404" i="22" s="1"/>
  <c r="I301" i="10"/>
  <c r="F689" i="22"/>
  <c r="H689" i="22" s="1"/>
  <c r="F690" i="22"/>
  <c r="H690" i="22" s="1"/>
  <c r="I232" i="10"/>
  <c r="F527" i="22"/>
  <c r="H527" i="22" s="1"/>
  <c r="F528" i="22"/>
  <c r="H528" i="22" s="1"/>
  <c r="I59" i="10"/>
  <c r="F133" i="22"/>
  <c r="H133" i="22" s="1"/>
  <c r="F132" i="22"/>
  <c r="H132" i="22" s="1"/>
  <c r="F134" i="22"/>
  <c r="H134" i="22" s="1"/>
  <c r="I335" i="10"/>
  <c r="F761" i="22"/>
  <c r="H761" i="22" s="1"/>
  <c r="F762" i="22"/>
  <c r="H762" i="22" s="1"/>
  <c r="F763" i="22"/>
  <c r="H763" i="22" s="1"/>
  <c r="I121" i="10"/>
  <c r="F280" i="22"/>
  <c r="H280" i="22" s="1"/>
  <c r="F281" i="22"/>
  <c r="H281" i="22" s="1"/>
  <c r="F282" i="22"/>
  <c r="H282" i="22" s="1"/>
  <c r="I23" i="10"/>
  <c r="F47" i="22"/>
  <c r="H47" i="22" s="1"/>
  <c r="F48" i="22"/>
  <c r="H48" i="22" s="1"/>
  <c r="I237" i="10"/>
  <c r="F538" i="22"/>
  <c r="H538" i="22" s="1"/>
  <c r="I68" i="10"/>
  <c r="F154" i="22"/>
  <c r="H154" i="22" s="1"/>
  <c r="F155" i="22"/>
  <c r="H155" i="22" s="1"/>
  <c r="F156" i="22"/>
  <c r="H156" i="22" s="1"/>
  <c r="I122" i="10"/>
  <c r="F285" i="22"/>
  <c r="H285" i="22" s="1"/>
  <c r="F283" i="22"/>
  <c r="H283" i="22" s="1"/>
  <c r="F284" i="22"/>
  <c r="H284" i="22" s="1"/>
  <c r="I62" i="10"/>
  <c r="F141" i="22"/>
  <c r="H141" i="22" s="1"/>
  <c r="F142" i="22"/>
  <c r="H142" i="22" s="1"/>
  <c r="I113" i="10"/>
  <c r="F264" i="22"/>
  <c r="H264" i="22" s="1"/>
  <c r="F265" i="22"/>
  <c r="H265" i="22" s="1"/>
  <c r="I174" i="10"/>
  <c r="F390" i="22"/>
  <c r="H390" i="22" s="1"/>
  <c r="F391" i="22"/>
  <c r="H391" i="22" s="1"/>
  <c r="I60" i="10"/>
  <c r="F137" i="22"/>
  <c r="H137" i="22" s="1"/>
  <c r="F136" i="22"/>
  <c r="H136" i="22" s="1"/>
  <c r="F135" i="22"/>
  <c r="H135" i="22" s="1"/>
  <c r="I304" i="10"/>
  <c r="F697" i="22"/>
  <c r="H697" i="22" s="1"/>
  <c r="F695" i="22"/>
  <c r="H695" i="22" s="1"/>
  <c r="F696" i="22"/>
  <c r="H696" i="22" s="1"/>
  <c r="I288" i="10"/>
  <c r="F657" i="22"/>
  <c r="H657" i="22" s="1"/>
  <c r="F658" i="22"/>
  <c r="H658" i="22" s="1"/>
  <c r="F656" i="22"/>
  <c r="H656" i="22" s="1"/>
  <c r="I99" i="10"/>
  <c r="F230" i="22"/>
  <c r="H230" i="22" s="1"/>
  <c r="I243" i="10"/>
  <c r="F552" i="22"/>
  <c r="H552" i="22" s="1"/>
  <c r="F551" i="22"/>
  <c r="H551" i="22" s="1"/>
  <c r="I306" i="10"/>
  <c r="F701" i="22"/>
  <c r="H701" i="22" s="1"/>
  <c r="F702" i="22"/>
  <c r="H702" i="22" s="1"/>
  <c r="I287" i="10"/>
  <c r="F655" i="22"/>
  <c r="H655" i="22" s="1"/>
  <c r="I357" i="10"/>
  <c r="F810" i="22"/>
  <c r="H810" i="22" s="1"/>
  <c r="F812" i="22"/>
  <c r="H812" i="22" s="1"/>
  <c r="F811" i="22"/>
  <c r="H811" i="22" s="1"/>
  <c r="I303" i="10"/>
  <c r="F693" i="22"/>
  <c r="H693" i="22" s="1"/>
  <c r="F694" i="22"/>
  <c r="H694" i="22" s="1"/>
  <c r="I240" i="10"/>
  <c r="F544" i="22"/>
  <c r="H544" i="22" s="1"/>
  <c r="F545" i="22"/>
  <c r="H545" i="22" s="1"/>
  <c r="F546" i="22"/>
  <c r="H546" i="22" s="1"/>
  <c r="I229" i="10"/>
  <c r="F519" i="22"/>
  <c r="H519" i="22" s="1"/>
  <c r="F520" i="22"/>
  <c r="H520" i="22" s="1"/>
  <c r="F521" i="22"/>
  <c r="H521" i="22" s="1"/>
  <c r="I140" i="10"/>
  <c r="F325" i="22"/>
  <c r="H325" i="22" s="1"/>
  <c r="F323" i="22"/>
  <c r="H323" i="22" s="1"/>
  <c r="F324" i="22"/>
  <c r="H324" i="22" s="1"/>
  <c r="I114" i="10"/>
  <c r="F268" i="22"/>
  <c r="H268" i="22" s="1"/>
  <c r="F266" i="22"/>
  <c r="H266" i="22" s="1"/>
  <c r="F267" i="22"/>
  <c r="H267" i="22" s="1"/>
  <c r="I86" i="10"/>
  <c r="F204" i="22"/>
  <c r="H204" i="22" s="1"/>
  <c r="F202" i="22"/>
  <c r="H202" i="22" s="1"/>
  <c r="F203" i="22"/>
  <c r="H203" i="22" s="1"/>
  <c r="I32" i="10"/>
  <c r="F69" i="22"/>
  <c r="H69" i="22" s="1"/>
  <c r="I185" i="10"/>
  <c r="F415" i="22"/>
  <c r="H415" i="22" s="1"/>
  <c r="F416" i="22"/>
  <c r="H416" i="22" s="1"/>
  <c r="F414" i="22"/>
  <c r="H414" i="22" s="1"/>
  <c r="I297" i="10"/>
  <c r="F678" i="22"/>
  <c r="H678" i="22" s="1"/>
  <c r="F679" i="22"/>
  <c r="H679" i="22" s="1"/>
  <c r="I277" i="10"/>
  <c r="F634" i="22"/>
  <c r="H634" i="22" s="1"/>
  <c r="I308" i="10"/>
  <c r="F705" i="22"/>
  <c r="H705" i="22" s="1"/>
  <c r="I251" i="10"/>
  <c r="F573" i="22"/>
  <c r="H573" i="22" s="1"/>
  <c r="F570" i="22"/>
  <c r="H570" i="22" s="1"/>
  <c r="F571" i="22"/>
  <c r="H571" i="22" s="1"/>
  <c r="F572" i="22"/>
  <c r="H572" i="22" s="1"/>
  <c r="I144" i="10"/>
  <c r="F332" i="22"/>
  <c r="H332" i="22" s="1"/>
  <c r="F331" i="22"/>
  <c r="H331" i="22" s="1"/>
  <c r="I110" i="10"/>
  <c r="F256" i="22"/>
  <c r="H256" i="22" s="1"/>
  <c r="F257" i="22"/>
  <c r="H257" i="22" s="1"/>
  <c r="F258" i="22"/>
  <c r="H258" i="22" s="1"/>
  <c r="I21" i="10"/>
  <c r="F42" i="22"/>
  <c r="H42" i="22" s="1"/>
  <c r="F43" i="22"/>
  <c r="H43" i="22" s="1"/>
  <c r="F44" i="22"/>
  <c r="H44" i="22" s="1"/>
  <c r="I217" i="10"/>
  <c r="F489" i="22"/>
  <c r="H489" i="22" s="1"/>
  <c r="F490" i="22"/>
  <c r="H490" i="22" s="1"/>
  <c r="I67" i="10"/>
  <c r="F153" i="22"/>
  <c r="H153" i="22" s="1"/>
  <c r="I201" i="10"/>
  <c r="F453" i="22"/>
  <c r="H453" i="22" s="1"/>
  <c r="I354" i="10"/>
  <c r="F804" i="22"/>
  <c r="H804" i="22" s="1"/>
  <c r="I15" i="10"/>
  <c r="F29" i="22"/>
  <c r="H29" i="22" s="1"/>
  <c r="F28" i="22"/>
  <c r="H28" i="22" s="1"/>
  <c r="I355" i="10"/>
  <c r="F805" i="22"/>
  <c r="H805" i="22" s="1"/>
  <c r="I36" i="10"/>
  <c r="F81" i="22"/>
  <c r="H81" i="22" s="1"/>
  <c r="F80" i="22"/>
  <c r="H80" i="22" s="1"/>
  <c r="I224" i="10"/>
  <c r="F506" i="22"/>
  <c r="H506" i="22" s="1"/>
  <c r="F507" i="22"/>
  <c r="H507" i="22" s="1"/>
  <c r="F508" i="22"/>
  <c r="H508" i="22" s="1"/>
  <c r="I124" i="10"/>
  <c r="F287" i="22"/>
  <c r="H287" i="22" s="1"/>
  <c r="F288" i="22"/>
  <c r="H288" i="22" s="1"/>
  <c r="I156" i="10"/>
  <c r="F358" i="22"/>
  <c r="H358" i="22" s="1"/>
  <c r="I227" i="10"/>
  <c r="F515" i="22"/>
  <c r="H515" i="22" s="1"/>
  <c r="F514" i="22"/>
  <c r="H514" i="22" s="1"/>
  <c r="I254" i="10"/>
  <c r="F581" i="22"/>
  <c r="H581" i="22" s="1"/>
  <c r="F580" i="22"/>
  <c r="H580" i="22" s="1"/>
  <c r="I111" i="10"/>
  <c r="F259" i="22"/>
  <c r="H259" i="22" s="1"/>
  <c r="F260" i="22"/>
  <c r="H260" i="22" s="1"/>
  <c r="I199" i="10"/>
  <c r="F449" i="22"/>
  <c r="H449" i="22" s="1"/>
  <c r="F450" i="22"/>
  <c r="H450" i="22" s="1"/>
  <c r="I316" i="10"/>
  <c r="F721" i="22"/>
  <c r="H721" i="22" s="1"/>
  <c r="F722" i="22"/>
  <c r="H722" i="22" s="1"/>
  <c r="I38" i="10"/>
  <c r="F85" i="22"/>
  <c r="H85" i="22" s="1"/>
  <c r="F84" i="22"/>
  <c r="H84" i="22" s="1"/>
  <c r="F86" i="22"/>
  <c r="H86" i="22" s="1"/>
  <c r="I315" i="10"/>
  <c r="F719" i="22"/>
  <c r="H719" i="22" s="1"/>
  <c r="F720" i="22"/>
  <c r="H720" i="22" s="1"/>
  <c r="I272" i="10"/>
  <c r="F621" i="22"/>
  <c r="H621" i="22" s="1"/>
  <c r="F620" i="22"/>
  <c r="H620" i="22" s="1"/>
  <c r="F622" i="22"/>
  <c r="H622" i="22" s="1"/>
  <c r="I238" i="10"/>
  <c r="F541" i="22"/>
  <c r="H541" i="22" s="1"/>
  <c r="F539" i="22"/>
  <c r="H539" i="22" s="1"/>
  <c r="F540" i="22"/>
  <c r="H540" i="22" s="1"/>
  <c r="I330" i="10"/>
  <c r="F752" i="22"/>
  <c r="H752" i="22" s="1"/>
  <c r="F751" i="22"/>
  <c r="H751" i="22" s="1"/>
  <c r="I89" i="10"/>
  <c r="F209" i="22"/>
  <c r="H209" i="22" s="1"/>
  <c r="F210" i="22"/>
  <c r="H210" i="22" s="1"/>
  <c r="I324" i="10"/>
  <c r="F737" i="22"/>
  <c r="H737" i="22" s="1"/>
  <c r="F738" i="22"/>
  <c r="H738" i="22" s="1"/>
  <c r="F736" i="22"/>
  <c r="H736" i="22" s="1"/>
  <c r="I91" i="10"/>
  <c r="F213" i="22"/>
  <c r="H213" i="22" s="1"/>
  <c r="F214" i="22"/>
  <c r="H214" i="22" s="1"/>
  <c r="F215" i="22"/>
  <c r="H215" i="22" s="1"/>
  <c r="I56" i="10"/>
  <c r="F125" i="22"/>
  <c r="H125" i="22" s="1"/>
  <c r="F126" i="22"/>
  <c r="H126" i="22" s="1"/>
  <c r="F127" i="22"/>
  <c r="H127" i="22" s="1"/>
  <c r="I138" i="10"/>
  <c r="F318" i="22"/>
  <c r="H318" i="22" s="1"/>
  <c r="F319" i="22"/>
  <c r="H319" i="22" s="1"/>
  <c r="I347" i="10"/>
  <c r="F790" i="22"/>
  <c r="H790" i="22" s="1"/>
  <c r="F791" i="22"/>
  <c r="H791" i="22" s="1"/>
  <c r="F789" i="22"/>
  <c r="H789" i="22" s="1"/>
  <c r="I319" i="10"/>
  <c r="F729" i="22"/>
  <c r="H729" i="22" s="1"/>
  <c r="F728" i="22"/>
  <c r="H728" i="22" s="1"/>
  <c r="I106" i="10"/>
  <c r="F246" i="22"/>
  <c r="H246" i="22" s="1"/>
  <c r="F247" i="22"/>
  <c r="H247" i="22" s="1"/>
  <c r="I193" i="10"/>
  <c r="F433" i="22"/>
  <c r="H433" i="22" s="1"/>
  <c r="F434" i="22"/>
  <c r="H434" i="22" s="1"/>
  <c r="F435" i="22"/>
  <c r="H435" i="22" s="1"/>
  <c r="I37" i="10"/>
  <c r="F83" i="22"/>
  <c r="H83" i="22" s="1"/>
  <c r="F82" i="22"/>
  <c r="H82" i="22" s="1"/>
  <c r="I61" i="10"/>
  <c r="F138" i="22"/>
  <c r="H138" i="22" s="1"/>
  <c r="F139" i="22"/>
  <c r="H139" i="22" s="1"/>
  <c r="F140" i="22"/>
  <c r="H140" i="22" s="1"/>
  <c r="I309" i="10"/>
  <c r="F706" i="22"/>
  <c r="H706" i="22" s="1"/>
  <c r="F707" i="22"/>
  <c r="H707" i="22" s="1"/>
  <c r="F708" i="22"/>
  <c r="H708" i="22" s="1"/>
  <c r="I310" i="10"/>
  <c r="F710" i="22"/>
  <c r="H710" i="22" s="1"/>
  <c r="F709" i="22"/>
  <c r="H709" i="22" s="1"/>
  <c r="I85" i="10"/>
  <c r="F200" i="22"/>
  <c r="H200" i="22" s="1"/>
  <c r="F201" i="22"/>
  <c r="H201" i="22" s="1"/>
  <c r="I141" i="10"/>
  <c r="F326" i="22"/>
  <c r="H326" i="22" s="1"/>
  <c r="F327" i="22"/>
  <c r="H327" i="22" s="1"/>
  <c r="I101" i="10"/>
  <c r="F234" i="22"/>
  <c r="H234" i="22" s="1"/>
  <c r="F235" i="22"/>
  <c r="H235" i="22" s="1"/>
  <c r="F236" i="22"/>
  <c r="H236" i="22" s="1"/>
  <c r="I150" i="10"/>
  <c r="F343" i="22"/>
  <c r="H343" i="22" s="1"/>
  <c r="F344" i="22"/>
  <c r="H344" i="22" s="1"/>
  <c r="I166" i="10"/>
  <c r="F374" i="22"/>
  <c r="H374" i="22" s="1"/>
  <c r="F375" i="22"/>
  <c r="H375" i="22" s="1"/>
  <c r="I83" i="10"/>
  <c r="F195" i="22"/>
  <c r="H195" i="22" s="1"/>
  <c r="F194" i="22"/>
  <c r="H194" i="22" s="1"/>
  <c r="I88" i="10"/>
  <c r="F208" i="22"/>
  <c r="H208" i="22" s="1"/>
  <c r="I34" i="10"/>
  <c r="F74" i="22"/>
  <c r="H74" i="22" s="1"/>
  <c r="F75" i="22"/>
  <c r="H75" i="22" s="1"/>
  <c r="F76" i="22"/>
  <c r="H76" i="22" s="1"/>
  <c r="I265" i="10"/>
  <c r="F605" i="22"/>
  <c r="H605" i="22" s="1"/>
  <c r="F604" i="22"/>
  <c r="H604" i="22" s="1"/>
  <c r="F606" i="22"/>
  <c r="H606" i="22" s="1"/>
  <c r="I46" i="10"/>
  <c r="F104" i="22"/>
  <c r="H104" i="22" s="1"/>
  <c r="F102" i="22"/>
  <c r="H102" i="22" s="1"/>
  <c r="F103" i="22"/>
  <c r="H103" i="22" s="1"/>
  <c r="I10" i="10"/>
  <c r="F18" i="22"/>
  <c r="H18" i="22" s="1"/>
  <c r="F19" i="22"/>
  <c r="H19" i="22" s="1"/>
  <c r="F20" i="22"/>
  <c r="H20" i="22" s="1"/>
  <c r="I118" i="10"/>
  <c r="F274" i="22"/>
  <c r="H274" i="22" s="1"/>
  <c r="F275" i="22"/>
  <c r="H275" i="22" s="1"/>
  <c r="I188" i="10"/>
  <c r="F422" i="22"/>
  <c r="H422" i="22" s="1"/>
  <c r="F423" i="22"/>
  <c r="H423" i="22" s="1"/>
  <c r="I41" i="10"/>
  <c r="F92" i="22"/>
  <c r="H92" i="22" s="1"/>
  <c r="I17" i="10"/>
  <c r="F33" i="22"/>
  <c r="H33" i="22" s="1"/>
  <c r="F32" i="22"/>
  <c r="H32" i="22" s="1"/>
  <c r="F34" i="22"/>
  <c r="H34" i="22" s="1"/>
  <c r="I351" i="10"/>
  <c r="F798" i="22"/>
  <c r="H798" i="22" s="1"/>
  <c r="F799" i="22"/>
  <c r="H799" i="22" s="1"/>
  <c r="I318" i="10"/>
  <c r="F726" i="22"/>
  <c r="H726" i="22" s="1"/>
  <c r="F727" i="22"/>
  <c r="H727" i="22" s="1"/>
  <c r="I323" i="10"/>
  <c r="F734" i="22"/>
  <c r="H734" i="22" s="1"/>
  <c r="F735" i="22"/>
  <c r="H735" i="22" s="1"/>
  <c r="I58" i="10"/>
  <c r="F130" i="22"/>
  <c r="H130" i="22" s="1"/>
  <c r="F131" i="22"/>
  <c r="H131" i="22" s="1"/>
  <c r="I197" i="10"/>
  <c r="F445" i="22"/>
  <c r="H445" i="22" s="1"/>
  <c r="F444" i="22"/>
  <c r="H444" i="22" s="1"/>
  <c r="I327" i="10"/>
  <c r="F746" i="22"/>
  <c r="H746" i="22" s="1"/>
  <c r="F747" i="22"/>
  <c r="H747" i="22" s="1"/>
  <c r="I11" i="10"/>
  <c r="F21" i="22"/>
  <c r="H21" i="22" s="1"/>
  <c r="I300" i="10"/>
  <c r="F686" i="22"/>
  <c r="H686" i="22" s="1"/>
  <c r="F687" i="22"/>
  <c r="H687" i="22" s="1"/>
  <c r="F688" i="22"/>
  <c r="H688" i="22" s="1"/>
  <c r="I195" i="10"/>
  <c r="F439" i="22"/>
  <c r="H439" i="22" s="1"/>
  <c r="F440" i="22"/>
  <c r="H440" i="22" s="1"/>
  <c r="F441" i="22"/>
  <c r="H441" i="22" s="1"/>
  <c r="I137" i="10"/>
  <c r="F317" i="22"/>
  <c r="H317" i="22" s="1"/>
  <c r="I145" i="10"/>
  <c r="F333" i="22"/>
  <c r="H333" i="22" s="1"/>
  <c r="F334" i="22"/>
  <c r="H334" i="22" s="1"/>
  <c r="I78" i="10"/>
  <c r="F178" i="22"/>
  <c r="H178" i="22" s="1"/>
  <c r="F179" i="22"/>
  <c r="H179" i="22" s="1"/>
  <c r="F180" i="22"/>
  <c r="H180" i="22" s="1"/>
  <c r="I203" i="10"/>
  <c r="F456" i="22"/>
  <c r="H456" i="22" s="1"/>
  <c r="I302" i="10"/>
  <c r="F692" i="22"/>
  <c r="H692" i="22" s="1"/>
  <c r="F691" i="22"/>
  <c r="H691" i="22" s="1"/>
  <c r="I215" i="10"/>
  <c r="F485" i="22"/>
  <c r="H485" i="22" s="1"/>
  <c r="F486" i="22"/>
  <c r="H486" i="22" s="1"/>
  <c r="I127" i="10"/>
  <c r="F294" i="22"/>
  <c r="H294" i="22" s="1"/>
  <c r="I228" i="10"/>
  <c r="F517" i="22"/>
  <c r="H517" i="22" s="1"/>
  <c r="F516" i="22"/>
  <c r="H516" i="22" s="1"/>
  <c r="F518" i="22"/>
  <c r="H518" i="22" s="1"/>
  <c r="I332" i="10"/>
  <c r="F754" i="22"/>
  <c r="H754" i="22" s="1"/>
  <c r="F755" i="22"/>
  <c r="H755" i="22" s="1"/>
  <c r="I74" i="10"/>
  <c r="F169" i="22"/>
  <c r="H169" i="22" s="1"/>
  <c r="F170" i="22"/>
  <c r="H170" i="22" s="1"/>
  <c r="F171" i="22"/>
  <c r="H171" i="22" s="1"/>
  <c r="I246" i="10"/>
  <c r="F558" i="22"/>
  <c r="H558" i="22" s="1"/>
  <c r="F559" i="22"/>
  <c r="H559" i="22" s="1"/>
  <c r="I252" i="10"/>
  <c r="F574" i="22"/>
  <c r="H574" i="22" s="1"/>
  <c r="F575" i="22"/>
  <c r="H575" i="22" s="1"/>
  <c r="I177" i="10"/>
  <c r="F397" i="22"/>
  <c r="H397" i="22" s="1"/>
  <c r="I160" i="10"/>
  <c r="F362" i="22"/>
  <c r="H362" i="22" s="1"/>
  <c r="F363" i="22"/>
  <c r="H363" i="22" s="1"/>
  <c r="I322" i="10"/>
  <c r="F733" i="22"/>
  <c r="H733" i="22" s="1"/>
  <c r="F732" i="22"/>
  <c r="H732" i="22" s="1"/>
  <c r="I146" i="10"/>
  <c r="F335" i="22"/>
  <c r="H335" i="22" s="1"/>
  <c r="F336" i="22"/>
  <c r="H336" i="22" s="1"/>
  <c r="F337" i="22"/>
  <c r="H337" i="22" s="1"/>
  <c r="I263" i="10"/>
  <c r="F599" i="22"/>
  <c r="H599" i="22" s="1"/>
  <c r="F600" i="22"/>
  <c r="H600" i="22" s="1"/>
  <c r="F601" i="22"/>
  <c r="H601" i="22" s="1"/>
  <c r="I28" i="10"/>
  <c r="F61" i="22"/>
  <c r="H61" i="22" s="1"/>
  <c r="F60" i="22"/>
  <c r="H60" i="22" s="1"/>
  <c r="I305" i="10"/>
  <c r="F698" i="22"/>
  <c r="H698" i="22" s="1"/>
  <c r="F700" i="22"/>
  <c r="H700" i="22" s="1"/>
  <c r="F699" i="22"/>
  <c r="H699" i="22" s="1"/>
  <c r="I107" i="10"/>
  <c r="F250" i="22"/>
  <c r="H250" i="22" s="1"/>
  <c r="F248" i="22"/>
  <c r="H248" i="22" s="1"/>
  <c r="F249" i="22"/>
  <c r="H249" i="22" s="1"/>
  <c r="I348" i="10"/>
  <c r="F793" i="22"/>
  <c r="H793" i="22" s="1"/>
  <c r="F792" i="22"/>
  <c r="H792" i="22" s="1"/>
  <c r="I334" i="10"/>
  <c r="F758" i="22"/>
  <c r="H758" i="22" s="1"/>
  <c r="F759" i="22"/>
  <c r="H759" i="22" s="1"/>
  <c r="F760" i="22"/>
  <c r="H760" i="22" s="1"/>
  <c r="I75" i="10"/>
  <c r="F173" i="22"/>
  <c r="H173" i="22" s="1"/>
  <c r="F172" i="22"/>
  <c r="H172" i="22" s="1"/>
  <c r="I81" i="10"/>
  <c r="F189" i="22"/>
  <c r="H189" i="22" s="1"/>
  <c r="F187" i="22"/>
  <c r="H187" i="22" s="1"/>
  <c r="F188" i="22"/>
  <c r="H188" i="22" s="1"/>
  <c r="I295" i="10"/>
  <c r="F675" i="22"/>
  <c r="H675" i="22" s="1"/>
  <c r="F673" i="22"/>
  <c r="H673" i="22" s="1"/>
  <c r="F674" i="22"/>
  <c r="H674" i="22" s="1"/>
  <c r="I289" i="10"/>
  <c r="F659" i="22"/>
  <c r="H659" i="22" s="1"/>
  <c r="F660" i="22"/>
  <c r="H660" i="22" s="1"/>
  <c r="I126" i="10"/>
  <c r="F293" i="22"/>
  <c r="H293" i="22" s="1"/>
  <c r="F292" i="22"/>
  <c r="H292" i="22" s="1"/>
  <c r="I281" i="10"/>
  <c r="F643" i="22"/>
  <c r="H643" i="22" s="1"/>
  <c r="F642" i="22"/>
  <c r="H642" i="22" s="1"/>
  <c r="I328" i="10"/>
  <c r="F748" i="22"/>
  <c r="H748" i="22" s="1"/>
  <c r="I77" i="10"/>
  <c r="F177" i="22"/>
  <c r="H177" i="22" s="1"/>
  <c r="F176" i="22"/>
  <c r="H176" i="22" s="1"/>
  <c r="I218" i="10"/>
  <c r="F493" i="22"/>
  <c r="H493" i="22" s="1"/>
  <c r="F491" i="22"/>
  <c r="H491" i="22" s="1"/>
  <c r="F492" i="22"/>
  <c r="H492" i="22" s="1"/>
  <c r="I94" i="10"/>
  <c r="F218" i="22"/>
  <c r="H218" i="22" s="1"/>
  <c r="F219" i="22"/>
  <c r="H219" i="22" s="1"/>
  <c r="F220" i="22"/>
  <c r="H220" i="22" s="1"/>
  <c r="I168" i="10"/>
  <c r="F378" i="22"/>
  <c r="H378" i="22" s="1"/>
  <c r="F377" i="22"/>
  <c r="H377" i="22" s="1"/>
  <c r="I20" i="10"/>
  <c r="F41" i="22"/>
  <c r="H41" i="22" s="1"/>
  <c r="F40" i="22"/>
  <c r="H40" i="22" s="1"/>
  <c r="I133" i="10"/>
  <c r="F308" i="22"/>
  <c r="H308" i="22" s="1"/>
  <c r="I290" i="10"/>
  <c r="F661" i="22"/>
  <c r="H661" i="22" s="1"/>
  <c r="F662" i="22"/>
  <c r="H662" i="22" s="1"/>
  <c r="I250" i="10"/>
  <c r="F567" i="22"/>
  <c r="H567" i="22" s="1"/>
  <c r="F568" i="22"/>
  <c r="H568" i="22" s="1"/>
  <c r="F569" i="22"/>
  <c r="H569" i="22" s="1"/>
  <c r="I314" i="10"/>
  <c r="F718" i="22"/>
  <c r="H718" i="22" s="1"/>
  <c r="I266" i="10"/>
  <c r="F607" i="22"/>
  <c r="H607" i="22" s="1"/>
  <c r="F608" i="22"/>
  <c r="H608" i="22" s="1"/>
  <c r="I120" i="10"/>
  <c r="F278" i="22"/>
  <c r="H278" i="22" s="1"/>
  <c r="F279" i="22"/>
  <c r="H279" i="22" s="1"/>
  <c r="I262" i="10"/>
  <c r="F597" i="22"/>
  <c r="H597" i="22" s="1"/>
  <c r="F598" i="22"/>
  <c r="H598" i="22" s="1"/>
  <c r="I341" i="10"/>
  <c r="F774" i="22"/>
  <c r="H774" i="22" s="1"/>
  <c r="F775" i="22"/>
  <c r="H775" i="22" s="1"/>
  <c r="F776" i="22"/>
  <c r="H776" i="22" s="1"/>
  <c r="I249" i="10"/>
  <c r="F565" i="22"/>
  <c r="H565" i="22" s="1"/>
  <c r="F566" i="22"/>
  <c r="H566" i="22" s="1"/>
  <c r="I165" i="10"/>
  <c r="F373" i="22"/>
  <c r="H373" i="22" s="1"/>
  <c r="I353" i="10"/>
  <c r="F802" i="22"/>
  <c r="H802" i="22" s="1"/>
  <c r="F803" i="22"/>
  <c r="H803" i="22" s="1"/>
  <c r="I260" i="10"/>
  <c r="F591" i="22"/>
  <c r="H591" i="22" s="1"/>
  <c r="F592" i="22"/>
  <c r="H592" i="22" s="1"/>
  <c r="F593" i="22"/>
  <c r="H593" i="22" s="1"/>
  <c r="I27" i="10"/>
  <c r="F57" i="22"/>
  <c r="H57" i="22" s="1"/>
  <c r="F58" i="22"/>
  <c r="H58" i="22" s="1"/>
  <c r="F59" i="22"/>
  <c r="H59" i="22" s="1"/>
  <c r="I337" i="10"/>
  <c r="F766" i="22"/>
  <c r="H766" i="22" s="1"/>
  <c r="F765" i="22"/>
  <c r="H765" i="22" s="1"/>
  <c r="F767" i="22"/>
  <c r="H767" i="22" s="1"/>
  <c r="I346" i="10"/>
  <c r="AI346" i="10" s="1"/>
  <c r="F788" i="22"/>
  <c r="H788" i="22" s="1"/>
  <c r="F787" i="22"/>
  <c r="H787" i="22" s="1"/>
  <c r="G182" i="10"/>
  <c r="K182" i="10" s="1"/>
  <c r="C16" i="8"/>
  <c r="K47" i="10"/>
  <c r="K95" i="10"/>
  <c r="K299" i="10"/>
  <c r="K57" i="10"/>
  <c r="K355" i="10"/>
  <c r="K11" i="10"/>
  <c r="K125" i="10"/>
  <c r="K292" i="10"/>
  <c r="K116" i="10"/>
  <c r="K350" i="10"/>
  <c r="K223" i="10"/>
  <c r="K36" i="10"/>
  <c r="K300" i="10"/>
  <c r="K112" i="10"/>
  <c r="K326" i="10"/>
  <c r="K25" i="10"/>
  <c r="K19" i="10"/>
  <c r="K224" i="10"/>
  <c r="K195" i="10"/>
  <c r="K186" i="10"/>
  <c r="K192" i="10"/>
  <c r="K202" i="10"/>
  <c r="K311" i="10"/>
  <c r="K124" i="10"/>
  <c r="K137" i="10"/>
  <c r="K293" i="10"/>
  <c r="K176" i="10"/>
  <c r="K257" i="10"/>
  <c r="K196" i="10"/>
  <c r="K156" i="10"/>
  <c r="K145" i="10"/>
  <c r="K172" i="10"/>
  <c r="K181" i="10"/>
  <c r="K78" i="10"/>
  <c r="K203" i="10"/>
  <c r="K261" i="10"/>
  <c r="K227" i="10"/>
  <c r="K115" i="10"/>
  <c r="K9" i="10"/>
  <c r="K220" i="10"/>
  <c r="K158" i="10"/>
  <c r="K71" i="10"/>
  <c r="K143" i="10"/>
  <c r="K236" i="10"/>
  <c r="K333" i="10"/>
  <c r="K356" i="10"/>
  <c r="K267" i="10"/>
  <c r="K242" i="10"/>
  <c r="K231" i="10"/>
  <c r="K161" i="10"/>
  <c r="K320" i="10"/>
  <c r="K349" i="10"/>
  <c r="K239" i="10"/>
  <c r="K24" i="10"/>
  <c r="K256" i="10"/>
  <c r="K30" i="10"/>
  <c r="K275" i="10"/>
  <c r="K129" i="10"/>
  <c r="K132" i="10"/>
  <c r="K155" i="10"/>
  <c r="K97" i="10"/>
  <c r="K171" i="10"/>
  <c r="K253" i="10"/>
  <c r="K134" i="10"/>
  <c r="K149" i="10"/>
  <c r="K117" i="10"/>
  <c r="K194" i="10"/>
  <c r="K18" i="10"/>
  <c r="K280" i="10"/>
  <c r="K31" i="10"/>
  <c r="K164" i="10"/>
  <c r="K102" i="10"/>
  <c r="K344" i="10"/>
  <c r="K109" i="10"/>
  <c r="K204" i="10"/>
  <c r="K178" i="10"/>
  <c r="K214" i="10"/>
  <c r="K52" i="10"/>
  <c r="K207" i="10"/>
  <c r="K198" i="10"/>
  <c r="K80" i="10"/>
  <c r="K183" i="10"/>
  <c r="K271" i="10"/>
  <c r="K352" i="10"/>
  <c r="K345" i="10"/>
  <c r="K175" i="10"/>
  <c r="K338" i="10"/>
  <c r="K206" i="10"/>
  <c r="K268" i="10"/>
  <c r="K211" i="10"/>
  <c r="K331" i="10"/>
  <c r="K162" i="10"/>
  <c r="K184" i="10"/>
  <c r="K321" i="10"/>
  <c r="K286" i="10"/>
  <c r="K339" i="10"/>
  <c r="K154" i="10"/>
  <c r="K245" i="10"/>
  <c r="K73" i="10"/>
  <c r="K212" i="10"/>
  <c r="K273" i="10"/>
  <c r="K69" i="10"/>
  <c r="K92" i="10"/>
  <c r="K312" i="10"/>
  <c r="K108" i="10"/>
  <c r="K173" i="10"/>
  <c r="K136" i="10"/>
  <c r="K170" i="10"/>
  <c r="K317" i="10"/>
  <c r="K163" i="10"/>
  <c r="K51" i="10"/>
  <c r="K279" i="10"/>
  <c r="K70" i="10"/>
  <c r="K16" i="10"/>
  <c r="K104" i="10"/>
  <c r="K26" i="10"/>
  <c r="K135" i="10"/>
  <c r="K294" i="10"/>
  <c r="K147" i="10"/>
  <c r="K216" i="10"/>
  <c r="K22" i="10"/>
  <c r="K48" i="10"/>
  <c r="K200" i="10"/>
  <c r="K157" i="10"/>
  <c r="K151" i="10"/>
  <c r="K291" i="10"/>
  <c r="K247" i="10"/>
  <c r="K191" i="10"/>
  <c r="K159" i="10"/>
  <c r="K12" i="10"/>
  <c r="K76" i="10"/>
  <c r="K63" i="10"/>
  <c r="K230" i="10"/>
  <c r="K90" i="10"/>
  <c r="K128" i="10"/>
  <c r="K153" i="10"/>
  <c r="K148" i="10"/>
  <c r="K96" i="10"/>
  <c r="K131" i="10"/>
  <c r="K221" i="10"/>
  <c r="K142" i="10"/>
  <c r="K208" i="10"/>
  <c r="K340" i="10"/>
  <c r="K123" i="10"/>
  <c r="K65" i="10"/>
  <c r="K343" i="10"/>
  <c r="K40" i="10"/>
  <c r="K210" i="10"/>
  <c r="K152" i="10"/>
  <c r="K29" i="10"/>
  <c r="K100" i="10"/>
  <c r="K45" i="10"/>
  <c r="K313" i="10"/>
  <c r="K285" i="10"/>
  <c r="K139" i="10"/>
  <c r="K209" i="10"/>
  <c r="K39" i="10"/>
  <c r="K307" i="10"/>
  <c r="K233" i="10"/>
  <c r="K72" i="10"/>
  <c r="K105" i="10"/>
  <c r="K93" i="10"/>
  <c r="K282" i="10"/>
  <c r="K222" i="10"/>
  <c r="K296" i="10"/>
  <c r="K84" i="10"/>
  <c r="K325" i="10"/>
  <c r="K98" i="10"/>
  <c r="K49" i="10"/>
  <c r="K342" i="10"/>
  <c r="K274" i="10"/>
  <c r="K329" i="10"/>
  <c r="K278" i="10"/>
  <c r="K167" i="10"/>
  <c r="K119" i="10"/>
  <c r="K180" i="10"/>
  <c r="K301" i="10"/>
  <c r="K232" i="10"/>
  <c r="K59" i="10"/>
  <c r="K335" i="10"/>
  <c r="K121" i="10"/>
  <c r="K23" i="10"/>
  <c r="K237" i="10"/>
  <c r="K68" i="10"/>
  <c r="K122" i="10"/>
  <c r="K62" i="10"/>
  <c r="K113" i="10"/>
  <c r="K174" i="10"/>
  <c r="K60" i="10"/>
  <c r="K304" i="10"/>
  <c r="K288" i="10"/>
  <c r="C18" i="8"/>
  <c r="K99" i="10"/>
  <c r="K243" i="10"/>
  <c r="K306" i="10"/>
  <c r="K287" i="10"/>
  <c r="K357" i="10"/>
  <c r="K303" i="10"/>
  <c r="K240" i="10"/>
  <c r="K229" i="10"/>
  <c r="K140" i="10"/>
  <c r="K114" i="10"/>
  <c r="K86" i="10"/>
  <c r="K32" i="10"/>
  <c r="K185" i="10"/>
  <c r="K297" i="10"/>
  <c r="K277" i="10"/>
  <c r="K308" i="10"/>
  <c r="K251" i="10"/>
  <c r="K144" i="10"/>
  <c r="K110" i="10"/>
  <c r="K21" i="10"/>
  <c r="K217" i="10"/>
  <c r="K67" i="10"/>
  <c r="K201" i="10"/>
  <c r="K354" i="10"/>
  <c r="U346" i="10"/>
  <c r="V346" i="10" s="1"/>
  <c r="L346" i="10"/>
  <c r="J83" i="6" s="1"/>
  <c r="K83" i="6" s="1"/>
  <c r="K327" i="10"/>
  <c r="K254" i="10"/>
  <c r="K111" i="10"/>
  <c r="K199" i="10"/>
  <c r="K316" i="10"/>
  <c r="G7" i="10"/>
  <c r="F358" i="10"/>
  <c r="K38" i="10"/>
  <c r="K315" i="10"/>
  <c r="K272" i="10"/>
  <c r="K238" i="10"/>
  <c r="K330" i="10"/>
  <c r="K89" i="10"/>
  <c r="K324" i="10"/>
  <c r="K91" i="10"/>
  <c r="K56" i="10"/>
  <c r="K138" i="10"/>
  <c r="K347" i="10"/>
  <c r="K319" i="10"/>
  <c r="K106" i="10"/>
  <c r="K193" i="10"/>
  <c r="K37" i="10"/>
  <c r="K61" i="10"/>
  <c r="K309" i="10"/>
  <c r="K310" i="10"/>
  <c r="K85" i="10"/>
  <c r="K141" i="10"/>
  <c r="K101" i="10"/>
  <c r="K150" i="10"/>
  <c r="K166" i="10"/>
  <c r="K83" i="10"/>
  <c r="K88" i="10"/>
  <c r="K34" i="10"/>
  <c r="K265" i="10"/>
  <c r="K46" i="10"/>
  <c r="K10" i="10"/>
  <c r="K118" i="10"/>
  <c r="K188" i="10"/>
  <c r="K41" i="10"/>
  <c r="K17" i="10"/>
  <c r="K351" i="10"/>
  <c r="K318" i="10"/>
  <c r="K323" i="10"/>
  <c r="K58" i="10"/>
  <c r="K197" i="10"/>
  <c r="K15" i="10"/>
  <c r="K215" i="10"/>
  <c r="K228" i="10"/>
  <c r="K332" i="10"/>
  <c r="K74" i="10"/>
  <c r="K246" i="10"/>
  <c r="K252" i="10"/>
  <c r="K177" i="10"/>
  <c r="K160" i="10"/>
  <c r="K322" i="10"/>
  <c r="K146" i="10"/>
  <c r="K263" i="10"/>
  <c r="K28" i="10"/>
  <c r="K305" i="10"/>
  <c r="K107" i="10"/>
  <c r="K348" i="10"/>
  <c r="K334" i="10"/>
  <c r="K75" i="10"/>
  <c r="K81" i="10"/>
  <c r="K295" i="10"/>
  <c r="K289" i="10"/>
  <c r="K126" i="10"/>
  <c r="K281" i="10"/>
  <c r="K328" i="10"/>
  <c r="K77" i="10"/>
  <c r="K218" i="10"/>
  <c r="K94" i="10"/>
  <c r="K168" i="10"/>
  <c r="K20" i="10"/>
  <c r="K133" i="10"/>
  <c r="K290" i="10"/>
  <c r="K250" i="10"/>
  <c r="K314" i="10"/>
  <c r="K266" i="10"/>
  <c r="K120" i="10"/>
  <c r="K262" i="10"/>
  <c r="K341" i="10"/>
  <c r="K249" i="10"/>
  <c r="K165" i="10"/>
  <c r="K353" i="10"/>
  <c r="K260" i="10"/>
  <c r="K27" i="10"/>
  <c r="K337" i="10"/>
  <c r="K87" i="10"/>
  <c r="K302" i="10"/>
  <c r="K127" i="10"/>
  <c r="K53" i="10"/>
  <c r="K130" i="10"/>
  <c r="K79" i="10"/>
  <c r="K103" i="10"/>
  <c r="K55" i="10"/>
  <c r="K43" i="10"/>
  <c r="K248" i="10"/>
  <c r="K255" i="10"/>
  <c r="K42" i="10"/>
  <c r="K64" i="10"/>
  <c r="K35" i="10"/>
  <c r="K179" i="10"/>
  <c r="K8" i="10"/>
  <c r="K284" i="10"/>
  <c r="K66" i="10"/>
  <c r="K44" i="10"/>
  <c r="K190" i="10"/>
  <c r="K269" i="10"/>
  <c r="K13" i="10"/>
  <c r="K50" i="10"/>
  <c r="K14" i="10"/>
  <c r="K226" i="10"/>
  <c r="K189" i="10"/>
  <c r="K270" i="10"/>
  <c r="K241" i="10"/>
  <c r="K244" i="10"/>
  <c r="K187" i="10"/>
  <c r="K298" i="10"/>
  <c r="K33" i="10"/>
  <c r="K276" i="10"/>
  <c r="K336" i="10"/>
  <c r="K259" i="10"/>
  <c r="K219" i="10"/>
  <c r="K225" i="10"/>
  <c r="K235" i="10"/>
  <c r="K205" i="10"/>
  <c r="K264" i="10"/>
  <c r="K234" i="10"/>
  <c r="K213" i="10"/>
  <c r="K258" i="10"/>
  <c r="K82" i="10"/>
  <c r="K54" i="10"/>
  <c r="K283" i="10"/>
  <c r="K169" i="10"/>
  <c r="W346" i="10" l="1"/>
  <c r="I7" i="10"/>
  <c r="F11" i="22"/>
  <c r="H11" i="22" s="1"/>
  <c r="I182" i="10"/>
  <c r="W182" i="10" s="1"/>
  <c r="F408" i="22"/>
  <c r="H408" i="22" s="1"/>
  <c r="L283" i="10"/>
  <c r="U283" i="10"/>
  <c r="V283" i="10" s="1"/>
  <c r="U259" i="10"/>
  <c r="V259" i="10" s="1"/>
  <c r="L259" i="10"/>
  <c r="AJ259" i="10" s="1"/>
  <c r="AI259" i="10"/>
  <c r="AI283" i="10"/>
  <c r="W283" i="10"/>
  <c r="AI54" i="10"/>
  <c r="W54" i="10"/>
  <c r="AI213" i="10"/>
  <c r="L235" i="10"/>
  <c r="U235" i="10"/>
  <c r="V235" i="10" s="1"/>
  <c r="L244" i="10"/>
  <c r="U244" i="10"/>
  <c r="V244" i="10" s="1"/>
  <c r="U241" i="10"/>
  <c r="V241" i="10" s="1"/>
  <c r="L241" i="10"/>
  <c r="AI14" i="10"/>
  <c r="W14" i="10"/>
  <c r="L66" i="10"/>
  <c r="U66" i="10"/>
  <c r="V66" i="10" s="1"/>
  <c r="U8" i="10"/>
  <c r="V8" i="10" s="1"/>
  <c r="L8" i="10"/>
  <c r="AI179" i="10"/>
  <c r="W179" i="10"/>
  <c r="AI64" i="10"/>
  <c r="W64" i="10"/>
  <c r="AI255" i="10"/>
  <c r="U43" i="10"/>
  <c r="V43" i="10" s="1"/>
  <c r="L43" i="10"/>
  <c r="L103" i="10"/>
  <c r="U103" i="10"/>
  <c r="V103" i="10" s="1"/>
  <c r="L337" i="10"/>
  <c r="U337" i="10"/>
  <c r="V337" i="10" s="1"/>
  <c r="U165" i="10"/>
  <c r="V165" i="10" s="1"/>
  <c r="L165" i="10"/>
  <c r="AJ165" i="10" s="1"/>
  <c r="U120" i="10"/>
  <c r="V120" i="10" s="1"/>
  <c r="L120" i="10"/>
  <c r="L314" i="10"/>
  <c r="AJ314" i="10" s="1"/>
  <c r="U314" i="10"/>
  <c r="V314" i="10" s="1"/>
  <c r="U290" i="10"/>
  <c r="V290" i="10" s="1"/>
  <c r="L290" i="10"/>
  <c r="L94" i="10"/>
  <c r="U94" i="10"/>
  <c r="V94" i="10" s="1"/>
  <c r="L281" i="10"/>
  <c r="U281" i="10"/>
  <c r="V281" i="10" s="1"/>
  <c r="L289" i="10"/>
  <c r="U289" i="10"/>
  <c r="V289" i="10" s="1"/>
  <c r="L305" i="10"/>
  <c r="U305" i="10"/>
  <c r="V305" i="10" s="1"/>
  <c r="L28" i="10"/>
  <c r="U28" i="10"/>
  <c r="V28" i="10" s="1"/>
  <c r="AI160" i="10"/>
  <c r="W160" i="10"/>
  <c r="L15" i="10"/>
  <c r="U15" i="10"/>
  <c r="V15" i="10" s="1"/>
  <c r="W318" i="10"/>
  <c r="AI318" i="10"/>
  <c r="AI351" i="10"/>
  <c r="W351" i="10"/>
  <c r="L83" i="10"/>
  <c r="U83" i="10"/>
  <c r="V83" i="10" s="1"/>
  <c r="L150" i="10"/>
  <c r="U150" i="10"/>
  <c r="V150" i="10" s="1"/>
  <c r="AI85" i="10"/>
  <c r="W85" i="10"/>
  <c r="AI309" i="10"/>
  <c r="W309" i="10"/>
  <c r="L106" i="10"/>
  <c r="U106" i="10"/>
  <c r="V106" i="10" s="1"/>
  <c r="AI347" i="10"/>
  <c r="W347" i="10"/>
  <c r="L89" i="10"/>
  <c r="U89" i="10"/>
  <c r="V89" i="10" s="1"/>
  <c r="L272" i="10"/>
  <c r="U272" i="10"/>
  <c r="V272" i="10" s="1"/>
  <c r="AI316" i="10"/>
  <c r="W316" i="10"/>
  <c r="AI111" i="10"/>
  <c r="W111" i="10"/>
  <c r="U327" i="10"/>
  <c r="V327" i="10" s="1"/>
  <c r="L327" i="10"/>
  <c r="J187" i="6" s="1"/>
  <c r="K187" i="6" s="1"/>
  <c r="AI201" i="10"/>
  <c r="AI21" i="10"/>
  <c r="W21" i="10"/>
  <c r="AI277" i="10"/>
  <c r="W277" i="10"/>
  <c r="L140" i="10"/>
  <c r="U140" i="10"/>
  <c r="V140" i="10" s="1"/>
  <c r="AI229" i="10"/>
  <c r="W229" i="10"/>
  <c r="U303" i="10"/>
  <c r="V303" i="10" s="1"/>
  <c r="L303" i="10"/>
  <c r="L287" i="10"/>
  <c r="AJ287" i="10" s="1"/>
  <c r="U287" i="10"/>
  <c r="V287" i="10" s="1"/>
  <c r="W243" i="10"/>
  <c r="AI243" i="10"/>
  <c r="AI174" i="10"/>
  <c r="L68" i="10"/>
  <c r="U68" i="10"/>
  <c r="V68" i="10" s="1"/>
  <c r="L335" i="10"/>
  <c r="U335" i="10"/>
  <c r="V335" i="10" s="1"/>
  <c r="L119" i="10"/>
  <c r="U119" i="10"/>
  <c r="V119" i="10" s="1"/>
  <c r="W278" i="10"/>
  <c r="AI278" i="10"/>
  <c r="L274" i="10"/>
  <c r="U274" i="10"/>
  <c r="V274" i="10" s="1"/>
  <c r="AI84" i="10"/>
  <c r="AI222" i="10"/>
  <c r="W222" i="10"/>
  <c r="AI105" i="10"/>
  <c r="W105" i="10"/>
  <c r="L39" i="10"/>
  <c r="U39" i="10"/>
  <c r="V39" i="10" s="1"/>
  <c r="AI139" i="10"/>
  <c r="W139" i="10"/>
  <c r="AI29" i="10"/>
  <c r="W29" i="10"/>
  <c r="AI210" i="10"/>
  <c r="W210" i="10"/>
  <c r="U343" i="10"/>
  <c r="V343" i="10" s="1"/>
  <c r="L343" i="10"/>
  <c r="AI340" i="10"/>
  <c r="AI142" i="10"/>
  <c r="W142" i="10"/>
  <c r="L131" i="10"/>
  <c r="U131" i="10"/>
  <c r="V131" i="10" s="1"/>
  <c r="L128" i="10"/>
  <c r="U128" i="10"/>
  <c r="V128" i="10" s="1"/>
  <c r="L22" i="10"/>
  <c r="U22" i="10"/>
  <c r="V22" i="10" s="1"/>
  <c r="L147" i="10"/>
  <c r="U147" i="10"/>
  <c r="V147" i="10" s="1"/>
  <c r="U135" i="10"/>
  <c r="V135" i="10" s="1"/>
  <c r="L135" i="10"/>
  <c r="W16" i="10"/>
  <c r="AI16" i="10"/>
  <c r="AI170" i="10"/>
  <c r="W170" i="10"/>
  <c r="L173" i="10"/>
  <c r="U173" i="10"/>
  <c r="V173" i="10" s="1"/>
  <c r="L108" i="10"/>
  <c r="U108" i="10"/>
  <c r="V108" i="10" s="1"/>
  <c r="L92" i="10"/>
  <c r="AJ92" i="10" s="1"/>
  <c r="U92" i="10"/>
  <c r="V92" i="10" s="1"/>
  <c r="AI273" i="10"/>
  <c r="W273" i="10"/>
  <c r="W154" i="10"/>
  <c r="AI154" i="10"/>
  <c r="L184" i="10"/>
  <c r="U184" i="10"/>
  <c r="V184" i="10" s="1"/>
  <c r="AI338" i="10"/>
  <c r="W338" i="10"/>
  <c r="U198" i="10"/>
  <c r="V198" i="10" s="1"/>
  <c r="L198" i="10"/>
  <c r="U164" i="10"/>
  <c r="V164" i="10" s="1"/>
  <c r="L164" i="10"/>
  <c r="L280" i="10"/>
  <c r="AJ280" i="10" s="1"/>
  <c r="U280" i="10"/>
  <c r="V280" i="10" s="1"/>
  <c r="L117" i="10"/>
  <c r="U117" i="10"/>
  <c r="V117" i="10" s="1"/>
  <c r="U129" i="10"/>
  <c r="V129" i="10" s="1"/>
  <c r="L129" i="10"/>
  <c r="AI256" i="10"/>
  <c r="W256" i="10"/>
  <c r="U320" i="10"/>
  <c r="V320" i="10" s="1"/>
  <c r="L320" i="10"/>
  <c r="AJ320" i="10" s="1"/>
  <c r="AI261" i="10"/>
  <c r="W261" i="10"/>
  <c r="U172" i="10"/>
  <c r="V172" i="10" s="1"/>
  <c r="L172" i="10"/>
  <c r="W145" i="10"/>
  <c r="AI145" i="10"/>
  <c r="L257" i="10"/>
  <c r="U257" i="10"/>
  <c r="V257" i="10" s="1"/>
  <c r="L293" i="10"/>
  <c r="U293" i="10"/>
  <c r="V293" i="10" s="1"/>
  <c r="AI19" i="10"/>
  <c r="W19" i="10"/>
  <c r="AI350" i="10"/>
  <c r="L11" i="10"/>
  <c r="AJ11" i="10" s="1"/>
  <c r="U11" i="10"/>
  <c r="V11" i="10" s="1"/>
  <c r="L95" i="10"/>
  <c r="U95" i="10"/>
  <c r="V95" i="10" s="1"/>
  <c r="U169" i="10"/>
  <c r="V169" i="10" s="1"/>
  <c r="L169" i="10"/>
  <c r="AJ169" i="10" s="1"/>
  <c r="AI336" i="10"/>
  <c r="W298" i="10"/>
  <c r="AI298" i="10"/>
  <c r="AI270" i="10"/>
  <c r="W270" i="10"/>
  <c r="AI13" i="10"/>
  <c r="W13" i="10"/>
  <c r="L179" i="10"/>
  <c r="U179" i="10"/>
  <c r="V179" i="10" s="1"/>
  <c r="L64" i="10"/>
  <c r="U64" i="10"/>
  <c r="V64" i="10" s="1"/>
  <c r="L255" i="10"/>
  <c r="AJ255" i="10" s="1"/>
  <c r="U255" i="10"/>
  <c r="V255" i="10" s="1"/>
  <c r="AI43" i="10"/>
  <c r="W43" i="10"/>
  <c r="U127" i="10"/>
  <c r="V127" i="10" s="1"/>
  <c r="L127" i="10"/>
  <c r="AJ127" i="10" s="1"/>
  <c r="AI20" i="10"/>
  <c r="W20" i="10"/>
  <c r="W77" i="10"/>
  <c r="AI77" i="10"/>
  <c r="AI75" i="10"/>
  <c r="W75" i="10"/>
  <c r="L263" i="10"/>
  <c r="U263" i="10"/>
  <c r="V263" i="10" s="1"/>
  <c r="L160" i="10"/>
  <c r="U160" i="10"/>
  <c r="V160" i="10" s="1"/>
  <c r="AI252" i="10"/>
  <c r="W252" i="10"/>
  <c r="W74" i="10"/>
  <c r="AI74" i="10"/>
  <c r="L318" i="10"/>
  <c r="J263" i="6" s="1"/>
  <c r="K263" i="6" s="1"/>
  <c r="U318" i="10"/>
  <c r="V318" i="10" s="1"/>
  <c r="L188" i="10"/>
  <c r="U188" i="10"/>
  <c r="V188" i="10" s="1"/>
  <c r="L10" i="10"/>
  <c r="U10" i="10"/>
  <c r="V10" i="10" s="1"/>
  <c r="L46" i="10"/>
  <c r="U46" i="10"/>
  <c r="V46" i="10" s="1"/>
  <c r="W34" i="10"/>
  <c r="AI34" i="10"/>
  <c r="AI83" i="10"/>
  <c r="W83" i="10"/>
  <c r="AI150" i="10"/>
  <c r="W150" i="10"/>
  <c r="L141" i="10"/>
  <c r="U141" i="10"/>
  <c r="V141" i="10" s="1"/>
  <c r="L310" i="10"/>
  <c r="U310" i="10"/>
  <c r="V310" i="10" s="1"/>
  <c r="L309" i="10"/>
  <c r="U309" i="10"/>
  <c r="V309" i="10" s="1"/>
  <c r="AI37" i="10"/>
  <c r="W37" i="10"/>
  <c r="L347" i="10"/>
  <c r="U347" i="10"/>
  <c r="V347" i="10" s="1"/>
  <c r="AI91" i="10"/>
  <c r="AI238" i="10"/>
  <c r="W238" i="10"/>
  <c r="U254" i="10"/>
  <c r="V254" i="10" s="1"/>
  <c r="L254" i="10"/>
  <c r="AJ346" i="10"/>
  <c r="M347" i="13"/>
  <c r="E231" i="15" s="1"/>
  <c r="AA346" i="10"/>
  <c r="R346" i="10"/>
  <c r="S346" i="10" s="1"/>
  <c r="T346" i="10" s="1"/>
  <c r="L67" i="10"/>
  <c r="AJ67" i="10" s="1"/>
  <c r="U67" i="10"/>
  <c r="V67" i="10" s="1"/>
  <c r="L21" i="10"/>
  <c r="U21" i="10"/>
  <c r="V21" i="10" s="1"/>
  <c r="AI110" i="10"/>
  <c r="W60" i="10"/>
  <c r="AI60" i="10"/>
  <c r="AI62" i="10"/>
  <c r="W62" i="10"/>
  <c r="AI59" i="10"/>
  <c r="W59" i="10"/>
  <c r="L329" i="10"/>
  <c r="J369" i="6" s="1"/>
  <c r="K369" i="6" s="1"/>
  <c r="U329" i="10"/>
  <c r="V329" i="10" s="1"/>
  <c r="W49" i="10"/>
  <c r="AI49" i="10"/>
  <c r="W325" i="10"/>
  <c r="AI325" i="10"/>
  <c r="L84" i="10"/>
  <c r="U84" i="10"/>
  <c r="V84" i="10" s="1"/>
  <c r="L93" i="10"/>
  <c r="AJ93" i="10" s="1"/>
  <c r="U93" i="10"/>
  <c r="V93" i="10" s="1"/>
  <c r="AI72" i="10"/>
  <c r="W72" i="10"/>
  <c r="AI39" i="10"/>
  <c r="W39" i="10"/>
  <c r="L139" i="10"/>
  <c r="U139" i="10"/>
  <c r="V139" i="10" s="1"/>
  <c r="U29" i="10"/>
  <c r="V29" i="10" s="1"/>
  <c r="L29" i="10"/>
  <c r="L210" i="10"/>
  <c r="U210" i="10"/>
  <c r="V210" i="10" s="1"/>
  <c r="L123" i="10"/>
  <c r="AJ123" i="10" s="1"/>
  <c r="U123" i="10"/>
  <c r="V123" i="10" s="1"/>
  <c r="L142" i="10"/>
  <c r="U142" i="10"/>
  <c r="V142" i="10" s="1"/>
  <c r="AI159" i="10"/>
  <c r="W159" i="10"/>
  <c r="W151" i="10"/>
  <c r="AI151" i="10"/>
  <c r="L104" i="10"/>
  <c r="U104" i="10"/>
  <c r="V104" i="10" s="1"/>
  <c r="L70" i="10"/>
  <c r="AJ70" i="10" s="1"/>
  <c r="U70" i="10"/>
  <c r="V70" i="10" s="1"/>
  <c r="W279" i="10"/>
  <c r="AI279" i="10"/>
  <c r="AI163" i="10"/>
  <c r="AI173" i="10"/>
  <c r="W173" i="10"/>
  <c r="AI286" i="10"/>
  <c r="W286" i="10"/>
  <c r="L331" i="10"/>
  <c r="U331" i="10"/>
  <c r="V331" i="10" s="1"/>
  <c r="U338" i="10"/>
  <c r="V338" i="10" s="1"/>
  <c r="L338" i="10"/>
  <c r="W271" i="10"/>
  <c r="AI271" i="10"/>
  <c r="W80" i="10"/>
  <c r="AI80" i="10"/>
  <c r="W198" i="10"/>
  <c r="AI198" i="10"/>
  <c r="AI214" i="10"/>
  <c r="W214" i="10"/>
  <c r="AI204" i="10"/>
  <c r="W204" i="10"/>
  <c r="AI194" i="10"/>
  <c r="W194" i="10"/>
  <c r="L149" i="10"/>
  <c r="U149" i="10"/>
  <c r="V149" i="10" s="1"/>
  <c r="L256" i="10"/>
  <c r="U256" i="10"/>
  <c r="V256" i="10" s="1"/>
  <c r="AI239" i="10"/>
  <c r="W239" i="10"/>
  <c r="AI161" i="10"/>
  <c r="W161" i="10"/>
  <c r="AI220" i="10"/>
  <c r="W220" i="10"/>
  <c r="AI115" i="10"/>
  <c r="L261" i="10"/>
  <c r="U261" i="10"/>
  <c r="V261" i="10" s="1"/>
  <c r="L156" i="10"/>
  <c r="AJ156" i="10" s="1"/>
  <c r="U156" i="10"/>
  <c r="V156" i="10" s="1"/>
  <c r="L224" i="10"/>
  <c r="U224" i="10"/>
  <c r="V224" i="10" s="1"/>
  <c r="AI36" i="10"/>
  <c r="W36" i="10"/>
  <c r="L350" i="10"/>
  <c r="J339" i="6" s="1"/>
  <c r="K339" i="6" s="1"/>
  <c r="U350" i="10"/>
  <c r="V350" i="10" s="1"/>
  <c r="AI57" i="10"/>
  <c r="L234" i="10"/>
  <c r="U234" i="10"/>
  <c r="V234" i="10" s="1"/>
  <c r="AI219" i="10"/>
  <c r="W219" i="10"/>
  <c r="L276" i="10"/>
  <c r="U276" i="10"/>
  <c r="V276" i="10" s="1"/>
  <c r="L187" i="10"/>
  <c r="U187" i="10"/>
  <c r="V187" i="10" s="1"/>
  <c r="L270" i="10"/>
  <c r="U270" i="10"/>
  <c r="V270" i="10" s="1"/>
  <c r="AI226" i="10"/>
  <c r="W226" i="10"/>
  <c r="L50" i="10"/>
  <c r="U50" i="10"/>
  <c r="V50" i="10" s="1"/>
  <c r="AI269" i="10"/>
  <c r="W269" i="10"/>
  <c r="W190" i="10"/>
  <c r="AI190" i="10"/>
  <c r="AI8" i="10"/>
  <c r="W8" i="10"/>
  <c r="L35" i="10"/>
  <c r="U35" i="10"/>
  <c r="V35" i="10" s="1"/>
  <c r="W87" i="10"/>
  <c r="AI87" i="10"/>
  <c r="W260" i="10"/>
  <c r="AI260" i="10"/>
  <c r="AI165" i="10"/>
  <c r="W165" i="10"/>
  <c r="AI314" i="10"/>
  <c r="W314" i="10"/>
  <c r="L77" i="10"/>
  <c r="U77" i="10"/>
  <c r="V77" i="10" s="1"/>
  <c r="L334" i="10"/>
  <c r="U334" i="10"/>
  <c r="V334" i="10" s="1"/>
  <c r="AI348" i="10"/>
  <c r="W348" i="10"/>
  <c r="L74" i="10"/>
  <c r="U74" i="10"/>
  <c r="V74" i="10" s="1"/>
  <c r="W58" i="10"/>
  <c r="AI58" i="10"/>
  <c r="AI10" i="10"/>
  <c r="W10" i="10"/>
  <c r="W46" i="10"/>
  <c r="AI46" i="10"/>
  <c r="L34" i="10"/>
  <c r="U34" i="10"/>
  <c r="V34" i="10" s="1"/>
  <c r="AI310" i="10"/>
  <c r="W310" i="10"/>
  <c r="AI61" i="10"/>
  <c r="L37" i="10"/>
  <c r="U37" i="10"/>
  <c r="V37" i="10" s="1"/>
  <c r="L91" i="10"/>
  <c r="U91" i="10"/>
  <c r="V91" i="10" s="1"/>
  <c r="L238" i="10"/>
  <c r="U238" i="10"/>
  <c r="V238" i="10" s="1"/>
  <c r="L315" i="10"/>
  <c r="U315" i="10"/>
  <c r="V315" i="10" s="1"/>
  <c r="W38" i="10"/>
  <c r="AI38" i="10"/>
  <c r="AI199" i="10"/>
  <c r="AI251" i="10"/>
  <c r="W251" i="10"/>
  <c r="U297" i="10"/>
  <c r="V297" i="10" s="1"/>
  <c r="L297" i="10"/>
  <c r="W185" i="10"/>
  <c r="AI185" i="10"/>
  <c r="AI86" i="10"/>
  <c r="W86" i="10"/>
  <c r="U240" i="10"/>
  <c r="V240" i="10" s="1"/>
  <c r="L240" i="10"/>
  <c r="AI287" i="10"/>
  <c r="W287" i="10"/>
  <c r="U60" i="10"/>
  <c r="V60" i="10" s="1"/>
  <c r="L60" i="10"/>
  <c r="L113" i="10"/>
  <c r="U113" i="10"/>
  <c r="V113" i="10" s="1"/>
  <c r="AI23" i="10"/>
  <c r="W23" i="10"/>
  <c r="L232" i="10"/>
  <c r="U232" i="10"/>
  <c r="V232" i="10" s="1"/>
  <c r="L167" i="10"/>
  <c r="AJ167" i="10" s="1"/>
  <c r="U167" i="10"/>
  <c r="V167" i="10" s="1"/>
  <c r="AI329" i="10"/>
  <c r="W329" i="10"/>
  <c r="AI342" i="10"/>
  <c r="W342" i="10"/>
  <c r="L98" i="10"/>
  <c r="U98" i="10"/>
  <c r="V98" i="10" s="1"/>
  <c r="L325" i="10"/>
  <c r="U325" i="10"/>
  <c r="V325" i="10" s="1"/>
  <c r="AI313" i="10"/>
  <c r="W313" i="10"/>
  <c r="AI100" i="10"/>
  <c r="W100" i="10"/>
  <c r="AI152" i="10"/>
  <c r="W152" i="10"/>
  <c r="AI123" i="10"/>
  <c r="W123" i="10"/>
  <c r="L96" i="10"/>
  <c r="U96" i="10"/>
  <c r="V96" i="10" s="1"/>
  <c r="AI230" i="10"/>
  <c r="AI76" i="10"/>
  <c r="W76" i="10"/>
  <c r="AI247" i="10"/>
  <c r="W247" i="10"/>
  <c r="L151" i="10"/>
  <c r="U151" i="10"/>
  <c r="V151" i="10" s="1"/>
  <c r="AI200" i="10"/>
  <c r="W200" i="10"/>
  <c r="AI70" i="10"/>
  <c r="W70" i="10"/>
  <c r="AI51" i="10"/>
  <c r="W51" i="10"/>
  <c r="L312" i="10"/>
  <c r="U312" i="10"/>
  <c r="V312" i="10" s="1"/>
  <c r="AI69" i="10"/>
  <c r="W69" i="10"/>
  <c r="L286" i="10"/>
  <c r="U286" i="10"/>
  <c r="V286" i="10" s="1"/>
  <c r="AI331" i="10"/>
  <c r="W331" i="10"/>
  <c r="AI268" i="10"/>
  <c r="W268" i="10"/>
  <c r="U175" i="10"/>
  <c r="V175" i="10" s="1"/>
  <c r="L175" i="10"/>
  <c r="AI345" i="10"/>
  <c r="W345" i="10"/>
  <c r="L271" i="10"/>
  <c r="U271" i="10"/>
  <c r="V271" i="10" s="1"/>
  <c r="L52" i="10"/>
  <c r="U52" i="10"/>
  <c r="V52" i="10" s="1"/>
  <c r="AI178" i="10"/>
  <c r="AI344" i="10"/>
  <c r="W344" i="10"/>
  <c r="AI280" i="10"/>
  <c r="W280" i="10"/>
  <c r="L194" i="10"/>
  <c r="U194" i="10"/>
  <c r="V194" i="10" s="1"/>
  <c r="AI171" i="10"/>
  <c r="W171" i="10"/>
  <c r="AI155" i="10"/>
  <c r="W155" i="10"/>
  <c r="L30" i="10"/>
  <c r="U30" i="10"/>
  <c r="V30" i="10" s="1"/>
  <c r="AI320" i="10"/>
  <c r="L231" i="10"/>
  <c r="U231" i="10"/>
  <c r="V231" i="10" s="1"/>
  <c r="AI356" i="10"/>
  <c r="W356" i="10"/>
  <c r="W236" i="10"/>
  <c r="AI236" i="10"/>
  <c r="AI71" i="10"/>
  <c r="L9" i="10"/>
  <c r="U9" i="10"/>
  <c r="V9" i="10" s="1"/>
  <c r="L227" i="10"/>
  <c r="U227" i="10"/>
  <c r="V227" i="10" s="1"/>
  <c r="AI78" i="10"/>
  <c r="W78" i="10"/>
  <c r="AI124" i="10"/>
  <c r="W124" i="10"/>
  <c r="AI202" i="10"/>
  <c r="AI186" i="10"/>
  <c r="W186" i="10"/>
  <c r="W223" i="10"/>
  <c r="AI223" i="10"/>
  <c r="AI292" i="10"/>
  <c r="W292" i="10"/>
  <c r="AI11" i="10"/>
  <c r="W11" i="10"/>
  <c r="U299" i="10"/>
  <c r="V299" i="10" s="1"/>
  <c r="L299" i="10"/>
  <c r="U54" i="10"/>
  <c r="V54" i="10" s="1"/>
  <c r="L54" i="10"/>
  <c r="AI234" i="10"/>
  <c r="W234" i="10"/>
  <c r="W264" i="10"/>
  <c r="AI264" i="10"/>
  <c r="AI169" i="10"/>
  <c r="W169" i="10"/>
  <c r="AI258" i="10"/>
  <c r="L219" i="10"/>
  <c r="U219" i="10"/>
  <c r="V219" i="10" s="1"/>
  <c r="W276" i="10"/>
  <c r="AI276" i="10"/>
  <c r="AI33" i="10"/>
  <c r="W33" i="10"/>
  <c r="L269" i="10"/>
  <c r="U269" i="10"/>
  <c r="V269" i="10" s="1"/>
  <c r="W44" i="10"/>
  <c r="AI44" i="10"/>
  <c r="L248" i="10"/>
  <c r="U248" i="10"/>
  <c r="V248" i="10" s="1"/>
  <c r="AI55" i="10"/>
  <c r="AI130" i="10"/>
  <c r="W130" i="10"/>
  <c r="AI127" i="10"/>
  <c r="W127" i="10"/>
  <c r="L87" i="10"/>
  <c r="U87" i="10"/>
  <c r="V87" i="10" s="1"/>
  <c r="AI27" i="10"/>
  <c r="W27" i="10"/>
  <c r="L260" i="10"/>
  <c r="U260" i="10"/>
  <c r="V260" i="10" s="1"/>
  <c r="U249" i="10"/>
  <c r="V249" i="10" s="1"/>
  <c r="L249" i="10"/>
  <c r="AI341" i="10"/>
  <c r="W341" i="10"/>
  <c r="AI120" i="10"/>
  <c r="W120" i="10"/>
  <c r="AI290" i="10"/>
  <c r="W290" i="10"/>
  <c r="L168" i="10"/>
  <c r="U168" i="10"/>
  <c r="V168" i="10" s="1"/>
  <c r="AI94" i="10"/>
  <c r="W94" i="10"/>
  <c r="AI281" i="10"/>
  <c r="W281" i="10"/>
  <c r="AI289" i="10"/>
  <c r="L322" i="10"/>
  <c r="J388" i="6" s="1"/>
  <c r="K388" i="6" s="1"/>
  <c r="U322" i="10"/>
  <c r="V322" i="10" s="1"/>
  <c r="U177" i="10"/>
  <c r="V177" i="10" s="1"/>
  <c r="L177" i="10"/>
  <c r="AI246" i="10"/>
  <c r="W246" i="10"/>
  <c r="L332" i="10"/>
  <c r="J329" i="6" s="1"/>
  <c r="K329" i="6" s="1"/>
  <c r="U332" i="10"/>
  <c r="V332" i="10" s="1"/>
  <c r="AI228" i="10"/>
  <c r="W228" i="10"/>
  <c r="AI15" i="10"/>
  <c r="W15" i="10"/>
  <c r="U58" i="10"/>
  <c r="V58" i="10" s="1"/>
  <c r="L58" i="10"/>
  <c r="L265" i="10"/>
  <c r="U265" i="10"/>
  <c r="V265" i="10" s="1"/>
  <c r="L61" i="10"/>
  <c r="U61" i="10"/>
  <c r="V61" i="10" s="1"/>
  <c r="L193" i="10"/>
  <c r="U193" i="10"/>
  <c r="V193" i="10" s="1"/>
  <c r="AI106" i="10"/>
  <c r="W106" i="10"/>
  <c r="AI56" i="10"/>
  <c r="W56" i="10"/>
  <c r="L324" i="10"/>
  <c r="U324" i="10"/>
  <c r="V324" i="10" s="1"/>
  <c r="AI89" i="10"/>
  <c r="W89" i="10"/>
  <c r="L199" i="10"/>
  <c r="U199" i="10"/>
  <c r="V199" i="10" s="1"/>
  <c r="AI67" i="10"/>
  <c r="W67" i="10"/>
  <c r="AI144" i="10"/>
  <c r="W144" i="10"/>
  <c r="L251" i="10"/>
  <c r="U251" i="10"/>
  <c r="V251" i="10" s="1"/>
  <c r="AI297" i="10"/>
  <c r="W297" i="10"/>
  <c r="L32" i="10"/>
  <c r="AJ32" i="10" s="1"/>
  <c r="U32" i="10"/>
  <c r="V32" i="10" s="1"/>
  <c r="L114" i="10"/>
  <c r="U114" i="10"/>
  <c r="V114" i="10" s="1"/>
  <c r="W140" i="10"/>
  <c r="AI140" i="10"/>
  <c r="L357" i="10"/>
  <c r="U357" i="10"/>
  <c r="V357" i="10" s="1"/>
  <c r="L306" i="10"/>
  <c r="U306" i="10"/>
  <c r="V306" i="10" s="1"/>
  <c r="AI288" i="10"/>
  <c r="W288" i="10"/>
  <c r="L121" i="10"/>
  <c r="U121" i="10"/>
  <c r="V121" i="10" s="1"/>
  <c r="L180" i="10"/>
  <c r="U180" i="10"/>
  <c r="V180" i="10" s="1"/>
  <c r="L342" i="10"/>
  <c r="J462" i="6" s="1"/>
  <c r="K462" i="6" s="1"/>
  <c r="U342" i="10"/>
  <c r="V342" i="10" s="1"/>
  <c r="L296" i="10"/>
  <c r="U296" i="10"/>
  <c r="V296" i="10" s="1"/>
  <c r="W93" i="10"/>
  <c r="AI93" i="10"/>
  <c r="W307" i="10"/>
  <c r="AI307" i="10"/>
  <c r="L313" i="10"/>
  <c r="U313" i="10"/>
  <c r="V313" i="10" s="1"/>
  <c r="L100" i="10"/>
  <c r="U100" i="10"/>
  <c r="V100" i="10" s="1"/>
  <c r="L152" i="10"/>
  <c r="U152" i="10"/>
  <c r="V152" i="10" s="1"/>
  <c r="L40" i="10"/>
  <c r="U40" i="10"/>
  <c r="V40" i="10" s="1"/>
  <c r="AI153" i="10"/>
  <c r="W153" i="10"/>
  <c r="L63" i="10"/>
  <c r="U63" i="10"/>
  <c r="V63" i="10" s="1"/>
  <c r="U12" i="10"/>
  <c r="V12" i="10" s="1"/>
  <c r="L12" i="10"/>
  <c r="W191" i="10"/>
  <c r="AI191" i="10"/>
  <c r="AI22" i="10"/>
  <c r="W22" i="10"/>
  <c r="AI147" i="10"/>
  <c r="W147" i="10"/>
  <c r="L51" i="10"/>
  <c r="U51" i="10"/>
  <c r="V51" i="10" s="1"/>
  <c r="L136" i="10"/>
  <c r="U136" i="10"/>
  <c r="V136" i="10" s="1"/>
  <c r="L69" i="10"/>
  <c r="U69" i="10"/>
  <c r="V69" i="10" s="1"/>
  <c r="L212" i="10"/>
  <c r="U212" i="10"/>
  <c r="V212" i="10" s="1"/>
  <c r="AI73" i="10"/>
  <c r="AI184" i="10"/>
  <c r="W184" i="10"/>
  <c r="L268" i="10"/>
  <c r="U268" i="10"/>
  <c r="V268" i="10" s="1"/>
  <c r="U352" i="10"/>
  <c r="V352" i="10" s="1"/>
  <c r="L352" i="10"/>
  <c r="J340" i="6" s="1"/>
  <c r="K340" i="6" s="1"/>
  <c r="L80" i="10"/>
  <c r="U80" i="10"/>
  <c r="V80" i="10" s="1"/>
  <c r="AI52" i="10"/>
  <c r="L178" i="10"/>
  <c r="U178" i="10"/>
  <c r="V178" i="10" s="1"/>
  <c r="U31" i="10"/>
  <c r="V31" i="10" s="1"/>
  <c r="L31" i="10"/>
  <c r="L18" i="10"/>
  <c r="U18" i="10"/>
  <c r="V18" i="10" s="1"/>
  <c r="L253" i="10"/>
  <c r="U253" i="10"/>
  <c r="V253" i="10" s="1"/>
  <c r="L97" i="10"/>
  <c r="U97" i="10"/>
  <c r="V97" i="10" s="1"/>
  <c r="AI30" i="10"/>
  <c r="W30" i="10"/>
  <c r="L239" i="10"/>
  <c r="U239" i="10"/>
  <c r="V239" i="10" s="1"/>
  <c r="L182" i="10"/>
  <c r="AJ182" i="10" s="1"/>
  <c r="U182" i="10"/>
  <c r="V182" i="10" s="1"/>
  <c r="AI267" i="10"/>
  <c r="W267" i="10"/>
  <c r="L333" i="10"/>
  <c r="J82" i="6" s="1"/>
  <c r="K82" i="6" s="1"/>
  <c r="U333" i="10"/>
  <c r="V333" i="10" s="1"/>
  <c r="L143" i="10"/>
  <c r="AJ143" i="10" s="1"/>
  <c r="U143" i="10"/>
  <c r="V143" i="10" s="1"/>
  <c r="L158" i="10"/>
  <c r="AJ158" i="10" s="1"/>
  <c r="U158" i="10"/>
  <c r="V158" i="10" s="1"/>
  <c r="AI9" i="10"/>
  <c r="W9" i="10"/>
  <c r="U203" i="10"/>
  <c r="V203" i="10" s="1"/>
  <c r="L203" i="10"/>
  <c r="AJ203" i="10" s="1"/>
  <c r="L181" i="10"/>
  <c r="U181" i="10"/>
  <c r="V181" i="10" s="1"/>
  <c r="W156" i="10"/>
  <c r="AI156" i="10"/>
  <c r="AI257" i="10"/>
  <c r="W257" i="10"/>
  <c r="AI293" i="10"/>
  <c r="W293" i="10"/>
  <c r="L311" i="10"/>
  <c r="U311" i="10"/>
  <c r="V311" i="10" s="1"/>
  <c r="L192" i="10"/>
  <c r="U192" i="10"/>
  <c r="V192" i="10" s="1"/>
  <c r="U326" i="10"/>
  <c r="V326" i="10" s="1"/>
  <c r="L326" i="10"/>
  <c r="W300" i="10"/>
  <c r="AI300" i="10"/>
  <c r="L223" i="10"/>
  <c r="U223" i="10"/>
  <c r="V223" i="10" s="1"/>
  <c r="L125" i="10"/>
  <c r="U125" i="10"/>
  <c r="V125" i="10" s="1"/>
  <c r="L355" i="10"/>
  <c r="U355" i="10"/>
  <c r="V355" i="10" s="1"/>
  <c r="L47" i="10"/>
  <c r="U47" i="10"/>
  <c r="V47" i="10" s="1"/>
  <c r="L44" i="10"/>
  <c r="U44" i="10"/>
  <c r="V44" i="10" s="1"/>
  <c r="AI66" i="10"/>
  <c r="W66" i="10"/>
  <c r="L42" i="10"/>
  <c r="U42" i="10"/>
  <c r="V42" i="10" s="1"/>
  <c r="L27" i="10"/>
  <c r="U27" i="10"/>
  <c r="V27" i="10" s="1"/>
  <c r="W353" i="10"/>
  <c r="AI353" i="10"/>
  <c r="AI262" i="10"/>
  <c r="W262" i="10"/>
  <c r="U266" i="10"/>
  <c r="V266" i="10" s="1"/>
  <c r="L266" i="10"/>
  <c r="U133" i="10"/>
  <c r="V133" i="10" s="1"/>
  <c r="L133" i="10"/>
  <c r="AJ133" i="10" s="1"/>
  <c r="L218" i="10"/>
  <c r="U218" i="10"/>
  <c r="V218" i="10" s="1"/>
  <c r="L126" i="10"/>
  <c r="U126" i="10"/>
  <c r="V126" i="10" s="1"/>
  <c r="AI295" i="10"/>
  <c r="W295" i="10"/>
  <c r="AI81" i="10"/>
  <c r="AI305" i="10"/>
  <c r="W305" i="10"/>
  <c r="L246" i="10"/>
  <c r="U246" i="10"/>
  <c r="V246" i="10" s="1"/>
  <c r="AI197" i="10"/>
  <c r="W197" i="10"/>
  <c r="AI17" i="10"/>
  <c r="W17" i="10"/>
  <c r="AI188" i="10"/>
  <c r="W188" i="10"/>
  <c r="AI265" i="10"/>
  <c r="W265" i="10"/>
  <c r="L166" i="10"/>
  <c r="U166" i="10"/>
  <c r="V166" i="10" s="1"/>
  <c r="AI141" i="10"/>
  <c r="W141" i="10"/>
  <c r="AI193" i="10"/>
  <c r="W193" i="10"/>
  <c r="L319" i="10"/>
  <c r="U319" i="10"/>
  <c r="V319" i="10" s="1"/>
  <c r="L56" i="10"/>
  <c r="U56" i="10"/>
  <c r="V56" i="10" s="1"/>
  <c r="L330" i="10"/>
  <c r="J178" i="6" s="1"/>
  <c r="K178" i="6" s="1"/>
  <c r="U330" i="10"/>
  <c r="V330" i="10" s="1"/>
  <c r="F10" i="22"/>
  <c r="G358" i="10"/>
  <c r="K7" i="10"/>
  <c r="C23" i="8" s="1"/>
  <c r="AI254" i="10"/>
  <c r="W254" i="10"/>
  <c r="L354" i="10"/>
  <c r="U354" i="10"/>
  <c r="V354" i="10" s="1"/>
  <c r="L308" i="10"/>
  <c r="AJ308" i="10" s="1"/>
  <c r="U308" i="10"/>
  <c r="V308" i="10" s="1"/>
  <c r="AI99" i="10"/>
  <c r="W99" i="10"/>
  <c r="L304" i="10"/>
  <c r="U304" i="10"/>
  <c r="V304" i="10" s="1"/>
  <c r="AI237" i="10"/>
  <c r="W237" i="10"/>
  <c r="AI335" i="10"/>
  <c r="W335" i="10"/>
  <c r="AI167" i="10"/>
  <c r="W167" i="10"/>
  <c r="W282" i="10"/>
  <c r="AI282" i="10"/>
  <c r="L105" i="10"/>
  <c r="U105" i="10"/>
  <c r="V105" i="10" s="1"/>
  <c r="U72" i="10"/>
  <c r="V72" i="10" s="1"/>
  <c r="L72" i="10"/>
  <c r="L307" i="10"/>
  <c r="U307" i="10"/>
  <c r="V307" i="10" s="1"/>
  <c r="AI209" i="10"/>
  <c r="AI343" i="10"/>
  <c r="W343" i="10"/>
  <c r="U340" i="10"/>
  <c r="V340" i="10" s="1"/>
  <c r="L340" i="10"/>
  <c r="W208" i="10"/>
  <c r="AI208" i="10"/>
  <c r="AI221" i="10"/>
  <c r="W221" i="10"/>
  <c r="L153" i="10"/>
  <c r="U153" i="10"/>
  <c r="V153" i="10" s="1"/>
  <c r="AI90" i="10"/>
  <c r="W90" i="10"/>
  <c r="L191" i="10"/>
  <c r="U191" i="10"/>
  <c r="V191" i="10" s="1"/>
  <c r="U157" i="10"/>
  <c r="V157" i="10" s="1"/>
  <c r="L157" i="10"/>
  <c r="AJ157" i="10" s="1"/>
  <c r="L216" i="10"/>
  <c r="AJ216" i="10" s="1"/>
  <c r="U216" i="10"/>
  <c r="V216" i="10" s="1"/>
  <c r="L294" i="10"/>
  <c r="U294" i="10"/>
  <c r="V294" i="10" s="1"/>
  <c r="W135" i="10"/>
  <c r="AI135" i="10"/>
  <c r="W104" i="10"/>
  <c r="AI104" i="10"/>
  <c r="L279" i="10"/>
  <c r="U279" i="10"/>
  <c r="V279" i="10" s="1"/>
  <c r="L245" i="10"/>
  <c r="AJ245" i="10" s="1"/>
  <c r="U245" i="10"/>
  <c r="V245" i="10" s="1"/>
  <c r="L339" i="10"/>
  <c r="J27" i="6" s="1"/>
  <c r="K27" i="6" s="1"/>
  <c r="U339" i="10"/>
  <c r="V339" i="10" s="1"/>
  <c r="L162" i="10"/>
  <c r="U162" i="10"/>
  <c r="V162" i="10" s="1"/>
  <c r="L211" i="10"/>
  <c r="U211" i="10"/>
  <c r="V211" i="10" s="1"/>
  <c r="L206" i="10"/>
  <c r="AJ206" i="10" s="1"/>
  <c r="U206" i="10"/>
  <c r="V206" i="10" s="1"/>
  <c r="L214" i="10"/>
  <c r="U214" i="10"/>
  <c r="V214" i="10" s="1"/>
  <c r="AI109" i="10"/>
  <c r="W109" i="10"/>
  <c r="AI149" i="10"/>
  <c r="W149" i="10"/>
  <c r="W129" i="10"/>
  <c r="AI129" i="10"/>
  <c r="L267" i="10"/>
  <c r="U267" i="10"/>
  <c r="V267" i="10" s="1"/>
  <c r="AI158" i="10"/>
  <c r="W158" i="10"/>
  <c r="AI227" i="10"/>
  <c r="AI172" i="10"/>
  <c r="L196" i="10"/>
  <c r="U196" i="10"/>
  <c r="V196" i="10" s="1"/>
  <c r="L176" i="10"/>
  <c r="U176" i="10"/>
  <c r="V176" i="10" s="1"/>
  <c r="AI137" i="10"/>
  <c r="W195" i="10"/>
  <c r="AI195" i="10"/>
  <c r="W25" i="10"/>
  <c r="AI25" i="10"/>
  <c r="L112" i="10"/>
  <c r="U112" i="10"/>
  <c r="V112" i="10" s="1"/>
  <c r="W116" i="10"/>
  <c r="AI116" i="10"/>
  <c r="AI355" i="10"/>
  <c r="W355" i="10"/>
  <c r="AI82" i="10"/>
  <c r="W82" i="10"/>
  <c r="L205" i="10"/>
  <c r="U205" i="10"/>
  <c r="V205" i="10" s="1"/>
  <c r="L225" i="10"/>
  <c r="U225" i="10"/>
  <c r="V225" i="10" s="1"/>
  <c r="L298" i="10"/>
  <c r="U298" i="10"/>
  <c r="V298" i="10" s="1"/>
  <c r="AI187" i="10"/>
  <c r="W187" i="10"/>
  <c r="U226" i="10"/>
  <c r="V226" i="10" s="1"/>
  <c r="L226" i="10"/>
  <c r="AI50" i="10"/>
  <c r="W50" i="10"/>
  <c r="L284" i="10"/>
  <c r="AJ284" i="10" s="1"/>
  <c r="U284" i="10"/>
  <c r="V284" i="10" s="1"/>
  <c r="L55" i="10"/>
  <c r="AJ55" i="10" s="1"/>
  <c r="U55" i="10"/>
  <c r="V55" i="10" s="1"/>
  <c r="AI79" i="10"/>
  <c r="W79" i="10"/>
  <c r="AI53" i="10"/>
  <c r="W53" i="10"/>
  <c r="L353" i="10"/>
  <c r="J341" i="6" s="1"/>
  <c r="K341" i="6" s="1"/>
  <c r="U353" i="10"/>
  <c r="V353" i="10" s="1"/>
  <c r="W249" i="10"/>
  <c r="AI249" i="10"/>
  <c r="AI250" i="10"/>
  <c r="W250" i="10"/>
  <c r="AI218" i="10"/>
  <c r="W218" i="10"/>
  <c r="L328" i="10"/>
  <c r="U328" i="10"/>
  <c r="V328" i="10" s="1"/>
  <c r="U295" i="10"/>
  <c r="V295" i="10" s="1"/>
  <c r="L295" i="10"/>
  <c r="L81" i="10"/>
  <c r="U81" i="10"/>
  <c r="V81" i="10" s="1"/>
  <c r="AI263" i="10"/>
  <c r="W263" i="10"/>
  <c r="W177" i="10"/>
  <c r="AI177" i="10"/>
  <c r="AI215" i="10"/>
  <c r="W215" i="10"/>
  <c r="U197" i="10"/>
  <c r="V197" i="10" s="1"/>
  <c r="L197" i="10"/>
  <c r="AI323" i="10"/>
  <c r="L351" i="10"/>
  <c r="J42" i="6" s="1"/>
  <c r="K42" i="6" s="1"/>
  <c r="U351" i="10"/>
  <c r="V351" i="10" s="1"/>
  <c r="L17" i="10"/>
  <c r="U17" i="10"/>
  <c r="V17" i="10" s="1"/>
  <c r="AI118" i="10"/>
  <c r="W118" i="10"/>
  <c r="AI88" i="10"/>
  <c r="W88" i="10"/>
  <c r="L85" i="10"/>
  <c r="U85" i="10"/>
  <c r="V85" i="10" s="1"/>
  <c r="U138" i="10"/>
  <c r="V138" i="10" s="1"/>
  <c r="L138" i="10"/>
  <c r="AI315" i="10"/>
  <c r="W315" i="10"/>
  <c r="L316" i="10"/>
  <c r="U316" i="10"/>
  <c r="V316" i="10" s="1"/>
  <c r="U111" i="10"/>
  <c r="V111" i="10" s="1"/>
  <c r="L111" i="10"/>
  <c r="AI354" i="10"/>
  <c r="W354" i="10"/>
  <c r="L110" i="10"/>
  <c r="U110" i="10"/>
  <c r="V110" i="10" s="1"/>
  <c r="L144" i="10"/>
  <c r="U144" i="10"/>
  <c r="V144" i="10" s="1"/>
  <c r="W32" i="10"/>
  <c r="AI32" i="10"/>
  <c r="L229" i="10"/>
  <c r="U229" i="10"/>
  <c r="V229" i="10" s="1"/>
  <c r="L99" i="10"/>
  <c r="AJ99" i="10" s="1"/>
  <c r="U99" i="10"/>
  <c r="V99" i="10" s="1"/>
  <c r="AI113" i="10"/>
  <c r="W113" i="10"/>
  <c r="AI122" i="10"/>
  <c r="W122" i="10"/>
  <c r="L237" i="10"/>
  <c r="AJ237" i="10" s="1"/>
  <c r="U237" i="10"/>
  <c r="V237" i="10" s="1"/>
  <c r="L59" i="10"/>
  <c r="U59" i="10"/>
  <c r="V59" i="10" s="1"/>
  <c r="AI232" i="10"/>
  <c r="W232" i="10"/>
  <c r="W180" i="10"/>
  <c r="AI180" i="10"/>
  <c r="L278" i="10"/>
  <c r="U278" i="10"/>
  <c r="V278" i="10" s="1"/>
  <c r="L282" i="10"/>
  <c r="U282" i="10"/>
  <c r="V282" i="10" s="1"/>
  <c r="U209" i="10"/>
  <c r="V209" i="10" s="1"/>
  <c r="L209" i="10"/>
  <c r="L208" i="10"/>
  <c r="U208" i="10"/>
  <c r="V208" i="10" s="1"/>
  <c r="U221" i="10"/>
  <c r="V221" i="10" s="1"/>
  <c r="L221" i="10"/>
  <c r="AI96" i="10"/>
  <c r="L90" i="10"/>
  <c r="U90" i="10"/>
  <c r="V90" i="10" s="1"/>
  <c r="L16" i="10"/>
  <c r="U16" i="10"/>
  <c r="V16" i="10" s="1"/>
  <c r="AI317" i="10"/>
  <c r="W317" i="10"/>
  <c r="W312" i="10"/>
  <c r="AI312" i="10"/>
  <c r="L273" i="10"/>
  <c r="U273" i="10"/>
  <c r="V273" i="10" s="1"/>
  <c r="AI212" i="10"/>
  <c r="W212" i="10"/>
  <c r="AI321" i="10"/>
  <c r="W162" i="10"/>
  <c r="AI162" i="10"/>
  <c r="AI206" i="10"/>
  <c r="W206" i="10"/>
  <c r="U109" i="10"/>
  <c r="V109" i="10" s="1"/>
  <c r="L109" i="10"/>
  <c r="L102" i="10"/>
  <c r="U102" i="10"/>
  <c r="V102" i="10" s="1"/>
  <c r="AI134" i="10"/>
  <c r="W134" i="10"/>
  <c r="AI97" i="10"/>
  <c r="W97" i="10"/>
  <c r="L132" i="10"/>
  <c r="U132" i="10"/>
  <c r="V132" i="10" s="1"/>
  <c r="AI275" i="10"/>
  <c r="L24" i="10"/>
  <c r="U24" i="10"/>
  <c r="V24" i="10" s="1"/>
  <c r="AI349" i="10"/>
  <c r="W349" i="10"/>
  <c r="AI231" i="10"/>
  <c r="L356" i="10"/>
  <c r="U356" i="10"/>
  <c r="V356" i="10" s="1"/>
  <c r="AI143" i="10"/>
  <c r="W143" i="10"/>
  <c r="AI203" i="10"/>
  <c r="L145" i="10"/>
  <c r="U145" i="10"/>
  <c r="V145" i="10" s="1"/>
  <c r="U195" i="10"/>
  <c r="V195" i="10" s="1"/>
  <c r="L195" i="10"/>
  <c r="AI224" i="10"/>
  <c r="W224" i="10"/>
  <c r="L25" i="10"/>
  <c r="U25" i="10"/>
  <c r="V25" i="10" s="1"/>
  <c r="W112" i="10"/>
  <c r="AI112" i="10"/>
  <c r="U300" i="10"/>
  <c r="V300" i="10" s="1"/>
  <c r="L300" i="10"/>
  <c r="L116" i="10"/>
  <c r="U116" i="10"/>
  <c r="V116" i="10" s="1"/>
  <c r="L82" i="10"/>
  <c r="U82" i="10"/>
  <c r="V82" i="10" s="1"/>
  <c r="AI205" i="10"/>
  <c r="W205" i="10"/>
  <c r="L213" i="10"/>
  <c r="AJ213" i="10" s="1"/>
  <c r="U213" i="10"/>
  <c r="V213" i="10" s="1"/>
  <c r="L264" i="10"/>
  <c r="U264" i="10"/>
  <c r="V264" i="10" s="1"/>
  <c r="AI189" i="10"/>
  <c r="W189" i="10"/>
  <c r="U14" i="10"/>
  <c r="V14" i="10" s="1"/>
  <c r="L14" i="10"/>
  <c r="L13" i="10"/>
  <c r="U13" i="10"/>
  <c r="V13" i="10" s="1"/>
  <c r="L190" i="10"/>
  <c r="U190" i="10"/>
  <c r="V190" i="10" s="1"/>
  <c r="AI35" i="10"/>
  <c r="W35" i="10"/>
  <c r="AI248" i="10"/>
  <c r="U79" i="10"/>
  <c r="V79" i="10" s="1"/>
  <c r="L79" i="10"/>
  <c r="L53" i="10"/>
  <c r="U53" i="10"/>
  <c r="V53" i="10" s="1"/>
  <c r="AI302" i="10"/>
  <c r="L250" i="10"/>
  <c r="U250" i="10"/>
  <c r="V250" i="10" s="1"/>
  <c r="AI133" i="10"/>
  <c r="W133" i="10"/>
  <c r="AI168" i="10"/>
  <c r="W168" i="10"/>
  <c r="L75" i="10"/>
  <c r="U75" i="10"/>
  <c r="V75" i="10" s="1"/>
  <c r="AI334" i="10"/>
  <c r="W334" i="10"/>
  <c r="W107" i="10"/>
  <c r="AI107" i="10"/>
  <c r="AI146" i="10"/>
  <c r="W146" i="10"/>
  <c r="AI322" i="10"/>
  <c r="W322" i="10"/>
  <c r="L252" i="10"/>
  <c r="U252" i="10"/>
  <c r="V252" i="10" s="1"/>
  <c r="AI332" i="10"/>
  <c r="W332" i="10"/>
  <c r="L215" i="10"/>
  <c r="U215" i="10"/>
  <c r="V215" i="10" s="1"/>
  <c r="L323" i="10"/>
  <c r="J460" i="6" s="1"/>
  <c r="K460" i="6" s="1"/>
  <c r="U323" i="10"/>
  <c r="V323" i="10" s="1"/>
  <c r="AI41" i="10"/>
  <c r="W41" i="10"/>
  <c r="U118" i="10"/>
  <c r="V118" i="10" s="1"/>
  <c r="L118" i="10"/>
  <c r="AI101" i="10"/>
  <c r="W101" i="10"/>
  <c r="L38" i="10"/>
  <c r="U38" i="10"/>
  <c r="V38" i="10" s="1"/>
  <c r="L201" i="10"/>
  <c r="AJ201" i="10" s="1"/>
  <c r="U201" i="10"/>
  <c r="V201" i="10" s="1"/>
  <c r="W217" i="10"/>
  <c r="AI217" i="10"/>
  <c r="AI308" i="10"/>
  <c r="U185" i="10"/>
  <c r="V185" i="10" s="1"/>
  <c r="L185" i="10"/>
  <c r="L86" i="10"/>
  <c r="U86" i="10"/>
  <c r="V86" i="10" s="1"/>
  <c r="AI240" i="10"/>
  <c r="W240" i="10"/>
  <c r="AI306" i="10"/>
  <c r="L62" i="10"/>
  <c r="U62" i="10"/>
  <c r="V62" i="10" s="1"/>
  <c r="L122" i="10"/>
  <c r="U122" i="10"/>
  <c r="V122" i="10" s="1"/>
  <c r="U301" i="10"/>
  <c r="V301" i="10" s="1"/>
  <c r="L301" i="10"/>
  <c r="W274" i="10"/>
  <c r="AI274" i="10"/>
  <c r="L49" i="10"/>
  <c r="U49" i="10"/>
  <c r="V49" i="10" s="1"/>
  <c r="AI98" i="10"/>
  <c r="W98" i="10"/>
  <c r="AI296" i="10"/>
  <c r="W296" i="10"/>
  <c r="AI233" i="10"/>
  <c r="W233" i="10"/>
  <c r="AI285" i="10"/>
  <c r="W285" i="10"/>
  <c r="AI45" i="10"/>
  <c r="W45" i="10"/>
  <c r="AI65" i="10"/>
  <c r="W65" i="10"/>
  <c r="L148" i="10"/>
  <c r="AJ148" i="10" s="1"/>
  <c r="U148" i="10"/>
  <c r="V148" i="10" s="1"/>
  <c r="L230" i="10"/>
  <c r="U230" i="10"/>
  <c r="V230" i="10" s="1"/>
  <c r="AI63" i="10"/>
  <c r="W63" i="10"/>
  <c r="AI12" i="10"/>
  <c r="L291" i="10"/>
  <c r="U291" i="10"/>
  <c r="V291" i="10" s="1"/>
  <c r="AI157" i="10"/>
  <c r="W157" i="10"/>
  <c r="AI48" i="10"/>
  <c r="W48" i="10"/>
  <c r="W26" i="10"/>
  <c r="AI26" i="10"/>
  <c r="L317" i="10"/>
  <c r="U317" i="10"/>
  <c r="V317" i="10" s="1"/>
  <c r="AI245" i="10"/>
  <c r="W245" i="10"/>
  <c r="L321" i="10"/>
  <c r="U321" i="10"/>
  <c r="V321" i="10" s="1"/>
  <c r="AI175" i="10"/>
  <c r="W175" i="10"/>
  <c r="AI352" i="10"/>
  <c r="W352" i="10"/>
  <c r="AI183" i="10"/>
  <c r="W183" i="10"/>
  <c r="W207" i="10"/>
  <c r="AI207" i="10"/>
  <c r="L204" i="10"/>
  <c r="U204" i="10"/>
  <c r="V204" i="10" s="1"/>
  <c r="AI102" i="10"/>
  <c r="AI31" i="10"/>
  <c r="W31" i="10"/>
  <c r="L134" i="10"/>
  <c r="U134" i="10"/>
  <c r="V134" i="10" s="1"/>
  <c r="AI253" i="10"/>
  <c r="W253" i="10"/>
  <c r="L275" i="10"/>
  <c r="U275" i="10"/>
  <c r="V275" i="10" s="1"/>
  <c r="AI24" i="10"/>
  <c r="W24" i="10"/>
  <c r="L349" i="10"/>
  <c r="J312" i="6" s="1"/>
  <c r="K312" i="6" s="1"/>
  <c r="U349" i="10"/>
  <c r="V349" i="10" s="1"/>
  <c r="U161" i="10"/>
  <c r="V161" i="10" s="1"/>
  <c r="L161" i="10"/>
  <c r="AI242" i="10"/>
  <c r="W242" i="10"/>
  <c r="AI333" i="10"/>
  <c r="W333" i="10"/>
  <c r="L71" i="10"/>
  <c r="U71" i="10"/>
  <c r="V71" i="10" s="1"/>
  <c r="L220" i="10"/>
  <c r="U220" i="10"/>
  <c r="V220" i="10" s="1"/>
  <c r="U78" i="10"/>
  <c r="V78" i="10" s="1"/>
  <c r="L78" i="10"/>
  <c r="L137" i="10"/>
  <c r="AJ137" i="10" s="1"/>
  <c r="U137" i="10"/>
  <c r="V137" i="10" s="1"/>
  <c r="AI311" i="10"/>
  <c r="W311" i="10"/>
  <c r="AI192" i="10"/>
  <c r="W192" i="10"/>
  <c r="U36" i="10"/>
  <c r="V36" i="10" s="1"/>
  <c r="L36" i="10"/>
  <c r="L292" i="10"/>
  <c r="U292" i="10"/>
  <c r="V292" i="10" s="1"/>
  <c r="L57" i="10"/>
  <c r="U57" i="10"/>
  <c r="V57" i="10" s="1"/>
  <c r="AI299" i="10"/>
  <c r="W299" i="10"/>
  <c r="AI47" i="10"/>
  <c r="L258" i="10"/>
  <c r="U258" i="10"/>
  <c r="V258" i="10" s="1"/>
  <c r="AI225" i="10"/>
  <c r="W225" i="10"/>
  <c r="AI235" i="10"/>
  <c r="W235" i="10"/>
  <c r="L336" i="10"/>
  <c r="U336" i="10"/>
  <c r="V336" i="10" s="1"/>
  <c r="L33" i="10"/>
  <c r="U33" i="10"/>
  <c r="V33" i="10" s="1"/>
  <c r="AI244" i="10"/>
  <c r="W244" i="10"/>
  <c r="AI241" i="10"/>
  <c r="W241" i="10"/>
  <c r="L189" i="10"/>
  <c r="U189" i="10"/>
  <c r="V189" i="10" s="1"/>
  <c r="W284" i="10"/>
  <c r="AI284" i="10"/>
  <c r="AI42" i="10"/>
  <c r="W42" i="10"/>
  <c r="AI103" i="10"/>
  <c r="W103" i="10"/>
  <c r="L130" i="10"/>
  <c r="U130" i="10"/>
  <c r="V130" i="10" s="1"/>
  <c r="L302" i="10"/>
  <c r="U302" i="10"/>
  <c r="V302" i="10" s="1"/>
  <c r="AI337" i="10"/>
  <c r="W337" i="10"/>
  <c r="U341" i="10"/>
  <c r="V341" i="10" s="1"/>
  <c r="L341" i="10"/>
  <c r="L262" i="10"/>
  <c r="U262" i="10"/>
  <c r="V262" i="10" s="1"/>
  <c r="AI266" i="10"/>
  <c r="W266" i="10"/>
  <c r="U20" i="10"/>
  <c r="V20" i="10" s="1"/>
  <c r="L20" i="10"/>
  <c r="W328" i="10"/>
  <c r="AI328" i="10"/>
  <c r="AI126" i="10"/>
  <c r="W126" i="10"/>
  <c r="L348" i="10"/>
  <c r="J360" i="6" s="1"/>
  <c r="K360" i="6" s="1"/>
  <c r="U348" i="10"/>
  <c r="V348" i="10" s="1"/>
  <c r="U107" i="10"/>
  <c r="V107" i="10" s="1"/>
  <c r="L107" i="10"/>
  <c r="AI28" i="10"/>
  <c r="W28" i="10"/>
  <c r="L146" i="10"/>
  <c r="U146" i="10"/>
  <c r="V146" i="10" s="1"/>
  <c r="L228" i="10"/>
  <c r="U228" i="10"/>
  <c r="V228" i="10" s="1"/>
  <c r="L41" i="10"/>
  <c r="AJ41" i="10" s="1"/>
  <c r="U41" i="10"/>
  <c r="V41" i="10" s="1"/>
  <c r="L88" i="10"/>
  <c r="AJ88" i="10" s="1"/>
  <c r="U88" i="10"/>
  <c r="V88" i="10" s="1"/>
  <c r="AI166" i="10"/>
  <c r="W166" i="10"/>
  <c r="L101" i="10"/>
  <c r="U101" i="10"/>
  <c r="V101" i="10" s="1"/>
  <c r="AI319" i="10"/>
  <c r="W319" i="10"/>
  <c r="AI138" i="10"/>
  <c r="W138" i="10"/>
  <c r="AI324" i="10"/>
  <c r="AI330" i="10"/>
  <c r="W330" i="10"/>
  <c r="AI272" i="10"/>
  <c r="W272" i="10"/>
  <c r="AI327" i="10"/>
  <c r="W327" i="10"/>
  <c r="L217" i="10"/>
  <c r="U217" i="10"/>
  <c r="V217" i="10" s="1"/>
  <c r="U277" i="10"/>
  <c r="V277" i="10" s="1"/>
  <c r="L277" i="10"/>
  <c r="AJ277" i="10" s="1"/>
  <c r="W114" i="10"/>
  <c r="AI114" i="10"/>
  <c r="AI303" i="10"/>
  <c r="AI357" i="10"/>
  <c r="W357" i="10"/>
  <c r="L243" i="10"/>
  <c r="U243" i="10"/>
  <c r="V243" i="10" s="1"/>
  <c r="U288" i="10"/>
  <c r="V288" i="10" s="1"/>
  <c r="L288" i="10"/>
  <c r="AI304" i="10"/>
  <c r="W304" i="10"/>
  <c r="L174" i="10"/>
  <c r="U174" i="10"/>
  <c r="V174" i="10" s="1"/>
  <c r="AI68" i="10"/>
  <c r="L23" i="10"/>
  <c r="U23" i="10"/>
  <c r="V23" i="10" s="1"/>
  <c r="AI121" i="10"/>
  <c r="W121" i="10"/>
  <c r="AI301" i="10"/>
  <c r="W301" i="10"/>
  <c r="AI119" i="10"/>
  <c r="W119" i="10"/>
  <c r="L222" i="10"/>
  <c r="U222" i="10"/>
  <c r="V222" i="10" s="1"/>
  <c r="U233" i="10"/>
  <c r="V233" i="10" s="1"/>
  <c r="L233" i="10"/>
  <c r="L285" i="10"/>
  <c r="U285" i="10"/>
  <c r="V285" i="10" s="1"/>
  <c r="L45" i="10"/>
  <c r="U45" i="10"/>
  <c r="V45" i="10" s="1"/>
  <c r="W40" i="10"/>
  <c r="AI40" i="10"/>
  <c r="L65" i="10"/>
  <c r="U65" i="10"/>
  <c r="V65" i="10" s="1"/>
  <c r="AI131" i="10"/>
  <c r="W131" i="10"/>
  <c r="AI148" i="10"/>
  <c r="AI128" i="10"/>
  <c r="W128" i="10"/>
  <c r="L76" i="10"/>
  <c r="U76" i="10"/>
  <c r="V76" i="10" s="1"/>
  <c r="L159" i="10"/>
  <c r="AJ159" i="10" s="1"/>
  <c r="U159" i="10"/>
  <c r="V159" i="10" s="1"/>
  <c r="L247" i="10"/>
  <c r="U247" i="10"/>
  <c r="V247" i="10" s="1"/>
  <c r="W291" i="10"/>
  <c r="AI291" i="10"/>
  <c r="L200" i="10"/>
  <c r="U200" i="10"/>
  <c r="V200" i="10" s="1"/>
  <c r="L48" i="10"/>
  <c r="U48" i="10"/>
  <c r="V48" i="10" s="1"/>
  <c r="AI216" i="10"/>
  <c r="W216" i="10"/>
  <c r="AI294" i="10"/>
  <c r="W294" i="10"/>
  <c r="L26" i="10"/>
  <c r="U26" i="10"/>
  <c r="V26" i="10" s="1"/>
  <c r="L163" i="10"/>
  <c r="U163" i="10"/>
  <c r="V163" i="10" s="1"/>
  <c r="L170" i="10"/>
  <c r="U170" i="10"/>
  <c r="V170" i="10" s="1"/>
  <c r="W136" i="10"/>
  <c r="AI136" i="10"/>
  <c r="W108" i="10"/>
  <c r="AI108" i="10"/>
  <c r="AI92" i="10"/>
  <c r="W92" i="10"/>
  <c r="L73" i="10"/>
  <c r="U73" i="10"/>
  <c r="V73" i="10" s="1"/>
  <c r="L154" i="10"/>
  <c r="U154" i="10"/>
  <c r="V154" i="10" s="1"/>
  <c r="AI339" i="10"/>
  <c r="L345" i="10"/>
  <c r="J78" i="6" s="1"/>
  <c r="K78" i="6" s="1"/>
  <c r="U345" i="10"/>
  <c r="V345" i="10" s="1"/>
  <c r="L183" i="10"/>
  <c r="U183" i="10"/>
  <c r="V183" i="10" s="1"/>
  <c r="L207" i="10"/>
  <c r="U207" i="10"/>
  <c r="V207" i="10" s="1"/>
  <c r="L344" i="10"/>
  <c r="U344" i="10"/>
  <c r="V344" i="10" s="1"/>
  <c r="AI164" i="10"/>
  <c r="W164" i="10"/>
  <c r="AI18" i="10"/>
  <c r="W18" i="10"/>
  <c r="W117" i="10"/>
  <c r="AI117" i="10"/>
  <c r="U171" i="10"/>
  <c r="V171" i="10" s="1"/>
  <c r="L171" i="10"/>
  <c r="L155" i="10"/>
  <c r="U155" i="10"/>
  <c r="V155" i="10" s="1"/>
  <c r="L242" i="10"/>
  <c r="AJ242" i="10" s="1"/>
  <c r="U242" i="10"/>
  <c r="V242" i="10" s="1"/>
  <c r="L236" i="10"/>
  <c r="U236" i="10"/>
  <c r="V236" i="10" s="1"/>
  <c r="L115" i="10"/>
  <c r="AJ115" i="10" s="1"/>
  <c r="U115" i="10"/>
  <c r="V115" i="10" s="1"/>
  <c r="AI181" i="10"/>
  <c r="W181" i="10"/>
  <c r="AI196" i="10"/>
  <c r="W196" i="10"/>
  <c r="AI176" i="10"/>
  <c r="W176" i="10"/>
  <c r="L124" i="10"/>
  <c r="U124" i="10"/>
  <c r="V124" i="10" s="1"/>
  <c r="L202" i="10"/>
  <c r="U202" i="10"/>
  <c r="V202" i="10" s="1"/>
  <c r="U186" i="10"/>
  <c r="V186" i="10" s="1"/>
  <c r="L186" i="10"/>
  <c r="L19" i="10"/>
  <c r="U19" i="10"/>
  <c r="V19" i="10" s="1"/>
  <c r="AI326" i="10"/>
  <c r="W326" i="10"/>
  <c r="AI125" i="10"/>
  <c r="W125" i="10"/>
  <c r="AI95" i="10"/>
  <c r="AJ102" i="10" l="1"/>
  <c r="J401" i="6"/>
  <c r="K401" i="6" s="1"/>
  <c r="AJ282" i="10"/>
  <c r="J124" i="6"/>
  <c r="K124" i="6" s="1"/>
  <c r="J186" i="6"/>
  <c r="K186" i="6" s="1"/>
  <c r="AJ110" i="10"/>
  <c r="J170" i="6"/>
  <c r="K170" i="6" s="1"/>
  <c r="J95" i="6"/>
  <c r="K95" i="6" s="1"/>
  <c r="AJ85" i="10"/>
  <c r="J277" i="6"/>
  <c r="K277" i="6" s="1"/>
  <c r="AJ196" i="10"/>
  <c r="J318" i="6"/>
  <c r="K318" i="6" s="1"/>
  <c r="AJ294" i="10"/>
  <c r="J90" i="6"/>
  <c r="K90" i="6" s="1"/>
  <c r="AJ319" i="10"/>
  <c r="J41" i="6"/>
  <c r="K41" i="6" s="1"/>
  <c r="AJ268" i="10"/>
  <c r="J336" i="6"/>
  <c r="K336" i="6" s="1"/>
  <c r="AJ58" i="10"/>
  <c r="J343" i="6"/>
  <c r="K343" i="6" s="1"/>
  <c r="AJ168" i="10"/>
  <c r="J304" i="6"/>
  <c r="K304" i="6" s="1"/>
  <c r="AJ271" i="10"/>
  <c r="J431" i="6"/>
  <c r="K431" i="6" s="1"/>
  <c r="J396" i="6"/>
  <c r="K396" i="6" s="1"/>
  <c r="AJ315" i="10"/>
  <c r="J354" i="6"/>
  <c r="K354" i="6" s="1"/>
  <c r="AJ254" i="10"/>
  <c r="J335" i="6"/>
  <c r="K335" i="6" s="1"/>
  <c r="AJ263" i="10"/>
  <c r="J175" i="6"/>
  <c r="K175" i="6" s="1"/>
  <c r="J385" i="6"/>
  <c r="K385" i="6" s="1"/>
  <c r="AJ179" i="10"/>
  <c r="J129" i="6"/>
  <c r="K129" i="6" s="1"/>
  <c r="J345" i="6"/>
  <c r="K345" i="6" s="1"/>
  <c r="J64" i="6"/>
  <c r="K64" i="6" s="1"/>
  <c r="J265" i="6"/>
  <c r="K265" i="6" s="1"/>
  <c r="AJ119" i="10"/>
  <c r="J25" i="6"/>
  <c r="K25" i="6" s="1"/>
  <c r="AJ272" i="10"/>
  <c r="J457" i="6"/>
  <c r="K457" i="6" s="1"/>
  <c r="J367" i="6"/>
  <c r="K367" i="6" s="1"/>
  <c r="AJ28" i="10"/>
  <c r="J36" i="6"/>
  <c r="K36" i="6" s="1"/>
  <c r="AJ94" i="10"/>
  <c r="J421" i="6"/>
  <c r="K421" i="6" s="1"/>
  <c r="J363" i="6"/>
  <c r="K363" i="6" s="1"/>
  <c r="AJ8" i="10"/>
  <c r="J11" i="6"/>
  <c r="K11" i="6" s="1"/>
  <c r="J286" i="6"/>
  <c r="K286" i="6" s="1"/>
  <c r="AJ202" i="10"/>
  <c r="J240" i="6"/>
  <c r="K240" i="6" s="1"/>
  <c r="AJ155" i="10"/>
  <c r="J271" i="6"/>
  <c r="K271" i="6" s="1"/>
  <c r="AJ65" i="10"/>
  <c r="J66" i="6"/>
  <c r="K66" i="6" s="1"/>
  <c r="AJ288" i="10"/>
  <c r="J309" i="6"/>
  <c r="K309" i="6" s="1"/>
  <c r="J176" i="6"/>
  <c r="K176" i="6" s="1"/>
  <c r="AJ217" i="10"/>
  <c r="J273" i="6"/>
  <c r="K273" i="6" s="1"/>
  <c r="J209" i="6"/>
  <c r="K209" i="6" s="1"/>
  <c r="J461" i="6"/>
  <c r="K461" i="6" s="1"/>
  <c r="AJ292" i="10"/>
  <c r="J120" i="6"/>
  <c r="K120" i="6" s="1"/>
  <c r="J294" i="6"/>
  <c r="K294" i="6" s="1"/>
  <c r="AJ220" i="10"/>
  <c r="J197" i="6"/>
  <c r="K197" i="6" s="1"/>
  <c r="AJ122" i="10"/>
  <c r="J131" i="6"/>
  <c r="K131" i="6" s="1"/>
  <c r="J407" i="6"/>
  <c r="K407" i="6" s="1"/>
  <c r="AJ185" i="10"/>
  <c r="J193" i="6"/>
  <c r="K193" i="6" s="1"/>
  <c r="J102" i="6"/>
  <c r="K102" i="6" s="1"/>
  <c r="AJ38" i="10"/>
  <c r="J189" i="6"/>
  <c r="K189" i="6" s="1"/>
  <c r="J30" i="6"/>
  <c r="K30" i="6" s="1"/>
  <c r="AJ75" i="10"/>
  <c r="J37" i="6"/>
  <c r="K37" i="6" s="1"/>
  <c r="AJ190" i="10"/>
  <c r="J100" i="6"/>
  <c r="K100" i="6" s="1"/>
  <c r="J239" i="6"/>
  <c r="K239" i="6" s="1"/>
  <c r="AJ264" i="10"/>
  <c r="J243" i="6"/>
  <c r="K243" i="6" s="1"/>
  <c r="AJ116" i="10"/>
  <c r="J191" i="6"/>
  <c r="K191" i="6" s="1"/>
  <c r="AJ145" i="10"/>
  <c r="J284" i="6"/>
  <c r="K284" i="6" s="1"/>
  <c r="AJ109" i="10"/>
  <c r="J300" i="6"/>
  <c r="K300" i="6" s="1"/>
  <c r="AJ16" i="10"/>
  <c r="J287" i="6"/>
  <c r="K287" i="6" s="1"/>
  <c r="AJ221" i="10"/>
  <c r="J382" i="6"/>
  <c r="K382" i="6" s="1"/>
  <c r="AJ209" i="10"/>
  <c r="J166" i="6"/>
  <c r="K166" i="6" s="1"/>
  <c r="J411" i="6"/>
  <c r="K411" i="6" s="1"/>
  <c r="AJ138" i="10"/>
  <c r="J39" i="6"/>
  <c r="K39" i="6" s="1"/>
  <c r="AJ225" i="10"/>
  <c r="J375" i="6"/>
  <c r="K375" i="6" s="1"/>
  <c r="AJ307" i="10"/>
  <c r="J280" i="6"/>
  <c r="K280" i="6" s="1"/>
  <c r="AJ105" i="10"/>
  <c r="J364" i="6"/>
  <c r="K364" i="6" s="1"/>
  <c r="J444" i="6"/>
  <c r="K444" i="6" s="1"/>
  <c r="AJ218" i="10"/>
  <c r="J394" i="6"/>
  <c r="K394" i="6" s="1"/>
  <c r="J427" i="6"/>
  <c r="K427" i="6" s="1"/>
  <c r="AJ42" i="10"/>
  <c r="J400" i="6"/>
  <c r="K400" i="6" s="1"/>
  <c r="AJ44" i="10"/>
  <c r="J231" i="6"/>
  <c r="K231" i="6" s="1"/>
  <c r="J99" i="6"/>
  <c r="K99" i="6" s="1"/>
  <c r="AJ223" i="10"/>
  <c r="J333" i="6"/>
  <c r="K333" i="6" s="1"/>
  <c r="AJ311" i="10"/>
  <c r="J338" i="6"/>
  <c r="K338" i="6" s="1"/>
  <c r="AJ181" i="10"/>
  <c r="J390" i="6"/>
  <c r="K390" i="6" s="1"/>
  <c r="J447" i="6"/>
  <c r="K447" i="6" s="1"/>
  <c r="AJ239" i="10"/>
  <c r="J40" i="6"/>
  <c r="K40" i="6" s="1"/>
  <c r="AJ97" i="10"/>
  <c r="J252" i="6"/>
  <c r="K252" i="6" s="1"/>
  <c r="AJ18" i="10"/>
  <c r="J125" i="6"/>
  <c r="K125" i="6" s="1"/>
  <c r="J296" i="6"/>
  <c r="K296" i="6" s="1"/>
  <c r="AJ178" i="10"/>
  <c r="J224" i="6"/>
  <c r="K224" i="6" s="1"/>
  <c r="AJ212" i="10"/>
  <c r="J142" i="6"/>
  <c r="K142" i="6" s="1"/>
  <c r="J121" i="6"/>
  <c r="K121" i="6" s="1"/>
  <c r="J258" i="6"/>
  <c r="K258" i="6" s="1"/>
  <c r="AJ136" i="10"/>
  <c r="J255" i="6"/>
  <c r="K255" i="6" s="1"/>
  <c r="J113" i="6"/>
  <c r="K113" i="6" s="1"/>
  <c r="AJ63" i="10"/>
  <c r="J330" i="6"/>
  <c r="K330" i="6" s="1"/>
  <c r="AJ40" i="10"/>
  <c r="J118" i="6"/>
  <c r="K118" i="6" s="1"/>
  <c r="J288" i="6"/>
  <c r="K288" i="6" s="1"/>
  <c r="AJ100" i="10"/>
  <c r="J275" i="6"/>
  <c r="K275" i="6" s="1"/>
  <c r="J422" i="6"/>
  <c r="K422" i="6" s="1"/>
  <c r="AJ296" i="10"/>
  <c r="J198" i="6"/>
  <c r="K198" i="6" s="1"/>
  <c r="AJ180" i="10"/>
  <c r="J184" i="6"/>
  <c r="K184" i="6" s="1"/>
  <c r="J46" i="6"/>
  <c r="K46" i="6" s="1"/>
  <c r="J229" i="6"/>
  <c r="K229" i="6" s="1"/>
  <c r="AJ114" i="10"/>
  <c r="J35" i="6"/>
  <c r="K35" i="6" s="1"/>
  <c r="J80" i="6"/>
  <c r="K80" i="6" s="1"/>
  <c r="AJ199" i="10"/>
  <c r="J153" i="6"/>
  <c r="K153" i="6" s="1"/>
  <c r="J56" i="6"/>
  <c r="K56" i="6" s="1"/>
  <c r="J228" i="6"/>
  <c r="K228" i="6" s="1"/>
  <c r="AJ61" i="10"/>
  <c r="J104" i="6"/>
  <c r="K104" i="6" s="1"/>
  <c r="J220" i="6"/>
  <c r="K220" i="6" s="1"/>
  <c r="AJ248" i="10"/>
  <c r="J226" i="6"/>
  <c r="K226" i="6" s="1"/>
  <c r="AJ269" i="10"/>
  <c r="J320" i="6"/>
  <c r="K320" i="6" s="1"/>
  <c r="AJ299" i="10"/>
  <c r="J217" i="6"/>
  <c r="K217" i="6" s="1"/>
  <c r="J434" i="6"/>
  <c r="K434" i="6" s="1"/>
  <c r="AJ227" i="10"/>
  <c r="J96" i="6"/>
  <c r="K96" i="6" s="1"/>
  <c r="AJ30" i="10"/>
  <c r="J347" i="6"/>
  <c r="K347" i="6" s="1"/>
  <c r="AJ96" i="10"/>
  <c r="J152" i="6"/>
  <c r="K152" i="6" s="1"/>
  <c r="AJ98" i="10"/>
  <c r="J233" i="6"/>
  <c r="K233" i="6" s="1"/>
  <c r="J91" i="6"/>
  <c r="K91" i="6" s="1"/>
  <c r="AJ232" i="10"/>
  <c r="J383" i="6"/>
  <c r="K383" i="6" s="1"/>
  <c r="AJ113" i="10"/>
  <c r="J234" i="6"/>
  <c r="K234" i="6" s="1"/>
  <c r="AJ77" i="10"/>
  <c r="J232" i="6"/>
  <c r="K232" i="6" s="1"/>
  <c r="AJ187" i="10"/>
  <c r="J272" i="6"/>
  <c r="K272" i="6" s="1"/>
  <c r="AJ149" i="10"/>
  <c r="J67" i="6"/>
  <c r="K67" i="6" s="1"/>
  <c r="AJ21" i="10"/>
  <c r="J21" i="6"/>
  <c r="K21" i="6" s="1"/>
  <c r="J297" i="6"/>
  <c r="K297" i="6" s="1"/>
  <c r="AJ164" i="10"/>
  <c r="J325" i="6"/>
  <c r="K325" i="6" s="1"/>
  <c r="AJ39" i="10"/>
  <c r="J65" i="6"/>
  <c r="K65" i="6" s="1"/>
  <c r="AJ290" i="10"/>
  <c r="J337" i="6"/>
  <c r="K337" i="6" s="1"/>
  <c r="AJ120" i="10"/>
  <c r="J254" i="6"/>
  <c r="K254" i="6" s="1"/>
  <c r="AJ43" i="10"/>
  <c r="J12" i="6"/>
  <c r="K12" i="6" s="1"/>
  <c r="AJ244" i="10"/>
  <c r="J87" i="6"/>
  <c r="K87" i="6" s="1"/>
  <c r="J395" i="6"/>
  <c r="K395" i="6" s="1"/>
  <c r="J454" i="6"/>
  <c r="K454" i="6" s="1"/>
  <c r="AJ283" i="10"/>
  <c r="J386" i="6"/>
  <c r="K386" i="6" s="1"/>
  <c r="AJ154" i="10"/>
  <c r="J317" i="6"/>
  <c r="K317" i="6" s="1"/>
  <c r="J106" i="6"/>
  <c r="K106" i="6" s="1"/>
  <c r="AJ48" i="10"/>
  <c r="J32" i="6"/>
  <c r="K32" i="6" s="1"/>
  <c r="J211" i="6"/>
  <c r="K211" i="6" s="1"/>
  <c r="AJ233" i="10"/>
  <c r="J353" i="6"/>
  <c r="K353" i="6" s="1"/>
  <c r="AJ146" i="10"/>
  <c r="J139" i="6"/>
  <c r="K139" i="6" s="1"/>
  <c r="J303" i="6"/>
  <c r="K303" i="6" s="1"/>
  <c r="AJ130" i="10"/>
  <c r="J349" i="6"/>
  <c r="K349" i="6" s="1"/>
  <c r="J138" i="6"/>
  <c r="K138" i="6" s="1"/>
  <c r="AJ118" i="10"/>
  <c r="J156" i="6"/>
  <c r="K156" i="6" s="1"/>
  <c r="AJ59" i="10"/>
  <c r="J110" i="6"/>
  <c r="K110" i="6" s="1"/>
  <c r="J84" i="6"/>
  <c r="K84" i="6" s="1"/>
  <c r="AJ295" i="10"/>
  <c r="J63" i="6"/>
  <c r="K63" i="6" s="1"/>
  <c r="J262" i="6"/>
  <c r="K262" i="6" s="1"/>
  <c r="AJ162" i="10"/>
  <c r="J135" i="6"/>
  <c r="K135" i="6" s="1"/>
  <c r="J256" i="6"/>
  <c r="K256" i="6" s="1"/>
  <c r="AJ246" i="10"/>
  <c r="J148" i="6"/>
  <c r="K148" i="6" s="1"/>
  <c r="AJ80" i="10"/>
  <c r="J62" i="6"/>
  <c r="K62" i="6" s="1"/>
  <c r="J251" i="6"/>
  <c r="K251" i="6" s="1"/>
  <c r="AJ91" i="10"/>
  <c r="J222" i="6"/>
  <c r="K222" i="6" s="1"/>
  <c r="J54" i="6"/>
  <c r="K54" i="6" s="1"/>
  <c r="AJ257" i="10"/>
  <c r="J376" i="6"/>
  <c r="K376" i="6" s="1"/>
  <c r="AJ184" i="10"/>
  <c r="J332" i="6"/>
  <c r="K332" i="6" s="1"/>
  <c r="AJ131" i="10"/>
  <c r="J301" i="6"/>
  <c r="K301" i="6" s="1"/>
  <c r="AJ68" i="10"/>
  <c r="J93" i="6"/>
  <c r="K93" i="6" s="1"/>
  <c r="J169" i="6"/>
  <c r="K169" i="6" s="1"/>
  <c r="AJ150" i="10"/>
  <c r="J409" i="6"/>
  <c r="K409" i="6" s="1"/>
  <c r="AJ15" i="10"/>
  <c r="J270" i="6"/>
  <c r="K270" i="6" s="1"/>
  <c r="AJ289" i="10"/>
  <c r="J26" i="6"/>
  <c r="K26" i="6" s="1"/>
  <c r="AJ103" i="10"/>
  <c r="J299" i="6"/>
  <c r="K299" i="6" s="1"/>
  <c r="AJ45" i="10"/>
  <c r="J29" i="6"/>
  <c r="K29" i="6" s="1"/>
  <c r="AJ186" i="10"/>
  <c r="J132" i="6"/>
  <c r="K132" i="6" s="1"/>
  <c r="J410" i="6"/>
  <c r="K410" i="6" s="1"/>
  <c r="AJ171" i="10"/>
  <c r="J331" i="6"/>
  <c r="K331" i="6" s="1"/>
  <c r="AJ73" i="10"/>
  <c r="J289" i="6"/>
  <c r="K289" i="6" s="1"/>
  <c r="J44" i="6"/>
  <c r="K44" i="6" s="1"/>
  <c r="AJ170" i="10"/>
  <c r="J236" i="6"/>
  <c r="K236" i="6" s="1"/>
  <c r="AJ26" i="10"/>
  <c r="J218" i="6"/>
  <c r="K218" i="6" s="1"/>
  <c r="AJ200" i="10"/>
  <c r="J69" i="6"/>
  <c r="K69" i="6" s="1"/>
  <c r="AJ247" i="10"/>
  <c r="J174" i="6"/>
  <c r="K174" i="6" s="1"/>
  <c r="J307" i="6"/>
  <c r="K307" i="6" s="1"/>
  <c r="AJ76" i="10"/>
  <c r="J38" i="6"/>
  <c r="K38" i="6" s="1"/>
  <c r="AJ174" i="10"/>
  <c r="J238" i="6"/>
  <c r="K238" i="6" s="1"/>
  <c r="AJ101" i="10"/>
  <c r="J266" i="6"/>
  <c r="K266" i="6" s="1"/>
  <c r="J423" i="6"/>
  <c r="K423" i="6" s="1"/>
  <c r="AJ228" i="10"/>
  <c r="J141" i="6"/>
  <c r="K141" i="6" s="1"/>
  <c r="J352" i="6"/>
  <c r="K352" i="6" s="1"/>
  <c r="AJ302" i="10"/>
  <c r="J97" i="6"/>
  <c r="K97" i="6" s="1"/>
  <c r="AJ33" i="10"/>
  <c r="J210" i="6"/>
  <c r="K210" i="6" s="1"/>
  <c r="J149" i="6"/>
  <c r="K149" i="6" s="1"/>
  <c r="J418" i="6"/>
  <c r="K418" i="6" s="1"/>
  <c r="AJ258" i="10"/>
  <c r="J242" i="6"/>
  <c r="K242" i="6" s="1"/>
  <c r="AJ36" i="10"/>
  <c r="J230" i="6"/>
  <c r="K230" i="6" s="1"/>
  <c r="AJ78" i="10"/>
  <c r="J274" i="6"/>
  <c r="K274" i="6" s="1"/>
  <c r="J419" i="6"/>
  <c r="K419" i="6" s="1"/>
  <c r="AJ317" i="10"/>
  <c r="J177" i="6"/>
  <c r="K177" i="6" s="1"/>
  <c r="J355" i="6"/>
  <c r="K355" i="6" s="1"/>
  <c r="AJ291" i="10"/>
  <c r="J368" i="6"/>
  <c r="K368" i="6" s="1"/>
  <c r="J458" i="6"/>
  <c r="K458" i="6" s="1"/>
  <c r="AJ301" i="10"/>
  <c r="J359" i="6"/>
  <c r="K359" i="6" s="1"/>
  <c r="AJ53" i="10"/>
  <c r="J109" i="6"/>
  <c r="K109" i="6" s="1"/>
  <c r="J248" i="6"/>
  <c r="K248" i="6" s="1"/>
  <c r="AJ300" i="10"/>
  <c r="J117" i="6"/>
  <c r="K117" i="6" s="1"/>
  <c r="J310" i="6"/>
  <c r="K310" i="6" s="1"/>
  <c r="AJ195" i="10"/>
  <c r="J450" i="6"/>
  <c r="K450" i="6" s="1"/>
  <c r="J206" i="6"/>
  <c r="K206" i="6" s="1"/>
  <c r="J88" i="6"/>
  <c r="K88" i="6" s="1"/>
  <c r="J463" i="6"/>
  <c r="K463" i="6" s="1"/>
  <c r="J399" i="6"/>
  <c r="K399" i="6" s="1"/>
  <c r="AJ132" i="10"/>
  <c r="J105" i="6"/>
  <c r="K105" i="6" s="1"/>
  <c r="J223" i="6"/>
  <c r="K223" i="6" s="1"/>
  <c r="AJ278" i="10"/>
  <c r="J18" i="6"/>
  <c r="K18" i="6" s="1"/>
  <c r="AJ229" i="10"/>
  <c r="J260" i="6"/>
  <c r="K260" i="6" s="1"/>
  <c r="J143" i="6"/>
  <c r="K143" i="6" s="1"/>
  <c r="AJ144" i="10"/>
  <c r="J192" i="6"/>
  <c r="K192" i="6" s="1"/>
  <c r="AJ316" i="10"/>
  <c r="J404" i="6"/>
  <c r="K404" i="6" s="1"/>
  <c r="AJ17" i="10"/>
  <c r="J19" i="6"/>
  <c r="K19" i="6" s="1"/>
  <c r="J295" i="6"/>
  <c r="K295" i="6" s="1"/>
  <c r="AJ197" i="10"/>
  <c r="J350" i="6"/>
  <c r="K350" i="6" s="1"/>
  <c r="AJ226" i="10"/>
  <c r="J207" i="6"/>
  <c r="K207" i="6" s="1"/>
  <c r="J453" i="6"/>
  <c r="K453" i="6" s="1"/>
  <c r="AJ176" i="10"/>
  <c r="J183" i="6"/>
  <c r="K183" i="6" s="1"/>
  <c r="AJ267" i="10"/>
  <c r="J403" i="6"/>
  <c r="K403" i="6" s="1"/>
  <c r="AJ214" i="10"/>
  <c r="J86" i="6"/>
  <c r="K86" i="6" s="1"/>
  <c r="J393" i="6"/>
  <c r="K393" i="6" s="1"/>
  <c r="J452" i="6"/>
  <c r="K452" i="6" s="1"/>
  <c r="AJ211" i="10"/>
  <c r="J154" i="6"/>
  <c r="K154" i="6" s="1"/>
  <c r="AJ279" i="10"/>
  <c r="J267" i="6"/>
  <c r="K267" i="6" s="1"/>
  <c r="J150" i="6"/>
  <c r="K150" i="6" s="1"/>
  <c r="J432" i="6"/>
  <c r="K432" i="6" s="1"/>
  <c r="AJ191" i="10"/>
  <c r="J194" i="6"/>
  <c r="K194" i="6" s="1"/>
  <c r="AJ153" i="10"/>
  <c r="J119" i="6"/>
  <c r="K119" i="6" s="1"/>
  <c r="J291" i="6"/>
  <c r="K291" i="6" s="1"/>
  <c r="AJ72" i="10"/>
  <c r="J249" i="6"/>
  <c r="K249" i="6" s="1"/>
  <c r="J111" i="6"/>
  <c r="K111" i="6" s="1"/>
  <c r="AJ56" i="10"/>
  <c r="J203" i="6"/>
  <c r="K203" i="6" s="1"/>
  <c r="J440" i="6"/>
  <c r="K440" i="6" s="1"/>
  <c r="AJ166" i="10"/>
  <c r="J279" i="6"/>
  <c r="K279" i="6" s="1"/>
  <c r="AJ31" i="10"/>
  <c r="J188" i="6"/>
  <c r="K188" i="6" s="1"/>
  <c r="J437" i="6"/>
  <c r="K437" i="6" s="1"/>
  <c r="AJ12" i="10"/>
  <c r="J151" i="6"/>
  <c r="K151" i="6" s="1"/>
  <c r="AJ177" i="10"/>
  <c r="J374" i="6"/>
  <c r="K374" i="6" s="1"/>
  <c r="AJ260" i="10"/>
  <c r="J167" i="6"/>
  <c r="K167" i="6" s="1"/>
  <c r="J413" i="6"/>
  <c r="K413" i="6" s="1"/>
  <c r="AJ87" i="10"/>
  <c r="J278" i="6"/>
  <c r="K278" i="6" s="1"/>
  <c r="J71" i="6"/>
  <c r="K71" i="6" s="1"/>
  <c r="AJ231" i="10"/>
  <c r="J57" i="6"/>
  <c r="K57" i="6" s="1"/>
  <c r="AJ52" i="10"/>
  <c r="J439" i="6"/>
  <c r="K439" i="6" s="1"/>
  <c r="AJ286" i="10"/>
  <c r="J160" i="6"/>
  <c r="K160" i="6" s="1"/>
  <c r="J387" i="6"/>
  <c r="K387" i="6" s="1"/>
  <c r="AJ312" i="10"/>
  <c r="J165" i="6"/>
  <c r="K165" i="6" s="1"/>
  <c r="AJ151" i="10"/>
  <c r="J147" i="6"/>
  <c r="K147" i="6" s="1"/>
  <c r="AJ60" i="10"/>
  <c r="J51" i="6"/>
  <c r="K51" i="6" s="1"/>
  <c r="J380" i="6"/>
  <c r="K380" i="6" s="1"/>
  <c r="AJ240" i="10"/>
  <c r="J305" i="6"/>
  <c r="K305" i="6" s="1"/>
  <c r="J144" i="6"/>
  <c r="K144" i="6" s="1"/>
  <c r="AJ238" i="10"/>
  <c r="J126" i="6"/>
  <c r="K126" i="6" s="1"/>
  <c r="J326" i="6"/>
  <c r="K326" i="6" s="1"/>
  <c r="AJ37" i="10"/>
  <c r="J357" i="6"/>
  <c r="K357" i="6" s="1"/>
  <c r="AJ224" i="10"/>
  <c r="J366" i="6"/>
  <c r="K366" i="6" s="1"/>
  <c r="J428" i="6"/>
  <c r="K428" i="6" s="1"/>
  <c r="AJ261" i="10"/>
  <c r="J22" i="6"/>
  <c r="K22" i="6" s="1"/>
  <c r="J308" i="6"/>
  <c r="K308" i="6" s="1"/>
  <c r="AJ142" i="10"/>
  <c r="J283" i="6"/>
  <c r="K283" i="6" s="1"/>
  <c r="AJ210" i="10"/>
  <c r="J412" i="6"/>
  <c r="K412" i="6" s="1"/>
  <c r="AJ139" i="10"/>
  <c r="J205" i="6"/>
  <c r="K205" i="6" s="1"/>
  <c r="J446" i="6"/>
  <c r="K446" i="6" s="1"/>
  <c r="AJ84" i="10"/>
  <c r="J290" i="6"/>
  <c r="K290" i="6" s="1"/>
  <c r="J49" i="6"/>
  <c r="K49" i="6" s="1"/>
  <c r="J443" i="6"/>
  <c r="K443" i="6" s="1"/>
  <c r="J107" i="6"/>
  <c r="K107" i="6" s="1"/>
  <c r="J321" i="6"/>
  <c r="K321" i="6" s="1"/>
  <c r="AJ309" i="10"/>
  <c r="J103" i="6"/>
  <c r="K103" i="6" s="1"/>
  <c r="J199" i="6"/>
  <c r="K199" i="6" s="1"/>
  <c r="AJ141" i="10"/>
  <c r="J163" i="6"/>
  <c r="K163" i="6" s="1"/>
  <c r="AJ46" i="10"/>
  <c r="J202" i="6"/>
  <c r="K202" i="6" s="1"/>
  <c r="J438" i="6"/>
  <c r="K438" i="6" s="1"/>
  <c r="AJ188" i="10"/>
  <c r="J214" i="6"/>
  <c r="K214" i="6" s="1"/>
  <c r="AJ160" i="10"/>
  <c r="J16" i="6"/>
  <c r="K16" i="6" s="1"/>
  <c r="AJ64" i="10"/>
  <c r="J14" i="6"/>
  <c r="K14" i="6" s="1"/>
  <c r="J314" i="6"/>
  <c r="K314" i="6" s="1"/>
  <c r="AJ293" i="10"/>
  <c r="J164" i="6"/>
  <c r="K164" i="6" s="1"/>
  <c r="AJ117" i="10"/>
  <c r="J348" i="6"/>
  <c r="K348" i="6" s="1"/>
  <c r="AJ173" i="10"/>
  <c r="J365" i="6"/>
  <c r="K365" i="6" s="1"/>
  <c r="J425" i="6"/>
  <c r="K425" i="6" s="1"/>
  <c r="AJ147" i="10"/>
  <c r="J182" i="6"/>
  <c r="K182" i="6" s="1"/>
  <c r="AJ128" i="10"/>
  <c r="J372" i="6"/>
  <c r="K372" i="6" s="1"/>
  <c r="J133" i="6"/>
  <c r="K133" i="6" s="1"/>
  <c r="J415" i="6"/>
  <c r="K415" i="6" s="1"/>
  <c r="AJ303" i="10"/>
  <c r="J158" i="6"/>
  <c r="K158" i="6" s="1"/>
  <c r="AJ89" i="10"/>
  <c r="J362" i="6"/>
  <c r="K362" i="6" s="1"/>
  <c r="AJ106" i="10"/>
  <c r="J282" i="6"/>
  <c r="K282" i="6" s="1"/>
  <c r="AJ83" i="10"/>
  <c r="J190" i="6"/>
  <c r="K190" i="6" s="1"/>
  <c r="AJ305" i="10"/>
  <c r="J127" i="6"/>
  <c r="K127" i="6" s="1"/>
  <c r="J328" i="6"/>
  <c r="K328" i="6" s="1"/>
  <c r="AJ281" i="10"/>
  <c r="J81" i="6"/>
  <c r="K81" i="6" s="1"/>
  <c r="J269" i="6"/>
  <c r="K269" i="6" s="1"/>
  <c r="J435" i="6"/>
  <c r="K435" i="6" s="1"/>
  <c r="AJ241" i="10"/>
  <c r="J116" i="6"/>
  <c r="K116" i="6" s="1"/>
  <c r="J306" i="6"/>
  <c r="K306" i="6" s="1"/>
  <c r="AJ163" i="10"/>
  <c r="J89" i="6"/>
  <c r="K89" i="6" s="1"/>
  <c r="AJ243" i="10"/>
  <c r="J114" i="6"/>
  <c r="K114" i="6" s="1"/>
  <c r="AJ262" i="10"/>
  <c r="J70" i="6"/>
  <c r="K70" i="6" s="1"/>
  <c r="AJ189" i="10"/>
  <c r="J68" i="6"/>
  <c r="K68" i="6" s="1"/>
  <c r="AJ161" i="10"/>
  <c r="J292" i="6"/>
  <c r="K292" i="6" s="1"/>
  <c r="AJ204" i="10"/>
  <c r="J285" i="6"/>
  <c r="K285" i="6" s="1"/>
  <c r="AJ86" i="10"/>
  <c r="J381" i="6"/>
  <c r="K381" i="6" s="1"/>
  <c r="J52" i="6"/>
  <c r="K52" i="6" s="1"/>
  <c r="AJ14" i="10"/>
  <c r="J15" i="6"/>
  <c r="K15" i="6" s="1"/>
  <c r="AJ208" i="10"/>
  <c r="J140" i="6"/>
  <c r="K140" i="6" s="1"/>
  <c r="J351" i="6"/>
  <c r="K351" i="6" s="1"/>
  <c r="AJ266" i="10"/>
  <c r="J58" i="6"/>
  <c r="K58" i="6" s="1"/>
  <c r="J246" i="6"/>
  <c r="K246" i="6" s="1"/>
  <c r="J76" i="6"/>
  <c r="K76" i="6" s="1"/>
  <c r="AJ297" i="10"/>
  <c r="J244" i="6"/>
  <c r="K244" i="6" s="1"/>
  <c r="AJ104" i="10"/>
  <c r="J316" i="6"/>
  <c r="K316" i="6" s="1"/>
  <c r="AJ310" i="10"/>
  <c r="J200" i="6"/>
  <c r="K200" i="6" s="1"/>
  <c r="AJ10" i="10"/>
  <c r="J313" i="6"/>
  <c r="K313" i="6" s="1"/>
  <c r="J13" i="6"/>
  <c r="K13" i="6" s="1"/>
  <c r="AJ108" i="10"/>
  <c r="J213" i="6"/>
  <c r="K213" i="6" s="1"/>
  <c r="J424" i="6"/>
  <c r="K424" i="6" s="1"/>
  <c r="J59" i="6"/>
  <c r="K59" i="6" s="1"/>
  <c r="AJ22" i="10"/>
  <c r="J417" i="6"/>
  <c r="K417" i="6" s="1"/>
  <c r="AJ274" i="10"/>
  <c r="J261" i="6"/>
  <c r="K261" i="6" s="1"/>
  <c r="J115" i="6"/>
  <c r="K115" i="6" s="1"/>
  <c r="AJ19" i="10"/>
  <c r="J108" i="6"/>
  <c r="K108" i="6" s="1"/>
  <c r="AJ236" i="10"/>
  <c r="J17" i="6"/>
  <c r="K17" i="6" s="1"/>
  <c r="AJ207" i="10"/>
  <c r="J276" i="6"/>
  <c r="K276" i="6" s="1"/>
  <c r="J426" i="6"/>
  <c r="K426" i="6" s="1"/>
  <c r="AJ124" i="10"/>
  <c r="J146" i="6"/>
  <c r="K146" i="6" s="1"/>
  <c r="J180" i="6"/>
  <c r="K180" i="6" s="1"/>
  <c r="J378" i="6"/>
  <c r="K378" i="6" s="1"/>
  <c r="AJ183" i="10"/>
  <c r="J391" i="6"/>
  <c r="K391" i="6" s="1"/>
  <c r="J448" i="6"/>
  <c r="K448" i="6" s="1"/>
  <c r="AJ285" i="10"/>
  <c r="J157" i="6"/>
  <c r="K157" i="6" s="1"/>
  <c r="AJ222" i="10"/>
  <c r="J259" i="6"/>
  <c r="K259" i="6" s="1"/>
  <c r="J136" i="6"/>
  <c r="K136" i="6" s="1"/>
  <c r="AJ23" i="10"/>
  <c r="J379" i="6"/>
  <c r="K379" i="6" s="1"/>
  <c r="AJ107" i="10"/>
  <c r="J445" i="6"/>
  <c r="K445" i="6" s="1"/>
  <c r="J389" i="6"/>
  <c r="K389" i="6" s="1"/>
  <c r="AJ20" i="10"/>
  <c r="J281" i="6"/>
  <c r="K281" i="6" s="1"/>
  <c r="AJ57" i="10"/>
  <c r="J43" i="6"/>
  <c r="K43" i="6" s="1"/>
  <c r="AJ71" i="10"/>
  <c r="J371" i="6"/>
  <c r="K371" i="6" s="1"/>
  <c r="J441" i="6"/>
  <c r="K441" i="6" s="1"/>
  <c r="AJ275" i="10"/>
  <c r="J50" i="6"/>
  <c r="K50" i="6" s="1"/>
  <c r="J397" i="6"/>
  <c r="K397" i="6" s="1"/>
  <c r="AJ134" i="10"/>
  <c r="J408" i="6"/>
  <c r="K408" i="6" s="1"/>
  <c r="AJ230" i="10"/>
  <c r="J225" i="6"/>
  <c r="K225" i="6" s="1"/>
  <c r="J55" i="6"/>
  <c r="K55" i="6" s="1"/>
  <c r="AJ49" i="10"/>
  <c r="J161" i="6"/>
  <c r="K161" i="6" s="1"/>
  <c r="AJ62" i="10"/>
  <c r="J323" i="6"/>
  <c r="K323" i="6" s="1"/>
  <c r="AJ215" i="10"/>
  <c r="J319" i="6"/>
  <c r="K319" i="6" s="1"/>
  <c r="AJ252" i="10"/>
  <c r="J334" i="6"/>
  <c r="K334" i="6" s="1"/>
  <c r="AJ250" i="10"/>
  <c r="J208" i="6"/>
  <c r="K208" i="6" s="1"/>
  <c r="J456" i="6"/>
  <c r="K456" i="6" s="1"/>
  <c r="AJ79" i="10"/>
  <c r="J204" i="6"/>
  <c r="K204" i="6" s="1"/>
  <c r="J442" i="6"/>
  <c r="K442" i="6" s="1"/>
  <c r="AJ13" i="10"/>
  <c r="J405" i="6"/>
  <c r="K405" i="6" s="1"/>
  <c r="AJ82" i="10"/>
  <c r="J47" i="6"/>
  <c r="K47" i="6" s="1"/>
  <c r="J212" i="6"/>
  <c r="K212" i="6" s="1"/>
  <c r="J420" i="6"/>
  <c r="K420" i="6" s="1"/>
  <c r="AJ25" i="10"/>
  <c r="J23" i="6"/>
  <c r="K23" i="6" s="1"/>
  <c r="J322" i="6"/>
  <c r="K322" i="6" s="1"/>
  <c r="AJ24" i="10"/>
  <c r="J201" i="6"/>
  <c r="K201" i="6" s="1"/>
  <c r="J436" i="6"/>
  <c r="K436" i="6" s="1"/>
  <c r="AJ273" i="10"/>
  <c r="J155" i="6"/>
  <c r="K155" i="6" s="1"/>
  <c r="AJ90" i="10"/>
  <c r="J159" i="6"/>
  <c r="K159" i="6" s="1"/>
  <c r="AJ111" i="10"/>
  <c r="J406" i="6"/>
  <c r="K406" i="6" s="1"/>
  <c r="AJ81" i="10"/>
  <c r="J221" i="6"/>
  <c r="K221" i="6" s="1"/>
  <c r="J45" i="6"/>
  <c r="K45" i="6" s="1"/>
  <c r="AJ298" i="10"/>
  <c r="J268" i="6"/>
  <c r="K268" i="6" s="1"/>
  <c r="J433" i="6"/>
  <c r="K433" i="6" s="1"/>
  <c r="AJ205" i="10"/>
  <c r="J293" i="6"/>
  <c r="K293" i="6" s="1"/>
  <c r="J451" i="6"/>
  <c r="K451" i="6" s="1"/>
  <c r="AJ112" i="10"/>
  <c r="J73" i="6"/>
  <c r="K73" i="6" s="1"/>
  <c r="J253" i="6"/>
  <c r="K253" i="6" s="1"/>
  <c r="J171" i="6"/>
  <c r="K171" i="6" s="1"/>
  <c r="J98" i="6"/>
  <c r="K98" i="6" s="1"/>
  <c r="AJ304" i="10"/>
  <c r="J101" i="6"/>
  <c r="K101" i="6" s="1"/>
  <c r="J245" i="6"/>
  <c r="K245" i="6" s="1"/>
  <c r="AJ126" i="10"/>
  <c r="J77" i="6"/>
  <c r="K77" i="6" s="1"/>
  <c r="AJ27" i="10"/>
  <c r="J298" i="6"/>
  <c r="K298" i="6" s="1"/>
  <c r="J137" i="6"/>
  <c r="K137" i="6" s="1"/>
  <c r="AJ47" i="10"/>
  <c r="J53" i="6"/>
  <c r="K53" i="6" s="1"/>
  <c r="J219" i="6"/>
  <c r="K219" i="6" s="1"/>
  <c r="AJ125" i="10"/>
  <c r="J75" i="6"/>
  <c r="K75" i="6" s="1"/>
  <c r="J235" i="6"/>
  <c r="K235" i="6" s="1"/>
  <c r="AJ192" i="10"/>
  <c r="J195" i="6"/>
  <c r="K195" i="6" s="1"/>
  <c r="AJ253" i="10"/>
  <c r="J48" i="6"/>
  <c r="K48" i="6" s="1"/>
  <c r="J216" i="6"/>
  <c r="K216" i="6" s="1"/>
  <c r="J430" i="6"/>
  <c r="K430" i="6" s="1"/>
  <c r="AJ69" i="10"/>
  <c r="J315" i="6"/>
  <c r="K315" i="6" s="1"/>
  <c r="AJ51" i="10"/>
  <c r="J162" i="6"/>
  <c r="K162" i="6" s="1"/>
  <c r="AJ152" i="10"/>
  <c r="J60" i="6"/>
  <c r="K60" i="6" s="1"/>
  <c r="J344" i="6"/>
  <c r="K344" i="6" s="1"/>
  <c r="AJ313" i="10"/>
  <c r="J398" i="6"/>
  <c r="K398" i="6" s="1"/>
  <c r="J459" i="6"/>
  <c r="K459" i="6" s="1"/>
  <c r="AJ121" i="10"/>
  <c r="J72" i="6"/>
  <c r="K72" i="6" s="1"/>
  <c r="J324" i="6"/>
  <c r="K324" i="6" s="1"/>
  <c r="AJ306" i="10"/>
  <c r="J227" i="6"/>
  <c r="K227" i="6" s="1"/>
  <c r="AJ251" i="10"/>
  <c r="J33" i="6"/>
  <c r="K33" i="6" s="1"/>
  <c r="J215" i="6"/>
  <c r="K215" i="6" s="1"/>
  <c r="J429" i="6"/>
  <c r="K429" i="6" s="1"/>
  <c r="AJ193" i="10"/>
  <c r="J449" i="6"/>
  <c r="K449" i="6" s="1"/>
  <c r="J392" i="6"/>
  <c r="K392" i="6" s="1"/>
  <c r="AJ265" i="10"/>
  <c r="J168" i="6"/>
  <c r="K168" i="6" s="1"/>
  <c r="J414" i="6"/>
  <c r="K414" i="6" s="1"/>
  <c r="AJ249" i="10"/>
  <c r="J455" i="6"/>
  <c r="K455" i="6" s="1"/>
  <c r="AJ219" i="10"/>
  <c r="J123" i="6"/>
  <c r="K123" i="6" s="1"/>
  <c r="J185" i="6"/>
  <c r="K185" i="6" s="1"/>
  <c r="AJ54" i="10"/>
  <c r="J358" i="6"/>
  <c r="K358" i="6" s="1"/>
  <c r="AJ9" i="10"/>
  <c r="J342" i="6"/>
  <c r="K342" i="6" s="1"/>
  <c r="J416" i="6"/>
  <c r="K416" i="6" s="1"/>
  <c r="AJ194" i="10"/>
  <c r="J196" i="6"/>
  <c r="K196" i="6" s="1"/>
  <c r="J31" i="6"/>
  <c r="K31" i="6" s="1"/>
  <c r="AJ175" i="10"/>
  <c r="J128" i="6"/>
  <c r="K128" i="6" s="1"/>
  <c r="J402" i="6"/>
  <c r="K402" i="6" s="1"/>
  <c r="J145" i="6"/>
  <c r="K145" i="6" s="1"/>
  <c r="J264" i="6"/>
  <c r="K264" i="6" s="1"/>
  <c r="J122" i="6"/>
  <c r="K122" i="6" s="1"/>
  <c r="AJ34" i="10"/>
  <c r="J28" i="6"/>
  <c r="K28" i="6" s="1"/>
  <c r="J181" i="6"/>
  <c r="K181" i="6" s="1"/>
  <c r="AJ74" i="10"/>
  <c r="J61" i="6"/>
  <c r="K61" i="6" s="1"/>
  <c r="J250" i="6"/>
  <c r="K250" i="6" s="1"/>
  <c r="J20" i="6"/>
  <c r="K20" i="6" s="1"/>
  <c r="J311" i="6"/>
  <c r="K311" i="6" s="1"/>
  <c r="AJ35" i="10"/>
  <c r="J247" i="6"/>
  <c r="K247" i="6" s="1"/>
  <c r="J134" i="6"/>
  <c r="K134" i="6" s="1"/>
  <c r="AJ50" i="10"/>
  <c r="J361" i="6"/>
  <c r="K361" i="6" s="1"/>
  <c r="AJ270" i="10"/>
  <c r="J377" i="6"/>
  <c r="K377" i="6" s="1"/>
  <c r="AJ276" i="10"/>
  <c r="J327" i="6"/>
  <c r="K327" i="6" s="1"/>
  <c r="J24" i="6"/>
  <c r="K24" i="6" s="1"/>
  <c r="AJ234" i="10"/>
  <c r="J173" i="6"/>
  <c r="K173" i="6" s="1"/>
  <c r="J384" i="6"/>
  <c r="K384" i="6" s="1"/>
  <c r="AJ256" i="10"/>
  <c r="J130" i="6"/>
  <c r="K130" i="6" s="1"/>
  <c r="J346" i="6"/>
  <c r="K346" i="6" s="1"/>
  <c r="AJ29" i="10"/>
  <c r="J356" i="6"/>
  <c r="K356" i="6" s="1"/>
  <c r="AJ95" i="10"/>
  <c r="J94" i="6"/>
  <c r="K94" i="6" s="1"/>
  <c r="AJ172" i="10"/>
  <c r="J92" i="6"/>
  <c r="K92" i="6" s="1"/>
  <c r="J237" i="6"/>
  <c r="K237" i="6" s="1"/>
  <c r="AJ129" i="10"/>
  <c r="J179" i="6"/>
  <c r="K179" i="6" s="1"/>
  <c r="J373" i="6"/>
  <c r="K373" i="6" s="1"/>
  <c r="AJ198" i="10"/>
  <c r="J74" i="6"/>
  <c r="K74" i="6" s="1"/>
  <c r="J257" i="6"/>
  <c r="K257" i="6" s="1"/>
  <c r="AJ135" i="10"/>
  <c r="J85" i="6"/>
  <c r="K85" i="6" s="1"/>
  <c r="J112" i="6"/>
  <c r="K112" i="6" s="1"/>
  <c r="AJ140" i="10"/>
  <c r="J172" i="6"/>
  <c r="K172" i="6" s="1"/>
  <c r="J302" i="6"/>
  <c r="K302" i="6" s="1"/>
  <c r="AJ66" i="10"/>
  <c r="J34" i="6"/>
  <c r="K34" i="6" s="1"/>
  <c r="J79" i="6"/>
  <c r="K79" i="6" s="1"/>
  <c r="AJ235" i="10"/>
  <c r="J241" i="6"/>
  <c r="K241" i="6" s="1"/>
  <c r="AI182" i="10"/>
  <c r="H10" i="22"/>
  <c r="I358" i="10"/>
  <c r="AI358" i="10" s="1"/>
  <c r="AJ318" i="10"/>
  <c r="R200" i="10"/>
  <c r="S200" i="10" s="1"/>
  <c r="T200" i="10" s="1"/>
  <c r="AA200" i="10"/>
  <c r="M201" i="13"/>
  <c r="AC200" i="10"/>
  <c r="M184" i="13"/>
  <c r="E123" i="15" s="1"/>
  <c r="R183" i="10"/>
  <c r="S183" i="10" s="1"/>
  <c r="T183" i="10" s="1"/>
  <c r="AA183" i="10"/>
  <c r="M21" i="13"/>
  <c r="E15" i="15" s="1"/>
  <c r="AA20" i="10"/>
  <c r="R20" i="10"/>
  <c r="S20" i="10" s="1"/>
  <c r="T20" i="10" s="1"/>
  <c r="AC20" i="10"/>
  <c r="M203" i="13"/>
  <c r="E133" i="15" s="1"/>
  <c r="AA202" i="10"/>
  <c r="R202" i="10"/>
  <c r="S202" i="10" s="1"/>
  <c r="T202" i="10" s="1"/>
  <c r="M171" i="13"/>
  <c r="E111" i="15" s="1"/>
  <c r="AA170" i="10"/>
  <c r="R170" i="10"/>
  <c r="S170" i="10" s="1"/>
  <c r="T170" i="10" s="1"/>
  <c r="AC170" i="10"/>
  <c r="AA222" i="10"/>
  <c r="R222" i="10"/>
  <c r="S222" i="10" s="1"/>
  <c r="T222" i="10" s="1"/>
  <c r="AB222" i="10" s="1"/>
  <c r="M223" i="13"/>
  <c r="AC222" i="10"/>
  <c r="M42" i="13"/>
  <c r="AA41" i="10"/>
  <c r="R41" i="10"/>
  <c r="S41" i="10" s="1"/>
  <c r="T41" i="10" s="1"/>
  <c r="M162" i="13"/>
  <c r="E103" i="15" s="1"/>
  <c r="AA161" i="10"/>
  <c r="R161" i="10"/>
  <c r="S161" i="10" s="1"/>
  <c r="T161" i="10" s="1"/>
  <c r="X161" i="10" s="1"/>
  <c r="Y161" i="10" s="1"/>
  <c r="M276" i="13"/>
  <c r="E182" i="15" s="1"/>
  <c r="AA275" i="10"/>
  <c r="R275" i="10"/>
  <c r="S275" i="10" s="1"/>
  <c r="T275" i="10" s="1"/>
  <c r="R155" i="10"/>
  <c r="S155" i="10" s="1"/>
  <c r="T155" i="10" s="1"/>
  <c r="AC155" i="10"/>
  <c r="AA155" i="10"/>
  <c r="M156" i="13"/>
  <c r="E97" i="15" s="1"/>
  <c r="AA345" i="10"/>
  <c r="M346" i="13"/>
  <c r="AJ345" i="10"/>
  <c r="R345" i="10"/>
  <c r="S345" i="10" s="1"/>
  <c r="T345" i="10" s="1"/>
  <c r="M248" i="13"/>
  <c r="AA247" i="10"/>
  <c r="R247" i="10"/>
  <c r="S247" i="10" s="1"/>
  <c r="T247" i="10" s="1"/>
  <c r="AC247" i="10"/>
  <c r="AA45" i="10"/>
  <c r="M46" i="13"/>
  <c r="R45" i="10"/>
  <c r="S45" i="10" s="1"/>
  <c r="T45" i="10" s="1"/>
  <c r="R277" i="10"/>
  <c r="S277" i="10" s="1"/>
  <c r="T277" i="10" s="1"/>
  <c r="AA277" i="10"/>
  <c r="M278" i="13"/>
  <c r="E183" i="15" s="1"/>
  <c r="AC277" i="10"/>
  <c r="AA220" i="10"/>
  <c r="M221" i="13"/>
  <c r="E146" i="15" s="1"/>
  <c r="R220" i="10"/>
  <c r="S220" i="10" s="1"/>
  <c r="T220" i="10" s="1"/>
  <c r="AC220" i="10"/>
  <c r="M149" i="13"/>
  <c r="E94" i="15" s="1"/>
  <c r="AA148" i="10"/>
  <c r="R148" i="10"/>
  <c r="S148" i="10" s="1"/>
  <c r="T148" i="10" s="1"/>
  <c r="R215" i="10"/>
  <c r="S215" i="10" s="1"/>
  <c r="T215" i="10" s="1"/>
  <c r="M216" i="13"/>
  <c r="E141" i="15" s="1"/>
  <c r="AA215" i="10"/>
  <c r="M54" i="13"/>
  <c r="R53" i="10"/>
  <c r="S53" i="10" s="1"/>
  <c r="T53" i="10" s="1"/>
  <c r="AA53" i="10"/>
  <c r="M191" i="13"/>
  <c r="E127" i="15" s="1"/>
  <c r="R190" i="10"/>
  <c r="S190" i="10" s="1"/>
  <c r="T190" i="10" s="1"/>
  <c r="AA190" i="10"/>
  <c r="M265" i="13"/>
  <c r="E175" i="15" s="1"/>
  <c r="R264" i="10"/>
  <c r="S264" i="10" s="1"/>
  <c r="T264" i="10" s="1"/>
  <c r="AA264" i="10"/>
  <c r="AC264" i="10"/>
  <c r="M274" i="13"/>
  <c r="AA273" i="10"/>
  <c r="R273" i="10"/>
  <c r="S273" i="10" s="1"/>
  <c r="T273" i="10" s="1"/>
  <c r="AA90" i="10"/>
  <c r="R90" i="10"/>
  <c r="S90" i="10" s="1"/>
  <c r="T90" i="10" s="1"/>
  <c r="M91" i="13"/>
  <c r="AC90" i="10"/>
  <c r="AA85" i="10"/>
  <c r="R85" i="10"/>
  <c r="S85" i="10" s="1"/>
  <c r="T85" i="10" s="1"/>
  <c r="M86" i="13"/>
  <c r="E55" i="15" s="1"/>
  <c r="AC85" i="10"/>
  <c r="R351" i="10"/>
  <c r="S351" i="10" s="1"/>
  <c r="T351" i="10" s="1"/>
  <c r="AA351" i="10"/>
  <c r="M352" i="13"/>
  <c r="AJ351" i="10"/>
  <c r="AC351" i="10"/>
  <c r="M56" i="13"/>
  <c r="E37" i="15" s="1"/>
  <c r="R55" i="10"/>
  <c r="S55" i="10" s="1"/>
  <c r="T55" i="10" s="1"/>
  <c r="AA55" i="10"/>
  <c r="M197" i="13"/>
  <c r="R196" i="10"/>
  <c r="S196" i="10" s="1"/>
  <c r="T196" i="10" s="1"/>
  <c r="AA196" i="10"/>
  <c r="M268" i="13"/>
  <c r="E176" i="15" s="1"/>
  <c r="AA267" i="10"/>
  <c r="R267" i="10"/>
  <c r="S267" i="10" s="1"/>
  <c r="T267" i="10" s="1"/>
  <c r="R279" i="10"/>
  <c r="S279" i="10" s="1"/>
  <c r="T279" i="10" s="1"/>
  <c r="AA279" i="10"/>
  <c r="M280" i="13"/>
  <c r="E185" i="15" s="1"/>
  <c r="AC279" i="10"/>
  <c r="J10" i="6"/>
  <c r="K10" i="6" s="1"/>
  <c r="M359" i="13" s="1"/>
  <c r="M217" i="13"/>
  <c r="E142" i="15" s="1"/>
  <c r="AA216" i="10"/>
  <c r="R216" i="10"/>
  <c r="S216" i="10" s="1"/>
  <c r="T216" i="10" s="1"/>
  <c r="AC216" i="10"/>
  <c r="M154" i="13"/>
  <c r="AA153" i="10"/>
  <c r="R153" i="10"/>
  <c r="S153" i="10" s="1"/>
  <c r="T153" i="10" s="1"/>
  <c r="AA308" i="10"/>
  <c r="M309" i="13"/>
  <c r="R308" i="10"/>
  <c r="S308" i="10" s="1"/>
  <c r="T308" i="10" s="1"/>
  <c r="R158" i="10"/>
  <c r="S158" i="10" s="1"/>
  <c r="T158" i="10" s="1"/>
  <c r="M159" i="13"/>
  <c r="E100" i="15" s="1"/>
  <c r="AA158" i="10"/>
  <c r="AA182" i="10"/>
  <c r="M183" i="13"/>
  <c r="E122" i="15" s="1"/>
  <c r="R182" i="10"/>
  <c r="S182" i="10" s="1"/>
  <c r="T182" i="10" s="1"/>
  <c r="AC182" i="10"/>
  <c r="R253" i="10"/>
  <c r="S253" i="10" s="1"/>
  <c r="T253" i="10" s="1"/>
  <c r="M254" i="13"/>
  <c r="AA253" i="10"/>
  <c r="AA219" i="10"/>
  <c r="R219" i="10"/>
  <c r="S219" i="10" s="1"/>
  <c r="T219" i="10" s="1"/>
  <c r="M220" i="13"/>
  <c r="E145" i="15" s="1"/>
  <c r="AC219" i="10"/>
  <c r="AA231" i="10"/>
  <c r="M232" i="13"/>
  <c r="R231" i="10"/>
  <c r="S231" i="10" s="1"/>
  <c r="T231" i="10" s="1"/>
  <c r="M176" i="13"/>
  <c r="E115" i="15" s="1"/>
  <c r="AA175" i="10"/>
  <c r="R175" i="10"/>
  <c r="S175" i="10" s="1"/>
  <c r="T175" i="10" s="1"/>
  <c r="AC175" i="10"/>
  <c r="M99" i="13"/>
  <c r="AA98" i="10"/>
  <c r="R98" i="10"/>
  <c r="S98" i="10" s="1"/>
  <c r="T98" i="10" s="1"/>
  <c r="AC98" i="10"/>
  <c r="M233" i="13"/>
  <c r="E155" i="15" s="1"/>
  <c r="AA232" i="10"/>
  <c r="R232" i="10"/>
  <c r="S232" i="10" s="1"/>
  <c r="T232" i="10" s="1"/>
  <c r="R315" i="10"/>
  <c r="S315" i="10" s="1"/>
  <c r="T315" i="10" s="1"/>
  <c r="M316" i="13"/>
  <c r="E211" i="15" s="1"/>
  <c r="AA315" i="10"/>
  <c r="AC315" i="10"/>
  <c r="AJ334" i="10"/>
  <c r="M335" i="13"/>
  <c r="R334" i="10"/>
  <c r="S334" i="10" s="1"/>
  <c r="T334" i="10" s="1"/>
  <c r="AA334" i="10"/>
  <c r="AC334" i="10"/>
  <c r="M271" i="13"/>
  <c r="E179" i="15" s="1"/>
  <c r="R270" i="10"/>
  <c r="S270" i="10" s="1"/>
  <c r="T270" i="10" s="1"/>
  <c r="AA270" i="10"/>
  <c r="M235" i="13"/>
  <c r="AA234" i="10"/>
  <c r="R234" i="10"/>
  <c r="S234" i="10" s="1"/>
  <c r="T234" i="10" s="1"/>
  <c r="M225" i="13"/>
  <c r="E149" i="15" s="1"/>
  <c r="AA224" i="10"/>
  <c r="R224" i="10"/>
  <c r="S224" i="10" s="1"/>
  <c r="T224" i="10" s="1"/>
  <c r="M150" i="13"/>
  <c r="R149" i="10"/>
  <c r="S149" i="10" s="1"/>
  <c r="T149" i="10" s="1"/>
  <c r="AA149" i="10"/>
  <c r="AC149" i="10"/>
  <c r="R331" i="10"/>
  <c r="S331" i="10" s="1"/>
  <c r="T331" i="10" s="1"/>
  <c r="M332" i="13"/>
  <c r="E222" i="15" s="1"/>
  <c r="AJ331" i="10"/>
  <c r="AA331" i="10"/>
  <c r="M94" i="13"/>
  <c r="E60" i="15" s="1"/>
  <c r="R93" i="10"/>
  <c r="S93" i="10" s="1"/>
  <c r="T93" i="10" s="1"/>
  <c r="AA93" i="10"/>
  <c r="M128" i="13"/>
  <c r="E81" i="15" s="1"/>
  <c r="AA127" i="10"/>
  <c r="R127" i="10"/>
  <c r="S127" i="10" s="1"/>
  <c r="T127" i="10" s="1"/>
  <c r="AC127" i="10"/>
  <c r="R11" i="10"/>
  <c r="S11" i="10" s="1"/>
  <c r="T11" i="10" s="1"/>
  <c r="M12" i="13"/>
  <c r="E10" i="15" s="1"/>
  <c r="AA11" i="10"/>
  <c r="M258" i="13"/>
  <c r="E172" i="15" s="1"/>
  <c r="AA257" i="10"/>
  <c r="R257" i="10"/>
  <c r="S257" i="10" s="1"/>
  <c r="T257" i="10" s="1"/>
  <c r="M321" i="13"/>
  <c r="E214" i="15" s="1"/>
  <c r="R320" i="10"/>
  <c r="S320" i="10" s="1"/>
  <c r="T320" i="10" s="1"/>
  <c r="AA320" i="10"/>
  <c r="M136" i="13"/>
  <c r="AA135" i="10"/>
  <c r="R135" i="10"/>
  <c r="S135" i="10" s="1"/>
  <c r="T135" i="10" s="1"/>
  <c r="AA68" i="10"/>
  <c r="M69" i="13"/>
  <c r="R68" i="10"/>
  <c r="S68" i="10" s="1"/>
  <c r="T68" i="10" s="1"/>
  <c r="M107" i="13"/>
  <c r="E71" i="15" s="1"/>
  <c r="AA106" i="10"/>
  <c r="R106" i="10"/>
  <c r="S106" i="10" s="1"/>
  <c r="T106" i="10" s="1"/>
  <c r="AC106" i="10"/>
  <c r="AA83" i="10"/>
  <c r="M84" i="13"/>
  <c r="E53" i="15" s="1"/>
  <c r="R83" i="10"/>
  <c r="S83" i="10" s="1"/>
  <c r="T83" i="10" s="1"/>
  <c r="AC83" i="10"/>
  <c r="AA281" i="10"/>
  <c r="R281" i="10"/>
  <c r="S281" i="10" s="1"/>
  <c r="T281" i="10" s="1"/>
  <c r="M282" i="13"/>
  <c r="E187" i="15" s="1"/>
  <c r="AC281" i="10"/>
  <c r="AA244" i="10"/>
  <c r="M245" i="13"/>
  <c r="E162" i="15" s="1"/>
  <c r="R244" i="10"/>
  <c r="S244" i="10" s="1"/>
  <c r="T244" i="10" s="1"/>
  <c r="R26" i="10"/>
  <c r="S26" i="10" s="1"/>
  <c r="T26" i="10" s="1"/>
  <c r="AA26" i="10"/>
  <c r="M27" i="13"/>
  <c r="E19" i="15" s="1"/>
  <c r="AC26" i="10"/>
  <c r="R88" i="10"/>
  <c r="S88" i="10" s="1"/>
  <c r="T88" i="10" s="1"/>
  <c r="M89" i="13"/>
  <c r="E56" i="15" s="1"/>
  <c r="AA88" i="10"/>
  <c r="M324" i="13"/>
  <c r="E217" i="15" s="1"/>
  <c r="AA323" i="10"/>
  <c r="R323" i="10"/>
  <c r="S323" i="10" s="1"/>
  <c r="T323" i="10" s="1"/>
  <c r="AJ323" i="10"/>
  <c r="M74" i="13"/>
  <c r="E47" i="15" s="1"/>
  <c r="R73" i="10"/>
  <c r="S73" i="10" s="1"/>
  <c r="T73" i="10" s="1"/>
  <c r="AA73" i="10"/>
  <c r="AA23" i="10"/>
  <c r="R23" i="10"/>
  <c r="S23" i="10" s="1"/>
  <c r="T23" i="10" s="1"/>
  <c r="M24" i="13"/>
  <c r="E17" i="15" s="1"/>
  <c r="AA291" i="10"/>
  <c r="R291" i="10"/>
  <c r="S291" i="10" s="1"/>
  <c r="T291" i="10" s="1"/>
  <c r="M292" i="13"/>
  <c r="E193" i="15" s="1"/>
  <c r="AC291" i="10"/>
  <c r="R124" i="10"/>
  <c r="S124" i="10" s="1"/>
  <c r="T124" i="10" s="1"/>
  <c r="AA124" i="10"/>
  <c r="M125" i="13"/>
  <c r="E80" i="15" s="1"/>
  <c r="R171" i="10"/>
  <c r="S171" i="10" s="1"/>
  <c r="T171" i="10" s="1"/>
  <c r="AA171" i="10"/>
  <c r="M172" i="13"/>
  <c r="E112" i="15" s="1"/>
  <c r="R243" i="10"/>
  <c r="S243" i="10" s="1"/>
  <c r="T243" i="10" s="1"/>
  <c r="AA243" i="10"/>
  <c r="M244" i="13"/>
  <c r="R101" i="10"/>
  <c r="S101" i="10" s="1"/>
  <c r="T101" i="10" s="1"/>
  <c r="M102" i="13"/>
  <c r="E66" i="15" s="1"/>
  <c r="AA101" i="10"/>
  <c r="M229" i="13"/>
  <c r="AA228" i="10"/>
  <c r="R228" i="10"/>
  <c r="S228" i="10" s="1"/>
  <c r="T228" i="10" s="1"/>
  <c r="R348" i="10"/>
  <c r="S348" i="10" s="1"/>
  <c r="T348" i="10" s="1"/>
  <c r="AJ348" i="10"/>
  <c r="M349" i="13"/>
  <c r="E232" i="15" s="1"/>
  <c r="AA348" i="10"/>
  <c r="AC348" i="10"/>
  <c r="M205" i="13"/>
  <c r="E135" i="15" s="1"/>
  <c r="R204" i="10"/>
  <c r="S204" i="10" s="1"/>
  <c r="T204" i="10" s="1"/>
  <c r="AA204" i="10"/>
  <c r="AC204" i="10"/>
  <c r="M302" i="13"/>
  <c r="E201" i="15" s="1"/>
  <c r="AA301" i="10"/>
  <c r="R301" i="10"/>
  <c r="S301" i="10" s="1"/>
  <c r="T301" i="10" s="1"/>
  <c r="AC301" i="10"/>
  <c r="M119" i="13"/>
  <c r="AA118" i="10"/>
  <c r="R118" i="10"/>
  <c r="S118" i="10" s="1"/>
  <c r="T118" i="10" s="1"/>
  <c r="M80" i="13"/>
  <c r="E51" i="15" s="1"/>
  <c r="AA79" i="10"/>
  <c r="R79" i="10"/>
  <c r="S79" i="10" s="1"/>
  <c r="T79" i="10" s="1"/>
  <c r="AC79" i="10"/>
  <c r="AA116" i="10"/>
  <c r="R116" i="10"/>
  <c r="S116" i="10" s="1"/>
  <c r="T116" i="10" s="1"/>
  <c r="M117" i="13"/>
  <c r="E76" i="15" s="1"/>
  <c r="AC116" i="10"/>
  <c r="AA24" i="10"/>
  <c r="R24" i="10"/>
  <c r="S24" i="10" s="1"/>
  <c r="T24" i="10" s="1"/>
  <c r="M25" i="13"/>
  <c r="E18" i="15" s="1"/>
  <c r="AC24" i="10"/>
  <c r="R209" i="10"/>
  <c r="S209" i="10" s="1"/>
  <c r="T209" i="10" s="1"/>
  <c r="M210" i="13"/>
  <c r="AA209" i="10"/>
  <c r="AC209" i="10"/>
  <c r="AJ328" i="10"/>
  <c r="AA328" i="10"/>
  <c r="M329" i="13"/>
  <c r="E220" i="15" s="1"/>
  <c r="R328" i="10"/>
  <c r="S328" i="10" s="1"/>
  <c r="T328" i="10" s="1"/>
  <c r="AC328" i="10"/>
  <c r="M354" i="13"/>
  <c r="E236" i="15" s="1"/>
  <c r="R353" i="10"/>
  <c r="S353" i="10" s="1"/>
  <c r="T353" i="10" s="1"/>
  <c r="AJ353" i="10"/>
  <c r="AA353" i="10"/>
  <c r="AC353" i="10"/>
  <c r="M163" i="13"/>
  <c r="AA162" i="10"/>
  <c r="R162" i="10"/>
  <c r="S162" i="10" s="1"/>
  <c r="T162" i="10" s="1"/>
  <c r="AC162" i="10"/>
  <c r="M158" i="13"/>
  <c r="E99" i="15" s="1"/>
  <c r="R157" i="10"/>
  <c r="S157" i="10" s="1"/>
  <c r="T157" i="10" s="1"/>
  <c r="AA157" i="10"/>
  <c r="AC157" i="10"/>
  <c r="M106" i="13"/>
  <c r="E70" i="15" s="1"/>
  <c r="AA105" i="10"/>
  <c r="R105" i="10"/>
  <c r="S105" i="10" s="1"/>
  <c r="T105" i="10" s="1"/>
  <c r="AC105" i="10"/>
  <c r="M219" i="13"/>
  <c r="E144" i="15" s="1"/>
  <c r="AA218" i="10"/>
  <c r="R218" i="10"/>
  <c r="S218" i="10" s="1"/>
  <c r="T218" i="10" s="1"/>
  <c r="AC218" i="10"/>
  <c r="M45" i="13"/>
  <c r="E29" i="15" s="1"/>
  <c r="R44" i="10"/>
  <c r="S44" i="10" s="1"/>
  <c r="T44" i="10" s="1"/>
  <c r="AA44" i="10"/>
  <c r="AC44" i="10"/>
  <c r="AA223" i="10"/>
  <c r="R223" i="10"/>
  <c r="S223" i="10" s="1"/>
  <c r="T223" i="10" s="1"/>
  <c r="M224" i="13"/>
  <c r="E148" i="15" s="1"/>
  <c r="AC223" i="10"/>
  <c r="M312" i="13"/>
  <c r="E207" i="15" s="1"/>
  <c r="R311" i="10"/>
  <c r="S311" i="10" s="1"/>
  <c r="T311" i="10" s="1"/>
  <c r="AA311" i="10"/>
  <c r="AC311" i="10"/>
  <c r="R181" i="10"/>
  <c r="S181" i="10" s="1"/>
  <c r="T181" i="10" s="1"/>
  <c r="AA181" i="10"/>
  <c r="M182" i="13"/>
  <c r="E121" i="15" s="1"/>
  <c r="M137" i="13"/>
  <c r="R136" i="10"/>
  <c r="S136" i="10" s="1"/>
  <c r="T136" i="10" s="1"/>
  <c r="AA136" i="10"/>
  <c r="AC136" i="10"/>
  <c r="AA40" i="10"/>
  <c r="R40" i="10"/>
  <c r="S40" i="10" s="1"/>
  <c r="T40" i="10" s="1"/>
  <c r="M41" i="13"/>
  <c r="AC40" i="10"/>
  <c r="AA180" i="10"/>
  <c r="R180" i="10"/>
  <c r="S180" i="10" s="1"/>
  <c r="T180" i="10" s="1"/>
  <c r="M181" i="13"/>
  <c r="E120" i="15" s="1"/>
  <c r="AJ357" i="10"/>
  <c r="M358" i="13"/>
  <c r="AA357" i="10"/>
  <c r="R357" i="10"/>
  <c r="S357" i="10" s="1"/>
  <c r="T357" i="10" s="1"/>
  <c r="AC357" i="10"/>
  <c r="M200" i="13"/>
  <c r="AA199" i="10"/>
  <c r="R199" i="10"/>
  <c r="S199" i="10" s="1"/>
  <c r="T199" i="10" s="1"/>
  <c r="R265" i="10"/>
  <c r="S265" i="10" s="1"/>
  <c r="T265" i="10" s="1"/>
  <c r="AA265" i="10"/>
  <c r="M266" i="13"/>
  <c r="AC265" i="10"/>
  <c r="R332" i="10"/>
  <c r="S332" i="10" s="1"/>
  <c r="T332" i="10" s="1"/>
  <c r="AJ332" i="10"/>
  <c r="AA332" i="10"/>
  <c r="M333" i="13"/>
  <c r="E223" i="15" s="1"/>
  <c r="AC332" i="10"/>
  <c r="M261" i="13"/>
  <c r="R260" i="10"/>
  <c r="S260" i="10" s="1"/>
  <c r="T260" i="10" s="1"/>
  <c r="AA260" i="10"/>
  <c r="AC260" i="10"/>
  <c r="R54" i="10"/>
  <c r="S54" i="10" s="1"/>
  <c r="T54" i="10" s="1"/>
  <c r="AA54" i="10"/>
  <c r="M55" i="13"/>
  <c r="E36" i="15" s="1"/>
  <c r="AC54" i="10"/>
  <c r="M241" i="13"/>
  <c r="E160" i="15" s="1"/>
  <c r="AA240" i="10"/>
  <c r="R240" i="10"/>
  <c r="S240" i="10" s="1"/>
  <c r="T240" i="10" s="1"/>
  <c r="AC240" i="10"/>
  <c r="AJ329" i="10"/>
  <c r="M330" i="13"/>
  <c r="E221" i="15" s="1"/>
  <c r="AA329" i="10"/>
  <c r="R329" i="10"/>
  <c r="S329" i="10" s="1"/>
  <c r="T329" i="10" s="1"/>
  <c r="M311" i="13"/>
  <c r="E206" i="15" s="1"/>
  <c r="AA310" i="10"/>
  <c r="R310" i="10"/>
  <c r="S310" i="10" s="1"/>
  <c r="T310" i="10" s="1"/>
  <c r="AA318" i="10"/>
  <c r="M319" i="13"/>
  <c r="R318" i="10"/>
  <c r="AC318" i="10"/>
  <c r="R263" i="10"/>
  <c r="S263" i="10" s="1"/>
  <c r="T263" i="10" s="1"/>
  <c r="M264" i="13"/>
  <c r="AA263" i="10"/>
  <c r="AC263" i="10"/>
  <c r="R179" i="10"/>
  <c r="S179" i="10" s="1"/>
  <c r="T179" i="10" s="1"/>
  <c r="AA179" i="10"/>
  <c r="M180" i="13"/>
  <c r="E119" i="15" s="1"/>
  <c r="M281" i="13"/>
  <c r="E186" i="15" s="1"/>
  <c r="R280" i="10"/>
  <c r="S280" i="10" s="1"/>
  <c r="T280" i="10" s="1"/>
  <c r="X280" i="10" s="1"/>
  <c r="Y280" i="10" s="1"/>
  <c r="AA280" i="10"/>
  <c r="M185" i="13"/>
  <c r="E124" i="15" s="1"/>
  <c r="R184" i="10"/>
  <c r="S184" i="10" s="1"/>
  <c r="T184" i="10" s="1"/>
  <c r="AA184" i="10"/>
  <c r="AC184" i="10"/>
  <c r="AA108" i="10"/>
  <c r="M109" i="13"/>
  <c r="R108" i="10"/>
  <c r="S108" i="10" s="1"/>
  <c r="T108" i="10" s="1"/>
  <c r="M132" i="13"/>
  <c r="E83" i="15" s="1"/>
  <c r="R131" i="10"/>
  <c r="S131" i="10" s="1"/>
  <c r="T131" i="10" s="1"/>
  <c r="AA131" i="10"/>
  <c r="AC131" i="10"/>
  <c r="R165" i="10"/>
  <c r="S165" i="10" s="1"/>
  <c r="T165" i="10" s="1"/>
  <c r="M166" i="13"/>
  <c r="E106" i="15" s="1"/>
  <c r="AA165" i="10"/>
  <c r="AC165" i="10"/>
  <c r="M164" i="13"/>
  <c r="E104" i="15" s="1"/>
  <c r="AA163" i="10"/>
  <c r="R163" i="10"/>
  <c r="S163" i="10" s="1"/>
  <c r="T163" i="10" s="1"/>
  <c r="R48" i="10"/>
  <c r="S48" i="10" s="1"/>
  <c r="T48" i="10" s="1"/>
  <c r="AA48" i="10"/>
  <c r="M49" i="13"/>
  <c r="M286" i="13"/>
  <c r="AA285" i="10"/>
  <c r="R285" i="10"/>
  <c r="S285" i="10" s="1"/>
  <c r="T285" i="10" s="1"/>
  <c r="R302" i="10"/>
  <c r="S302" i="10" s="1"/>
  <c r="T302" i="10" s="1"/>
  <c r="M303" i="13"/>
  <c r="E202" i="15" s="1"/>
  <c r="AA302" i="10"/>
  <c r="AC302" i="10"/>
  <c r="M34" i="13"/>
  <c r="E24" i="15" s="1"/>
  <c r="R33" i="10"/>
  <c r="S33" i="10" s="1"/>
  <c r="T33" i="10" s="1"/>
  <c r="AA33" i="10"/>
  <c r="M58" i="13"/>
  <c r="E39" i="15" s="1"/>
  <c r="AA57" i="10"/>
  <c r="R57" i="10"/>
  <c r="S57" i="10" s="1"/>
  <c r="T57" i="10" s="1"/>
  <c r="AA71" i="10"/>
  <c r="R71" i="10"/>
  <c r="S71" i="10" s="1"/>
  <c r="T71" i="10" s="1"/>
  <c r="M72" i="13"/>
  <c r="E46" i="15" s="1"/>
  <c r="AC71" i="10"/>
  <c r="M350" i="13"/>
  <c r="E233" i="15" s="1"/>
  <c r="AJ349" i="10"/>
  <c r="R349" i="10"/>
  <c r="S349" i="10" s="1"/>
  <c r="T349" i="10" s="1"/>
  <c r="AA349" i="10"/>
  <c r="AC349" i="10"/>
  <c r="AA13" i="10"/>
  <c r="M14" i="13"/>
  <c r="E11" i="15" s="1"/>
  <c r="R13" i="10"/>
  <c r="S13" i="10" s="1"/>
  <c r="T13" i="10" s="1"/>
  <c r="AC13" i="10"/>
  <c r="M301" i="13"/>
  <c r="AA300" i="10"/>
  <c r="R300" i="10"/>
  <c r="S300" i="10" s="1"/>
  <c r="T300" i="10" s="1"/>
  <c r="AC300" i="10"/>
  <c r="AA195" i="10"/>
  <c r="M196" i="13"/>
  <c r="E131" i="15" s="1"/>
  <c r="R195" i="10"/>
  <c r="S195" i="10" s="1"/>
  <c r="T195" i="10" s="1"/>
  <c r="AC195" i="10"/>
  <c r="AA144" i="10"/>
  <c r="M145" i="13"/>
  <c r="E91" i="15" s="1"/>
  <c r="R144" i="10"/>
  <c r="S144" i="10" s="1"/>
  <c r="T144" i="10" s="1"/>
  <c r="R316" i="10"/>
  <c r="S316" i="10" s="1"/>
  <c r="T316" i="10" s="1"/>
  <c r="AA316" i="10"/>
  <c r="M317" i="13"/>
  <c r="E212" i="15" s="1"/>
  <c r="AC316" i="10"/>
  <c r="M285" i="13"/>
  <c r="E190" i="15" s="1"/>
  <c r="AA284" i="10"/>
  <c r="R284" i="10"/>
  <c r="S284" i="10" s="1"/>
  <c r="T284" i="10" s="1"/>
  <c r="AC284" i="10"/>
  <c r="AA298" i="10"/>
  <c r="R298" i="10"/>
  <c r="S298" i="10" s="1"/>
  <c r="T298" i="10" s="1"/>
  <c r="M299" i="13"/>
  <c r="E199" i="15" s="1"/>
  <c r="M215" i="13"/>
  <c r="E140" i="15" s="1"/>
  <c r="AA214" i="10"/>
  <c r="R214" i="10"/>
  <c r="S214" i="10" s="1"/>
  <c r="T214" i="10" s="1"/>
  <c r="AC214" i="10"/>
  <c r="AJ354" i="10"/>
  <c r="R354" i="10"/>
  <c r="S354" i="10" s="1"/>
  <c r="T354" i="10" s="1"/>
  <c r="AA354" i="10"/>
  <c r="M355" i="13"/>
  <c r="E237" i="15" s="1"/>
  <c r="AC354" i="10"/>
  <c r="M134" i="13"/>
  <c r="E84" i="15" s="1"/>
  <c r="R133" i="10"/>
  <c r="S133" i="10" s="1"/>
  <c r="T133" i="10" s="1"/>
  <c r="AA133" i="10"/>
  <c r="AA143" i="10"/>
  <c r="M144" i="13"/>
  <c r="E90" i="15" s="1"/>
  <c r="R143" i="10"/>
  <c r="S143" i="10" s="1"/>
  <c r="T143" i="10" s="1"/>
  <c r="AA239" i="10"/>
  <c r="M240" i="13"/>
  <c r="R239" i="10"/>
  <c r="S239" i="10" s="1"/>
  <c r="T239" i="10" s="1"/>
  <c r="AC239" i="10"/>
  <c r="AA18" i="10"/>
  <c r="M19" i="13"/>
  <c r="R18" i="10"/>
  <c r="S18" i="10" s="1"/>
  <c r="T18" i="10" s="1"/>
  <c r="R80" i="10"/>
  <c r="S80" i="10" s="1"/>
  <c r="T80" i="10" s="1"/>
  <c r="M81" i="13"/>
  <c r="E52" i="15" s="1"/>
  <c r="AA80" i="10"/>
  <c r="M13" i="13"/>
  <c r="AA12" i="10"/>
  <c r="R12" i="10"/>
  <c r="S12" i="10" s="1"/>
  <c r="T12" i="10" s="1"/>
  <c r="R58" i="10"/>
  <c r="S58" i="10" s="1"/>
  <c r="T58" i="10" s="1"/>
  <c r="AA58" i="10"/>
  <c r="M59" i="13"/>
  <c r="E40" i="15" s="1"/>
  <c r="M270" i="13"/>
  <c r="E178" i="15" s="1"/>
  <c r="R269" i="10"/>
  <c r="S269" i="10" s="1"/>
  <c r="T269" i="10" s="1"/>
  <c r="AA269" i="10"/>
  <c r="AA194" i="10"/>
  <c r="R194" i="10"/>
  <c r="S194" i="10" s="1"/>
  <c r="T194" i="10" s="1"/>
  <c r="M195" i="13"/>
  <c r="R238" i="10"/>
  <c r="S238" i="10" s="1"/>
  <c r="T238" i="10" s="1"/>
  <c r="AA238" i="10"/>
  <c r="M239" i="13"/>
  <c r="AC238" i="10"/>
  <c r="M78" i="13"/>
  <c r="E49" i="15" s="1"/>
  <c r="R77" i="10"/>
  <c r="S77" i="10" s="1"/>
  <c r="T77" i="10" s="1"/>
  <c r="AA77" i="10"/>
  <c r="AC77" i="10"/>
  <c r="M188" i="13"/>
  <c r="E125" i="15" s="1"/>
  <c r="AA187" i="10"/>
  <c r="R187" i="10"/>
  <c r="S187" i="10" s="1"/>
  <c r="T187" i="10" s="1"/>
  <c r="AC187" i="10"/>
  <c r="AA156" i="10"/>
  <c r="M157" i="13"/>
  <c r="E98" i="15" s="1"/>
  <c r="R156" i="10"/>
  <c r="S156" i="10" s="1"/>
  <c r="T156" i="10" s="1"/>
  <c r="R70" i="10"/>
  <c r="S70" i="10" s="1"/>
  <c r="T70" i="10" s="1"/>
  <c r="M71" i="13"/>
  <c r="E45" i="15" s="1"/>
  <c r="AA70" i="10"/>
  <c r="M143" i="13"/>
  <c r="E89" i="15" s="1"/>
  <c r="AA142" i="10"/>
  <c r="R142" i="10"/>
  <c r="S142" i="10" s="1"/>
  <c r="T142" i="10" s="1"/>
  <c r="AC142" i="10"/>
  <c r="AA139" i="10"/>
  <c r="M140" i="13"/>
  <c r="E87" i="15" s="1"/>
  <c r="R139" i="10"/>
  <c r="S139" i="10" s="1"/>
  <c r="T139" i="10" s="1"/>
  <c r="AC139" i="10"/>
  <c r="M170" i="13"/>
  <c r="E110" i="15" s="1"/>
  <c r="R169" i="10"/>
  <c r="S169" i="10" s="1"/>
  <c r="T169" i="10" s="1"/>
  <c r="AA169" i="10"/>
  <c r="R164" i="10"/>
  <c r="S164" i="10" s="1"/>
  <c r="T164" i="10" s="1"/>
  <c r="M165" i="13"/>
  <c r="E105" i="15" s="1"/>
  <c r="AA164" i="10"/>
  <c r="AC164" i="10"/>
  <c r="M273" i="13"/>
  <c r="E181" i="15" s="1"/>
  <c r="AA272" i="10"/>
  <c r="R272" i="10"/>
  <c r="S272" i="10" s="1"/>
  <c r="T272" i="10" s="1"/>
  <c r="AC272" i="10"/>
  <c r="M29" i="13"/>
  <c r="R28" i="10"/>
  <c r="S28" i="10" s="1"/>
  <c r="T28" i="10" s="1"/>
  <c r="AA28" i="10"/>
  <c r="AC28" i="10"/>
  <c r="AA94" i="10"/>
  <c r="R94" i="10"/>
  <c r="S94" i="10" s="1"/>
  <c r="T94" i="10" s="1"/>
  <c r="M95" i="13"/>
  <c r="E61" i="15" s="1"/>
  <c r="AC94" i="10"/>
  <c r="R66" i="10"/>
  <c r="S66" i="10" s="1"/>
  <c r="T66" i="10" s="1"/>
  <c r="AA66" i="10"/>
  <c r="M67" i="13"/>
  <c r="R235" i="10"/>
  <c r="S235" i="10" s="1"/>
  <c r="T235" i="10" s="1"/>
  <c r="M236" i="13"/>
  <c r="E157" i="15" s="1"/>
  <c r="AA235" i="10"/>
  <c r="AC235" i="10"/>
  <c r="M116" i="13"/>
  <c r="R115" i="10"/>
  <c r="S115" i="10" s="1"/>
  <c r="T115" i="10" s="1"/>
  <c r="AA115" i="10"/>
  <c r="AC115" i="10"/>
  <c r="AJ344" i="10"/>
  <c r="AA344" i="10"/>
  <c r="M345" i="13"/>
  <c r="R344" i="10"/>
  <c r="S344" i="10" s="1"/>
  <c r="T344" i="10" s="1"/>
  <c r="R159" i="10"/>
  <c r="S159" i="10" s="1"/>
  <c r="T159" i="10" s="1"/>
  <c r="AA159" i="10"/>
  <c r="M160" i="13"/>
  <c r="E101" i="15" s="1"/>
  <c r="AC159" i="10"/>
  <c r="M187" i="13"/>
  <c r="AA186" i="10"/>
  <c r="R186" i="10"/>
  <c r="S186" i="10" s="1"/>
  <c r="T186" i="10" s="1"/>
  <c r="M234" i="13"/>
  <c r="E156" i="15" s="1"/>
  <c r="R233" i="10"/>
  <c r="S233" i="10" s="1"/>
  <c r="T233" i="10" s="1"/>
  <c r="AA233" i="10"/>
  <c r="R174" i="10"/>
  <c r="S174" i="10" s="1"/>
  <c r="T174" i="10" s="1"/>
  <c r="AA174" i="10"/>
  <c r="M175" i="13"/>
  <c r="E114" i="15" s="1"/>
  <c r="R217" i="10"/>
  <c r="S217" i="10" s="1"/>
  <c r="T217" i="10" s="1"/>
  <c r="AA217" i="10"/>
  <c r="M218" i="13"/>
  <c r="E143" i="15" s="1"/>
  <c r="AC217" i="10"/>
  <c r="AA146" i="10"/>
  <c r="R146" i="10"/>
  <c r="S146" i="10" s="1"/>
  <c r="T146" i="10" s="1"/>
  <c r="M147" i="13"/>
  <c r="AC146" i="10"/>
  <c r="R262" i="10"/>
  <c r="S262" i="10" s="1"/>
  <c r="T262" i="10" s="1"/>
  <c r="AA262" i="10"/>
  <c r="M263" i="13"/>
  <c r="AC262" i="10"/>
  <c r="AA134" i="10"/>
  <c r="M135" i="13"/>
  <c r="E85" i="15" s="1"/>
  <c r="R134" i="10"/>
  <c r="S134" i="10" s="1"/>
  <c r="T134" i="10" s="1"/>
  <c r="AC134" i="10"/>
  <c r="AJ321" i="10"/>
  <c r="M322" i="13"/>
  <c r="E215" i="15" s="1"/>
  <c r="AA321" i="10"/>
  <c r="R321" i="10"/>
  <c r="S321" i="10" s="1"/>
  <c r="T321" i="10" s="1"/>
  <c r="W321" i="10" s="1"/>
  <c r="AC321" i="10"/>
  <c r="AA14" i="10"/>
  <c r="M15" i="13"/>
  <c r="E12" i="15" s="1"/>
  <c r="R14" i="10"/>
  <c r="S14" i="10" s="1"/>
  <c r="T14" i="10" s="1"/>
  <c r="M214" i="13"/>
  <c r="E139" i="15" s="1"/>
  <c r="R213" i="10"/>
  <c r="S213" i="10" s="1"/>
  <c r="T213" i="10" s="1"/>
  <c r="AA213" i="10"/>
  <c r="AA356" i="10"/>
  <c r="M357" i="13"/>
  <c r="E239" i="15" s="1"/>
  <c r="AJ356" i="10"/>
  <c r="R356" i="10"/>
  <c r="S356" i="10" s="1"/>
  <c r="T356" i="10" s="1"/>
  <c r="AC356" i="10"/>
  <c r="M198" i="13"/>
  <c r="E132" i="15" s="1"/>
  <c r="AA197" i="10"/>
  <c r="R197" i="10"/>
  <c r="S197" i="10" s="1"/>
  <c r="T197" i="10" s="1"/>
  <c r="R304" i="10"/>
  <c r="S304" i="10" s="1"/>
  <c r="T304" i="10" s="1"/>
  <c r="M305" i="13"/>
  <c r="E203" i="15" s="1"/>
  <c r="AA304" i="10"/>
  <c r="AC304" i="10"/>
  <c r="AJ330" i="10"/>
  <c r="AA330" i="10"/>
  <c r="R330" i="10"/>
  <c r="S330" i="10" s="1"/>
  <c r="T330" i="10" s="1"/>
  <c r="M331" i="13"/>
  <c r="AC330" i="10"/>
  <c r="M28" i="13"/>
  <c r="AA27" i="10"/>
  <c r="R27" i="10"/>
  <c r="S27" i="10" s="1"/>
  <c r="T27" i="10" s="1"/>
  <c r="AC27" i="10"/>
  <c r="AA47" i="10"/>
  <c r="R47" i="10"/>
  <c r="S47" i="10" s="1"/>
  <c r="T47" i="10" s="1"/>
  <c r="M48" i="13"/>
  <c r="E31" i="15" s="1"/>
  <c r="AC47" i="10"/>
  <c r="AA203" i="10"/>
  <c r="M204" i="13"/>
  <c r="E134" i="15" s="1"/>
  <c r="R203" i="10"/>
  <c r="S203" i="10" s="1"/>
  <c r="T203" i="10" s="1"/>
  <c r="M32" i="13"/>
  <c r="E22" i="15" s="1"/>
  <c r="AA31" i="10"/>
  <c r="R31" i="10"/>
  <c r="S31" i="10" s="1"/>
  <c r="T31" i="10" s="1"/>
  <c r="M353" i="13"/>
  <c r="E235" i="15" s="1"/>
  <c r="AA352" i="10"/>
  <c r="AJ352" i="10"/>
  <c r="R352" i="10"/>
  <c r="S352" i="10" s="1"/>
  <c r="T352" i="10" s="1"/>
  <c r="AC352" i="10"/>
  <c r="AA51" i="10"/>
  <c r="R51" i="10"/>
  <c r="S51" i="10" s="1"/>
  <c r="T51" i="10" s="1"/>
  <c r="M52" i="13"/>
  <c r="E34" i="15" s="1"/>
  <c r="AC51" i="10"/>
  <c r="M153" i="13"/>
  <c r="AA152" i="10"/>
  <c r="R152" i="10"/>
  <c r="S152" i="10" s="1"/>
  <c r="T152" i="10" s="1"/>
  <c r="AC152" i="10"/>
  <c r="R121" i="10"/>
  <c r="S121" i="10" s="1"/>
  <c r="T121" i="10" s="1"/>
  <c r="AA121" i="10"/>
  <c r="M122" i="13"/>
  <c r="AC121" i="10"/>
  <c r="AA251" i="10"/>
  <c r="M252" i="13"/>
  <c r="R251" i="10"/>
  <c r="S251" i="10" s="1"/>
  <c r="T251" i="10" s="1"/>
  <c r="R299" i="10"/>
  <c r="S299" i="10" s="1"/>
  <c r="T299" i="10" s="1"/>
  <c r="AA299" i="10"/>
  <c r="M300" i="13"/>
  <c r="E200" i="15" s="1"/>
  <c r="AC299" i="10"/>
  <c r="AA52" i="10"/>
  <c r="M53" i="13"/>
  <c r="E35" i="15" s="1"/>
  <c r="R52" i="10"/>
  <c r="S52" i="10" s="1"/>
  <c r="T52" i="10" s="1"/>
  <c r="R312" i="10"/>
  <c r="S312" i="10" s="1"/>
  <c r="T312" i="10" s="1"/>
  <c r="M313" i="13"/>
  <c r="E208" i="15" s="1"/>
  <c r="AA312" i="10"/>
  <c r="AC312" i="10"/>
  <c r="R151" i="10"/>
  <c r="S151" i="10" s="1"/>
  <c r="T151" i="10" s="1"/>
  <c r="M152" i="13"/>
  <c r="E96" i="15" s="1"/>
  <c r="AA151" i="10"/>
  <c r="M85" i="13"/>
  <c r="E54" i="15" s="1"/>
  <c r="AA84" i="10"/>
  <c r="R84" i="10"/>
  <c r="S84" i="10" s="1"/>
  <c r="T84" i="10" s="1"/>
  <c r="AA21" i="10"/>
  <c r="M22" i="13"/>
  <c r="R21" i="10"/>
  <c r="S21" i="10" s="1"/>
  <c r="T21" i="10" s="1"/>
  <c r="R347" i="10"/>
  <c r="S347" i="10" s="1"/>
  <c r="T347" i="10" s="1"/>
  <c r="AJ347" i="10"/>
  <c r="M348" i="13"/>
  <c r="AA347" i="10"/>
  <c r="AC347" i="10"/>
  <c r="AA141" i="10"/>
  <c r="M142" i="13"/>
  <c r="E88" i="15" s="1"/>
  <c r="R141" i="10"/>
  <c r="S141" i="10" s="1"/>
  <c r="T141" i="10" s="1"/>
  <c r="AA46" i="10"/>
  <c r="M47" i="13"/>
  <c r="E30" i="15" s="1"/>
  <c r="R46" i="10"/>
  <c r="S46" i="10" s="1"/>
  <c r="T46" i="10" s="1"/>
  <c r="AC46" i="10"/>
  <c r="R173" i="10"/>
  <c r="S173" i="10" s="1"/>
  <c r="T173" i="10" s="1"/>
  <c r="AA173" i="10"/>
  <c r="M174" i="13"/>
  <c r="E113" i="15" s="1"/>
  <c r="AC173" i="10"/>
  <c r="R147" i="10"/>
  <c r="S147" i="10" s="1"/>
  <c r="T147" i="10" s="1"/>
  <c r="AA147" i="10"/>
  <c r="M148" i="13"/>
  <c r="E93" i="15" s="1"/>
  <c r="AC147" i="10"/>
  <c r="M120" i="13"/>
  <c r="R119" i="10"/>
  <c r="S119" i="10" s="1"/>
  <c r="T119" i="10" s="1"/>
  <c r="AA119" i="10"/>
  <c r="AC119" i="10"/>
  <c r="AJ327" i="10"/>
  <c r="M328" i="13"/>
  <c r="E219" i="15" s="1"/>
  <c r="R327" i="10"/>
  <c r="S327" i="10" s="1"/>
  <c r="T327" i="10" s="1"/>
  <c r="AA327" i="10"/>
  <c r="AC327" i="10"/>
  <c r="M291" i="13"/>
  <c r="E192" i="15" s="1"/>
  <c r="R290" i="10"/>
  <c r="S290" i="10" s="1"/>
  <c r="T290" i="10" s="1"/>
  <c r="AA290" i="10"/>
  <c r="AC290" i="10"/>
  <c r="M237" i="13"/>
  <c r="E158" i="15" s="1"/>
  <c r="R236" i="10"/>
  <c r="S236" i="10" s="1"/>
  <c r="T236" i="10" s="1"/>
  <c r="AA236" i="10"/>
  <c r="AC236" i="10"/>
  <c r="R76" i="10"/>
  <c r="S76" i="10" s="1"/>
  <c r="T76" i="10" s="1"/>
  <c r="M77" i="13"/>
  <c r="AA76" i="10"/>
  <c r="M342" i="13"/>
  <c r="E228" i="15" s="1"/>
  <c r="AA341" i="10"/>
  <c r="AJ341" i="10"/>
  <c r="R341" i="10"/>
  <c r="S341" i="10" s="1"/>
  <c r="T341" i="10" s="1"/>
  <c r="AC341" i="10"/>
  <c r="M131" i="13"/>
  <c r="R130" i="10"/>
  <c r="S130" i="10" s="1"/>
  <c r="T130" i="10" s="1"/>
  <c r="AA130" i="10"/>
  <c r="AC130" i="10"/>
  <c r="M190" i="13"/>
  <c r="AA189" i="10"/>
  <c r="R189" i="10"/>
  <c r="S189" i="10" s="1"/>
  <c r="T189" i="10" s="1"/>
  <c r="R258" i="10"/>
  <c r="S258" i="10" s="1"/>
  <c r="T258" i="10" s="1"/>
  <c r="AA258" i="10"/>
  <c r="M259" i="13"/>
  <c r="E173" i="15" s="1"/>
  <c r="M293" i="13"/>
  <c r="AA292" i="10"/>
  <c r="R292" i="10"/>
  <c r="S292" i="10" s="1"/>
  <c r="T292" i="10" s="1"/>
  <c r="AC292" i="10"/>
  <c r="R137" i="10"/>
  <c r="S137" i="10" s="1"/>
  <c r="T137" i="10" s="1"/>
  <c r="AA137" i="10"/>
  <c r="M138" i="13"/>
  <c r="E86" i="15" s="1"/>
  <c r="R122" i="10"/>
  <c r="S122" i="10" s="1"/>
  <c r="T122" i="10" s="1"/>
  <c r="M123" i="13"/>
  <c r="AA122" i="10"/>
  <c r="AC122" i="10"/>
  <c r="AA86" i="10"/>
  <c r="M87" i="13"/>
  <c r="R86" i="10"/>
  <c r="S86" i="10" s="1"/>
  <c r="T86" i="10" s="1"/>
  <c r="M202" i="13"/>
  <c r="AA201" i="10"/>
  <c r="R201" i="10"/>
  <c r="S201" i="10" s="1"/>
  <c r="T201" i="10" s="1"/>
  <c r="AA252" i="10"/>
  <c r="R252" i="10"/>
  <c r="S252" i="10" s="1"/>
  <c r="T252" i="10" s="1"/>
  <c r="M253" i="13"/>
  <c r="E168" i="15" s="1"/>
  <c r="AA250" i="10"/>
  <c r="R250" i="10"/>
  <c r="S250" i="10" s="1"/>
  <c r="T250" i="10" s="1"/>
  <c r="M251" i="13"/>
  <c r="E167" i="15" s="1"/>
  <c r="AC250" i="10"/>
  <c r="M103" i="13"/>
  <c r="E67" i="15" s="1"/>
  <c r="R102" i="10"/>
  <c r="S102" i="10" s="1"/>
  <c r="T102" i="10" s="1"/>
  <c r="AA102" i="10"/>
  <c r="AC102" i="10"/>
  <c r="M222" i="13"/>
  <c r="E147" i="15" s="1"/>
  <c r="AA221" i="10"/>
  <c r="R221" i="10"/>
  <c r="S221" i="10" s="1"/>
  <c r="T221" i="10" s="1"/>
  <c r="AC221" i="10"/>
  <c r="AA282" i="10"/>
  <c r="M283" i="13"/>
  <c r="E188" i="15" s="1"/>
  <c r="R282" i="10"/>
  <c r="S282" i="10" s="1"/>
  <c r="T282" i="10" s="1"/>
  <c r="AC282" i="10"/>
  <c r="M60" i="13"/>
  <c r="R59" i="10"/>
  <c r="S59" i="10" s="1"/>
  <c r="T59" i="10" s="1"/>
  <c r="AA59" i="10"/>
  <c r="AA99" i="10"/>
  <c r="M100" i="13"/>
  <c r="E64" i="15" s="1"/>
  <c r="R99" i="10"/>
  <c r="S99" i="10" s="1"/>
  <c r="T99" i="10" s="1"/>
  <c r="AC99" i="10"/>
  <c r="AA110" i="10"/>
  <c r="M111" i="13"/>
  <c r="R110" i="10"/>
  <c r="S110" i="10" s="1"/>
  <c r="T110" i="10" s="1"/>
  <c r="M226" i="13"/>
  <c r="E150" i="15" s="1"/>
  <c r="AA225" i="10"/>
  <c r="R225" i="10"/>
  <c r="S225" i="10" s="1"/>
  <c r="T225" i="10" s="1"/>
  <c r="M207" i="13"/>
  <c r="R206" i="10"/>
  <c r="S206" i="10" s="1"/>
  <c r="T206" i="10" s="1"/>
  <c r="AA206" i="10"/>
  <c r="AJ339" i="10"/>
  <c r="M340" i="13"/>
  <c r="AA339" i="10"/>
  <c r="R339" i="10"/>
  <c r="S339" i="10" s="1"/>
  <c r="T339" i="10" s="1"/>
  <c r="M192" i="13"/>
  <c r="E128" i="15" s="1"/>
  <c r="AA191" i="10"/>
  <c r="R191" i="10"/>
  <c r="S191" i="10" s="1"/>
  <c r="T191" i="10" s="1"/>
  <c r="AC191" i="10"/>
  <c r="R266" i="10"/>
  <c r="S266" i="10" s="1"/>
  <c r="T266" i="10" s="1"/>
  <c r="AA266" i="10"/>
  <c r="M267" i="13"/>
  <c r="AC266" i="10"/>
  <c r="AJ326" i="10"/>
  <c r="R326" i="10"/>
  <c r="S326" i="10" s="1"/>
  <c r="T326" i="10" s="1"/>
  <c r="AA326" i="10"/>
  <c r="M327" i="13"/>
  <c r="M334" i="13"/>
  <c r="E224" i="15" s="1"/>
  <c r="R333" i="10"/>
  <c r="S333" i="10" s="1"/>
  <c r="T333" i="10" s="1"/>
  <c r="AA333" i="10"/>
  <c r="AJ333" i="10"/>
  <c r="AA193" i="10"/>
  <c r="R193" i="10"/>
  <c r="S193" i="10" s="1"/>
  <c r="T193" i="10" s="1"/>
  <c r="M194" i="13"/>
  <c r="E130" i="15" s="1"/>
  <c r="M178" i="13"/>
  <c r="E117" i="15" s="1"/>
  <c r="R177" i="10"/>
  <c r="S177" i="10" s="1"/>
  <c r="T177" i="10" s="1"/>
  <c r="AA177" i="10"/>
  <c r="AC177" i="10"/>
  <c r="M31" i="13"/>
  <c r="E21" i="15" s="1"/>
  <c r="AA30" i="10"/>
  <c r="R30" i="10"/>
  <c r="S30" i="10" s="1"/>
  <c r="T30" i="10" s="1"/>
  <c r="M97" i="13"/>
  <c r="R96" i="10"/>
  <c r="S96" i="10" s="1"/>
  <c r="T96" i="10" s="1"/>
  <c r="AA96" i="10"/>
  <c r="AA113" i="10"/>
  <c r="M114" i="13"/>
  <c r="E75" i="15" s="1"/>
  <c r="R113" i="10"/>
  <c r="S113" i="10" s="1"/>
  <c r="T113" i="10" s="1"/>
  <c r="AC113" i="10"/>
  <c r="R91" i="10"/>
  <c r="S91" i="10" s="1"/>
  <c r="T91" i="10" s="1"/>
  <c r="AA91" i="10"/>
  <c r="M92" i="13"/>
  <c r="E58" i="15" s="1"/>
  <c r="AC91" i="10"/>
  <c r="M35" i="13"/>
  <c r="AA34" i="10"/>
  <c r="R34" i="10"/>
  <c r="S34" i="10" s="1"/>
  <c r="T34" i="10" s="1"/>
  <c r="AC34" i="10"/>
  <c r="M75" i="13"/>
  <c r="E48" i="15" s="1"/>
  <c r="AA74" i="10"/>
  <c r="R74" i="10"/>
  <c r="S74" i="10" s="1"/>
  <c r="T74" i="10" s="1"/>
  <c r="AA35" i="10"/>
  <c r="R35" i="10"/>
  <c r="S35" i="10" s="1"/>
  <c r="T35" i="10" s="1"/>
  <c r="M36" i="13"/>
  <c r="AC35" i="10"/>
  <c r="AA50" i="10"/>
  <c r="M51" i="13"/>
  <c r="E33" i="15" s="1"/>
  <c r="R50" i="10"/>
  <c r="S50" i="10" s="1"/>
  <c r="T50" i="10" s="1"/>
  <c r="M277" i="13"/>
  <c r="AA276" i="10"/>
  <c r="R276" i="10"/>
  <c r="S276" i="10" s="1"/>
  <c r="T276" i="10" s="1"/>
  <c r="AC276" i="10"/>
  <c r="AA350" i="10"/>
  <c r="AJ350" i="10"/>
  <c r="M351" i="13"/>
  <c r="E234" i="15" s="1"/>
  <c r="R350" i="10"/>
  <c r="S350" i="10" s="1"/>
  <c r="T350" i="10" s="1"/>
  <c r="W350" i="10" s="1"/>
  <c r="R261" i="10"/>
  <c r="S261" i="10" s="1"/>
  <c r="T261" i="10" s="1"/>
  <c r="AA261" i="10"/>
  <c r="M262" i="13"/>
  <c r="AA104" i="10"/>
  <c r="R104" i="10"/>
  <c r="S104" i="10" s="1"/>
  <c r="T104" i="10" s="1"/>
  <c r="M105" i="13"/>
  <c r="E69" i="15" s="1"/>
  <c r="AC104" i="10"/>
  <c r="R123" i="10"/>
  <c r="S123" i="10" s="1"/>
  <c r="T123" i="10" s="1"/>
  <c r="AA123" i="10"/>
  <c r="M124" i="13"/>
  <c r="E79" i="15" s="1"/>
  <c r="M255" i="13"/>
  <c r="E169" i="15" s="1"/>
  <c r="R254" i="10"/>
  <c r="S254" i="10" s="1"/>
  <c r="T254" i="10" s="1"/>
  <c r="AA254" i="10"/>
  <c r="M173" i="13"/>
  <c r="R172" i="10"/>
  <c r="S172" i="10" s="1"/>
  <c r="T172" i="10" s="1"/>
  <c r="AA172" i="10"/>
  <c r="M130" i="13"/>
  <c r="R129" i="10"/>
  <c r="S129" i="10" s="1"/>
  <c r="T129" i="10" s="1"/>
  <c r="AA129" i="10"/>
  <c r="AC129" i="10"/>
  <c r="AA198" i="10"/>
  <c r="R198" i="10"/>
  <c r="S198" i="10" s="1"/>
  <c r="T198" i="10" s="1"/>
  <c r="M199" i="13"/>
  <c r="M141" i="13"/>
  <c r="R140" i="10"/>
  <c r="S140" i="10" s="1"/>
  <c r="T140" i="10" s="1"/>
  <c r="AA140" i="10"/>
  <c r="AC140" i="10"/>
  <c r="R89" i="10"/>
  <c r="S89" i="10" s="1"/>
  <c r="T89" i="10" s="1"/>
  <c r="AA89" i="10"/>
  <c r="M90" i="13"/>
  <c r="E57" i="15" s="1"/>
  <c r="AC89" i="10"/>
  <c r="M306" i="13"/>
  <c r="AA305" i="10"/>
  <c r="R305" i="10"/>
  <c r="S305" i="10" s="1"/>
  <c r="T305" i="10" s="1"/>
  <c r="AC305" i="10"/>
  <c r="M338" i="13"/>
  <c r="E226" i="15" s="1"/>
  <c r="R337" i="10"/>
  <c r="S337" i="10" s="1"/>
  <c r="T337" i="10" s="1"/>
  <c r="AA337" i="10"/>
  <c r="AJ337" i="10"/>
  <c r="AC337" i="10"/>
  <c r="M260" i="13"/>
  <c r="E174" i="15" s="1"/>
  <c r="R259" i="10"/>
  <c r="S259" i="10" s="1"/>
  <c r="T259" i="10" s="1"/>
  <c r="AA259" i="10"/>
  <c r="M66" i="13"/>
  <c r="R65" i="10"/>
  <c r="S65" i="10" s="1"/>
  <c r="T65" i="10" s="1"/>
  <c r="AA65" i="10"/>
  <c r="AC65" i="10"/>
  <c r="R36" i="10"/>
  <c r="S36" i="10" s="1"/>
  <c r="T36" i="10" s="1"/>
  <c r="M37" i="13"/>
  <c r="E25" i="15" s="1"/>
  <c r="AA36" i="10"/>
  <c r="AC36" i="10"/>
  <c r="R78" i="10"/>
  <c r="S78" i="10" s="1"/>
  <c r="T78" i="10" s="1"/>
  <c r="M79" i="13"/>
  <c r="E50" i="15" s="1"/>
  <c r="AA78" i="10"/>
  <c r="AC78" i="10"/>
  <c r="AA185" i="10"/>
  <c r="M186" i="13"/>
  <c r="R185" i="10"/>
  <c r="S185" i="10" s="1"/>
  <c r="T185" i="10" s="1"/>
  <c r="AC185" i="10"/>
  <c r="M146" i="13"/>
  <c r="E92" i="15" s="1"/>
  <c r="R145" i="10"/>
  <c r="S145" i="10" s="1"/>
  <c r="T145" i="10" s="1"/>
  <c r="AA145" i="10"/>
  <c r="R109" i="10"/>
  <c r="S109" i="10" s="1"/>
  <c r="T109" i="10" s="1"/>
  <c r="M110" i="13"/>
  <c r="E73" i="15" s="1"/>
  <c r="AA109" i="10"/>
  <c r="AC109" i="10"/>
  <c r="M139" i="13"/>
  <c r="AA138" i="10"/>
  <c r="R138" i="10"/>
  <c r="S138" i="10" s="1"/>
  <c r="T138" i="10" s="1"/>
  <c r="AC138" i="10"/>
  <c r="R81" i="10"/>
  <c r="S81" i="10" s="1"/>
  <c r="T81" i="10" s="1"/>
  <c r="AA81" i="10"/>
  <c r="M82" i="13"/>
  <c r="M227" i="13"/>
  <c r="E151" i="15" s="1"/>
  <c r="R226" i="10"/>
  <c r="S226" i="10" s="1"/>
  <c r="T226" i="10" s="1"/>
  <c r="AA226" i="10"/>
  <c r="AA307" i="10"/>
  <c r="M308" i="13"/>
  <c r="E205" i="15" s="1"/>
  <c r="R307" i="10"/>
  <c r="S307" i="10" s="1"/>
  <c r="T307" i="10" s="1"/>
  <c r="AC307" i="10"/>
  <c r="M57" i="13"/>
  <c r="E38" i="15" s="1"/>
  <c r="AA56" i="10"/>
  <c r="R56" i="10"/>
  <c r="S56" i="10" s="1"/>
  <c r="T56" i="10" s="1"/>
  <c r="M167" i="13"/>
  <c r="E107" i="15" s="1"/>
  <c r="AA166" i="10"/>
  <c r="R166" i="10"/>
  <c r="S166" i="10" s="1"/>
  <c r="T166" i="10" s="1"/>
  <c r="M43" i="13"/>
  <c r="E28" i="15" s="1"/>
  <c r="R42" i="10"/>
  <c r="S42" i="10" s="1"/>
  <c r="T42" i="10" s="1"/>
  <c r="AA42" i="10"/>
  <c r="AC42" i="10"/>
  <c r="AJ355" i="10"/>
  <c r="R355" i="10"/>
  <c r="S355" i="10" s="1"/>
  <c r="T355" i="10" s="1"/>
  <c r="M356" i="13"/>
  <c r="E238" i="15" s="1"/>
  <c r="AA355" i="10"/>
  <c r="AC355" i="10"/>
  <c r="AA212" i="10"/>
  <c r="R212" i="10"/>
  <c r="S212" i="10" s="1"/>
  <c r="T212" i="10" s="1"/>
  <c r="M213" i="13"/>
  <c r="AA63" i="10"/>
  <c r="R63" i="10"/>
  <c r="S63" i="10" s="1"/>
  <c r="T63" i="10" s="1"/>
  <c r="M64" i="13"/>
  <c r="E42" i="15" s="1"/>
  <c r="M101" i="13"/>
  <c r="E65" i="15" s="1"/>
  <c r="R100" i="10"/>
  <c r="S100" i="10" s="1"/>
  <c r="T100" i="10" s="1"/>
  <c r="AA100" i="10"/>
  <c r="AC100" i="10"/>
  <c r="M297" i="13"/>
  <c r="E197" i="15" s="1"/>
  <c r="AA296" i="10"/>
  <c r="R296" i="10"/>
  <c r="S296" i="10" s="1"/>
  <c r="T296" i="10" s="1"/>
  <c r="M115" i="13"/>
  <c r="AA114" i="10"/>
  <c r="R114" i="10"/>
  <c r="S114" i="10" s="1"/>
  <c r="T114" i="10" s="1"/>
  <c r="AA87" i="10"/>
  <c r="R87" i="10"/>
  <c r="S87" i="10" s="1"/>
  <c r="T87" i="10" s="1"/>
  <c r="M88" i="13"/>
  <c r="AC87" i="10"/>
  <c r="AA227" i="10"/>
  <c r="M228" i="13"/>
  <c r="E152" i="15" s="1"/>
  <c r="R227" i="10"/>
  <c r="S227" i="10" s="1"/>
  <c r="T227" i="10" s="1"/>
  <c r="AC227" i="10"/>
  <c r="AA271" i="10"/>
  <c r="R271" i="10"/>
  <c r="S271" i="10" s="1"/>
  <c r="T271" i="10" s="1"/>
  <c r="M272" i="13"/>
  <c r="E180" i="15" s="1"/>
  <c r="R60" i="10"/>
  <c r="S60" i="10" s="1"/>
  <c r="T60" i="10" s="1"/>
  <c r="M61" i="13"/>
  <c r="AA60" i="10"/>
  <c r="AA338" i="10"/>
  <c r="M339" i="13"/>
  <c r="E227" i="15" s="1"/>
  <c r="AJ338" i="10"/>
  <c r="R338" i="10"/>
  <c r="S338" i="10" s="1"/>
  <c r="T338" i="10" s="1"/>
  <c r="AC338" i="10"/>
  <c r="AA67" i="10"/>
  <c r="R67" i="10"/>
  <c r="S67" i="10" s="1"/>
  <c r="T67" i="10" s="1"/>
  <c r="M68" i="13"/>
  <c r="E43" i="15" s="1"/>
  <c r="M11" i="13"/>
  <c r="R10" i="10"/>
  <c r="S10" i="10" s="1"/>
  <c r="T10" i="10" s="1"/>
  <c r="AA10" i="10"/>
  <c r="AA255" i="10"/>
  <c r="R255" i="10"/>
  <c r="S255" i="10" s="1"/>
  <c r="T255" i="10" s="1"/>
  <c r="M256" i="13"/>
  <c r="E170" i="15" s="1"/>
  <c r="M23" i="13"/>
  <c r="E16" i="15" s="1"/>
  <c r="AA22" i="10"/>
  <c r="R22" i="10"/>
  <c r="S22" i="10" s="1"/>
  <c r="T22" i="10" s="1"/>
  <c r="M242" i="13"/>
  <c r="AA241" i="10"/>
  <c r="R241" i="10"/>
  <c r="S241" i="10" s="1"/>
  <c r="T241" i="10" s="1"/>
  <c r="M20" i="13"/>
  <c r="R19" i="10"/>
  <c r="S19" i="10" s="1"/>
  <c r="T19" i="10" s="1"/>
  <c r="AA19" i="10"/>
  <c r="AC19" i="10"/>
  <c r="R207" i="10"/>
  <c r="S207" i="10" s="1"/>
  <c r="T207" i="10" s="1"/>
  <c r="M208" i="13"/>
  <c r="E137" i="15" s="1"/>
  <c r="AA207" i="10"/>
  <c r="M108" i="13"/>
  <c r="E72" i="15" s="1"/>
  <c r="R107" i="10"/>
  <c r="S107" i="10" s="1"/>
  <c r="T107" i="10" s="1"/>
  <c r="AA107" i="10"/>
  <c r="M50" i="13"/>
  <c r="E32" i="15" s="1"/>
  <c r="R49" i="10"/>
  <c r="S49" i="10" s="1"/>
  <c r="T49" i="10" s="1"/>
  <c r="AA49" i="10"/>
  <c r="AA38" i="10"/>
  <c r="M39" i="13"/>
  <c r="R38" i="10"/>
  <c r="S38" i="10" s="1"/>
  <c r="T38" i="10" s="1"/>
  <c r="M76" i="13"/>
  <c r="AA75" i="10"/>
  <c r="R75" i="10"/>
  <c r="S75" i="10" s="1"/>
  <c r="T75" i="10" s="1"/>
  <c r="M133" i="13"/>
  <c r="R132" i="10"/>
  <c r="S132" i="10" s="1"/>
  <c r="T132" i="10" s="1"/>
  <c r="AA132" i="10"/>
  <c r="R16" i="10"/>
  <c r="S16" i="10" s="1"/>
  <c r="T16" i="10" s="1"/>
  <c r="M17" i="13"/>
  <c r="E14" i="15" s="1"/>
  <c r="AA16" i="10"/>
  <c r="M279" i="13"/>
  <c r="E184" i="15" s="1"/>
  <c r="R278" i="10"/>
  <c r="S278" i="10" s="1"/>
  <c r="T278" i="10" s="1"/>
  <c r="AA278" i="10"/>
  <c r="AC278" i="10"/>
  <c r="AA237" i="10"/>
  <c r="M238" i="13"/>
  <c r="E159" i="15" s="1"/>
  <c r="R237" i="10"/>
  <c r="S237" i="10" s="1"/>
  <c r="T237" i="10" s="1"/>
  <c r="M230" i="13"/>
  <c r="E153" i="15" s="1"/>
  <c r="AA229" i="10"/>
  <c r="R229" i="10"/>
  <c r="S229" i="10" s="1"/>
  <c r="T229" i="10" s="1"/>
  <c r="AC229" i="10"/>
  <c r="M18" i="13"/>
  <c r="AA17" i="10"/>
  <c r="R17" i="10"/>
  <c r="S17" i="10" s="1"/>
  <c r="T17" i="10" s="1"/>
  <c r="M296" i="13"/>
  <c r="E196" i="15" s="1"/>
  <c r="R295" i="10"/>
  <c r="S295" i="10" s="1"/>
  <c r="T295" i="10" s="1"/>
  <c r="AA295" i="10"/>
  <c r="AC295" i="10"/>
  <c r="M206" i="13"/>
  <c r="E136" i="15" s="1"/>
  <c r="AA205" i="10"/>
  <c r="R205" i="10"/>
  <c r="S205" i="10" s="1"/>
  <c r="T205" i="10" s="1"/>
  <c r="M113" i="13"/>
  <c r="R112" i="10"/>
  <c r="S112" i="10" s="1"/>
  <c r="T112" i="10" s="1"/>
  <c r="AA112" i="10"/>
  <c r="M177" i="13"/>
  <c r="E116" i="15" s="1"/>
  <c r="AA176" i="10"/>
  <c r="R176" i="10"/>
  <c r="S176" i="10" s="1"/>
  <c r="T176" i="10" s="1"/>
  <c r="AC176" i="10"/>
  <c r="M246" i="13"/>
  <c r="E163" i="15" s="1"/>
  <c r="AA245" i="10"/>
  <c r="R245" i="10"/>
  <c r="S245" i="10" s="1"/>
  <c r="T245" i="10" s="1"/>
  <c r="AC245" i="10"/>
  <c r="M295" i="13"/>
  <c r="E195" i="15" s="1"/>
  <c r="AA294" i="10"/>
  <c r="R294" i="10"/>
  <c r="S294" i="10" s="1"/>
  <c r="T294" i="10" s="1"/>
  <c r="AC294" i="10"/>
  <c r="M341" i="13"/>
  <c r="AA340" i="10"/>
  <c r="R340" i="10"/>
  <c r="S340" i="10" s="1"/>
  <c r="T340" i="10" s="1"/>
  <c r="AJ340" i="10"/>
  <c r="AA72" i="10"/>
  <c r="M73" i="13"/>
  <c r="R72" i="10"/>
  <c r="S72" i="10" s="1"/>
  <c r="T72" i="10" s="1"/>
  <c r="K358" i="10"/>
  <c r="U7" i="10"/>
  <c r="L7" i="10"/>
  <c r="M98" i="13"/>
  <c r="E63" i="15" s="1"/>
  <c r="R97" i="10"/>
  <c r="S97" i="10" s="1"/>
  <c r="T97" i="10" s="1"/>
  <c r="AA97" i="10"/>
  <c r="AC97" i="10"/>
  <c r="AA178" i="10"/>
  <c r="R178" i="10"/>
  <c r="S178" i="10" s="1"/>
  <c r="T178" i="10" s="1"/>
  <c r="W178" i="10" s="1"/>
  <c r="M179" i="13"/>
  <c r="E118" i="15" s="1"/>
  <c r="M269" i="13"/>
  <c r="E177" i="15" s="1"/>
  <c r="R268" i="10"/>
  <c r="S268" i="10" s="1"/>
  <c r="T268" i="10" s="1"/>
  <c r="AA268" i="10"/>
  <c r="AC268" i="10"/>
  <c r="AA324" i="10"/>
  <c r="AJ324" i="10"/>
  <c r="R324" i="10"/>
  <c r="S324" i="10" s="1"/>
  <c r="T324" i="10" s="1"/>
  <c r="M325" i="13"/>
  <c r="E218" i="15" s="1"/>
  <c r="AA249" i="10"/>
  <c r="R249" i="10"/>
  <c r="S249" i="10" s="1"/>
  <c r="T249" i="10" s="1"/>
  <c r="M250" i="13"/>
  <c r="E166" i="15" s="1"/>
  <c r="AC249" i="10"/>
  <c r="M249" i="13"/>
  <c r="E165" i="15" s="1"/>
  <c r="R248" i="10"/>
  <c r="S248" i="10" s="1"/>
  <c r="T248" i="10" s="1"/>
  <c r="AA248" i="10"/>
  <c r="M326" i="13"/>
  <c r="AA325" i="10"/>
  <c r="R325" i="10"/>
  <c r="S325" i="10" s="1"/>
  <c r="T325" i="10" s="1"/>
  <c r="AJ325" i="10"/>
  <c r="AC325" i="10"/>
  <c r="R167" i="10"/>
  <c r="S167" i="10" s="1"/>
  <c r="T167" i="10" s="1"/>
  <c r="M168" i="13"/>
  <c r="E108" i="15" s="1"/>
  <c r="AA167" i="10"/>
  <c r="R37" i="10"/>
  <c r="S37" i="10" s="1"/>
  <c r="T37" i="10" s="1"/>
  <c r="M38" i="13"/>
  <c r="E26" i="15" s="1"/>
  <c r="AA37" i="10"/>
  <c r="M257" i="13"/>
  <c r="E171" i="15" s="1"/>
  <c r="R256" i="10"/>
  <c r="S256" i="10" s="1"/>
  <c r="T256" i="10" s="1"/>
  <c r="AA256" i="10"/>
  <c r="AC256" i="10"/>
  <c r="R210" i="10"/>
  <c r="S210" i="10" s="1"/>
  <c r="T210" i="10" s="1"/>
  <c r="M211" i="13"/>
  <c r="E138" i="15" s="1"/>
  <c r="AA210" i="10"/>
  <c r="AC210" i="10"/>
  <c r="M96" i="13"/>
  <c r="E62" i="15" s="1"/>
  <c r="AA95" i="10"/>
  <c r="R95" i="10"/>
  <c r="S95" i="10" s="1"/>
  <c r="T95" i="10" s="1"/>
  <c r="AA293" i="10"/>
  <c r="M294" i="13"/>
  <c r="E194" i="15" s="1"/>
  <c r="R293" i="10"/>
  <c r="S293" i="10" s="1"/>
  <c r="T293" i="10" s="1"/>
  <c r="AJ343" i="10"/>
  <c r="R343" i="10"/>
  <c r="S343" i="10" s="1"/>
  <c r="T343" i="10" s="1"/>
  <c r="AA343" i="10"/>
  <c r="M344" i="13"/>
  <c r="E230" i="15" s="1"/>
  <c r="AC343" i="10"/>
  <c r="M336" i="13"/>
  <c r="R335" i="10"/>
  <c r="S335" i="10" s="1"/>
  <c r="T335" i="10" s="1"/>
  <c r="AB335" i="10" s="1"/>
  <c r="AA335" i="10"/>
  <c r="AJ335" i="10"/>
  <c r="AC335" i="10"/>
  <c r="AA287" i="10"/>
  <c r="M288" i="13"/>
  <c r="E191" i="15" s="1"/>
  <c r="R287" i="10"/>
  <c r="S287" i="10" s="1"/>
  <c r="T287" i="10" s="1"/>
  <c r="M151" i="13"/>
  <c r="E95" i="15" s="1"/>
  <c r="AA150" i="10"/>
  <c r="R150" i="10"/>
  <c r="S150" i="10" s="1"/>
  <c r="T150" i="10" s="1"/>
  <c r="AC150" i="10"/>
  <c r="M16" i="13"/>
  <c r="E13" i="15" s="1"/>
  <c r="AA15" i="10"/>
  <c r="R15" i="10"/>
  <c r="S15" i="10" s="1"/>
  <c r="T15" i="10" s="1"/>
  <c r="M290" i="13"/>
  <c r="AA289" i="10"/>
  <c r="R289" i="10"/>
  <c r="S289" i="10" s="1"/>
  <c r="T289" i="10" s="1"/>
  <c r="M315" i="13"/>
  <c r="E210" i="15" s="1"/>
  <c r="AA314" i="10"/>
  <c r="R314" i="10"/>
  <c r="S314" i="10" s="1"/>
  <c r="T314" i="10" s="1"/>
  <c r="AC314" i="10"/>
  <c r="M104" i="13"/>
  <c r="E68" i="15" s="1"/>
  <c r="R103" i="10"/>
  <c r="S103" i="10" s="1"/>
  <c r="T103" i="10" s="1"/>
  <c r="AA103" i="10"/>
  <c r="AC103" i="10"/>
  <c r="R154" i="10"/>
  <c r="S154" i="10" s="1"/>
  <c r="T154" i="10" s="1"/>
  <c r="AA154" i="10"/>
  <c r="M155" i="13"/>
  <c r="AC154" i="10"/>
  <c r="AA336" i="10"/>
  <c r="R336" i="10"/>
  <c r="S336" i="10" s="1"/>
  <c r="T336" i="10" s="1"/>
  <c r="M337" i="13"/>
  <c r="E225" i="15" s="1"/>
  <c r="AJ336" i="10"/>
  <c r="M243" i="13"/>
  <c r="E161" i="15" s="1"/>
  <c r="AA242" i="10"/>
  <c r="R242" i="10"/>
  <c r="S242" i="10" s="1"/>
  <c r="T242" i="10" s="1"/>
  <c r="R288" i="10"/>
  <c r="S288" i="10" s="1"/>
  <c r="T288" i="10" s="1"/>
  <c r="M289" i="13"/>
  <c r="AA288" i="10"/>
  <c r="AC288" i="10"/>
  <c r="R230" i="10"/>
  <c r="S230" i="10" s="1"/>
  <c r="T230" i="10" s="1"/>
  <c r="AA230" i="10"/>
  <c r="M231" i="13"/>
  <c r="E154" i="15" s="1"/>
  <c r="M63" i="13"/>
  <c r="E41" i="15" s="1"/>
  <c r="AA62" i="10"/>
  <c r="R62" i="10"/>
  <c r="S62" i="10" s="1"/>
  <c r="T62" i="10" s="1"/>
  <c r="AC62" i="10"/>
  <c r="M318" i="13"/>
  <c r="R317" i="10"/>
  <c r="S317" i="10" s="1"/>
  <c r="T317" i="10" s="1"/>
  <c r="AA317" i="10"/>
  <c r="AA82" i="10"/>
  <c r="R82" i="10"/>
  <c r="S82" i="10" s="1"/>
  <c r="T82" i="10" s="1"/>
  <c r="M83" i="13"/>
  <c r="AC82" i="10"/>
  <c r="R25" i="10"/>
  <c r="S25" i="10" s="1"/>
  <c r="T25" i="10" s="1"/>
  <c r="AA25" i="10"/>
  <c r="M26" i="13"/>
  <c r="M209" i="13"/>
  <c r="AA208" i="10"/>
  <c r="R208" i="10"/>
  <c r="S208" i="10" s="1"/>
  <c r="T208" i="10" s="1"/>
  <c r="AA111" i="10"/>
  <c r="M112" i="13"/>
  <c r="E74" i="15" s="1"/>
  <c r="R111" i="10"/>
  <c r="S111" i="10" s="1"/>
  <c r="T111" i="10" s="1"/>
  <c r="R211" i="10"/>
  <c r="S211" i="10" s="1"/>
  <c r="T211" i="10" s="1"/>
  <c r="AA211" i="10"/>
  <c r="M212" i="13"/>
  <c r="AI7" i="10"/>
  <c r="W7" i="10"/>
  <c r="M320" i="13"/>
  <c r="AA319" i="10"/>
  <c r="R319" i="10"/>
  <c r="S319" i="10" s="1"/>
  <c r="T319" i="10" s="1"/>
  <c r="R246" i="10"/>
  <c r="S246" i="10" s="1"/>
  <c r="T246" i="10" s="1"/>
  <c r="AA246" i="10"/>
  <c r="M247" i="13"/>
  <c r="E164" i="15" s="1"/>
  <c r="AA126" i="10"/>
  <c r="M127" i="13"/>
  <c r="R126" i="10"/>
  <c r="S126" i="10" s="1"/>
  <c r="T126" i="10" s="1"/>
  <c r="AA125" i="10"/>
  <c r="M126" i="13"/>
  <c r="R125" i="10"/>
  <c r="S125" i="10" s="1"/>
  <c r="T125" i="10" s="1"/>
  <c r="AC125" i="10"/>
  <c r="M193" i="13"/>
  <c r="E129" i="15" s="1"/>
  <c r="R192" i="10"/>
  <c r="S192" i="10" s="1"/>
  <c r="T192" i="10" s="1"/>
  <c r="AA192" i="10"/>
  <c r="AC192" i="10"/>
  <c r="AA69" i="10"/>
  <c r="R69" i="10"/>
  <c r="S69" i="10" s="1"/>
  <c r="T69" i="10" s="1"/>
  <c r="M70" i="13"/>
  <c r="E44" i="15" s="1"/>
  <c r="AC69" i="10"/>
  <c r="M314" i="13"/>
  <c r="E209" i="15" s="1"/>
  <c r="R313" i="10"/>
  <c r="S313" i="10" s="1"/>
  <c r="T313" i="10" s="1"/>
  <c r="AA313" i="10"/>
  <c r="AC313" i="10"/>
  <c r="AJ342" i="10"/>
  <c r="M343" i="13"/>
  <c r="E229" i="15" s="1"/>
  <c r="AA342" i="10"/>
  <c r="R342" i="10"/>
  <c r="S342" i="10" s="1"/>
  <c r="T342" i="10" s="1"/>
  <c r="AC342" i="10"/>
  <c r="M307" i="13"/>
  <c r="E204" i="15" s="1"/>
  <c r="R306" i="10"/>
  <c r="S306" i="10" s="1"/>
  <c r="T306" i="10" s="1"/>
  <c r="AA306" i="10"/>
  <c r="M33" i="13"/>
  <c r="E23" i="15" s="1"/>
  <c r="AA32" i="10"/>
  <c r="R32" i="10"/>
  <c r="S32" i="10" s="1"/>
  <c r="T32" i="10" s="1"/>
  <c r="M62" i="13"/>
  <c r="R61" i="10"/>
  <c r="S61" i="10" s="1"/>
  <c r="T61" i="10" s="1"/>
  <c r="AA61" i="10"/>
  <c r="AJ322" i="10"/>
  <c r="M323" i="13"/>
  <c r="E216" i="15" s="1"/>
  <c r="R322" i="10"/>
  <c r="S322" i="10" s="1"/>
  <c r="T322" i="10" s="1"/>
  <c r="AA322" i="10"/>
  <c r="AC322" i="10"/>
  <c r="AA168" i="10"/>
  <c r="M169" i="13"/>
  <c r="E109" i="15" s="1"/>
  <c r="R168" i="10"/>
  <c r="S168" i="10" s="1"/>
  <c r="T168" i="10" s="1"/>
  <c r="AC168" i="10"/>
  <c r="M10" i="13"/>
  <c r="E9" i="15" s="1"/>
  <c r="R9" i="10"/>
  <c r="S9" i="10" s="1"/>
  <c r="T9" i="10" s="1"/>
  <c r="AA9" i="10"/>
  <c r="AC9" i="10"/>
  <c r="M287" i="13"/>
  <c r="AA286" i="10"/>
  <c r="R286" i="10"/>
  <c r="S286" i="10" s="1"/>
  <c r="T286" i="10" s="1"/>
  <c r="AC286" i="10"/>
  <c r="M298" i="13"/>
  <c r="E198" i="15" s="1"/>
  <c r="AA297" i="10"/>
  <c r="R297" i="10"/>
  <c r="S297" i="10" s="1"/>
  <c r="T297" i="10" s="1"/>
  <c r="AC297" i="10"/>
  <c r="M30" i="13"/>
  <c r="E20" i="15" s="1"/>
  <c r="R29" i="10"/>
  <c r="S29" i="10" s="1"/>
  <c r="T29" i="10" s="1"/>
  <c r="AA29" i="10"/>
  <c r="AB346" i="10"/>
  <c r="X346" i="10"/>
  <c r="Y346" i="10" s="1"/>
  <c r="M310" i="13"/>
  <c r="R309" i="10"/>
  <c r="S309" i="10" s="1"/>
  <c r="T309" i="10" s="1"/>
  <c r="AA309" i="10"/>
  <c r="AA188" i="10"/>
  <c r="M189" i="13"/>
  <c r="E126" i="15" s="1"/>
  <c r="R188" i="10"/>
  <c r="S188" i="10" s="1"/>
  <c r="T188" i="10" s="1"/>
  <c r="M161" i="13"/>
  <c r="E102" i="15" s="1"/>
  <c r="R160" i="10"/>
  <c r="S160" i="10" s="1"/>
  <c r="T160" i="10" s="1"/>
  <c r="AA160" i="10"/>
  <c r="AC160" i="10"/>
  <c r="M65" i="13"/>
  <c r="R64" i="10"/>
  <c r="S64" i="10" s="1"/>
  <c r="T64" i="10" s="1"/>
  <c r="AA64" i="10"/>
  <c r="M118" i="13"/>
  <c r="E77" i="15" s="1"/>
  <c r="R117" i="10"/>
  <c r="S117" i="10" s="1"/>
  <c r="T117" i="10" s="1"/>
  <c r="AA117" i="10"/>
  <c r="M93" i="13"/>
  <c r="E59" i="15" s="1"/>
  <c r="AA92" i="10"/>
  <c r="R92" i="10"/>
  <c r="S92" i="10" s="1"/>
  <c r="T92" i="10" s="1"/>
  <c r="M129" i="13"/>
  <c r="E82" i="15" s="1"/>
  <c r="AA128" i="10"/>
  <c r="R128" i="10"/>
  <c r="S128" i="10" s="1"/>
  <c r="T128" i="10" s="1"/>
  <c r="AC128" i="10"/>
  <c r="M40" i="13"/>
  <c r="R39" i="10"/>
  <c r="S39" i="10" s="1"/>
  <c r="T39" i="10" s="1"/>
  <c r="AA39" i="10"/>
  <c r="AC39" i="10"/>
  <c r="R274" i="10"/>
  <c r="S274" i="10" s="1"/>
  <c r="T274" i="10" s="1"/>
  <c r="AA274" i="10"/>
  <c r="M275" i="13"/>
  <c r="R303" i="10"/>
  <c r="S303" i="10" s="1"/>
  <c r="T303" i="10" s="1"/>
  <c r="AA303" i="10"/>
  <c r="M304" i="13"/>
  <c r="M121" i="13"/>
  <c r="E78" i="15" s="1"/>
  <c r="R120" i="10"/>
  <c r="S120" i="10" s="1"/>
  <c r="T120" i="10" s="1"/>
  <c r="AA120" i="10"/>
  <c r="R43" i="10"/>
  <c r="S43" i="10" s="1"/>
  <c r="T43" i="10" s="1"/>
  <c r="M44" i="13"/>
  <c r="AA43" i="10"/>
  <c r="AC43" i="10"/>
  <c r="M9" i="13"/>
  <c r="R8" i="10"/>
  <c r="S8" i="10" s="1"/>
  <c r="T8" i="10" s="1"/>
  <c r="AA8" i="10"/>
  <c r="AC8" i="10"/>
  <c r="AA283" i="10"/>
  <c r="R283" i="10"/>
  <c r="S283" i="10" s="1"/>
  <c r="T283" i="10" s="1"/>
  <c r="M284" i="13"/>
  <c r="E189" i="15" s="1"/>
  <c r="AC283" i="10"/>
  <c r="AJ7" i="10" l="1"/>
  <c r="J370" i="6"/>
  <c r="K370" i="6" s="1"/>
  <c r="C25" i="8"/>
  <c r="M408" i="13"/>
  <c r="W47" i="10"/>
  <c r="X47" i="10" s="1"/>
  <c r="Y47" i="10" s="1"/>
  <c r="W148" i="10"/>
  <c r="X148" i="10" s="1"/>
  <c r="Y148" i="10" s="1"/>
  <c r="W102" i="10"/>
  <c r="X102" i="10" s="1"/>
  <c r="Y102" i="10" s="1"/>
  <c r="AC346" i="10"/>
  <c r="AC161" i="10"/>
  <c r="W209" i="10"/>
  <c r="AB209" i="10" s="1"/>
  <c r="W227" i="10"/>
  <c r="AB227" i="10" s="1"/>
  <c r="M375" i="13"/>
  <c r="X222" i="10"/>
  <c r="Y222" i="10" s="1"/>
  <c r="AC280" i="10"/>
  <c r="M374" i="13"/>
  <c r="M385" i="13"/>
  <c r="S318" i="10"/>
  <c r="T318" i="10" s="1"/>
  <c r="AB318" i="10" s="1"/>
  <c r="M387" i="13"/>
  <c r="M404" i="13"/>
  <c r="W174" i="10"/>
  <c r="X174" i="10" s="1"/>
  <c r="Y174" i="10" s="1"/>
  <c r="M363" i="13"/>
  <c r="M368" i="13"/>
  <c r="M394" i="13"/>
  <c r="M383" i="13"/>
  <c r="M365" i="13"/>
  <c r="W137" i="10"/>
  <c r="X137" i="10" s="1"/>
  <c r="Y137" i="10" s="1"/>
  <c r="M372" i="13"/>
  <c r="W339" i="10"/>
  <c r="AB339" i="10" s="1"/>
  <c r="M395" i="13"/>
  <c r="W255" i="10"/>
  <c r="X255" i="10" s="1"/>
  <c r="Y255" i="10" s="1"/>
  <c r="M373" i="13"/>
  <c r="M384" i="13"/>
  <c r="M367" i="13"/>
  <c r="M433" i="13"/>
  <c r="AB280" i="10"/>
  <c r="AB161" i="10"/>
  <c r="M430" i="13"/>
  <c r="M416" i="13"/>
  <c r="W320" i="10"/>
  <c r="AB320" i="10" s="1"/>
  <c r="M413" i="13"/>
  <c r="M381" i="13"/>
  <c r="M360" i="13"/>
  <c r="M426" i="13"/>
  <c r="M397" i="13"/>
  <c r="M399" i="13"/>
  <c r="M415" i="13"/>
  <c r="M388" i="13"/>
  <c r="M392" i="13"/>
  <c r="M386" i="13"/>
  <c r="M380" i="13"/>
  <c r="M435" i="13"/>
  <c r="M442" i="13"/>
  <c r="M417" i="13"/>
  <c r="AB117" i="10"/>
  <c r="X117" i="10"/>
  <c r="Y117" i="10" s="1"/>
  <c r="W61" i="10"/>
  <c r="X61" i="10" s="1"/>
  <c r="Y61" i="10" s="1"/>
  <c r="AB313" i="10"/>
  <c r="X313" i="10"/>
  <c r="Y313" i="10" s="1"/>
  <c r="W230" i="10"/>
  <c r="X230" i="10" s="1"/>
  <c r="Y230" i="10" s="1"/>
  <c r="AB210" i="10"/>
  <c r="X210" i="10"/>
  <c r="Y210" i="10" s="1"/>
  <c r="AB325" i="10"/>
  <c r="X325" i="10"/>
  <c r="Y325" i="10" s="1"/>
  <c r="W248" i="10"/>
  <c r="X248" i="10" s="1"/>
  <c r="Y248" i="10" s="1"/>
  <c r="AB176" i="10"/>
  <c r="X176" i="10"/>
  <c r="Y176" i="10" s="1"/>
  <c r="AB75" i="10"/>
  <c r="X75" i="10"/>
  <c r="Y75" i="10" s="1"/>
  <c r="M412" i="13"/>
  <c r="AB355" i="10"/>
  <c r="X355" i="10"/>
  <c r="Y355" i="10" s="1"/>
  <c r="AB138" i="10"/>
  <c r="X138" i="10"/>
  <c r="Y138" i="10" s="1"/>
  <c r="AB65" i="10"/>
  <c r="X65" i="10"/>
  <c r="Y65" i="10" s="1"/>
  <c r="AB198" i="10"/>
  <c r="X198" i="10"/>
  <c r="Y198" i="10" s="1"/>
  <c r="AB350" i="10"/>
  <c r="X350" i="10"/>
  <c r="Y350" i="10" s="1"/>
  <c r="AB276" i="10"/>
  <c r="X276" i="10"/>
  <c r="Y276" i="10" s="1"/>
  <c r="AB191" i="10"/>
  <c r="X191" i="10"/>
  <c r="Y191" i="10" s="1"/>
  <c r="X221" i="10"/>
  <c r="Y221" i="10" s="1"/>
  <c r="AB221" i="10"/>
  <c r="AB292" i="10"/>
  <c r="X292" i="10"/>
  <c r="Y292" i="10" s="1"/>
  <c r="AB236" i="10"/>
  <c r="X236" i="10"/>
  <c r="Y236" i="10" s="1"/>
  <c r="AB173" i="10"/>
  <c r="X173" i="10"/>
  <c r="Y173" i="10" s="1"/>
  <c r="AB21" i="10"/>
  <c r="X21" i="10"/>
  <c r="Y21" i="10" s="1"/>
  <c r="M405" i="13"/>
  <c r="AB146" i="10"/>
  <c r="X146" i="10"/>
  <c r="Y146" i="10" s="1"/>
  <c r="AB66" i="10"/>
  <c r="X66" i="10"/>
  <c r="Y66" i="10" s="1"/>
  <c r="AB272" i="10"/>
  <c r="X272" i="10"/>
  <c r="Y272" i="10" s="1"/>
  <c r="AB77" i="10"/>
  <c r="X77" i="10"/>
  <c r="Y77" i="10" s="1"/>
  <c r="AB143" i="10"/>
  <c r="X143" i="10"/>
  <c r="Y143" i="10" s="1"/>
  <c r="AB214" i="10"/>
  <c r="X214" i="10"/>
  <c r="Y214" i="10" s="1"/>
  <c r="AB284" i="10"/>
  <c r="X284" i="10"/>
  <c r="Y284" i="10" s="1"/>
  <c r="AB316" i="10"/>
  <c r="X316" i="10"/>
  <c r="Y316" i="10" s="1"/>
  <c r="AB195" i="10"/>
  <c r="X195" i="10"/>
  <c r="Y195" i="10" s="1"/>
  <c r="AB300" i="10"/>
  <c r="X300" i="10"/>
  <c r="Y300" i="10" s="1"/>
  <c r="AB48" i="10"/>
  <c r="X48" i="10"/>
  <c r="Y48" i="10" s="1"/>
  <c r="AB131" i="10"/>
  <c r="X131" i="10"/>
  <c r="Y131" i="10" s="1"/>
  <c r="M398" i="13"/>
  <c r="AB136" i="10"/>
  <c r="X136" i="10"/>
  <c r="Y136" i="10" s="1"/>
  <c r="AB79" i="10"/>
  <c r="X79" i="10"/>
  <c r="Y79" i="10" s="1"/>
  <c r="M410" i="13"/>
  <c r="AB291" i="10"/>
  <c r="X291" i="10"/>
  <c r="Y291" i="10" s="1"/>
  <c r="M440" i="13"/>
  <c r="AB26" i="10"/>
  <c r="X26" i="10"/>
  <c r="Y26" i="10" s="1"/>
  <c r="AB83" i="10"/>
  <c r="X83" i="10"/>
  <c r="Y83" i="10" s="1"/>
  <c r="M414" i="13"/>
  <c r="AB11" i="10"/>
  <c r="X11" i="10"/>
  <c r="Y11" i="10" s="1"/>
  <c r="AB93" i="10"/>
  <c r="X93" i="10"/>
  <c r="Y93" i="10" s="1"/>
  <c r="AB224" i="10"/>
  <c r="X224" i="10"/>
  <c r="Y224" i="10" s="1"/>
  <c r="AB153" i="10"/>
  <c r="X153" i="10"/>
  <c r="Y153" i="10" s="1"/>
  <c r="AB279" i="10"/>
  <c r="X279" i="10"/>
  <c r="Y279" i="10" s="1"/>
  <c r="W275" i="10"/>
  <c r="X275" i="10" s="1"/>
  <c r="Y275" i="10" s="1"/>
  <c r="AB43" i="10"/>
  <c r="X43" i="10"/>
  <c r="Y43" i="10" s="1"/>
  <c r="AB309" i="10"/>
  <c r="X309" i="10"/>
  <c r="Y309" i="10" s="1"/>
  <c r="M444" i="13"/>
  <c r="AB342" i="10"/>
  <c r="X342" i="10"/>
  <c r="Y342" i="10" s="1"/>
  <c r="AB126" i="10"/>
  <c r="X126" i="10"/>
  <c r="Y126" i="10" s="1"/>
  <c r="W211" i="10"/>
  <c r="AB211" i="10" s="1"/>
  <c r="AB82" i="10"/>
  <c r="X82" i="10"/>
  <c r="Y82" i="10" s="1"/>
  <c r="W336" i="10"/>
  <c r="X336" i="10" s="1"/>
  <c r="Y336" i="10" s="1"/>
  <c r="AB314" i="10"/>
  <c r="X314" i="10"/>
  <c r="Y314" i="10" s="1"/>
  <c r="W95" i="10"/>
  <c r="X95" i="10" s="1"/>
  <c r="Y95" i="10" s="1"/>
  <c r="W340" i="10"/>
  <c r="X340" i="10" s="1"/>
  <c r="Y340" i="10" s="1"/>
  <c r="AB112" i="10"/>
  <c r="X112" i="10"/>
  <c r="Y112" i="10" s="1"/>
  <c r="AB237" i="10"/>
  <c r="X237" i="10"/>
  <c r="Y237" i="10" s="1"/>
  <c r="M396" i="13"/>
  <c r="AB67" i="10"/>
  <c r="X67" i="10"/>
  <c r="Y67" i="10" s="1"/>
  <c r="M434" i="13"/>
  <c r="AB166" i="10"/>
  <c r="X166" i="10"/>
  <c r="Y166" i="10" s="1"/>
  <c r="AB305" i="10"/>
  <c r="X305" i="10"/>
  <c r="Y305" i="10" s="1"/>
  <c r="AB74" i="10"/>
  <c r="X74" i="10"/>
  <c r="Y74" i="10" s="1"/>
  <c r="AB34" i="10"/>
  <c r="X34" i="10"/>
  <c r="Y34" i="10" s="1"/>
  <c r="AB177" i="10"/>
  <c r="X177" i="10"/>
  <c r="Y177" i="10" s="1"/>
  <c r="AB225" i="10"/>
  <c r="X225" i="10"/>
  <c r="Y225" i="10" s="1"/>
  <c r="AB122" i="10"/>
  <c r="X122" i="10"/>
  <c r="Y122" i="10" s="1"/>
  <c r="AB251" i="10"/>
  <c r="X251" i="10"/>
  <c r="Y251" i="10" s="1"/>
  <c r="AB217" i="10"/>
  <c r="X217" i="10"/>
  <c r="Y217" i="10" s="1"/>
  <c r="AB159" i="10"/>
  <c r="X159" i="10"/>
  <c r="Y159" i="10" s="1"/>
  <c r="M370" i="13"/>
  <c r="AB142" i="10"/>
  <c r="X142" i="10"/>
  <c r="Y142" i="10" s="1"/>
  <c r="M409" i="13"/>
  <c r="M443" i="13"/>
  <c r="M379" i="13"/>
  <c r="AB265" i="10"/>
  <c r="X265" i="10"/>
  <c r="Y265" i="10" s="1"/>
  <c r="AB357" i="10"/>
  <c r="X357" i="10"/>
  <c r="Y357" i="10" s="1"/>
  <c r="AB180" i="10"/>
  <c r="X180" i="10"/>
  <c r="Y180" i="10" s="1"/>
  <c r="AB40" i="10"/>
  <c r="X40" i="10"/>
  <c r="Y40" i="10" s="1"/>
  <c r="AB181" i="10"/>
  <c r="X181" i="10"/>
  <c r="Y181" i="10" s="1"/>
  <c r="AB44" i="10"/>
  <c r="X44" i="10"/>
  <c r="Y44" i="10" s="1"/>
  <c r="AB101" i="10"/>
  <c r="X101" i="10"/>
  <c r="Y101" i="10" s="1"/>
  <c r="AB88" i="10"/>
  <c r="X88" i="10"/>
  <c r="Y88" i="10" s="1"/>
  <c r="AB232" i="10"/>
  <c r="X232" i="10"/>
  <c r="Y232" i="10" s="1"/>
  <c r="M390" i="13"/>
  <c r="AB182" i="10"/>
  <c r="X182" i="10"/>
  <c r="Y182" i="10" s="1"/>
  <c r="AB158" i="10"/>
  <c r="X158" i="10"/>
  <c r="Y158" i="10" s="1"/>
  <c r="W55" i="10"/>
  <c r="X55" i="10" s="1"/>
  <c r="Y55" i="10" s="1"/>
  <c r="AB351" i="10"/>
  <c r="X351" i="10"/>
  <c r="Y351" i="10" s="1"/>
  <c r="AB45" i="10"/>
  <c r="X45" i="10"/>
  <c r="Y45" i="10" s="1"/>
  <c r="W202" i="10"/>
  <c r="X202" i="10" s="1"/>
  <c r="Y202" i="10" s="1"/>
  <c r="AB208" i="10"/>
  <c r="X208" i="10"/>
  <c r="Y208" i="10" s="1"/>
  <c r="AB150" i="10"/>
  <c r="X150" i="10"/>
  <c r="Y150" i="10" s="1"/>
  <c r="M8" i="13"/>
  <c r="C26" i="8" s="1"/>
  <c r="M439" i="13"/>
  <c r="AA7" i="10"/>
  <c r="R7" i="10"/>
  <c r="R361" i="10" s="1"/>
  <c r="AB229" i="10"/>
  <c r="X229" i="10"/>
  <c r="Y229" i="10" s="1"/>
  <c r="AB10" i="10"/>
  <c r="X10" i="10"/>
  <c r="Y10" i="10" s="1"/>
  <c r="AB87" i="10"/>
  <c r="X87" i="10"/>
  <c r="Y87" i="10" s="1"/>
  <c r="AB109" i="10"/>
  <c r="X109" i="10"/>
  <c r="Y109" i="10" s="1"/>
  <c r="AB185" i="10"/>
  <c r="X185" i="10"/>
  <c r="Y185" i="10" s="1"/>
  <c r="AB36" i="10"/>
  <c r="X36" i="10"/>
  <c r="Y36" i="10" s="1"/>
  <c r="AB254" i="10"/>
  <c r="X254" i="10"/>
  <c r="Y254" i="10" s="1"/>
  <c r="AB123" i="10"/>
  <c r="X123" i="10"/>
  <c r="Y123" i="10" s="1"/>
  <c r="AB30" i="10"/>
  <c r="X30" i="10"/>
  <c r="Y30" i="10" s="1"/>
  <c r="W201" i="10"/>
  <c r="AB201" i="10" s="1"/>
  <c r="AB341" i="10"/>
  <c r="X341" i="10"/>
  <c r="Y341" i="10" s="1"/>
  <c r="AB119" i="10"/>
  <c r="X119" i="10"/>
  <c r="Y119" i="10" s="1"/>
  <c r="AB147" i="10"/>
  <c r="X147" i="10"/>
  <c r="Y147" i="10" s="1"/>
  <c r="W84" i="10"/>
  <c r="X84" i="10" s="1"/>
  <c r="Y84" i="10" s="1"/>
  <c r="AB151" i="10"/>
  <c r="X151" i="10"/>
  <c r="Y151" i="10" s="1"/>
  <c r="AB51" i="10"/>
  <c r="X51" i="10"/>
  <c r="Y51" i="10" s="1"/>
  <c r="W203" i="10"/>
  <c r="X203" i="10" s="1"/>
  <c r="Y203" i="10" s="1"/>
  <c r="M377" i="13"/>
  <c r="AB356" i="10"/>
  <c r="X356" i="10"/>
  <c r="Y356" i="10" s="1"/>
  <c r="M362" i="13"/>
  <c r="AB134" i="10"/>
  <c r="X134" i="10"/>
  <c r="Y134" i="10" s="1"/>
  <c r="AB344" i="10"/>
  <c r="X344" i="10"/>
  <c r="Y344" i="10" s="1"/>
  <c r="W115" i="10"/>
  <c r="X115" i="10" s="1"/>
  <c r="AB235" i="10"/>
  <c r="X235" i="10"/>
  <c r="Y235" i="10" s="1"/>
  <c r="M371" i="13"/>
  <c r="AB139" i="10"/>
  <c r="X139" i="10"/>
  <c r="Y139" i="10" s="1"/>
  <c r="AB70" i="10"/>
  <c r="X70" i="10"/>
  <c r="Y70" i="10" s="1"/>
  <c r="AB238" i="10"/>
  <c r="X238" i="10"/>
  <c r="Y238" i="10" s="1"/>
  <c r="AB80" i="10"/>
  <c r="X80" i="10"/>
  <c r="Y80" i="10" s="1"/>
  <c r="W57" i="10"/>
  <c r="AB57" i="10" s="1"/>
  <c r="M391" i="13"/>
  <c r="W163" i="10"/>
  <c r="X163" i="10" s="1"/>
  <c r="Y163" i="10" s="1"/>
  <c r="AB329" i="10"/>
  <c r="X329" i="10"/>
  <c r="Y329" i="10" s="1"/>
  <c r="AB240" i="10"/>
  <c r="X240" i="10"/>
  <c r="Y240" i="10" s="1"/>
  <c r="AB332" i="10"/>
  <c r="X332" i="10"/>
  <c r="Y332" i="10" s="1"/>
  <c r="AB162" i="10"/>
  <c r="X162" i="10"/>
  <c r="Y162" i="10" s="1"/>
  <c r="AB353" i="10"/>
  <c r="X353" i="10"/>
  <c r="Y353" i="10" s="1"/>
  <c r="M445" i="13"/>
  <c r="AB124" i="10"/>
  <c r="X124" i="10"/>
  <c r="Y124" i="10" s="1"/>
  <c r="W323" i="10"/>
  <c r="AB323" i="10" s="1"/>
  <c r="AB127" i="10"/>
  <c r="X127" i="10"/>
  <c r="Y127" i="10" s="1"/>
  <c r="AB149" i="10"/>
  <c r="X149" i="10"/>
  <c r="Y149" i="10" s="1"/>
  <c r="M411" i="13"/>
  <c r="M429" i="13"/>
  <c r="AB188" i="10"/>
  <c r="X188" i="10"/>
  <c r="Y188" i="10" s="1"/>
  <c r="AB168" i="10"/>
  <c r="X168" i="10"/>
  <c r="Y168" i="10" s="1"/>
  <c r="AB246" i="10"/>
  <c r="X246" i="10"/>
  <c r="Y246" i="10" s="1"/>
  <c r="AB111" i="10"/>
  <c r="X111" i="10"/>
  <c r="Y111" i="10" s="1"/>
  <c r="AB317" i="10"/>
  <c r="X317" i="10"/>
  <c r="Y317" i="10" s="1"/>
  <c r="AB167" i="10"/>
  <c r="X167" i="10"/>
  <c r="Y167" i="10" s="1"/>
  <c r="V7" i="10"/>
  <c r="V358" i="10" s="1"/>
  <c r="U358" i="10"/>
  <c r="U361" i="10"/>
  <c r="U362" i="10" s="1"/>
  <c r="AB245" i="10"/>
  <c r="X245" i="10"/>
  <c r="Y245" i="10" s="1"/>
  <c r="M432" i="13"/>
  <c r="AB63" i="10"/>
  <c r="X63" i="10"/>
  <c r="Y63" i="10" s="1"/>
  <c r="M406" i="13"/>
  <c r="AB226" i="10"/>
  <c r="X226" i="10"/>
  <c r="Y226" i="10" s="1"/>
  <c r="M427" i="13"/>
  <c r="AB89" i="10"/>
  <c r="X89" i="10"/>
  <c r="Y89" i="10" s="1"/>
  <c r="M418" i="13"/>
  <c r="W91" i="10"/>
  <c r="AB91" i="10" s="1"/>
  <c r="AB59" i="10"/>
  <c r="X59" i="10"/>
  <c r="Y59" i="10" s="1"/>
  <c r="W258" i="10"/>
  <c r="X258" i="10" s="1"/>
  <c r="Y258" i="10" s="1"/>
  <c r="AB152" i="10"/>
  <c r="X152" i="10"/>
  <c r="Y152" i="10" s="1"/>
  <c r="AB31" i="10"/>
  <c r="X31" i="10"/>
  <c r="Y31" i="10" s="1"/>
  <c r="W213" i="10"/>
  <c r="X213" i="10" s="1"/>
  <c r="Y213" i="10" s="1"/>
  <c r="AB233" i="10"/>
  <c r="X233" i="10"/>
  <c r="Y233" i="10" s="1"/>
  <c r="AB187" i="10"/>
  <c r="X187" i="10"/>
  <c r="Y187" i="10" s="1"/>
  <c r="AB298" i="10"/>
  <c r="X298" i="10"/>
  <c r="Y298" i="10" s="1"/>
  <c r="AB144" i="10"/>
  <c r="X144" i="10"/>
  <c r="Y144" i="10" s="1"/>
  <c r="AB33" i="10"/>
  <c r="X33" i="10"/>
  <c r="Y33" i="10" s="1"/>
  <c r="W302" i="10"/>
  <c r="X302" i="10" s="1"/>
  <c r="Y302" i="10" s="1"/>
  <c r="AB179" i="10"/>
  <c r="X179" i="10"/>
  <c r="Y179" i="10" s="1"/>
  <c r="AB263" i="10"/>
  <c r="X263" i="10"/>
  <c r="Y263" i="10" s="1"/>
  <c r="AB260" i="10"/>
  <c r="X260" i="10"/>
  <c r="Y260" i="10" s="1"/>
  <c r="W199" i="10"/>
  <c r="AB199" i="10" s="1"/>
  <c r="AB223" i="10"/>
  <c r="X223" i="10"/>
  <c r="Y223" i="10" s="1"/>
  <c r="M420" i="13"/>
  <c r="AB116" i="10"/>
  <c r="X116" i="10"/>
  <c r="Y116" i="10" s="1"/>
  <c r="M407" i="13"/>
  <c r="W73" i="10"/>
  <c r="X73" i="10" s="1"/>
  <c r="Y73" i="10" s="1"/>
  <c r="AB244" i="10"/>
  <c r="X244" i="10"/>
  <c r="Y244" i="10" s="1"/>
  <c r="W308" i="10"/>
  <c r="X308" i="10" s="1"/>
  <c r="Y308" i="10" s="1"/>
  <c r="AB196" i="10"/>
  <c r="X196" i="10"/>
  <c r="Y196" i="10" s="1"/>
  <c r="AB215" i="10"/>
  <c r="X215" i="10"/>
  <c r="Y215" i="10" s="1"/>
  <c r="AB242" i="10"/>
  <c r="X242" i="10"/>
  <c r="Y242" i="10" s="1"/>
  <c r="AB178" i="10"/>
  <c r="X178" i="10"/>
  <c r="Y178" i="10" s="1"/>
  <c r="AB274" i="10"/>
  <c r="X274" i="10"/>
  <c r="Y274" i="10" s="1"/>
  <c r="W132" i="10"/>
  <c r="AB132" i="10" s="1"/>
  <c r="AB19" i="10"/>
  <c r="X19" i="10"/>
  <c r="Y19" i="10" s="1"/>
  <c r="W303" i="10"/>
  <c r="AB303" i="10" s="1"/>
  <c r="AB128" i="10"/>
  <c r="X128" i="10"/>
  <c r="Y128" i="10" s="1"/>
  <c r="M437" i="13"/>
  <c r="AB125" i="10"/>
  <c r="X125" i="10"/>
  <c r="Y125" i="10" s="1"/>
  <c r="AB103" i="10"/>
  <c r="X103" i="10"/>
  <c r="Y103" i="10" s="1"/>
  <c r="AB15" i="10"/>
  <c r="X15" i="10"/>
  <c r="Y15" i="10" s="1"/>
  <c r="AB293" i="10"/>
  <c r="X293" i="10"/>
  <c r="Y293" i="10" s="1"/>
  <c r="W324" i="10"/>
  <c r="X324" i="10" s="1"/>
  <c r="Y324" i="10" s="1"/>
  <c r="AB268" i="10"/>
  <c r="X268" i="10"/>
  <c r="Y268" i="10" s="1"/>
  <c r="L358" i="10"/>
  <c r="AJ358" i="10" s="1"/>
  <c r="C27" i="3"/>
  <c r="C28" i="3" s="1"/>
  <c r="AB17" i="10"/>
  <c r="X17" i="10"/>
  <c r="Y17" i="10" s="1"/>
  <c r="M441" i="13"/>
  <c r="M361" i="13"/>
  <c r="M376" i="13"/>
  <c r="AB271" i="10"/>
  <c r="X271" i="10"/>
  <c r="Y271" i="10" s="1"/>
  <c r="AB100" i="10"/>
  <c r="X100" i="10"/>
  <c r="Y100" i="10" s="1"/>
  <c r="AB42" i="10"/>
  <c r="X42" i="10"/>
  <c r="Y42" i="10" s="1"/>
  <c r="M423" i="13"/>
  <c r="AB50" i="10"/>
  <c r="X50" i="10"/>
  <c r="Y50" i="10" s="1"/>
  <c r="AB266" i="10"/>
  <c r="X266" i="10"/>
  <c r="Y266" i="10" s="1"/>
  <c r="AB282" i="10"/>
  <c r="X282" i="10"/>
  <c r="Y282" i="10" s="1"/>
  <c r="AB327" i="10"/>
  <c r="X327" i="10"/>
  <c r="Y327" i="10" s="1"/>
  <c r="AB46" i="10"/>
  <c r="X46" i="10"/>
  <c r="Y46" i="10" s="1"/>
  <c r="AB141" i="10"/>
  <c r="X141" i="10"/>
  <c r="Y141" i="10" s="1"/>
  <c r="M364" i="13"/>
  <c r="W52" i="10"/>
  <c r="X52" i="10" s="1"/>
  <c r="Y52" i="10" s="1"/>
  <c r="AB197" i="10"/>
  <c r="X197" i="10"/>
  <c r="Y197" i="10" s="1"/>
  <c r="AB262" i="10"/>
  <c r="X262" i="10"/>
  <c r="Y262" i="10" s="1"/>
  <c r="AB164" i="10"/>
  <c r="X164" i="10"/>
  <c r="Y164" i="10" s="1"/>
  <c r="AB156" i="10"/>
  <c r="X156" i="10"/>
  <c r="Y156" i="10" s="1"/>
  <c r="AB18" i="10"/>
  <c r="X18" i="10"/>
  <c r="Y18" i="10" s="1"/>
  <c r="AB239" i="10"/>
  <c r="X239" i="10"/>
  <c r="Y239" i="10" s="1"/>
  <c r="AB354" i="10"/>
  <c r="X354" i="10"/>
  <c r="Y354" i="10" s="1"/>
  <c r="M389" i="13"/>
  <c r="AB165" i="10"/>
  <c r="X165" i="10"/>
  <c r="Y165" i="10" s="1"/>
  <c r="AL280" i="10"/>
  <c r="M1379" i="19"/>
  <c r="AB310" i="10"/>
  <c r="X310" i="10"/>
  <c r="Y310" i="10" s="1"/>
  <c r="AB54" i="10"/>
  <c r="X54" i="10"/>
  <c r="Y54" i="10" s="1"/>
  <c r="AB311" i="10"/>
  <c r="X311" i="10"/>
  <c r="Y311" i="10" s="1"/>
  <c r="AB301" i="10"/>
  <c r="X301" i="10"/>
  <c r="Y301" i="10" s="1"/>
  <c r="AB204" i="10"/>
  <c r="X204" i="10"/>
  <c r="Y204" i="10" s="1"/>
  <c r="AB348" i="10"/>
  <c r="X348" i="10"/>
  <c r="Y348" i="10" s="1"/>
  <c r="AB281" i="10"/>
  <c r="X281" i="10"/>
  <c r="Y281" i="10" s="1"/>
  <c r="W68" i="10"/>
  <c r="AB68" i="10" s="1"/>
  <c r="M378" i="13"/>
  <c r="AB85" i="10"/>
  <c r="X85" i="10"/>
  <c r="Y85" i="10" s="1"/>
  <c r="AB90" i="10"/>
  <c r="X90" i="10"/>
  <c r="Y90" i="10" s="1"/>
  <c r="AB220" i="10"/>
  <c r="X220" i="10"/>
  <c r="Y220" i="10" s="1"/>
  <c r="AB345" i="10"/>
  <c r="X345" i="10"/>
  <c r="Y345" i="10" s="1"/>
  <c r="AB170" i="10"/>
  <c r="X170" i="10"/>
  <c r="Y170" i="10" s="1"/>
  <c r="AB286" i="10"/>
  <c r="X286" i="10"/>
  <c r="Y286" i="10" s="1"/>
  <c r="AB9" i="10"/>
  <c r="X9" i="10"/>
  <c r="Y9" i="10" s="1"/>
  <c r="AB319" i="10"/>
  <c r="X319" i="10"/>
  <c r="Y319" i="10" s="1"/>
  <c r="AB25" i="10"/>
  <c r="X25" i="10"/>
  <c r="Y25" i="10" s="1"/>
  <c r="X335" i="10"/>
  <c r="Y335" i="10" s="1"/>
  <c r="AB294" i="10"/>
  <c r="X294" i="10"/>
  <c r="Y294" i="10" s="1"/>
  <c r="AB338" i="10"/>
  <c r="X338" i="10"/>
  <c r="Y338" i="10" s="1"/>
  <c r="AB145" i="10"/>
  <c r="X145" i="10"/>
  <c r="Y145" i="10" s="1"/>
  <c r="M393" i="13"/>
  <c r="AB78" i="10"/>
  <c r="X78" i="10"/>
  <c r="Y78" i="10" s="1"/>
  <c r="AB337" i="10"/>
  <c r="X337" i="10"/>
  <c r="Y337" i="10" s="1"/>
  <c r="AB129" i="10"/>
  <c r="X129" i="10"/>
  <c r="Y129" i="10" s="1"/>
  <c r="W172" i="10"/>
  <c r="X172" i="10" s="1"/>
  <c r="Y172" i="10" s="1"/>
  <c r="AB35" i="10"/>
  <c r="X35" i="10"/>
  <c r="Y35" i="10" s="1"/>
  <c r="W96" i="10"/>
  <c r="X96" i="10" s="1"/>
  <c r="Y96" i="10" s="1"/>
  <c r="M436" i="13"/>
  <c r="AB206" i="10"/>
  <c r="X206" i="10"/>
  <c r="Y206" i="10" s="1"/>
  <c r="AB99" i="10"/>
  <c r="X99" i="10"/>
  <c r="Y99" i="10" s="1"/>
  <c r="AB252" i="10"/>
  <c r="X252" i="10"/>
  <c r="Y252" i="10" s="1"/>
  <c r="AB86" i="10"/>
  <c r="X86" i="10"/>
  <c r="Y86" i="10" s="1"/>
  <c r="AB189" i="10"/>
  <c r="X189" i="10"/>
  <c r="Y189" i="10" s="1"/>
  <c r="AB130" i="10"/>
  <c r="X130" i="10"/>
  <c r="Y130" i="10" s="1"/>
  <c r="AB76" i="10"/>
  <c r="X76" i="10"/>
  <c r="Y76" i="10" s="1"/>
  <c r="M366" i="13"/>
  <c r="M419" i="13"/>
  <c r="AB321" i="10"/>
  <c r="X321" i="10"/>
  <c r="Y321" i="10" s="1"/>
  <c r="AB28" i="10"/>
  <c r="X28" i="10"/>
  <c r="Y28" i="10" s="1"/>
  <c r="AB269" i="10"/>
  <c r="X269" i="10"/>
  <c r="Y269" i="10" s="1"/>
  <c r="AB58" i="10"/>
  <c r="X58" i="10"/>
  <c r="Y58" i="10" s="1"/>
  <c r="AB349" i="10"/>
  <c r="X349" i="10"/>
  <c r="Y349" i="10" s="1"/>
  <c r="W71" i="10"/>
  <c r="AB71" i="10" s="1"/>
  <c r="M421" i="13"/>
  <c r="AB285" i="10"/>
  <c r="X285" i="10"/>
  <c r="Y285" i="10" s="1"/>
  <c r="M369" i="13"/>
  <c r="AB108" i="10"/>
  <c r="X108" i="10"/>
  <c r="Y108" i="10" s="1"/>
  <c r="AB157" i="10"/>
  <c r="X157" i="10"/>
  <c r="Y157" i="10" s="1"/>
  <c r="AB171" i="10"/>
  <c r="X171" i="10"/>
  <c r="Y171" i="10" s="1"/>
  <c r="AB334" i="10"/>
  <c r="X334" i="10"/>
  <c r="Y334" i="10" s="1"/>
  <c r="AB175" i="10"/>
  <c r="X175" i="10"/>
  <c r="Y175" i="10" s="1"/>
  <c r="W231" i="10"/>
  <c r="X231" i="10" s="1"/>
  <c r="Y231" i="10" s="1"/>
  <c r="AB219" i="10"/>
  <c r="X219" i="10"/>
  <c r="Y219" i="10" s="1"/>
  <c r="AB53" i="10"/>
  <c r="X53" i="10"/>
  <c r="Y53" i="10" s="1"/>
  <c r="AB277" i="10"/>
  <c r="X277" i="10"/>
  <c r="Y277" i="10" s="1"/>
  <c r="AB247" i="10"/>
  <c r="X247" i="10"/>
  <c r="Y247" i="10" s="1"/>
  <c r="AB41" i="10"/>
  <c r="X41" i="10"/>
  <c r="Y41" i="10" s="1"/>
  <c r="AB64" i="10"/>
  <c r="X64" i="10"/>
  <c r="Y64" i="10" s="1"/>
  <c r="AB283" i="10"/>
  <c r="X283" i="10"/>
  <c r="Y283" i="10" s="1"/>
  <c r="AB256" i="10"/>
  <c r="X256" i="10"/>
  <c r="Y256" i="10" s="1"/>
  <c r="AB249" i="10"/>
  <c r="X249" i="10"/>
  <c r="Y249" i="10" s="1"/>
  <c r="AB295" i="10"/>
  <c r="X295" i="10"/>
  <c r="Y295" i="10" s="1"/>
  <c r="AB56" i="10"/>
  <c r="X56" i="10"/>
  <c r="Y56" i="10" s="1"/>
  <c r="W81" i="10"/>
  <c r="X81" i="10" s="1"/>
  <c r="Y81" i="10" s="1"/>
  <c r="W259" i="10"/>
  <c r="X259" i="10" s="1"/>
  <c r="Y259" i="10" s="1"/>
  <c r="AB261" i="10"/>
  <c r="X261" i="10"/>
  <c r="Y261" i="10" s="1"/>
  <c r="AB113" i="10"/>
  <c r="X113" i="10"/>
  <c r="Y113" i="10" s="1"/>
  <c r="AB326" i="10"/>
  <c r="X326" i="10"/>
  <c r="Y326" i="10" s="1"/>
  <c r="W110" i="10"/>
  <c r="AB110" i="10" s="1"/>
  <c r="M403" i="13"/>
  <c r="AB290" i="10"/>
  <c r="X290" i="10"/>
  <c r="Y290" i="10" s="1"/>
  <c r="AB347" i="10"/>
  <c r="X347" i="10"/>
  <c r="Y347" i="10" s="1"/>
  <c r="AB121" i="10"/>
  <c r="X121" i="10"/>
  <c r="Y121" i="10" s="1"/>
  <c r="AB352" i="10"/>
  <c r="X352" i="10"/>
  <c r="Y352" i="10" s="1"/>
  <c r="AB304" i="10"/>
  <c r="X304" i="10"/>
  <c r="Y304" i="10" s="1"/>
  <c r="AB94" i="10"/>
  <c r="X94" i="10"/>
  <c r="Y94" i="10" s="1"/>
  <c r="AB169" i="10"/>
  <c r="X169" i="10"/>
  <c r="Y169" i="10" s="1"/>
  <c r="AB194" i="10"/>
  <c r="X194" i="10"/>
  <c r="Y194" i="10" s="1"/>
  <c r="M401" i="13"/>
  <c r="AB133" i="10"/>
  <c r="X133" i="10"/>
  <c r="Y133" i="10" s="1"/>
  <c r="AB13" i="10"/>
  <c r="X13" i="10"/>
  <c r="Y13" i="10" s="1"/>
  <c r="AB218" i="10"/>
  <c r="X218" i="10"/>
  <c r="Y218" i="10" s="1"/>
  <c r="AB105" i="10"/>
  <c r="X105" i="10"/>
  <c r="Y105" i="10" s="1"/>
  <c r="AB328" i="10"/>
  <c r="X328" i="10"/>
  <c r="Y328" i="10" s="1"/>
  <c r="AB24" i="10"/>
  <c r="X24" i="10"/>
  <c r="Y24" i="10" s="1"/>
  <c r="AB118" i="10"/>
  <c r="X118" i="10"/>
  <c r="Y118" i="10" s="1"/>
  <c r="M425" i="13"/>
  <c r="AB23" i="10"/>
  <c r="X23" i="10"/>
  <c r="Y23" i="10" s="1"/>
  <c r="M422" i="13"/>
  <c r="AB135" i="10"/>
  <c r="X135" i="10"/>
  <c r="Y135" i="10" s="1"/>
  <c r="AB234" i="10"/>
  <c r="X234" i="10"/>
  <c r="Y234" i="10" s="1"/>
  <c r="AB315" i="10"/>
  <c r="X315" i="10"/>
  <c r="Y315" i="10" s="1"/>
  <c r="AB98" i="10"/>
  <c r="X98" i="10"/>
  <c r="Y98" i="10" s="1"/>
  <c r="AB267" i="10"/>
  <c r="X267" i="10"/>
  <c r="Y267" i="10" s="1"/>
  <c r="M428" i="13"/>
  <c r="AB264" i="10"/>
  <c r="X264" i="10"/>
  <c r="Y264" i="10" s="1"/>
  <c r="AB155" i="10"/>
  <c r="X155" i="10"/>
  <c r="Y155" i="10" s="1"/>
  <c r="AB20" i="10"/>
  <c r="X20" i="10"/>
  <c r="Y20" i="10" s="1"/>
  <c r="AB183" i="10"/>
  <c r="X183" i="10"/>
  <c r="Y183" i="10" s="1"/>
  <c r="AB200" i="10"/>
  <c r="X200" i="10"/>
  <c r="Y200" i="10" s="1"/>
  <c r="AB92" i="10"/>
  <c r="X92" i="10"/>
  <c r="Y92" i="10" s="1"/>
  <c r="AB29" i="10"/>
  <c r="X29" i="10"/>
  <c r="Y29" i="10" s="1"/>
  <c r="AB322" i="10"/>
  <c r="X322" i="10"/>
  <c r="Y322" i="10" s="1"/>
  <c r="AB120" i="10"/>
  <c r="X120" i="10"/>
  <c r="Y120" i="10" s="1"/>
  <c r="AB160" i="10"/>
  <c r="X160" i="10"/>
  <c r="Y160" i="10" s="1"/>
  <c r="M1709" i="19"/>
  <c r="AL346" i="10"/>
  <c r="E331" i="15"/>
  <c r="E330" i="15"/>
  <c r="W306" i="10"/>
  <c r="AB306" i="10" s="1"/>
  <c r="AB192" i="10"/>
  <c r="X192" i="10"/>
  <c r="Y192" i="10" s="1"/>
  <c r="AB62" i="10"/>
  <c r="X62" i="10"/>
  <c r="Y62" i="10" s="1"/>
  <c r="AB288" i="10"/>
  <c r="X288" i="10"/>
  <c r="Y288" i="10" s="1"/>
  <c r="W289" i="10"/>
  <c r="AB289" i="10" s="1"/>
  <c r="M431" i="13"/>
  <c r="AB38" i="10"/>
  <c r="X38" i="10"/>
  <c r="Y38" i="10" s="1"/>
  <c r="AB49" i="10"/>
  <c r="X49" i="10"/>
  <c r="Y49" i="10" s="1"/>
  <c r="AB22" i="10"/>
  <c r="X22" i="10"/>
  <c r="Y22" i="10" s="1"/>
  <c r="AB60" i="10"/>
  <c r="X60" i="10"/>
  <c r="Y60" i="10" s="1"/>
  <c r="AB296" i="10"/>
  <c r="X296" i="10"/>
  <c r="Y296" i="10" s="1"/>
  <c r="AB8" i="10"/>
  <c r="X8" i="10"/>
  <c r="Y8" i="10" s="1"/>
  <c r="AB39" i="10"/>
  <c r="X39" i="10"/>
  <c r="Y39" i="10" s="1"/>
  <c r="AB297" i="10"/>
  <c r="X297" i="10"/>
  <c r="Y297" i="10" s="1"/>
  <c r="AB32" i="10"/>
  <c r="X32" i="10"/>
  <c r="Y32" i="10" s="1"/>
  <c r="AB69" i="10"/>
  <c r="X69" i="10"/>
  <c r="Y69" i="10" s="1"/>
  <c r="AB154" i="10"/>
  <c r="X154" i="10"/>
  <c r="Y154" i="10" s="1"/>
  <c r="AB287" i="10"/>
  <c r="X287" i="10"/>
  <c r="Y287" i="10" s="1"/>
  <c r="AB343" i="10"/>
  <c r="X343" i="10"/>
  <c r="Y343" i="10" s="1"/>
  <c r="AB37" i="10"/>
  <c r="X37" i="10"/>
  <c r="Y37" i="10" s="1"/>
  <c r="AB97" i="10"/>
  <c r="X97" i="10"/>
  <c r="Y97" i="10" s="1"/>
  <c r="AB72" i="10"/>
  <c r="X72" i="10"/>
  <c r="Y72" i="10" s="1"/>
  <c r="AB205" i="10"/>
  <c r="X205" i="10"/>
  <c r="Y205" i="10" s="1"/>
  <c r="AB278" i="10"/>
  <c r="X278" i="10"/>
  <c r="Y278" i="10" s="1"/>
  <c r="AB16" i="10"/>
  <c r="X16" i="10"/>
  <c r="Y16" i="10" s="1"/>
  <c r="AB107" i="10"/>
  <c r="X107" i="10"/>
  <c r="Y107" i="10" s="1"/>
  <c r="AB207" i="10"/>
  <c r="X207" i="10"/>
  <c r="Y207" i="10" s="1"/>
  <c r="AB241" i="10"/>
  <c r="X241" i="10"/>
  <c r="Y241" i="10" s="1"/>
  <c r="M382" i="13"/>
  <c r="AB114" i="10"/>
  <c r="X114" i="10"/>
  <c r="Y114" i="10" s="1"/>
  <c r="X212" i="10"/>
  <c r="Y212" i="10" s="1"/>
  <c r="AB212" i="10"/>
  <c r="AB307" i="10"/>
  <c r="X307" i="10"/>
  <c r="Y307" i="10" s="1"/>
  <c r="AB140" i="10"/>
  <c r="X140" i="10"/>
  <c r="Y140" i="10" s="1"/>
  <c r="AB104" i="10"/>
  <c r="X104" i="10"/>
  <c r="Y104" i="10" s="1"/>
  <c r="M438" i="13"/>
  <c r="M424" i="13"/>
  <c r="AB193" i="10"/>
  <c r="X193" i="10"/>
  <c r="Y193" i="10" s="1"/>
  <c r="AB333" i="10"/>
  <c r="X333" i="10"/>
  <c r="Y333" i="10" s="1"/>
  <c r="AB250" i="10"/>
  <c r="X250" i="10"/>
  <c r="Y250" i="10" s="1"/>
  <c r="AB312" i="10"/>
  <c r="X312" i="10"/>
  <c r="Y312" i="10" s="1"/>
  <c r="AB299" i="10"/>
  <c r="X299" i="10"/>
  <c r="Y299" i="10" s="1"/>
  <c r="AB27" i="10"/>
  <c r="X27" i="10"/>
  <c r="Y27" i="10" s="1"/>
  <c r="AB330" i="10"/>
  <c r="X330" i="10"/>
  <c r="Y330" i="10" s="1"/>
  <c r="AB14" i="10"/>
  <c r="X14" i="10"/>
  <c r="Y14" i="10" s="1"/>
  <c r="AB186" i="10"/>
  <c r="X186" i="10"/>
  <c r="Y186" i="10" s="1"/>
  <c r="W12" i="10"/>
  <c r="AB12" i="10" s="1"/>
  <c r="AB184" i="10"/>
  <c r="X184" i="10"/>
  <c r="Y184" i="10" s="1"/>
  <c r="AB228" i="10"/>
  <c r="X228" i="10"/>
  <c r="Y228" i="10" s="1"/>
  <c r="AB243" i="10"/>
  <c r="X243" i="10"/>
  <c r="Y243" i="10" s="1"/>
  <c r="AB106" i="10"/>
  <c r="X106" i="10"/>
  <c r="Y106" i="10" s="1"/>
  <c r="AB257" i="10"/>
  <c r="X257" i="10"/>
  <c r="Y257" i="10" s="1"/>
  <c r="AB331" i="10"/>
  <c r="X331" i="10"/>
  <c r="Y331" i="10" s="1"/>
  <c r="AB270" i="10"/>
  <c r="X270" i="10"/>
  <c r="Y270" i="10" s="1"/>
  <c r="M402" i="13"/>
  <c r="M400" i="13"/>
  <c r="AB253" i="10"/>
  <c r="X253" i="10"/>
  <c r="Y253" i="10" s="1"/>
  <c r="AB216" i="10"/>
  <c r="X216" i="10"/>
  <c r="Y216" i="10" s="1"/>
  <c r="AB273" i="10"/>
  <c r="X273" i="10"/>
  <c r="Y273" i="10" s="1"/>
  <c r="AB190" i="10"/>
  <c r="X190" i="10"/>
  <c r="Y190" i="10" s="1"/>
  <c r="M784" i="19"/>
  <c r="AL161" i="10"/>
  <c r="AB148" i="10" l="1"/>
  <c r="M1" i="8"/>
  <c r="G19" i="8" s="1"/>
  <c r="X227" i="10"/>
  <c r="Y227" i="10" s="1"/>
  <c r="AC225" i="10"/>
  <c r="AC80" i="10"/>
  <c r="AC178" i="10"/>
  <c r="AC81" i="10"/>
  <c r="AC41" i="10"/>
  <c r="AC163" i="10"/>
  <c r="M1089" i="19"/>
  <c r="N1085" i="19" s="1"/>
  <c r="X209" i="10"/>
  <c r="AL222" i="10"/>
  <c r="AB47" i="10"/>
  <c r="AB102" i="10"/>
  <c r="AD102" i="10"/>
  <c r="AM102" i="10" s="1"/>
  <c r="M489" i="19"/>
  <c r="N487" i="19" s="1"/>
  <c r="P487" i="19" s="1"/>
  <c r="Q487" i="19" s="1"/>
  <c r="AL102" i="10"/>
  <c r="AD47" i="10"/>
  <c r="AM47" i="10" s="1"/>
  <c r="AL47" i="10"/>
  <c r="M214" i="19"/>
  <c r="N213" i="19" s="1"/>
  <c r="P213" i="19" s="1"/>
  <c r="Q213" i="19" s="1"/>
  <c r="AD148" i="10"/>
  <c r="AM148" i="10" s="1"/>
  <c r="M719" i="19"/>
  <c r="N717" i="19" s="1"/>
  <c r="P717" i="19" s="1"/>
  <c r="Q717" i="19" s="1"/>
  <c r="AL148" i="10"/>
  <c r="AC148" i="10"/>
  <c r="AC273" i="10"/>
  <c r="AC234" i="10"/>
  <c r="AC118" i="10"/>
  <c r="AC232" i="10"/>
  <c r="AC181" i="10"/>
  <c r="AC180" i="10"/>
  <c r="AC350" i="10"/>
  <c r="AC117" i="10"/>
  <c r="AC14" i="10"/>
  <c r="AC193" i="10"/>
  <c r="AC92" i="10"/>
  <c r="AC183" i="10"/>
  <c r="AC23" i="10"/>
  <c r="AC259" i="10"/>
  <c r="AC64" i="10"/>
  <c r="AC53" i="10"/>
  <c r="AC285" i="10"/>
  <c r="AC269" i="10"/>
  <c r="AC252" i="10"/>
  <c r="AC18" i="10"/>
  <c r="AC141" i="10"/>
  <c r="AC274" i="10"/>
  <c r="AC242" i="10"/>
  <c r="AC33" i="10"/>
  <c r="AC298" i="10"/>
  <c r="AC233" i="10"/>
  <c r="AC59" i="10"/>
  <c r="AC317" i="10"/>
  <c r="AC246" i="10"/>
  <c r="AC188" i="10"/>
  <c r="AC329" i="10"/>
  <c r="AC151" i="10"/>
  <c r="AC10" i="10"/>
  <c r="AC251" i="10"/>
  <c r="AC237" i="10"/>
  <c r="AC340" i="10"/>
  <c r="AC336" i="10"/>
  <c r="AC126" i="10"/>
  <c r="AC153" i="10"/>
  <c r="AC93" i="10"/>
  <c r="AC48" i="10"/>
  <c r="AC96" i="10"/>
  <c r="AC15" i="10"/>
  <c r="AC244" i="10"/>
  <c r="AC31" i="10"/>
  <c r="AC190" i="10"/>
  <c r="AC331" i="10"/>
  <c r="AC228" i="10"/>
  <c r="AC205" i="10"/>
  <c r="AC296" i="10"/>
  <c r="AC22" i="10"/>
  <c r="AC38" i="10"/>
  <c r="AC108" i="10"/>
  <c r="AC25" i="10"/>
  <c r="AC310" i="10"/>
  <c r="AC271" i="10"/>
  <c r="AC293" i="10"/>
  <c r="AC179" i="10"/>
  <c r="AC124" i="10"/>
  <c r="AC70" i="10"/>
  <c r="AC55" i="10"/>
  <c r="AC88" i="10"/>
  <c r="AC67" i="10"/>
  <c r="AC95" i="10"/>
  <c r="AC309" i="10"/>
  <c r="AC275" i="10"/>
  <c r="AC198" i="10"/>
  <c r="AC270" i="10"/>
  <c r="AC257" i="10"/>
  <c r="AC243" i="10"/>
  <c r="AC212" i="10"/>
  <c r="AC241" i="10"/>
  <c r="AC107" i="10"/>
  <c r="AC37" i="10"/>
  <c r="AC60" i="10"/>
  <c r="AC49" i="10"/>
  <c r="AC186" i="10"/>
  <c r="AC333" i="10"/>
  <c r="AC120" i="10"/>
  <c r="AC194" i="10"/>
  <c r="AC56" i="10"/>
  <c r="AC58" i="10"/>
  <c r="AC145" i="10"/>
  <c r="AC156" i="10"/>
  <c r="AC52" i="10"/>
  <c r="AC17" i="10"/>
  <c r="AC215" i="10"/>
  <c r="AC213" i="10"/>
  <c r="AC167" i="10"/>
  <c r="AC111" i="10"/>
  <c r="AC84" i="10"/>
  <c r="AC30" i="10"/>
  <c r="AC112" i="10"/>
  <c r="AC224" i="10"/>
  <c r="AC11" i="10"/>
  <c r="AC66" i="10"/>
  <c r="AD255" i="10"/>
  <c r="AM255" i="10" s="1"/>
  <c r="AC255" i="10"/>
  <c r="AC72" i="10"/>
  <c r="AC319" i="10"/>
  <c r="AC345" i="10"/>
  <c r="AC114" i="10"/>
  <c r="AC76" i="10"/>
  <c r="AC197" i="10"/>
  <c r="AC144" i="10"/>
  <c r="AC208" i="10"/>
  <c r="AC133" i="10"/>
  <c r="AC258" i="10"/>
  <c r="AC231" i="10"/>
  <c r="AC29" i="10"/>
  <c r="AC308" i="10"/>
  <c r="AC75" i="10"/>
  <c r="AC123" i="10"/>
  <c r="AC230" i="10"/>
  <c r="AC267" i="10"/>
  <c r="AC73" i="10"/>
  <c r="AC202" i="10"/>
  <c r="AC172" i="10"/>
  <c r="AC45" i="10"/>
  <c r="AC174" i="10"/>
  <c r="AC253" i="10"/>
  <c r="AC74" i="10"/>
  <c r="AC189" i="10"/>
  <c r="AC206" i="10"/>
  <c r="X318" i="10"/>
  <c r="AB174" i="10"/>
  <c r="X339" i="10"/>
  <c r="AB255" i="10"/>
  <c r="H17" i="7"/>
  <c r="M849" i="19"/>
  <c r="N847" i="19" s="1"/>
  <c r="P847" i="19" s="1"/>
  <c r="Q847" i="19" s="1"/>
  <c r="AL174" i="10"/>
  <c r="AB137" i="10"/>
  <c r="AC137" i="10"/>
  <c r="AL137" i="10"/>
  <c r="AD137" i="10"/>
  <c r="AM137" i="10" s="1"/>
  <c r="M664" i="19"/>
  <c r="N661" i="19" s="1"/>
  <c r="P661" i="19" s="1"/>
  <c r="Q661" i="19" s="1"/>
  <c r="M1254" i="19"/>
  <c r="N1253" i="19" s="1"/>
  <c r="P1253" i="19" s="1"/>
  <c r="Q1253" i="19" s="1"/>
  <c r="AL255" i="10"/>
  <c r="AB84" i="10"/>
  <c r="AB258" i="10"/>
  <c r="AB55" i="10"/>
  <c r="X320" i="10"/>
  <c r="Y320" i="10" s="1"/>
  <c r="AB302" i="10"/>
  <c r="AB115" i="10"/>
  <c r="X306" i="10"/>
  <c r="Y306" i="10" s="1"/>
  <c r="X289" i="10"/>
  <c r="Y289" i="10" s="1"/>
  <c r="AB163" i="10"/>
  <c r="X323" i="10"/>
  <c r="Y323" i="10" s="1"/>
  <c r="X211" i="10"/>
  <c r="X132" i="10"/>
  <c r="AB203" i="10"/>
  <c r="AB172" i="10"/>
  <c r="AB336" i="10"/>
  <c r="AB275" i="10"/>
  <c r="AB308" i="10"/>
  <c r="AB340" i="10"/>
  <c r="AB61" i="10"/>
  <c r="M1009" i="19"/>
  <c r="AL206" i="10"/>
  <c r="AL145" i="10"/>
  <c r="M704" i="19"/>
  <c r="M1409" i="19"/>
  <c r="AL286" i="10"/>
  <c r="AL90" i="10"/>
  <c r="M429" i="19"/>
  <c r="M804" i="19"/>
  <c r="AL165" i="10"/>
  <c r="M1614" i="19"/>
  <c r="AL327" i="10"/>
  <c r="AL324" i="10"/>
  <c r="M1599" i="19"/>
  <c r="AC324" i="10"/>
  <c r="M604" i="19"/>
  <c r="AL125" i="10"/>
  <c r="M1189" i="19"/>
  <c r="AL242" i="10"/>
  <c r="M344" i="19"/>
  <c r="AL73" i="10"/>
  <c r="M914" i="19"/>
  <c r="AL187" i="10"/>
  <c r="AL152" i="10"/>
  <c r="M739" i="19"/>
  <c r="AL162" i="10"/>
  <c r="M789" i="19"/>
  <c r="M159" i="19"/>
  <c r="AL36" i="10"/>
  <c r="M29" i="19"/>
  <c r="AL10" i="10"/>
  <c r="AL45" i="10"/>
  <c r="M204" i="19"/>
  <c r="AL182" i="10"/>
  <c r="M889" i="19"/>
  <c r="AL142" i="10"/>
  <c r="M689" i="19"/>
  <c r="AL251" i="10"/>
  <c r="M1234" i="19"/>
  <c r="M149" i="19"/>
  <c r="AL34" i="10"/>
  <c r="AL340" i="10"/>
  <c r="M1679" i="19"/>
  <c r="M389" i="19"/>
  <c r="AL82" i="10"/>
  <c r="M1374" i="19"/>
  <c r="AL279" i="10"/>
  <c r="AL11" i="10"/>
  <c r="M34" i="19"/>
  <c r="M1434" i="19"/>
  <c r="AL291" i="10"/>
  <c r="M859" i="19"/>
  <c r="AL176" i="10"/>
  <c r="AL230" i="10"/>
  <c r="M1129" i="19"/>
  <c r="AL106" i="10"/>
  <c r="M509" i="19"/>
  <c r="AL14" i="10"/>
  <c r="M49" i="19"/>
  <c r="M1539" i="19"/>
  <c r="AL312" i="10"/>
  <c r="M1184" i="19"/>
  <c r="AL241" i="10"/>
  <c r="AL278" i="10"/>
  <c r="M1369" i="19"/>
  <c r="M164" i="19"/>
  <c r="AL37" i="10"/>
  <c r="M324" i="19"/>
  <c r="AL69" i="10"/>
  <c r="AL8" i="10"/>
  <c r="M19" i="19"/>
  <c r="M224" i="19"/>
  <c r="AL49" i="10"/>
  <c r="AL133" i="10"/>
  <c r="M644" i="19"/>
  <c r="M584" i="19"/>
  <c r="AL121" i="10"/>
  <c r="X110" i="10"/>
  <c r="Y110" i="10" s="1"/>
  <c r="AB259" i="10"/>
  <c r="M1324" i="19"/>
  <c r="AL269" i="10"/>
  <c r="AL76" i="10"/>
  <c r="M359" i="19"/>
  <c r="M624" i="19"/>
  <c r="AL129" i="10"/>
  <c r="M1654" i="19"/>
  <c r="AL335" i="10"/>
  <c r="AL348" i="10"/>
  <c r="M1719" i="19"/>
  <c r="M249" i="19"/>
  <c r="AL54" i="10"/>
  <c r="M759" i="19"/>
  <c r="AL156" i="10"/>
  <c r="AB52" i="10"/>
  <c r="M189" i="19"/>
  <c r="AL42" i="10"/>
  <c r="AB324" i="10"/>
  <c r="AL308" i="10"/>
  <c r="M1519" i="19"/>
  <c r="AB73" i="10"/>
  <c r="X199" i="10"/>
  <c r="Y199" i="10" s="1"/>
  <c r="AL302" i="10"/>
  <c r="M1489" i="19"/>
  <c r="M424" i="19"/>
  <c r="AL89" i="10"/>
  <c r="M1564" i="19"/>
  <c r="AL317" i="10"/>
  <c r="M919" i="19"/>
  <c r="AL188" i="10"/>
  <c r="AL163" i="10"/>
  <c r="M794" i="19"/>
  <c r="AL70" i="10"/>
  <c r="M329" i="19"/>
  <c r="M554" i="19"/>
  <c r="AL115" i="10"/>
  <c r="M399" i="19"/>
  <c r="AL84" i="10"/>
  <c r="X201" i="10"/>
  <c r="Y201" i="10" s="1"/>
  <c r="AL44" i="10"/>
  <c r="M199" i="19"/>
  <c r="M1764" i="19"/>
  <c r="AL357" i="10"/>
  <c r="M314" i="19"/>
  <c r="AL67" i="10"/>
  <c r="M634" i="19"/>
  <c r="AL131" i="10"/>
  <c r="AL316" i="10"/>
  <c r="M1559" i="19"/>
  <c r="M364" i="19"/>
  <c r="AL77" i="10"/>
  <c r="M1159" i="19"/>
  <c r="AL236" i="10"/>
  <c r="M1359" i="19"/>
  <c r="AL276" i="10"/>
  <c r="AL138" i="10"/>
  <c r="M669" i="19"/>
  <c r="AB230" i="10"/>
  <c r="M1069" i="19"/>
  <c r="AL218" i="10"/>
  <c r="AC86" i="10"/>
  <c r="AL86" i="10"/>
  <c r="M409" i="19"/>
  <c r="M104" i="19"/>
  <c r="AL25" i="10"/>
  <c r="W358" i="10"/>
  <c r="AL260" i="10"/>
  <c r="M1279" i="19"/>
  <c r="AL33" i="10"/>
  <c r="M144" i="19"/>
  <c r="AL233" i="10"/>
  <c r="M1144" i="19"/>
  <c r="AL258" i="10"/>
  <c r="M1269" i="19"/>
  <c r="M1204" i="19"/>
  <c r="AL245" i="10"/>
  <c r="M1639" i="19"/>
  <c r="AL332" i="10"/>
  <c r="AC344" i="10"/>
  <c r="AL344" i="10"/>
  <c r="M1699" i="19"/>
  <c r="M714" i="19"/>
  <c r="AL147" i="10"/>
  <c r="M129" i="19"/>
  <c r="AL30" i="10"/>
  <c r="AL185" i="10"/>
  <c r="M904" i="19"/>
  <c r="M1124" i="19"/>
  <c r="AL229" i="10"/>
  <c r="AL150" i="10"/>
  <c r="M729" i="19"/>
  <c r="AL351" i="10"/>
  <c r="M1734" i="19"/>
  <c r="AL122" i="10"/>
  <c r="M589" i="19"/>
  <c r="AL74" i="10"/>
  <c r="M349" i="19"/>
  <c r="AL95" i="10"/>
  <c r="M454" i="19"/>
  <c r="AL309" i="10"/>
  <c r="M1524" i="19"/>
  <c r="M744" i="19"/>
  <c r="AL153" i="10"/>
  <c r="AL248" i="10"/>
  <c r="M1219" i="19"/>
  <c r="AC248" i="10"/>
  <c r="M1544" i="19"/>
  <c r="AL313" i="10"/>
  <c r="AL184" i="10"/>
  <c r="M899" i="19"/>
  <c r="M464" i="19"/>
  <c r="AL97" i="10"/>
  <c r="M89" i="19"/>
  <c r="AL22" i="10"/>
  <c r="AL120" i="10"/>
  <c r="M579" i="19"/>
  <c r="M979" i="19"/>
  <c r="AL200" i="10"/>
  <c r="AL264" i="10"/>
  <c r="M1299" i="19"/>
  <c r="AL140" i="10"/>
  <c r="M679" i="19"/>
  <c r="M184" i="19"/>
  <c r="AL41" i="10"/>
  <c r="M1074" i="19"/>
  <c r="AL219" i="10"/>
  <c r="M1404" i="19"/>
  <c r="AL285" i="10"/>
  <c r="AL282" i="10"/>
  <c r="M1389" i="19"/>
  <c r="AL293" i="10"/>
  <c r="M1444" i="19"/>
  <c r="M1329" i="19"/>
  <c r="AL270" i="10"/>
  <c r="X12" i="10"/>
  <c r="Y12" i="10" s="1"/>
  <c r="M1629" i="19"/>
  <c r="AL330" i="10"/>
  <c r="AL250" i="10"/>
  <c r="M1229" i="19"/>
  <c r="AC207" i="10"/>
  <c r="M1014" i="19"/>
  <c r="AL207" i="10"/>
  <c r="M1004" i="19"/>
  <c r="AL205" i="10"/>
  <c r="AL343" i="10"/>
  <c r="M1694" i="19"/>
  <c r="M139" i="19"/>
  <c r="AL32" i="10"/>
  <c r="AC32" i="10"/>
  <c r="M1459" i="19"/>
  <c r="AL296" i="10"/>
  <c r="M169" i="19"/>
  <c r="AL38" i="10"/>
  <c r="M124" i="19"/>
  <c r="AL29" i="10"/>
  <c r="M79" i="19"/>
  <c r="AL20" i="10"/>
  <c r="M1714" i="19"/>
  <c r="AL347" i="10"/>
  <c r="M479" i="19"/>
  <c r="AL100" i="10"/>
  <c r="AL128" i="10"/>
  <c r="M619" i="19"/>
  <c r="W361" i="10"/>
  <c r="AL116" i="10"/>
  <c r="M559" i="19"/>
  <c r="AL111" i="10"/>
  <c r="M534" i="19"/>
  <c r="M599" i="19"/>
  <c r="AL124" i="10"/>
  <c r="M674" i="19"/>
  <c r="AL139" i="10"/>
  <c r="AL203" i="10"/>
  <c r="M994" i="19"/>
  <c r="AC203" i="10"/>
  <c r="AL232" i="10"/>
  <c r="M1139" i="19"/>
  <c r="M884" i="19"/>
  <c r="AL181" i="10"/>
  <c r="M1304" i="19"/>
  <c r="AL265" i="10"/>
  <c r="M774" i="19"/>
  <c r="AL159" i="10"/>
  <c r="AB95" i="10"/>
  <c r="AL83" i="10"/>
  <c r="M394" i="19"/>
  <c r="AL48" i="10"/>
  <c r="M219" i="19"/>
  <c r="AL284" i="10"/>
  <c r="M1399" i="19"/>
  <c r="AL272" i="10"/>
  <c r="M1339" i="19"/>
  <c r="M1439" i="19"/>
  <c r="AL292" i="10"/>
  <c r="M1729" i="19"/>
  <c r="AL350" i="10"/>
  <c r="AL355" i="10"/>
  <c r="M1754" i="19"/>
  <c r="AB248" i="10"/>
  <c r="AL352" i="10"/>
  <c r="M1739" i="19"/>
  <c r="M1644" i="19"/>
  <c r="AL333" i="10"/>
  <c r="M1419" i="19"/>
  <c r="AL288" i="10"/>
  <c r="AL234" i="10"/>
  <c r="M1149" i="19"/>
  <c r="AL259" i="10"/>
  <c r="M1274" i="19"/>
  <c r="AC171" i="10"/>
  <c r="AL171" i="10"/>
  <c r="M834" i="19"/>
  <c r="M929" i="19"/>
  <c r="AL190" i="10"/>
  <c r="AL322" i="10"/>
  <c r="M1589" i="19"/>
  <c r="M894" i="19"/>
  <c r="AL183" i="10"/>
  <c r="AL193" i="10"/>
  <c r="M944" i="19"/>
  <c r="M449" i="19"/>
  <c r="AL94" i="10"/>
  <c r="AB81" i="10"/>
  <c r="AB231" i="10"/>
  <c r="AL28" i="10"/>
  <c r="M119" i="19"/>
  <c r="AL130" i="10"/>
  <c r="M629" i="19"/>
  <c r="M459" i="19"/>
  <c r="AL96" i="10"/>
  <c r="M1664" i="19"/>
  <c r="AL337" i="10"/>
  <c r="AL204" i="10"/>
  <c r="M999" i="19"/>
  <c r="AL310" i="10"/>
  <c r="M1529" i="19"/>
  <c r="AL354" i="10"/>
  <c r="M1749" i="19"/>
  <c r="AL164" i="10"/>
  <c r="M799" i="19"/>
  <c r="AD161" i="10"/>
  <c r="AM161" i="10" s="1"/>
  <c r="M909" i="19"/>
  <c r="AL186" i="10"/>
  <c r="M939" i="19"/>
  <c r="AL192" i="10"/>
  <c r="N1708" i="19"/>
  <c r="P1708" i="19" s="1"/>
  <c r="Q1708" i="19" s="1"/>
  <c r="N1706" i="19"/>
  <c r="P1706" i="19" s="1"/>
  <c r="Q1706" i="19" s="1"/>
  <c r="N1707" i="19"/>
  <c r="P1707" i="19" s="1"/>
  <c r="Q1707" i="19" s="1"/>
  <c r="N1705" i="19"/>
  <c r="AL98" i="10"/>
  <c r="M469" i="19"/>
  <c r="M1619" i="19"/>
  <c r="AL328" i="10"/>
  <c r="M44" i="19"/>
  <c r="AL13" i="10"/>
  <c r="M949" i="19"/>
  <c r="AL194" i="10"/>
  <c r="M544" i="19"/>
  <c r="AL113" i="10"/>
  <c r="AL56" i="10"/>
  <c r="M259" i="19"/>
  <c r="M1394" i="19"/>
  <c r="AL283" i="10"/>
  <c r="AL277" i="10"/>
  <c r="M1364" i="19"/>
  <c r="AL175" i="10"/>
  <c r="M854" i="19"/>
  <c r="AL108" i="10"/>
  <c r="M519" i="19"/>
  <c r="X71" i="10"/>
  <c r="Y71" i="10" s="1"/>
  <c r="M1239" i="19"/>
  <c r="AL252" i="10"/>
  <c r="AB96" i="10"/>
  <c r="AL319" i="10"/>
  <c r="M1574" i="19"/>
  <c r="AL345" i="10"/>
  <c r="M1704" i="19"/>
  <c r="M684" i="19"/>
  <c r="AL141" i="10"/>
  <c r="M1309" i="19"/>
  <c r="AL266" i="10"/>
  <c r="M54" i="19"/>
  <c r="AL15" i="10"/>
  <c r="AL274" i="10"/>
  <c r="M1349" i="19"/>
  <c r="AL263" i="10"/>
  <c r="M1294" i="19"/>
  <c r="M699" i="19"/>
  <c r="AL144" i="10"/>
  <c r="AB213" i="10"/>
  <c r="M274" i="19"/>
  <c r="AL59" i="10"/>
  <c r="AC226" i="10"/>
  <c r="M1109" i="19"/>
  <c r="AL226" i="10"/>
  <c r="M1179" i="19"/>
  <c r="AL240" i="10"/>
  <c r="X57" i="10"/>
  <c r="Y57" i="10" s="1"/>
  <c r="M649" i="19"/>
  <c r="AL134" i="10"/>
  <c r="M234" i="19"/>
  <c r="AL51" i="10"/>
  <c r="AL119" i="10"/>
  <c r="M574" i="19"/>
  <c r="M594" i="19"/>
  <c r="AL123" i="10"/>
  <c r="AL109" i="10"/>
  <c r="M524" i="19"/>
  <c r="AL208" i="10"/>
  <c r="M1019" i="19"/>
  <c r="M254" i="19"/>
  <c r="AL55" i="10"/>
  <c r="AL225" i="10"/>
  <c r="M1104" i="19"/>
  <c r="AL305" i="10"/>
  <c r="M1504" i="19"/>
  <c r="AL237" i="10"/>
  <c r="M1164" i="19"/>
  <c r="M1549" i="19"/>
  <c r="AL314" i="10"/>
  <c r="M194" i="19"/>
  <c r="AL43" i="10"/>
  <c r="AL224" i="10"/>
  <c r="M1099" i="19"/>
  <c r="M374" i="19"/>
  <c r="AL79" i="10"/>
  <c r="AL325" i="10"/>
  <c r="M1604" i="19"/>
  <c r="M1244" i="19"/>
  <c r="AL253" i="10"/>
  <c r="M1474" i="19"/>
  <c r="AL299" i="10"/>
  <c r="AL154" i="10"/>
  <c r="M749" i="19"/>
  <c r="AL307" i="10"/>
  <c r="M1514" i="19"/>
  <c r="M289" i="19"/>
  <c r="AL62" i="10"/>
  <c r="AD346" i="10"/>
  <c r="AM346" i="10" s="1"/>
  <c r="M1314" i="19"/>
  <c r="AL267" i="10"/>
  <c r="AL135" i="10"/>
  <c r="M654" i="19"/>
  <c r="AC135" i="10"/>
  <c r="M99" i="19"/>
  <c r="AL24" i="10"/>
  <c r="AD222" i="10"/>
  <c r="AM222" i="10" s="1"/>
  <c r="M1609" i="19"/>
  <c r="AL326" i="10"/>
  <c r="AC326" i="10"/>
  <c r="AL81" i="10"/>
  <c r="M384" i="19"/>
  <c r="M1259" i="19"/>
  <c r="AL256" i="10"/>
  <c r="M1214" i="19"/>
  <c r="AL247" i="10"/>
  <c r="AL231" i="10"/>
  <c r="M1134" i="19"/>
  <c r="M764" i="19"/>
  <c r="AL157" i="10"/>
  <c r="AL212" i="10"/>
  <c r="M1039" i="19"/>
  <c r="M514" i="19"/>
  <c r="AL107" i="10"/>
  <c r="M339" i="19"/>
  <c r="AL72" i="10"/>
  <c r="AC287" i="10"/>
  <c r="M1414" i="19"/>
  <c r="AL287" i="10"/>
  <c r="AL297" i="10"/>
  <c r="M1464" i="19"/>
  <c r="M279" i="19"/>
  <c r="AL60" i="10"/>
  <c r="M1044" i="19"/>
  <c r="AL213" i="10"/>
  <c r="M1209" i="19"/>
  <c r="AL246" i="10"/>
  <c r="M724" i="19"/>
  <c r="AL149" i="10"/>
  <c r="M379" i="19"/>
  <c r="AL80" i="10"/>
  <c r="S7" i="10"/>
  <c r="M419" i="19"/>
  <c r="AL88" i="10"/>
  <c r="AL40" i="10"/>
  <c r="M179" i="19"/>
  <c r="M1064" i="19"/>
  <c r="AL217" i="10"/>
  <c r="M609" i="19"/>
  <c r="AL126" i="10"/>
  <c r="M109" i="19"/>
  <c r="AL26" i="10"/>
  <c r="M1479" i="19"/>
  <c r="AL300" i="10"/>
  <c r="M1049" i="19"/>
  <c r="AL214" i="10"/>
  <c r="AL66" i="10"/>
  <c r="M309" i="19"/>
  <c r="AC21" i="10"/>
  <c r="M84" i="19"/>
  <c r="AL21" i="10"/>
  <c r="M969" i="19"/>
  <c r="AL198" i="10"/>
  <c r="M284" i="19"/>
  <c r="AL61" i="10"/>
  <c r="AC61" i="10"/>
  <c r="AL118" i="10"/>
  <c r="M569" i="19"/>
  <c r="M1224" i="19"/>
  <c r="AL249" i="10"/>
  <c r="AL338" i="10"/>
  <c r="M1669" i="19"/>
  <c r="AL170" i="10"/>
  <c r="M829" i="19"/>
  <c r="AL85" i="10"/>
  <c r="M404" i="19"/>
  <c r="AL52" i="10"/>
  <c r="M239" i="19"/>
  <c r="AL17" i="10"/>
  <c r="M64" i="19"/>
  <c r="M1344" i="19"/>
  <c r="AL273" i="10"/>
  <c r="M1194" i="19"/>
  <c r="AL243" i="10"/>
  <c r="N783" i="19"/>
  <c r="P783" i="19" s="1"/>
  <c r="Q783" i="19" s="1"/>
  <c r="N780" i="19"/>
  <c r="N782" i="19"/>
  <c r="P782" i="19" s="1"/>
  <c r="Q782" i="19" s="1"/>
  <c r="N781" i="19"/>
  <c r="P781" i="19" s="1"/>
  <c r="Q781" i="19" s="1"/>
  <c r="M1059" i="19"/>
  <c r="AL216" i="10"/>
  <c r="M1634" i="19"/>
  <c r="AL331" i="10"/>
  <c r="AL228" i="10"/>
  <c r="M1119" i="19"/>
  <c r="AL27" i="10"/>
  <c r="M114" i="19"/>
  <c r="M779" i="19"/>
  <c r="AL160" i="10"/>
  <c r="M439" i="19"/>
  <c r="AL92" i="10"/>
  <c r="M754" i="19"/>
  <c r="AL155" i="10"/>
  <c r="AL23" i="10"/>
  <c r="M94" i="19"/>
  <c r="M1499" i="19"/>
  <c r="AL304" i="10"/>
  <c r="AL290" i="10"/>
  <c r="M1429" i="19"/>
  <c r="M1724" i="19"/>
  <c r="AL349" i="10"/>
  <c r="M1584" i="19"/>
  <c r="AL321" i="10"/>
  <c r="M924" i="19"/>
  <c r="AL189" i="10"/>
  <c r="AL35" i="10"/>
  <c r="M154" i="19"/>
  <c r="M369" i="19"/>
  <c r="AL78" i="10"/>
  <c r="AL301" i="10"/>
  <c r="M1484" i="19"/>
  <c r="N1378" i="19"/>
  <c r="P1378" i="19" s="1"/>
  <c r="Q1378" i="19" s="1"/>
  <c r="N1375" i="19"/>
  <c r="N1376" i="19"/>
  <c r="P1376" i="19" s="1"/>
  <c r="Q1376" i="19" s="1"/>
  <c r="N1377" i="19"/>
  <c r="P1377" i="19" s="1"/>
  <c r="Q1377" i="19" s="1"/>
  <c r="M1174" i="19"/>
  <c r="AL239" i="10"/>
  <c r="AL262" i="10"/>
  <c r="M1289" i="19"/>
  <c r="M1334" i="19"/>
  <c r="AL271" i="10"/>
  <c r="AL215" i="10"/>
  <c r="M1054" i="19"/>
  <c r="M499" i="19"/>
  <c r="AL104" i="10"/>
  <c r="M549" i="19"/>
  <c r="AL114" i="10"/>
  <c r="AL315" i="10"/>
  <c r="M1554" i="19"/>
  <c r="M504" i="19"/>
  <c r="AL105" i="10"/>
  <c r="AC169" i="10"/>
  <c r="M824" i="19"/>
  <c r="AL169" i="10"/>
  <c r="AC261" i="10"/>
  <c r="AL261" i="10"/>
  <c r="M1284" i="19"/>
  <c r="M1454" i="19"/>
  <c r="AL295" i="10"/>
  <c r="M299" i="19"/>
  <c r="AL64" i="10"/>
  <c r="AL53" i="10"/>
  <c r="M244" i="19"/>
  <c r="M1649" i="19"/>
  <c r="AL334" i="10"/>
  <c r="AL99" i="10"/>
  <c r="M474" i="19"/>
  <c r="AL9" i="10"/>
  <c r="M24" i="19"/>
  <c r="M1079" i="19"/>
  <c r="AL220" i="10"/>
  <c r="X68" i="10"/>
  <c r="Y68" i="10" s="1"/>
  <c r="AL46" i="10"/>
  <c r="M209" i="19"/>
  <c r="AC50" i="10"/>
  <c r="AL50" i="10"/>
  <c r="M229" i="19"/>
  <c r="M1319" i="19"/>
  <c r="AL268" i="10"/>
  <c r="M494" i="19"/>
  <c r="AL103" i="10"/>
  <c r="X303" i="10"/>
  <c r="Y303" i="10" s="1"/>
  <c r="M869" i="19"/>
  <c r="AL178" i="10"/>
  <c r="M1199" i="19"/>
  <c r="AL244" i="10"/>
  <c r="AL223" i="10"/>
  <c r="M1094" i="19"/>
  <c r="M874" i="19"/>
  <c r="AL179" i="10"/>
  <c r="M1469" i="19"/>
  <c r="AL298" i="10"/>
  <c r="M134" i="19"/>
  <c r="AL31" i="10"/>
  <c r="AC11" i="3"/>
  <c r="AC10" i="3"/>
  <c r="M1744" i="19"/>
  <c r="AL353" i="10"/>
  <c r="M1624" i="19"/>
  <c r="AL329" i="10"/>
  <c r="M1154" i="19"/>
  <c r="AL235" i="10"/>
  <c r="M734" i="19"/>
  <c r="AL151" i="10"/>
  <c r="AL341" i="10"/>
  <c r="M1684" i="19"/>
  <c r="AC254" i="10"/>
  <c r="AL254" i="10"/>
  <c r="M1249" i="19"/>
  <c r="M414" i="19"/>
  <c r="AL87" i="10"/>
  <c r="AA361" i="10"/>
  <c r="AA358" i="10"/>
  <c r="AC13" i="3" s="1"/>
  <c r="AB202" i="10"/>
  <c r="M769" i="19"/>
  <c r="AL158" i="10"/>
  <c r="AC158" i="10"/>
  <c r="AL177" i="10"/>
  <c r="M864" i="19"/>
  <c r="AC166" i="10"/>
  <c r="M809" i="19"/>
  <c r="AL166" i="10"/>
  <c r="M539" i="19"/>
  <c r="AL112" i="10"/>
  <c r="M1659" i="19"/>
  <c r="AL336" i="10"/>
  <c r="M1354" i="19"/>
  <c r="AL275" i="10"/>
  <c r="M444" i="19"/>
  <c r="AL93" i="10"/>
  <c r="M659" i="19"/>
  <c r="AL136" i="10"/>
  <c r="M1084" i="19"/>
  <c r="AL221" i="10"/>
  <c r="AL75" i="10"/>
  <c r="M354" i="19"/>
  <c r="M1029" i="19"/>
  <c r="AL210" i="10"/>
  <c r="AL117" i="10"/>
  <c r="M564" i="19"/>
  <c r="AL257" i="10"/>
  <c r="M1264" i="19"/>
  <c r="AC16" i="10"/>
  <c r="M59" i="19"/>
  <c r="AL16" i="10"/>
  <c r="AL39" i="10"/>
  <c r="M174" i="19"/>
  <c r="M269" i="19"/>
  <c r="AL58" i="10"/>
  <c r="AL172" i="10"/>
  <c r="M839" i="19"/>
  <c r="M1449" i="19"/>
  <c r="AL294" i="10"/>
  <c r="M1384" i="19"/>
  <c r="AL281" i="10"/>
  <c r="M1534" i="19"/>
  <c r="AL311" i="10"/>
  <c r="AD280" i="10"/>
  <c r="AM280" i="10" s="1"/>
  <c r="M69" i="19"/>
  <c r="AL18" i="10"/>
  <c r="AL197" i="10"/>
  <c r="M964" i="19"/>
  <c r="AL19" i="10"/>
  <c r="M74" i="19"/>
  <c r="AC196" i="10"/>
  <c r="M959" i="19"/>
  <c r="AL196" i="10"/>
  <c r="X91" i="10"/>
  <c r="Y91" i="10" s="1"/>
  <c r="AC63" i="10"/>
  <c r="AL63" i="10"/>
  <c r="M294" i="19"/>
  <c r="M814" i="19"/>
  <c r="AL167" i="10"/>
  <c r="AL168" i="10"/>
  <c r="M819" i="19"/>
  <c r="AL127" i="10"/>
  <c r="M614" i="19"/>
  <c r="AL238" i="10"/>
  <c r="M1169" i="19"/>
  <c r="AL356" i="10"/>
  <c r="M1759" i="19"/>
  <c r="M989" i="19"/>
  <c r="AL202" i="10"/>
  <c r="AC101" i="10"/>
  <c r="M484" i="19"/>
  <c r="AL101" i="10"/>
  <c r="AL180" i="10"/>
  <c r="M879" i="19"/>
  <c r="M1689" i="19"/>
  <c r="AL342" i="10"/>
  <c r="M954" i="19"/>
  <c r="AL195" i="10"/>
  <c r="AC143" i="10"/>
  <c r="M694" i="19"/>
  <c r="AL143" i="10"/>
  <c r="M709" i="19"/>
  <c r="AL146" i="10"/>
  <c r="M844" i="19"/>
  <c r="AL173" i="10"/>
  <c r="M934" i="19"/>
  <c r="AL191" i="10"/>
  <c r="AL65" i="10"/>
  <c r="M304" i="19"/>
  <c r="Y209" i="10" l="1"/>
  <c r="AD209" i="10" s="1"/>
  <c r="AM209" i="10" s="1"/>
  <c r="AL339" i="10"/>
  <c r="Y339" i="10"/>
  <c r="AC132" i="10"/>
  <c r="Y132" i="10"/>
  <c r="AC211" i="10"/>
  <c r="Y211" i="10"/>
  <c r="AL318" i="10"/>
  <c r="Y318" i="10"/>
  <c r="AL227" i="10"/>
  <c r="N718" i="19"/>
  <c r="P718" i="19" s="1"/>
  <c r="Q718" i="19" s="1"/>
  <c r="G17" i="8"/>
  <c r="G22" i="8"/>
  <c r="G16" i="8"/>
  <c r="G28" i="8"/>
  <c r="G26" i="8"/>
  <c r="G18" i="8"/>
  <c r="G23" i="8"/>
  <c r="AC320" i="10"/>
  <c r="N211" i="19"/>
  <c r="P211" i="19" s="1"/>
  <c r="Q211" i="19" s="1"/>
  <c r="N1086" i="19"/>
  <c r="P1086" i="19" s="1"/>
  <c r="Q1086" i="19" s="1"/>
  <c r="N488" i="19"/>
  <c r="P488" i="19" s="1"/>
  <c r="Q488" i="19" s="1"/>
  <c r="N485" i="19"/>
  <c r="P485" i="19" s="1"/>
  <c r="N486" i="19"/>
  <c r="P486" i="19" s="1"/>
  <c r="Q486" i="19" s="1"/>
  <c r="N210" i="19"/>
  <c r="J48" i="13" s="1"/>
  <c r="M1114" i="19"/>
  <c r="N1112" i="19" s="1"/>
  <c r="P1112" i="19" s="1"/>
  <c r="Q1112" i="19" s="1"/>
  <c r="N1088" i="19"/>
  <c r="P1088" i="19" s="1"/>
  <c r="Q1088" i="19" s="1"/>
  <c r="N1087" i="19"/>
  <c r="P1087" i="19" s="1"/>
  <c r="Q1087" i="19" s="1"/>
  <c r="AL209" i="10"/>
  <c r="M1024" i="19"/>
  <c r="N1023" i="19" s="1"/>
  <c r="P1023" i="19" s="1"/>
  <c r="Q1023" i="19" s="1"/>
  <c r="N212" i="19"/>
  <c r="P212" i="19" s="1"/>
  <c r="Q212" i="19" s="1"/>
  <c r="N716" i="19"/>
  <c r="P716" i="19" s="1"/>
  <c r="Q716" i="19" s="1"/>
  <c r="N715" i="19"/>
  <c r="P715" i="19" s="1"/>
  <c r="AC201" i="10"/>
  <c r="AC110" i="10"/>
  <c r="AC57" i="10"/>
  <c r="AC12" i="10"/>
  <c r="AC303" i="10"/>
  <c r="AC68" i="10"/>
  <c r="K31" i="16"/>
  <c r="L31" i="16" s="1"/>
  <c r="AL132" i="10"/>
  <c r="AD132" i="10"/>
  <c r="AM132" i="10" s="1"/>
  <c r="M1034" i="19"/>
  <c r="N1030" i="19" s="1"/>
  <c r="AD211" i="10"/>
  <c r="AM211" i="10" s="1"/>
  <c r="AC199" i="10"/>
  <c r="M1569" i="19"/>
  <c r="N1565" i="19" s="1"/>
  <c r="AC339" i="10"/>
  <c r="AD339" i="10"/>
  <c r="AM339" i="10" s="1"/>
  <c r="M1674" i="19"/>
  <c r="N1672" i="19" s="1"/>
  <c r="P1672" i="19" s="1"/>
  <c r="Q1672" i="19" s="1"/>
  <c r="N1250" i="19"/>
  <c r="J256" i="13" s="1"/>
  <c r="N845" i="19"/>
  <c r="P845" i="19" s="1"/>
  <c r="N1252" i="19"/>
  <c r="P1252" i="19" s="1"/>
  <c r="Q1252" i="19" s="1"/>
  <c r="N846" i="19"/>
  <c r="P846" i="19" s="1"/>
  <c r="Q846" i="19" s="1"/>
  <c r="N848" i="19"/>
  <c r="P848" i="19" s="1"/>
  <c r="Q848" i="19" s="1"/>
  <c r="N1251" i="19"/>
  <c r="P1251" i="19" s="1"/>
  <c r="Q1251" i="19" s="1"/>
  <c r="AL323" i="10"/>
  <c r="AC323" i="10"/>
  <c r="M1424" i="19"/>
  <c r="N1422" i="19" s="1"/>
  <c r="P1422" i="19" s="1"/>
  <c r="Q1422" i="19" s="1"/>
  <c r="AC289" i="10"/>
  <c r="AD174" i="10"/>
  <c r="AM174" i="10" s="1"/>
  <c r="N662" i="19"/>
  <c r="P662" i="19" s="1"/>
  <c r="Q662" i="19" s="1"/>
  <c r="N663" i="19"/>
  <c r="P663" i="19" s="1"/>
  <c r="Q663" i="19" s="1"/>
  <c r="N660" i="19"/>
  <c r="P660" i="19" s="1"/>
  <c r="AC306" i="10"/>
  <c r="M1509" i="19"/>
  <c r="N1505" i="19" s="1"/>
  <c r="AL211" i="10"/>
  <c r="M1594" i="19"/>
  <c r="N1593" i="19" s="1"/>
  <c r="P1593" i="19" s="1"/>
  <c r="Q1593" i="19" s="1"/>
  <c r="AD323" i="10"/>
  <c r="AM323" i="10" s="1"/>
  <c r="AL306" i="10"/>
  <c r="AL289" i="10"/>
  <c r="AD289" i="10"/>
  <c r="AM289" i="10" s="1"/>
  <c r="M639" i="19"/>
  <c r="N637" i="19" s="1"/>
  <c r="P637" i="19" s="1"/>
  <c r="Q637" i="19" s="1"/>
  <c r="M1579" i="19"/>
  <c r="AL320" i="10"/>
  <c r="N1168" i="19"/>
  <c r="P1168" i="19" s="1"/>
  <c r="Q1168" i="19" s="1"/>
  <c r="N1165" i="19"/>
  <c r="N1166" i="19"/>
  <c r="P1166" i="19" s="1"/>
  <c r="Q1166" i="19" s="1"/>
  <c r="N1167" i="19"/>
  <c r="P1167" i="19" s="1"/>
  <c r="Q1167" i="19" s="1"/>
  <c r="N836" i="19"/>
  <c r="P836" i="19" s="1"/>
  <c r="Q836" i="19" s="1"/>
  <c r="N837" i="19"/>
  <c r="P837" i="19" s="1"/>
  <c r="Q837" i="19" s="1"/>
  <c r="N835" i="19"/>
  <c r="N838" i="19"/>
  <c r="P838" i="19" s="1"/>
  <c r="Q838" i="19" s="1"/>
  <c r="N877" i="19"/>
  <c r="P877" i="19" s="1"/>
  <c r="Q877" i="19" s="1"/>
  <c r="N875" i="19"/>
  <c r="N878" i="19"/>
  <c r="P878" i="19" s="1"/>
  <c r="Q878" i="19" s="1"/>
  <c r="N876" i="19"/>
  <c r="P876" i="19" s="1"/>
  <c r="Q876" i="19" s="1"/>
  <c r="AD202" i="10"/>
  <c r="AM202" i="10" s="1"/>
  <c r="AD342" i="10"/>
  <c r="AM342" i="10" s="1"/>
  <c r="N72" i="19"/>
  <c r="P72" i="19" s="1"/>
  <c r="Q72" i="19" s="1"/>
  <c r="N71" i="19"/>
  <c r="N70" i="19"/>
  <c r="N73" i="19"/>
  <c r="P73" i="19" s="1"/>
  <c r="Q73" i="19" s="1"/>
  <c r="N1380" i="19"/>
  <c r="N1383" i="19"/>
  <c r="P1383" i="19" s="1"/>
  <c r="Q1383" i="19" s="1"/>
  <c r="N1382" i="19"/>
  <c r="P1382" i="19" s="1"/>
  <c r="Q1382" i="19" s="1"/>
  <c r="N1381" i="19"/>
  <c r="P1381" i="19" s="1"/>
  <c r="Q1381" i="19" s="1"/>
  <c r="N563" i="19"/>
  <c r="P563" i="19" s="1"/>
  <c r="Q563" i="19" s="1"/>
  <c r="N562" i="19"/>
  <c r="P562" i="19" s="1"/>
  <c r="Q562" i="19" s="1"/>
  <c r="N560" i="19"/>
  <c r="N561" i="19"/>
  <c r="P561" i="19" s="1"/>
  <c r="Q561" i="19" s="1"/>
  <c r="AD112" i="10"/>
  <c r="AM112" i="10" s="1"/>
  <c r="N931" i="19"/>
  <c r="P931" i="19" s="1"/>
  <c r="Q931" i="19" s="1"/>
  <c r="N932" i="19"/>
  <c r="P932" i="19" s="1"/>
  <c r="Q932" i="19" s="1"/>
  <c r="N930" i="19"/>
  <c r="N933" i="19"/>
  <c r="P933" i="19" s="1"/>
  <c r="Q933" i="19" s="1"/>
  <c r="AD356" i="10"/>
  <c r="AM356" i="10" s="1"/>
  <c r="AD294" i="10"/>
  <c r="AM294" i="10" s="1"/>
  <c r="AD16" i="10"/>
  <c r="AM16" i="10" s="1"/>
  <c r="AD117" i="10"/>
  <c r="AM117" i="10" s="1"/>
  <c r="AD93" i="10"/>
  <c r="AM93" i="10" s="1"/>
  <c r="AD87" i="10"/>
  <c r="AM87" i="10" s="1"/>
  <c r="N1683" i="19"/>
  <c r="P1683" i="19" s="1"/>
  <c r="Q1683" i="19" s="1"/>
  <c r="N1681" i="19"/>
  <c r="P1681" i="19" s="1"/>
  <c r="Q1681" i="19" s="1"/>
  <c r="N1680" i="19"/>
  <c r="N1682" i="19"/>
  <c r="P1682" i="19" s="1"/>
  <c r="Q1682" i="19" s="1"/>
  <c r="AD329" i="10"/>
  <c r="AM329" i="10" s="1"/>
  <c r="AD31" i="10"/>
  <c r="AM31" i="10" s="1"/>
  <c r="AD179" i="10"/>
  <c r="AM179" i="10" s="1"/>
  <c r="N868" i="19"/>
  <c r="P868" i="19" s="1"/>
  <c r="Q868" i="19" s="1"/>
  <c r="N867" i="19"/>
  <c r="P867" i="19" s="1"/>
  <c r="Q867" i="19" s="1"/>
  <c r="N865" i="19"/>
  <c r="N866" i="19"/>
  <c r="P866" i="19" s="1"/>
  <c r="Q866" i="19" s="1"/>
  <c r="N1318" i="19"/>
  <c r="P1318" i="19" s="1"/>
  <c r="Q1318" i="19" s="1"/>
  <c r="N1315" i="19"/>
  <c r="N1317" i="19"/>
  <c r="P1317" i="19" s="1"/>
  <c r="Q1317" i="19" s="1"/>
  <c r="N1316" i="19"/>
  <c r="P1316" i="19" s="1"/>
  <c r="Q1316" i="19" s="1"/>
  <c r="AL68" i="10"/>
  <c r="M319" i="19"/>
  <c r="N1648" i="19"/>
  <c r="P1648" i="19" s="1"/>
  <c r="Q1648" i="19" s="1"/>
  <c r="N1647" i="19"/>
  <c r="P1647" i="19" s="1"/>
  <c r="Q1647" i="19" s="1"/>
  <c r="N1646" i="19"/>
  <c r="P1646" i="19" s="1"/>
  <c r="Q1646" i="19" s="1"/>
  <c r="N1645" i="19"/>
  <c r="N1450" i="19"/>
  <c r="N1452" i="19"/>
  <c r="N1451" i="19"/>
  <c r="P1451" i="19" s="1"/>
  <c r="Q1451" i="19" s="1"/>
  <c r="N1453" i="19"/>
  <c r="P1453" i="19" s="1"/>
  <c r="Q1453" i="19" s="1"/>
  <c r="N823" i="19"/>
  <c r="P823" i="19" s="1"/>
  <c r="Q823" i="19" s="1"/>
  <c r="N821" i="19"/>
  <c r="P821" i="19" s="1"/>
  <c r="Q821" i="19" s="1"/>
  <c r="N820" i="19"/>
  <c r="N822" i="19"/>
  <c r="P822" i="19" s="1"/>
  <c r="Q822" i="19" s="1"/>
  <c r="N1551" i="19"/>
  <c r="P1551" i="19" s="1"/>
  <c r="Q1551" i="19" s="1"/>
  <c r="N1552" i="19"/>
  <c r="P1552" i="19" s="1"/>
  <c r="Q1552" i="19" s="1"/>
  <c r="N1550" i="19"/>
  <c r="N1553" i="19"/>
  <c r="P1553" i="19" s="1"/>
  <c r="Q1553" i="19" s="1"/>
  <c r="N1173" i="19"/>
  <c r="P1173" i="19" s="1"/>
  <c r="Q1173" i="19" s="1"/>
  <c r="N1171" i="19"/>
  <c r="P1171" i="19" s="1"/>
  <c r="Q1171" i="19" s="1"/>
  <c r="N1172" i="19"/>
  <c r="P1172" i="19" s="1"/>
  <c r="Q1172" i="19" s="1"/>
  <c r="N1170" i="19"/>
  <c r="AD189" i="10"/>
  <c r="AM189" i="10" s="1"/>
  <c r="N1428" i="19"/>
  <c r="P1428" i="19" s="1"/>
  <c r="Q1428" i="19" s="1"/>
  <c r="N1427" i="19"/>
  <c r="P1427" i="19" s="1"/>
  <c r="Q1427" i="19" s="1"/>
  <c r="N1425" i="19"/>
  <c r="N1426" i="19"/>
  <c r="P1426" i="19" s="1"/>
  <c r="Q1426" i="19" s="1"/>
  <c r="N1058" i="19"/>
  <c r="P1058" i="19" s="1"/>
  <c r="Q1058" i="19" s="1"/>
  <c r="N1055" i="19"/>
  <c r="N1056" i="19"/>
  <c r="N1057" i="19"/>
  <c r="P1057" i="19" s="1"/>
  <c r="Q1057" i="19" s="1"/>
  <c r="AD243" i="10"/>
  <c r="AM243" i="10" s="1"/>
  <c r="N1668" i="19"/>
  <c r="P1668" i="19" s="1"/>
  <c r="Q1668" i="19" s="1"/>
  <c r="N1665" i="19"/>
  <c r="N1666" i="19"/>
  <c r="P1666" i="19" s="1"/>
  <c r="Q1666" i="19" s="1"/>
  <c r="N1667" i="19"/>
  <c r="P1667" i="19" s="1"/>
  <c r="Q1667" i="19" s="1"/>
  <c r="AD21" i="10"/>
  <c r="AM21" i="10" s="1"/>
  <c r="AD214" i="10"/>
  <c r="AM214" i="10" s="1"/>
  <c r="N376" i="19"/>
  <c r="P376" i="19" s="1"/>
  <c r="Q376" i="19" s="1"/>
  <c r="N375" i="19"/>
  <c r="N378" i="19"/>
  <c r="P378" i="19" s="1"/>
  <c r="Q378" i="19" s="1"/>
  <c r="N377" i="19"/>
  <c r="AD287" i="10"/>
  <c r="AM287" i="10" s="1"/>
  <c r="N512" i="19"/>
  <c r="P512" i="19" s="1"/>
  <c r="Q512" i="19" s="1"/>
  <c r="N513" i="19"/>
  <c r="P513" i="19" s="1"/>
  <c r="Q513" i="19" s="1"/>
  <c r="N511" i="19"/>
  <c r="N510" i="19"/>
  <c r="AD231" i="10"/>
  <c r="AM231" i="10" s="1"/>
  <c r="N1257" i="19"/>
  <c r="P1257" i="19" s="1"/>
  <c r="Q1257" i="19" s="1"/>
  <c r="N1258" i="19"/>
  <c r="P1258" i="19" s="1"/>
  <c r="Q1258" i="19" s="1"/>
  <c r="N1256" i="19"/>
  <c r="P1256" i="19" s="1"/>
  <c r="Q1256" i="19" s="1"/>
  <c r="N1255" i="19"/>
  <c r="AD154" i="10"/>
  <c r="AM154" i="10" s="1"/>
  <c r="AD325" i="10"/>
  <c r="AM325" i="10" s="1"/>
  <c r="N1163" i="19"/>
  <c r="P1163" i="19" s="1"/>
  <c r="Q1163" i="19" s="1"/>
  <c r="N1161" i="19"/>
  <c r="P1161" i="19" s="1"/>
  <c r="Q1161" i="19" s="1"/>
  <c r="N1160" i="19"/>
  <c r="N1162" i="19"/>
  <c r="P1162" i="19" s="1"/>
  <c r="Q1162" i="19" s="1"/>
  <c r="N522" i="19"/>
  <c r="P522" i="19" s="1"/>
  <c r="Q522" i="19" s="1"/>
  <c r="N520" i="19"/>
  <c r="N521" i="19"/>
  <c r="P521" i="19" s="1"/>
  <c r="Q521" i="19" s="1"/>
  <c r="N523" i="19"/>
  <c r="P523" i="19" s="1"/>
  <c r="Q523" i="19" s="1"/>
  <c r="AD15" i="10"/>
  <c r="AM15" i="10" s="1"/>
  <c r="N681" i="19"/>
  <c r="P681" i="19" s="1"/>
  <c r="Q681" i="19" s="1"/>
  <c r="N683" i="19"/>
  <c r="P683" i="19" s="1"/>
  <c r="Q683" i="19" s="1"/>
  <c r="N680" i="19"/>
  <c r="N682" i="19"/>
  <c r="P682" i="19" s="1"/>
  <c r="Q682" i="19" s="1"/>
  <c r="N1617" i="19"/>
  <c r="P1617" i="19" s="1"/>
  <c r="Q1617" i="19" s="1"/>
  <c r="N1618" i="19"/>
  <c r="P1618" i="19" s="1"/>
  <c r="Q1618" i="19" s="1"/>
  <c r="N1616" i="19"/>
  <c r="P1616" i="19" s="1"/>
  <c r="Q1616" i="19" s="1"/>
  <c r="N1615" i="19"/>
  <c r="N798" i="19"/>
  <c r="P798" i="19" s="1"/>
  <c r="Q798" i="19" s="1"/>
  <c r="N797" i="19"/>
  <c r="P797" i="19" s="1"/>
  <c r="Q797" i="19" s="1"/>
  <c r="N795" i="19"/>
  <c r="N796" i="19"/>
  <c r="P796" i="19" s="1"/>
  <c r="Q796" i="19" s="1"/>
  <c r="AD183" i="10"/>
  <c r="AM183" i="10" s="1"/>
  <c r="N928" i="19"/>
  <c r="P928" i="19" s="1"/>
  <c r="Q928" i="19" s="1"/>
  <c r="N926" i="19"/>
  <c r="P926" i="19" s="1"/>
  <c r="Q926" i="19" s="1"/>
  <c r="N925" i="19"/>
  <c r="N927" i="19"/>
  <c r="P927" i="19" s="1"/>
  <c r="Q927" i="19" s="1"/>
  <c r="AD234" i="10"/>
  <c r="AM234" i="10" s="1"/>
  <c r="AD333" i="10"/>
  <c r="AM333" i="10" s="1"/>
  <c r="AD83" i="10"/>
  <c r="AM83" i="10" s="1"/>
  <c r="N773" i="19"/>
  <c r="P773" i="19" s="1"/>
  <c r="Q773" i="19" s="1"/>
  <c r="N770" i="19"/>
  <c r="N771" i="19"/>
  <c r="P771" i="19" s="1"/>
  <c r="Q771" i="19" s="1"/>
  <c r="N772" i="19"/>
  <c r="P772" i="19" s="1"/>
  <c r="Q772" i="19" s="1"/>
  <c r="N672" i="19"/>
  <c r="P672" i="19" s="1"/>
  <c r="Q672" i="19" s="1"/>
  <c r="N673" i="19"/>
  <c r="P673" i="19" s="1"/>
  <c r="Q673" i="19" s="1"/>
  <c r="N670" i="19"/>
  <c r="N671" i="19"/>
  <c r="P671" i="19" s="1"/>
  <c r="Q671" i="19" s="1"/>
  <c r="AD116" i="10"/>
  <c r="AM116" i="10" s="1"/>
  <c r="N476" i="19"/>
  <c r="P476" i="19" s="1"/>
  <c r="Q476" i="19" s="1"/>
  <c r="N475" i="19"/>
  <c r="N477" i="19"/>
  <c r="P477" i="19" s="1"/>
  <c r="Q477" i="19" s="1"/>
  <c r="N478" i="19"/>
  <c r="P478" i="19" s="1"/>
  <c r="Q478" i="19" s="1"/>
  <c r="N122" i="19"/>
  <c r="P122" i="19" s="1"/>
  <c r="Q122" i="19" s="1"/>
  <c r="N121" i="19"/>
  <c r="N123" i="19"/>
  <c r="P123" i="19" s="1"/>
  <c r="Q123" i="19" s="1"/>
  <c r="N120" i="19"/>
  <c r="N1443" i="19"/>
  <c r="P1443" i="19" s="1"/>
  <c r="Q1443" i="19" s="1"/>
  <c r="N1441" i="19"/>
  <c r="P1441" i="19" s="1"/>
  <c r="Q1441" i="19" s="1"/>
  <c r="N1442" i="19"/>
  <c r="P1442" i="19" s="1"/>
  <c r="Q1442" i="19" s="1"/>
  <c r="N1440" i="19"/>
  <c r="N1403" i="19"/>
  <c r="P1403" i="19" s="1"/>
  <c r="Q1403" i="19" s="1"/>
  <c r="N1401" i="19"/>
  <c r="P1401" i="19" s="1"/>
  <c r="Q1401" i="19" s="1"/>
  <c r="N1402" i="19"/>
  <c r="P1402" i="19" s="1"/>
  <c r="Q1402" i="19" s="1"/>
  <c r="N1400" i="19"/>
  <c r="N678" i="19"/>
  <c r="P678" i="19" s="1"/>
  <c r="Q678" i="19" s="1"/>
  <c r="N677" i="19"/>
  <c r="P677" i="19" s="1"/>
  <c r="Q677" i="19" s="1"/>
  <c r="N676" i="19"/>
  <c r="N675" i="19"/>
  <c r="N86" i="19"/>
  <c r="P86" i="19" s="1"/>
  <c r="Q86" i="19" s="1"/>
  <c r="N88" i="19"/>
  <c r="P88" i="19" s="1"/>
  <c r="Q88" i="19" s="1"/>
  <c r="N85" i="19"/>
  <c r="N87" i="19"/>
  <c r="P87" i="19" s="1"/>
  <c r="Q87" i="19" s="1"/>
  <c r="AD95" i="10"/>
  <c r="AM95" i="10" s="1"/>
  <c r="AD351" i="10"/>
  <c r="AM351" i="10" s="1"/>
  <c r="AD229" i="10"/>
  <c r="AM229" i="10" s="1"/>
  <c r="N1635" i="19"/>
  <c r="N1638" i="19"/>
  <c r="P1638" i="19" s="1"/>
  <c r="Q1638" i="19" s="1"/>
  <c r="N1637" i="19"/>
  <c r="P1637" i="19" s="1"/>
  <c r="Q1637" i="19" s="1"/>
  <c r="N1636" i="19"/>
  <c r="P1636" i="19" s="1"/>
  <c r="Q1636" i="19" s="1"/>
  <c r="N1266" i="19"/>
  <c r="P1266" i="19" s="1"/>
  <c r="Q1266" i="19" s="1"/>
  <c r="N1265" i="19"/>
  <c r="N1267" i="19"/>
  <c r="P1267" i="19" s="1"/>
  <c r="Q1267" i="19" s="1"/>
  <c r="N1268" i="19"/>
  <c r="P1268" i="19" s="1"/>
  <c r="Q1268" i="19" s="1"/>
  <c r="N1276" i="19"/>
  <c r="P1276" i="19" s="1"/>
  <c r="Q1276" i="19" s="1"/>
  <c r="N1277" i="19"/>
  <c r="P1277" i="19" s="1"/>
  <c r="Q1277" i="19" s="1"/>
  <c r="N1278" i="19"/>
  <c r="P1278" i="19" s="1"/>
  <c r="Q1278" i="19" s="1"/>
  <c r="N1275" i="19"/>
  <c r="N101" i="19"/>
  <c r="N103" i="19"/>
  <c r="P103" i="19" s="1"/>
  <c r="Q103" i="19" s="1"/>
  <c r="N102" i="19"/>
  <c r="N100" i="19"/>
  <c r="N1065" i="19"/>
  <c r="N1068" i="19"/>
  <c r="P1068" i="19" s="1"/>
  <c r="Q1068" i="19" s="1"/>
  <c r="N1067" i="19"/>
  <c r="P1067" i="19" s="1"/>
  <c r="Q1067" i="19" s="1"/>
  <c r="N1066" i="19"/>
  <c r="P1066" i="19" s="1"/>
  <c r="Q1066" i="19" s="1"/>
  <c r="AD84" i="10"/>
  <c r="AM84" i="10" s="1"/>
  <c r="N790" i="19"/>
  <c r="N792" i="19"/>
  <c r="P792" i="19" s="1"/>
  <c r="Q792" i="19" s="1"/>
  <c r="N793" i="19"/>
  <c r="P793" i="19" s="1"/>
  <c r="Q793" i="19" s="1"/>
  <c r="N791" i="19"/>
  <c r="AD89" i="10"/>
  <c r="AM89" i="10" s="1"/>
  <c r="N1515" i="19"/>
  <c r="N1517" i="19"/>
  <c r="P1517" i="19" s="1"/>
  <c r="Q1517" i="19" s="1"/>
  <c r="N1518" i="19"/>
  <c r="P1518" i="19" s="1"/>
  <c r="Q1518" i="19" s="1"/>
  <c r="N1516" i="19"/>
  <c r="P1516" i="19" s="1"/>
  <c r="Q1516" i="19" s="1"/>
  <c r="AD156" i="10"/>
  <c r="AM156" i="10" s="1"/>
  <c r="AD76" i="10"/>
  <c r="AM76" i="10" s="1"/>
  <c r="N582" i="19"/>
  <c r="P582" i="19" s="1"/>
  <c r="Q582" i="19" s="1"/>
  <c r="N583" i="19"/>
  <c r="P583" i="19" s="1"/>
  <c r="Q583" i="19" s="1"/>
  <c r="N580" i="19"/>
  <c r="N581" i="19"/>
  <c r="P581" i="19" s="1"/>
  <c r="Q581" i="19" s="1"/>
  <c r="N322" i="19"/>
  <c r="P322" i="19" s="1"/>
  <c r="Q322" i="19" s="1"/>
  <c r="N323" i="19"/>
  <c r="P323" i="19" s="1"/>
  <c r="Q323" i="19" s="1"/>
  <c r="N320" i="19"/>
  <c r="N321" i="19"/>
  <c r="P321" i="19" s="1"/>
  <c r="Q321" i="19" s="1"/>
  <c r="AD176" i="10"/>
  <c r="AM176" i="10" s="1"/>
  <c r="AD279" i="10"/>
  <c r="AM279" i="10" s="1"/>
  <c r="AD340" i="10"/>
  <c r="AM340" i="10" s="1"/>
  <c r="AD142" i="10"/>
  <c r="AM142" i="10" s="1"/>
  <c r="N801" i="19"/>
  <c r="P801" i="19" s="1"/>
  <c r="Q801" i="19" s="1"/>
  <c r="N800" i="19"/>
  <c r="N803" i="19"/>
  <c r="P803" i="19" s="1"/>
  <c r="Q803" i="19" s="1"/>
  <c r="N802" i="19"/>
  <c r="P802" i="19" s="1"/>
  <c r="Q802" i="19" s="1"/>
  <c r="N700" i="19"/>
  <c r="N702" i="19"/>
  <c r="P702" i="19" s="1"/>
  <c r="Q702" i="19" s="1"/>
  <c r="N703" i="19"/>
  <c r="P703" i="19" s="1"/>
  <c r="Q703" i="19" s="1"/>
  <c r="N701" i="19"/>
  <c r="P701" i="19" s="1"/>
  <c r="Q701" i="19" s="1"/>
  <c r="N708" i="19"/>
  <c r="P708" i="19" s="1"/>
  <c r="Q708" i="19" s="1"/>
  <c r="N705" i="19"/>
  <c r="N707" i="19"/>
  <c r="P707" i="19" s="1"/>
  <c r="Q707" i="19" s="1"/>
  <c r="N706" i="19"/>
  <c r="P706" i="19" s="1"/>
  <c r="Q706" i="19" s="1"/>
  <c r="N610" i="19"/>
  <c r="N611" i="19"/>
  <c r="P611" i="19" s="1"/>
  <c r="Q611" i="19" s="1"/>
  <c r="N612" i="19"/>
  <c r="P612" i="19" s="1"/>
  <c r="Q612" i="19" s="1"/>
  <c r="N613" i="19"/>
  <c r="P613" i="19" s="1"/>
  <c r="Q613" i="19" s="1"/>
  <c r="AD146" i="10"/>
  <c r="AM146" i="10" s="1"/>
  <c r="N1757" i="19"/>
  <c r="P1757" i="19" s="1"/>
  <c r="Q1757" i="19" s="1"/>
  <c r="N1756" i="19"/>
  <c r="P1756" i="19" s="1"/>
  <c r="Q1756" i="19" s="1"/>
  <c r="N1755" i="19"/>
  <c r="N1758" i="19"/>
  <c r="P1758" i="19" s="1"/>
  <c r="Q1758" i="19" s="1"/>
  <c r="AD63" i="10"/>
  <c r="AM63" i="10" s="1"/>
  <c r="AD18" i="10"/>
  <c r="AM18" i="10" s="1"/>
  <c r="N443" i="19"/>
  <c r="P443" i="19" s="1"/>
  <c r="Q443" i="19" s="1"/>
  <c r="N441" i="19"/>
  <c r="P441" i="19" s="1"/>
  <c r="Q441" i="19" s="1"/>
  <c r="N440" i="19"/>
  <c r="N442" i="19"/>
  <c r="P442" i="19" s="1"/>
  <c r="Q442" i="19" s="1"/>
  <c r="AD177" i="10"/>
  <c r="AM177" i="10" s="1"/>
  <c r="N816" i="19"/>
  <c r="P816" i="19" s="1"/>
  <c r="Q816" i="19" s="1"/>
  <c r="N818" i="19"/>
  <c r="P818" i="19" s="1"/>
  <c r="Q818" i="19" s="1"/>
  <c r="N817" i="19"/>
  <c r="P817" i="19" s="1"/>
  <c r="Q817" i="19" s="1"/>
  <c r="N815" i="19"/>
  <c r="AD191" i="10"/>
  <c r="AM191" i="10" s="1"/>
  <c r="AD143" i="10"/>
  <c r="AM143" i="10" s="1"/>
  <c r="N1686" i="19"/>
  <c r="P1686" i="19" s="1"/>
  <c r="Q1686" i="19" s="1"/>
  <c r="N1687" i="19"/>
  <c r="P1687" i="19" s="1"/>
  <c r="Q1687" i="19" s="1"/>
  <c r="N1685" i="19"/>
  <c r="N1688" i="19"/>
  <c r="P1688" i="19" s="1"/>
  <c r="Q1688" i="19" s="1"/>
  <c r="AD101" i="10"/>
  <c r="AM101" i="10" s="1"/>
  <c r="AD168" i="10"/>
  <c r="AM168" i="10" s="1"/>
  <c r="AD19" i="10"/>
  <c r="AM19" i="10" s="1"/>
  <c r="AD221" i="10"/>
  <c r="AM221" i="10" s="1"/>
  <c r="AD275" i="10"/>
  <c r="AM275" i="10" s="1"/>
  <c r="N536" i="19"/>
  <c r="N535" i="19"/>
  <c r="N538" i="19"/>
  <c r="P538" i="19" s="1"/>
  <c r="Q538" i="19" s="1"/>
  <c r="N537" i="19"/>
  <c r="AD223" i="10"/>
  <c r="AM223" i="10" s="1"/>
  <c r="AD178" i="10"/>
  <c r="AM178" i="10" s="1"/>
  <c r="N227" i="19"/>
  <c r="P227" i="19" s="1"/>
  <c r="Q227" i="19" s="1"/>
  <c r="N225" i="19"/>
  <c r="N226" i="19"/>
  <c r="N228" i="19"/>
  <c r="P228" i="19" s="1"/>
  <c r="Q228" i="19" s="1"/>
  <c r="AD220" i="10"/>
  <c r="AM220" i="10" s="1"/>
  <c r="N242" i="19"/>
  <c r="P242" i="19" s="1"/>
  <c r="Q242" i="19" s="1"/>
  <c r="N243" i="19"/>
  <c r="P243" i="19" s="1"/>
  <c r="Q243" i="19" s="1"/>
  <c r="N241" i="19"/>
  <c r="P241" i="19" s="1"/>
  <c r="Q241" i="19" s="1"/>
  <c r="N240" i="19"/>
  <c r="AD295" i="10"/>
  <c r="AM295" i="10" s="1"/>
  <c r="AD239" i="10"/>
  <c r="AM239" i="10" s="1"/>
  <c r="AD78" i="10"/>
  <c r="AM78" i="10" s="1"/>
  <c r="N923" i="19"/>
  <c r="P923" i="19" s="1"/>
  <c r="Q923" i="19" s="1"/>
  <c r="N922" i="19"/>
  <c r="P922" i="19" s="1"/>
  <c r="Q922" i="19" s="1"/>
  <c r="N921" i="19"/>
  <c r="P921" i="19" s="1"/>
  <c r="Q921" i="19" s="1"/>
  <c r="N920" i="19"/>
  <c r="AD290" i="10"/>
  <c r="AM290" i="10" s="1"/>
  <c r="N778" i="19"/>
  <c r="P778" i="19" s="1"/>
  <c r="Q778" i="19" s="1"/>
  <c r="N777" i="19"/>
  <c r="P777" i="19" s="1"/>
  <c r="Q777" i="19" s="1"/>
  <c r="N776" i="19"/>
  <c r="P776" i="19" s="1"/>
  <c r="Q776" i="19" s="1"/>
  <c r="N775" i="19"/>
  <c r="N1118" i="19"/>
  <c r="P1118" i="19" s="1"/>
  <c r="Q1118" i="19" s="1"/>
  <c r="N1116" i="19"/>
  <c r="P1116" i="19" s="1"/>
  <c r="Q1116" i="19" s="1"/>
  <c r="N1115" i="19"/>
  <c r="N1117" i="19"/>
  <c r="P1117" i="19" s="1"/>
  <c r="Q1117" i="19" s="1"/>
  <c r="AD216" i="10"/>
  <c r="AM216" i="10" s="1"/>
  <c r="AD52" i="10"/>
  <c r="AM52" i="10" s="1"/>
  <c r="AD338" i="10"/>
  <c r="AM338" i="10" s="1"/>
  <c r="N1047" i="19"/>
  <c r="P1047" i="19" s="1"/>
  <c r="Q1047" i="19" s="1"/>
  <c r="N1046" i="19"/>
  <c r="N1048" i="19"/>
  <c r="P1048" i="19" s="1"/>
  <c r="Q1048" i="19" s="1"/>
  <c r="N1045" i="19"/>
  <c r="AD126" i="10"/>
  <c r="AM126" i="10" s="1"/>
  <c r="AD88" i="10"/>
  <c r="AM88" i="10" s="1"/>
  <c r="N1043" i="19"/>
  <c r="P1043" i="19" s="1"/>
  <c r="Q1043" i="19" s="1"/>
  <c r="N1040" i="19"/>
  <c r="N1042" i="19"/>
  <c r="P1042" i="19" s="1"/>
  <c r="Q1042" i="19" s="1"/>
  <c r="N1041" i="19"/>
  <c r="P1041" i="19" s="1"/>
  <c r="Q1041" i="19" s="1"/>
  <c r="AD107" i="10"/>
  <c r="AM107" i="10" s="1"/>
  <c r="N1130" i="19"/>
  <c r="N1132" i="19"/>
  <c r="P1132" i="19" s="1"/>
  <c r="Q1132" i="19" s="1"/>
  <c r="N1131" i="19"/>
  <c r="N1133" i="19"/>
  <c r="P1133" i="19" s="1"/>
  <c r="Q1133" i="19" s="1"/>
  <c r="N380" i="19"/>
  <c r="N383" i="19"/>
  <c r="P383" i="19" s="1"/>
  <c r="Q383" i="19" s="1"/>
  <c r="N382" i="19"/>
  <c r="P382" i="19" s="1"/>
  <c r="Q382" i="19" s="1"/>
  <c r="N381" i="19"/>
  <c r="N652" i="19"/>
  <c r="P652" i="19" s="1"/>
  <c r="Q652" i="19" s="1"/>
  <c r="N650" i="19"/>
  <c r="N651" i="19"/>
  <c r="P651" i="19" s="1"/>
  <c r="Q651" i="19" s="1"/>
  <c r="N653" i="19"/>
  <c r="P653" i="19" s="1"/>
  <c r="Q653" i="19" s="1"/>
  <c r="N1600" i="19"/>
  <c r="N1601" i="19"/>
  <c r="P1601" i="19" s="1"/>
  <c r="Q1601" i="19" s="1"/>
  <c r="N1603" i="19"/>
  <c r="N1602" i="19"/>
  <c r="AD43" i="10"/>
  <c r="AM43" i="10" s="1"/>
  <c r="AD55" i="10"/>
  <c r="AM55" i="10" s="1"/>
  <c r="AD109" i="10"/>
  <c r="AM109" i="10" s="1"/>
  <c r="AD51" i="10"/>
  <c r="AM51" i="10" s="1"/>
  <c r="N1176" i="19"/>
  <c r="P1176" i="19" s="1"/>
  <c r="Q1176" i="19" s="1"/>
  <c r="N1177" i="19"/>
  <c r="P1177" i="19" s="1"/>
  <c r="Q1177" i="19" s="1"/>
  <c r="N1175" i="19"/>
  <c r="N1178" i="19"/>
  <c r="P1178" i="19" s="1"/>
  <c r="Q1178" i="19" s="1"/>
  <c r="N272" i="19"/>
  <c r="P272" i="19" s="1"/>
  <c r="Q272" i="19" s="1"/>
  <c r="N273" i="19"/>
  <c r="P273" i="19" s="1"/>
  <c r="Q273" i="19" s="1"/>
  <c r="N271" i="19"/>
  <c r="N270" i="19"/>
  <c r="N1703" i="19"/>
  <c r="P1703" i="19" s="1"/>
  <c r="Q1703" i="19" s="1"/>
  <c r="N1702" i="19"/>
  <c r="P1702" i="19" s="1"/>
  <c r="Q1702" i="19" s="1"/>
  <c r="N1701" i="19"/>
  <c r="P1701" i="19" s="1"/>
  <c r="Q1701" i="19" s="1"/>
  <c r="N1700" i="19"/>
  <c r="N852" i="19"/>
  <c r="P852" i="19" s="1"/>
  <c r="Q852" i="19" s="1"/>
  <c r="N850" i="19"/>
  <c r="N853" i="19"/>
  <c r="P853" i="19" s="1"/>
  <c r="Q853" i="19" s="1"/>
  <c r="N851" i="19"/>
  <c r="N1391" i="19"/>
  <c r="P1391" i="19" s="1"/>
  <c r="Q1391" i="19" s="1"/>
  <c r="N1393" i="19"/>
  <c r="P1393" i="19" s="1"/>
  <c r="Q1393" i="19" s="1"/>
  <c r="N1392" i="19"/>
  <c r="P1392" i="19" s="1"/>
  <c r="Q1392" i="19" s="1"/>
  <c r="N1390" i="19"/>
  <c r="N947" i="19"/>
  <c r="P947" i="19" s="1"/>
  <c r="Q947" i="19" s="1"/>
  <c r="N945" i="19"/>
  <c r="N946" i="19"/>
  <c r="P946" i="19" s="1"/>
  <c r="Q946" i="19" s="1"/>
  <c r="N948" i="19"/>
  <c r="P948" i="19" s="1"/>
  <c r="Q948" i="19" s="1"/>
  <c r="N467" i="19"/>
  <c r="P467" i="19" s="1"/>
  <c r="Q467" i="19" s="1"/>
  <c r="N466" i="19"/>
  <c r="N468" i="19"/>
  <c r="P468" i="19" s="1"/>
  <c r="Q468" i="19" s="1"/>
  <c r="N465" i="19"/>
  <c r="AD192" i="10"/>
  <c r="AM192" i="10" s="1"/>
  <c r="AD164" i="10"/>
  <c r="AM164" i="10" s="1"/>
  <c r="AD204" i="10"/>
  <c r="AM204" i="10" s="1"/>
  <c r="N458" i="19"/>
  <c r="P458" i="19" s="1"/>
  <c r="Q458" i="19" s="1"/>
  <c r="N457" i="19"/>
  <c r="P457" i="19" s="1"/>
  <c r="Q457" i="19" s="1"/>
  <c r="N456" i="19"/>
  <c r="P456" i="19" s="1"/>
  <c r="Q456" i="19" s="1"/>
  <c r="N455" i="19"/>
  <c r="N833" i="19"/>
  <c r="P833" i="19" s="1"/>
  <c r="Q833" i="19" s="1"/>
  <c r="N830" i="19"/>
  <c r="N831" i="19"/>
  <c r="P831" i="19" s="1"/>
  <c r="Q831" i="19" s="1"/>
  <c r="N832" i="19"/>
  <c r="P832" i="19" s="1"/>
  <c r="Q832" i="19" s="1"/>
  <c r="N1146" i="19"/>
  <c r="P1146" i="19" s="1"/>
  <c r="Q1146" i="19" s="1"/>
  <c r="N1147" i="19"/>
  <c r="P1147" i="19" s="1"/>
  <c r="Q1147" i="19" s="1"/>
  <c r="N1145" i="19"/>
  <c r="N1148" i="19"/>
  <c r="P1148" i="19" s="1"/>
  <c r="Q1148" i="19" s="1"/>
  <c r="N1753" i="19"/>
  <c r="P1753" i="19" s="1"/>
  <c r="Q1753" i="19" s="1"/>
  <c r="N1752" i="19"/>
  <c r="P1752" i="19" s="1"/>
  <c r="Q1752" i="19" s="1"/>
  <c r="N1750" i="19"/>
  <c r="N1751" i="19"/>
  <c r="P1751" i="19" s="1"/>
  <c r="Q1751" i="19" s="1"/>
  <c r="N1438" i="19"/>
  <c r="P1438" i="19" s="1"/>
  <c r="Q1438" i="19" s="1"/>
  <c r="N1436" i="19"/>
  <c r="P1436" i="19" s="1"/>
  <c r="Q1436" i="19" s="1"/>
  <c r="N1437" i="19"/>
  <c r="P1437" i="19" s="1"/>
  <c r="Q1437" i="19" s="1"/>
  <c r="N1435" i="19"/>
  <c r="AD284" i="10"/>
  <c r="AM284" i="10" s="1"/>
  <c r="AD232" i="10"/>
  <c r="AM232" i="10" s="1"/>
  <c r="AD124" i="10"/>
  <c r="AM124" i="10" s="1"/>
  <c r="AD347" i="10"/>
  <c r="AM347" i="10" s="1"/>
  <c r="AD29" i="10"/>
  <c r="AM29" i="10" s="1"/>
  <c r="AD32" i="10"/>
  <c r="AM32" i="10" s="1"/>
  <c r="N1001" i="19"/>
  <c r="P1001" i="19" s="1"/>
  <c r="Q1001" i="19" s="1"/>
  <c r="N1002" i="19"/>
  <c r="P1002" i="19" s="1"/>
  <c r="Q1002" i="19" s="1"/>
  <c r="N1003" i="19"/>
  <c r="P1003" i="19" s="1"/>
  <c r="Q1003" i="19" s="1"/>
  <c r="N1000" i="19"/>
  <c r="AD330" i="10"/>
  <c r="AM330" i="10" s="1"/>
  <c r="AD293" i="10"/>
  <c r="AM293" i="10" s="1"/>
  <c r="AD219" i="10"/>
  <c r="AM219" i="10" s="1"/>
  <c r="N1217" i="19"/>
  <c r="P1217" i="19" s="1"/>
  <c r="Q1217" i="19" s="1"/>
  <c r="N1215" i="19"/>
  <c r="N1218" i="19"/>
  <c r="P1218" i="19" s="1"/>
  <c r="Q1218" i="19" s="1"/>
  <c r="N1216" i="19"/>
  <c r="P1216" i="19" s="1"/>
  <c r="Q1216" i="19" s="1"/>
  <c r="AD153" i="10"/>
  <c r="AM153" i="10" s="1"/>
  <c r="N1733" i="19"/>
  <c r="P1733" i="19" s="1"/>
  <c r="Q1733" i="19" s="1"/>
  <c r="N1730" i="19"/>
  <c r="N1732" i="19"/>
  <c r="P1732" i="19" s="1"/>
  <c r="Q1732" i="19" s="1"/>
  <c r="N1731" i="19"/>
  <c r="P1731" i="19" s="1"/>
  <c r="Q1731" i="19" s="1"/>
  <c r="N902" i="19"/>
  <c r="P902" i="19" s="1"/>
  <c r="Q902" i="19" s="1"/>
  <c r="N903" i="19"/>
  <c r="P903" i="19" s="1"/>
  <c r="Q903" i="19" s="1"/>
  <c r="N900" i="19"/>
  <c r="N901" i="19"/>
  <c r="N713" i="19"/>
  <c r="P713" i="19" s="1"/>
  <c r="Q713" i="19" s="1"/>
  <c r="N711" i="19"/>
  <c r="P711" i="19" s="1"/>
  <c r="Q711" i="19" s="1"/>
  <c r="N712" i="19"/>
  <c r="P712" i="19" s="1"/>
  <c r="Q712" i="19" s="1"/>
  <c r="N710" i="19"/>
  <c r="AD260" i="10"/>
  <c r="AM260" i="10" s="1"/>
  <c r="AD25" i="10"/>
  <c r="AM25" i="10" s="1"/>
  <c r="N1155" i="19"/>
  <c r="N1157" i="19"/>
  <c r="P1157" i="19" s="1"/>
  <c r="Q1157" i="19" s="1"/>
  <c r="N1156" i="19"/>
  <c r="P1156" i="19" s="1"/>
  <c r="Q1156" i="19" s="1"/>
  <c r="N1158" i="19"/>
  <c r="P1158" i="19" s="1"/>
  <c r="Q1158" i="19" s="1"/>
  <c r="AD131" i="10"/>
  <c r="AM131" i="10" s="1"/>
  <c r="N1762" i="19"/>
  <c r="P1762" i="19" s="1"/>
  <c r="Q1762" i="19" s="1"/>
  <c r="N1763" i="19"/>
  <c r="P1763" i="19" s="1"/>
  <c r="Q1763" i="19" s="1"/>
  <c r="N1761" i="19"/>
  <c r="P1761" i="19" s="1"/>
  <c r="Q1761" i="19" s="1"/>
  <c r="N1760" i="19"/>
  <c r="AD308" i="10"/>
  <c r="AM308" i="10" s="1"/>
  <c r="AD335" i="10"/>
  <c r="AM335" i="10" s="1"/>
  <c r="AD121" i="10"/>
  <c r="AM121" i="10" s="1"/>
  <c r="AD49" i="10"/>
  <c r="AM49" i="10" s="1"/>
  <c r="AD69" i="10"/>
  <c r="AM69" i="10" s="1"/>
  <c r="N1182" i="19"/>
  <c r="P1182" i="19" s="1"/>
  <c r="Q1182" i="19" s="1"/>
  <c r="N1181" i="19"/>
  <c r="N1180" i="19"/>
  <c r="N1183" i="19"/>
  <c r="P1183" i="19" s="1"/>
  <c r="Q1183" i="19" s="1"/>
  <c r="N505" i="19"/>
  <c r="N508" i="19"/>
  <c r="P508" i="19" s="1"/>
  <c r="Q508" i="19" s="1"/>
  <c r="N506" i="19"/>
  <c r="P506" i="19" s="1"/>
  <c r="Q506" i="19" s="1"/>
  <c r="N507" i="19"/>
  <c r="P507" i="19" s="1"/>
  <c r="Q507" i="19" s="1"/>
  <c r="N857" i="19"/>
  <c r="P857" i="19" s="1"/>
  <c r="Q857" i="19" s="1"/>
  <c r="N855" i="19"/>
  <c r="N856" i="19"/>
  <c r="P856" i="19" s="1"/>
  <c r="Q856" i="19" s="1"/>
  <c r="N858" i="19"/>
  <c r="P858" i="19" s="1"/>
  <c r="Q858" i="19" s="1"/>
  <c r="AD34" i="10"/>
  <c r="AM34" i="10" s="1"/>
  <c r="AD10" i="10"/>
  <c r="AM10" i="10" s="1"/>
  <c r="AD152" i="10"/>
  <c r="AM152" i="10" s="1"/>
  <c r="N343" i="19"/>
  <c r="P343" i="19" s="1"/>
  <c r="Q343" i="19" s="1"/>
  <c r="N341" i="19"/>
  <c r="P341" i="19" s="1"/>
  <c r="Q341" i="19" s="1"/>
  <c r="N342" i="19"/>
  <c r="P342" i="19" s="1"/>
  <c r="Q342" i="19" s="1"/>
  <c r="N340" i="19"/>
  <c r="AD324" i="10"/>
  <c r="AM324" i="10" s="1"/>
  <c r="AD165" i="10"/>
  <c r="AM165" i="10" s="1"/>
  <c r="AD145" i="10"/>
  <c r="AM145" i="10" s="1"/>
  <c r="N693" i="19"/>
  <c r="P693" i="19" s="1"/>
  <c r="Q693" i="19" s="1"/>
  <c r="N690" i="19"/>
  <c r="N691" i="19"/>
  <c r="P691" i="19" s="1"/>
  <c r="Q691" i="19" s="1"/>
  <c r="N692" i="19"/>
  <c r="P692" i="19" s="1"/>
  <c r="Q692" i="19" s="1"/>
  <c r="N1446" i="19"/>
  <c r="P1446" i="19" s="1"/>
  <c r="Q1446" i="19" s="1"/>
  <c r="N1448" i="19"/>
  <c r="P1448" i="19" s="1"/>
  <c r="Q1448" i="19" s="1"/>
  <c r="N1447" i="19"/>
  <c r="P1447" i="19" s="1"/>
  <c r="Q1447" i="19" s="1"/>
  <c r="N1445" i="19"/>
  <c r="N56" i="19"/>
  <c r="P56" i="19" s="1"/>
  <c r="Q56" i="19" s="1"/>
  <c r="N55" i="19"/>
  <c r="N58" i="19"/>
  <c r="P58" i="19" s="1"/>
  <c r="Q58" i="19" s="1"/>
  <c r="N57" i="19"/>
  <c r="P57" i="19" s="1"/>
  <c r="Q57" i="19" s="1"/>
  <c r="AD210" i="10"/>
  <c r="AM210" i="10" s="1"/>
  <c r="N1081" i="19"/>
  <c r="P1081" i="19" s="1"/>
  <c r="Q1081" i="19" s="1"/>
  <c r="N1082" i="19"/>
  <c r="P1082" i="19" s="1"/>
  <c r="Q1082" i="19" s="1"/>
  <c r="N1083" i="19"/>
  <c r="P1083" i="19" s="1"/>
  <c r="Q1083" i="19" s="1"/>
  <c r="N1080" i="19"/>
  <c r="AD158" i="10"/>
  <c r="AM158" i="10" s="1"/>
  <c r="N413" i="19"/>
  <c r="P413" i="19" s="1"/>
  <c r="Q413" i="19" s="1"/>
  <c r="N412" i="19"/>
  <c r="P412" i="19" s="1"/>
  <c r="Q412" i="19" s="1"/>
  <c r="N411" i="19"/>
  <c r="N410" i="19"/>
  <c r="AD151" i="10"/>
  <c r="AM151" i="10" s="1"/>
  <c r="N1621" i="19"/>
  <c r="P1621" i="19" s="1"/>
  <c r="Q1621" i="19" s="1"/>
  <c r="N1622" i="19"/>
  <c r="P1622" i="19" s="1"/>
  <c r="Q1622" i="19" s="1"/>
  <c r="N1620" i="19"/>
  <c r="N1623" i="19"/>
  <c r="P1623" i="19" s="1"/>
  <c r="Q1623" i="19" s="1"/>
  <c r="N133" i="19"/>
  <c r="P133" i="19" s="1"/>
  <c r="Q133" i="19" s="1"/>
  <c r="N130" i="19"/>
  <c r="N132" i="19"/>
  <c r="P132" i="19" s="1"/>
  <c r="Q132" i="19" s="1"/>
  <c r="N131" i="19"/>
  <c r="N1093" i="19"/>
  <c r="P1093" i="19" s="1"/>
  <c r="Q1093" i="19" s="1"/>
  <c r="N1092" i="19"/>
  <c r="P1092" i="19" s="1"/>
  <c r="Q1092" i="19" s="1"/>
  <c r="N1091" i="19"/>
  <c r="P1091" i="19" s="1"/>
  <c r="Q1091" i="19" s="1"/>
  <c r="N1090" i="19"/>
  <c r="M1494" i="19"/>
  <c r="AL303" i="10"/>
  <c r="AD50" i="10"/>
  <c r="AM50" i="10" s="1"/>
  <c r="N1283" i="19"/>
  <c r="P1283" i="19" s="1"/>
  <c r="Q1283" i="19" s="1"/>
  <c r="N1281" i="19"/>
  <c r="P1281" i="19" s="1"/>
  <c r="Q1281" i="19" s="1"/>
  <c r="N1280" i="19"/>
  <c r="N1282" i="19"/>
  <c r="P1282" i="19" s="1"/>
  <c r="Q1282" i="19" s="1"/>
  <c r="AD114" i="10"/>
  <c r="AM114" i="10" s="1"/>
  <c r="N1331" i="19"/>
  <c r="P1331" i="19" s="1"/>
  <c r="Q1331" i="19" s="1"/>
  <c r="N1333" i="19"/>
  <c r="P1333" i="19" s="1"/>
  <c r="Q1333" i="19" s="1"/>
  <c r="N1332" i="19"/>
  <c r="P1332" i="19" s="1"/>
  <c r="Q1332" i="19" s="1"/>
  <c r="N1330" i="19"/>
  <c r="AD321" i="10"/>
  <c r="AM321" i="10" s="1"/>
  <c r="AD155" i="10"/>
  <c r="AM155" i="10" s="1"/>
  <c r="AD228" i="10"/>
  <c r="AM228" i="10" s="1"/>
  <c r="AD273" i="10"/>
  <c r="AM273" i="10" s="1"/>
  <c r="N402" i="19"/>
  <c r="P402" i="19" s="1"/>
  <c r="Q402" i="19" s="1"/>
  <c r="N400" i="19"/>
  <c r="N403" i="19"/>
  <c r="P403" i="19" s="1"/>
  <c r="Q403" i="19" s="1"/>
  <c r="N401" i="19"/>
  <c r="AD61" i="10"/>
  <c r="AM61" i="10" s="1"/>
  <c r="N80" i="19"/>
  <c r="N82" i="19"/>
  <c r="P82" i="19" s="1"/>
  <c r="Q82" i="19" s="1"/>
  <c r="N81" i="19"/>
  <c r="N83" i="19"/>
  <c r="P83" i="19" s="1"/>
  <c r="Q83" i="19" s="1"/>
  <c r="N606" i="19"/>
  <c r="N608" i="19"/>
  <c r="P608" i="19" s="1"/>
  <c r="Q608" i="19" s="1"/>
  <c r="N605" i="19"/>
  <c r="N607" i="19"/>
  <c r="P607" i="19" s="1"/>
  <c r="Q607" i="19" s="1"/>
  <c r="AD149" i="10"/>
  <c r="AM149" i="10" s="1"/>
  <c r="AD60" i="10"/>
  <c r="AM60" i="10" s="1"/>
  <c r="N1410" i="19"/>
  <c r="N1412" i="19"/>
  <c r="P1412" i="19" s="1"/>
  <c r="Q1412" i="19" s="1"/>
  <c r="N1411" i="19"/>
  <c r="P1411" i="19" s="1"/>
  <c r="Q1411" i="19" s="1"/>
  <c r="N1413" i="19"/>
  <c r="P1413" i="19" s="1"/>
  <c r="Q1413" i="19" s="1"/>
  <c r="AD212" i="10"/>
  <c r="AM212" i="10" s="1"/>
  <c r="AD81" i="10"/>
  <c r="AM81" i="10" s="1"/>
  <c r="AD135" i="10"/>
  <c r="AM135" i="10" s="1"/>
  <c r="N287" i="19"/>
  <c r="P287" i="19" s="1"/>
  <c r="Q287" i="19" s="1"/>
  <c r="N286" i="19"/>
  <c r="P286" i="19" s="1"/>
  <c r="Q286" i="19" s="1"/>
  <c r="N288" i="19"/>
  <c r="P288" i="19" s="1"/>
  <c r="Q288" i="19" s="1"/>
  <c r="N285" i="19"/>
  <c r="AD299" i="10"/>
  <c r="AM299" i="10" s="1"/>
  <c r="AD305" i="10"/>
  <c r="AM305" i="10" s="1"/>
  <c r="N250" i="19"/>
  <c r="N251" i="19"/>
  <c r="P251" i="19" s="1"/>
  <c r="Q251" i="19" s="1"/>
  <c r="N252" i="19"/>
  <c r="P252" i="19" s="1"/>
  <c r="Q252" i="19" s="1"/>
  <c r="N253" i="19"/>
  <c r="P253" i="19" s="1"/>
  <c r="Q253" i="19" s="1"/>
  <c r="AD240" i="10"/>
  <c r="AM240" i="10" s="1"/>
  <c r="N53" i="19"/>
  <c r="P53" i="19" s="1"/>
  <c r="Q53" i="19" s="1"/>
  <c r="N52" i="19"/>
  <c r="P52" i="19" s="1"/>
  <c r="Q52" i="19" s="1"/>
  <c r="N50" i="19"/>
  <c r="N51" i="19"/>
  <c r="AD345" i="10"/>
  <c r="AM345" i="10" s="1"/>
  <c r="AD175" i="10"/>
  <c r="AM175" i="10" s="1"/>
  <c r="N256" i="19"/>
  <c r="P256" i="19" s="1"/>
  <c r="Q256" i="19" s="1"/>
  <c r="N257" i="19"/>
  <c r="P257" i="19" s="1"/>
  <c r="Q257" i="19" s="1"/>
  <c r="N258" i="19"/>
  <c r="P258" i="19" s="1"/>
  <c r="Q258" i="19" s="1"/>
  <c r="N255" i="19"/>
  <c r="AD194" i="10"/>
  <c r="AM194" i="10" s="1"/>
  <c r="AD98" i="10"/>
  <c r="AM98" i="10" s="1"/>
  <c r="N936" i="19"/>
  <c r="P936" i="19" s="1"/>
  <c r="Q936" i="19" s="1"/>
  <c r="N937" i="19"/>
  <c r="P937" i="19" s="1"/>
  <c r="Q937" i="19" s="1"/>
  <c r="N935" i="19"/>
  <c r="N938" i="19"/>
  <c r="P938" i="19" s="1"/>
  <c r="Q938" i="19" s="1"/>
  <c r="N998" i="19"/>
  <c r="P998" i="19" s="1"/>
  <c r="Q998" i="19" s="1"/>
  <c r="N997" i="19"/>
  <c r="P997" i="19" s="1"/>
  <c r="Q997" i="19" s="1"/>
  <c r="N995" i="19"/>
  <c r="N996" i="19"/>
  <c r="P996" i="19" s="1"/>
  <c r="Q996" i="19" s="1"/>
  <c r="AD130" i="10"/>
  <c r="AM130" i="10" s="1"/>
  <c r="AD94" i="10"/>
  <c r="AM94" i="10" s="1"/>
  <c r="N892" i="19"/>
  <c r="P892" i="19" s="1"/>
  <c r="Q892" i="19" s="1"/>
  <c r="N891" i="19"/>
  <c r="P891" i="19" s="1"/>
  <c r="Q891" i="19" s="1"/>
  <c r="N893" i="19"/>
  <c r="P893" i="19" s="1"/>
  <c r="Q893" i="19" s="1"/>
  <c r="N890" i="19"/>
  <c r="AD355" i="10"/>
  <c r="AM355" i="10" s="1"/>
  <c r="N1397" i="19"/>
  <c r="P1397" i="19" s="1"/>
  <c r="Q1397" i="19" s="1"/>
  <c r="N1395" i="19"/>
  <c r="N1398" i="19"/>
  <c r="P1398" i="19" s="1"/>
  <c r="Q1398" i="19" s="1"/>
  <c r="N1396" i="19"/>
  <c r="P1396" i="19" s="1"/>
  <c r="Q1396" i="19" s="1"/>
  <c r="N1302" i="19"/>
  <c r="P1302" i="19" s="1"/>
  <c r="Q1302" i="19" s="1"/>
  <c r="N1301" i="19"/>
  <c r="P1301" i="19" s="1"/>
  <c r="Q1301" i="19" s="1"/>
  <c r="N1300" i="19"/>
  <c r="N1303" i="19"/>
  <c r="P1303" i="19" s="1"/>
  <c r="Q1303" i="19" s="1"/>
  <c r="AD38" i="10"/>
  <c r="AM38" i="10" s="1"/>
  <c r="AD207" i="10"/>
  <c r="AM207" i="10" s="1"/>
  <c r="N976" i="19"/>
  <c r="P976" i="19" s="1"/>
  <c r="Q976" i="19" s="1"/>
  <c r="N977" i="19"/>
  <c r="P977" i="19" s="1"/>
  <c r="Q977" i="19" s="1"/>
  <c r="N978" i="19"/>
  <c r="P978" i="19" s="1"/>
  <c r="Q978" i="19" s="1"/>
  <c r="N975" i="19"/>
  <c r="AD306" i="10"/>
  <c r="AM306" i="10" s="1"/>
  <c r="AD97" i="10"/>
  <c r="AM97" i="10" s="1"/>
  <c r="AD248" i="10"/>
  <c r="AM248" i="10" s="1"/>
  <c r="AD74" i="10"/>
  <c r="AM74" i="10" s="1"/>
  <c r="AD185" i="10"/>
  <c r="AM185" i="10" s="1"/>
  <c r="AD344" i="10"/>
  <c r="AM344" i="10" s="1"/>
  <c r="AD233" i="10"/>
  <c r="AM233" i="10" s="1"/>
  <c r="AD86" i="10"/>
  <c r="AM86" i="10" s="1"/>
  <c r="N668" i="19"/>
  <c r="P668" i="19" s="1"/>
  <c r="Q668" i="19" s="1"/>
  <c r="N665" i="19"/>
  <c r="N666" i="19"/>
  <c r="P666" i="19" s="1"/>
  <c r="Q666" i="19" s="1"/>
  <c r="N667" i="19"/>
  <c r="P667" i="19" s="1"/>
  <c r="Q667" i="19" s="1"/>
  <c r="AD236" i="10"/>
  <c r="AM236" i="10" s="1"/>
  <c r="N195" i="19"/>
  <c r="N196" i="19"/>
  <c r="N197" i="19"/>
  <c r="P197" i="19" s="1"/>
  <c r="Q197" i="19" s="1"/>
  <c r="N198" i="19"/>
  <c r="P198" i="19" s="1"/>
  <c r="Q198" i="19" s="1"/>
  <c r="N551" i="19"/>
  <c r="P551" i="19" s="1"/>
  <c r="Q551" i="19" s="1"/>
  <c r="N552" i="19"/>
  <c r="P552" i="19" s="1"/>
  <c r="Q552" i="19" s="1"/>
  <c r="N550" i="19"/>
  <c r="N553" i="19"/>
  <c r="P553" i="19" s="1"/>
  <c r="Q553" i="19" s="1"/>
  <c r="N421" i="19"/>
  <c r="P421" i="19" s="1"/>
  <c r="Q421" i="19" s="1"/>
  <c r="N423" i="19"/>
  <c r="P423" i="19" s="1"/>
  <c r="Q423" i="19" s="1"/>
  <c r="N420" i="19"/>
  <c r="N422" i="19"/>
  <c r="P422" i="19" s="1"/>
  <c r="Q422" i="19" s="1"/>
  <c r="N756" i="19"/>
  <c r="P756" i="19" s="1"/>
  <c r="Q756" i="19" s="1"/>
  <c r="N758" i="19"/>
  <c r="P758" i="19" s="1"/>
  <c r="Q758" i="19" s="1"/>
  <c r="N757" i="19"/>
  <c r="P757" i="19" s="1"/>
  <c r="Q757" i="19" s="1"/>
  <c r="N755" i="19"/>
  <c r="AD241" i="10"/>
  <c r="AM241" i="10" s="1"/>
  <c r="N1371" i="19"/>
  <c r="P1371" i="19" s="1"/>
  <c r="Q1371" i="19" s="1"/>
  <c r="N1372" i="19"/>
  <c r="P1372" i="19" s="1"/>
  <c r="Q1372" i="19" s="1"/>
  <c r="N1373" i="19"/>
  <c r="P1373" i="19" s="1"/>
  <c r="Q1373" i="19" s="1"/>
  <c r="N1370" i="19"/>
  <c r="N885" i="19"/>
  <c r="N886" i="19"/>
  <c r="P886" i="19" s="1"/>
  <c r="Q886" i="19" s="1"/>
  <c r="N888" i="19"/>
  <c r="P888" i="19" s="1"/>
  <c r="Q888" i="19" s="1"/>
  <c r="N887" i="19"/>
  <c r="P887" i="19" s="1"/>
  <c r="Q887" i="19" s="1"/>
  <c r="N27" i="19"/>
  <c r="N28" i="19"/>
  <c r="P28" i="19" s="1"/>
  <c r="Q28" i="19" s="1"/>
  <c r="N26" i="19"/>
  <c r="N25" i="19"/>
  <c r="N735" i="19"/>
  <c r="N737" i="19"/>
  <c r="P737" i="19" s="1"/>
  <c r="Q737" i="19" s="1"/>
  <c r="N738" i="19"/>
  <c r="P738" i="19" s="1"/>
  <c r="Q738" i="19" s="1"/>
  <c r="N736" i="19"/>
  <c r="P736" i="19" s="1"/>
  <c r="Q736" i="19" s="1"/>
  <c r="N1595" i="19"/>
  <c r="N1597" i="19"/>
  <c r="P1597" i="19" s="1"/>
  <c r="Q1597" i="19" s="1"/>
  <c r="N1596" i="19"/>
  <c r="P1596" i="19" s="1"/>
  <c r="Q1596" i="19" s="1"/>
  <c r="N1598" i="19"/>
  <c r="P1598" i="19" s="1"/>
  <c r="Q1598" i="19" s="1"/>
  <c r="N427" i="19"/>
  <c r="P427" i="19" s="1"/>
  <c r="Q427" i="19" s="1"/>
  <c r="N425" i="19"/>
  <c r="N426" i="19"/>
  <c r="N428" i="19"/>
  <c r="P428" i="19" s="1"/>
  <c r="Q428" i="19" s="1"/>
  <c r="N963" i="19"/>
  <c r="P963" i="19" s="1"/>
  <c r="Q963" i="19" s="1"/>
  <c r="N960" i="19"/>
  <c r="N962" i="19"/>
  <c r="P962" i="19" s="1"/>
  <c r="Q962" i="19" s="1"/>
  <c r="N961" i="19"/>
  <c r="P961" i="19" s="1"/>
  <c r="Q961" i="19" s="1"/>
  <c r="AD58" i="10"/>
  <c r="AM58" i="10" s="1"/>
  <c r="AD136" i="10"/>
  <c r="AM136" i="10" s="1"/>
  <c r="N1352" i="19"/>
  <c r="P1352" i="19" s="1"/>
  <c r="Q1352" i="19" s="1"/>
  <c r="N1350" i="19"/>
  <c r="N1353" i="19"/>
  <c r="P1353" i="19" s="1"/>
  <c r="Q1353" i="19" s="1"/>
  <c r="N1351" i="19"/>
  <c r="P1351" i="19" s="1"/>
  <c r="Q1351" i="19" s="1"/>
  <c r="AD166" i="10"/>
  <c r="AM166" i="10" s="1"/>
  <c r="N1248" i="19"/>
  <c r="P1248" i="19" s="1"/>
  <c r="Q1248" i="19" s="1"/>
  <c r="N1246" i="19"/>
  <c r="P1246" i="19" s="1"/>
  <c r="Q1246" i="19" s="1"/>
  <c r="N1245" i="19"/>
  <c r="N1247" i="19"/>
  <c r="P1247" i="19" s="1"/>
  <c r="Q1247" i="19" s="1"/>
  <c r="AD298" i="10"/>
  <c r="AM298" i="10" s="1"/>
  <c r="AD103" i="10"/>
  <c r="AM103" i="10" s="1"/>
  <c r="N1078" i="19"/>
  <c r="P1078" i="19" s="1"/>
  <c r="Q1078" i="19" s="1"/>
  <c r="N1075" i="19"/>
  <c r="N1076" i="19"/>
  <c r="P1076" i="19" s="1"/>
  <c r="Q1076" i="19" s="1"/>
  <c r="N1077" i="19"/>
  <c r="P1077" i="19" s="1"/>
  <c r="Q1077" i="19" s="1"/>
  <c r="AD99" i="10"/>
  <c r="AM99" i="10" s="1"/>
  <c r="AD53" i="10"/>
  <c r="AM53" i="10" s="1"/>
  <c r="AD261" i="10"/>
  <c r="AM261" i="10" s="1"/>
  <c r="AD271" i="10"/>
  <c r="AM271" i="10" s="1"/>
  <c r="N365" i="19"/>
  <c r="N366" i="19"/>
  <c r="N367" i="19"/>
  <c r="P367" i="19" s="1"/>
  <c r="Q367" i="19" s="1"/>
  <c r="N368" i="19"/>
  <c r="P368" i="19" s="1"/>
  <c r="Q368" i="19" s="1"/>
  <c r="N753" i="19"/>
  <c r="P753" i="19" s="1"/>
  <c r="Q753" i="19" s="1"/>
  <c r="N751" i="19"/>
  <c r="P751" i="19" s="1"/>
  <c r="Q751" i="19" s="1"/>
  <c r="N750" i="19"/>
  <c r="N752" i="19"/>
  <c r="P752" i="19" s="1"/>
  <c r="Q752" i="19" s="1"/>
  <c r="N1341" i="19"/>
  <c r="P1341" i="19" s="1"/>
  <c r="Q1341" i="19" s="1"/>
  <c r="N1340" i="19"/>
  <c r="N1343" i="19"/>
  <c r="P1343" i="19" s="1"/>
  <c r="Q1343" i="19" s="1"/>
  <c r="N1342" i="19"/>
  <c r="P1342" i="19" s="1"/>
  <c r="Q1342" i="19" s="1"/>
  <c r="AD85" i="10"/>
  <c r="AM85" i="10" s="1"/>
  <c r="AD249" i="10"/>
  <c r="AM249" i="10" s="1"/>
  <c r="AD300" i="10"/>
  <c r="AM300" i="10" s="1"/>
  <c r="AD217" i="10"/>
  <c r="AM217" i="10" s="1"/>
  <c r="N416" i="19"/>
  <c r="P416" i="19" s="1"/>
  <c r="Q416" i="19" s="1"/>
  <c r="N417" i="19"/>
  <c r="P417" i="19" s="1"/>
  <c r="Q417" i="19" s="1"/>
  <c r="N418" i="19"/>
  <c r="P418" i="19" s="1"/>
  <c r="Q418" i="19" s="1"/>
  <c r="N415" i="19"/>
  <c r="N720" i="19"/>
  <c r="N721" i="19"/>
  <c r="P721" i="19" s="1"/>
  <c r="Q721" i="19" s="1"/>
  <c r="N723" i="19"/>
  <c r="P723" i="19" s="1"/>
  <c r="Q723" i="19" s="1"/>
  <c r="N722" i="19"/>
  <c r="P722" i="19" s="1"/>
  <c r="Q722" i="19" s="1"/>
  <c r="N1036" i="19"/>
  <c r="N1038" i="19"/>
  <c r="N1035" i="19"/>
  <c r="N1037" i="19"/>
  <c r="AD247" i="10"/>
  <c r="AM247" i="10" s="1"/>
  <c r="AD62" i="10"/>
  <c r="AM62" i="10" s="1"/>
  <c r="AD79" i="10"/>
  <c r="AM79" i="10" s="1"/>
  <c r="N192" i="19"/>
  <c r="P192" i="19" s="1"/>
  <c r="Q192" i="19" s="1"/>
  <c r="N193" i="19"/>
  <c r="P193" i="19" s="1"/>
  <c r="Q193" i="19" s="1"/>
  <c r="N190" i="19"/>
  <c r="N191" i="19"/>
  <c r="N1501" i="19"/>
  <c r="P1501" i="19" s="1"/>
  <c r="Q1501" i="19" s="1"/>
  <c r="N1500" i="19"/>
  <c r="N1503" i="19"/>
  <c r="P1503" i="19" s="1"/>
  <c r="Q1503" i="19" s="1"/>
  <c r="N1502" i="19"/>
  <c r="P1502" i="19" s="1"/>
  <c r="Q1502" i="19" s="1"/>
  <c r="N1018" i="19"/>
  <c r="P1018" i="19" s="1"/>
  <c r="Q1018" i="19" s="1"/>
  <c r="N1016" i="19"/>
  <c r="P1016" i="19" s="1"/>
  <c r="Q1016" i="19" s="1"/>
  <c r="N1015" i="19"/>
  <c r="N1017" i="19"/>
  <c r="P1017" i="19" s="1"/>
  <c r="Q1017" i="19" s="1"/>
  <c r="N230" i="19"/>
  <c r="N231" i="19"/>
  <c r="P231" i="19" s="1"/>
  <c r="Q231" i="19" s="1"/>
  <c r="N233" i="19"/>
  <c r="P233" i="19" s="1"/>
  <c r="Q233" i="19" s="1"/>
  <c r="N232" i="19"/>
  <c r="P232" i="19" s="1"/>
  <c r="Q232" i="19" s="1"/>
  <c r="AD226" i="10"/>
  <c r="AM226" i="10" s="1"/>
  <c r="AD144" i="10"/>
  <c r="AM144" i="10" s="1"/>
  <c r="N1236" i="19"/>
  <c r="P1236" i="19" s="1"/>
  <c r="Q1236" i="19" s="1"/>
  <c r="N1238" i="19"/>
  <c r="P1238" i="19" s="1"/>
  <c r="Q1238" i="19" s="1"/>
  <c r="N1237" i="19"/>
  <c r="P1237" i="19" s="1"/>
  <c r="Q1237" i="19" s="1"/>
  <c r="N1235" i="19"/>
  <c r="AD56" i="10"/>
  <c r="AM56" i="10" s="1"/>
  <c r="AD13" i="10"/>
  <c r="AM13" i="10" s="1"/>
  <c r="N1748" i="19"/>
  <c r="P1748" i="19" s="1"/>
  <c r="Q1748" i="19" s="1"/>
  <c r="N1745" i="19"/>
  <c r="N1746" i="19"/>
  <c r="P1746" i="19" s="1"/>
  <c r="Q1746" i="19" s="1"/>
  <c r="N1747" i="19"/>
  <c r="P1747" i="19" s="1"/>
  <c r="Q1747" i="19" s="1"/>
  <c r="N625" i="19"/>
  <c r="N628" i="19"/>
  <c r="P628" i="19" s="1"/>
  <c r="Q628" i="19" s="1"/>
  <c r="N627" i="19"/>
  <c r="P627" i="19" s="1"/>
  <c r="Q627" i="19" s="1"/>
  <c r="N626" i="19"/>
  <c r="P626" i="19" s="1"/>
  <c r="Q626" i="19" s="1"/>
  <c r="N1586" i="19"/>
  <c r="P1586" i="19" s="1"/>
  <c r="Q1586" i="19" s="1"/>
  <c r="N1587" i="19"/>
  <c r="P1587" i="19" s="1"/>
  <c r="Q1587" i="19" s="1"/>
  <c r="N1588" i="19"/>
  <c r="P1588" i="19" s="1"/>
  <c r="Q1588" i="19" s="1"/>
  <c r="N1585" i="19"/>
  <c r="AD171" i="10"/>
  <c r="AM171" i="10" s="1"/>
  <c r="AD288" i="10"/>
  <c r="AM288" i="10" s="1"/>
  <c r="AD265" i="10"/>
  <c r="AM265" i="10" s="1"/>
  <c r="N993" i="19"/>
  <c r="P993" i="19" s="1"/>
  <c r="Q993" i="19" s="1"/>
  <c r="N992" i="19"/>
  <c r="P992" i="19" s="1"/>
  <c r="Q992" i="19" s="1"/>
  <c r="N991" i="19"/>
  <c r="P991" i="19" s="1"/>
  <c r="Q991" i="19" s="1"/>
  <c r="N990" i="19"/>
  <c r="N598" i="19"/>
  <c r="P598" i="19" s="1"/>
  <c r="Q598" i="19" s="1"/>
  <c r="N597" i="19"/>
  <c r="P597" i="19" s="1"/>
  <c r="Q597" i="19" s="1"/>
  <c r="N596" i="19"/>
  <c r="N595" i="19"/>
  <c r="AD128" i="10"/>
  <c r="AM128" i="10" s="1"/>
  <c r="N1711" i="19"/>
  <c r="P1711" i="19" s="1"/>
  <c r="Q1711" i="19" s="1"/>
  <c r="N1713" i="19"/>
  <c r="P1713" i="19" s="1"/>
  <c r="Q1713" i="19" s="1"/>
  <c r="N1712" i="19"/>
  <c r="P1712" i="19" s="1"/>
  <c r="Q1712" i="19" s="1"/>
  <c r="N1710" i="19"/>
  <c r="N136" i="19"/>
  <c r="P136" i="19" s="1"/>
  <c r="Q136" i="19" s="1"/>
  <c r="N135" i="19"/>
  <c r="N137" i="19"/>
  <c r="P137" i="19" s="1"/>
  <c r="Q137" i="19" s="1"/>
  <c r="N138" i="19"/>
  <c r="P138" i="19" s="1"/>
  <c r="Q138" i="19" s="1"/>
  <c r="N1627" i="19"/>
  <c r="P1627" i="19" s="1"/>
  <c r="Q1627" i="19" s="1"/>
  <c r="N1628" i="19"/>
  <c r="P1628" i="19" s="1"/>
  <c r="Q1628" i="19" s="1"/>
  <c r="N1626" i="19"/>
  <c r="P1626" i="19" s="1"/>
  <c r="Q1626" i="19" s="1"/>
  <c r="N1625" i="19"/>
  <c r="N1388" i="19"/>
  <c r="P1388" i="19" s="1"/>
  <c r="Q1388" i="19" s="1"/>
  <c r="N1387" i="19"/>
  <c r="P1387" i="19" s="1"/>
  <c r="Q1387" i="19" s="1"/>
  <c r="N1386" i="19"/>
  <c r="P1386" i="19" s="1"/>
  <c r="Q1386" i="19" s="1"/>
  <c r="N1385" i="19"/>
  <c r="N1072" i="19"/>
  <c r="P1072" i="19" s="1"/>
  <c r="Q1072" i="19" s="1"/>
  <c r="N1073" i="19"/>
  <c r="P1073" i="19" s="1"/>
  <c r="Q1073" i="19" s="1"/>
  <c r="N1071" i="19"/>
  <c r="N1070" i="19"/>
  <c r="AD200" i="10"/>
  <c r="AM200" i="10" s="1"/>
  <c r="N460" i="19"/>
  <c r="N463" i="19"/>
  <c r="P463" i="19" s="1"/>
  <c r="Q463" i="19" s="1"/>
  <c r="N462" i="19"/>
  <c r="P462" i="19" s="1"/>
  <c r="Q462" i="19" s="1"/>
  <c r="N461" i="19"/>
  <c r="N743" i="19"/>
  <c r="P743" i="19" s="1"/>
  <c r="Q743" i="19" s="1"/>
  <c r="N741" i="19"/>
  <c r="P741" i="19" s="1"/>
  <c r="Q741" i="19" s="1"/>
  <c r="N740" i="19"/>
  <c r="N742" i="19"/>
  <c r="P742" i="19" s="1"/>
  <c r="Q742" i="19" s="1"/>
  <c r="N346" i="19"/>
  <c r="N348" i="19"/>
  <c r="P348" i="19" s="1"/>
  <c r="Q348" i="19" s="1"/>
  <c r="N345" i="19"/>
  <c r="N347" i="19"/>
  <c r="P347" i="19" s="1"/>
  <c r="Q347" i="19" s="1"/>
  <c r="N726" i="19"/>
  <c r="P726" i="19" s="1"/>
  <c r="Q726" i="19" s="1"/>
  <c r="N728" i="19"/>
  <c r="P728" i="19" s="1"/>
  <c r="Q728" i="19" s="1"/>
  <c r="N727" i="19"/>
  <c r="P727" i="19" s="1"/>
  <c r="Q727" i="19" s="1"/>
  <c r="N725" i="19"/>
  <c r="N1696" i="19"/>
  <c r="P1696" i="19" s="1"/>
  <c r="Q1696" i="19" s="1"/>
  <c r="N1695" i="19"/>
  <c r="N1697" i="19"/>
  <c r="P1697" i="19" s="1"/>
  <c r="Q1697" i="19" s="1"/>
  <c r="N1698" i="19"/>
  <c r="P1698" i="19" s="1"/>
  <c r="Q1698" i="19" s="1"/>
  <c r="N1143" i="19"/>
  <c r="P1143" i="19" s="1"/>
  <c r="Q1143" i="19" s="1"/>
  <c r="N1142" i="19"/>
  <c r="P1142" i="19" s="1"/>
  <c r="Q1142" i="19" s="1"/>
  <c r="N1140" i="19"/>
  <c r="N1141" i="19"/>
  <c r="P1141" i="19" s="1"/>
  <c r="Q1141" i="19" s="1"/>
  <c r="N408" i="19"/>
  <c r="P408" i="19" s="1"/>
  <c r="Q408" i="19" s="1"/>
  <c r="N407" i="19"/>
  <c r="P407" i="19" s="1"/>
  <c r="Q407" i="19" s="1"/>
  <c r="N406" i="19"/>
  <c r="P406" i="19" s="1"/>
  <c r="Q406" i="19" s="1"/>
  <c r="N405" i="19"/>
  <c r="AD77" i="10"/>
  <c r="AM77" i="10" s="1"/>
  <c r="N633" i="19"/>
  <c r="P633" i="19" s="1"/>
  <c r="Q633" i="19" s="1"/>
  <c r="N631" i="19"/>
  <c r="P631" i="19" s="1"/>
  <c r="Q631" i="19" s="1"/>
  <c r="N632" i="19"/>
  <c r="P632" i="19" s="1"/>
  <c r="Q632" i="19" s="1"/>
  <c r="N630" i="19"/>
  <c r="AD44" i="10"/>
  <c r="AM44" i="10" s="1"/>
  <c r="AD115" i="10"/>
  <c r="AM115" i="10" s="1"/>
  <c r="N916" i="19"/>
  <c r="P916" i="19" s="1"/>
  <c r="Q916" i="19" s="1"/>
  <c r="N918" i="19"/>
  <c r="P918" i="19" s="1"/>
  <c r="Q918" i="19" s="1"/>
  <c r="N915" i="19"/>
  <c r="N917" i="19"/>
  <c r="P917" i="19" s="1"/>
  <c r="Q917" i="19" s="1"/>
  <c r="N1486" i="19"/>
  <c r="P1486" i="19" s="1"/>
  <c r="Q1486" i="19" s="1"/>
  <c r="N1485" i="19"/>
  <c r="N1487" i="19"/>
  <c r="P1487" i="19" s="1"/>
  <c r="Q1487" i="19" s="1"/>
  <c r="N1488" i="19"/>
  <c r="P1488" i="19" s="1"/>
  <c r="Q1488" i="19" s="1"/>
  <c r="N1650" i="19"/>
  <c r="N1652" i="19"/>
  <c r="P1652" i="19" s="1"/>
  <c r="Q1652" i="19" s="1"/>
  <c r="N1653" i="19"/>
  <c r="P1653" i="19" s="1"/>
  <c r="Q1653" i="19" s="1"/>
  <c r="N1651" i="19"/>
  <c r="P1651" i="19" s="1"/>
  <c r="Q1651" i="19" s="1"/>
  <c r="N1323" i="19"/>
  <c r="P1323" i="19" s="1"/>
  <c r="Q1323" i="19" s="1"/>
  <c r="N1320" i="19"/>
  <c r="N1322" i="19"/>
  <c r="P1322" i="19" s="1"/>
  <c r="Q1322" i="19" s="1"/>
  <c r="N1321" i="19"/>
  <c r="P1321" i="19" s="1"/>
  <c r="Q1321" i="19" s="1"/>
  <c r="N220" i="19"/>
  <c r="N222" i="19"/>
  <c r="P222" i="19" s="1"/>
  <c r="Q222" i="19" s="1"/>
  <c r="N221" i="19"/>
  <c r="N223" i="19"/>
  <c r="P223" i="19" s="1"/>
  <c r="Q223" i="19" s="1"/>
  <c r="N163" i="19"/>
  <c r="P163" i="19" s="1"/>
  <c r="Q163" i="19" s="1"/>
  <c r="N162" i="19"/>
  <c r="P162" i="19" s="1"/>
  <c r="Q162" i="19" s="1"/>
  <c r="N160" i="19"/>
  <c r="N161" i="19"/>
  <c r="P161" i="19" s="1"/>
  <c r="Q161" i="19" s="1"/>
  <c r="AD106" i="10"/>
  <c r="AM106" i="10" s="1"/>
  <c r="N1430" i="19"/>
  <c r="N1433" i="19"/>
  <c r="P1433" i="19" s="1"/>
  <c r="Q1433" i="19" s="1"/>
  <c r="N1432" i="19"/>
  <c r="P1432" i="19" s="1"/>
  <c r="Q1432" i="19" s="1"/>
  <c r="N1431" i="19"/>
  <c r="P1431" i="19" s="1"/>
  <c r="Q1431" i="19" s="1"/>
  <c r="AD82" i="10"/>
  <c r="AM82" i="10" s="1"/>
  <c r="N146" i="19"/>
  <c r="N147" i="19"/>
  <c r="N145" i="19"/>
  <c r="N148" i="19"/>
  <c r="P148" i="19" s="1"/>
  <c r="Q148" i="19" s="1"/>
  <c r="AD182" i="10"/>
  <c r="AM182" i="10" s="1"/>
  <c r="AD36" i="10"/>
  <c r="AM36" i="10" s="1"/>
  <c r="N1185" i="19"/>
  <c r="N1186" i="19"/>
  <c r="P1186" i="19" s="1"/>
  <c r="Q1186" i="19" s="1"/>
  <c r="N1188" i="19"/>
  <c r="P1188" i="19" s="1"/>
  <c r="Q1188" i="19" s="1"/>
  <c r="N1187" i="19"/>
  <c r="P1187" i="19" s="1"/>
  <c r="Q1187" i="19" s="1"/>
  <c r="AD90" i="10"/>
  <c r="AM90" i="10" s="1"/>
  <c r="AD173" i="10"/>
  <c r="AM173" i="10" s="1"/>
  <c r="AD311" i="10"/>
  <c r="AM311" i="10" s="1"/>
  <c r="AD227" i="10"/>
  <c r="AM227" i="10" s="1"/>
  <c r="N302" i="19"/>
  <c r="P302" i="19" s="1"/>
  <c r="Q302" i="19" s="1"/>
  <c r="N303" i="19"/>
  <c r="P303" i="19" s="1"/>
  <c r="Q303" i="19" s="1"/>
  <c r="N301" i="19"/>
  <c r="P301" i="19" s="1"/>
  <c r="Q301" i="19" s="1"/>
  <c r="N300" i="19"/>
  <c r="AD195" i="10"/>
  <c r="AM195" i="10" s="1"/>
  <c r="N1530" i="19"/>
  <c r="N1531" i="19"/>
  <c r="P1531" i="19" s="1"/>
  <c r="Q1531" i="19" s="1"/>
  <c r="N1532" i="19"/>
  <c r="P1532" i="19" s="1"/>
  <c r="Q1532" i="19" s="1"/>
  <c r="N1533" i="19"/>
  <c r="P1533" i="19" s="1"/>
  <c r="Q1533" i="19" s="1"/>
  <c r="AD172" i="10"/>
  <c r="AM172" i="10" s="1"/>
  <c r="N268" i="19"/>
  <c r="P268" i="19" s="1"/>
  <c r="Q268" i="19" s="1"/>
  <c r="N266" i="19"/>
  <c r="P266" i="19" s="1"/>
  <c r="Q266" i="19" s="1"/>
  <c r="N265" i="19"/>
  <c r="N267" i="19"/>
  <c r="P267" i="19" s="1"/>
  <c r="Q267" i="19" s="1"/>
  <c r="AD257" i="10"/>
  <c r="AM257" i="10" s="1"/>
  <c r="N1025" i="19"/>
  <c r="N1028" i="19"/>
  <c r="P1028" i="19" s="1"/>
  <c r="Q1028" i="19" s="1"/>
  <c r="N1026" i="19"/>
  <c r="P1026" i="19" s="1"/>
  <c r="Q1026" i="19" s="1"/>
  <c r="N1027" i="19"/>
  <c r="P1027" i="19" s="1"/>
  <c r="Q1027" i="19" s="1"/>
  <c r="N806" i="19"/>
  <c r="P806" i="19" s="1"/>
  <c r="Q806" i="19" s="1"/>
  <c r="N808" i="19"/>
  <c r="P808" i="19" s="1"/>
  <c r="Q808" i="19" s="1"/>
  <c r="N807" i="19"/>
  <c r="P807" i="19" s="1"/>
  <c r="Q807" i="19" s="1"/>
  <c r="N805" i="19"/>
  <c r="N767" i="19"/>
  <c r="P767" i="19" s="1"/>
  <c r="Q767" i="19" s="1"/>
  <c r="N768" i="19"/>
  <c r="P768" i="19" s="1"/>
  <c r="Q768" i="19" s="1"/>
  <c r="N766" i="19"/>
  <c r="P766" i="19" s="1"/>
  <c r="Q766" i="19" s="1"/>
  <c r="N765" i="19"/>
  <c r="AD254" i="10"/>
  <c r="AM254" i="10" s="1"/>
  <c r="N733" i="19"/>
  <c r="P733" i="19" s="1"/>
  <c r="Q733" i="19" s="1"/>
  <c r="N732" i="19"/>
  <c r="P732" i="19" s="1"/>
  <c r="Q732" i="19" s="1"/>
  <c r="N730" i="19"/>
  <c r="N731" i="19"/>
  <c r="P731" i="19" s="1"/>
  <c r="Q731" i="19" s="1"/>
  <c r="AD353" i="10"/>
  <c r="AM353" i="10" s="1"/>
  <c r="AD244" i="10"/>
  <c r="AM244" i="10" s="1"/>
  <c r="AD9" i="10"/>
  <c r="AM9" i="10" s="1"/>
  <c r="N471" i="19"/>
  <c r="P471" i="19" s="1"/>
  <c r="Q471" i="19" s="1"/>
  <c r="N472" i="19"/>
  <c r="P472" i="19" s="1"/>
  <c r="Q472" i="19" s="1"/>
  <c r="N473" i="19"/>
  <c r="P473" i="19" s="1"/>
  <c r="Q473" i="19" s="1"/>
  <c r="N470" i="19"/>
  <c r="AD105" i="10"/>
  <c r="AM105" i="10" s="1"/>
  <c r="N548" i="19"/>
  <c r="P548" i="19" s="1"/>
  <c r="Q548" i="19" s="1"/>
  <c r="N547" i="19"/>
  <c r="P547" i="19" s="1"/>
  <c r="Q547" i="19" s="1"/>
  <c r="N546" i="19"/>
  <c r="P546" i="19" s="1"/>
  <c r="Q546" i="19" s="1"/>
  <c r="N545" i="19"/>
  <c r="N1286" i="19"/>
  <c r="P1286" i="19" s="1"/>
  <c r="Q1286" i="19" s="1"/>
  <c r="N1287" i="19"/>
  <c r="P1287" i="19" s="1"/>
  <c r="Q1287" i="19" s="1"/>
  <c r="N1285" i="19"/>
  <c r="N1288" i="19"/>
  <c r="P1288" i="19" s="1"/>
  <c r="Q1288" i="19" s="1"/>
  <c r="P1375" i="19"/>
  <c r="J281" i="13"/>
  <c r="N1379" i="19"/>
  <c r="AD35" i="10"/>
  <c r="AM35" i="10" s="1"/>
  <c r="N1582" i="19"/>
  <c r="P1582" i="19" s="1"/>
  <c r="Q1582" i="19" s="1"/>
  <c r="N1581" i="19"/>
  <c r="P1581" i="19" s="1"/>
  <c r="Q1581" i="19" s="1"/>
  <c r="N1580" i="19"/>
  <c r="N1583" i="19"/>
  <c r="P1583" i="19" s="1"/>
  <c r="Q1583" i="19" s="1"/>
  <c r="N1495" i="19"/>
  <c r="N1498" i="19"/>
  <c r="P1498" i="19" s="1"/>
  <c r="Q1498" i="19" s="1"/>
  <c r="N1497" i="19"/>
  <c r="P1497" i="19" s="1"/>
  <c r="Q1497" i="19" s="1"/>
  <c r="N1496" i="19"/>
  <c r="P1496" i="19" s="1"/>
  <c r="Q1496" i="19" s="1"/>
  <c r="N784" i="19"/>
  <c r="P780" i="19"/>
  <c r="J162" i="13"/>
  <c r="AD17" i="10"/>
  <c r="AM17" i="10" s="1"/>
  <c r="N283" i="19"/>
  <c r="P283" i="19" s="1"/>
  <c r="Q283" i="19" s="1"/>
  <c r="N280" i="19"/>
  <c r="N281" i="19"/>
  <c r="N282" i="19"/>
  <c r="P282" i="19" s="1"/>
  <c r="Q282" i="19" s="1"/>
  <c r="N305" i="19"/>
  <c r="N308" i="19"/>
  <c r="P308" i="19" s="1"/>
  <c r="Q308" i="19" s="1"/>
  <c r="N307" i="19"/>
  <c r="N306" i="19"/>
  <c r="N1477" i="19"/>
  <c r="P1477" i="19" s="1"/>
  <c r="Q1477" i="19" s="1"/>
  <c r="N1475" i="19"/>
  <c r="N1478" i="19"/>
  <c r="P1478" i="19" s="1"/>
  <c r="Q1478" i="19" s="1"/>
  <c r="N1476" i="19"/>
  <c r="P1476" i="19" s="1"/>
  <c r="Q1476" i="19" s="1"/>
  <c r="AD246" i="10"/>
  <c r="AM246" i="10" s="1"/>
  <c r="N275" i="19"/>
  <c r="N277" i="19"/>
  <c r="P277" i="19" s="1"/>
  <c r="Q277" i="19" s="1"/>
  <c r="N278" i="19"/>
  <c r="P278" i="19" s="1"/>
  <c r="Q278" i="19" s="1"/>
  <c r="N276" i="19"/>
  <c r="AD72" i="10"/>
  <c r="AM72" i="10" s="1"/>
  <c r="N1513" i="19"/>
  <c r="P1513" i="19" s="1"/>
  <c r="Q1513" i="19" s="1"/>
  <c r="N1510" i="19"/>
  <c r="N1511" i="19"/>
  <c r="P1511" i="19" s="1"/>
  <c r="Q1511" i="19" s="1"/>
  <c r="N1512" i="19"/>
  <c r="P1512" i="19" s="1"/>
  <c r="Q1512" i="19" s="1"/>
  <c r="N1472" i="19"/>
  <c r="P1472" i="19" s="1"/>
  <c r="Q1472" i="19" s="1"/>
  <c r="N1471" i="19"/>
  <c r="P1471" i="19" s="1"/>
  <c r="Q1471" i="19" s="1"/>
  <c r="N1470" i="19"/>
  <c r="N1473" i="19"/>
  <c r="P1473" i="19" s="1"/>
  <c r="Q1473" i="19" s="1"/>
  <c r="AD314" i="10"/>
  <c r="AM314" i="10" s="1"/>
  <c r="AD208" i="10"/>
  <c r="AM208" i="10" s="1"/>
  <c r="N591" i="19"/>
  <c r="P591" i="19" s="1"/>
  <c r="Q591" i="19" s="1"/>
  <c r="N592" i="19"/>
  <c r="P592" i="19" s="1"/>
  <c r="Q592" i="19" s="1"/>
  <c r="N593" i="19"/>
  <c r="P593" i="19" s="1"/>
  <c r="Q593" i="19" s="1"/>
  <c r="N590" i="19"/>
  <c r="AD134" i="10"/>
  <c r="AM134" i="10" s="1"/>
  <c r="N1308" i="19"/>
  <c r="P1308" i="19" s="1"/>
  <c r="Q1308" i="19" s="1"/>
  <c r="N1306" i="19"/>
  <c r="P1306" i="19" s="1"/>
  <c r="Q1306" i="19" s="1"/>
  <c r="N1307" i="19"/>
  <c r="P1307" i="19" s="1"/>
  <c r="Q1307" i="19" s="1"/>
  <c r="N1305" i="19"/>
  <c r="N1570" i="19"/>
  <c r="N1572" i="19"/>
  <c r="P1572" i="19" s="1"/>
  <c r="Q1572" i="19" s="1"/>
  <c r="N1573" i="19"/>
  <c r="P1573" i="19" s="1"/>
  <c r="Q1573" i="19" s="1"/>
  <c r="N1571" i="19"/>
  <c r="P1571" i="19" s="1"/>
  <c r="Q1571" i="19" s="1"/>
  <c r="AD252" i="10"/>
  <c r="AM252" i="10" s="1"/>
  <c r="N1361" i="19"/>
  <c r="P1361" i="19" s="1"/>
  <c r="Q1361" i="19" s="1"/>
  <c r="N1360" i="19"/>
  <c r="N1362" i="19"/>
  <c r="P1362" i="19" s="1"/>
  <c r="Q1362" i="19" s="1"/>
  <c r="N1363" i="19"/>
  <c r="P1363" i="19" s="1"/>
  <c r="Q1363" i="19" s="1"/>
  <c r="J347" i="13"/>
  <c r="N1709" i="19"/>
  <c r="P1705" i="19"/>
  <c r="N906" i="19"/>
  <c r="P906" i="19" s="1"/>
  <c r="Q906" i="19" s="1"/>
  <c r="N905" i="19"/>
  <c r="N908" i="19"/>
  <c r="P908" i="19" s="1"/>
  <c r="Q908" i="19" s="1"/>
  <c r="N907" i="19"/>
  <c r="P907" i="19" s="1"/>
  <c r="Q907" i="19" s="1"/>
  <c r="N448" i="19"/>
  <c r="P448" i="19" s="1"/>
  <c r="Q448" i="19" s="1"/>
  <c r="N447" i="19"/>
  <c r="P447" i="19" s="1"/>
  <c r="Q447" i="19" s="1"/>
  <c r="N445" i="19"/>
  <c r="N446" i="19"/>
  <c r="P446" i="19" s="1"/>
  <c r="Q446" i="19" s="1"/>
  <c r="N216" i="19"/>
  <c r="N217" i="19"/>
  <c r="P217" i="19" s="1"/>
  <c r="Q217" i="19" s="1"/>
  <c r="N218" i="19"/>
  <c r="P218" i="19" s="1"/>
  <c r="Q218" i="19" s="1"/>
  <c r="N215" i="19"/>
  <c r="AD203" i="10"/>
  <c r="AM203" i="10" s="1"/>
  <c r="N532" i="19"/>
  <c r="P532" i="19" s="1"/>
  <c r="Q532" i="19" s="1"/>
  <c r="N533" i="19"/>
  <c r="P533" i="19" s="1"/>
  <c r="Q533" i="19" s="1"/>
  <c r="N530" i="19"/>
  <c r="N531" i="19"/>
  <c r="P531" i="19" s="1"/>
  <c r="Q531" i="19" s="1"/>
  <c r="N617" i="19"/>
  <c r="P617" i="19" s="1"/>
  <c r="Q617" i="19" s="1"/>
  <c r="N616" i="19"/>
  <c r="P616" i="19" s="1"/>
  <c r="Q616" i="19" s="1"/>
  <c r="N615" i="19"/>
  <c r="N618" i="19"/>
  <c r="P618" i="19" s="1"/>
  <c r="Q618" i="19" s="1"/>
  <c r="AD20" i="10"/>
  <c r="AM20" i="10" s="1"/>
  <c r="N165" i="19"/>
  <c r="N167" i="19"/>
  <c r="P167" i="19" s="1"/>
  <c r="Q167" i="19" s="1"/>
  <c r="N166" i="19"/>
  <c r="N168" i="19"/>
  <c r="P168" i="19" s="1"/>
  <c r="Q168" i="19" s="1"/>
  <c r="AD343" i="10"/>
  <c r="AM343" i="10" s="1"/>
  <c r="N1011" i="19"/>
  <c r="P1011" i="19" s="1"/>
  <c r="Q1011" i="19" s="1"/>
  <c r="N1013" i="19"/>
  <c r="P1013" i="19" s="1"/>
  <c r="Q1013" i="19" s="1"/>
  <c r="N1012" i="19"/>
  <c r="P1012" i="19" s="1"/>
  <c r="Q1012" i="19" s="1"/>
  <c r="N1010" i="19"/>
  <c r="AL12" i="10"/>
  <c r="M39" i="19"/>
  <c r="AD282" i="10"/>
  <c r="AM282" i="10" s="1"/>
  <c r="AD41" i="10"/>
  <c r="AM41" i="10" s="1"/>
  <c r="AD120" i="10"/>
  <c r="AM120" i="10" s="1"/>
  <c r="AD309" i="10"/>
  <c r="AM309" i="10" s="1"/>
  <c r="AD150" i="10"/>
  <c r="AM150" i="10" s="1"/>
  <c r="AD30" i="10"/>
  <c r="AM30" i="10" s="1"/>
  <c r="AD245" i="10"/>
  <c r="AM245" i="10" s="1"/>
  <c r="AD138" i="10"/>
  <c r="AM138" i="10" s="1"/>
  <c r="AD67" i="10"/>
  <c r="AM67" i="10" s="1"/>
  <c r="N326" i="19"/>
  <c r="P326" i="19" s="1"/>
  <c r="Q326" i="19" s="1"/>
  <c r="N325" i="19"/>
  <c r="N328" i="19"/>
  <c r="P328" i="19" s="1"/>
  <c r="Q328" i="19" s="1"/>
  <c r="N327" i="19"/>
  <c r="P327" i="19" s="1"/>
  <c r="Q327" i="19" s="1"/>
  <c r="AD188" i="10"/>
  <c r="AM188" i="10" s="1"/>
  <c r="AD302" i="10"/>
  <c r="AM302" i="10" s="1"/>
  <c r="N246" i="19"/>
  <c r="P246" i="19" s="1"/>
  <c r="Q246" i="19" s="1"/>
  <c r="N248" i="19"/>
  <c r="P248" i="19" s="1"/>
  <c r="Q248" i="19" s="1"/>
  <c r="N245" i="19"/>
  <c r="N247" i="19"/>
  <c r="P247" i="19" s="1"/>
  <c r="Q247" i="19" s="1"/>
  <c r="AD129" i="10"/>
  <c r="AM129" i="10" s="1"/>
  <c r="AD269" i="10"/>
  <c r="AM269" i="10" s="1"/>
  <c r="J223" i="13"/>
  <c r="P1085" i="19"/>
  <c r="AD8" i="10"/>
  <c r="AM8" i="10" s="1"/>
  <c r="AD37" i="10"/>
  <c r="AM37" i="10" s="1"/>
  <c r="N1538" i="19"/>
  <c r="P1538" i="19" s="1"/>
  <c r="Q1538" i="19" s="1"/>
  <c r="N1535" i="19"/>
  <c r="N1537" i="19"/>
  <c r="P1537" i="19" s="1"/>
  <c r="Q1537" i="19" s="1"/>
  <c r="N1536" i="19"/>
  <c r="P1536" i="19" s="1"/>
  <c r="Q1536" i="19" s="1"/>
  <c r="N1126" i="19"/>
  <c r="P1126" i="19" s="1"/>
  <c r="Q1126" i="19" s="1"/>
  <c r="N1127" i="19"/>
  <c r="P1127" i="19" s="1"/>
  <c r="Q1127" i="19" s="1"/>
  <c r="N1128" i="19"/>
  <c r="P1128" i="19" s="1"/>
  <c r="Q1128" i="19" s="1"/>
  <c r="N1125" i="19"/>
  <c r="AD291" i="10"/>
  <c r="AM291" i="10" s="1"/>
  <c r="N1230" i="19"/>
  <c r="N1233" i="19"/>
  <c r="P1233" i="19" s="1"/>
  <c r="Q1233" i="19" s="1"/>
  <c r="N1232" i="19"/>
  <c r="P1232" i="19" s="1"/>
  <c r="Q1232" i="19" s="1"/>
  <c r="N1231" i="19"/>
  <c r="P1231" i="19" s="1"/>
  <c r="Q1231" i="19" s="1"/>
  <c r="AD242" i="10"/>
  <c r="AM242" i="10" s="1"/>
  <c r="AD327" i="10"/>
  <c r="AM327" i="10" s="1"/>
  <c r="N1008" i="19"/>
  <c r="P1008" i="19" s="1"/>
  <c r="Q1008" i="19" s="1"/>
  <c r="N1006" i="19"/>
  <c r="P1006" i="19" s="1"/>
  <c r="Q1006" i="19" s="1"/>
  <c r="N1005" i="19"/>
  <c r="N1007" i="19"/>
  <c r="P1007" i="19" s="1"/>
  <c r="Q1007" i="19" s="1"/>
  <c r="N482" i="19"/>
  <c r="P482" i="19" s="1"/>
  <c r="Q482" i="19" s="1"/>
  <c r="N480" i="19"/>
  <c r="N481" i="19"/>
  <c r="N483" i="19"/>
  <c r="P483" i="19" s="1"/>
  <c r="Q483" i="19" s="1"/>
  <c r="AD197" i="10"/>
  <c r="AM197" i="10" s="1"/>
  <c r="N841" i="19"/>
  <c r="P841" i="19" s="1"/>
  <c r="Q841" i="19" s="1"/>
  <c r="N842" i="19"/>
  <c r="P842" i="19" s="1"/>
  <c r="Q842" i="19" s="1"/>
  <c r="N840" i="19"/>
  <c r="N843" i="19"/>
  <c r="P843" i="19" s="1"/>
  <c r="Q843" i="19" s="1"/>
  <c r="N813" i="19"/>
  <c r="P813" i="19" s="1"/>
  <c r="Q813" i="19" s="1"/>
  <c r="N812" i="19"/>
  <c r="P812" i="19" s="1"/>
  <c r="Q812" i="19" s="1"/>
  <c r="N810" i="19"/>
  <c r="N811" i="19"/>
  <c r="P811" i="19" s="1"/>
  <c r="Q811" i="19" s="1"/>
  <c r="AD65" i="10"/>
  <c r="AM65" i="10" s="1"/>
  <c r="AD180" i="10"/>
  <c r="AM180" i="10" s="1"/>
  <c r="N985" i="19"/>
  <c r="N987" i="19"/>
  <c r="P987" i="19" s="1"/>
  <c r="Q987" i="19" s="1"/>
  <c r="N986" i="19"/>
  <c r="P986" i="19" s="1"/>
  <c r="Q986" i="19" s="1"/>
  <c r="N988" i="19"/>
  <c r="P988" i="19" s="1"/>
  <c r="Q988" i="19" s="1"/>
  <c r="AD127" i="10"/>
  <c r="AM127" i="10" s="1"/>
  <c r="AD167" i="10"/>
  <c r="AM167" i="10" s="1"/>
  <c r="N957" i="19"/>
  <c r="P957" i="19" s="1"/>
  <c r="Q957" i="19" s="1"/>
  <c r="N955" i="19"/>
  <c r="N958" i="19"/>
  <c r="P958" i="19" s="1"/>
  <c r="Q958" i="19" s="1"/>
  <c r="N956" i="19"/>
  <c r="P956" i="19" s="1"/>
  <c r="Q956" i="19" s="1"/>
  <c r="AD281" i="10"/>
  <c r="AM281" i="10" s="1"/>
  <c r="AD39" i="10"/>
  <c r="AM39" i="10" s="1"/>
  <c r="N1263" i="19"/>
  <c r="P1263" i="19" s="1"/>
  <c r="Q1263" i="19" s="1"/>
  <c r="N1261" i="19"/>
  <c r="P1261" i="19" s="1"/>
  <c r="Q1261" i="19" s="1"/>
  <c r="N1262" i="19"/>
  <c r="P1262" i="19" s="1"/>
  <c r="Q1262" i="19" s="1"/>
  <c r="N1260" i="19"/>
  <c r="N350" i="19"/>
  <c r="N352" i="19"/>
  <c r="P352" i="19" s="1"/>
  <c r="Q352" i="19" s="1"/>
  <c r="N351" i="19"/>
  <c r="P351" i="19" s="1"/>
  <c r="Q351" i="19" s="1"/>
  <c r="N353" i="19"/>
  <c r="P353" i="19" s="1"/>
  <c r="Q353" i="19" s="1"/>
  <c r="N658" i="19"/>
  <c r="P658" i="19" s="1"/>
  <c r="Q658" i="19" s="1"/>
  <c r="N655" i="19"/>
  <c r="N657" i="19"/>
  <c r="N656" i="19"/>
  <c r="P656" i="19" s="1"/>
  <c r="Q656" i="19" s="1"/>
  <c r="N1655" i="19"/>
  <c r="N1658" i="19"/>
  <c r="P1658" i="19" s="1"/>
  <c r="Q1658" i="19" s="1"/>
  <c r="N1656" i="19"/>
  <c r="P1656" i="19" s="1"/>
  <c r="Q1656" i="19" s="1"/>
  <c r="N1657" i="19"/>
  <c r="P1657" i="19" s="1"/>
  <c r="Q1657" i="19" s="1"/>
  <c r="AD235" i="10"/>
  <c r="AM235" i="10" s="1"/>
  <c r="N1740" i="19"/>
  <c r="N1741" i="19"/>
  <c r="P1741" i="19" s="1"/>
  <c r="Q1741" i="19" s="1"/>
  <c r="N1742" i="19"/>
  <c r="P1742" i="19" s="1"/>
  <c r="Q1742" i="19" s="1"/>
  <c r="N1743" i="19"/>
  <c r="P1743" i="19" s="1"/>
  <c r="Q1743" i="19" s="1"/>
  <c r="N1465" i="19"/>
  <c r="N1466" i="19"/>
  <c r="P1466" i="19" s="1"/>
  <c r="Q1466" i="19" s="1"/>
  <c r="N1467" i="19"/>
  <c r="P1467" i="19" s="1"/>
  <c r="Q1467" i="19" s="1"/>
  <c r="N1468" i="19"/>
  <c r="P1468" i="19" s="1"/>
  <c r="Q1468" i="19" s="1"/>
  <c r="N492" i="19"/>
  <c r="P492" i="19" s="1"/>
  <c r="Q492" i="19" s="1"/>
  <c r="N491" i="19"/>
  <c r="P491" i="19" s="1"/>
  <c r="Q491" i="19" s="1"/>
  <c r="N493" i="19"/>
  <c r="P493" i="19" s="1"/>
  <c r="Q493" i="19" s="1"/>
  <c r="N490" i="19"/>
  <c r="N205" i="19"/>
  <c r="N206" i="19"/>
  <c r="P206" i="19" s="1"/>
  <c r="Q206" i="19" s="1"/>
  <c r="N207" i="19"/>
  <c r="P207" i="19" s="1"/>
  <c r="Q207" i="19" s="1"/>
  <c r="N208" i="19"/>
  <c r="P208" i="19" s="1"/>
  <c r="Q208" i="19" s="1"/>
  <c r="N22" i="19"/>
  <c r="N23" i="19"/>
  <c r="P23" i="19" s="1"/>
  <c r="Q23" i="19" s="1"/>
  <c r="N21" i="19"/>
  <c r="N20" i="19"/>
  <c r="AD64" i="10"/>
  <c r="AM64" i="10" s="1"/>
  <c r="AD104" i="10"/>
  <c r="AM104" i="10" s="1"/>
  <c r="AD262" i="10"/>
  <c r="AM262" i="10" s="1"/>
  <c r="N153" i="19"/>
  <c r="P153" i="19" s="1"/>
  <c r="Q153" i="19" s="1"/>
  <c r="N152" i="19"/>
  <c r="N150" i="19"/>
  <c r="N151" i="19"/>
  <c r="AD304" i="10"/>
  <c r="AM304" i="10" s="1"/>
  <c r="AD92" i="10"/>
  <c r="AM92" i="10" s="1"/>
  <c r="N1632" i="19"/>
  <c r="P1632" i="19" s="1"/>
  <c r="Q1632" i="19" s="1"/>
  <c r="N1631" i="19"/>
  <c r="P1631" i="19" s="1"/>
  <c r="Q1631" i="19" s="1"/>
  <c r="N1633" i="19"/>
  <c r="P1633" i="19" s="1"/>
  <c r="Q1633" i="19" s="1"/>
  <c r="N1630" i="19"/>
  <c r="N61" i="19"/>
  <c r="N60" i="19"/>
  <c r="N63" i="19"/>
  <c r="P63" i="19" s="1"/>
  <c r="Q63" i="19" s="1"/>
  <c r="N62" i="19"/>
  <c r="N825" i="19"/>
  <c r="N827" i="19"/>
  <c r="P827" i="19" s="1"/>
  <c r="Q827" i="19" s="1"/>
  <c r="N826" i="19"/>
  <c r="P826" i="19" s="1"/>
  <c r="Q826" i="19" s="1"/>
  <c r="N828" i="19"/>
  <c r="P828" i="19" s="1"/>
  <c r="Q828" i="19" s="1"/>
  <c r="N1222" i="19"/>
  <c r="P1222" i="19" s="1"/>
  <c r="Q1222" i="19" s="1"/>
  <c r="N1223" i="19"/>
  <c r="P1223" i="19" s="1"/>
  <c r="Q1223" i="19" s="1"/>
  <c r="N1221" i="19"/>
  <c r="P1221" i="19" s="1"/>
  <c r="Q1221" i="19" s="1"/>
  <c r="N1220" i="19"/>
  <c r="AD198" i="10"/>
  <c r="AM198" i="10" s="1"/>
  <c r="AD66" i="10"/>
  <c r="AM66" i="10" s="1"/>
  <c r="AD26" i="10"/>
  <c r="AM26" i="10" s="1"/>
  <c r="N1060" i="19"/>
  <c r="N1063" i="19"/>
  <c r="P1063" i="19" s="1"/>
  <c r="Q1063" i="19" s="1"/>
  <c r="N1061" i="19"/>
  <c r="P1061" i="19" s="1"/>
  <c r="Q1061" i="19" s="1"/>
  <c r="N1062" i="19"/>
  <c r="P1062" i="19" s="1"/>
  <c r="Q1062" i="19" s="1"/>
  <c r="S362" i="10"/>
  <c r="S361" i="10"/>
  <c r="T7" i="10"/>
  <c r="G24" i="8" s="1"/>
  <c r="N1460" i="19"/>
  <c r="N1462" i="19"/>
  <c r="P1462" i="19" s="1"/>
  <c r="Q1462" i="19" s="1"/>
  <c r="N1463" i="19"/>
  <c r="P1463" i="19" s="1"/>
  <c r="Q1463" i="19" s="1"/>
  <c r="N1461" i="19"/>
  <c r="P1461" i="19" s="1"/>
  <c r="Q1461" i="19" s="1"/>
  <c r="AD157" i="10"/>
  <c r="AM157" i="10" s="1"/>
  <c r="N1211" i="19"/>
  <c r="P1211" i="19" s="1"/>
  <c r="Q1211" i="19" s="1"/>
  <c r="N1213" i="19"/>
  <c r="P1213" i="19" s="1"/>
  <c r="Q1213" i="19" s="1"/>
  <c r="N1212" i="19"/>
  <c r="P1212" i="19" s="1"/>
  <c r="Q1212" i="19" s="1"/>
  <c r="N1210" i="19"/>
  <c r="AD267" i="10"/>
  <c r="AM267" i="10" s="1"/>
  <c r="AD307" i="10"/>
  <c r="AM307" i="10" s="1"/>
  <c r="N373" i="19"/>
  <c r="P373" i="19" s="1"/>
  <c r="Q373" i="19" s="1"/>
  <c r="N372" i="19"/>
  <c r="P372" i="19" s="1"/>
  <c r="Q372" i="19" s="1"/>
  <c r="N371" i="19"/>
  <c r="P371" i="19" s="1"/>
  <c r="Q371" i="19" s="1"/>
  <c r="N370" i="19"/>
  <c r="N1100" i="19"/>
  <c r="N1102" i="19"/>
  <c r="P1102" i="19" s="1"/>
  <c r="Q1102" i="19" s="1"/>
  <c r="N1103" i="19"/>
  <c r="P1103" i="19" s="1"/>
  <c r="Q1103" i="19" s="1"/>
  <c r="N1101" i="19"/>
  <c r="P1101" i="19" s="1"/>
  <c r="Q1101" i="19" s="1"/>
  <c r="AD123" i="10"/>
  <c r="AM123" i="10" s="1"/>
  <c r="N1107" i="19"/>
  <c r="P1107" i="19" s="1"/>
  <c r="Q1107" i="19" s="1"/>
  <c r="N1108" i="19"/>
  <c r="P1108" i="19" s="1"/>
  <c r="Q1108" i="19" s="1"/>
  <c r="N1106" i="19"/>
  <c r="P1106" i="19" s="1"/>
  <c r="Q1106" i="19" s="1"/>
  <c r="N1105" i="19"/>
  <c r="N695" i="19"/>
  <c r="N696" i="19"/>
  <c r="P696" i="19" s="1"/>
  <c r="Q696" i="19" s="1"/>
  <c r="N697" i="19"/>
  <c r="P697" i="19" s="1"/>
  <c r="Q697" i="19" s="1"/>
  <c r="N698" i="19"/>
  <c r="P698" i="19" s="1"/>
  <c r="Q698" i="19" s="1"/>
  <c r="AD274" i="10"/>
  <c r="AM274" i="10" s="1"/>
  <c r="AD266" i="10"/>
  <c r="AM266" i="10" s="1"/>
  <c r="AD319" i="10"/>
  <c r="AM319" i="10" s="1"/>
  <c r="M334" i="19"/>
  <c r="AL71" i="10"/>
  <c r="AD277" i="10"/>
  <c r="AM277" i="10" s="1"/>
  <c r="AD113" i="10"/>
  <c r="AM113" i="10" s="1"/>
  <c r="N42" i="19"/>
  <c r="P42" i="19" s="1"/>
  <c r="Q42" i="19" s="1"/>
  <c r="N40" i="19"/>
  <c r="N43" i="19"/>
  <c r="P43" i="19" s="1"/>
  <c r="Q43" i="19" s="1"/>
  <c r="N41" i="19"/>
  <c r="AD186" i="10"/>
  <c r="AM186" i="10" s="1"/>
  <c r="AD354" i="10"/>
  <c r="AM354" i="10" s="1"/>
  <c r="N1661" i="19"/>
  <c r="P1661" i="19" s="1"/>
  <c r="Q1661" i="19" s="1"/>
  <c r="N1663" i="19"/>
  <c r="P1663" i="19" s="1"/>
  <c r="Q1663" i="19" s="1"/>
  <c r="N1660" i="19"/>
  <c r="N1662" i="19"/>
  <c r="P1662" i="19" s="1"/>
  <c r="Q1662" i="19" s="1"/>
  <c r="N116" i="19"/>
  <c r="N118" i="19"/>
  <c r="P118" i="19" s="1"/>
  <c r="Q118" i="19" s="1"/>
  <c r="N115" i="19"/>
  <c r="N117" i="19"/>
  <c r="P117" i="19" s="1"/>
  <c r="Q117" i="19" s="1"/>
  <c r="N940" i="19"/>
  <c r="N942" i="19"/>
  <c r="P942" i="19" s="1"/>
  <c r="Q942" i="19" s="1"/>
  <c r="N943" i="19"/>
  <c r="P943" i="19" s="1"/>
  <c r="Q943" i="19" s="1"/>
  <c r="N941" i="19"/>
  <c r="P941" i="19" s="1"/>
  <c r="Q941" i="19" s="1"/>
  <c r="AD322" i="10"/>
  <c r="AM322" i="10" s="1"/>
  <c r="AD259" i="10"/>
  <c r="AM259" i="10" s="1"/>
  <c r="N1418" i="19"/>
  <c r="P1418" i="19" s="1"/>
  <c r="Q1418" i="19" s="1"/>
  <c r="N1415" i="19"/>
  <c r="N1416" i="19"/>
  <c r="P1416" i="19" s="1"/>
  <c r="Q1416" i="19" s="1"/>
  <c r="N1417" i="19"/>
  <c r="P1417" i="19" s="1"/>
  <c r="Q1417" i="19" s="1"/>
  <c r="AD352" i="10"/>
  <c r="AM352" i="10" s="1"/>
  <c r="N1728" i="19"/>
  <c r="P1728" i="19" s="1"/>
  <c r="Q1728" i="19" s="1"/>
  <c r="N1725" i="19"/>
  <c r="N1726" i="19"/>
  <c r="P1726" i="19" s="1"/>
  <c r="Q1726" i="19" s="1"/>
  <c r="N1727" i="19"/>
  <c r="P1727" i="19" s="1"/>
  <c r="Q1727" i="19" s="1"/>
  <c r="AD48" i="10"/>
  <c r="AM48" i="10" s="1"/>
  <c r="AD181" i="10"/>
  <c r="AM181" i="10" s="1"/>
  <c r="AD111" i="10"/>
  <c r="AM111" i="10" s="1"/>
  <c r="N1692" i="19"/>
  <c r="N1693" i="19"/>
  <c r="P1693" i="19" s="1"/>
  <c r="Q1693" i="19" s="1"/>
  <c r="N1691" i="19"/>
  <c r="P1691" i="19" s="1"/>
  <c r="Q1691" i="19" s="1"/>
  <c r="N1690" i="19"/>
  <c r="N577" i="19"/>
  <c r="P577" i="19" s="1"/>
  <c r="Q577" i="19" s="1"/>
  <c r="N578" i="19"/>
  <c r="P578" i="19" s="1"/>
  <c r="Q578" i="19" s="1"/>
  <c r="N576" i="19"/>
  <c r="N575" i="19"/>
  <c r="N1521" i="19"/>
  <c r="P1521" i="19" s="1"/>
  <c r="Q1521" i="19" s="1"/>
  <c r="N1522" i="19"/>
  <c r="P1522" i="19" s="1"/>
  <c r="Q1522" i="19" s="1"/>
  <c r="N1520" i="19"/>
  <c r="N1523" i="19"/>
  <c r="P1523" i="19" s="1"/>
  <c r="Q1523" i="19" s="1"/>
  <c r="N586" i="19"/>
  <c r="N585" i="19"/>
  <c r="N588" i="19"/>
  <c r="P588" i="19" s="1"/>
  <c r="Q588" i="19" s="1"/>
  <c r="N587" i="19"/>
  <c r="P587" i="19" s="1"/>
  <c r="Q587" i="19" s="1"/>
  <c r="N143" i="19"/>
  <c r="P143" i="19" s="1"/>
  <c r="Q143" i="19" s="1"/>
  <c r="N141" i="19"/>
  <c r="N140" i="19"/>
  <c r="N142" i="19"/>
  <c r="AD276" i="10"/>
  <c r="AM276" i="10" s="1"/>
  <c r="N361" i="19"/>
  <c r="P361" i="19" s="1"/>
  <c r="Q361" i="19" s="1"/>
  <c r="N360" i="19"/>
  <c r="N362" i="19"/>
  <c r="P362" i="19" s="1"/>
  <c r="Q362" i="19" s="1"/>
  <c r="N363" i="19"/>
  <c r="P363" i="19" s="1"/>
  <c r="Q363" i="19" s="1"/>
  <c r="AL201" i="10"/>
  <c r="M984" i="19"/>
  <c r="AD317" i="10"/>
  <c r="AM317" i="10" s="1"/>
  <c r="N185" i="19"/>
  <c r="N187" i="19"/>
  <c r="P187" i="19" s="1"/>
  <c r="Q187" i="19" s="1"/>
  <c r="N188" i="19"/>
  <c r="P188" i="19" s="1"/>
  <c r="Q188" i="19" s="1"/>
  <c r="N186" i="19"/>
  <c r="AD54" i="10"/>
  <c r="AM54" i="10" s="1"/>
  <c r="N16" i="19"/>
  <c r="N15" i="19"/>
  <c r="N18" i="19"/>
  <c r="P18" i="19" s="1"/>
  <c r="Q18" i="19" s="1"/>
  <c r="N17" i="19"/>
  <c r="N1365" i="19"/>
  <c r="N1367" i="19"/>
  <c r="P1367" i="19" s="1"/>
  <c r="Q1367" i="19" s="1"/>
  <c r="N1366" i="19"/>
  <c r="P1366" i="19" s="1"/>
  <c r="Q1366" i="19" s="1"/>
  <c r="N1368" i="19"/>
  <c r="P1368" i="19" s="1"/>
  <c r="Q1368" i="19" s="1"/>
  <c r="AD312" i="10"/>
  <c r="AM312" i="10" s="1"/>
  <c r="N30" i="19"/>
  <c r="N31" i="19"/>
  <c r="P31" i="19" s="1"/>
  <c r="Q31" i="19" s="1"/>
  <c r="N33" i="19"/>
  <c r="P33" i="19" s="1"/>
  <c r="Q33" i="19" s="1"/>
  <c r="N32" i="19"/>
  <c r="P32" i="19" s="1"/>
  <c r="Q32" i="19" s="1"/>
  <c r="N386" i="19"/>
  <c r="N387" i="19"/>
  <c r="P387" i="19" s="1"/>
  <c r="Q387" i="19" s="1"/>
  <c r="N385" i="19"/>
  <c r="N388" i="19"/>
  <c r="P388" i="19" s="1"/>
  <c r="Q388" i="19" s="1"/>
  <c r="AD251" i="10"/>
  <c r="AM251" i="10" s="1"/>
  <c r="N202" i="19"/>
  <c r="P202" i="19" s="1"/>
  <c r="Q202" i="19" s="1"/>
  <c r="N203" i="19"/>
  <c r="P203" i="19" s="1"/>
  <c r="Q203" i="19" s="1"/>
  <c r="N201" i="19"/>
  <c r="P201" i="19" s="1"/>
  <c r="Q201" i="19" s="1"/>
  <c r="N200" i="19"/>
  <c r="N155" i="19"/>
  <c r="N156" i="19"/>
  <c r="N158" i="19"/>
  <c r="P158" i="19" s="1"/>
  <c r="Q158" i="19" s="1"/>
  <c r="N157" i="19"/>
  <c r="P157" i="19" s="1"/>
  <c r="Q157" i="19" s="1"/>
  <c r="N913" i="19"/>
  <c r="P913" i="19" s="1"/>
  <c r="Q913" i="19" s="1"/>
  <c r="N911" i="19"/>
  <c r="P911" i="19" s="1"/>
  <c r="Q911" i="19" s="1"/>
  <c r="N910" i="19"/>
  <c r="N912" i="19"/>
  <c r="P912" i="19" s="1"/>
  <c r="Q912" i="19" s="1"/>
  <c r="AD125" i="10"/>
  <c r="AM125" i="10" s="1"/>
  <c r="AD286" i="10"/>
  <c r="AM286" i="10" s="1"/>
  <c r="AD206" i="10"/>
  <c r="AM206" i="10" s="1"/>
  <c r="AL91" i="10"/>
  <c r="M434" i="19"/>
  <c r="AD238" i="10"/>
  <c r="AM238" i="10" s="1"/>
  <c r="AD196" i="10"/>
  <c r="AM196" i="10" s="1"/>
  <c r="N951" i="19"/>
  <c r="P951" i="19" s="1"/>
  <c r="Q951" i="19" s="1"/>
  <c r="N950" i="19"/>
  <c r="N952" i="19"/>
  <c r="P952" i="19" s="1"/>
  <c r="Q952" i="19" s="1"/>
  <c r="N953" i="19"/>
  <c r="P953" i="19" s="1"/>
  <c r="Q953" i="19" s="1"/>
  <c r="N292" i="19"/>
  <c r="P292" i="19" s="1"/>
  <c r="Q292" i="19" s="1"/>
  <c r="N290" i="19"/>
  <c r="N291" i="19"/>
  <c r="N293" i="19"/>
  <c r="P293" i="19" s="1"/>
  <c r="Q293" i="19" s="1"/>
  <c r="N66" i="19"/>
  <c r="N67" i="19"/>
  <c r="P67" i="19" s="1"/>
  <c r="Q67" i="19" s="1"/>
  <c r="N65" i="19"/>
  <c r="N68" i="19"/>
  <c r="P68" i="19" s="1"/>
  <c r="Q68" i="19" s="1"/>
  <c r="N171" i="19"/>
  <c r="N170" i="19"/>
  <c r="N173" i="19"/>
  <c r="P173" i="19" s="1"/>
  <c r="Q173" i="19" s="1"/>
  <c r="N172" i="19"/>
  <c r="P172" i="19" s="1"/>
  <c r="Q172" i="19" s="1"/>
  <c r="AD75" i="10"/>
  <c r="AM75" i="10" s="1"/>
  <c r="AD336" i="10"/>
  <c r="AM336" i="10" s="1"/>
  <c r="N861" i="19"/>
  <c r="P861" i="19" s="1"/>
  <c r="Q861" i="19" s="1"/>
  <c r="N863" i="19"/>
  <c r="P863" i="19" s="1"/>
  <c r="Q863" i="19" s="1"/>
  <c r="N860" i="19"/>
  <c r="N862" i="19"/>
  <c r="P862" i="19" s="1"/>
  <c r="Q862" i="19" s="1"/>
  <c r="N1198" i="19"/>
  <c r="P1198" i="19" s="1"/>
  <c r="Q1198" i="19" s="1"/>
  <c r="N1195" i="19"/>
  <c r="N1197" i="19"/>
  <c r="P1197" i="19" s="1"/>
  <c r="Q1197" i="19" s="1"/>
  <c r="N1196" i="19"/>
  <c r="P1196" i="19" s="1"/>
  <c r="Q1196" i="19" s="1"/>
  <c r="AD268" i="10"/>
  <c r="AM268" i="10" s="1"/>
  <c r="AD46" i="10"/>
  <c r="AM46" i="10" s="1"/>
  <c r="N295" i="19"/>
  <c r="N296" i="19"/>
  <c r="P296" i="19" s="1"/>
  <c r="Q296" i="19" s="1"/>
  <c r="N298" i="19"/>
  <c r="P298" i="19" s="1"/>
  <c r="Q298" i="19" s="1"/>
  <c r="N297" i="19"/>
  <c r="P297" i="19" s="1"/>
  <c r="Q297" i="19" s="1"/>
  <c r="N502" i="19"/>
  <c r="P502" i="19" s="1"/>
  <c r="Q502" i="19" s="1"/>
  <c r="N500" i="19"/>
  <c r="N501" i="19"/>
  <c r="P501" i="19" s="1"/>
  <c r="Q501" i="19" s="1"/>
  <c r="N503" i="19"/>
  <c r="P503" i="19" s="1"/>
  <c r="Q503" i="19" s="1"/>
  <c r="N1053" i="19"/>
  <c r="P1053" i="19" s="1"/>
  <c r="Q1053" i="19" s="1"/>
  <c r="N1051" i="19"/>
  <c r="P1051" i="19" s="1"/>
  <c r="Q1051" i="19" s="1"/>
  <c r="N1052" i="19"/>
  <c r="P1052" i="19" s="1"/>
  <c r="Q1052" i="19" s="1"/>
  <c r="N1050" i="19"/>
  <c r="N1483" i="19"/>
  <c r="P1483" i="19" s="1"/>
  <c r="Q1483" i="19" s="1"/>
  <c r="N1481" i="19"/>
  <c r="P1481" i="19" s="1"/>
  <c r="Q1481" i="19" s="1"/>
  <c r="N1480" i="19"/>
  <c r="N1482" i="19"/>
  <c r="P1482" i="19" s="1"/>
  <c r="Q1482" i="19" s="1"/>
  <c r="AD349" i="10"/>
  <c r="AM349" i="10" s="1"/>
  <c r="AD23" i="10"/>
  <c r="AM23" i="10" s="1"/>
  <c r="N436" i="19"/>
  <c r="P436" i="19" s="1"/>
  <c r="Q436" i="19" s="1"/>
  <c r="N435" i="19"/>
  <c r="N438" i="19"/>
  <c r="P438" i="19" s="1"/>
  <c r="Q438" i="19" s="1"/>
  <c r="N437" i="19"/>
  <c r="P437" i="19" s="1"/>
  <c r="Q437" i="19" s="1"/>
  <c r="N112" i="19"/>
  <c r="P112" i="19" s="1"/>
  <c r="Q112" i="19" s="1"/>
  <c r="N113" i="19"/>
  <c r="P113" i="19" s="1"/>
  <c r="Q113" i="19" s="1"/>
  <c r="N111" i="19"/>
  <c r="N110" i="19"/>
  <c r="AD331" i="10"/>
  <c r="AM331" i="10" s="1"/>
  <c r="AD118" i="10"/>
  <c r="AM118" i="10" s="1"/>
  <c r="N175" i="19"/>
  <c r="N178" i="19"/>
  <c r="P178" i="19" s="1"/>
  <c r="Q178" i="19" s="1"/>
  <c r="N176" i="19"/>
  <c r="N177" i="19"/>
  <c r="P177" i="19" s="1"/>
  <c r="Q177" i="19" s="1"/>
  <c r="N1205" i="19"/>
  <c r="N1208" i="19"/>
  <c r="P1208" i="19" s="1"/>
  <c r="Q1208" i="19" s="1"/>
  <c r="N1206" i="19"/>
  <c r="P1206" i="19" s="1"/>
  <c r="Q1206" i="19" s="1"/>
  <c r="N1207" i="19"/>
  <c r="P1207" i="19" s="1"/>
  <c r="Q1207" i="19" s="1"/>
  <c r="AD297" i="10"/>
  <c r="AM297" i="10" s="1"/>
  <c r="N337" i="19"/>
  <c r="P337" i="19" s="1"/>
  <c r="Q337" i="19" s="1"/>
  <c r="N338" i="19"/>
  <c r="P338" i="19" s="1"/>
  <c r="Q338" i="19" s="1"/>
  <c r="N336" i="19"/>
  <c r="P336" i="19" s="1"/>
  <c r="Q336" i="19" s="1"/>
  <c r="N335" i="19"/>
  <c r="AD256" i="10"/>
  <c r="AM256" i="10" s="1"/>
  <c r="AD326" i="10"/>
  <c r="AM326" i="10" s="1"/>
  <c r="N95" i="19"/>
  <c r="N96" i="19"/>
  <c r="N97" i="19"/>
  <c r="N98" i="19"/>
  <c r="P98" i="19" s="1"/>
  <c r="Q98" i="19" s="1"/>
  <c r="N1311" i="19"/>
  <c r="P1311" i="19" s="1"/>
  <c r="Q1311" i="19" s="1"/>
  <c r="N1310" i="19"/>
  <c r="N1312" i="19"/>
  <c r="P1312" i="19" s="1"/>
  <c r="Q1312" i="19" s="1"/>
  <c r="N1313" i="19"/>
  <c r="P1313" i="19" s="1"/>
  <c r="Q1313" i="19" s="1"/>
  <c r="AD253" i="10"/>
  <c r="AM253" i="10" s="1"/>
  <c r="AD224" i="10"/>
  <c r="AM224" i="10" s="1"/>
  <c r="N1545" i="19"/>
  <c r="N1546" i="19"/>
  <c r="P1546" i="19" s="1"/>
  <c r="Q1546" i="19" s="1"/>
  <c r="N1548" i="19"/>
  <c r="P1548" i="19" s="1"/>
  <c r="Q1548" i="19" s="1"/>
  <c r="N1547" i="19"/>
  <c r="P1547" i="19" s="1"/>
  <c r="Q1547" i="19" s="1"/>
  <c r="AD225" i="10"/>
  <c r="AM225" i="10" s="1"/>
  <c r="N570" i="19"/>
  <c r="N573" i="19"/>
  <c r="P573" i="19" s="1"/>
  <c r="Q573" i="19" s="1"/>
  <c r="N571" i="19"/>
  <c r="N572" i="19"/>
  <c r="P572" i="19" s="1"/>
  <c r="Q572" i="19" s="1"/>
  <c r="N645" i="19"/>
  <c r="N647" i="19"/>
  <c r="P647" i="19" s="1"/>
  <c r="Q647" i="19" s="1"/>
  <c r="N648" i="19"/>
  <c r="P648" i="19" s="1"/>
  <c r="Q648" i="19" s="1"/>
  <c r="N646" i="19"/>
  <c r="P646" i="19" s="1"/>
  <c r="Q646" i="19" s="1"/>
  <c r="N1290" i="19"/>
  <c r="N1292" i="19"/>
  <c r="P1292" i="19" s="1"/>
  <c r="Q1292" i="19" s="1"/>
  <c r="N1293" i="19"/>
  <c r="P1293" i="19" s="1"/>
  <c r="Q1293" i="19" s="1"/>
  <c r="N1291" i="19"/>
  <c r="P1291" i="19" s="1"/>
  <c r="Q1291" i="19" s="1"/>
  <c r="N1346" i="19"/>
  <c r="P1346" i="19" s="1"/>
  <c r="Q1346" i="19" s="1"/>
  <c r="N1347" i="19"/>
  <c r="N1348" i="19"/>
  <c r="P1348" i="19" s="1"/>
  <c r="Q1348" i="19" s="1"/>
  <c r="N1345" i="19"/>
  <c r="AD141" i="10"/>
  <c r="AM141" i="10" s="1"/>
  <c r="N515" i="19"/>
  <c r="N518" i="19"/>
  <c r="P518" i="19" s="1"/>
  <c r="Q518" i="19" s="1"/>
  <c r="N517" i="19"/>
  <c r="P517" i="19" s="1"/>
  <c r="Q517" i="19" s="1"/>
  <c r="N516" i="19"/>
  <c r="AD328" i="10"/>
  <c r="AM328" i="10" s="1"/>
  <c r="N1525" i="19"/>
  <c r="N1526" i="19"/>
  <c r="P1526" i="19" s="1"/>
  <c r="Q1526" i="19" s="1"/>
  <c r="N1527" i="19"/>
  <c r="P1527" i="19" s="1"/>
  <c r="Q1527" i="19" s="1"/>
  <c r="N1528" i="19"/>
  <c r="P1528" i="19" s="1"/>
  <c r="Q1528" i="19" s="1"/>
  <c r="AD337" i="10"/>
  <c r="AM337" i="10" s="1"/>
  <c r="AD28" i="10"/>
  <c r="AM28" i="10" s="1"/>
  <c r="AD193" i="10"/>
  <c r="AM193" i="10" s="1"/>
  <c r="N1270" i="19"/>
  <c r="N1272" i="19"/>
  <c r="P1272" i="19" s="1"/>
  <c r="Q1272" i="19" s="1"/>
  <c r="N1271" i="19"/>
  <c r="P1271" i="19" s="1"/>
  <c r="Q1271" i="19" s="1"/>
  <c r="N1273" i="19"/>
  <c r="P1273" i="19" s="1"/>
  <c r="Q1273" i="19" s="1"/>
  <c r="N1738" i="19"/>
  <c r="P1738" i="19" s="1"/>
  <c r="Q1738" i="19" s="1"/>
  <c r="N1736" i="19"/>
  <c r="P1736" i="19" s="1"/>
  <c r="Q1736" i="19" s="1"/>
  <c r="N1737" i="19"/>
  <c r="P1737" i="19" s="1"/>
  <c r="Q1737" i="19" s="1"/>
  <c r="N1735" i="19"/>
  <c r="AD350" i="10"/>
  <c r="AM350" i="10" s="1"/>
  <c r="N1338" i="19"/>
  <c r="P1338" i="19" s="1"/>
  <c r="Q1338" i="19" s="1"/>
  <c r="N1336" i="19"/>
  <c r="P1336" i="19" s="1"/>
  <c r="Q1336" i="19" s="1"/>
  <c r="N1335" i="19"/>
  <c r="N1337" i="19"/>
  <c r="P1337" i="19" s="1"/>
  <c r="Q1337" i="19" s="1"/>
  <c r="N881" i="19"/>
  <c r="P881" i="19" s="1"/>
  <c r="Q881" i="19" s="1"/>
  <c r="N882" i="19"/>
  <c r="P882" i="19" s="1"/>
  <c r="Q882" i="19" s="1"/>
  <c r="N880" i="19"/>
  <c r="N883" i="19"/>
  <c r="P883" i="19" s="1"/>
  <c r="Q883" i="19" s="1"/>
  <c r="AD100" i="10"/>
  <c r="AM100" i="10" s="1"/>
  <c r="N75" i="19"/>
  <c r="N76" i="19"/>
  <c r="N78" i="19"/>
  <c r="P78" i="19" s="1"/>
  <c r="Q78" i="19" s="1"/>
  <c r="N77" i="19"/>
  <c r="P77" i="19" s="1"/>
  <c r="Q77" i="19" s="1"/>
  <c r="AD296" i="10"/>
  <c r="AM296" i="10" s="1"/>
  <c r="N1227" i="19"/>
  <c r="P1227" i="19" s="1"/>
  <c r="Q1227" i="19" s="1"/>
  <c r="N1226" i="19"/>
  <c r="P1226" i="19" s="1"/>
  <c r="Q1226" i="19" s="1"/>
  <c r="N1228" i="19"/>
  <c r="P1228" i="19" s="1"/>
  <c r="Q1228" i="19" s="1"/>
  <c r="N1225" i="19"/>
  <c r="N1326" i="19"/>
  <c r="P1326" i="19" s="1"/>
  <c r="Q1326" i="19" s="1"/>
  <c r="N1325" i="19"/>
  <c r="N1327" i="19"/>
  <c r="P1327" i="19" s="1"/>
  <c r="Q1327" i="19" s="1"/>
  <c r="N1328" i="19"/>
  <c r="P1328" i="19" s="1"/>
  <c r="Q1328" i="19" s="1"/>
  <c r="N182" i="19"/>
  <c r="P182" i="19" s="1"/>
  <c r="Q182" i="19" s="1"/>
  <c r="N183" i="19"/>
  <c r="P183" i="19" s="1"/>
  <c r="Q183" i="19" s="1"/>
  <c r="N180" i="19"/>
  <c r="N181" i="19"/>
  <c r="P181" i="19" s="1"/>
  <c r="Q181" i="19" s="1"/>
  <c r="N1295" i="19"/>
  <c r="N1296" i="19"/>
  <c r="P1296" i="19" s="1"/>
  <c r="Q1296" i="19" s="1"/>
  <c r="N1298" i="19"/>
  <c r="P1298" i="19" s="1"/>
  <c r="Q1298" i="19" s="1"/>
  <c r="N1297" i="19"/>
  <c r="P1297" i="19" s="1"/>
  <c r="Q1297" i="19" s="1"/>
  <c r="AD22" i="10"/>
  <c r="AM22" i="10" s="1"/>
  <c r="N896" i="19"/>
  <c r="P896" i="19" s="1"/>
  <c r="Q896" i="19" s="1"/>
  <c r="N898" i="19"/>
  <c r="P898" i="19" s="1"/>
  <c r="Q898" i="19" s="1"/>
  <c r="N895" i="19"/>
  <c r="N897" i="19"/>
  <c r="P897" i="19" s="1"/>
  <c r="Q897" i="19" s="1"/>
  <c r="N1543" i="19"/>
  <c r="P1543" i="19" s="1"/>
  <c r="Q1543" i="19" s="1"/>
  <c r="N1540" i="19"/>
  <c r="N1541" i="19"/>
  <c r="P1541" i="19" s="1"/>
  <c r="Q1541" i="19" s="1"/>
  <c r="N1542" i="19"/>
  <c r="P1542" i="19" s="1"/>
  <c r="Q1542" i="19" s="1"/>
  <c r="AD122" i="10"/>
  <c r="AM122" i="10" s="1"/>
  <c r="N128" i="19"/>
  <c r="P128" i="19" s="1"/>
  <c r="Q128" i="19" s="1"/>
  <c r="N127" i="19"/>
  <c r="P127" i="19" s="1"/>
  <c r="Q127" i="19" s="1"/>
  <c r="N126" i="19"/>
  <c r="N125" i="19"/>
  <c r="AD332" i="10"/>
  <c r="AM332" i="10" s="1"/>
  <c r="N1200" i="19"/>
  <c r="N1202" i="19"/>
  <c r="P1202" i="19" s="1"/>
  <c r="Q1202" i="19" s="1"/>
  <c r="N1203" i="19"/>
  <c r="P1203" i="19" s="1"/>
  <c r="Q1203" i="19" s="1"/>
  <c r="N1201" i="19"/>
  <c r="P1201" i="19" s="1"/>
  <c r="Q1201" i="19" s="1"/>
  <c r="AD33" i="10"/>
  <c r="AM33" i="10" s="1"/>
  <c r="AD218" i="10"/>
  <c r="AM218" i="10" s="1"/>
  <c r="N1557" i="19"/>
  <c r="P1557" i="19" s="1"/>
  <c r="Q1557" i="19" s="1"/>
  <c r="N1558" i="19"/>
  <c r="P1558" i="19" s="1"/>
  <c r="Q1558" i="19" s="1"/>
  <c r="N1555" i="19"/>
  <c r="N1556" i="19"/>
  <c r="P1556" i="19" s="1"/>
  <c r="Q1556" i="19" s="1"/>
  <c r="N312" i="19"/>
  <c r="P312" i="19" s="1"/>
  <c r="Q312" i="19" s="1"/>
  <c r="N310" i="19"/>
  <c r="N311" i="19"/>
  <c r="P311" i="19" s="1"/>
  <c r="Q311" i="19" s="1"/>
  <c r="N313" i="19"/>
  <c r="P313" i="19" s="1"/>
  <c r="Q313" i="19" s="1"/>
  <c r="AD70" i="10"/>
  <c r="AM70" i="10" s="1"/>
  <c r="AL199" i="10"/>
  <c r="M974" i="19"/>
  <c r="AD42" i="10"/>
  <c r="AM42" i="10" s="1"/>
  <c r="AD348" i="10"/>
  <c r="AM348" i="10" s="1"/>
  <c r="N622" i="19"/>
  <c r="P622" i="19" s="1"/>
  <c r="Q622" i="19" s="1"/>
  <c r="N621" i="19"/>
  <c r="N620" i="19"/>
  <c r="N623" i="19"/>
  <c r="P623" i="19" s="1"/>
  <c r="Q623" i="19" s="1"/>
  <c r="AL110" i="10"/>
  <c r="M529" i="19"/>
  <c r="AD133" i="10"/>
  <c r="AM133" i="10" s="1"/>
  <c r="AD278" i="10"/>
  <c r="AM278" i="10" s="1"/>
  <c r="N47" i="19"/>
  <c r="P47" i="19" s="1"/>
  <c r="Q47" i="19" s="1"/>
  <c r="N48" i="19"/>
  <c r="P48" i="19" s="1"/>
  <c r="Q48" i="19" s="1"/>
  <c r="N46" i="19"/>
  <c r="N45" i="19"/>
  <c r="AD230" i="10"/>
  <c r="AM230" i="10" s="1"/>
  <c r="AD11" i="10"/>
  <c r="AM11" i="10" s="1"/>
  <c r="N1677" i="19"/>
  <c r="P1677" i="19" s="1"/>
  <c r="Q1677" i="19" s="1"/>
  <c r="N1675" i="19"/>
  <c r="N1678" i="19"/>
  <c r="P1678" i="19" s="1"/>
  <c r="Q1678" i="19" s="1"/>
  <c r="N1676" i="19"/>
  <c r="P1676" i="19" s="1"/>
  <c r="Q1676" i="19" s="1"/>
  <c r="AD45" i="10"/>
  <c r="AM45" i="10" s="1"/>
  <c r="AD162" i="10"/>
  <c r="AM162" i="10" s="1"/>
  <c r="AD187" i="10"/>
  <c r="AM187" i="10" s="1"/>
  <c r="N1613" i="19"/>
  <c r="P1613" i="19" s="1"/>
  <c r="Q1613" i="19" s="1"/>
  <c r="N1611" i="19"/>
  <c r="P1611" i="19" s="1"/>
  <c r="Q1611" i="19" s="1"/>
  <c r="N1610" i="19"/>
  <c r="N1612" i="19"/>
  <c r="P1612" i="19" s="1"/>
  <c r="Q1612" i="19" s="1"/>
  <c r="AD341" i="10"/>
  <c r="AM341" i="10" s="1"/>
  <c r="N1151" i="19"/>
  <c r="P1151" i="19" s="1"/>
  <c r="Q1151" i="19" s="1"/>
  <c r="N1153" i="19"/>
  <c r="P1153" i="19" s="1"/>
  <c r="Q1153" i="19" s="1"/>
  <c r="N1152" i="19"/>
  <c r="P1152" i="19" s="1"/>
  <c r="Q1152" i="19" s="1"/>
  <c r="N1150" i="19"/>
  <c r="N872" i="19"/>
  <c r="P872" i="19" s="1"/>
  <c r="Q872" i="19" s="1"/>
  <c r="N873" i="19"/>
  <c r="P873" i="19" s="1"/>
  <c r="Q873" i="19" s="1"/>
  <c r="N871" i="19"/>
  <c r="P871" i="19" s="1"/>
  <c r="Q871" i="19" s="1"/>
  <c r="N870" i="19"/>
  <c r="AD334" i="10"/>
  <c r="AM334" i="10" s="1"/>
  <c r="AD169" i="10"/>
  <c r="AM169" i="10" s="1"/>
  <c r="AD315" i="10"/>
  <c r="AM315" i="10" s="1"/>
  <c r="N497" i="19"/>
  <c r="P497" i="19" s="1"/>
  <c r="Q497" i="19" s="1"/>
  <c r="N498" i="19"/>
  <c r="P498" i="19" s="1"/>
  <c r="Q498" i="19" s="1"/>
  <c r="N495" i="19"/>
  <c r="N496" i="19"/>
  <c r="P496" i="19" s="1"/>
  <c r="Q496" i="19" s="1"/>
  <c r="AD215" i="10"/>
  <c r="AM215" i="10" s="1"/>
  <c r="AD301" i="10"/>
  <c r="AM301" i="10" s="1"/>
  <c r="N1723" i="19"/>
  <c r="P1723" i="19" s="1"/>
  <c r="Q1723" i="19" s="1"/>
  <c r="N1722" i="19"/>
  <c r="P1722" i="19" s="1"/>
  <c r="Q1722" i="19" s="1"/>
  <c r="N1720" i="19"/>
  <c r="N1721" i="19"/>
  <c r="P1721" i="19" s="1"/>
  <c r="Q1721" i="19" s="1"/>
  <c r="N90" i="19"/>
  <c r="N91" i="19"/>
  <c r="N92" i="19"/>
  <c r="P92" i="19" s="1"/>
  <c r="Q92" i="19" s="1"/>
  <c r="N93" i="19"/>
  <c r="P93" i="19" s="1"/>
  <c r="Q93" i="19" s="1"/>
  <c r="AD160" i="10"/>
  <c r="AM160" i="10" s="1"/>
  <c r="AD27" i="10"/>
  <c r="AM27" i="10" s="1"/>
  <c r="N1193" i="19"/>
  <c r="P1193" i="19" s="1"/>
  <c r="Q1193" i="19" s="1"/>
  <c r="N1191" i="19"/>
  <c r="P1191" i="19" s="1"/>
  <c r="Q1191" i="19" s="1"/>
  <c r="N1192" i="19"/>
  <c r="P1192" i="19" s="1"/>
  <c r="Q1192" i="19" s="1"/>
  <c r="N1190" i="19"/>
  <c r="N237" i="19"/>
  <c r="P237" i="19" s="1"/>
  <c r="Q237" i="19" s="1"/>
  <c r="N236" i="19"/>
  <c r="P236" i="19" s="1"/>
  <c r="Q236" i="19" s="1"/>
  <c r="N235" i="19"/>
  <c r="N238" i="19"/>
  <c r="P238" i="19" s="1"/>
  <c r="Q238" i="19" s="1"/>
  <c r="AD170" i="10"/>
  <c r="AM170" i="10" s="1"/>
  <c r="N565" i="19"/>
  <c r="N566" i="19"/>
  <c r="N568" i="19"/>
  <c r="P568" i="19" s="1"/>
  <c r="Q568" i="19" s="1"/>
  <c r="N567" i="19"/>
  <c r="P567" i="19" s="1"/>
  <c r="Q567" i="19" s="1"/>
  <c r="N965" i="19"/>
  <c r="N967" i="19"/>
  <c r="N968" i="19"/>
  <c r="P968" i="19" s="1"/>
  <c r="Q968" i="19" s="1"/>
  <c r="N966" i="19"/>
  <c r="P966" i="19" s="1"/>
  <c r="Q966" i="19" s="1"/>
  <c r="N106" i="19"/>
  <c r="N108" i="19"/>
  <c r="P108" i="19" s="1"/>
  <c r="Q108" i="19" s="1"/>
  <c r="N105" i="19"/>
  <c r="N107" i="19"/>
  <c r="P107" i="19" s="1"/>
  <c r="Q107" i="19" s="1"/>
  <c r="AD40" i="10"/>
  <c r="AM40" i="10" s="1"/>
  <c r="AD80" i="10"/>
  <c r="AM80" i="10" s="1"/>
  <c r="AD213" i="10"/>
  <c r="AM213" i="10" s="1"/>
  <c r="N762" i="19"/>
  <c r="P762" i="19" s="1"/>
  <c r="Q762" i="19" s="1"/>
  <c r="N760" i="19"/>
  <c r="N763" i="19"/>
  <c r="P763" i="19" s="1"/>
  <c r="Q763" i="19" s="1"/>
  <c r="N761" i="19"/>
  <c r="P761" i="19" s="1"/>
  <c r="Q761" i="19" s="1"/>
  <c r="N1608" i="19"/>
  <c r="P1608" i="19" s="1"/>
  <c r="Q1608" i="19" s="1"/>
  <c r="N1606" i="19"/>
  <c r="P1606" i="19" s="1"/>
  <c r="Q1606" i="19" s="1"/>
  <c r="N1605" i="19"/>
  <c r="N1607" i="19"/>
  <c r="P1607" i="19" s="1"/>
  <c r="Q1607" i="19" s="1"/>
  <c r="AD24" i="10"/>
  <c r="AM24" i="10" s="1"/>
  <c r="N747" i="19"/>
  <c r="P747" i="19" s="1"/>
  <c r="Q747" i="19" s="1"/>
  <c r="N748" i="19"/>
  <c r="P748" i="19" s="1"/>
  <c r="Q748" i="19" s="1"/>
  <c r="N745" i="19"/>
  <c r="N746" i="19"/>
  <c r="N1243" i="19"/>
  <c r="P1243" i="19" s="1"/>
  <c r="Q1243" i="19" s="1"/>
  <c r="N1240" i="19"/>
  <c r="N1242" i="19"/>
  <c r="P1242" i="19" s="1"/>
  <c r="Q1242" i="19" s="1"/>
  <c r="N1241" i="19"/>
  <c r="P1241" i="19" s="1"/>
  <c r="Q1241" i="19" s="1"/>
  <c r="N1098" i="19"/>
  <c r="P1098" i="19" s="1"/>
  <c r="Q1098" i="19" s="1"/>
  <c r="N1097" i="19"/>
  <c r="P1097" i="19" s="1"/>
  <c r="Q1097" i="19" s="1"/>
  <c r="N1096" i="19"/>
  <c r="P1096" i="19" s="1"/>
  <c r="Q1096" i="19" s="1"/>
  <c r="N1095" i="19"/>
  <c r="AD237" i="10"/>
  <c r="AM237" i="10" s="1"/>
  <c r="AD119" i="10"/>
  <c r="AM119" i="10" s="1"/>
  <c r="M264" i="19"/>
  <c r="AL57" i="10"/>
  <c r="AD59" i="10"/>
  <c r="AM59" i="10" s="1"/>
  <c r="AD263" i="10"/>
  <c r="AM263" i="10" s="1"/>
  <c r="AD108" i="10"/>
  <c r="AM108" i="10" s="1"/>
  <c r="AD283" i="10"/>
  <c r="AM283" i="10" s="1"/>
  <c r="N542" i="19"/>
  <c r="P542" i="19" s="1"/>
  <c r="Q542" i="19" s="1"/>
  <c r="N543" i="19"/>
  <c r="P543" i="19" s="1"/>
  <c r="Q543" i="19" s="1"/>
  <c r="N540" i="19"/>
  <c r="N541" i="19"/>
  <c r="P541" i="19" s="1"/>
  <c r="Q541" i="19" s="1"/>
  <c r="AD310" i="10"/>
  <c r="AM310" i="10" s="1"/>
  <c r="AD96" i="10"/>
  <c r="AM96" i="10" s="1"/>
  <c r="AD190" i="10"/>
  <c r="AM190" i="10" s="1"/>
  <c r="N1642" i="19"/>
  <c r="P1642" i="19" s="1"/>
  <c r="Q1642" i="19" s="1"/>
  <c r="N1640" i="19"/>
  <c r="N1641" i="19"/>
  <c r="P1641" i="19" s="1"/>
  <c r="Q1641" i="19" s="1"/>
  <c r="N1643" i="19"/>
  <c r="P1643" i="19" s="1"/>
  <c r="Q1643" i="19" s="1"/>
  <c r="AD292" i="10"/>
  <c r="AM292" i="10" s="1"/>
  <c r="AD272" i="10"/>
  <c r="AM272" i="10" s="1"/>
  <c r="N391" i="19"/>
  <c r="P391" i="19" s="1"/>
  <c r="Q391" i="19" s="1"/>
  <c r="N390" i="19"/>
  <c r="N392" i="19"/>
  <c r="P392" i="19" s="1"/>
  <c r="Q392" i="19" s="1"/>
  <c r="N393" i="19"/>
  <c r="P393" i="19" s="1"/>
  <c r="Q393" i="19" s="1"/>
  <c r="AD159" i="10"/>
  <c r="AM159" i="10" s="1"/>
  <c r="N1135" i="19"/>
  <c r="N1138" i="19"/>
  <c r="P1138" i="19" s="1"/>
  <c r="Q1138" i="19" s="1"/>
  <c r="N1137" i="19"/>
  <c r="P1137" i="19" s="1"/>
  <c r="Q1137" i="19" s="1"/>
  <c r="N1136" i="19"/>
  <c r="P1136" i="19" s="1"/>
  <c r="Q1136" i="19" s="1"/>
  <c r="AD139" i="10"/>
  <c r="AM139" i="10" s="1"/>
  <c r="N556" i="19"/>
  <c r="P556" i="19" s="1"/>
  <c r="Q556" i="19" s="1"/>
  <c r="N557" i="19"/>
  <c r="P557" i="19" s="1"/>
  <c r="Q557" i="19" s="1"/>
  <c r="N555" i="19"/>
  <c r="N558" i="19"/>
  <c r="P558" i="19" s="1"/>
  <c r="Q558" i="19" s="1"/>
  <c r="N1456" i="19"/>
  <c r="P1456" i="19" s="1"/>
  <c r="Q1456" i="19" s="1"/>
  <c r="N1458" i="19"/>
  <c r="P1458" i="19" s="1"/>
  <c r="Q1458" i="19" s="1"/>
  <c r="N1455" i="19"/>
  <c r="N1457" i="19"/>
  <c r="P1457" i="19" s="1"/>
  <c r="Q1457" i="19" s="1"/>
  <c r="AD205" i="10"/>
  <c r="AM205" i="10" s="1"/>
  <c r="AD250" i="10"/>
  <c r="AM250" i="10" s="1"/>
  <c r="AD270" i="10"/>
  <c r="AM270" i="10" s="1"/>
  <c r="AD285" i="10"/>
  <c r="AM285" i="10" s="1"/>
  <c r="AD140" i="10"/>
  <c r="AM140" i="10" s="1"/>
  <c r="AD264" i="10"/>
  <c r="AM264" i="10" s="1"/>
  <c r="AD184" i="10"/>
  <c r="AM184" i="10" s="1"/>
  <c r="AD313" i="10"/>
  <c r="AM313" i="10" s="1"/>
  <c r="N453" i="19"/>
  <c r="P453" i="19" s="1"/>
  <c r="Q453" i="19" s="1"/>
  <c r="N450" i="19"/>
  <c r="N452" i="19"/>
  <c r="P452" i="19" s="1"/>
  <c r="Q452" i="19" s="1"/>
  <c r="N451" i="19"/>
  <c r="P451" i="19" s="1"/>
  <c r="Q451" i="19" s="1"/>
  <c r="N1122" i="19"/>
  <c r="N1121" i="19"/>
  <c r="P1121" i="19" s="1"/>
  <c r="Q1121" i="19" s="1"/>
  <c r="N1120" i="19"/>
  <c r="N1123" i="19"/>
  <c r="P1123" i="19" s="1"/>
  <c r="Q1123" i="19" s="1"/>
  <c r="AD147" i="10"/>
  <c r="AM147" i="10" s="1"/>
  <c r="AD258" i="10"/>
  <c r="AM258" i="10" s="1"/>
  <c r="N1356" i="19"/>
  <c r="P1356" i="19" s="1"/>
  <c r="Q1356" i="19" s="1"/>
  <c r="N1358" i="19"/>
  <c r="P1358" i="19" s="1"/>
  <c r="Q1358" i="19" s="1"/>
  <c r="N1357" i="19"/>
  <c r="P1357" i="19" s="1"/>
  <c r="Q1357" i="19" s="1"/>
  <c r="N1355" i="19"/>
  <c r="AD316" i="10"/>
  <c r="AM316" i="10" s="1"/>
  <c r="AD357" i="10"/>
  <c r="AM357" i="10" s="1"/>
  <c r="N395" i="19"/>
  <c r="N397" i="19"/>
  <c r="P397" i="19" s="1"/>
  <c r="Q397" i="19" s="1"/>
  <c r="N396" i="19"/>
  <c r="N398" i="19"/>
  <c r="P398" i="19" s="1"/>
  <c r="Q398" i="19" s="1"/>
  <c r="AD163" i="10"/>
  <c r="AM163" i="10" s="1"/>
  <c r="N1562" i="19"/>
  <c r="P1562" i="19" s="1"/>
  <c r="Q1562" i="19" s="1"/>
  <c r="N1561" i="19"/>
  <c r="N1563" i="19"/>
  <c r="P1563" i="19" s="1"/>
  <c r="Q1563" i="19" s="1"/>
  <c r="N1560" i="19"/>
  <c r="N1716" i="19"/>
  <c r="P1716" i="19" s="1"/>
  <c r="Q1716" i="19" s="1"/>
  <c r="N1718" i="19"/>
  <c r="P1718" i="19" s="1"/>
  <c r="Q1718" i="19" s="1"/>
  <c r="N1715" i="19"/>
  <c r="N1717" i="19"/>
  <c r="P1717" i="19" s="1"/>
  <c r="Q1717" i="19" s="1"/>
  <c r="N356" i="19"/>
  <c r="P356" i="19" s="1"/>
  <c r="Q356" i="19" s="1"/>
  <c r="N357" i="19"/>
  <c r="P357" i="19" s="1"/>
  <c r="Q357" i="19" s="1"/>
  <c r="N358" i="19"/>
  <c r="P358" i="19" s="1"/>
  <c r="Q358" i="19" s="1"/>
  <c r="N355" i="19"/>
  <c r="N642" i="19"/>
  <c r="P642" i="19" s="1"/>
  <c r="Q642" i="19" s="1"/>
  <c r="N640" i="19"/>
  <c r="N641" i="19"/>
  <c r="P641" i="19" s="1"/>
  <c r="Q641" i="19" s="1"/>
  <c r="N643" i="19"/>
  <c r="P643" i="19" s="1"/>
  <c r="Q643" i="19" s="1"/>
  <c r="AD14" i="10"/>
  <c r="AM14" i="10" s="1"/>
  <c r="N686" i="19"/>
  <c r="P686" i="19" s="1"/>
  <c r="Q686" i="19" s="1"/>
  <c r="N685" i="19"/>
  <c r="N687" i="19"/>
  <c r="P687" i="19" s="1"/>
  <c r="Q687" i="19" s="1"/>
  <c r="N688" i="19"/>
  <c r="P688" i="19" s="1"/>
  <c r="Q688" i="19" s="1"/>
  <c r="N786" i="19"/>
  <c r="P786" i="19" s="1"/>
  <c r="Q786" i="19" s="1"/>
  <c r="N788" i="19"/>
  <c r="P788" i="19" s="1"/>
  <c r="Q788" i="19" s="1"/>
  <c r="N785" i="19"/>
  <c r="N787" i="19"/>
  <c r="AD73" i="10"/>
  <c r="AM73" i="10" s="1"/>
  <c r="N602" i="19"/>
  <c r="P602" i="19" s="1"/>
  <c r="Q602" i="19" s="1"/>
  <c r="N603" i="19"/>
  <c r="P603" i="19" s="1"/>
  <c r="Q603" i="19" s="1"/>
  <c r="N601" i="19"/>
  <c r="N600" i="19"/>
  <c r="N1406" i="19"/>
  <c r="P1406" i="19" s="1"/>
  <c r="Q1406" i="19" s="1"/>
  <c r="N1407" i="19"/>
  <c r="P1407" i="19" s="1"/>
  <c r="Q1407" i="19" s="1"/>
  <c r="N1408" i="19"/>
  <c r="P1408" i="19" s="1"/>
  <c r="Q1408" i="19" s="1"/>
  <c r="N1405" i="19"/>
  <c r="N489" i="19" l="1"/>
  <c r="J103" i="13"/>
  <c r="N1089" i="19"/>
  <c r="P210" i="19"/>
  <c r="Q210" i="19" s="1"/>
  <c r="J149" i="13"/>
  <c r="J94" i="15" s="1"/>
  <c r="K94" i="15" s="1"/>
  <c r="N1113" i="19"/>
  <c r="P1113" i="19" s="1"/>
  <c r="Q1113" i="19" s="1"/>
  <c r="N1110" i="19"/>
  <c r="J228" i="13" s="1"/>
  <c r="N1111" i="19"/>
  <c r="P1111" i="19" s="1"/>
  <c r="Q1111" i="19" s="1"/>
  <c r="N1020" i="19"/>
  <c r="P1020" i="19" s="1"/>
  <c r="Q1020" i="19" s="1"/>
  <c r="N1021" i="19"/>
  <c r="N1022" i="19"/>
  <c r="P1022" i="19" s="1"/>
  <c r="Q1022" i="19" s="1"/>
  <c r="N1670" i="19"/>
  <c r="P1670" i="19" s="1"/>
  <c r="N1567" i="19"/>
  <c r="P1567" i="19" s="1"/>
  <c r="N214" i="19"/>
  <c r="AD318" i="10"/>
  <c r="AM318" i="10" s="1"/>
  <c r="N1671" i="19"/>
  <c r="P1671" i="19" s="1"/>
  <c r="Q1671" i="19" s="1"/>
  <c r="N1566" i="19"/>
  <c r="K35" i="16" s="1"/>
  <c r="L35" i="16" s="1"/>
  <c r="N719" i="19"/>
  <c r="N1568" i="19"/>
  <c r="P1568" i="19" s="1"/>
  <c r="N1673" i="19"/>
  <c r="P1673" i="19" s="1"/>
  <c r="Q1673" i="19" s="1"/>
  <c r="N1033" i="19"/>
  <c r="P1033" i="19" s="1"/>
  <c r="Q1033" i="19" s="1"/>
  <c r="P1250" i="19"/>
  <c r="Q1250" i="19" s="1"/>
  <c r="N1031" i="19"/>
  <c r="P1031" i="19" s="1"/>
  <c r="Q1031" i="19" s="1"/>
  <c r="N1032" i="19"/>
  <c r="P1032" i="19" s="1"/>
  <c r="Q1032" i="19" s="1"/>
  <c r="P1692" i="19"/>
  <c r="Q1692" i="19" s="1"/>
  <c r="K37" i="16"/>
  <c r="L37" i="16" s="1"/>
  <c r="P1452" i="19"/>
  <c r="Q1452" i="19" s="1"/>
  <c r="K34" i="16"/>
  <c r="L34" i="16" s="1"/>
  <c r="P576" i="19"/>
  <c r="Q576" i="19" s="1"/>
  <c r="K26" i="16"/>
  <c r="L26" i="16" s="1"/>
  <c r="P1038" i="19"/>
  <c r="Q1038" i="19" s="1"/>
  <c r="K30" i="16"/>
  <c r="L30" i="16" s="1"/>
  <c r="P461" i="19"/>
  <c r="Q461" i="19" s="1"/>
  <c r="K24" i="16"/>
  <c r="L24" i="16" s="1"/>
  <c r="P1603" i="19"/>
  <c r="Q1603" i="19" s="1"/>
  <c r="K36" i="16"/>
  <c r="L36" i="16" s="1"/>
  <c r="P537" i="19"/>
  <c r="Q537" i="19" s="1"/>
  <c r="K25" i="16"/>
  <c r="L25" i="16" s="1"/>
  <c r="P1122" i="19"/>
  <c r="Q1122" i="19" s="1"/>
  <c r="K32" i="16"/>
  <c r="L32" i="16" s="1"/>
  <c r="P787" i="19"/>
  <c r="Q787" i="19" s="1"/>
  <c r="K28" i="16"/>
  <c r="L28" i="16" s="1"/>
  <c r="P657" i="19"/>
  <c r="Q657" i="19" s="1"/>
  <c r="K27" i="16"/>
  <c r="L27" i="16" s="1"/>
  <c r="P967" i="19"/>
  <c r="Q967" i="19" s="1"/>
  <c r="K29" i="16"/>
  <c r="L29" i="16" s="1"/>
  <c r="P1347" i="19"/>
  <c r="Q1347" i="19" s="1"/>
  <c r="K33" i="16"/>
  <c r="L33" i="16" s="1"/>
  <c r="P377" i="19"/>
  <c r="Q377" i="19" s="1"/>
  <c r="K23" i="16"/>
  <c r="L23" i="16" s="1"/>
  <c r="P1602" i="19"/>
  <c r="Q1602" i="19" s="1"/>
  <c r="K22" i="16"/>
  <c r="L22" i="16" s="1"/>
  <c r="N638" i="19"/>
  <c r="P638" i="19" s="1"/>
  <c r="Q638" i="19" s="1"/>
  <c r="N1420" i="19"/>
  <c r="J290" i="13" s="1"/>
  <c r="N1423" i="19"/>
  <c r="P1423" i="19" s="1"/>
  <c r="Q1423" i="19" s="1"/>
  <c r="N1421" i="19"/>
  <c r="P1421" i="19" s="1"/>
  <c r="Q1421" i="19" s="1"/>
  <c r="N1254" i="19"/>
  <c r="N1506" i="19"/>
  <c r="P1506" i="19" s="1"/>
  <c r="Q1506" i="19" s="1"/>
  <c r="J175" i="13"/>
  <c r="J114" i="15" s="1"/>
  <c r="K114" i="15" s="1"/>
  <c r="N849" i="19"/>
  <c r="J138" i="13"/>
  <c r="K138" i="13" s="1"/>
  <c r="L138" i="13" s="1"/>
  <c r="N1507" i="19"/>
  <c r="P1507" i="19" s="1"/>
  <c r="Q1507" i="19" s="1"/>
  <c r="N1508" i="19"/>
  <c r="P1508" i="19" s="1"/>
  <c r="Q1508" i="19" s="1"/>
  <c r="N664" i="19"/>
  <c r="K21" i="16"/>
  <c r="L21" i="16" s="1"/>
  <c r="N1590" i="19"/>
  <c r="J324" i="13" s="1"/>
  <c r="N635" i="19"/>
  <c r="J133" i="13" s="1"/>
  <c r="N636" i="19"/>
  <c r="P636" i="19" s="1"/>
  <c r="Q636" i="19" s="1"/>
  <c r="N1592" i="19"/>
  <c r="P1592" i="19" s="1"/>
  <c r="Q1592" i="19" s="1"/>
  <c r="N1591" i="19"/>
  <c r="P1591" i="19" s="1"/>
  <c r="Q1591" i="19" s="1"/>
  <c r="AD320" i="10"/>
  <c r="AM320" i="10" s="1"/>
  <c r="N1575" i="19"/>
  <c r="N1578" i="19"/>
  <c r="P1578" i="19" s="1"/>
  <c r="Q1578" i="19" s="1"/>
  <c r="N1577" i="19"/>
  <c r="P1577" i="19" s="1"/>
  <c r="Q1577" i="19" s="1"/>
  <c r="N1576" i="19"/>
  <c r="P1576" i="19" s="1"/>
  <c r="Q1576" i="19" s="1"/>
  <c r="P1605" i="19"/>
  <c r="N1609" i="19"/>
  <c r="J327" i="13"/>
  <c r="P1715" i="19"/>
  <c r="N1719" i="19"/>
  <c r="J349" i="13"/>
  <c r="AD57" i="10"/>
  <c r="AM57" i="10" s="1"/>
  <c r="N884" i="19"/>
  <c r="P880" i="19"/>
  <c r="J182" i="13"/>
  <c r="P640" i="19"/>
  <c r="N644" i="19"/>
  <c r="J134" i="13"/>
  <c r="N263" i="19"/>
  <c r="P263" i="19" s="1"/>
  <c r="Q263" i="19" s="1"/>
  <c r="N261" i="19"/>
  <c r="N260" i="19"/>
  <c r="N262" i="19"/>
  <c r="P262" i="19" s="1"/>
  <c r="Q262" i="19" s="1"/>
  <c r="J53" i="13"/>
  <c r="P235" i="19"/>
  <c r="N239" i="19"/>
  <c r="P1720" i="19"/>
  <c r="N1724" i="19"/>
  <c r="J350" i="13"/>
  <c r="J236" i="13"/>
  <c r="P1150" i="19"/>
  <c r="N1154" i="19"/>
  <c r="P45" i="19"/>
  <c r="N49" i="19"/>
  <c r="J15" i="13"/>
  <c r="N528" i="19"/>
  <c r="P528" i="19" s="1"/>
  <c r="Q528" i="19" s="1"/>
  <c r="N526" i="19"/>
  <c r="P526" i="19" s="1"/>
  <c r="Q526" i="19" s="1"/>
  <c r="N527" i="19"/>
  <c r="P527" i="19" s="1"/>
  <c r="Q527" i="19" s="1"/>
  <c r="N525" i="19"/>
  <c r="J271" i="13"/>
  <c r="N1329" i="19"/>
  <c r="P1325" i="19"/>
  <c r="J353" i="13"/>
  <c r="N1739" i="19"/>
  <c r="P1735" i="19"/>
  <c r="P1545" i="19"/>
  <c r="J315" i="13"/>
  <c r="N1549" i="19"/>
  <c r="P1480" i="19"/>
  <c r="J302" i="13"/>
  <c r="N1484" i="19"/>
  <c r="P860" i="19"/>
  <c r="J178" i="13"/>
  <c r="N864" i="19"/>
  <c r="J434" i="13"/>
  <c r="P291" i="19"/>
  <c r="Q291" i="19" s="1"/>
  <c r="J430" i="13"/>
  <c r="P17" i="19"/>
  <c r="Q17" i="19" s="1"/>
  <c r="P586" i="19"/>
  <c r="Q586" i="19" s="1"/>
  <c r="J403" i="13"/>
  <c r="J194" i="13"/>
  <c r="N944" i="19"/>
  <c r="P940" i="19"/>
  <c r="J137" i="13"/>
  <c r="P655" i="19"/>
  <c r="N659" i="19"/>
  <c r="P955" i="19"/>
  <c r="J197" i="13"/>
  <c r="N959" i="19"/>
  <c r="N1539" i="19"/>
  <c r="P1535" i="19"/>
  <c r="J313" i="13"/>
  <c r="AR223" i="13"/>
  <c r="K223" i="13"/>
  <c r="L223" i="13" s="1"/>
  <c r="J208" i="13"/>
  <c r="N1014" i="19"/>
  <c r="P1010" i="19"/>
  <c r="N594" i="19"/>
  <c r="J124" i="13"/>
  <c r="P590" i="19"/>
  <c r="J100" i="13"/>
  <c r="N474" i="19"/>
  <c r="P470" i="19"/>
  <c r="N769" i="19"/>
  <c r="P765" i="19"/>
  <c r="J159" i="13"/>
  <c r="P147" i="19"/>
  <c r="Q147" i="19" s="1"/>
  <c r="J418" i="13"/>
  <c r="J75" i="13"/>
  <c r="N349" i="19"/>
  <c r="P345" i="19"/>
  <c r="P990" i="19"/>
  <c r="J204" i="13"/>
  <c r="N994" i="19"/>
  <c r="P191" i="19"/>
  <c r="Q191" i="19" s="1"/>
  <c r="J91" i="13"/>
  <c r="N429" i="19"/>
  <c r="P425" i="19"/>
  <c r="P755" i="19"/>
  <c r="J157" i="13"/>
  <c r="N759" i="19"/>
  <c r="N939" i="19"/>
  <c r="P935" i="19"/>
  <c r="J193" i="13"/>
  <c r="J16" i="13"/>
  <c r="P50" i="19"/>
  <c r="N54" i="19"/>
  <c r="J63" i="13"/>
  <c r="P285" i="19"/>
  <c r="N289" i="19"/>
  <c r="J319" i="13"/>
  <c r="J213" i="15" s="1"/>
  <c r="K213" i="15" s="1"/>
  <c r="P401" i="19"/>
  <c r="Q401" i="19" s="1"/>
  <c r="J428" i="13"/>
  <c r="J107" i="13"/>
  <c r="P505" i="19"/>
  <c r="N509" i="19"/>
  <c r="J237" i="13"/>
  <c r="P1155" i="19"/>
  <c r="N1159" i="19"/>
  <c r="N1179" i="19"/>
  <c r="J241" i="13"/>
  <c r="P1175" i="19"/>
  <c r="P1131" i="19"/>
  <c r="Q1131" i="19" s="1"/>
  <c r="J378" i="13"/>
  <c r="P1115" i="19"/>
  <c r="N1119" i="19"/>
  <c r="J229" i="13"/>
  <c r="N1689" i="19"/>
  <c r="P1685" i="19"/>
  <c r="J343" i="13"/>
  <c r="J166" i="13"/>
  <c r="N804" i="19"/>
  <c r="P800" i="19"/>
  <c r="N1269" i="19"/>
  <c r="P1265" i="19"/>
  <c r="J259" i="13"/>
  <c r="P475" i="19"/>
  <c r="N479" i="19"/>
  <c r="J101" i="13"/>
  <c r="P520" i="19"/>
  <c r="J110" i="13"/>
  <c r="N524" i="19"/>
  <c r="P510" i="19"/>
  <c r="J108" i="13"/>
  <c r="N514" i="19"/>
  <c r="P375" i="19"/>
  <c r="N379" i="19"/>
  <c r="J81" i="13"/>
  <c r="P1665" i="19"/>
  <c r="J339" i="13"/>
  <c r="N1669" i="19"/>
  <c r="N1454" i="19"/>
  <c r="P1450" i="19"/>
  <c r="J296" i="13"/>
  <c r="P106" i="19"/>
  <c r="Q106" i="19" s="1"/>
  <c r="J384" i="13"/>
  <c r="P601" i="19"/>
  <c r="Q601" i="19" s="1"/>
  <c r="J328" i="13"/>
  <c r="N1614" i="19"/>
  <c r="P1610" i="19"/>
  <c r="J277" i="13"/>
  <c r="N1359" i="19"/>
  <c r="P1355" i="19"/>
  <c r="J199" i="13"/>
  <c r="P965" i="19"/>
  <c r="N969" i="19"/>
  <c r="N499" i="19"/>
  <c r="J105" i="13"/>
  <c r="P495" i="19"/>
  <c r="P396" i="19"/>
  <c r="Q396" i="19" s="1"/>
  <c r="J375" i="13"/>
  <c r="N1124" i="19"/>
  <c r="P1120" i="19"/>
  <c r="J230" i="13"/>
  <c r="N1459" i="19"/>
  <c r="P1455" i="19"/>
  <c r="J297" i="13"/>
  <c r="J158" i="13"/>
  <c r="P760" i="19"/>
  <c r="N764" i="19"/>
  <c r="J170" i="15"/>
  <c r="K170" i="15" s="1"/>
  <c r="K256" i="13"/>
  <c r="L256" i="13" s="1"/>
  <c r="AR256" i="13"/>
  <c r="P46" i="19"/>
  <c r="Q46" i="19" s="1"/>
  <c r="J362" i="13"/>
  <c r="N899" i="19"/>
  <c r="J185" i="13"/>
  <c r="P895" i="19"/>
  <c r="N1299" i="19"/>
  <c r="J265" i="13"/>
  <c r="P1295" i="19"/>
  <c r="J311" i="13"/>
  <c r="N1529" i="19"/>
  <c r="P1525" i="19"/>
  <c r="P1290" i="19"/>
  <c r="N1294" i="19"/>
  <c r="J264" i="13"/>
  <c r="J120" i="13"/>
  <c r="P570" i="19"/>
  <c r="N574" i="19"/>
  <c r="J73" i="13"/>
  <c r="N339" i="19"/>
  <c r="P335" i="19"/>
  <c r="P435" i="19"/>
  <c r="N439" i="19"/>
  <c r="J93" i="13"/>
  <c r="P500" i="19"/>
  <c r="N504" i="19"/>
  <c r="J106" i="13"/>
  <c r="P170" i="19"/>
  <c r="N174" i="19"/>
  <c r="J40" i="13"/>
  <c r="P290" i="19"/>
  <c r="J64" i="13"/>
  <c r="N294" i="19"/>
  <c r="J12" i="13"/>
  <c r="N34" i="19"/>
  <c r="P30" i="19"/>
  <c r="P185" i="19"/>
  <c r="J43" i="13"/>
  <c r="N189" i="19"/>
  <c r="J78" i="13"/>
  <c r="N364" i="19"/>
  <c r="P360" i="19"/>
  <c r="P142" i="19"/>
  <c r="Q142" i="19" s="1"/>
  <c r="J421" i="13"/>
  <c r="N1729" i="19"/>
  <c r="P1725" i="19"/>
  <c r="J351" i="13"/>
  <c r="J145" i="13"/>
  <c r="P695" i="19"/>
  <c r="N699" i="19"/>
  <c r="J203" i="13"/>
  <c r="N989" i="19"/>
  <c r="P985" i="19"/>
  <c r="P481" i="19"/>
  <c r="Q481" i="19" s="1"/>
  <c r="J425" i="13"/>
  <c r="J39" i="13"/>
  <c r="N169" i="19"/>
  <c r="P165" i="19"/>
  <c r="J112" i="13"/>
  <c r="N534" i="19"/>
  <c r="P530" i="19"/>
  <c r="P216" i="19"/>
  <c r="Q216" i="19" s="1"/>
  <c r="J369" i="13"/>
  <c r="P1570" i="19"/>
  <c r="N1574" i="19"/>
  <c r="J320" i="13"/>
  <c r="J300" i="13"/>
  <c r="P1470" i="19"/>
  <c r="N1474" i="19"/>
  <c r="P281" i="19"/>
  <c r="Q281" i="19" s="1"/>
  <c r="J243" i="13"/>
  <c r="P1185" i="19"/>
  <c r="N1189" i="19"/>
  <c r="P146" i="19"/>
  <c r="Q146" i="19" s="1"/>
  <c r="J367" i="13"/>
  <c r="J50" i="13"/>
  <c r="N224" i="19"/>
  <c r="P220" i="19"/>
  <c r="N1654" i="19"/>
  <c r="P1650" i="19"/>
  <c r="J336" i="13"/>
  <c r="N1699" i="19"/>
  <c r="P1695" i="19"/>
  <c r="J345" i="13"/>
  <c r="P719" i="19"/>
  <c r="Q719" i="19" s="1"/>
  <c r="Q715" i="19"/>
  <c r="N1019" i="19"/>
  <c r="J209" i="13"/>
  <c r="P1015" i="19"/>
  <c r="J44" i="13"/>
  <c r="P190" i="19"/>
  <c r="N194" i="19"/>
  <c r="N739" i="19"/>
  <c r="P735" i="19"/>
  <c r="J153" i="13"/>
  <c r="J183" i="13"/>
  <c r="P885" i="19"/>
  <c r="N889" i="19"/>
  <c r="P550" i="19"/>
  <c r="N554" i="19"/>
  <c r="J116" i="13"/>
  <c r="P1410" i="19"/>
  <c r="N1414" i="19"/>
  <c r="J288" i="13"/>
  <c r="P606" i="19"/>
  <c r="Q606" i="19" s="1"/>
  <c r="J385" i="13"/>
  <c r="AD303" i="10"/>
  <c r="AM303" i="10" s="1"/>
  <c r="J32" i="13"/>
  <c r="P130" i="19"/>
  <c r="N134" i="19"/>
  <c r="P410" i="19"/>
  <c r="J88" i="13"/>
  <c r="N414" i="19"/>
  <c r="J295" i="13"/>
  <c r="P1445" i="19"/>
  <c r="N1449" i="19"/>
  <c r="P901" i="19"/>
  <c r="Q901" i="19" s="1"/>
  <c r="J393" i="13"/>
  <c r="P466" i="19"/>
  <c r="Q466" i="19" s="1"/>
  <c r="J390" i="13"/>
  <c r="P650" i="19"/>
  <c r="N654" i="19"/>
  <c r="J136" i="13"/>
  <c r="J190" i="13"/>
  <c r="N924" i="19"/>
  <c r="P920" i="19"/>
  <c r="J357" i="13"/>
  <c r="N1759" i="19"/>
  <c r="P1755" i="19"/>
  <c r="J128" i="13"/>
  <c r="N614" i="19"/>
  <c r="P610" i="19"/>
  <c r="N1519" i="19"/>
  <c r="P1515" i="19"/>
  <c r="J309" i="13"/>
  <c r="P101" i="19"/>
  <c r="Q101" i="19" s="1"/>
  <c r="J365" i="13"/>
  <c r="J165" i="13"/>
  <c r="N799" i="19"/>
  <c r="P795" i="19"/>
  <c r="P680" i="19"/>
  <c r="N684" i="19"/>
  <c r="J142" i="13"/>
  <c r="P511" i="19"/>
  <c r="Q511" i="19" s="1"/>
  <c r="J441" i="13"/>
  <c r="P1425" i="19"/>
  <c r="N1429" i="19"/>
  <c r="J291" i="13"/>
  <c r="N1649" i="19"/>
  <c r="P1645" i="19"/>
  <c r="J335" i="13"/>
  <c r="J173" i="13"/>
  <c r="P835" i="19"/>
  <c r="N839" i="19"/>
  <c r="N569" i="19"/>
  <c r="P565" i="19"/>
  <c r="J119" i="13"/>
  <c r="N970" i="19"/>
  <c r="N973" i="19"/>
  <c r="P973" i="19" s="1"/>
  <c r="Q973" i="19" s="1"/>
  <c r="N972" i="19"/>
  <c r="P972" i="19" s="1"/>
  <c r="Q972" i="19" s="1"/>
  <c r="N971" i="19"/>
  <c r="P971" i="19" s="1"/>
  <c r="Q971" i="19" s="1"/>
  <c r="P516" i="19"/>
  <c r="Q516" i="19" s="1"/>
  <c r="J379" i="13"/>
  <c r="J287" i="13"/>
  <c r="N1409" i="19"/>
  <c r="P1405" i="19"/>
  <c r="P685" i="19"/>
  <c r="J143" i="13"/>
  <c r="N689" i="19"/>
  <c r="P355" i="19"/>
  <c r="J77" i="13"/>
  <c r="N359" i="19"/>
  <c r="J318" i="13"/>
  <c r="N1564" i="19"/>
  <c r="P1560" i="19"/>
  <c r="J84" i="13"/>
  <c r="N394" i="19"/>
  <c r="P390" i="19"/>
  <c r="J334" i="13"/>
  <c r="P1640" i="19"/>
  <c r="N1644" i="19"/>
  <c r="J27" i="13"/>
  <c r="N109" i="19"/>
  <c r="P105" i="19"/>
  <c r="P1675" i="19"/>
  <c r="J341" i="13"/>
  <c r="N1679" i="19"/>
  <c r="AD110" i="10"/>
  <c r="AM110" i="10" s="1"/>
  <c r="J68" i="13"/>
  <c r="N314" i="19"/>
  <c r="P310" i="19"/>
  <c r="J31" i="13"/>
  <c r="N129" i="19"/>
  <c r="P125" i="19"/>
  <c r="J251" i="13"/>
  <c r="P1225" i="19"/>
  <c r="N1229" i="19"/>
  <c r="J429" i="13"/>
  <c r="P76" i="19"/>
  <c r="Q76" i="19" s="1"/>
  <c r="P1345" i="19"/>
  <c r="J275" i="13"/>
  <c r="N1349" i="19"/>
  <c r="P97" i="19"/>
  <c r="Q97" i="19" s="1"/>
  <c r="J247" i="13"/>
  <c r="N1209" i="19"/>
  <c r="P1205" i="19"/>
  <c r="P171" i="19"/>
  <c r="Q171" i="19" s="1"/>
  <c r="J381" i="13"/>
  <c r="J423" i="13"/>
  <c r="P156" i="19"/>
  <c r="Q156" i="19" s="1"/>
  <c r="J9" i="13"/>
  <c r="N19" i="19"/>
  <c r="P15" i="19"/>
  <c r="J34" i="13"/>
  <c r="N144" i="19"/>
  <c r="P140" i="19"/>
  <c r="J310" i="13"/>
  <c r="P1520" i="19"/>
  <c r="N1524" i="19"/>
  <c r="P115" i="19"/>
  <c r="N119" i="19"/>
  <c r="J29" i="13"/>
  <c r="J227" i="13"/>
  <c r="N1109" i="19"/>
  <c r="P1105" i="19"/>
  <c r="P825" i="19"/>
  <c r="J171" i="13"/>
  <c r="N829" i="19"/>
  <c r="P151" i="19"/>
  <c r="Q151" i="19" s="1"/>
  <c r="J404" i="13"/>
  <c r="P480" i="19"/>
  <c r="N484" i="19"/>
  <c r="J102" i="13"/>
  <c r="P1125" i="19"/>
  <c r="J231" i="13"/>
  <c r="N1129" i="19"/>
  <c r="J31" i="15"/>
  <c r="K31" i="15" s="1"/>
  <c r="AR48" i="13"/>
  <c r="K48" i="13"/>
  <c r="L48" i="13" s="1"/>
  <c r="P1360" i="19"/>
  <c r="J278" i="13"/>
  <c r="N1364" i="19"/>
  <c r="J267" i="13"/>
  <c r="N1309" i="19"/>
  <c r="P1305" i="19"/>
  <c r="P276" i="19"/>
  <c r="Q276" i="19" s="1"/>
  <c r="J376" i="13"/>
  <c r="J301" i="13"/>
  <c r="N1479" i="19"/>
  <c r="P1475" i="19"/>
  <c r="N284" i="19"/>
  <c r="J62" i="13"/>
  <c r="P280" i="19"/>
  <c r="P545" i="19"/>
  <c r="N549" i="19"/>
  <c r="J115" i="13"/>
  <c r="P300" i="19"/>
  <c r="J66" i="13"/>
  <c r="N304" i="19"/>
  <c r="J234" i="13"/>
  <c r="P1140" i="19"/>
  <c r="N1144" i="19"/>
  <c r="J380" i="13"/>
  <c r="P346" i="19"/>
  <c r="Q346" i="19" s="1"/>
  <c r="N1389" i="19"/>
  <c r="J283" i="13"/>
  <c r="P1385" i="19"/>
  <c r="P1340" i="19"/>
  <c r="J274" i="13"/>
  <c r="N1344" i="19"/>
  <c r="J427" i="13"/>
  <c r="P366" i="19"/>
  <c r="Q366" i="19" s="1"/>
  <c r="P25" i="19"/>
  <c r="J11" i="13"/>
  <c r="N29" i="19"/>
  <c r="J280" i="13"/>
  <c r="P1370" i="19"/>
  <c r="N1374" i="19"/>
  <c r="N979" i="19"/>
  <c r="J201" i="13"/>
  <c r="P975" i="19"/>
  <c r="P400" i="19"/>
  <c r="J86" i="13"/>
  <c r="N404" i="19"/>
  <c r="N1492" i="19"/>
  <c r="P1492" i="19" s="1"/>
  <c r="Q1492" i="19" s="1"/>
  <c r="N1490" i="19"/>
  <c r="N1493" i="19"/>
  <c r="P1493" i="19" s="1"/>
  <c r="Q1493" i="19" s="1"/>
  <c r="N1491" i="19"/>
  <c r="P1491" i="19" s="1"/>
  <c r="Q1491" i="19" s="1"/>
  <c r="P411" i="19"/>
  <c r="Q411" i="19" s="1"/>
  <c r="J382" i="13"/>
  <c r="J242" i="13"/>
  <c r="P1180" i="19"/>
  <c r="N1184" i="19"/>
  <c r="P900" i="19"/>
  <c r="N904" i="19"/>
  <c r="J186" i="13"/>
  <c r="J356" i="13"/>
  <c r="P1750" i="19"/>
  <c r="N1754" i="19"/>
  <c r="J232" i="13"/>
  <c r="N1134" i="19"/>
  <c r="P1130" i="19"/>
  <c r="J438" i="13"/>
  <c r="P226" i="19"/>
  <c r="Q226" i="19" s="1"/>
  <c r="P664" i="19"/>
  <c r="Q664" i="19" s="1"/>
  <c r="Q660" i="19"/>
  <c r="N1279" i="19"/>
  <c r="J261" i="13"/>
  <c r="P1275" i="19"/>
  <c r="J286" i="13"/>
  <c r="P1400" i="19"/>
  <c r="N1404" i="19"/>
  <c r="J30" i="13"/>
  <c r="N124" i="19"/>
  <c r="P120" i="19"/>
  <c r="P770" i="19"/>
  <c r="N774" i="19"/>
  <c r="J160" i="13"/>
  <c r="J257" i="13"/>
  <c r="N1259" i="19"/>
  <c r="P1255" i="19"/>
  <c r="P820" i="19"/>
  <c r="N824" i="19"/>
  <c r="J170" i="13"/>
  <c r="J269" i="13"/>
  <c r="P1315" i="19"/>
  <c r="N1319" i="19"/>
  <c r="J180" i="13"/>
  <c r="N874" i="19"/>
  <c r="P870" i="19"/>
  <c r="J85" i="13"/>
  <c r="N399" i="19"/>
  <c r="P395" i="19"/>
  <c r="N544" i="19"/>
  <c r="J114" i="13"/>
  <c r="P540" i="19"/>
  <c r="J254" i="13"/>
  <c r="P1240" i="19"/>
  <c r="N1244" i="19"/>
  <c r="P566" i="19"/>
  <c r="Q566" i="19" s="1"/>
  <c r="J244" i="13"/>
  <c r="N1194" i="19"/>
  <c r="P1190" i="19"/>
  <c r="AD199" i="10"/>
  <c r="AM199" i="10" s="1"/>
  <c r="P126" i="19"/>
  <c r="Q126" i="19" s="1"/>
  <c r="J436" i="13"/>
  <c r="P180" i="19"/>
  <c r="J42" i="13"/>
  <c r="N184" i="19"/>
  <c r="J21" i="13"/>
  <c r="P75" i="19"/>
  <c r="N79" i="19"/>
  <c r="J273" i="13"/>
  <c r="N1339" i="19"/>
  <c r="P1335" i="19"/>
  <c r="P96" i="19"/>
  <c r="Q96" i="19" s="1"/>
  <c r="J420" i="13"/>
  <c r="J28" i="13"/>
  <c r="P110" i="19"/>
  <c r="N114" i="19"/>
  <c r="J216" i="13"/>
  <c r="N1054" i="19"/>
  <c r="P1050" i="19"/>
  <c r="N432" i="19"/>
  <c r="P432" i="19" s="1"/>
  <c r="Q432" i="19" s="1"/>
  <c r="N430" i="19"/>
  <c r="N431" i="19"/>
  <c r="N433" i="19"/>
  <c r="P433" i="19" s="1"/>
  <c r="Q433" i="19" s="1"/>
  <c r="P155" i="19"/>
  <c r="J37" i="13"/>
  <c r="N159" i="19"/>
  <c r="P385" i="19"/>
  <c r="N389" i="19"/>
  <c r="J83" i="13"/>
  <c r="P16" i="19"/>
  <c r="Q16" i="19" s="1"/>
  <c r="J360" i="13"/>
  <c r="P141" i="19"/>
  <c r="Q141" i="19" s="1"/>
  <c r="J408" i="13"/>
  <c r="P1690" i="19"/>
  <c r="J344" i="13"/>
  <c r="N1694" i="19"/>
  <c r="N1104" i="19"/>
  <c r="P1100" i="19"/>
  <c r="J226" i="13"/>
  <c r="P1220" i="19"/>
  <c r="J250" i="13"/>
  <c r="N1224" i="19"/>
  <c r="P62" i="19"/>
  <c r="Q62" i="19" s="1"/>
  <c r="J431" i="13"/>
  <c r="N154" i="19"/>
  <c r="P150" i="19"/>
  <c r="J36" i="13"/>
  <c r="J47" i="13"/>
  <c r="P205" i="19"/>
  <c r="N209" i="19"/>
  <c r="P1465" i="19"/>
  <c r="N1469" i="19"/>
  <c r="J299" i="13"/>
  <c r="N844" i="19"/>
  <c r="P840" i="19"/>
  <c r="J174" i="13"/>
  <c r="N909" i="19"/>
  <c r="J187" i="13"/>
  <c r="P905" i="19"/>
  <c r="P730" i="19"/>
  <c r="N734" i="19"/>
  <c r="J152" i="13"/>
  <c r="P1025" i="19"/>
  <c r="N1029" i="19"/>
  <c r="J211" i="13"/>
  <c r="N164" i="19"/>
  <c r="P160" i="19"/>
  <c r="J38" i="13"/>
  <c r="J151" i="13"/>
  <c r="P725" i="19"/>
  <c r="N729" i="19"/>
  <c r="P625" i="19"/>
  <c r="N629" i="19"/>
  <c r="J131" i="13"/>
  <c r="J150" i="13"/>
  <c r="P720" i="19"/>
  <c r="N724" i="19"/>
  <c r="J79" i="13"/>
  <c r="P365" i="19"/>
  <c r="N369" i="19"/>
  <c r="P26" i="19"/>
  <c r="Q26" i="19" s="1"/>
  <c r="J361" i="13"/>
  <c r="P1030" i="19"/>
  <c r="J212" i="13"/>
  <c r="P890" i="19"/>
  <c r="J184" i="13"/>
  <c r="N894" i="19"/>
  <c r="J56" i="13"/>
  <c r="P250" i="19"/>
  <c r="N254" i="19"/>
  <c r="P81" i="19"/>
  <c r="Q81" i="19" s="1"/>
  <c r="J364" i="13"/>
  <c r="J262" i="13"/>
  <c r="P1280" i="19"/>
  <c r="N1284" i="19"/>
  <c r="J224" i="13"/>
  <c r="P1090" i="19"/>
  <c r="N1094" i="19"/>
  <c r="J177" i="13"/>
  <c r="P855" i="19"/>
  <c r="N859" i="19"/>
  <c r="P1181" i="19"/>
  <c r="Q1181" i="19" s="1"/>
  <c r="J397" i="13"/>
  <c r="J172" i="13"/>
  <c r="P830" i="19"/>
  <c r="N834" i="19"/>
  <c r="P851" i="19"/>
  <c r="Q851" i="19" s="1"/>
  <c r="J402" i="13"/>
  <c r="P270" i="19"/>
  <c r="J60" i="13"/>
  <c r="N274" i="19"/>
  <c r="P381" i="19"/>
  <c r="Q381" i="19" s="1"/>
  <c r="J373" i="13"/>
  <c r="N779" i="19"/>
  <c r="P775" i="19"/>
  <c r="J161" i="13"/>
  <c r="J54" i="13"/>
  <c r="P240" i="19"/>
  <c r="N244" i="19"/>
  <c r="N229" i="19"/>
  <c r="P225" i="19"/>
  <c r="J51" i="13"/>
  <c r="N539" i="19"/>
  <c r="J113" i="13"/>
  <c r="P535" i="19"/>
  <c r="P320" i="19"/>
  <c r="J70" i="13"/>
  <c r="N324" i="19"/>
  <c r="P1505" i="19"/>
  <c r="J307" i="13"/>
  <c r="J191" i="13"/>
  <c r="P925" i="19"/>
  <c r="N929" i="19"/>
  <c r="P1160" i="19"/>
  <c r="J238" i="13"/>
  <c r="N1164" i="19"/>
  <c r="P849" i="19"/>
  <c r="Q849" i="19" s="1"/>
  <c r="Q845" i="19"/>
  <c r="J282" i="13"/>
  <c r="P1380" i="19"/>
  <c r="N1384" i="19"/>
  <c r="J67" i="15"/>
  <c r="K67" i="15" s="1"/>
  <c r="AR103" i="13"/>
  <c r="K103" i="13"/>
  <c r="L103" i="13" s="1"/>
  <c r="P152" i="19"/>
  <c r="Q152" i="19" s="1"/>
  <c r="J10" i="13"/>
  <c r="P20" i="19"/>
  <c r="N24" i="19"/>
  <c r="P490" i="19"/>
  <c r="J104" i="13"/>
  <c r="N494" i="19"/>
  <c r="P306" i="19"/>
  <c r="Q306" i="19" s="1"/>
  <c r="J370" i="13"/>
  <c r="J305" i="13"/>
  <c r="P1495" i="19"/>
  <c r="N1499" i="19"/>
  <c r="J167" i="13"/>
  <c r="P805" i="19"/>
  <c r="F24" i="12" s="1"/>
  <c r="N809" i="19"/>
  <c r="N1489" i="19"/>
  <c r="P1485" i="19"/>
  <c r="J303" i="13"/>
  <c r="N409" i="19"/>
  <c r="P405" i="19"/>
  <c r="J87" i="13"/>
  <c r="J154" i="13"/>
  <c r="P740" i="19"/>
  <c r="N744" i="19"/>
  <c r="N139" i="19"/>
  <c r="P135" i="19"/>
  <c r="J33" i="13"/>
  <c r="J125" i="13"/>
  <c r="P595" i="19"/>
  <c r="N599" i="19"/>
  <c r="N1589" i="19"/>
  <c r="P1585" i="19"/>
  <c r="J323" i="13"/>
  <c r="P1235" i="19"/>
  <c r="N1239" i="19"/>
  <c r="J253" i="13"/>
  <c r="J406" i="13"/>
  <c r="P1037" i="19"/>
  <c r="Q1037" i="19" s="1"/>
  <c r="N419" i="19"/>
  <c r="P415" i="19"/>
  <c r="J89" i="13"/>
  <c r="P1350" i="19"/>
  <c r="N1354" i="19"/>
  <c r="J276" i="13"/>
  <c r="P960" i="19"/>
  <c r="N964" i="19"/>
  <c r="J198" i="13"/>
  <c r="P665" i="19"/>
  <c r="N669" i="19"/>
  <c r="J139" i="13"/>
  <c r="J205" i="13"/>
  <c r="P995" i="19"/>
  <c r="N999" i="19"/>
  <c r="J272" i="13"/>
  <c r="P1330" i="19"/>
  <c r="N1334" i="19"/>
  <c r="J330" i="13"/>
  <c r="P1620" i="19"/>
  <c r="N1624" i="19"/>
  <c r="P271" i="19"/>
  <c r="Q271" i="19" s="1"/>
  <c r="J387" i="13"/>
  <c r="P536" i="19"/>
  <c r="Q536" i="19" s="1"/>
  <c r="J383" i="13"/>
  <c r="P705" i="19"/>
  <c r="N709" i="19"/>
  <c r="J147" i="13"/>
  <c r="P791" i="19"/>
  <c r="Q791" i="19" s="1"/>
  <c r="J389" i="13"/>
  <c r="P121" i="19"/>
  <c r="Q121" i="19" s="1"/>
  <c r="J437" i="13"/>
  <c r="P1615" i="19"/>
  <c r="N1619" i="19"/>
  <c r="J329" i="13"/>
  <c r="AR281" i="13"/>
  <c r="K281" i="13"/>
  <c r="L281" i="13" s="1"/>
  <c r="J186" i="15"/>
  <c r="K186" i="15" s="1"/>
  <c r="J270" i="13"/>
  <c r="P1320" i="19"/>
  <c r="N1324" i="19"/>
  <c r="P785" i="19"/>
  <c r="N789" i="19"/>
  <c r="J163" i="13"/>
  <c r="N559" i="19"/>
  <c r="J117" i="13"/>
  <c r="P555" i="19"/>
  <c r="P1135" i="19"/>
  <c r="N1139" i="19"/>
  <c r="J233" i="13"/>
  <c r="P1095" i="19"/>
  <c r="J225" i="13"/>
  <c r="N1099" i="19"/>
  <c r="P746" i="19"/>
  <c r="Q746" i="19" s="1"/>
  <c r="J395" i="13"/>
  <c r="J440" i="13"/>
  <c r="P91" i="19"/>
  <c r="Q91" i="19" s="1"/>
  <c r="P621" i="19"/>
  <c r="Q621" i="19" s="1"/>
  <c r="J417" i="13"/>
  <c r="J317" i="13"/>
  <c r="N1559" i="19"/>
  <c r="P1555" i="19"/>
  <c r="P645" i="19"/>
  <c r="J135" i="13"/>
  <c r="N649" i="19"/>
  <c r="J245" i="13"/>
  <c r="N1199" i="19"/>
  <c r="P1195" i="19"/>
  <c r="J196" i="13"/>
  <c r="P950" i="19"/>
  <c r="N954" i="19"/>
  <c r="P910" i="19"/>
  <c r="J188" i="13"/>
  <c r="N914" i="19"/>
  <c r="P386" i="19"/>
  <c r="Q386" i="19" s="1"/>
  <c r="J374" i="13"/>
  <c r="N983" i="19"/>
  <c r="P983" i="19" s="1"/>
  <c r="Q983" i="19" s="1"/>
  <c r="N980" i="19"/>
  <c r="N982" i="19"/>
  <c r="P982" i="19" s="1"/>
  <c r="Q982" i="19" s="1"/>
  <c r="N981" i="19"/>
  <c r="P981" i="19" s="1"/>
  <c r="Q981" i="19" s="1"/>
  <c r="P41" i="19"/>
  <c r="Q41" i="19" s="1"/>
  <c r="AD71" i="10"/>
  <c r="AM71" i="10" s="1"/>
  <c r="P1460" i="19"/>
  <c r="N1464" i="19"/>
  <c r="J298" i="13"/>
  <c r="N64" i="19"/>
  <c r="P60" i="19"/>
  <c r="J18" i="13"/>
  <c r="P489" i="19"/>
  <c r="Q489" i="19" s="1"/>
  <c r="Q485" i="19"/>
  <c r="P21" i="19"/>
  <c r="Q21" i="19" s="1"/>
  <c r="J435" i="13"/>
  <c r="P1655" i="19"/>
  <c r="N1659" i="19"/>
  <c r="J337" i="13"/>
  <c r="J76" i="13"/>
  <c r="N354" i="19"/>
  <c r="P350" i="19"/>
  <c r="N1009" i="19"/>
  <c r="J207" i="13"/>
  <c r="P1005" i="19"/>
  <c r="N38" i="19"/>
  <c r="P38" i="19" s="1"/>
  <c r="Q38" i="19" s="1"/>
  <c r="N37" i="19"/>
  <c r="P37" i="19" s="1"/>
  <c r="Q37" i="19" s="1"/>
  <c r="N36" i="19"/>
  <c r="N35" i="19"/>
  <c r="P615" i="19"/>
  <c r="N619" i="19"/>
  <c r="J129" i="13"/>
  <c r="P1709" i="19"/>
  <c r="Q1709" i="19" s="1"/>
  <c r="Q1705" i="19"/>
  <c r="J61" i="13"/>
  <c r="N279" i="19"/>
  <c r="P275" i="19"/>
  <c r="P307" i="19"/>
  <c r="Q307" i="19" s="1"/>
  <c r="J386" i="13"/>
  <c r="P1379" i="19"/>
  <c r="Q1379" i="19" s="1"/>
  <c r="Q1375" i="19"/>
  <c r="J98" i="13"/>
  <c r="P460" i="19"/>
  <c r="N464" i="19"/>
  <c r="J407" i="13"/>
  <c r="P596" i="19"/>
  <c r="Q596" i="19" s="1"/>
  <c r="J213" i="13"/>
  <c r="N1039" i="19"/>
  <c r="P1035" i="19"/>
  <c r="P750" i="19"/>
  <c r="J156" i="13"/>
  <c r="N754" i="19"/>
  <c r="J255" i="13"/>
  <c r="P1245" i="19"/>
  <c r="N1249" i="19"/>
  <c r="J325" i="13"/>
  <c r="N1599" i="19"/>
  <c r="P1595" i="19"/>
  <c r="P27" i="19"/>
  <c r="Q27" i="19" s="1"/>
  <c r="J432" i="13"/>
  <c r="N424" i="19"/>
  <c r="J90" i="13"/>
  <c r="P420" i="19"/>
  <c r="P80" i="19"/>
  <c r="J22" i="13"/>
  <c r="N84" i="19"/>
  <c r="P710" i="19"/>
  <c r="N714" i="19"/>
  <c r="J148" i="13"/>
  <c r="P1215" i="19"/>
  <c r="J249" i="13"/>
  <c r="N1219" i="19"/>
  <c r="J206" i="13"/>
  <c r="N1004" i="19"/>
  <c r="P1000" i="19"/>
  <c r="J293" i="13"/>
  <c r="P1435" i="19"/>
  <c r="N1439" i="19"/>
  <c r="J97" i="13"/>
  <c r="P455" i="19"/>
  <c r="N459" i="19"/>
  <c r="J195" i="13"/>
  <c r="P945" i="19"/>
  <c r="N949" i="19"/>
  <c r="J176" i="13"/>
  <c r="P850" i="19"/>
  <c r="N854" i="19"/>
  <c r="N1049" i="19"/>
  <c r="J215" i="13"/>
  <c r="P1045" i="19"/>
  <c r="P700" i="19"/>
  <c r="J146" i="13"/>
  <c r="N704" i="19"/>
  <c r="P1065" i="19"/>
  <c r="J219" i="13"/>
  <c r="N1069" i="19"/>
  <c r="J333" i="13"/>
  <c r="P1635" i="19"/>
  <c r="N1639" i="19"/>
  <c r="J140" i="13"/>
  <c r="N674" i="19"/>
  <c r="P670" i="19"/>
  <c r="J359" i="13"/>
  <c r="P1056" i="19"/>
  <c r="Q1056" i="19" s="1"/>
  <c r="N318" i="19"/>
  <c r="P318" i="19" s="1"/>
  <c r="Q318" i="19" s="1"/>
  <c r="N317" i="19"/>
  <c r="N315" i="19"/>
  <c r="N316" i="19"/>
  <c r="P865" i="19"/>
  <c r="N869" i="19"/>
  <c r="J179" i="13"/>
  <c r="N564" i="19"/>
  <c r="J118" i="13"/>
  <c r="P560" i="19"/>
  <c r="J20" i="13"/>
  <c r="N74" i="19"/>
  <c r="P70" i="19"/>
  <c r="N624" i="19"/>
  <c r="P620" i="19"/>
  <c r="J130" i="13"/>
  <c r="J25" i="13"/>
  <c r="P95" i="19"/>
  <c r="N99" i="19"/>
  <c r="P176" i="19"/>
  <c r="Q176" i="19" s="1"/>
  <c r="J398" i="13"/>
  <c r="P111" i="19"/>
  <c r="Q111" i="19" s="1"/>
  <c r="J405" i="13"/>
  <c r="J19" i="13"/>
  <c r="N69" i="19"/>
  <c r="P65" i="19"/>
  <c r="AD91" i="10"/>
  <c r="AM91" i="10" s="1"/>
  <c r="J46" i="13"/>
  <c r="P200" i="19"/>
  <c r="N204" i="19"/>
  <c r="AD201" i="10"/>
  <c r="AM201" i="10" s="1"/>
  <c r="P116" i="19"/>
  <c r="Q116" i="19" s="1"/>
  <c r="J371" i="13"/>
  <c r="N374" i="19"/>
  <c r="P370" i="19"/>
  <c r="J80" i="13"/>
  <c r="P1210" i="19"/>
  <c r="N1214" i="19"/>
  <c r="J248" i="13"/>
  <c r="J218" i="13"/>
  <c r="N1064" i="19"/>
  <c r="P1060" i="19"/>
  <c r="N604" i="19"/>
  <c r="P600" i="19"/>
  <c r="J126" i="13"/>
  <c r="P450" i="19"/>
  <c r="N454" i="19"/>
  <c r="J96" i="13"/>
  <c r="P745" i="19"/>
  <c r="J155" i="13"/>
  <c r="N749" i="19"/>
  <c r="N94" i="19"/>
  <c r="P90" i="19"/>
  <c r="J24" i="13"/>
  <c r="J314" i="13"/>
  <c r="P1540" i="19"/>
  <c r="N1544" i="19"/>
  <c r="J41" i="13"/>
  <c r="P175" i="19"/>
  <c r="N179" i="19"/>
  <c r="J65" i="13"/>
  <c r="P295" i="19"/>
  <c r="N299" i="19"/>
  <c r="P66" i="19"/>
  <c r="Q66" i="19" s="1"/>
  <c r="J401" i="13"/>
  <c r="P186" i="19"/>
  <c r="Q186" i="19" s="1"/>
  <c r="J442" i="13"/>
  <c r="N1664" i="19"/>
  <c r="J338" i="13"/>
  <c r="P1660" i="19"/>
  <c r="T361" i="10"/>
  <c r="T358" i="10"/>
  <c r="AC14" i="3" s="1"/>
  <c r="X7" i="10"/>
  <c r="Y7" i="10" s="1"/>
  <c r="AB7" i="10"/>
  <c r="G29" i="8" s="1"/>
  <c r="P61" i="19"/>
  <c r="Q61" i="19" s="1"/>
  <c r="J363" i="13"/>
  <c r="J258" i="13"/>
  <c r="P1260" i="19"/>
  <c r="N1264" i="19"/>
  <c r="P245" i="19"/>
  <c r="N249" i="19"/>
  <c r="J55" i="13"/>
  <c r="AD12" i="10"/>
  <c r="AM12" i="10" s="1"/>
  <c r="J49" i="13"/>
  <c r="N219" i="19"/>
  <c r="P215" i="19"/>
  <c r="J95" i="13"/>
  <c r="N449" i="19"/>
  <c r="P445" i="19"/>
  <c r="J308" i="13"/>
  <c r="N1514" i="19"/>
  <c r="P1510" i="19"/>
  <c r="J103" i="15"/>
  <c r="K103" i="15" s="1"/>
  <c r="K162" i="13"/>
  <c r="L162" i="13" s="1"/>
  <c r="AR162" i="13"/>
  <c r="J322" i="13"/>
  <c r="P1580" i="19"/>
  <c r="N1584" i="19"/>
  <c r="N634" i="19"/>
  <c r="J132" i="13"/>
  <c r="P630" i="19"/>
  <c r="N1074" i="19"/>
  <c r="P1070" i="19"/>
  <c r="J220" i="13"/>
  <c r="J331" i="13"/>
  <c r="P1625" i="19"/>
  <c r="N1629" i="19"/>
  <c r="P1710" i="19"/>
  <c r="J348" i="13"/>
  <c r="N1714" i="19"/>
  <c r="J355" i="13"/>
  <c r="N1749" i="19"/>
  <c r="P1745" i="19"/>
  <c r="N1504" i="19"/>
  <c r="P1500" i="19"/>
  <c r="J306" i="13"/>
  <c r="P1075" i="19"/>
  <c r="J221" i="13"/>
  <c r="N1079" i="19"/>
  <c r="J392" i="13"/>
  <c r="P196" i="19"/>
  <c r="Q196" i="19" s="1"/>
  <c r="J266" i="13"/>
  <c r="N1304" i="19"/>
  <c r="P1300" i="19"/>
  <c r="P1145" i="19"/>
  <c r="N1149" i="19"/>
  <c r="J235" i="13"/>
  <c r="J326" i="13"/>
  <c r="P1600" i="19"/>
  <c r="N1604" i="19"/>
  <c r="N384" i="19"/>
  <c r="J82" i="13"/>
  <c r="P380" i="19"/>
  <c r="P440" i="19"/>
  <c r="J94" i="13"/>
  <c r="N444" i="19"/>
  <c r="J26" i="13"/>
  <c r="P100" i="19"/>
  <c r="N104" i="19"/>
  <c r="J141" i="13"/>
  <c r="P675" i="19"/>
  <c r="N679" i="19"/>
  <c r="J294" i="13"/>
  <c r="P1440" i="19"/>
  <c r="N1444" i="19"/>
  <c r="J217" i="13"/>
  <c r="N1059" i="19"/>
  <c r="P1055" i="19"/>
  <c r="J240" i="13"/>
  <c r="P1170" i="19"/>
  <c r="N1174" i="19"/>
  <c r="J316" i="13"/>
  <c r="N1554" i="19"/>
  <c r="P1550" i="19"/>
  <c r="AD68" i="10"/>
  <c r="AM68" i="10" s="1"/>
  <c r="P71" i="19"/>
  <c r="Q71" i="19" s="1"/>
  <c r="J396" i="13"/>
  <c r="P875" i="19"/>
  <c r="J181" i="13"/>
  <c r="N879" i="19"/>
  <c r="P1165" i="19"/>
  <c r="J239" i="13"/>
  <c r="N1169" i="19"/>
  <c r="P1561" i="19"/>
  <c r="Q1561" i="19" s="1"/>
  <c r="J416" i="13"/>
  <c r="J246" i="13"/>
  <c r="P1200" i="19"/>
  <c r="N1204" i="19"/>
  <c r="N1274" i="19"/>
  <c r="P1270" i="19"/>
  <c r="J260" i="13"/>
  <c r="J109" i="13"/>
  <c r="P515" i="19"/>
  <c r="N519" i="19"/>
  <c r="P571" i="19"/>
  <c r="Q571" i="19" s="1"/>
  <c r="J268" i="13"/>
  <c r="N1314" i="19"/>
  <c r="P1310" i="19"/>
  <c r="J279" i="13"/>
  <c r="N1369" i="19"/>
  <c r="P1365" i="19"/>
  <c r="P585" i="19"/>
  <c r="J123" i="13"/>
  <c r="N589" i="19"/>
  <c r="N579" i="19"/>
  <c r="J121" i="13"/>
  <c r="P575" i="19"/>
  <c r="N1419" i="19"/>
  <c r="P1415" i="19"/>
  <c r="J289" i="13"/>
  <c r="N44" i="19"/>
  <c r="P40" i="19"/>
  <c r="J14" i="13"/>
  <c r="N330" i="19"/>
  <c r="N333" i="19"/>
  <c r="P333" i="19" s="1"/>
  <c r="Q333" i="19" s="1"/>
  <c r="N331" i="19"/>
  <c r="P331" i="19" s="1"/>
  <c r="Q331" i="19" s="1"/>
  <c r="N332" i="19"/>
  <c r="P332" i="19" s="1"/>
  <c r="Q332" i="19" s="1"/>
  <c r="J332" i="13"/>
  <c r="N1634" i="19"/>
  <c r="P1630" i="19"/>
  <c r="J444" i="13"/>
  <c r="P22" i="19"/>
  <c r="Q22" i="19" s="1"/>
  <c r="N1744" i="19"/>
  <c r="P1740" i="19"/>
  <c r="J354" i="13"/>
  <c r="N814" i="19"/>
  <c r="J168" i="13"/>
  <c r="P810" i="19"/>
  <c r="P1230" i="19"/>
  <c r="J252" i="13"/>
  <c r="N1234" i="19"/>
  <c r="Q1085" i="19"/>
  <c r="P1089" i="19"/>
  <c r="Q1089" i="19" s="1"/>
  <c r="P325" i="19"/>
  <c r="J71" i="13"/>
  <c r="N329" i="19"/>
  <c r="P166" i="19"/>
  <c r="Q166" i="19" s="1"/>
  <c r="J368" i="13"/>
  <c r="AR347" i="13"/>
  <c r="J231" i="15"/>
  <c r="K231" i="15" s="1"/>
  <c r="K347" i="13"/>
  <c r="L347" i="13" s="1"/>
  <c r="J67" i="13"/>
  <c r="N309" i="19"/>
  <c r="P305" i="19"/>
  <c r="Q780" i="19"/>
  <c r="P784" i="19"/>
  <c r="Q784" i="19" s="1"/>
  <c r="J263" i="13"/>
  <c r="N1289" i="19"/>
  <c r="P1285" i="19"/>
  <c r="P265" i="19"/>
  <c r="N269" i="19"/>
  <c r="J59" i="13"/>
  <c r="P1530" i="19"/>
  <c r="J312" i="13"/>
  <c r="N1534" i="19"/>
  <c r="J35" i="13"/>
  <c r="N149" i="19"/>
  <c r="P145" i="19"/>
  <c r="N1434" i="19"/>
  <c r="J292" i="13"/>
  <c r="P1430" i="19"/>
  <c r="P221" i="19"/>
  <c r="Q221" i="19" s="1"/>
  <c r="J412" i="13"/>
  <c r="J189" i="13"/>
  <c r="N919" i="19"/>
  <c r="P915" i="19"/>
  <c r="J400" i="13"/>
  <c r="P1071" i="19"/>
  <c r="Q1071" i="19" s="1"/>
  <c r="P230" i="19"/>
  <c r="J52" i="13"/>
  <c r="N234" i="19"/>
  <c r="P1036" i="19"/>
  <c r="Q1036" i="19" s="1"/>
  <c r="J399" i="13"/>
  <c r="J411" i="13"/>
  <c r="P426" i="19"/>
  <c r="Q426" i="19" s="1"/>
  <c r="J45" i="13"/>
  <c r="N199" i="19"/>
  <c r="P195" i="19"/>
  <c r="J285" i="13"/>
  <c r="P1395" i="19"/>
  <c r="N1399" i="19"/>
  <c r="P255" i="19"/>
  <c r="J57" i="13"/>
  <c r="N259" i="19"/>
  <c r="P51" i="19"/>
  <c r="Q51" i="19" s="1"/>
  <c r="J426" i="13"/>
  <c r="P605" i="19"/>
  <c r="N609" i="19"/>
  <c r="J127" i="13"/>
  <c r="J419" i="13"/>
  <c r="P131" i="19"/>
  <c r="Q131" i="19" s="1"/>
  <c r="P1080" i="19"/>
  <c r="N1084" i="19"/>
  <c r="J222" i="13"/>
  <c r="P55" i="19"/>
  <c r="N59" i="19"/>
  <c r="J17" i="13"/>
  <c r="N694" i="19"/>
  <c r="J144" i="13"/>
  <c r="P690" i="19"/>
  <c r="J74" i="13"/>
  <c r="P340" i="19"/>
  <c r="N344" i="19"/>
  <c r="N1764" i="19"/>
  <c r="J358" i="13"/>
  <c r="P1760" i="19"/>
  <c r="P1730" i="19"/>
  <c r="J352" i="13"/>
  <c r="N1734" i="19"/>
  <c r="J99" i="13"/>
  <c r="N469" i="19"/>
  <c r="P465" i="19"/>
  <c r="J284" i="13"/>
  <c r="N1394" i="19"/>
  <c r="P1390" i="19"/>
  <c r="P1700" i="19"/>
  <c r="J346" i="13"/>
  <c r="N1704" i="19"/>
  <c r="P1040" i="19"/>
  <c r="N1044" i="19"/>
  <c r="J214" i="13"/>
  <c r="P1046" i="19"/>
  <c r="Q1046" i="19" s="1"/>
  <c r="J388" i="13"/>
  <c r="P815" i="19"/>
  <c r="N819" i="19"/>
  <c r="J169" i="13"/>
  <c r="J122" i="13"/>
  <c r="P580" i="19"/>
  <c r="N584" i="19"/>
  <c r="P790" i="19"/>
  <c r="N794" i="19"/>
  <c r="J164" i="13"/>
  <c r="P102" i="19"/>
  <c r="Q102" i="19" s="1"/>
  <c r="J433" i="13"/>
  <c r="J23" i="13"/>
  <c r="P85" i="19"/>
  <c r="N89" i="19"/>
  <c r="P676" i="19"/>
  <c r="Q676" i="19" s="1"/>
  <c r="J415" i="13"/>
  <c r="N1684" i="19"/>
  <c r="P1680" i="19"/>
  <c r="J342" i="13"/>
  <c r="P930" i="19"/>
  <c r="J192" i="13"/>
  <c r="N934" i="19"/>
  <c r="P1110" i="19" l="1"/>
  <c r="J443" i="13"/>
  <c r="AR443" i="13" s="1"/>
  <c r="K149" i="13"/>
  <c r="L149" i="13" s="1"/>
  <c r="R149" i="13" s="1"/>
  <c r="U149" i="13" s="1"/>
  <c r="V149" i="13" s="1"/>
  <c r="AR149" i="13"/>
  <c r="K20" i="16"/>
  <c r="L20" i="16" s="1"/>
  <c r="P214" i="19"/>
  <c r="Q214" i="19" s="1"/>
  <c r="J340" i="13"/>
  <c r="AR340" i="13" s="1"/>
  <c r="G30" i="8"/>
  <c r="J18" i="12"/>
  <c r="N1114" i="19"/>
  <c r="J424" i="13"/>
  <c r="AR424" i="13" s="1"/>
  <c r="J210" i="13"/>
  <c r="AR210" i="13" s="1"/>
  <c r="N1569" i="19"/>
  <c r="P1566" i="19"/>
  <c r="Q1566" i="19" s="1"/>
  <c r="N1024" i="19"/>
  <c r="P1021" i="19"/>
  <c r="Q1021" i="19" s="1"/>
  <c r="J413" i="13"/>
  <c r="J294" i="15" s="1"/>
  <c r="K294" i="15" s="1"/>
  <c r="P1254" i="19"/>
  <c r="Q1254" i="19" s="1"/>
  <c r="N1674" i="19"/>
  <c r="N1034" i="19"/>
  <c r="N1509" i="19"/>
  <c r="G31" i="8"/>
  <c r="AC7" i="10"/>
  <c r="J366" i="13"/>
  <c r="AR366" i="13" s="1"/>
  <c r="AR138" i="13"/>
  <c r="J410" i="13"/>
  <c r="J291" i="15" s="1"/>
  <c r="K291" i="15" s="1"/>
  <c r="J86" i="15"/>
  <c r="K86" i="15" s="1"/>
  <c r="P1420" i="19"/>
  <c r="Q1420" i="19" s="1"/>
  <c r="N1424" i="19"/>
  <c r="P635" i="19"/>
  <c r="Q635" i="19" s="1"/>
  <c r="K175" i="13"/>
  <c r="L175" i="13" s="1"/>
  <c r="AR175" i="13"/>
  <c r="P1590" i="19"/>
  <c r="Q1590" i="19" s="1"/>
  <c r="N639" i="19"/>
  <c r="J394" i="13"/>
  <c r="AR394" i="13" s="1"/>
  <c r="N1594" i="19"/>
  <c r="Q1568" i="19"/>
  <c r="Q1567" i="19"/>
  <c r="J321" i="13"/>
  <c r="P1575" i="19"/>
  <c r="N1579" i="19"/>
  <c r="AR335" i="13"/>
  <c r="K335" i="13"/>
  <c r="L335" i="13" s="1"/>
  <c r="J88" i="15"/>
  <c r="K88" i="15" s="1"/>
  <c r="K142" i="13"/>
  <c r="L142" i="13" s="1"/>
  <c r="AR142" i="13"/>
  <c r="K309" i="13"/>
  <c r="L309" i="13" s="1"/>
  <c r="AR309" i="13"/>
  <c r="AR357" i="13"/>
  <c r="J239" i="15"/>
  <c r="K239" i="15" s="1"/>
  <c r="K357" i="13"/>
  <c r="L357" i="13" s="1"/>
  <c r="K136" i="13"/>
  <c r="L136" i="13" s="1"/>
  <c r="AR136" i="13"/>
  <c r="Q1445" i="19"/>
  <c r="P1449" i="19"/>
  <c r="Q1449" i="19" s="1"/>
  <c r="AR345" i="13"/>
  <c r="K345" i="13"/>
  <c r="L345" i="13" s="1"/>
  <c r="J32" i="15"/>
  <c r="K32" i="15" s="1"/>
  <c r="K50" i="13"/>
  <c r="L50" i="13" s="1"/>
  <c r="AR50" i="13"/>
  <c r="P534" i="19"/>
  <c r="Q534" i="19" s="1"/>
  <c r="Q530" i="19"/>
  <c r="Q985" i="19"/>
  <c r="P989" i="19"/>
  <c r="Q989" i="19" s="1"/>
  <c r="P189" i="19"/>
  <c r="Q189" i="19" s="1"/>
  <c r="Q185" i="19"/>
  <c r="Q335" i="19"/>
  <c r="P339" i="19"/>
  <c r="Q339" i="19" s="1"/>
  <c r="Q1290" i="19"/>
  <c r="P1294" i="19"/>
  <c r="Q1294" i="19" s="1"/>
  <c r="J124" i="15"/>
  <c r="K124" i="15" s="1"/>
  <c r="K185" i="13"/>
  <c r="L185" i="13" s="1"/>
  <c r="AR185" i="13"/>
  <c r="K199" i="13"/>
  <c r="L199" i="13" s="1"/>
  <c r="AR199" i="13"/>
  <c r="J265" i="15"/>
  <c r="K265" i="15" s="1"/>
  <c r="K384" i="13"/>
  <c r="L384" i="13" s="1"/>
  <c r="AR384" i="13"/>
  <c r="Q1665" i="19"/>
  <c r="P1669" i="19"/>
  <c r="Q1669" i="19" s="1"/>
  <c r="J73" i="15"/>
  <c r="K73" i="15" s="1"/>
  <c r="K110" i="13"/>
  <c r="L110" i="13" s="1"/>
  <c r="AR110" i="13"/>
  <c r="Q800" i="19"/>
  <c r="P804" i="19"/>
  <c r="Q804" i="19" s="1"/>
  <c r="P54" i="19"/>
  <c r="Q54" i="19" s="1"/>
  <c r="Q50" i="19"/>
  <c r="J98" i="15"/>
  <c r="K98" i="15" s="1"/>
  <c r="AR157" i="13"/>
  <c r="K157" i="13"/>
  <c r="L157" i="13" s="1"/>
  <c r="J134" i="15"/>
  <c r="K134" i="15" s="1"/>
  <c r="K204" i="13"/>
  <c r="L204" i="13" s="1"/>
  <c r="AR204" i="13"/>
  <c r="J48" i="15"/>
  <c r="K48" i="15" s="1"/>
  <c r="K75" i="13"/>
  <c r="L75" i="13" s="1"/>
  <c r="AR75" i="13"/>
  <c r="J64" i="15"/>
  <c r="K64" i="15" s="1"/>
  <c r="K100" i="13"/>
  <c r="L100" i="13" s="1"/>
  <c r="AR100" i="13"/>
  <c r="R223" i="13"/>
  <c r="P223" i="13"/>
  <c r="J201" i="15"/>
  <c r="K201" i="15" s="1"/>
  <c r="K302" i="13"/>
  <c r="L302" i="13" s="1"/>
  <c r="AR302" i="13"/>
  <c r="P1329" i="19"/>
  <c r="Q1329" i="19" s="1"/>
  <c r="Q1325" i="19"/>
  <c r="J233" i="15"/>
  <c r="K233" i="15" s="1"/>
  <c r="AR350" i="13"/>
  <c r="K350" i="13"/>
  <c r="L350" i="13" s="1"/>
  <c r="P261" i="19"/>
  <c r="Q261" i="19" s="1"/>
  <c r="J372" i="13"/>
  <c r="K122" i="13"/>
  <c r="L122" i="13" s="1"/>
  <c r="AR122" i="13"/>
  <c r="Q1040" i="19"/>
  <c r="P1044" i="19"/>
  <c r="Q1044" i="19" s="1"/>
  <c r="Q55" i="19"/>
  <c r="P59" i="19"/>
  <c r="Q59" i="19" s="1"/>
  <c r="P609" i="19"/>
  <c r="Q609" i="19" s="1"/>
  <c r="Q605" i="19"/>
  <c r="K401" i="13"/>
  <c r="L401" i="13" s="1"/>
  <c r="J282" i="15"/>
  <c r="K282" i="15" s="1"/>
  <c r="AR401" i="13"/>
  <c r="P749" i="19"/>
  <c r="Q749" i="19" s="1"/>
  <c r="Q745" i="19"/>
  <c r="K344" i="13"/>
  <c r="L344" i="13" s="1"/>
  <c r="AR344" i="13"/>
  <c r="J230" i="15"/>
  <c r="K230" i="15" s="1"/>
  <c r="J310" i="15"/>
  <c r="K310" i="15" s="1"/>
  <c r="AR429" i="13"/>
  <c r="K429" i="13"/>
  <c r="L429" i="13" s="1"/>
  <c r="P1564" i="19"/>
  <c r="Q1564" i="19" s="1"/>
  <c r="Q1560" i="19"/>
  <c r="Q685" i="19"/>
  <c r="P689" i="19"/>
  <c r="Q689" i="19" s="1"/>
  <c r="J228" i="15"/>
  <c r="K228" i="15" s="1"/>
  <c r="AR342" i="13"/>
  <c r="K342" i="13"/>
  <c r="L342" i="13" s="1"/>
  <c r="J314" i="15"/>
  <c r="K314" i="15" s="1"/>
  <c r="K433" i="13"/>
  <c r="L433" i="13" s="1"/>
  <c r="AR433" i="13"/>
  <c r="J109" i="15"/>
  <c r="K109" i="15" s="1"/>
  <c r="K169" i="13"/>
  <c r="L169" i="13" s="1"/>
  <c r="AR169" i="13"/>
  <c r="AR99" i="13"/>
  <c r="K99" i="13"/>
  <c r="L99" i="13" s="1"/>
  <c r="Q340" i="19"/>
  <c r="P344" i="19"/>
  <c r="Q344" i="19" s="1"/>
  <c r="K222" i="13"/>
  <c r="L222" i="13" s="1"/>
  <c r="J147" i="15"/>
  <c r="K147" i="15" s="1"/>
  <c r="AR222" i="13"/>
  <c r="AR426" i="13"/>
  <c r="J307" i="15"/>
  <c r="K307" i="15" s="1"/>
  <c r="K426" i="13"/>
  <c r="L426" i="13" s="1"/>
  <c r="P199" i="19"/>
  <c r="Q199" i="19" s="1"/>
  <c r="Q195" i="19"/>
  <c r="J34" i="15"/>
  <c r="K34" i="15" s="1"/>
  <c r="AR52" i="13"/>
  <c r="K52" i="13"/>
  <c r="L52" i="13" s="1"/>
  <c r="J207" i="15"/>
  <c r="K207" i="15" s="1"/>
  <c r="AR312" i="13"/>
  <c r="K312" i="13"/>
  <c r="L312" i="13" s="1"/>
  <c r="Q575" i="19"/>
  <c r="P579" i="19"/>
  <c r="Q579" i="19" s="1"/>
  <c r="J184" i="15"/>
  <c r="K184" i="15" s="1"/>
  <c r="K279" i="13"/>
  <c r="L279" i="13" s="1"/>
  <c r="AR279" i="13"/>
  <c r="K109" i="13"/>
  <c r="L109" i="13" s="1"/>
  <c r="AR109" i="13"/>
  <c r="K240" i="13"/>
  <c r="L240" i="13" s="1"/>
  <c r="AR240" i="13"/>
  <c r="Q675" i="19"/>
  <c r="P679" i="19"/>
  <c r="Q679" i="19" s="1"/>
  <c r="P384" i="19"/>
  <c r="Q384" i="19" s="1"/>
  <c r="Q380" i="19"/>
  <c r="Q1145" i="19"/>
  <c r="P1149" i="19"/>
  <c r="Q1149" i="19" s="1"/>
  <c r="J273" i="15"/>
  <c r="K273" i="15" s="1"/>
  <c r="AR392" i="13"/>
  <c r="K392" i="13"/>
  <c r="L392" i="13" s="1"/>
  <c r="J145" i="15"/>
  <c r="K145" i="15" s="1"/>
  <c r="AR220" i="13"/>
  <c r="K220" i="13"/>
  <c r="L220" i="13" s="1"/>
  <c r="P1514" i="19"/>
  <c r="Q1514" i="19" s="1"/>
  <c r="Q1510" i="19"/>
  <c r="K49" i="13"/>
  <c r="L49" i="13" s="1"/>
  <c r="AR49" i="13"/>
  <c r="J172" i="15"/>
  <c r="K172" i="15" s="1"/>
  <c r="AR258" i="13"/>
  <c r="K258" i="13"/>
  <c r="L258" i="13" s="1"/>
  <c r="K338" i="13"/>
  <c r="L338" i="13" s="1"/>
  <c r="J226" i="15"/>
  <c r="K226" i="15" s="1"/>
  <c r="AR338" i="13"/>
  <c r="P1544" i="19"/>
  <c r="Q1544" i="19" s="1"/>
  <c r="Q1540" i="19"/>
  <c r="J62" i="15"/>
  <c r="K62" i="15" s="1"/>
  <c r="K96" i="13"/>
  <c r="L96" i="13" s="1"/>
  <c r="AR96" i="13"/>
  <c r="AR218" i="13"/>
  <c r="J143" i="15"/>
  <c r="K143" i="15" s="1"/>
  <c r="K218" i="13"/>
  <c r="L218" i="13" s="1"/>
  <c r="P69" i="19"/>
  <c r="Q69" i="19" s="1"/>
  <c r="Q65" i="19"/>
  <c r="Q95" i="19"/>
  <c r="P99" i="19"/>
  <c r="Q99" i="19" s="1"/>
  <c r="P564" i="19"/>
  <c r="Q564" i="19" s="1"/>
  <c r="Q560" i="19"/>
  <c r="J414" i="13"/>
  <c r="P317" i="19"/>
  <c r="Q317" i="19" s="1"/>
  <c r="P1639" i="19"/>
  <c r="Q1639" i="19" s="1"/>
  <c r="Q1635" i="19"/>
  <c r="Q1045" i="19"/>
  <c r="P1049" i="19"/>
  <c r="Q1049" i="19" s="1"/>
  <c r="AR195" i="13"/>
  <c r="K195" i="13"/>
  <c r="L195" i="13" s="1"/>
  <c r="J313" i="15"/>
  <c r="K313" i="15" s="1"/>
  <c r="K432" i="13"/>
  <c r="L432" i="13" s="1"/>
  <c r="AR432" i="13"/>
  <c r="J409" i="13"/>
  <c r="P36" i="19"/>
  <c r="Q36" i="19" s="1"/>
  <c r="K76" i="13"/>
  <c r="L76" i="13" s="1"/>
  <c r="AR76" i="13"/>
  <c r="K18" i="13"/>
  <c r="L18" i="13" s="1"/>
  <c r="AR18" i="13"/>
  <c r="J162" i="15"/>
  <c r="K162" i="15" s="1"/>
  <c r="AR245" i="13"/>
  <c r="K245" i="13"/>
  <c r="L245" i="13" s="1"/>
  <c r="J155" i="15"/>
  <c r="K155" i="15" s="1"/>
  <c r="K233" i="13"/>
  <c r="L233" i="13" s="1"/>
  <c r="AR233" i="13"/>
  <c r="Q785" i="19"/>
  <c r="P789" i="19"/>
  <c r="Q789" i="19" s="1"/>
  <c r="J220" i="15"/>
  <c r="K220" i="15" s="1"/>
  <c r="AR329" i="13"/>
  <c r="K329" i="13"/>
  <c r="L329" i="13" s="1"/>
  <c r="J221" i="15"/>
  <c r="K221" i="15" s="1"/>
  <c r="AR330" i="13"/>
  <c r="K330" i="13"/>
  <c r="L330" i="13" s="1"/>
  <c r="J182" i="15"/>
  <c r="K182" i="15" s="1"/>
  <c r="K276" i="13"/>
  <c r="L276" i="13" s="1"/>
  <c r="AR276" i="13"/>
  <c r="J168" i="15"/>
  <c r="K168" i="15" s="1"/>
  <c r="AR253" i="13"/>
  <c r="K253" i="13"/>
  <c r="L253" i="13" s="1"/>
  <c r="J80" i="15"/>
  <c r="K80" i="15" s="1"/>
  <c r="K125" i="13"/>
  <c r="L125" i="13" s="1"/>
  <c r="AR125" i="13"/>
  <c r="J9" i="15"/>
  <c r="K9" i="15" s="1"/>
  <c r="K10" i="13"/>
  <c r="L10" i="13" s="1"/>
  <c r="AR10" i="13"/>
  <c r="Q1380" i="19"/>
  <c r="P1384" i="19"/>
  <c r="Q1384" i="19" s="1"/>
  <c r="Q925" i="19"/>
  <c r="P929" i="19"/>
  <c r="Q929" i="19" s="1"/>
  <c r="Q535" i="19"/>
  <c r="P539" i="19"/>
  <c r="Q539" i="19" s="1"/>
  <c r="AR54" i="13"/>
  <c r="K54" i="13"/>
  <c r="L54" i="13" s="1"/>
  <c r="Q270" i="19"/>
  <c r="P274" i="19"/>
  <c r="Q274" i="19" s="1"/>
  <c r="K262" i="13"/>
  <c r="L262" i="13" s="1"/>
  <c r="AR262" i="13"/>
  <c r="J242" i="15"/>
  <c r="K242" i="15" s="1"/>
  <c r="AR361" i="13"/>
  <c r="K361" i="13"/>
  <c r="L361" i="13" s="1"/>
  <c r="AR131" i="13"/>
  <c r="K131" i="13"/>
  <c r="L131" i="13" s="1"/>
  <c r="K187" i="13"/>
  <c r="L187" i="13" s="1"/>
  <c r="AR187" i="13"/>
  <c r="Q1690" i="19"/>
  <c r="P1694" i="19"/>
  <c r="Q1694" i="19" s="1"/>
  <c r="P389" i="19"/>
  <c r="Q389" i="19" s="1"/>
  <c r="Q385" i="19"/>
  <c r="Q1050" i="19"/>
  <c r="P1054" i="19"/>
  <c r="Q1054" i="19" s="1"/>
  <c r="Q1335" i="19"/>
  <c r="P1339" i="19"/>
  <c r="Q1339" i="19" s="1"/>
  <c r="P184" i="19"/>
  <c r="Q184" i="19" s="1"/>
  <c r="Q180" i="19"/>
  <c r="J75" i="15"/>
  <c r="K75" i="15" s="1"/>
  <c r="K114" i="13"/>
  <c r="L114" i="13" s="1"/>
  <c r="AR114" i="13"/>
  <c r="P124" i="19"/>
  <c r="Q124" i="19" s="1"/>
  <c r="Q120" i="19"/>
  <c r="AR242" i="13"/>
  <c r="K242" i="13"/>
  <c r="L242" i="13" s="1"/>
  <c r="J55" i="15"/>
  <c r="K55" i="15" s="1"/>
  <c r="AR86" i="13"/>
  <c r="K86" i="13"/>
  <c r="L86" i="13" s="1"/>
  <c r="P1389" i="19"/>
  <c r="Q1389" i="19" s="1"/>
  <c r="Q1385" i="19"/>
  <c r="K267" i="13"/>
  <c r="L267" i="13" s="1"/>
  <c r="AR267" i="13"/>
  <c r="P119" i="19"/>
  <c r="Q119" i="19" s="1"/>
  <c r="Q115" i="19"/>
  <c r="J164" i="15"/>
  <c r="K164" i="15" s="1"/>
  <c r="K247" i="13"/>
  <c r="L247" i="13" s="1"/>
  <c r="AR247" i="13"/>
  <c r="J43" i="15"/>
  <c r="K43" i="15" s="1"/>
  <c r="K68" i="13"/>
  <c r="L68" i="13" s="1"/>
  <c r="AR68" i="13"/>
  <c r="J19" i="15"/>
  <c r="K19" i="15" s="1"/>
  <c r="K27" i="13"/>
  <c r="L27" i="13" s="1"/>
  <c r="AR27" i="13"/>
  <c r="Q1405" i="19"/>
  <c r="P1409" i="19"/>
  <c r="Q1409" i="19" s="1"/>
  <c r="P970" i="19"/>
  <c r="J200" i="13"/>
  <c r="N974" i="19"/>
  <c r="Q1645" i="19"/>
  <c r="P1649" i="19"/>
  <c r="Q1649" i="19" s="1"/>
  <c r="Q1515" i="19"/>
  <c r="P1519" i="19"/>
  <c r="Q1519" i="19" s="1"/>
  <c r="J195" i="15"/>
  <c r="K195" i="15" s="1"/>
  <c r="AR295" i="13"/>
  <c r="K295" i="13"/>
  <c r="L295" i="13" s="1"/>
  <c r="Q550" i="19"/>
  <c r="P554" i="19"/>
  <c r="Q554" i="19" s="1"/>
  <c r="Q190" i="19"/>
  <c r="P194" i="19"/>
  <c r="Q194" i="19" s="1"/>
  <c r="Q1695" i="19"/>
  <c r="P1699" i="19"/>
  <c r="Q1699" i="19" s="1"/>
  <c r="J248" i="15"/>
  <c r="K248" i="15" s="1"/>
  <c r="K367" i="13"/>
  <c r="L367" i="13" s="1"/>
  <c r="AR367" i="13"/>
  <c r="Q1470" i="19"/>
  <c r="P1474" i="19"/>
  <c r="Q1474" i="19" s="1"/>
  <c r="J302" i="15"/>
  <c r="K302" i="15" s="1"/>
  <c r="AR421" i="13"/>
  <c r="K421" i="13"/>
  <c r="L421" i="13" s="1"/>
  <c r="P34" i="19"/>
  <c r="Q34" i="19" s="1"/>
  <c r="Q30" i="19"/>
  <c r="Q170" i="19"/>
  <c r="P174" i="19"/>
  <c r="Q174" i="19" s="1"/>
  <c r="Q1525" i="19"/>
  <c r="P1529" i="19"/>
  <c r="Q1529" i="19" s="1"/>
  <c r="Q760" i="19"/>
  <c r="P764" i="19"/>
  <c r="Q764" i="19" s="1"/>
  <c r="J256" i="15"/>
  <c r="K256" i="15" s="1"/>
  <c r="AR375" i="13"/>
  <c r="K375" i="13"/>
  <c r="L375" i="13" s="1"/>
  <c r="Q1355" i="19"/>
  <c r="P1359" i="19"/>
  <c r="Q1359" i="19" s="1"/>
  <c r="J422" i="13"/>
  <c r="J52" i="15"/>
  <c r="K52" i="15" s="1"/>
  <c r="AR81" i="13"/>
  <c r="K81" i="13"/>
  <c r="L81" i="13" s="1"/>
  <c r="P524" i="19"/>
  <c r="Q524" i="19" s="1"/>
  <c r="Q520" i="19"/>
  <c r="AR229" i="13"/>
  <c r="K229" i="13"/>
  <c r="L229" i="13" s="1"/>
  <c r="Q1569" i="19"/>
  <c r="Q1565" i="19"/>
  <c r="J13" i="15"/>
  <c r="K13" i="15" s="1"/>
  <c r="AR16" i="13"/>
  <c r="K16" i="13"/>
  <c r="L16" i="13" s="1"/>
  <c r="P759" i="19"/>
  <c r="Q759" i="19" s="1"/>
  <c r="Q755" i="19"/>
  <c r="P994" i="19"/>
  <c r="Q994" i="19" s="1"/>
  <c r="Q990" i="19"/>
  <c r="J299" i="15"/>
  <c r="K299" i="15" s="1"/>
  <c r="K418" i="13"/>
  <c r="L418" i="13" s="1"/>
  <c r="AR418" i="13"/>
  <c r="Q590" i="19"/>
  <c r="P594" i="19"/>
  <c r="Q594" i="19" s="1"/>
  <c r="Q655" i="19"/>
  <c r="P659" i="19"/>
  <c r="Q659" i="19" s="1"/>
  <c r="J311" i="15"/>
  <c r="K311" i="15" s="1"/>
  <c r="AR430" i="13"/>
  <c r="K430" i="13"/>
  <c r="L430" i="13" s="1"/>
  <c r="Q1480" i="19"/>
  <c r="P1484" i="19"/>
  <c r="Q1484" i="19" s="1"/>
  <c r="K396" i="13"/>
  <c r="L396" i="13" s="1"/>
  <c r="J277" i="15"/>
  <c r="K277" i="15" s="1"/>
  <c r="AR396" i="13"/>
  <c r="Q1170" i="19"/>
  <c r="P1174" i="19"/>
  <c r="Q1174" i="19" s="1"/>
  <c r="P444" i="19"/>
  <c r="Q444" i="19" s="1"/>
  <c r="Q440" i="19"/>
  <c r="Q1745" i="19"/>
  <c r="P1749" i="19"/>
  <c r="Q1749" i="19" s="1"/>
  <c r="J83" i="15"/>
  <c r="K83" i="15" s="1"/>
  <c r="AR132" i="13"/>
  <c r="K132" i="13"/>
  <c r="L132" i="13" s="1"/>
  <c r="Q1260" i="19"/>
  <c r="P1264" i="19"/>
  <c r="Q1264" i="19" s="1"/>
  <c r="Q1660" i="19"/>
  <c r="P1664" i="19"/>
  <c r="Q1664" i="19" s="1"/>
  <c r="K255" i="13"/>
  <c r="L255" i="13" s="1"/>
  <c r="J169" i="15"/>
  <c r="K169" i="15" s="1"/>
  <c r="AR255" i="13"/>
  <c r="J185" i="15"/>
  <c r="K185" i="15" s="1"/>
  <c r="K280" i="13"/>
  <c r="L280" i="13" s="1"/>
  <c r="AR280" i="13"/>
  <c r="J244" i="15"/>
  <c r="K244" i="15" s="1"/>
  <c r="K363" i="13"/>
  <c r="L363" i="13" s="1"/>
  <c r="AR363" i="13"/>
  <c r="J223" i="15"/>
  <c r="K223" i="15" s="1"/>
  <c r="K333" i="13"/>
  <c r="L333" i="13" s="1"/>
  <c r="AR333" i="13"/>
  <c r="J140" i="15"/>
  <c r="K140" i="15" s="1"/>
  <c r="AR215" i="13"/>
  <c r="K215" i="13"/>
  <c r="L215" i="13" s="1"/>
  <c r="J136" i="15"/>
  <c r="K136" i="15" s="1"/>
  <c r="K206" i="13"/>
  <c r="L206" i="13" s="1"/>
  <c r="AR206" i="13"/>
  <c r="AR22" i="13"/>
  <c r="K22" i="13"/>
  <c r="L22" i="13" s="1"/>
  <c r="K156" i="13"/>
  <c r="L156" i="13" s="1"/>
  <c r="J97" i="15"/>
  <c r="K97" i="15" s="1"/>
  <c r="AR156" i="13"/>
  <c r="P464" i="19"/>
  <c r="Q464" i="19" s="1"/>
  <c r="Q460" i="19"/>
  <c r="K61" i="13"/>
  <c r="L61" i="13" s="1"/>
  <c r="AR61" i="13"/>
  <c r="J225" i="15"/>
  <c r="K225" i="15" s="1"/>
  <c r="AR337" i="13"/>
  <c r="K337" i="13"/>
  <c r="L337" i="13" s="1"/>
  <c r="Q60" i="19"/>
  <c r="P64" i="19"/>
  <c r="Q64" i="19" s="1"/>
  <c r="J324" i="15"/>
  <c r="K324" i="15" s="1"/>
  <c r="K443" i="13"/>
  <c r="L443" i="13" s="1"/>
  <c r="J125" i="15"/>
  <c r="K125" i="15" s="1"/>
  <c r="AR188" i="13"/>
  <c r="K188" i="13"/>
  <c r="L188" i="13" s="1"/>
  <c r="P709" i="19"/>
  <c r="Q709" i="19" s="1"/>
  <c r="Q705" i="19"/>
  <c r="J217" i="15"/>
  <c r="K217" i="15" s="1"/>
  <c r="AR324" i="13"/>
  <c r="K324" i="13"/>
  <c r="L324" i="13" s="1"/>
  <c r="J23" i="15"/>
  <c r="K23" i="15" s="1"/>
  <c r="K33" i="13"/>
  <c r="L33" i="13" s="1"/>
  <c r="AR33" i="13"/>
  <c r="P744" i="19"/>
  <c r="Q744" i="19" s="1"/>
  <c r="Q740" i="19"/>
  <c r="J187" i="15"/>
  <c r="K187" i="15" s="1"/>
  <c r="K282" i="13"/>
  <c r="L282" i="13" s="1"/>
  <c r="AR282" i="13"/>
  <c r="J127" i="15"/>
  <c r="K127" i="15" s="1"/>
  <c r="K191" i="13"/>
  <c r="L191" i="13" s="1"/>
  <c r="AR191" i="13"/>
  <c r="AR113" i="13"/>
  <c r="K113" i="13"/>
  <c r="L113" i="13" s="1"/>
  <c r="J102" i="15"/>
  <c r="K102" i="15" s="1"/>
  <c r="AR161" i="13"/>
  <c r="K161" i="13"/>
  <c r="L161" i="13" s="1"/>
  <c r="J283" i="15"/>
  <c r="K283" i="15" s="1"/>
  <c r="AR402" i="13"/>
  <c r="K402" i="13"/>
  <c r="L402" i="13" s="1"/>
  <c r="Q855" i="19"/>
  <c r="P859" i="19"/>
  <c r="Q859" i="19" s="1"/>
  <c r="J245" i="15"/>
  <c r="K245" i="15" s="1"/>
  <c r="K364" i="13"/>
  <c r="L364" i="13" s="1"/>
  <c r="AR364" i="13"/>
  <c r="K211" i="13"/>
  <c r="L211" i="13" s="1"/>
  <c r="AR211" i="13"/>
  <c r="J138" i="15"/>
  <c r="K138" i="15" s="1"/>
  <c r="Q205" i="19"/>
  <c r="P209" i="19"/>
  <c r="Q209" i="19" s="1"/>
  <c r="J166" i="15"/>
  <c r="K166" i="15" s="1"/>
  <c r="AR250" i="13"/>
  <c r="K250" i="13"/>
  <c r="L250" i="13" s="1"/>
  <c r="J289" i="15"/>
  <c r="K289" i="15" s="1"/>
  <c r="AR408" i="13"/>
  <c r="K408" i="13"/>
  <c r="L408" i="13" s="1"/>
  <c r="J317" i="15"/>
  <c r="K317" i="15" s="1"/>
  <c r="AR436" i="13"/>
  <c r="K436" i="13"/>
  <c r="L436" i="13" s="1"/>
  <c r="K244" i="13"/>
  <c r="L244" i="13" s="1"/>
  <c r="AR244" i="13"/>
  <c r="Q1315" i="19"/>
  <c r="P1319" i="19"/>
  <c r="Q1319" i="19" s="1"/>
  <c r="Q1750" i="19"/>
  <c r="P1754" i="19"/>
  <c r="Q1754" i="19" s="1"/>
  <c r="J263" i="15"/>
  <c r="K263" i="15" s="1"/>
  <c r="AR382" i="13"/>
  <c r="K382" i="13"/>
  <c r="L382" i="13" s="1"/>
  <c r="Q400" i="19"/>
  <c r="P404" i="19"/>
  <c r="Q404" i="19" s="1"/>
  <c r="K11" i="13"/>
  <c r="L11" i="13" s="1"/>
  <c r="AR11" i="13"/>
  <c r="J188" i="15"/>
  <c r="K188" i="15" s="1"/>
  <c r="AR283" i="13"/>
  <c r="K283" i="13"/>
  <c r="L283" i="13" s="1"/>
  <c r="AR66" i="13"/>
  <c r="K66" i="13"/>
  <c r="L66" i="13" s="1"/>
  <c r="P1479" i="19"/>
  <c r="Q1479" i="19" s="1"/>
  <c r="Q1475" i="19"/>
  <c r="J154" i="15"/>
  <c r="K154" i="15" s="1"/>
  <c r="AR231" i="13"/>
  <c r="K231" i="13"/>
  <c r="L231" i="13" s="1"/>
  <c r="AR171" i="13"/>
  <c r="J111" i="15"/>
  <c r="K111" i="15" s="1"/>
  <c r="K171" i="13"/>
  <c r="L171" i="13" s="1"/>
  <c r="AR9" i="13"/>
  <c r="K9" i="13"/>
  <c r="L9" i="13" s="1"/>
  <c r="J445" i="13"/>
  <c r="Q1225" i="19"/>
  <c r="P1229" i="19"/>
  <c r="Q1229" i="19" s="1"/>
  <c r="K318" i="13"/>
  <c r="L318" i="13" s="1"/>
  <c r="AR318" i="13"/>
  <c r="AR119" i="13"/>
  <c r="K119" i="13"/>
  <c r="L119" i="13" s="1"/>
  <c r="P684" i="19"/>
  <c r="Q684" i="19" s="1"/>
  <c r="Q680" i="19"/>
  <c r="Q650" i="19"/>
  <c r="P654" i="19"/>
  <c r="Q654" i="19" s="1"/>
  <c r="J266" i="15"/>
  <c r="K266" i="15" s="1"/>
  <c r="AR385" i="13"/>
  <c r="K385" i="13"/>
  <c r="L385" i="13" s="1"/>
  <c r="AR44" i="13"/>
  <c r="K44" i="13"/>
  <c r="L44" i="13" s="1"/>
  <c r="J200" i="15"/>
  <c r="K200" i="15" s="1"/>
  <c r="K300" i="13"/>
  <c r="L300" i="13" s="1"/>
  <c r="AR300" i="13"/>
  <c r="J74" i="15"/>
  <c r="K74" i="15" s="1"/>
  <c r="AR112" i="13"/>
  <c r="K112" i="13"/>
  <c r="L112" i="13" s="1"/>
  <c r="J133" i="15"/>
  <c r="K133" i="15" s="1"/>
  <c r="K203" i="13"/>
  <c r="L203" i="13" s="1"/>
  <c r="AR203" i="13"/>
  <c r="J70" i="15"/>
  <c r="K70" i="15" s="1"/>
  <c r="K106" i="13"/>
  <c r="L106" i="13" s="1"/>
  <c r="AR106" i="13"/>
  <c r="AR73" i="13"/>
  <c r="K73" i="13"/>
  <c r="L73" i="13" s="1"/>
  <c r="J243" i="15"/>
  <c r="K243" i="15" s="1"/>
  <c r="K362" i="13"/>
  <c r="L362" i="13" s="1"/>
  <c r="AR362" i="13"/>
  <c r="J99" i="15"/>
  <c r="K99" i="15" s="1"/>
  <c r="AR158" i="13"/>
  <c r="K158" i="13"/>
  <c r="L158" i="13" s="1"/>
  <c r="K101" i="13"/>
  <c r="L101" i="13" s="1"/>
  <c r="J65" i="15"/>
  <c r="K65" i="15" s="1"/>
  <c r="AR101" i="13"/>
  <c r="J106" i="15"/>
  <c r="K106" i="15" s="1"/>
  <c r="K166" i="13"/>
  <c r="L166" i="13" s="1"/>
  <c r="AR166" i="13"/>
  <c r="P1159" i="19"/>
  <c r="Q1159" i="19" s="1"/>
  <c r="Q1155" i="19"/>
  <c r="J129" i="15"/>
  <c r="K129" i="15" s="1"/>
  <c r="AR193" i="13"/>
  <c r="K193" i="13"/>
  <c r="L193" i="13" s="1"/>
  <c r="Q425" i="19"/>
  <c r="P429" i="19"/>
  <c r="Q429" i="19" s="1"/>
  <c r="J79" i="15"/>
  <c r="K79" i="15" s="1"/>
  <c r="AR124" i="13"/>
  <c r="K124" i="13"/>
  <c r="L124" i="13" s="1"/>
  <c r="AR313" i="13"/>
  <c r="J208" i="15"/>
  <c r="K208" i="15" s="1"/>
  <c r="K313" i="13"/>
  <c r="L313" i="13" s="1"/>
  <c r="AR137" i="13"/>
  <c r="K137" i="13"/>
  <c r="L137" i="13" s="1"/>
  <c r="J179" i="15"/>
  <c r="K179" i="15" s="1"/>
  <c r="K271" i="13"/>
  <c r="L271" i="13" s="1"/>
  <c r="AR271" i="13"/>
  <c r="J12" i="15"/>
  <c r="K12" i="15" s="1"/>
  <c r="K15" i="13"/>
  <c r="L15" i="13" s="1"/>
  <c r="AR15" i="13"/>
  <c r="Q1720" i="19"/>
  <c r="P1724" i="19"/>
  <c r="Q1724" i="19" s="1"/>
  <c r="J84" i="15"/>
  <c r="K84" i="15" s="1"/>
  <c r="AR134" i="13"/>
  <c r="K134" i="13"/>
  <c r="L134" i="13" s="1"/>
  <c r="J232" i="15"/>
  <c r="K232" i="15" s="1"/>
  <c r="K349" i="13"/>
  <c r="L349" i="13" s="1"/>
  <c r="AR349" i="13"/>
  <c r="J297" i="15"/>
  <c r="K297" i="15" s="1"/>
  <c r="AR416" i="13"/>
  <c r="K416" i="13"/>
  <c r="L416" i="13" s="1"/>
  <c r="J287" i="15"/>
  <c r="K287" i="15" s="1"/>
  <c r="K406" i="13"/>
  <c r="L406" i="13" s="1"/>
  <c r="AR406" i="13"/>
  <c r="Q1485" i="19"/>
  <c r="P1489" i="19"/>
  <c r="Q1489" i="19" s="1"/>
  <c r="J119" i="15"/>
  <c r="K119" i="15" s="1"/>
  <c r="AR180" i="13"/>
  <c r="K180" i="13"/>
  <c r="L180" i="13" s="1"/>
  <c r="P774" i="19"/>
  <c r="Q774" i="19" s="1"/>
  <c r="Q770" i="19"/>
  <c r="J156" i="15"/>
  <c r="K156" i="15" s="1"/>
  <c r="K234" i="13"/>
  <c r="L234" i="13" s="1"/>
  <c r="AR234" i="13"/>
  <c r="J209" i="15"/>
  <c r="K209" i="15" s="1"/>
  <c r="AR314" i="13"/>
  <c r="K314" i="13"/>
  <c r="L314" i="13" s="1"/>
  <c r="K352" i="13"/>
  <c r="L352" i="13" s="1"/>
  <c r="AR352" i="13"/>
  <c r="Q690" i="19"/>
  <c r="P694" i="19"/>
  <c r="Q694" i="19" s="1"/>
  <c r="P1084" i="19"/>
  <c r="Q1084" i="19" s="1"/>
  <c r="Q1080" i="19"/>
  <c r="J325" i="15"/>
  <c r="K325" i="15" s="1"/>
  <c r="AR444" i="13"/>
  <c r="K444" i="13"/>
  <c r="L444" i="13" s="1"/>
  <c r="AR239" i="13"/>
  <c r="K239" i="13"/>
  <c r="L239" i="13" s="1"/>
  <c r="J146" i="15"/>
  <c r="K146" i="15" s="1"/>
  <c r="AR221" i="13"/>
  <c r="K221" i="13"/>
  <c r="L221" i="13" s="1"/>
  <c r="P1584" i="19"/>
  <c r="Q1584" i="19" s="1"/>
  <c r="Q1580" i="19"/>
  <c r="J205" i="15"/>
  <c r="K205" i="15" s="1"/>
  <c r="K308" i="13"/>
  <c r="L308" i="13" s="1"/>
  <c r="AR308" i="13"/>
  <c r="P299" i="19"/>
  <c r="Q299" i="19" s="1"/>
  <c r="Q295" i="19"/>
  <c r="J17" i="15"/>
  <c r="K17" i="15" s="1"/>
  <c r="K24" i="13"/>
  <c r="L24" i="13" s="1"/>
  <c r="AR24" i="13"/>
  <c r="Q450" i="19"/>
  <c r="P454" i="19"/>
  <c r="Q454" i="19" s="1"/>
  <c r="K19" i="13"/>
  <c r="L19" i="13" s="1"/>
  <c r="AR19" i="13"/>
  <c r="K130" i="13"/>
  <c r="L130" i="13" s="1"/>
  <c r="AR130" i="13"/>
  <c r="P459" i="19"/>
  <c r="Q459" i="19" s="1"/>
  <c r="Q455" i="19"/>
  <c r="P84" i="19"/>
  <c r="Q84" i="19" s="1"/>
  <c r="Q80" i="19"/>
  <c r="P1599" i="19"/>
  <c r="Q1599" i="19" s="1"/>
  <c r="Q1595" i="19"/>
  <c r="Q750" i="19"/>
  <c r="P754" i="19"/>
  <c r="Q754" i="19" s="1"/>
  <c r="J63" i="15"/>
  <c r="K63" i="15" s="1"/>
  <c r="K98" i="13"/>
  <c r="L98" i="13" s="1"/>
  <c r="AR98" i="13"/>
  <c r="Q910" i="19"/>
  <c r="P914" i="19"/>
  <c r="Q914" i="19" s="1"/>
  <c r="J85" i="15"/>
  <c r="K85" i="15" s="1"/>
  <c r="AR135" i="13"/>
  <c r="K135" i="13"/>
  <c r="L135" i="13" s="1"/>
  <c r="K440" i="13"/>
  <c r="L440" i="13" s="1"/>
  <c r="AR440" i="13"/>
  <c r="J321" i="15"/>
  <c r="K321" i="15" s="1"/>
  <c r="P1139" i="19"/>
  <c r="Q1139" i="19" s="1"/>
  <c r="Q1135" i="19"/>
  <c r="P1324" i="19"/>
  <c r="Q1324" i="19" s="1"/>
  <c r="Q1320" i="19"/>
  <c r="Q1615" i="19"/>
  <c r="P1619" i="19"/>
  <c r="Q1619" i="19" s="1"/>
  <c r="J264" i="15"/>
  <c r="K264" i="15" s="1"/>
  <c r="K383" i="13"/>
  <c r="L383" i="13" s="1"/>
  <c r="AR383" i="13"/>
  <c r="Q1330" i="19"/>
  <c r="P1334" i="19"/>
  <c r="Q1334" i="19" s="1"/>
  <c r="AR139" i="13"/>
  <c r="K139" i="13"/>
  <c r="L139" i="13" s="1"/>
  <c r="P1354" i="19"/>
  <c r="Q1354" i="19" s="1"/>
  <c r="Q1350" i="19"/>
  <c r="P1239" i="19"/>
  <c r="Q1239" i="19" s="1"/>
  <c r="Q1235" i="19"/>
  <c r="Q135" i="19"/>
  <c r="P139" i="19"/>
  <c r="Q139" i="19" s="1"/>
  <c r="K154" i="13"/>
  <c r="L154" i="13" s="1"/>
  <c r="AR154" i="13"/>
  <c r="P809" i="19"/>
  <c r="Q809" i="19" s="1"/>
  <c r="Q805" i="19"/>
  <c r="AR307" i="13"/>
  <c r="K307" i="13"/>
  <c r="L307" i="13" s="1"/>
  <c r="J204" i="15"/>
  <c r="K204" i="15" s="1"/>
  <c r="P779" i="19"/>
  <c r="Q779" i="19" s="1"/>
  <c r="Q775" i="19"/>
  <c r="J116" i="15"/>
  <c r="K116" i="15" s="1"/>
  <c r="K177" i="13"/>
  <c r="L177" i="13" s="1"/>
  <c r="AR177" i="13"/>
  <c r="Q625" i="19"/>
  <c r="P629" i="19"/>
  <c r="Q629" i="19" s="1"/>
  <c r="J113" i="15"/>
  <c r="K113" i="15" s="1"/>
  <c r="K174" i="13"/>
  <c r="L174" i="13" s="1"/>
  <c r="AR174" i="13"/>
  <c r="J30" i="15"/>
  <c r="K30" i="15" s="1"/>
  <c r="AR47" i="13"/>
  <c r="K47" i="13"/>
  <c r="L47" i="13" s="1"/>
  <c r="P1224" i="19"/>
  <c r="Q1224" i="19" s="1"/>
  <c r="Q1220" i="19"/>
  <c r="J25" i="15"/>
  <c r="K25" i="15" s="1"/>
  <c r="K37" i="13"/>
  <c r="L37" i="13" s="1"/>
  <c r="AR37" i="13"/>
  <c r="K216" i="13"/>
  <c r="L216" i="13" s="1"/>
  <c r="J141" i="15"/>
  <c r="K141" i="15" s="1"/>
  <c r="AR216" i="13"/>
  <c r="J181" i="15"/>
  <c r="K181" i="15" s="1"/>
  <c r="K273" i="13"/>
  <c r="L273" i="13" s="1"/>
  <c r="AR273" i="13"/>
  <c r="P399" i="19"/>
  <c r="Q399" i="19" s="1"/>
  <c r="Q395" i="19"/>
  <c r="J177" i="15"/>
  <c r="K177" i="15" s="1"/>
  <c r="AR269" i="13"/>
  <c r="K269" i="13"/>
  <c r="L269" i="13" s="1"/>
  <c r="P1259" i="19"/>
  <c r="Q1259" i="19" s="1"/>
  <c r="Q1255" i="19"/>
  <c r="J20" i="15"/>
  <c r="K20" i="15" s="1"/>
  <c r="AR30" i="13"/>
  <c r="K30" i="13"/>
  <c r="L30" i="13" s="1"/>
  <c r="J238" i="15"/>
  <c r="K238" i="15" s="1"/>
  <c r="K356" i="13"/>
  <c r="L356" i="13" s="1"/>
  <c r="AR356" i="13"/>
  <c r="P979" i="19"/>
  <c r="Q979" i="19" s="1"/>
  <c r="Q975" i="19"/>
  <c r="Q25" i="19"/>
  <c r="P29" i="19"/>
  <c r="Q29" i="19" s="1"/>
  <c r="Q300" i="19"/>
  <c r="P304" i="19"/>
  <c r="Q304" i="19" s="1"/>
  <c r="J183" i="15"/>
  <c r="K183" i="15" s="1"/>
  <c r="K278" i="13"/>
  <c r="L278" i="13" s="1"/>
  <c r="AR278" i="13"/>
  <c r="Q1125" i="19"/>
  <c r="P1129" i="19"/>
  <c r="Q1129" i="19" s="1"/>
  <c r="P829" i="19"/>
  <c r="Q829" i="19" s="1"/>
  <c r="Q825" i="19"/>
  <c r="P1524" i="19"/>
  <c r="Q1524" i="19" s="1"/>
  <c r="Q1520" i="19"/>
  <c r="J167" i="15"/>
  <c r="K167" i="15" s="1"/>
  <c r="K251" i="13"/>
  <c r="L251" i="13" s="1"/>
  <c r="AR251" i="13"/>
  <c r="Q1640" i="19"/>
  <c r="P1644" i="19"/>
  <c r="Q1644" i="19" s="1"/>
  <c r="AR287" i="13"/>
  <c r="K287" i="13"/>
  <c r="L287" i="13" s="1"/>
  <c r="Q565" i="19"/>
  <c r="P569" i="19"/>
  <c r="Q569" i="19" s="1"/>
  <c r="J192" i="15"/>
  <c r="K192" i="15" s="1"/>
  <c r="AR291" i="13"/>
  <c r="K291" i="13"/>
  <c r="L291" i="13" s="1"/>
  <c r="Q795" i="19"/>
  <c r="P799" i="19"/>
  <c r="Q799" i="19" s="1"/>
  <c r="P614" i="19"/>
  <c r="Q614" i="19" s="1"/>
  <c r="Q610" i="19"/>
  <c r="J271" i="15"/>
  <c r="K271" i="15" s="1"/>
  <c r="K390" i="13"/>
  <c r="L390" i="13" s="1"/>
  <c r="AR390" i="13"/>
  <c r="AR88" i="13"/>
  <c r="K88" i="13"/>
  <c r="L88" i="13" s="1"/>
  <c r="P889" i="19"/>
  <c r="Q889" i="19" s="1"/>
  <c r="Q885" i="19"/>
  <c r="Q1015" i="19"/>
  <c r="P1019" i="19"/>
  <c r="Q1019" i="19" s="1"/>
  <c r="K336" i="13"/>
  <c r="L336" i="13" s="1"/>
  <c r="AR336" i="13"/>
  <c r="AR320" i="13"/>
  <c r="K320" i="13"/>
  <c r="L320" i="13" s="1"/>
  <c r="Q165" i="19"/>
  <c r="P169" i="19"/>
  <c r="Q169" i="19" s="1"/>
  <c r="Q360" i="19"/>
  <c r="P364" i="19"/>
  <c r="Q364" i="19" s="1"/>
  <c r="J10" i="15"/>
  <c r="K10" i="15" s="1"/>
  <c r="AR12" i="13"/>
  <c r="K12" i="13"/>
  <c r="L12" i="13" s="1"/>
  <c r="J206" i="15"/>
  <c r="K206" i="15" s="1"/>
  <c r="K311" i="13"/>
  <c r="L311" i="13" s="1"/>
  <c r="AR311" i="13"/>
  <c r="J197" i="15"/>
  <c r="K197" i="15" s="1"/>
  <c r="AR297" i="13"/>
  <c r="K297" i="13"/>
  <c r="L297" i="13" s="1"/>
  <c r="Q495" i="19"/>
  <c r="P499" i="19"/>
  <c r="Q499" i="19" s="1"/>
  <c r="AR277" i="13"/>
  <c r="K277" i="13"/>
  <c r="L277" i="13" s="1"/>
  <c r="AR296" i="13"/>
  <c r="K296" i="13"/>
  <c r="L296" i="13" s="1"/>
  <c r="J196" i="15"/>
  <c r="K196" i="15" s="1"/>
  <c r="P379" i="19"/>
  <c r="Q379" i="19" s="1"/>
  <c r="Q375" i="19"/>
  <c r="P1119" i="19"/>
  <c r="Q1119" i="19" s="1"/>
  <c r="Q1115" i="19"/>
  <c r="J158" i="15"/>
  <c r="K158" i="15" s="1"/>
  <c r="K237" i="13"/>
  <c r="L237" i="13" s="1"/>
  <c r="AR237" i="13"/>
  <c r="K319" i="13"/>
  <c r="L319" i="13" s="1"/>
  <c r="AR319" i="13"/>
  <c r="Q935" i="19"/>
  <c r="P939" i="19"/>
  <c r="Q939" i="19" s="1"/>
  <c r="J100" i="15"/>
  <c r="K100" i="15" s="1"/>
  <c r="AR159" i="13"/>
  <c r="K159" i="13"/>
  <c r="L159" i="13" s="1"/>
  <c r="P1539" i="19"/>
  <c r="Q1539" i="19" s="1"/>
  <c r="Q1535" i="19"/>
  <c r="Q940" i="19"/>
  <c r="P944" i="19"/>
  <c r="Q944" i="19" s="1"/>
  <c r="J315" i="15"/>
  <c r="K315" i="15" s="1"/>
  <c r="AR434" i="13"/>
  <c r="K434" i="13"/>
  <c r="L434" i="13" s="1"/>
  <c r="J210" i="15"/>
  <c r="K210" i="15" s="1"/>
  <c r="K315" i="13"/>
  <c r="L315" i="13" s="1"/>
  <c r="AR315" i="13"/>
  <c r="K285" i="13"/>
  <c r="L285" i="13" s="1"/>
  <c r="J190" i="15"/>
  <c r="K190" i="15" s="1"/>
  <c r="AR285" i="13"/>
  <c r="J252" i="15"/>
  <c r="K252" i="15" s="1"/>
  <c r="AR371" i="13"/>
  <c r="K371" i="13"/>
  <c r="L371" i="13" s="1"/>
  <c r="K370" i="13"/>
  <c r="L370" i="13" s="1"/>
  <c r="J251" i="15"/>
  <c r="K251" i="15" s="1"/>
  <c r="AR370" i="13"/>
  <c r="P24" i="19"/>
  <c r="Q24" i="19" s="1"/>
  <c r="Q20" i="19"/>
  <c r="P324" i="19"/>
  <c r="Q324" i="19" s="1"/>
  <c r="Q320" i="19"/>
  <c r="Q240" i="19"/>
  <c r="P244" i="19"/>
  <c r="Q244" i="19" s="1"/>
  <c r="K42" i="13"/>
  <c r="L42" i="13" s="1"/>
  <c r="J27" i="15"/>
  <c r="K27" i="15" s="1"/>
  <c r="AR42" i="13"/>
  <c r="Q1190" i="19"/>
  <c r="P1194" i="19"/>
  <c r="Q1194" i="19" s="1"/>
  <c r="Q540" i="19"/>
  <c r="P544" i="19"/>
  <c r="Q544" i="19" s="1"/>
  <c r="AR261" i="13"/>
  <c r="K261" i="13"/>
  <c r="L261" i="13" s="1"/>
  <c r="AR62" i="13"/>
  <c r="K62" i="13"/>
  <c r="L62" i="13" s="1"/>
  <c r="P19" i="19"/>
  <c r="Q19" i="19" s="1"/>
  <c r="Q15" i="19"/>
  <c r="Q1680" i="19"/>
  <c r="P1684" i="19"/>
  <c r="Q1684" i="19" s="1"/>
  <c r="J47" i="15"/>
  <c r="K47" i="15" s="1"/>
  <c r="AR74" i="13"/>
  <c r="K74" i="13"/>
  <c r="L74" i="13" s="1"/>
  <c r="P234" i="19"/>
  <c r="Q234" i="19" s="1"/>
  <c r="Q230" i="19"/>
  <c r="Q1430" i="19"/>
  <c r="P1434" i="19"/>
  <c r="Q1434" i="19" s="1"/>
  <c r="Q1530" i="19"/>
  <c r="P1534" i="19"/>
  <c r="Q1534" i="19" s="1"/>
  <c r="J78" i="15"/>
  <c r="K78" i="15" s="1"/>
  <c r="K121" i="13"/>
  <c r="L121" i="13" s="1"/>
  <c r="AR121" i="13"/>
  <c r="P1314" i="19"/>
  <c r="Q1314" i="19" s="1"/>
  <c r="Q1310" i="19"/>
  <c r="AR141" i="13"/>
  <c r="K141" i="13"/>
  <c r="L141" i="13" s="1"/>
  <c r="K248" i="13"/>
  <c r="L248" i="13" s="1"/>
  <c r="AR248" i="13"/>
  <c r="J18" i="15"/>
  <c r="K18" i="15" s="1"/>
  <c r="K25" i="13"/>
  <c r="L25" i="13" s="1"/>
  <c r="AR25" i="13"/>
  <c r="J77" i="15"/>
  <c r="K77" i="15" s="1"/>
  <c r="AR118" i="13"/>
  <c r="K118" i="13"/>
  <c r="L118" i="13" s="1"/>
  <c r="J104" i="15"/>
  <c r="K104" i="15" s="1"/>
  <c r="AR164" i="13"/>
  <c r="K164" i="13"/>
  <c r="L164" i="13" s="1"/>
  <c r="Q815" i="19"/>
  <c r="P819" i="19"/>
  <c r="Q819" i="19" s="1"/>
  <c r="Q1700" i="19"/>
  <c r="P1704" i="19"/>
  <c r="Q1704" i="19" s="1"/>
  <c r="AR45" i="13"/>
  <c r="J29" i="15"/>
  <c r="K29" i="15" s="1"/>
  <c r="K45" i="13"/>
  <c r="L45" i="13" s="1"/>
  <c r="J193" i="15"/>
  <c r="K193" i="15" s="1"/>
  <c r="AR292" i="13"/>
  <c r="K292" i="13"/>
  <c r="L292" i="13" s="1"/>
  <c r="J40" i="15"/>
  <c r="K40" i="15" s="1"/>
  <c r="AR59" i="13"/>
  <c r="K59" i="13"/>
  <c r="L59" i="13" s="1"/>
  <c r="Q305" i="19"/>
  <c r="P309" i="19"/>
  <c r="Q309" i="19" s="1"/>
  <c r="Q1230" i="19"/>
  <c r="P1234" i="19"/>
  <c r="Q1234" i="19" s="1"/>
  <c r="J11" i="15"/>
  <c r="K11" i="15" s="1"/>
  <c r="K14" i="13"/>
  <c r="L14" i="13" s="1"/>
  <c r="AR14" i="13"/>
  <c r="Q1270" i="19"/>
  <c r="P1274" i="19"/>
  <c r="Q1274" i="19" s="1"/>
  <c r="K415" i="13"/>
  <c r="L415" i="13" s="1"/>
  <c r="AR415" i="13"/>
  <c r="J296" i="15"/>
  <c r="K296" i="15" s="1"/>
  <c r="J269" i="15"/>
  <c r="K269" i="15" s="1"/>
  <c r="K388" i="13"/>
  <c r="L388" i="13" s="1"/>
  <c r="AR388" i="13"/>
  <c r="P1394" i="19"/>
  <c r="Q1394" i="19" s="1"/>
  <c r="Q1390" i="19"/>
  <c r="P1734" i="19"/>
  <c r="Q1734" i="19" s="1"/>
  <c r="Q1730" i="19"/>
  <c r="J90" i="15"/>
  <c r="K90" i="15" s="1"/>
  <c r="K144" i="13"/>
  <c r="L144" i="13" s="1"/>
  <c r="AR144" i="13"/>
  <c r="J38" i="15"/>
  <c r="K38" i="15" s="1"/>
  <c r="K57" i="13"/>
  <c r="L57" i="13" s="1"/>
  <c r="AR57" i="13"/>
  <c r="J281" i="15"/>
  <c r="K281" i="15" s="1"/>
  <c r="AR400" i="13"/>
  <c r="K400" i="13"/>
  <c r="L400" i="13" s="1"/>
  <c r="Q810" i="19"/>
  <c r="P814" i="19"/>
  <c r="Q814" i="19" s="1"/>
  <c r="Q1630" i="19"/>
  <c r="P1634" i="19"/>
  <c r="Q1634" i="19" s="1"/>
  <c r="Q40" i="19"/>
  <c r="P44" i="19"/>
  <c r="Q44" i="19" s="1"/>
  <c r="J176" i="15"/>
  <c r="K176" i="15" s="1"/>
  <c r="K268" i="13"/>
  <c r="L268" i="13" s="1"/>
  <c r="AR268" i="13"/>
  <c r="Q1165" i="19"/>
  <c r="P1169" i="19"/>
  <c r="Q1169" i="19" s="1"/>
  <c r="P1554" i="19"/>
  <c r="Q1554" i="19" s="1"/>
  <c r="Q1550" i="19"/>
  <c r="J142" i="15"/>
  <c r="K142" i="15" s="1"/>
  <c r="AR217" i="13"/>
  <c r="K217" i="13"/>
  <c r="L217" i="13" s="1"/>
  <c r="P104" i="19"/>
  <c r="Q104" i="19" s="1"/>
  <c r="Q100" i="19"/>
  <c r="K266" i="13"/>
  <c r="L266" i="13" s="1"/>
  <c r="AR266" i="13"/>
  <c r="Q1075" i="19"/>
  <c r="P1079" i="19"/>
  <c r="Q1079" i="19" s="1"/>
  <c r="K348" i="13"/>
  <c r="L348" i="13" s="1"/>
  <c r="AR348" i="13"/>
  <c r="K322" i="13"/>
  <c r="L322" i="13" s="1"/>
  <c r="J215" i="15"/>
  <c r="K215" i="15" s="1"/>
  <c r="AR322" i="13"/>
  <c r="P449" i="19"/>
  <c r="Q449" i="19" s="1"/>
  <c r="Q445" i="19"/>
  <c r="J36" i="15"/>
  <c r="K36" i="15" s="1"/>
  <c r="K55" i="13"/>
  <c r="L55" i="13" s="1"/>
  <c r="AR55" i="13"/>
  <c r="AB358" i="10"/>
  <c r="AC15" i="3" s="1"/>
  <c r="AB361" i="10"/>
  <c r="AR133" i="13"/>
  <c r="K133" i="13"/>
  <c r="L133" i="13" s="1"/>
  <c r="AR65" i="13"/>
  <c r="K65" i="13"/>
  <c r="L65" i="13" s="1"/>
  <c r="P94" i="19"/>
  <c r="Q94" i="19" s="1"/>
  <c r="Q90" i="19"/>
  <c r="AR126" i="13"/>
  <c r="K126" i="13"/>
  <c r="L126" i="13" s="1"/>
  <c r="P1214" i="19"/>
  <c r="Q1214" i="19" s="1"/>
  <c r="Q1210" i="19"/>
  <c r="AR405" i="13"/>
  <c r="J286" i="15"/>
  <c r="K286" i="15" s="1"/>
  <c r="K405" i="13"/>
  <c r="L405" i="13" s="1"/>
  <c r="P624" i="19"/>
  <c r="Q624" i="19" s="1"/>
  <c r="Q620" i="19"/>
  <c r="J118" i="15"/>
  <c r="K118" i="15" s="1"/>
  <c r="K179" i="13"/>
  <c r="L179" i="13" s="1"/>
  <c r="AR179" i="13"/>
  <c r="J240" i="15"/>
  <c r="K240" i="15" s="1"/>
  <c r="K359" i="13"/>
  <c r="L359" i="13" s="1"/>
  <c r="AR359" i="13"/>
  <c r="J144" i="15"/>
  <c r="K144" i="15" s="1"/>
  <c r="K219" i="13"/>
  <c r="L219" i="13" s="1"/>
  <c r="AR219" i="13"/>
  <c r="K97" i="13"/>
  <c r="L97" i="13" s="1"/>
  <c r="AR97" i="13"/>
  <c r="J165" i="15"/>
  <c r="K165" i="15" s="1"/>
  <c r="AR249" i="13"/>
  <c r="K249" i="13"/>
  <c r="L249" i="13" s="1"/>
  <c r="P1039" i="19"/>
  <c r="Q1039" i="19" s="1"/>
  <c r="Q1035" i="19"/>
  <c r="Q1005" i="19"/>
  <c r="P1009" i="19"/>
  <c r="Q1009" i="19" s="1"/>
  <c r="P1659" i="19"/>
  <c r="Q1659" i="19" s="1"/>
  <c r="Q1655" i="19"/>
  <c r="J198" i="15"/>
  <c r="K198" i="15" s="1"/>
  <c r="AR298" i="13"/>
  <c r="K298" i="13"/>
  <c r="L298" i="13" s="1"/>
  <c r="Q645" i="19"/>
  <c r="P649" i="19"/>
  <c r="Q649" i="19" s="1"/>
  <c r="J276" i="15"/>
  <c r="K276" i="15" s="1"/>
  <c r="K395" i="13"/>
  <c r="L395" i="13" s="1"/>
  <c r="AR395" i="13"/>
  <c r="P559" i="19"/>
  <c r="Q559" i="19" s="1"/>
  <c r="Q555" i="19"/>
  <c r="J178" i="15"/>
  <c r="K178" i="15" s="1"/>
  <c r="K270" i="13"/>
  <c r="L270" i="13" s="1"/>
  <c r="AR270" i="13"/>
  <c r="J318" i="15"/>
  <c r="K318" i="15" s="1"/>
  <c r="AR437" i="13"/>
  <c r="K437" i="13"/>
  <c r="L437" i="13" s="1"/>
  <c r="K272" i="13"/>
  <c r="L272" i="13" s="1"/>
  <c r="J180" i="15"/>
  <c r="K180" i="15" s="1"/>
  <c r="AR272" i="13"/>
  <c r="J56" i="15"/>
  <c r="K56" i="15" s="1"/>
  <c r="AR89" i="13"/>
  <c r="K89" i="13"/>
  <c r="L89" i="13" s="1"/>
  <c r="J216" i="15"/>
  <c r="K216" i="15" s="1"/>
  <c r="K323" i="13"/>
  <c r="L323" i="13" s="1"/>
  <c r="AR323" i="13"/>
  <c r="K87" i="13"/>
  <c r="L87" i="13" s="1"/>
  <c r="AR87" i="13"/>
  <c r="J107" i="15"/>
  <c r="K107" i="15" s="1"/>
  <c r="K167" i="13"/>
  <c r="L167" i="13" s="1"/>
  <c r="AR167" i="13"/>
  <c r="J33" i="15"/>
  <c r="K33" i="15" s="1"/>
  <c r="K51" i="13"/>
  <c r="L51" i="13" s="1"/>
  <c r="AR51" i="13"/>
  <c r="J123" i="15"/>
  <c r="K123" i="15" s="1"/>
  <c r="K184" i="13"/>
  <c r="L184" i="13" s="1"/>
  <c r="AR184" i="13"/>
  <c r="P369" i="19"/>
  <c r="Q369" i="19" s="1"/>
  <c r="Q365" i="19"/>
  <c r="Q1025" i="19"/>
  <c r="P1029" i="19"/>
  <c r="Q1029" i="19" s="1"/>
  <c r="Q840" i="19"/>
  <c r="P844" i="19"/>
  <c r="Q844" i="19" s="1"/>
  <c r="AR36" i="13"/>
  <c r="K36" i="13"/>
  <c r="L36" i="13" s="1"/>
  <c r="J150" i="15"/>
  <c r="K150" i="15" s="1"/>
  <c r="K226" i="13"/>
  <c r="L226" i="13" s="1"/>
  <c r="AR226" i="13"/>
  <c r="P159" i="19"/>
  <c r="Q159" i="19" s="1"/>
  <c r="Q155" i="19"/>
  <c r="K170" i="13"/>
  <c r="L170" i="13" s="1"/>
  <c r="J110" i="15"/>
  <c r="K110" i="15" s="1"/>
  <c r="AR170" i="13"/>
  <c r="K186" i="13"/>
  <c r="L186" i="13" s="1"/>
  <c r="AR186" i="13"/>
  <c r="AR201" i="13"/>
  <c r="K201" i="13"/>
  <c r="L201" i="13" s="1"/>
  <c r="AR115" i="13"/>
  <c r="K115" i="13"/>
  <c r="L115" i="13" s="1"/>
  <c r="K301" i="13"/>
  <c r="L301" i="13" s="1"/>
  <c r="AR301" i="13"/>
  <c r="Q1360" i="19"/>
  <c r="P1364" i="19"/>
  <c r="Q1364" i="19" s="1"/>
  <c r="J66" i="15"/>
  <c r="K66" i="15" s="1"/>
  <c r="K102" i="13"/>
  <c r="L102" i="13" s="1"/>
  <c r="AR102" i="13"/>
  <c r="Q1105" i="19"/>
  <c r="P1109" i="19"/>
  <c r="Q1109" i="19" s="1"/>
  <c r="K310" i="13"/>
  <c r="L310" i="13" s="1"/>
  <c r="AR310" i="13"/>
  <c r="J304" i="15"/>
  <c r="K304" i="15" s="1"/>
  <c r="AR423" i="13"/>
  <c r="K423" i="13"/>
  <c r="L423" i="13" s="1"/>
  <c r="P129" i="19"/>
  <c r="Q129" i="19" s="1"/>
  <c r="Q125" i="19"/>
  <c r="AR334" i="13"/>
  <c r="J224" i="15"/>
  <c r="K224" i="15" s="1"/>
  <c r="K334" i="13"/>
  <c r="L334" i="13" s="1"/>
  <c r="K77" i="13"/>
  <c r="L77" i="13" s="1"/>
  <c r="AR77" i="13"/>
  <c r="J260" i="15"/>
  <c r="K260" i="15" s="1"/>
  <c r="K379" i="13"/>
  <c r="L379" i="13" s="1"/>
  <c r="AR379" i="13"/>
  <c r="P138" i="13"/>
  <c r="R138" i="13"/>
  <c r="Q410" i="19"/>
  <c r="P414" i="19"/>
  <c r="Q414" i="19" s="1"/>
  <c r="J191" i="15"/>
  <c r="K191" i="15" s="1"/>
  <c r="AR288" i="13"/>
  <c r="K288" i="13"/>
  <c r="L288" i="13" s="1"/>
  <c r="J122" i="15"/>
  <c r="K122" i="15" s="1"/>
  <c r="K183" i="13"/>
  <c r="L183" i="13" s="1"/>
  <c r="AR183" i="13"/>
  <c r="K209" i="13"/>
  <c r="L209" i="13" s="1"/>
  <c r="AR209" i="13"/>
  <c r="P1654" i="19"/>
  <c r="Q1654" i="19" s="1"/>
  <c r="Q1650" i="19"/>
  <c r="P1189" i="19"/>
  <c r="Q1189" i="19" s="1"/>
  <c r="Q1185" i="19"/>
  <c r="P699" i="19"/>
  <c r="Q699" i="19" s="1"/>
  <c r="Q695" i="19"/>
  <c r="P504" i="19"/>
  <c r="Q504" i="19" s="1"/>
  <c r="Q500" i="19"/>
  <c r="P574" i="19"/>
  <c r="Q574" i="19" s="1"/>
  <c r="Q570" i="19"/>
  <c r="P1299" i="19"/>
  <c r="Q1299" i="19" s="1"/>
  <c r="Q1295" i="19"/>
  <c r="P1459" i="19"/>
  <c r="Q1459" i="19" s="1"/>
  <c r="Q1455" i="19"/>
  <c r="J69" i="15"/>
  <c r="K69" i="15" s="1"/>
  <c r="K105" i="13"/>
  <c r="L105" i="13" s="1"/>
  <c r="AR105" i="13"/>
  <c r="P1614" i="19"/>
  <c r="Q1614" i="19" s="1"/>
  <c r="Q1610" i="19"/>
  <c r="P1454" i="19"/>
  <c r="Q1454" i="19" s="1"/>
  <c r="Q1450" i="19"/>
  <c r="P479" i="19"/>
  <c r="Q479" i="19" s="1"/>
  <c r="Q475" i="19"/>
  <c r="J152" i="15"/>
  <c r="K152" i="15" s="1"/>
  <c r="K228" i="13"/>
  <c r="L228" i="13" s="1"/>
  <c r="AR228" i="13"/>
  <c r="AR378" i="13"/>
  <c r="K378" i="13"/>
  <c r="L378" i="13" s="1"/>
  <c r="J259" i="15"/>
  <c r="K259" i="15" s="1"/>
  <c r="AR91" i="13"/>
  <c r="K91" i="13"/>
  <c r="L91" i="13" s="1"/>
  <c r="Q765" i="19"/>
  <c r="P769" i="19"/>
  <c r="Q769" i="19" s="1"/>
  <c r="P1014" i="19"/>
  <c r="Q1014" i="19" s="1"/>
  <c r="Q1010" i="19"/>
  <c r="P1549" i="19"/>
  <c r="Q1549" i="19" s="1"/>
  <c r="Q1545" i="19"/>
  <c r="Q45" i="19"/>
  <c r="P49" i="19"/>
  <c r="Q49" i="19" s="1"/>
  <c r="Q235" i="19"/>
  <c r="P239" i="19"/>
  <c r="Q239" i="19" s="1"/>
  <c r="Q640" i="19"/>
  <c r="P644" i="19"/>
  <c r="Q644" i="19" s="1"/>
  <c r="Q1715" i="19"/>
  <c r="P1719" i="19"/>
  <c r="Q1719" i="19" s="1"/>
  <c r="Q930" i="19"/>
  <c r="P934" i="19"/>
  <c r="Q934" i="19" s="1"/>
  <c r="J16" i="15"/>
  <c r="K16" i="15" s="1"/>
  <c r="AR23" i="13"/>
  <c r="K23" i="13"/>
  <c r="L23" i="13" s="1"/>
  <c r="AR331" i="13"/>
  <c r="K331" i="13"/>
  <c r="L331" i="13" s="1"/>
  <c r="K20" i="13"/>
  <c r="L20" i="13" s="1"/>
  <c r="AR20" i="13"/>
  <c r="J69" i="13"/>
  <c r="N319" i="19"/>
  <c r="P315" i="19"/>
  <c r="Q700" i="19"/>
  <c r="P704" i="19"/>
  <c r="Q704" i="19" s="1"/>
  <c r="Q945" i="19"/>
  <c r="P949" i="19"/>
  <c r="Q949" i="19" s="1"/>
  <c r="Q1000" i="19"/>
  <c r="P1004" i="19"/>
  <c r="Q1004" i="19" s="1"/>
  <c r="Q710" i="19"/>
  <c r="P714" i="19"/>
  <c r="Q714" i="19" s="1"/>
  <c r="AR147" i="13"/>
  <c r="K147" i="13"/>
  <c r="L147" i="13" s="1"/>
  <c r="Q1620" i="19"/>
  <c r="P1624" i="19"/>
  <c r="Q1624" i="19" s="1"/>
  <c r="Q960" i="19"/>
  <c r="P964" i="19"/>
  <c r="Q964" i="19" s="1"/>
  <c r="Q595" i="19"/>
  <c r="P599" i="19"/>
  <c r="Q599" i="19" s="1"/>
  <c r="AR346" i="13"/>
  <c r="K346" i="13"/>
  <c r="L346" i="13" s="1"/>
  <c r="AR252" i="13"/>
  <c r="K252" i="13"/>
  <c r="L252" i="13" s="1"/>
  <c r="J72" i="13"/>
  <c r="P330" i="19"/>
  <c r="N334" i="19"/>
  <c r="AR82" i="13"/>
  <c r="K82" i="13"/>
  <c r="L82" i="13" s="1"/>
  <c r="Q1300" i="19"/>
  <c r="P1304" i="19"/>
  <c r="Q1304" i="19" s="1"/>
  <c r="P1074" i="19"/>
  <c r="Q1074" i="19" s="1"/>
  <c r="Q1070" i="19"/>
  <c r="J300" i="15"/>
  <c r="K300" i="15" s="1"/>
  <c r="K419" i="13"/>
  <c r="L419" i="13" s="1"/>
  <c r="AR419" i="13"/>
  <c r="P259" i="19"/>
  <c r="Q259" i="19" s="1"/>
  <c r="Q255" i="19"/>
  <c r="AR411" i="13"/>
  <c r="K411" i="13"/>
  <c r="L411" i="13" s="1"/>
  <c r="J292" i="15"/>
  <c r="K292" i="15" s="1"/>
  <c r="P919" i="19"/>
  <c r="Q919" i="19" s="1"/>
  <c r="Q915" i="19"/>
  <c r="P149" i="19"/>
  <c r="Q149" i="19" s="1"/>
  <c r="Q145" i="19"/>
  <c r="P269" i="19"/>
  <c r="Q269" i="19" s="1"/>
  <c r="Q265" i="19"/>
  <c r="AR67" i="13"/>
  <c r="K67" i="13"/>
  <c r="L67" i="13" s="1"/>
  <c r="AR71" i="13"/>
  <c r="J45" i="15"/>
  <c r="K45" i="15" s="1"/>
  <c r="K71" i="13"/>
  <c r="L71" i="13" s="1"/>
  <c r="J108" i="15"/>
  <c r="K108" i="15" s="1"/>
  <c r="AR168" i="13"/>
  <c r="K168" i="13"/>
  <c r="L168" i="13" s="1"/>
  <c r="AR123" i="13"/>
  <c r="K123" i="13"/>
  <c r="L123" i="13" s="1"/>
  <c r="AR26" i="13"/>
  <c r="K26" i="13"/>
  <c r="L26" i="13" s="1"/>
  <c r="Q1600" i="19"/>
  <c r="P1604" i="19"/>
  <c r="Q1604" i="19" s="1"/>
  <c r="K306" i="13"/>
  <c r="L306" i="13" s="1"/>
  <c r="AR306" i="13"/>
  <c r="Q1710" i="19"/>
  <c r="P1714" i="19"/>
  <c r="Q1714" i="19" s="1"/>
  <c r="X358" i="10"/>
  <c r="Y358" i="10" s="1"/>
  <c r="M14" i="19"/>
  <c r="AL7" i="10"/>
  <c r="Q600" i="19"/>
  <c r="P604" i="19"/>
  <c r="Q604" i="19" s="1"/>
  <c r="J51" i="15"/>
  <c r="K51" i="15" s="1"/>
  <c r="K80" i="13"/>
  <c r="L80" i="13" s="1"/>
  <c r="AR80" i="13"/>
  <c r="Q200" i="19"/>
  <c r="P204" i="19"/>
  <c r="Q204" i="19" s="1"/>
  <c r="Q670" i="19"/>
  <c r="P674" i="19"/>
  <c r="Q674" i="19" s="1"/>
  <c r="P1069" i="19"/>
  <c r="Q1069" i="19" s="1"/>
  <c r="Q1065" i="19"/>
  <c r="Q850" i="19"/>
  <c r="P854" i="19"/>
  <c r="Q854" i="19" s="1"/>
  <c r="Q1215" i="19"/>
  <c r="P1219" i="19"/>
  <c r="Q1219" i="19" s="1"/>
  <c r="K325" i="13"/>
  <c r="L325" i="13" s="1"/>
  <c r="AR325" i="13"/>
  <c r="J218" i="15"/>
  <c r="K218" i="15" s="1"/>
  <c r="J82" i="15"/>
  <c r="K82" i="15" s="1"/>
  <c r="AR129" i="13"/>
  <c r="K129" i="13"/>
  <c r="L129" i="13" s="1"/>
  <c r="AR207" i="13"/>
  <c r="K207" i="13"/>
  <c r="L207" i="13" s="1"/>
  <c r="J316" i="15"/>
  <c r="K316" i="15" s="1"/>
  <c r="AR435" i="13"/>
  <c r="K435" i="13"/>
  <c r="L435" i="13" s="1"/>
  <c r="P980" i="19"/>
  <c r="J202" i="13"/>
  <c r="N984" i="19"/>
  <c r="P954" i="19"/>
  <c r="Q954" i="19" s="1"/>
  <c r="Q950" i="19"/>
  <c r="P1559" i="19"/>
  <c r="Q1559" i="19" s="1"/>
  <c r="Q1555" i="19"/>
  <c r="J76" i="15"/>
  <c r="K76" i="15" s="1"/>
  <c r="K117" i="13"/>
  <c r="L117" i="13" s="1"/>
  <c r="AR117" i="13"/>
  <c r="K387" i="13"/>
  <c r="L387" i="13" s="1"/>
  <c r="J268" i="15"/>
  <c r="K268" i="15" s="1"/>
  <c r="AR387" i="13"/>
  <c r="Q665" i="19"/>
  <c r="P669" i="19"/>
  <c r="Q669" i="19" s="1"/>
  <c r="Q415" i="19"/>
  <c r="P419" i="19"/>
  <c r="Q419" i="19" s="1"/>
  <c r="P1589" i="19"/>
  <c r="Q1589" i="19" s="1"/>
  <c r="Q1585" i="19"/>
  <c r="Q405" i="19"/>
  <c r="P409" i="19"/>
  <c r="Q409" i="19" s="1"/>
  <c r="J68" i="15"/>
  <c r="K68" i="15" s="1"/>
  <c r="AR104" i="13"/>
  <c r="K104" i="13"/>
  <c r="L104" i="13" s="1"/>
  <c r="P103" i="13"/>
  <c r="R103" i="13"/>
  <c r="U103" i="13" s="1"/>
  <c r="V103" i="13" s="1"/>
  <c r="Q1505" i="19"/>
  <c r="P1509" i="19"/>
  <c r="Q1509" i="19" s="1"/>
  <c r="P229" i="19"/>
  <c r="Q229" i="19" s="1"/>
  <c r="Q225" i="19"/>
  <c r="K373" i="13"/>
  <c r="L373" i="13" s="1"/>
  <c r="J254" i="15"/>
  <c r="K254" i="15" s="1"/>
  <c r="AR373" i="13"/>
  <c r="Q830" i="19"/>
  <c r="P834" i="19"/>
  <c r="Q834" i="19" s="1"/>
  <c r="Q1090" i="19"/>
  <c r="P1094" i="19"/>
  <c r="Q1094" i="19" s="1"/>
  <c r="Q250" i="19"/>
  <c r="P254" i="19"/>
  <c r="Q254" i="19" s="1"/>
  <c r="Q890" i="19"/>
  <c r="P894" i="19"/>
  <c r="Q894" i="19" s="1"/>
  <c r="J50" i="15"/>
  <c r="K50" i="15" s="1"/>
  <c r="K79" i="13"/>
  <c r="L79" i="13" s="1"/>
  <c r="AR79" i="13"/>
  <c r="Q725" i="19"/>
  <c r="P729" i="19"/>
  <c r="Q729" i="19" s="1"/>
  <c r="J96" i="15"/>
  <c r="K96" i="15" s="1"/>
  <c r="AR152" i="13"/>
  <c r="K152" i="13"/>
  <c r="L152" i="13" s="1"/>
  <c r="Q150" i="19"/>
  <c r="P154" i="19"/>
  <c r="Q154" i="19" s="1"/>
  <c r="Q1100" i="19"/>
  <c r="P1104" i="19"/>
  <c r="Q1104" i="19" s="1"/>
  <c r="AR360" i="13"/>
  <c r="K360" i="13"/>
  <c r="L360" i="13" s="1"/>
  <c r="J241" i="15"/>
  <c r="K241" i="15" s="1"/>
  <c r="Q110" i="19"/>
  <c r="P114" i="19"/>
  <c r="Q114" i="19" s="1"/>
  <c r="Q75" i="19"/>
  <c r="P79" i="19"/>
  <c r="Q79" i="19" s="1"/>
  <c r="K85" i="13"/>
  <c r="L85" i="13" s="1"/>
  <c r="AR85" i="13"/>
  <c r="J54" i="15"/>
  <c r="K54" i="15" s="1"/>
  <c r="J171" i="15"/>
  <c r="K171" i="15" s="1"/>
  <c r="K257" i="13"/>
  <c r="L257" i="13" s="1"/>
  <c r="AR257" i="13"/>
  <c r="Q1400" i="19"/>
  <c r="P1404" i="19"/>
  <c r="Q1404" i="19" s="1"/>
  <c r="J319" i="15"/>
  <c r="K319" i="15" s="1"/>
  <c r="K438" i="13"/>
  <c r="L438" i="13" s="1"/>
  <c r="AR438" i="13"/>
  <c r="J308" i="15"/>
  <c r="K308" i="15" s="1"/>
  <c r="K427" i="13"/>
  <c r="L427" i="13" s="1"/>
  <c r="AR427" i="13"/>
  <c r="J261" i="15"/>
  <c r="K261" i="15" s="1"/>
  <c r="AR380" i="13"/>
  <c r="K380" i="13"/>
  <c r="L380" i="13" s="1"/>
  <c r="J257" i="15"/>
  <c r="K257" i="15" s="1"/>
  <c r="K376" i="13"/>
  <c r="L376" i="13" s="1"/>
  <c r="AR376" i="13"/>
  <c r="P144" i="19"/>
  <c r="Q144" i="19" s="1"/>
  <c r="Q140" i="19"/>
  <c r="J262" i="15"/>
  <c r="K262" i="15" s="1"/>
  <c r="K381" i="13"/>
  <c r="L381" i="13" s="1"/>
  <c r="AR381" i="13"/>
  <c r="AR275" i="13"/>
  <c r="K275" i="13"/>
  <c r="L275" i="13" s="1"/>
  <c r="K341" i="13"/>
  <c r="L341" i="13" s="1"/>
  <c r="AR341" i="13"/>
  <c r="P394" i="19"/>
  <c r="Q394" i="19" s="1"/>
  <c r="Q390" i="19"/>
  <c r="P359" i="19"/>
  <c r="Q359" i="19" s="1"/>
  <c r="Q355" i="19"/>
  <c r="P1429" i="19"/>
  <c r="Q1429" i="19" s="1"/>
  <c r="Q1425" i="19"/>
  <c r="J105" i="15"/>
  <c r="K105" i="15" s="1"/>
  <c r="AR165" i="13"/>
  <c r="K165" i="13"/>
  <c r="L165" i="13" s="1"/>
  <c r="J81" i="15"/>
  <c r="K81" i="15" s="1"/>
  <c r="AR128" i="13"/>
  <c r="K128" i="13"/>
  <c r="L128" i="13" s="1"/>
  <c r="Q920" i="19"/>
  <c r="P924" i="19"/>
  <c r="Q924" i="19" s="1"/>
  <c r="J274" i="15"/>
  <c r="K274" i="15" s="1"/>
  <c r="K393" i="13"/>
  <c r="L393" i="13" s="1"/>
  <c r="AR393" i="13"/>
  <c r="K153" i="13"/>
  <c r="L153" i="13" s="1"/>
  <c r="AR153" i="13"/>
  <c r="J161" i="15"/>
  <c r="K161" i="15" s="1"/>
  <c r="AR243" i="13"/>
  <c r="K243" i="13"/>
  <c r="L243" i="13" s="1"/>
  <c r="Q1570" i="19"/>
  <c r="P1574" i="19"/>
  <c r="Q1574" i="19" s="1"/>
  <c r="AR39" i="13"/>
  <c r="K39" i="13"/>
  <c r="L39" i="13" s="1"/>
  <c r="J91" i="15"/>
  <c r="K91" i="15" s="1"/>
  <c r="K145" i="13"/>
  <c r="L145" i="13" s="1"/>
  <c r="AR145" i="13"/>
  <c r="AR78" i="13"/>
  <c r="J49" i="15"/>
  <c r="K49" i="15" s="1"/>
  <c r="K78" i="13"/>
  <c r="L78" i="13" s="1"/>
  <c r="J42" i="15"/>
  <c r="K42" i="15" s="1"/>
  <c r="AR64" i="13"/>
  <c r="K64" i="13"/>
  <c r="L64" i="13" s="1"/>
  <c r="J59" i="15"/>
  <c r="K59" i="15" s="1"/>
  <c r="K93" i="13"/>
  <c r="L93" i="13" s="1"/>
  <c r="AR93" i="13"/>
  <c r="AR120" i="13"/>
  <c r="K120" i="13"/>
  <c r="L120" i="13" s="1"/>
  <c r="J175" i="15"/>
  <c r="K175" i="15" s="1"/>
  <c r="AR265" i="13"/>
  <c r="K265" i="13"/>
  <c r="L265" i="13" s="1"/>
  <c r="J72" i="15"/>
  <c r="K72" i="15" s="1"/>
  <c r="K108" i="13"/>
  <c r="L108" i="13" s="1"/>
  <c r="AR108" i="13"/>
  <c r="J173" i="15"/>
  <c r="K173" i="15" s="1"/>
  <c r="K259" i="13"/>
  <c r="L259" i="13" s="1"/>
  <c r="AR259" i="13"/>
  <c r="Q1110" i="19"/>
  <c r="P1114" i="19"/>
  <c r="Q1114" i="19" s="1"/>
  <c r="P509" i="19"/>
  <c r="Q509" i="19" s="1"/>
  <c r="Q505" i="19"/>
  <c r="Q285" i="19"/>
  <c r="P289" i="19"/>
  <c r="Q289" i="19" s="1"/>
  <c r="J130" i="15"/>
  <c r="K130" i="15" s="1"/>
  <c r="AR194" i="13"/>
  <c r="K194" i="13"/>
  <c r="L194" i="13" s="1"/>
  <c r="K178" i="13"/>
  <c r="L178" i="13" s="1"/>
  <c r="J117" i="15"/>
  <c r="K117" i="15" s="1"/>
  <c r="AR178" i="13"/>
  <c r="P1739" i="19"/>
  <c r="Q1739" i="19" s="1"/>
  <c r="Q1735" i="19"/>
  <c r="Q1670" i="19"/>
  <c r="P1674" i="19"/>
  <c r="Q1674" i="19" s="1"/>
  <c r="J35" i="15"/>
  <c r="K35" i="15" s="1"/>
  <c r="AR53" i="13"/>
  <c r="K53" i="13"/>
  <c r="L53" i="13" s="1"/>
  <c r="J121" i="15"/>
  <c r="K121" i="15" s="1"/>
  <c r="K182" i="13"/>
  <c r="L182" i="13" s="1"/>
  <c r="AR182" i="13"/>
  <c r="K327" i="13"/>
  <c r="L327" i="13" s="1"/>
  <c r="AR327" i="13"/>
  <c r="AR263" i="13"/>
  <c r="K263" i="13"/>
  <c r="L263" i="13" s="1"/>
  <c r="Q1740" i="19"/>
  <c r="P1744" i="19"/>
  <c r="Q1744" i="19" s="1"/>
  <c r="P519" i="19"/>
  <c r="Q519" i="19" s="1"/>
  <c r="Q515" i="19"/>
  <c r="AR417" i="13"/>
  <c r="J298" i="15"/>
  <c r="K298" i="15" s="1"/>
  <c r="K417" i="13"/>
  <c r="L417" i="13" s="1"/>
  <c r="Q1095" i="19"/>
  <c r="P1099" i="19"/>
  <c r="Q1099" i="19" s="1"/>
  <c r="AR150" i="13"/>
  <c r="K150" i="13"/>
  <c r="L150" i="13" s="1"/>
  <c r="P164" i="19"/>
  <c r="Q164" i="19" s="1"/>
  <c r="Q160" i="19"/>
  <c r="P909" i="19"/>
  <c r="Q909" i="19" s="1"/>
  <c r="Q905" i="19"/>
  <c r="P1469" i="19"/>
  <c r="Q1469" i="19" s="1"/>
  <c r="Q1465" i="19"/>
  <c r="K232" i="13"/>
  <c r="L232" i="13" s="1"/>
  <c r="AR232" i="13"/>
  <c r="Q1180" i="19"/>
  <c r="P1184" i="19"/>
  <c r="Q1184" i="19" s="1"/>
  <c r="Q1340" i="19"/>
  <c r="P1344" i="19"/>
  <c r="Q1344" i="19" s="1"/>
  <c r="J237" i="15"/>
  <c r="K237" i="15" s="1"/>
  <c r="AR355" i="13"/>
  <c r="K355" i="13"/>
  <c r="L355" i="13" s="1"/>
  <c r="P794" i="19"/>
  <c r="Q794" i="19" s="1"/>
  <c r="Q790" i="19"/>
  <c r="P1764" i="19"/>
  <c r="Q1764" i="19" s="1"/>
  <c r="Q1760" i="19"/>
  <c r="J189" i="15"/>
  <c r="K189" i="15" s="1"/>
  <c r="AR284" i="13"/>
  <c r="K284" i="13"/>
  <c r="L284" i="13" s="1"/>
  <c r="J14" i="15"/>
  <c r="K14" i="15" s="1"/>
  <c r="K17" i="13"/>
  <c r="L17" i="13" s="1"/>
  <c r="AR17" i="13"/>
  <c r="K399" i="13"/>
  <c r="L399" i="13" s="1"/>
  <c r="J280" i="15"/>
  <c r="K280" i="15" s="1"/>
  <c r="AR399" i="13"/>
  <c r="Q1285" i="19"/>
  <c r="P1289" i="19"/>
  <c r="Q1289" i="19" s="1"/>
  <c r="Q325" i="19"/>
  <c r="P329" i="19"/>
  <c r="Q329" i="19" s="1"/>
  <c r="AR289" i="13"/>
  <c r="K289" i="13"/>
  <c r="L289" i="13" s="1"/>
  <c r="Q585" i="19"/>
  <c r="P589" i="19"/>
  <c r="Q589" i="19" s="1"/>
  <c r="P1204" i="19"/>
  <c r="Q1204" i="19" s="1"/>
  <c r="Q1200" i="19"/>
  <c r="J120" i="15"/>
  <c r="K120" i="15" s="1"/>
  <c r="K181" i="13"/>
  <c r="L181" i="13" s="1"/>
  <c r="AR181" i="13"/>
  <c r="J211" i="15"/>
  <c r="K211" i="15" s="1"/>
  <c r="K316" i="13"/>
  <c r="L316" i="13" s="1"/>
  <c r="AR316" i="13"/>
  <c r="P1444" i="19"/>
  <c r="Q1444" i="19" s="1"/>
  <c r="Q1440" i="19"/>
  <c r="AR326" i="13"/>
  <c r="K326" i="13"/>
  <c r="L326" i="13" s="1"/>
  <c r="P1504" i="19"/>
  <c r="Q1504" i="19" s="1"/>
  <c r="Q1500" i="19"/>
  <c r="AR290" i="13"/>
  <c r="K290" i="13"/>
  <c r="L290" i="13" s="1"/>
  <c r="J61" i="15"/>
  <c r="K61" i="15" s="1"/>
  <c r="K95" i="13"/>
  <c r="L95" i="13" s="1"/>
  <c r="AR95" i="13"/>
  <c r="Q245" i="19"/>
  <c r="P249" i="19"/>
  <c r="Q249" i="19" s="1"/>
  <c r="J323" i="15"/>
  <c r="K323" i="15" s="1"/>
  <c r="AR442" i="13"/>
  <c r="K442" i="13"/>
  <c r="L442" i="13" s="1"/>
  <c r="Q175" i="19"/>
  <c r="P179" i="19"/>
  <c r="Q179" i="19" s="1"/>
  <c r="P374" i="19"/>
  <c r="Q374" i="19" s="1"/>
  <c r="Q370" i="19"/>
  <c r="K46" i="13"/>
  <c r="L46" i="13" s="1"/>
  <c r="AR46" i="13"/>
  <c r="J279" i="15"/>
  <c r="K279" i="15" s="1"/>
  <c r="AR398" i="13"/>
  <c r="K398" i="13"/>
  <c r="L398" i="13" s="1"/>
  <c r="P74" i="19"/>
  <c r="Q74" i="19" s="1"/>
  <c r="Q70" i="19"/>
  <c r="Q865" i="19"/>
  <c r="P869" i="19"/>
  <c r="Q869" i="19" s="1"/>
  <c r="J115" i="15"/>
  <c r="K115" i="15" s="1"/>
  <c r="AR176" i="13"/>
  <c r="K176" i="13"/>
  <c r="L176" i="13" s="1"/>
  <c r="Q1435" i="19"/>
  <c r="P1439" i="19"/>
  <c r="Q1439" i="19" s="1"/>
  <c r="J93" i="15"/>
  <c r="K93" i="15" s="1"/>
  <c r="AR148" i="13"/>
  <c r="K148" i="13"/>
  <c r="L148" i="13" s="1"/>
  <c r="P424" i="19"/>
  <c r="Q424" i="19" s="1"/>
  <c r="Q420" i="19"/>
  <c r="AR213" i="13"/>
  <c r="K213" i="13"/>
  <c r="L213" i="13" s="1"/>
  <c r="K386" i="13"/>
  <c r="L386" i="13" s="1"/>
  <c r="AR386" i="13"/>
  <c r="J267" i="15"/>
  <c r="K267" i="15" s="1"/>
  <c r="Q1460" i="19"/>
  <c r="P1464" i="19"/>
  <c r="Q1464" i="19" s="1"/>
  <c r="J131" i="15"/>
  <c r="K131" i="15" s="1"/>
  <c r="AR196" i="13"/>
  <c r="K196" i="13"/>
  <c r="L196" i="13" s="1"/>
  <c r="AR389" i="13"/>
  <c r="K389" i="13"/>
  <c r="L389" i="13" s="1"/>
  <c r="J270" i="15"/>
  <c r="K270" i="15" s="1"/>
  <c r="P999" i="19"/>
  <c r="Q999" i="19" s="1"/>
  <c r="Q995" i="19"/>
  <c r="J132" i="15"/>
  <c r="K132" i="15" s="1"/>
  <c r="K198" i="13"/>
  <c r="L198" i="13" s="1"/>
  <c r="AR198" i="13"/>
  <c r="P1499" i="19"/>
  <c r="Q1499" i="19" s="1"/>
  <c r="Q1495" i="19"/>
  <c r="P494" i="19"/>
  <c r="Q494" i="19" s="1"/>
  <c r="Q490" i="19"/>
  <c r="J159" i="15"/>
  <c r="K159" i="15" s="1"/>
  <c r="AR238" i="13"/>
  <c r="K238" i="13"/>
  <c r="L238" i="13" s="1"/>
  <c r="J112" i="15"/>
  <c r="K112" i="15" s="1"/>
  <c r="AR172" i="13"/>
  <c r="K172" i="13"/>
  <c r="L172" i="13" s="1"/>
  <c r="K224" i="13"/>
  <c r="L224" i="13" s="1"/>
  <c r="AR224" i="13"/>
  <c r="J148" i="15"/>
  <c r="K148" i="15" s="1"/>
  <c r="J37" i="15"/>
  <c r="K37" i="15" s="1"/>
  <c r="K56" i="13"/>
  <c r="L56" i="13" s="1"/>
  <c r="AR56" i="13"/>
  <c r="J95" i="15"/>
  <c r="K95" i="15" s="1"/>
  <c r="AR151" i="13"/>
  <c r="K151" i="13"/>
  <c r="L151" i="13" s="1"/>
  <c r="J199" i="15"/>
  <c r="K199" i="15" s="1"/>
  <c r="K299" i="13"/>
  <c r="L299" i="13" s="1"/>
  <c r="AR299" i="13"/>
  <c r="P431" i="19"/>
  <c r="Q431" i="19" s="1"/>
  <c r="J377" i="13"/>
  <c r="AR28" i="13"/>
  <c r="K28" i="13"/>
  <c r="L28" i="13" s="1"/>
  <c r="J15" i="15"/>
  <c r="K15" i="15" s="1"/>
  <c r="K21" i="13"/>
  <c r="L21" i="13" s="1"/>
  <c r="AR21" i="13"/>
  <c r="P1244" i="19"/>
  <c r="Q1244" i="19" s="1"/>
  <c r="Q1240" i="19"/>
  <c r="Q870" i="19"/>
  <c r="P874" i="19"/>
  <c r="Q874" i="19" s="1"/>
  <c r="Q820" i="19"/>
  <c r="P824" i="19"/>
  <c r="Q824" i="19" s="1"/>
  <c r="J101" i="15"/>
  <c r="K101" i="15" s="1"/>
  <c r="AR160" i="13"/>
  <c r="K160" i="13"/>
  <c r="L160" i="13" s="1"/>
  <c r="K286" i="13"/>
  <c r="L286" i="13" s="1"/>
  <c r="AR286" i="13"/>
  <c r="P1134" i="19"/>
  <c r="Q1134" i="19" s="1"/>
  <c r="Q1130" i="19"/>
  <c r="Q900" i="19"/>
  <c r="P904" i="19"/>
  <c r="Q904" i="19" s="1"/>
  <c r="J304" i="13"/>
  <c r="P1490" i="19"/>
  <c r="N1494" i="19"/>
  <c r="Q545" i="19"/>
  <c r="P549" i="19"/>
  <c r="Q549" i="19" s="1"/>
  <c r="R48" i="13"/>
  <c r="U48" i="13" s="1"/>
  <c r="V48" i="13" s="1"/>
  <c r="P48" i="13"/>
  <c r="P484" i="19"/>
  <c r="Q484" i="19" s="1"/>
  <c r="Q480" i="19"/>
  <c r="J151" i="15"/>
  <c r="K151" i="15" s="1"/>
  <c r="AR227" i="13"/>
  <c r="K227" i="13"/>
  <c r="L227" i="13" s="1"/>
  <c r="Q1345" i="19"/>
  <c r="P1349" i="19"/>
  <c r="Q1349" i="19" s="1"/>
  <c r="AR31" i="13"/>
  <c r="K31" i="13"/>
  <c r="L31" i="13" s="1"/>
  <c r="J21" i="15"/>
  <c r="K21" i="15" s="1"/>
  <c r="P1679" i="19"/>
  <c r="Q1679" i="19" s="1"/>
  <c r="Q1675" i="19"/>
  <c r="Q835" i="19"/>
  <c r="P839" i="19"/>
  <c r="Q839" i="19" s="1"/>
  <c r="J322" i="15"/>
  <c r="K322" i="15" s="1"/>
  <c r="AR441" i="13"/>
  <c r="K441" i="13"/>
  <c r="L441" i="13" s="1"/>
  <c r="J246" i="15"/>
  <c r="K246" i="15" s="1"/>
  <c r="AR365" i="13"/>
  <c r="K365" i="13"/>
  <c r="L365" i="13" s="1"/>
  <c r="Q1755" i="19"/>
  <c r="P1759" i="19"/>
  <c r="Q1759" i="19" s="1"/>
  <c r="P134" i="19"/>
  <c r="Q134" i="19" s="1"/>
  <c r="Q130" i="19"/>
  <c r="Q1410" i="19"/>
  <c r="P1414" i="19"/>
  <c r="Q1414" i="19" s="1"/>
  <c r="Q735" i="19"/>
  <c r="P739" i="19"/>
  <c r="Q739" i="19" s="1"/>
  <c r="Q220" i="19"/>
  <c r="P224" i="19"/>
  <c r="Q224" i="19" s="1"/>
  <c r="K369" i="13"/>
  <c r="L369" i="13" s="1"/>
  <c r="J250" i="15"/>
  <c r="K250" i="15" s="1"/>
  <c r="AR369" i="13"/>
  <c r="J306" i="15"/>
  <c r="K306" i="15" s="1"/>
  <c r="AR425" i="13"/>
  <c r="K425" i="13"/>
  <c r="L425" i="13" s="1"/>
  <c r="J234" i="15"/>
  <c r="K234" i="15" s="1"/>
  <c r="K351" i="13"/>
  <c r="L351" i="13" s="1"/>
  <c r="AR351" i="13"/>
  <c r="P294" i="19"/>
  <c r="Q294" i="19" s="1"/>
  <c r="Q290" i="19"/>
  <c r="K264" i="13"/>
  <c r="L264" i="13" s="1"/>
  <c r="AR264" i="13"/>
  <c r="P256" i="13"/>
  <c r="R256" i="13"/>
  <c r="J153" i="15"/>
  <c r="K153" i="15" s="1"/>
  <c r="K230" i="13"/>
  <c r="L230" i="13" s="1"/>
  <c r="AR230" i="13"/>
  <c r="J219" i="15"/>
  <c r="K219" i="15" s="1"/>
  <c r="K328" i="13"/>
  <c r="L328" i="13" s="1"/>
  <c r="AR328" i="13"/>
  <c r="Q510" i="19"/>
  <c r="P514" i="19"/>
  <c r="Q514" i="19" s="1"/>
  <c r="P1269" i="19"/>
  <c r="Q1269" i="19" s="1"/>
  <c r="Q1265" i="19"/>
  <c r="K343" i="13"/>
  <c r="L343" i="13" s="1"/>
  <c r="AR343" i="13"/>
  <c r="J229" i="15"/>
  <c r="K229" i="15" s="1"/>
  <c r="P1179" i="19"/>
  <c r="Q1179" i="19" s="1"/>
  <c r="Q1175" i="19"/>
  <c r="J71" i="15"/>
  <c r="K71" i="15" s="1"/>
  <c r="K107" i="13"/>
  <c r="L107" i="13" s="1"/>
  <c r="AR107" i="13"/>
  <c r="J41" i="15"/>
  <c r="K41" i="15" s="1"/>
  <c r="K63" i="13"/>
  <c r="L63" i="13" s="1"/>
  <c r="AR63" i="13"/>
  <c r="Q345" i="19"/>
  <c r="P349" i="19"/>
  <c r="Q349" i="19" s="1"/>
  <c r="Q470" i="19"/>
  <c r="P474" i="19"/>
  <c r="Q474" i="19" s="1"/>
  <c r="J137" i="15"/>
  <c r="K137" i="15" s="1"/>
  <c r="AR208" i="13"/>
  <c r="K208" i="13"/>
  <c r="L208" i="13" s="1"/>
  <c r="K197" i="13"/>
  <c r="L197" i="13" s="1"/>
  <c r="AR197" i="13"/>
  <c r="K403" i="13"/>
  <c r="L403" i="13" s="1"/>
  <c r="J284" i="15"/>
  <c r="K284" i="15" s="1"/>
  <c r="AR403" i="13"/>
  <c r="Q860" i="19"/>
  <c r="P864" i="19"/>
  <c r="Q864" i="19" s="1"/>
  <c r="P525" i="19"/>
  <c r="N529" i="19"/>
  <c r="J111" i="13"/>
  <c r="P1154" i="19"/>
  <c r="Q1154" i="19" s="1"/>
  <c r="Q1150" i="19"/>
  <c r="Q880" i="19"/>
  <c r="P884" i="19"/>
  <c r="Q884" i="19" s="1"/>
  <c r="AR412" i="13"/>
  <c r="J293" i="15"/>
  <c r="K293" i="15" s="1"/>
  <c r="K412" i="13"/>
  <c r="L412" i="13" s="1"/>
  <c r="J288" i="15"/>
  <c r="K288" i="15" s="1"/>
  <c r="K407" i="13"/>
  <c r="L407" i="13" s="1"/>
  <c r="AR407" i="13"/>
  <c r="Q275" i="19"/>
  <c r="P279" i="19"/>
  <c r="Q279" i="19" s="1"/>
  <c r="J13" i="13"/>
  <c r="N39" i="19"/>
  <c r="P35" i="19"/>
  <c r="AR60" i="13"/>
  <c r="K60" i="13"/>
  <c r="L60" i="13" s="1"/>
  <c r="Q1280" i="19"/>
  <c r="P1284" i="19"/>
  <c r="Q1284" i="19" s="1"/>
  <c r="Q1030" i="19"/>
  <c r="P1034" i="19"/>
  <c r="Q1034" i="19" s="1"/>
  <c r="J249" i="15"/>
  <c r="K249" i="15" s="1"/>
  <c r="AR368" i="13"/>
  <c r="K368" i="13"/>
  <c r="L368" i="13" s="1"/>
  <c r="J174" i="15"/>
  <c r="K174" i="15" s="1"/>
  <c r="AR260" i="13"/>
  <c r="K260" i="13"/>
  <c r="L260" i="13" s="1"/>
  <c r="Q1055" i="19"/>
  <c r="P1059" i="19"/>
  <c r="Q1059" i="19" s="1"/>
  <c r="J139" i="15"/>
  <c r="K139" i="15" s="1"/>
  <c r="K214" i="13"/>
  <c r="L214" i="13" s="1"/>
  <c r="AR214" i="13"/>
  <c r="K358" i="13"/>
  <c r="L358" i="13" s="1"/>
  <c r="AR358" i="13"/>
  <c r="AR127" i="13"/>
  <c r="K127" i="13"/>
  <c r="L127" i="13" s="1"/>
  <c r="K332" i="13"/>
  <c r="L332" i="13" s="1"/>
  <c r="J222" i="15"/>
  <c r="K222" i="15" s="1"/>
  <c r="AR332" i="13"/>
  <c r="J128" i="15"/>
  <c r="K128" i="15" s="1"/>
  <c r="K192" i="13"/>
  <c r="L192" i="13" s="1"/>
  <c r="AR192" i="13"/>
  <c r="Q85" i="19"/>
  <c r="P89" i="19"/>
  <c r="Q89" i="19" s="1"/>
  <c r="P584" i="19"/>
  <c r="Q584" i="19" s="1"/>
  <c r="Q580" i="19"/>
  <c r="Q465" i="19"/>
  <c r="P469" i="19"/>
  <c r="Q469" i="19" s="1"/>
  <c r="Q1395" i="19"/>
  <c r="P1399" i="19"/>
  <c r="Q1399" i="19" s="1"/>
  <c r="J126" i="15"/>
  <c r="K126" i="15" s="1"/>
  <c r="AR189" i="13"/>
  <c r="K189" i="13"/>
  <c r="L189" i="13" s="1"/>
  <c r="AR35" i="13"/>
  <c r="K35" i="13"/>
  <c r="L35" i="13" s="1"/>
  <c r="P347" i="13"/>
  <c r="R347" i="13"/>
  <c r="AR354" i="13"/>
  <c r="J236" i="15"/>
  <c r="K236" i="15" s="1"/>
  <c r="K354" i="13"/>
  <c r="L354" i="13" s="1"/>
  <c r="Q1415" i="19"/>
  <c r="P1419" i="19"/>
  <c r="Q1419" i="19" s="1"/>
  <c r="P1369" i="19"/>
  <c r="Q1369" i="19" s="1"/>
  <c r="Q1365" i="19"/>
  <c r="J163" i="15"/>
  <c r="K163" i="15" s="1"/>
  <c r="AR246" i="13"/>
  <c r="K246" i="13"/>
  <c r="L246" i="13" s="1"/>
  <c r="P879" i="19"/>
  <c r="Q879" i="19" s="1"/>
  <c r="Q875" i="19"/>
  <c r="AR294" i="13"/>
  <c r="K294" i="13"/>
  <c r="L294" i="13" s="1"/>
  <c r="J194" i="15"/>
  <c r="K194" i="15" s="1"/>
  <c r="J60" i="15"/>
  <c r="K60" i="15" s="1"/>
  <c r="AR94" i="13"/>
  <c r="K94" i="13"/>
  <c r="L94" i="13" s="1"/>
  <c r="AR235" i="13"/>
  <c r="K235" i="13"/>
  <c r="L235" i="13" s="1"/>
  <c r="Q1625" i="19"/>
  <c r="P1629" i="19"/>
  <c r="Q1629" i="19" s="1"/>
  <c r="P634" i="19"/>
  <c r="Q634" i="19" s="1"/>
  <c r="Q630" i="19"/>
  <c r="P162" i="13"/>
  <c r="R162" i="13"/>
  <c r="Q215" i="19"/>
  <c r="P219" i="19"/>
  <c r="Q219" i="19" s="1"/>
  <c r="AR41" i="13"/>
  <c r="K41" i="13"/>
  <c r="L41" i="13" s="1"/>
  <c r="K155" i="13"/>
  <c r="L155" i="13" s="1"/>
  <c r="AR155" i="13"/>
  <c r="P1064" i="19"/>
  <c r="Q1064" i="19" s="1"/>
  <c r="Q1060" i="19"/>
  <c r="P316" i="19"/>
  <c r="Q316" i="19" s="1"/>
  <c r="J391" i="13"/>
  <c r="J87" i="15"/>
  <c r="K87" i="15" s="1"/>
  <c r="AR140" i="13"/>
  <c r="K140" i="13"/>
  <c r="L140" i="13" s="1"/>
  <c r="J92" i="15"/>
  <c r="K92" i="15" s="1"/>
  <c r="AR146" i="13"/>
  <c r="K146" i="13"/>
  <c r="L146" i="13" s="1"/>
  <c r="K293" i="13"/>
  <c r="L293" i="13" s="1"/>
  <c r="AR293" i="13"/>
  <c r="J57" i="15"/>
  <c r="K57" i="15" s="1"/>
  <c r="K90" i="13"/>
  <c r="L90" i="13" s="1"/>
  <c r="AR90" i="13"/>
  <c r="P1249" i="19"/>
  <c r="Q1249" i="19" s="1"/>
  <c r="Q1245" i="19"/>
  <c r="Q615" i="19"/>
  <c r="P619" i="19"/>
  <c r="Q619" i="19" s="1"/>
  <c r="Q350" i="19"/>
  <c r="P354" i="19"/>
  <c r="Q354" i="19" s="1"/>
  <c r="J255" i="15"/>
  <c r="K255" i="15" s="1"/>
  <c r="AR374" i="13"/>
  <c r="K374" i="13"/>
  <c r="L374" i="13" s="1"/>
  <c r="Q1195" i="19"/>
  <c r="P1199" i="19"/>
  <c r="Q1199" i="19" s="1"/>
  <c r="J212" i="15"/>
  <c r="K212" i="15" s="1"/>
  <c r="AR317" i="13"/>
  <c r="K317" i="13"/>
  <c r="L317" i="13" s="1"/>
  <c r="J149" i="15"/>
  <c r="K149" i="15" s="1"/>
  <c r="AR225" i="13"/>
  <c r="K225" i="13"/>
  <c r="L225" i="13" s="1"/>
  <c r="AR163" i="13"/>
  <c r="K163" i="13"/>
  <c r="L163" i="13" s="1"/>
  <c r="R281" i="13"/>
  <c r="U281" i="13" s="1"/>
  <c r="V281" i="13" s="1"/>
  <c r="P281" i="13"/>
  <c r="J135" i="15"/>
  <c r="K135" i="15" s="1"/>
  <c r="AR205" i="13"/>
  <c r="K205" i="13"/>
  <c r="L205" i="13" s="1"/>
  <c r="AR303" i="13"/>
  <c r="K303" i="13"/>
  <c r="L303" i="13" s="1"/>
  <c r="J202" i="15"/>
  <c r="K202" i="15" s="1"/>
  <c r="J203" i="15"/>
  <c r="K203" i="15" s="1"/>
  <c r="K305" i="13"/>
  <c r="L305" i="13" s="1"/>
  <c r="AR305" i="13"/>
  <c r="P1164" i="19"/>
  <c r="Q1164" i="19" s="1"/>
  <c r="Q1160" i="19"/>
  <c r="J44" i="15"/>
  <c r="K44" i="15" s="1"/>
  <c r="AR70" i="13"/>
  <c r="K70" i="13"/>
  <c r="L70" i="13" s="1"/>
  <c r="J278" i="15"/>
  <c r="K278" i="15" s="1"/>
  <c r="AR397" i="13"/>
  <c r="K397" i="13"/>
  <c r="L397" i="13" s="1"/>
  <c r="K212" i="13"/>
  <c r="L212" i="13" s="1"/>
  <c r="AR212" i="13"/>
  <c r="Q720" i="19"/>
  <c r="P724" i="19"/>
  <c r="Q724" i="19" s="1"/>
  <c r="J26" i="15"/>
  <c r="K26" i="15" s="1"/>
  <c r="K38" i="13"/>
  <c r="L38" i="13" s="1"/>
  <c r="AR38" i="13"/>
  <c r="Q730" i="19"/>
  <c r="P734" i="19"/>
  <c r="Q734" i="19" s="1"/>
  <c r="J312" i="15"/>
  <c r="K312" i="15" s="1"/>
  <c r="K431" i="13"/>
  <c r="L431" i="13" s="1"/>
  <c r="AR431" i="13"/>
  <c r="AR83" i="13"/>
  <c r="K83" i="13"/>
  <c r="L83" i="13" s="1"/>
  <c r="P430" i="19"/>
  <c r="J92" i="13"/>
  <c r="N434" i="19"/>
  <c r="J301" i="15"/>
  <c r="K301" i="15" s="1"/>
  <c r="K420" i="13"/>
  <c r="L420" i="13" s="1"/>
  <c r="AR420" i="13"/>
  <c r="AR254" i="13"/>
  <c r="K254" i="13"/>
  <c r="L254" i="13" s="1"/>
  <c r="Q1275" i="19"/>
  <c r="P1279" i="19"/>
  <c r="Q1279" i="19" s="1"/>
  <c r="Q1370" i="19"/>
  <c r="P1374" i="19"/>
  <c r="Q1374" i="19" s="1"/>
  <c r="K274" i="13"/>
  <c r="L274" i="13" s="1"/>
  <c r="AR274" i="13"/>
  <c r="P1144" i="19"/>
  <c r="Q1144" i="19" s="1"/>
  <c r="Q1140" i="19"/>
  <c r="P284" i="19"/>
  <c r="Q284" i="19" s="1"/>
  <c r="Q280" i="19"/>
  <c r="P1309" i="19"/>
  <c r="Q1309" i="19" s="1"/>
  <c r="Q1305" i="19"/>
  <c r="J285" i="15"/>
  <c r="K285" i="15" s="1"/>
  <c r="AR404" i="13"/>
  <c r="K404" i="13"/>
  <c r="L404" i="13" s="1"/>
  <c r="K29" i="13"/>
  <c r="L29" i="13" s="1"/>
  <c r="AR29" i="13"/>
  <c r="J24" i="15"/>
  <c r="K24" i="15" s="1"/>
  <c r="K34" i="13"/>
  <c r="L34" i="13" s="1"/>
  <c r="AR34" i="13"/>
  <c r="Q1205" i="19"/>
  <c r="P1209" i="19"/>
  <c r="Q1209" i="19" s="1"/>
  <c r="Q310" i="19"/>
  <c r="P314" i="19"/>
  <c r="Q314" i="19" s="1"/>
  <c r="Q105" i="19"/>
  <c r="P109" i="19"/>
  <c r="Q109" i="19" s="1"/>
  <c r="J53" i="15"/>
  <c r="K53" i="15" s="1"/>
  <c r="AR84" i="13"/>
  <c r="K84" i="13"/>
  <c r="L84" i="13" s="1"/>
  <c r="J89" i="15"/>
  <c r="K89" i="15" s="1"/>
  <c r="K143" i="13"/>
  <c r="L143" i="13" s="1"/>
  <c r="AR143" i="13"/>
  <c r="AR173" i="13"/>
  <c r="K173" i="13"/>
  <c r="L173" i="13" s="1"/>
  <c r="K190" i="13"/>
  <c r="L190" i="13" s="1"/>
  <c r="AR190" i="13"/>
  <c r="J22" i="15"/>
  <c r="K22" i="15" s="1"/>
  <c r="K32" i="13"/>
  <c r="L32" i="13" s="1"/>
  <c r="AR32" i="13"/>
  <c r="K116" i="13"/>
  <c r="L116" i="13" s="1"/>
  <c r="AR116" i="13"/>
  <c r="P1729" i="19"/>
  <c r="Q1729" i="19" s="1"/>
  <c r="Q1725" i="19"/>
  <c r="J28" i="15"/>
  <c r="K28" i="15" s="1"/>
  <c r="K43" i="13"/>
  <c r="L43" i="13" s="1"/>
  <c r="AR43" i="13"/>
  <c r="K40" i="13"/>
  <c r="L40" i="13" s="1"/>
  <c r="AR40" i="13"/>
  <c r="P439" i="19"/>
  <c r="Q439" i="19" s="1"/>
  <c r="Q435" i="19"/>
  <c r="P899" i="19"/>
  <c r="Q899" i="19" s="1"/>
  <c r="Q895" i="19"/>
  <c r="Q1120" i="19"/>
  <c r="P1124" i="19"/>
  <c r="Q1124" i="19" s="1"/>
  <c r="P969" i="19"/>
  <c r="Q969" i="19" s="1"/>
  <c r="Q965" i="19"/>
  <c r="J227" i="15"/>
  <c r="K227" i="15" s="1"/>
  <c r="AR339" i="13"/>
  <c r="K339" i="13"/>
  <c r="L339" i="13" s="1"/>
  <c r="P1689" i="19"/>
  <c r="Q1689" i="19" s="1"/>
  <c r="Q1685" i="19"/>
  <c r="J160" i="15"/>
  <c r="K160" i="15" s="1"/>
  <c r="K241" i="13"/>
  <c r="L241" i="13" s="1"/>
  <c r="AR241" i="13"/>
  <c r="J309" i="15"/>
  <c r="K309" i="15" s="1"/>
  <c r="AR428" i="13"/>
  <c r="K428" i="13"/>
  <c r="L428" i="13" s="1"/>
  <c r="P959" i="19"/>
  <c r="Q959" i="19" s="1"/>
  <c r="Q955" i="19"/>
  <c r="K353" i="13"/>
  <c r="L353" i="13" s="1"/>
  <c r="AR353" i="13"/>
  <c r="J235" i="15"/>
  <c r="K235" i="15" s="1"/>
  <c r="J157" i="15"/>
  <c r="K157" i="15" s="1"/>
  <c r="K236" i="13"/>
  <c r="L236" i="13" s="1"/>
  <c r="AR236" i="13"/>
  <c r="N264" i="19"/>
  <c r="P260" i="19"/>
  <c r="J58" i="13"/>
  <c r="Q1605" i="19"/>
  <c r="P1609" i="19"/>
  <c r="Q1609" i="19" s="1"/>
  <c r="K340" i="13" l="1"/>
  <c r="L340" i="13" s="1"/>
  <c r="R340" i="13" s="1"/>
  <c r="P149" i="13"/>
  <c r="K424" i="13"/>
  <c r="L424" i="13" s="1"/>
  <c r="P424" i="13" s="1"/>
  <c r="J305" i="15"/>
  <c r="K305" i="15" s="1"/>
  <c r="K210" i="13"/>
  <c r="L210" i="13" s="1"/>
  <c r="P210" i="13" s="1"/>
  <c r="U223" i="13"/>
  <c r="V223" i="13" s="1"/>
  <c r="W223" i="13" s="1"/>
  <c r="Y223" i="13" s="1"/>
  <c r="AE223" i="13" s="1"/>
  <c r="P175" i="13"/>
  <c r="U256" i="13"/>
  <c r="V256" i="13" s="1"/>
  <c r="W256" i="13" s="1"/>
  <c r="U347" i="13"/>
  <c r="V347" i="13" s="1"/>
  <c r="W347" i="13" s="1"/>
  <c r="U162" i="13"/>
  <c r="V162" i="13" s="1"/>
  <c r="W162" i="13" s="1"/>
  <c r="W281" i="13"/>
  <c r="Y281" i="13" s="1"/>
  <c r="AS281" i="13" s="1"/>
  <c r="W48" i="13"/>
  <c r="Y48" i="13" s="1"/>
  <c r="AE48" i="13" s="1"/>
  <c r="W103" i="13"/>
  <c r="Y103" i="13" s="1"/>
  <c r="AE103" i="13" s="1"/>
  <c r="W149" i="13"/>
  <c r="Y149" i="13" s="1"/>
  <c r="U138" i="13"/>
  <c r="V138" i="13" s="1"/>
  <c r="W138" i="13" s="1"/>
  <c r="P1024" i="19"/>
  <c r="Q1024" i="19" s="1"/>
  <c r="AR413" i="13"/>
  <c r="K413" i="13"/>
  <c r="L413" i="13" s="1"/>
  <c r="P413" i="13" s="1"/>
  <c r="P1424" i="19"/>
  <c r="Q1424" i="19" s="1"/>
  <c r="P639" i="19"/>
  <c r="Q639" i="19" s="1"/>
  <c r="P1594" i="19"/>
  <c r="Q1594" i="19" s="1"/>
  <c r="J247" i="15"/>
  <c r="K247" i="15" s="1"/>
  <c r="K366" i="13"/>
  <c r="L366" i="13" s="1"/>
  <c r="AC361" i="10"/>
  <c r="AC16" i="3" s="1"/>
  <c r="AC358" i="10"/>
  <c r="AC12" i="3" s="1"/>
  <c r="R175" i="13"/>
  <c r="K410" i="13"/>
  <c r="L410" i="13" s="1"/>
  <c r="AR410" i="13"/>
  <c r="K394" i="13"/>
  <c r="L394" i="13" s="1"/>
  <c r="J275" i="15"/>
  <c r="K275" i="15" s="1"/>
  <c r="Q1575" i="19"/>
  <c r="P1579" i="19"/>
  <c r="Q1579" i="19" s="1"/>
  <c r="J214" i="15"/>
  <c r="K214" i="15" s="1"/>
  <c r="K321" i="13"/>
  <c r="L321" i="13" s="1"/>
  <c r="AR321" i="13"/>
  <c r="P303" i="13"/>
  <c r="R303" i="13"/>
  <c r="P268" i="13"/>
  <c r="R268" i="13"/>
  <c r="R311" i="13"/>
  <c r="P311" i="13"/>
  <c r="P406" i="13"/>
  <c r="R406" i="13"/>
  <c r="R215" i="13"/>
  <c r="P215" i="13"/>
  <c r="R430" i="13"/>
  <c r="P430" i="13"/>
  <c r="P68" i="13"/>
  <c r="R68" i="13"/>
  <c r="P131" i="13"/>
  <c r="R131" i="13"/>
  <c r="R50" i="13"/>
  <c r="P50" i="13"/>
  <c r="R368" i="13"/>
  <c r="P368" i="13"/>
  <c r="R151" i="13"/>
  <c r="P151" i="13"/>
  <c r="P238" i="13"/>
  <c r="R238" i="13"/>
  <c r="R259" i="13"/>
  <c r="P259" i="13"/>
  <c r="P435" i="13"/>
  <c r="R435" i="13"/>
  <c r="P306" i="13"/>
  <c r="R306" i="13"/>
  <c r="U306" i="13" s="1"/>
  <c r="V306" i="13" s="1"/>
  <c r="R201" i="13"/>
  <c r="P201" i="13"/>
  <c r="P51" i="13"/>
  <c r="R51" i="13"/>
  <c r="J326" i="15"/>
  <c r="K326" i="15" s="1"/>
  <c r="AR445" i="13"/>
  <c r="K445" i="13"/>
  <c r="L445" i="13" s="1"/>
  <c r="P33" i="13"/>
  <c r="R33" i="13"/>
  <c r="P61" i="13"/>
  <c r="R61" i="13"/>
  <c r="U61" i="13" s="1"/>
  <c r="V61" i="13" s="1"/>
  <c r="P22" i="13"/>
  <c r="R22" i="13"/>
  <c r="R363" i="13"/>
  <c r="P363" i="13"/>
  <c r="R418" i="13"/>
  <c r="U418" i="13" s="1"/>
  <c r="V418" i="13" s="1"/>
  <c r="P418" i="13"/>
  <c r="R54" i="13"/>
  <c r="P54" i="13"/>
  <c r="AR414" i="13"/>
  <c r="J295" i="15"/>
  <c r="K295" i="15" s="1"/>
  <c r="K414" i="13"/>
  <c r="L414" i="13" s="1"/>
  <c r="R218" i="13"/>
  <c r="P218" i="13"/>
  <c r="P342" i="13"/>
  <c r="R342" i="13"/>
  <c r="U342" i="13" s="1"/>
  <c r="V342" i="13" s="1"/>
  <c r="R429" i="13"/>
  <c r="P429" i="13"/>
  <c r="R302" i="13"/>
  <c r="P302" i="13"/>
  <c r="R100" i="13"/>
  <c r="P100" i="13"/>
  <c r="R204" i="13"/>
  <c r="P204" i="13"/>
  <c r="P136" i="13"/>
  <c r="R136" i="13"/>
  <c r="AR304" i="13"/>
  <c r="K304" i="13"/>
  <c r="L304" i="13" s="1"/>
  <c r="R46" i="13"/>
  <c r="P46" i="13"/>
  <c r="P290" i="13"/>
  <c r="R290" i="13"/>
  <c r="P128" i="13"/>
  <c r="R128" i="13"/>
  <c r="P87" i="13"/>
  <c r="R87" i="13"/>
  <c r="R219" i="13"/>
  <c r="P219" i="13"/>
  <c r="R65" i="13"/>
  <c r="P65" i="13"/>
  <c r="P400" i="13"/>
  <c r="R400" i="13"/>
  <c r="R74" i="13"/>
  <c r="P74" i="13"/>
  <c r="P371" i="13"/>
  <c r="R371" i="13"/>
  <c r="R390" i="13"/>
  <c r="P390" i="13"/>
  <c r="P352" i="13"/>
  <c r="R352" i="13"/>
  <c r="K377" i="13"/>
  <c r="L377" i="13" s="1"/>
  <c r="AR377" i="13"/>
  <c r="J258" i="15"/>
  <c r="K258" i="15" s="1"/>
  <c r="R326" i="13"/>
  <c r="P326" i="13"/>
  <c r="P284" i="13"/>
  <c r="R284" i="13"/>
  <c r="R355" i="13"/>
  <c r="P355" i="13"/>
  <c r="P53" i="13"/>
  <c r="R53" i="13"/>
  <c r="R275" i="13"/>
  <c r="P275" i="13"/>
  <c r="P360" i="13"/>
  <c r="R360" i="13"/>
  <c r="N12" i="19"/>
  <c r="N11" i="19"/>
  <c r="M1765" i="19"/>
  <c r="N10" i="19"/>
  <c r="F22" i="12" s="1"/>
  <c r="N13" i="19"/>
  <c r="J46" i="15"/>
  <c r="K46" i="15" s="1"/>
  <c r="K72" i="13"/>
  <c r="L72" i="13" s="1"/>
  <c r="AR72" i="13"/>
  <c r="P319" i="19"/>
  <c r="Q319" i="19" s="1"/>
  <c r="Q315" i="19"/>
  <c r="P183" i="13"/>
  <c r="R183" i="13"/>
  <c r="P395" i="13"/>
  <c r="R395" i="13"/>
  <c r="R55" i="13"/>
  <c r="P55" i="13"/>
  <c r="P144" i="13"/>
  <c r="R144" i="13"/>
  <c r="P388" i="13"/>
  <c r="R388" i="13"/>
  <c r="R141" i="13"/>
  <c r="P141" i="13"/>
  <c r="R315" i="13"/>
  <c r="P315" i="13"/>
  <c r="P307" i="13"/>
  <c r="R307" i="13"/>
  <c r="R98" i="13"/>
  <c r="P98" i="13"/>
  <c r="P15" i="13"/>
  <c r="R15" i="13"/>
  <c r="R101" i="13"/>
  <c r="P101" i="13"/>
  <c r="P385" i="13"/>
  <c r="R385" i="13"/>
  <c r="P119" i="13"/>
  <c r="R119" i="13"/>
  <c r="R231" i="13"/>
  <c r="P231" i="13"/>
  <c r="P364" i="13"/>
  <c r="R364" i="13"/>
  <c r="P188" i="13"/>
  <c r="R188" i="13"/>
  <c r="U188" i="13" s="1"/>
  <c r="V188" i="13" s="1"/>
  <c r="P255" i="13"/>
  <c r="R255" i="13"/>
  <c r="P375" i="13"/>
  <c r="R375" i="13"/>
  <c r="P267" i="13"/>
  <c r="R267" i="13"/>
  <c r="P242" i="13"/>
  <c r="R242" i="13"/>
  <c r="U242" i="13" s="1"/>
  <c r="V242" i="13" s="1"/>
  <c r="R253" i="13"/>
  <c r="P253" i="13"/>
  <c r="R245" i="13"/>
  <c r="P245" i="13"/>
  <c r="P76" i="13"/>
  <c r="R76" i="13"/>
  <c r="R195" i="13"/>
  <c r="P195" i="13"/>
  <c r="R109" i="13"/>
  <c r="P109" i="13"/>
  <c r="R312" i="13"/>
  <c r="P312" i="13"/>
  <c r="R222" i="13"/>
  <c r="P222" i="13"/>
  <c r="P169" i="13"/>
  <c r="R169" i="13"/>
  <c r="R350" i="13"/>
  <c r="U350" i="13" s="1"/>
  <c r="V350" i="13" s="1"/>
  <c r="P350" i="13"/>
  <c r="R185" i="13"/>
  <c r="P185" i="13"/>
  <c r="P143" i="13"/>
  <c r="R143" i="13"/>
  <c r="R41" i="13"/>
  <c r="P41" i="13"/>
  <c r="P28" i="13"/>
  <c r="R28" i="13"/>
  <c r="P316" i="13"/>
  <c r="R316" i="13"/>
  <c r="P93" i="13"/>
  <c r="R93" i="13"/>
  <c r="P121" i="13"/>
  <c r="R121" i="13"/>
  <c r="R356" i="13"/>
  <c r="P356" i="13"/>
  <c r="P444" i="13"/>
  <c r="R444" i="13"/>
  <c r="R132" i="13"/>
  <c r="P132" i="13"/>
  <c r="P220" i="13"/>
  <c r="R220" i="13"/>
  <c r="P43" i="13"/>
  <c r="R43" i="13"/>
  <c r="R38" i="13"/>
  <c r="P38" i="13"/>
  <c r="P127" i="13"/>
  <c r="R127" i="13"/>
  <c r="P208" i="13"/>
  <c r="R208" i="13"/>
  <c r="R411" i="13"/>
  <c r="P411" i="13"/>
  <c r="Q330" i="19"/>
  <c r="P334" i="19"/>
  <c r="Q334" i="19" s="1"/>
  <c r="R331" i="13"/>
  <c r="P331" i="13"/>
  <c r="R170" i="13"/>
  <c r="P170" i="13"/>
  <c r="P249" i="13"/>
  <c r="R249" i="13"/>
  <c r="P179" i="13"/>
  <c r="R179" i="13"/>
  <c r="R322" i="13"/>
  <c r="P322" i="13"/>
  <c r="P62" i="13"/>
  <c r="R62" i="13"/>
  <c r="R269" i="13"/>
  <c r="P269" i="13"/>
  <c r="P216" i="13"/>
  <c r="R216" i="13"/>
  <c r="P47" i="13"/>
  <c r="R47" i="13"/>
  <c r="P440" i="13"/>
  <c r="R440" i="13"/>
  <c r="R19" i="13"/>
  <c r="P19" i="13"/>
  <c r="R221" i="13"/>
  <c r="P221" i="13"/>
  <c r="R180" i="13"/>
  <c r="P180" i="13"/>
  <c r="P137" i="13"/>
  <c r="R137" i="13"/>
  <c r="R362" i="13"/>
  <c r="P362" i="13"/>
  <c r="P264" i="19"/>
  <c r="Q264" i="19" s="1"/>
  <c r="Q260" i="19"/>
  <c r="P190" i="13"/>
  <c r="R190" i="13"/>
  <c r="R29" i="13"/>
  <c r="P29" i="13"/>
  <c r="R317" i="13"/>
  <c r="P317" i="13"/>
  <c r="R246" i="13"/>
  <c r="P246" i="13"/>
  <c r="P354" i="13"/>
  <c r="R354" i="13"/>
  <c r="P35" i="13"/>
  <c r="R35" i="13"/>
  <c r="P192" i="13"/>
  <c r="R192" i="13"/>
  <c r="P407" i="13"/>
  <c r="R407" i="13"/>
  <c r="P63" i="13"/>
  <c r="R63" i="13"/>
  <c r="R365" i="13"/>
  <c r="P365" i="13"/>
  <c r="R160" i="13"/>
  <c r="P160" i="13"/>
  <c r="R353" i="13"/>
  <c r="U353" i="13" s="1"/>
  <c r="V353" i="13" s="1"/>
  <c r="P353" i="13"/>
  <c r="P116" i="13"/>
  <c r="R116" i="13"/>
  <c r="P84" i="13"/>
  <c r="R84" i="13"/>
  <c r="P431" i="13"/>
  <c r="R431" i="13"/>
  <c r="R205" i="13"/>
  <c r="P205" i="13"/>
  <c r="P163" i="13"/>
  <c r="R163" i="13"/>
  <c r="R90" i="13"/>
  <c r="P90" i="13"/>
  <c r="P39" i="19"/>
  <c r="Q39" i="19" s="1"/>
  <c r="Q35" i="19"/>
  <c r="P224" i="13"/>
  <c r="R224" i="13"/>
  <c r="R289" i="13"/>
  <c r="P289" i="13"/>
  <c r="R232" i="13"/>
  <c r="P232" i="13"/>
  <c r="R150" i="13"/>
  <c r="P150" i="13"/>
  <c r="P64" i="13"/>
  <c r="R64" i="13"/>
  <c r="P85" i="13"/>
  <c r="R85" i="13"/>
  <c r="R80" i="13"/>
  <c r="P80" i="13"/>
  <c r="AD7" i="10"/>
  <c r="AM7" i="10" s="1"/>
  <c r="R71" i="13"/>
  <c r="P71" i="13"/>
  <c r="P91" i="13"/>
  <c r="R91" i="13"/>
  <c r="R228" i="13"/>
  <c r="P228" i="13"/>
  <c r="P36" i="13"/>
  <c r="R36" i="13"/>
  <c r="P266" i="13"/>
  <c r="R266" i="13"/>
  <c r="P59" i="13"/>
  <c r="R59" i="13"/>
  <c r="R45" i="13"/>
  <c r="P45" i="13"/>
  <c r="P164" i="13"/>
  <c r="R164" i="13"/>
  <c r="P237" i="13"/>
  <c r="R237" i="13"/>
  <c r="R296" i="13"/>
  <c r="P296" i="13"/>
  <c r="R297" i="13"/>
  <c r="P297" i="13"/>
  <c r="R12" i="13"/>
  <c r="P12" i="13"/>
  <c r="P320" i="13"/>
  <c r="R320" i="13"/>
  <c r="R30" i="13"/>
  <c r="P30" i="13"/>
  <c r="R135" i="13"/>
  <c r="P135" i="13"/>
  <c r="P314" i="13"/>
  <c r="R314" i="13"/>
  <c r="R416" i="13"/>
  <c r="P416" i="13"/>
  <c r="R134" i="13"/>
  <c r="P134" i="13"/>
  <c r="R9" i="13"/>
  <c r="P9" i="13"/>
  <c r="P283" i="13"/>
  <c r="R283" i="13"/>
  <c r="R408" i="13"/>
  <c r="P408" i="13"/>
  <c r="R161" i="13"/>
  <c r="P161" i="13"/>
  <c r="R191" i="13"/>
  <c r="P191" i="13"/>
  <c r="P81" i="13"/>
  <c r="R81" i="13"/>
  <c r="R361" i="13"/>
  <c r="P361" i="13"/>
  <c r="R10" i="13"/>
  <c r="P10" i="13"/>
  <c r="P384" i="13"/>
  <c r="R384" i="13"/>
  <c r="U384" i="13" s="1"/>
  <c r="V384" i="13" s="1"/>
  <c r="R345" i="13"/>
  <c r="P345" i="13"/>
  <c r="R357" i="13"/>
  <c r="P357" i="13"/>
  <c r="R142" i="13"/>
  <c r="P142" i="13"/>
  <c r="R214" i="13"/>
  <c r="P214" i="13"/>
  <c r="R286" i="13"/>
  <c r="P286" i="13"/>
  <c r="P263" i="13"/>
  <c r="R263" i="13"/>
  <c r="R341" i="13"/>
  <c r="P341" i="13"/>
  <c r="R248" i="13"/>
  <c r="P248" i="13"/>
  <c r="R291" i="13"/>
  <c r="U291" i="13" s="1"/>
  <c r="V291" i="13" s="1"/>
  <c r="P291" i="13"/>
  <c r="P154" i="13"/>
  <c r="R154" i="13"/>
  <c r="J39" i="15"/>
  <c r="K39" i="15" s="1"/>
  <c r="AR58" i="13"/>
  <c r="K58" i="13"/>
  <c r="L58" i="13" s="1"/>
  <c r="P397" i="13"/>
  <c r="R397" i="13"/>
  <c r="R146" i="13"/>
  <c r="P146" i="13"/>
  <c r="P60" i="13"/>
  <c r="R60" i="13"/>
  <c r="R213" i="13"/>
  <c r="P213" i="13"/>
  <c r="P153" i="13"/>
  <c r="R153" i="13"/>
  <c r="J58" i="15"/>
  <c r="K58" i="15" s="1"/>
  <c r="AR92" i="13"/>
  <c r="K92" i="13"/>
  <c r="L92" i="13" s="1"/>
  <c r="R305" i="13"/>
  <c r="P305" i="13"/>
  <c r="P403" i="13"/>
  <c r="R403" i="13"/>
  <c r="R328" i="13"/>
  <c r="P328" i="13"/>
  <c r="P227" i="13"/>
  <c r="R227" i="13"/>
  <c r="R389" i="13"/>
  <c r="P389" i="13"/>
  <c r="R176" i="13"/>
  <c r="P176" i="13"/>
  <c r="R181" i="13"/>
  <c r="P181" i="13"/>
  <c r="R327" i="13"/>
  <c r="P327" i="13"/>
  <c r="P178" i="13"/>
  <c r="R178" i="13"/>
  <c r="P120" i="13"/>
  <c r="R120" i="13"/>
  <c r="P243" i="13"/>
  <c r="R243" i="13"/>
  <c r="P376" i="13"/>
  <c r="R376" i="13"/>
  <c r="R427" i="13"/>
  <c r="P427" i="13"/>
  <c r="R387" i="13"/>
  <c r="P387" i="13"/>
  <c r="AL358" i="10"/>
  <c r="P123" i="13"/>
  <c r="R123" i="13"/>
  <c r="R252" i="13"/>
  <c r="P252" i="13"/>
  <c r="AR69" i="13"/>
  <c r="K69" i="13"/>
  <c r="L69" i="13" s="1"/>
  <c r="R23" i="13"/>
  <c r="P23" i="13"/>
  <c r="P77" i="13"/>
  <c r="R77" i="13"/>
  <c r="U77" i="13" s="1"/>
  <c r="V77" i="13" s="1"/>
  <c r="P423" i="13"/>
  <c r="R423" i="13"/>
  <c r="P301" i="13"/>
  <c r="R301" i="13"/>
  <c r="P323" i="13"/>
  <c r="R323" i="13"/>
  <c r="R270" i="13"/>
  <c r="P270" i="13"/>
  <c r="P126" i="13"/>
  <c r="R126" i="13"/>
  <c r="R133" i="13"/>
  <c r="U133" i="13" s="1"/>
  <c r="V133" i="13" s="1"/>
  <c r="P133" i="13"/>
  <c r="P14" i="13"/>
  <c r="R14" i="13"/>
  <c r="R25" i="13"/>
  <c r="P25" i="13"/>
  <c r="R261" i="13"/>
  <c r="P261" i="13"/>
  <c r="R251" i="13"/>
  <c r="P251" i="13"/>
  <c r="P273" i="13"/>
  <c r="R273" i="13"/>
  <c r="P37" i="13"/>
  <c r="R37" i="13"/>
  <c r="R177" i="13"/>
  <c r="P177" i="13"/>
  <c r="P308" i="13"/>
  <c r="R308" i="13"/>
  <c r="R313" i="13"/>
  <c r="P313" i="13"/>
  <c r="P158" i="13"/>
  <c r="R158" i="13"/>
  <c r="R73" i="13"/>
  <c r="P73" i="13"/>
  <c r="P203" i="13"/>
  <c r="R203" i="13"/>
  <c r="R300" i="13"/>
  <c r="P300" i="13"/>
  <c r="P382" i="13"/>
  <c r="R382" i="13"/>
  <c r="P324" i="13"/>
  <c r="R324" i="13"/>
  <c r="R337" i="13"/>
  <c r="P337" i="13"/>
  <c r="R396" i="13"/>
  <c r="P396" i="13"/>
  <c r="R27" i="13"/>
  <c r="P27" i="13"/>
  <c r="P247" i="13"/>
  <c r="R247" i="13"/>
  <c r="P330" i="13"/>
  <c r="R330" i="13"/>
  <c r="J290" i="15"/>
  <c r="K290" i="15" s="1"/>
  <c r="K409" i="13"/>
  <c r="L409" i="13" s="1"/>
  <c r="AR409" i="13"/>
  <c r="R49" i="13"/>
  <c r="P49" i="13"/>
  <c r="P392" i="13"/>
  <c r="R392" i="13"/>
  <c r="P426" i="13"/>
  <c r="R426" i="13"/>
  <c r="R157" i="13"/>
  <c r="P157" i="13"/>
  <c r="R374" i="13"/>
  <c r="P374" i="13"/>
  <c r="P264" i="13"/>
  <c r="R264" i="13"/>
  <c r="Q1490" i="19"/>
  <c r="P1494" i="19"/>
  <c r="Q1494" i="19" s="1"/>
  <c r="P438" i="13"/>
  <c r="R438" i="13"/>
  <c r="P129" i="13"/>
  <c r="R129" i="13"/>
  <c r="R379" i="13"/>
  <c r="P379" i="13"/>
  <c r="P319" i="13"/>
  <c r="R319" i="13"/>
  <c r="R139" i="13"/>
  <c r="P139" i="13"/>
  <c r="R124" i="13"/>
  <c r="P124" i="13"/>
  <c r="R106" i="13"/>
  <c r="P106" i="13"/>
  <c r="P66" i="13"/>
  <c r="R66" i="13"/>
  <c r="P11" i="13"/>
  <c r="R11" i="13"/>
  <c r="R114" i="13"/>
  <c r="P114" i="13"/>
  <c r="R329" i="13"/>
  <c r="P329" i="13"/>
  <c r="P309" i="13"/>
  <c r="R309" i="13"/>
  <c r="P339" i="13"/>
  <c r="R339" i="13"/>
  <c r="U339" i="13" s="1"/>
  <c r="V339" i="13" s="1"/>
  <c r="R420" i="13"/>
  <c r="P420" i="13"/>
  <c r="P152" i="13"/>
  <c r="R152" i="13"/>
  <c r="P310" i="13"/>
  <c r="R310" i="13"/>
  <c r="R241" i="13"/>
  <c r="P241" i="13"/>
  <c r="P173" i="13"/>
  <c r="R173" i="13"/>
  <c r="P404" i="13"/>
  <c r="R404" i="13"/>
  <c r="AR111" i="13"/>
  <c r="K111" i="13"/>
  <c r="L111" i="13" s="1"/>
  <c r="P398" i="13"/>
  <c r="R398" i="13"/>
  <c r="P399" i="13"/>
  <c r="R399" i="13"/>
  <c r="P145" i="13"/>
  <c r="R145" i="13"/>
  <c r="P393" i="13"/>
  <c r="R393" i="13"/>
  <c r="P254" i="13"/>
  <c r="R254" i="13"/>
  <c r="Q430" i="19"/>
  <c r="P434" i="19"/>
  <c r="Q434" i="19" s="1"/>
  <c r="P70" i="13"/>
  <c r="R70" i="13"/>
  <c r="P140" i="13"/>
  <c r="R140" i="13"/>
  <c r="P235" i="13"/>
  <c r="R235" i="13"/>
  <c r="P294" i="13"/>
  <c r="R294" i="13"/>
  <c r="R189" i="13"/>
  <c r="P189" i="13"/>
  <c r="R358" i="13"/>
  <c r="P358" i="13"/>
  <c r="R260" i="13"/>
  <c r="P260" i="13"/>
  <c r="K13" i="13"/>
  <c r="L13" i="13" s="1"/>
  <c r="AR13" i="13"/>
  <c r="R412" i="13"/>
  <c r="P412" i="13"/>
  <c r="P343" i="13"/>
  <c r="R343" i="13"/>
  <c r="R351" i="13"/>
  <c r="P351" i="13"/>
  <c r="R21" i="13"/>
  <c r="P21" i="13"/>
  <c r="P172" i="13"/>
  <c r="R172" i="13"/>
  <c r="R108" i="13"/>
  <c r="P108" i="13"/>
  <c r="R165" i="13"/>
  <c r="P165" i="13"/>
  <c r="P373" i="13"/>
  <c r="R373" i="13"/>
  <c r="R207" i="13"/>
  <c r="P207" i="13"/>
  <c r="P26" i="13"/>
  <c r="R26" i="13"/>
  <c r="R105" i="13"/>
  <c r="P105" i="13"/>
  <c r="R288" i="13"/>
  <c r="P288" i="13"/>
  <c r="R186" i="13"/>
  <c r="P186" i="13"/>
  <c r="R184" i="13"/>
  <c r="P184" i="13"/>
  <c r="P167" i="13"/>
  <c r="R167" i="13"/>
  <c r="P272" i="13"/>
  <c r="R272" i="13"/>
  <c r="P359" i="13"/>
  <c r="R359" i="13"/>
  <c r="R42" i="13"/>
  <c r="P42" i="13"/>
  <c r="R434" i="13"/>
  <c r="P434" i="13"/>
  <c r="R159" i="13"/>
  <c r="P159" i="13"/>
  <c r="P88" i="13"/>
  <c r="R88" i="13"/>
  <c r="R239" i="13"/>
  <c r="P239" i="13"/>
  <c r="P166" i="13"/>
  <c r="R166" i="13"/>
  <c r="P244" i="13"/>
  <c r="R244" i="13"/>
  <c r="P206" i="13"/>
  <c r="R206" i="13"/>
  <c r="R333" i="13"/>
  <c r="P333" i="13"/>
  <c r="R280" i="13"/>
  <c r="P280" i="13"/>
  <c r="P367" i="13"/>
  <c r="R367" i="13"/>
  <c r="P262" i="13"/>
  <c r="R262" i="13"/>
  <c r="P338" i="13"/>
  <c r="R338" i="13"/>
  <c r="P279" i="13"/>
  <c r="R279" i="13"/>
  <c r="P401" i="13"/>
  <c r="R401" i="13"/>
  <c r="P75" i="13"/>
  <c r="R75" i="13"/>
  <c r="P110" i="13"/>
  <c r="R110" i="13"/>
  <c r="K391" i="13"/>
  <c r="L391" i="13" s="1"/>
  <c r="AR391" i="13"/>
  <c r="J272" i="15"/>
  <c r="K272" i="15" s="1"/>
  <c r="R230" i="13"/>
  <c r="P230" i="13"/>
  <c r="R265" i="13"/>
  <c r="P265" i="13"/>
  <c r="P79" i="13"/>
  <c r="R79" i="13"/>
  <c r="P147" i="13"/>
  <c r="R147" i="13"/>
  <c r="R226" i="13"/>
  <c r="P226" i="13"/>
  <c r="R349" i="13"/>
  <c r="U349" i="13" s="1"/>
  <c r="V349" i="13" s="1"/>
  <c r="P349" i="13"/>
  <c r="P16" i="13"/>
  <c r="R16" i="13"/>
  <c r="P32" i="13"/>
  <c r="R32" i="13"/>
  <c r="R34" i="13"/>
  <c r="P34" i="13"/>
  <c r="R155" i="13"/>
  <c r="P155" i="13"/>
  <c r="K202" i="13"/>
  <c r="L202" i="13" s="1"/>
  <c r="AR202" i="13"/>
  <c r="R334" i="13"/>
  <c r="P334" i="13"/>
  <c r="P348" i="13"/>
  <c r="R348" i="13"/>
  <c r="R57" i="13"/>
  <c r="P57" i="13"/>
  <c r="R277" i="13"/>
  <c r="P277" i="13"/>
  <c r="R287" i="13"/>
  <c r="P287" i="13"/>
  <c r="R278" i="13"/>
  <c r="P278" i="13"/>
  <c r="P174" i="13"/>
  <c r="R174" i="13"/>
  <c r="R383" i="13"/>
  <c r="P383" i="13"/>
  <c r="R130" i="13"/>
  <c r="P130" i="13"/>
  <c r="P24" i="13"/>
  <c r="R24" i="13"/>
  <c r="R271" i="13"/>
  <c r="U271" i="13" s="1"/>
  <c r="V271" i="13" s="1"/>
  <c r="P271" i="13"/>
  <c r="R193" i="13"/>
  <c r="P193" i="13"/>
  <c r="P318" i="13"/>
  <c r="R318" i="13"/>
  <c r="P171" i="13"/>
  <c r="R171" i="13"/>
  <c r="R443" i="13"/>
  <c r="P443" i="13"/>
  <c r="R229" i="13"/>
  <c r="P229" i="13"/>
  <c r="K422" i="13"/>
  <c r="L422" i="13" s="1"/>
  <c r="J303" i="15"/>
  <c r="K303" i="15" s="1"/>
  <c r="AR422" i="13"/>
  <c r="R421" i="13"/>
  <c r="P421" i="13"/>
  <c r="R295" i="13"/>
  <c r="P295" i="13"/>
  <c r="AR200" i="13"/>
  <c r="K200" i="13"/>
  <c r="L200" i="13" s="1"/>
  <c r="R86" i="13"/>
  <c r="P86" i="13"/>
  <c r="R187" i="13"/>
  <c r="P187" i="13"/>
  <c r="P96" i="13"/>
  <c r="R96" i="13"/>
  <c r="P52" i="13"/>
  <c r="R52" i="13"/>
  <c r="P99" i="13"/>
  <c r="R99" i="13"/>
  <c r="R433" i="13"/>
  <c r="P433" i="13"/>
  <c r="P122" i="13"/>
  <c r="R122" i="13"/>
  <c r="R335" i="13"/>
  <c r="P335" i="13"/>
  <c r="P94" i="13"/>
  <c r="R94" i="13"/>
  <c r="P425" i="13"/>
  <c r="R425" i="13"/>
  <c r="R417" i="13"/>
  <c r="P417" i="13"/>
  <c r="P234" i="13"/>
  <c r="R234" i="13"/>
  <c r="P236" i="13"/>
  <c r="R236" i="13"/>
  <c r="R40" i="13"/>
  <c r="P40" i="13"/>
  <c r="R225" i="13"/>
  <c r="P225" i="13"/>
  <c r="Q525" i="19"/>
  <c r="P529" i="19"/>
  <c r="Q529" i="19" s="1"/>
  <c r="R107" i="13"/>
  <c r="P107" i="13"/>
  <c r="R369" i="13"/>
  <c r="P369" i="13"/>
  <c r="P441" i="13"/>
  <c r="R441" i="13"/>
  <c r="R299" i="13"/>
  <c r="P299" i="13"/>
  <c r="P56" i="13"/>
  <c r="R56" i="13"/>
  <c r="P198" i="13"/>
  <c r="R198" i="13"/>
  <c r="R148" i="13"/>
  <c r="P148" i="13"/>
  <c r="R95" i="13"/>
  <c r="U95" i="13" s="1"/>
  <c r="V95" i="13" s="1"/>
  <c r="P95" i="13"/>
  <c r="P194" i="13"/>
  <c r="R194" i="13"/>
  <c r="P381" i="13"/>
  <c r="R381" i="13"/>
  <c r="P257" i="13"/>
  <c r="R257" i="13"/>
  <c r="R104" i="13"/>
  <c r="P104" i="13"/>
  <c r="P325" i="13"/>
  <c r="R325" i="13"/>
  <c r="P82" i="13"/>
  <c r="R82" i="13"/>
  <c r="R102" i="13"/>
  <c r="P102" i="13"/>
  <c r="P115" i="13"/>
  <c r="R115" i="13"/>
  <c r="R97" i="13"/>
  <c r="P97" i="13"/>
  <c r="R405" i="13"/>
  <c r="P405" i="13"/>
  <c r="P428" i="13"/>
  <c r="R428" i="13"/>
  <c r="P274" i="13"/>
  <c r="R274" i="13"/>
  <c r="P83" i="13"/>
  <c r="R83" i="13"/>
  <c r="R212" i="13"/>
  <c r="P212" i="13"/>
  <c r="P293" i="13"/>
  <c r="R293" i="13"/>
  <c r="R332" i="13"/>
  <c r="U332" i="13" s="1"/>
  <c r="V332" i="13" s="1"/>
  <c r="P332" i="13"/>
  <c r="P197" i="13"/>
  <c r="R197" i="13"/>
  <c r="R31" i="13"/>
  <c r="P31" i="13"/>
  <c r="P196" i="13"/>
  <c r="R196" i="13"/>
  <c r="R386" i="13"/>
  <c r="P386" i="13"/>
  <c r="R442" i="13"/>
  <c r="P442" i="13"/>
  <c r="R17" i="13"/>
  <c r="P17" i="13"/>
  <c r="P182" i="13"/>
  <c r="R182" i="13"/>
  <c r="P78" i="13"/>
  <c r="R78" i="13"/>
  <c r="P39" i="13"/>
  <c r="R39" i="13"/>
  <c r="P380" i="13"/>
  <c r="R380" i="13"/>
  <c r="R117" i="13"/>
  <c r="P117" i="13"/>
  <c r="P984" i="19"/>
  <c r="Q984" i="19" s="1"/>
  <c r="Q980" i="19"/>
  <c r="P168" i="13"/>
  <c r="R168" i="13"/>
  <c r="R67" i="13"/>
  <c r="P67" i="13"/>
  <c r="P419" i="13"/>
  <c r="R419" i="13"/>
  <c r="P346" i="13"/>
  <c r="R346" i="13"/>
  <c r="R20" i="13"/>
  <c r="P20" i="13"/>
  <c r="P378" i="13"/>
  <c r="R378" i="13"/>
  <c r="R209" i="13"/>
  <c r="P209" i="13"/>
  <c r="P89" i="13"/>
  <c r="R89" i="13"/>
  <c r="P437" i="13"/>
  <c r="R437" i="13"/>
  <c r="P298" i="13"/>
  <c r="R298" i="13"/>
  <c r="P217" i="13"/>
  <c r="R217" i="13"/>
  <c r="R415" i="13"/>
  <c r="P415" i="13"/>
  <c r="P292" i="13"/>
  <c r="R292" i="13"/>
  <c r="P118" i="13"/>
  <c r="R118" i="13"/>
  <c r="P370" i="13"/>
  <c r="R370" i="13"/>
  <c r="R285" i="13"/>
  <c r="P285" i="13"/>
  <c r="P336" i="13"/>
  <c r="R336" i="13"/>
  <c r="P112" i="13"/>
  <c r="R112" i="13"/>
  <c r="P44" i="13"/>
  <c r="R44" i="13"/>
  <c r="R436" i="13"/>
  <c r="P436" i="13"/>
  <c r="R250" i="13"/>
  <c r="P250" i="13"/>
  <c r="R211" i="13"/>
  <c r="P211" i="13"/>
  <c r="R402" i="13"/>
  <c r="P402" i="13"/>
  <c r="P113" i="13"/>
  <c r="R113" i="13"/>
  <c r="R282" i="13"/>
  <c r="P282" i="13"/>
  <c r="R156" i="13"/>
  <c r="P156" i="13"/>
  <c r="Q970" i="19"/>
  <c r="P974" i="19"/>
  <c r="Q974" i="19" s="1"/>
  <c r="R125" i="13"/>
  <c r="P125" i="13"/>
  <c r="P276" i="13"/>
  <c r="R276" i="13"/>
  <c r="P233" i="13"/>
  <c r="R233" i="13"/>
  <c r="R18" i="13"/>
  <c r="P18" i="13"/>
  <c r="R432" i="13"/>
  <c r="P432" i="13"/>
  <c r="R258" i="13"/>
  <c r="U258" i="13" s="1"/>
  <c r="V258" i="13" s="1"/>
  <c r="P258" i="13"/>
  <c r="P240" i="13"/>
  <c r="R240" i="13"/>
  <c r="U240" i="13" s="1"/>
  <c r="V240" i="13" s="1"/>
  <c r="R344" i="13"/>
  <c r="P344" i="13"/>
  <c r="J253" i="15"/>
  <c r="K253" i="15" s="1"/>
  <c r="AR372" i="13"/>
  <c r="K372" i="13"/>
  <c r="L372" i="13" s="1"/>
  <c r="R199" i="13"/>
  <c r="P199" i="13"/>
  <c r="P340" i="13" l="1"/>
  <c r="R424" i="13"/>
  <c r="U424" i="13" s="1"/>
  <c r="V424" i="13" s="1"/>
  <c r="W424" i="13" s="1"/>
  <c r="Y424" i="13" s="1"/>
  <c r="Q325" i="25" s="1"/>
  <c r="Y138" i="13"/>
  <c r="AF138" i="13" s="1"/>
  <c r="R210" i="13"/>
  <c r="U210" i="13" s="1"/>
  <c r="V210" i="13" s="1"/>
  <c r="W210" i="13" s="1"/>
  <c r="Y210" i="13" s="1"/>
  <c r="AD103" i="13"/>
  <c r="AK103" i="13" s="1"/>
  <c r="M67" i="15"/>
  <c r="P67" i="15" s="1"/>
  <c r="G22" i="12"/>
  <c r="K19" i="16"/>
  <c r="AS223" i="13"/>
  <c r="P13" i="19"/>
  <c r="I22" i="12"/>
  <c r="P12" i="19"/>
  <c r="H22" i="12"/>
  <c r="AD223" i="13"/>
  <c r="AK223" i="13" s="1"/>
  <c r="Y256" i="13"/>
  <c r="AD256" i="13" s="1"/>
  <c r="AK256" i="13" s="1"/>
  <c r="Y162" i="13"/>
  <c r="Z162" i="13" s="1"/>
  <c r="AD281" i="13"/>
  <c r="AK281" i="13" s="1"/>
  <c r="AE281" i="13"/>
  <c r="Z281" i="13"/>
  <c r="AF48" i="13"/>
  <c r="M31" i="15"/>
  <c r="N31" i="15" s="1"/>
  <c r="Z48" i="13"/>
  <c r="AA48" i="13"/>
  <c r="AB48" i="13" s="1"/>
  <c r="AS48" i="13"/>
  <c r="AA223" i="13"/>
  <c r="AA281" i="13"/>
  <c r="AB281" i="13" s="1"/>
  <c r="AF281" i="13"/>
  <c r="M186" i="15"/>
  <c r="N186" i="15" s="1"/>
  <c r="AD48" i="13"/>
  <c r="AK48" i="13" s="1"/>
  <c r="Y347" i="13"/>
  <c r="AA347" i="13" s="1"/>
  <c r="Z103" i="13"/>
  <c r="AA103" i="13"/>
  <c r="AB103" i="13" s="1"/>
  <c r="AF103" i="13"/>
  <c r="AS103" i="13"/>
  <c r="U233" i="13"/>
  <c r="V233" i="13" s="1"/>
  <c r="W233" i="13" s="1"/>
  <c r="U211" i="13"/>
  <c r="V211" i="13" s="1"/>
  <c r="W211" i="13" s="1"/>
  <c r="Y211" i="13" s="1"/>
  <c r="M138" i="15" s="1"/>
  <c r="U415" i="13"/>
  <c r="V415" i="13" s="1"/>
  <c r="W415" i="13" s="1"/>
  <c r="Y415" i="13" s="1"/>
  <c r="Q227" i="25" s="1"/>
  <c r="U31" i="13"/>
  <c r="V31" i="13" s="1"/>
  <c r="W31" i="13" s="1"/>
  <c r="Y31" i="13" s="1"/>
  <c r="M21" i="15" s="1"/>
  <c r="U369" i="13"/>
  <c r="V369" i="13" s="1"/>
  <c r="W369" i="13" s="1"/>
  <c r="Y369" i="13" s="1"/>
  <c r="Q38" i="25" s="1"/>
  <c r="U433" i="13"/>
  <c r="V433" i="13" s="1"/>
  <c r="W433" i="13" s="1"/>
  <c r="Y433" i="13" s="1"/>
  <c r="U171" i="13"/>
  <c r="V171" i="13" s="1"/>
  <c r="W171" i="13" s="1"/>
  <c r="U24" i="13"/>
  <c r="V24" i="13" s="1"/>
  <c r="W24" i="13" s="1"/>
  <c r="U348" i="13"/>
  <c r="V348" i="13" s="1"/>
  <c r="W348" i="13" s="1"/>
  <c r="U16" i="13"/>
  <c r="V16" i="13" s="1"/>
  <c r="W16" i="13" s="1"/>
  <c r="U434" i="13"/>
  <c r="V434" i="13" s="1"/>
  <c r="W434" i="13" s="1"/>
  <c r="U186" i="13"/>
  <c r="V186" i="13" s="1"/>
  <c r="W186" i="13" s="1"/>
  <c r="Y186" i="13" s="1"/>
  <c r="U207" i="13"/>
  <c r="V207" i="13" s="1"/>
  <c r="W207" i="13" s="1"/>
  <c r="Y207" i="13" s="1"/>
  <c r="AD207" i="13" s="1"/>
  <c r="AK207" i="13" s="1"/>
  <c r="U260" i="13"/>
  <c r="V260" i="13" s="1"/>
  <c r="W260" i="13" s="1"/>
  <c r="U199" i="13"/>
  <c r="V199" i="13" s="1"/>
  <c r="W199" i="13" s="1"/>
  <c r="Y199" i="13" s="1"/>
  <c r="AA199" i="13" s="1"/>
  <c r="U276" i="13"/>
  <c r="V276" i="13" s="1"/>
  <c r="W276" i="13" s="1"/>
  <c r="Y276" i="13" s="1"/>
  <c r="U44" i="13"/>
  <c r="V44" i="13" s="1"/>
  <c r="W44" i="13" s="1"/>
  <c r="U336" i="13"/>
  <c r="V336" i="13" s="1"/>
  <c r="W336" i="13" s="1"/>
  <c r="U370" i="13"/>
  <c r="V370" i="13" s="1"/>
  <c r="W370" i="13" s="1"/>
  <c r="U292" i="13"/>
  <c r="V292" i="13" s="1"/>
  <c r="W292" i="13" s="1"/>
  <c r="U217" i="13"/>
  <c r="V217" i="13" s="1"/>
  <c r="W217" i="13" s="1"/>
  <c r="U437" i="13"/>
  <c r="V437" i="13" s="1"/>
  <c r="W437" i="13" s="1"/>
  <c r="U419" i="13"/>
  <c r="V419" i="13" s="1"/>
  <c r="W419" i="13" s="1"/>
  <c r="U168" i="13"/>
  <c r="V168" i="13" s="1"/>
  <c r="W168" i="13" s="1"/>
  <c r="U39" i="13"/>
  <c r="V39" i="13" s="1"/>
  <c r="W39" i="13" s="1"/>
  <c r="U182" i="13"/>
  <c r="V182" i="13" s="1"/>
  <c r="W182" i="13" s="1"/>
  <c r="U196" i="13"/>
  <c r="V196" i="13" s="1"/>
  <c r="W196" i="13" s="1"/>
  <c r="U197" i="13"/>
  <c r="V197" i="13" s="1"/>
  <c r="W197" i="13" s="1"/>
  <c r="U293" i="13"/>
  <c r="V293" i="13" s="1"/>
  <c r="W293" i="13" s="1"/>
  <c r="U83" i="13"/>
  <c r="V83" i="13" s="1"/>
  <c r="W83" i="13" s="1"/>
  <c r="U428" i="13"/>
  <c r="V428" i="13" s="1"/>
  <c r="W428" i="13" s="1"/>
  <c r="U325" i="13"/>
  <c r="V325" i="13" s="1"/>
  <c r="W325" i="13" s="1"/>
  <c r="U257" i="13"/>
  <c r="V257" i="13" s="1"/>
  <c r="W257" i="13" s="1"/>
  <c r="U194" i="13"/>
  <c r="V194" i="13" s="1"/>
  <c r="W194" i="13" s="1"/>
  <c r="U56" i="13"/>
  <c r="V56" i="13" s="1"/>
  <c r="W56" i="13" s="1"/>
  <c r="Y56" i="13" s="1"/>
  <c r="U441" i="13"/>
  <c r="V441" i="13" s="1"/>
  <c r="W441" i="13" s="1"/>
  <c r="Y441" i="13" s="1"/>
  <c r="U236" i="13"/>
  <c r="V236" i="13" s="1"/>
  <c r="W236" i="13" s="1"/>
  <c r="Y236" i="13" s="1"/>
  <c r="Z236" i="13" s="1"/>
  <c r="U94" i="13"/>
  <c r="V94" i="13" s="1"/>
  <c r="W94" i="13" s="1"/>
  <c r="Y94" i="13" s="1"/>
  <c r="AS94" i="13" s="1"/>
  <c r="U122" i="13"/>
  <c r="V122" i="13" s="1"/>
  <c r="W122" i="13" s="1"/>
  <c r="Y122" i="13" s="1"/>
  <c r="U96" i="13"/>
  <c r="V96" i="13" s="1"/>
  <c r="W96" i="13" s="1"/>
  <c r="Y96" i="13" s="1"/>
  <c r="AS96" i="13" s="1"/>
  <c r="U229" i="13"/>
  <c r="V229" i="13" s="1"/>
  <c r="W229" i="13" s="1"/>
  <c r="U193" i="13"/>
  <c r="V193" i="13" s="1"/>
  <c r="W193" i="13" s="1"/>
  <c r="U383" i="13"/>
  <c r="V383" i="13" s="1"/>
  <c r="W383" i="13" s="1"/>
  <c r="Y383" i="13" s="1"/>
  <c r="Q93" i="25" s="1"/>
  <c r="U278" i="13"/>
  <c r="V278" i="13" s="1"/>
  <c r="W278" i="13" s="1"/>
  <c r="U277" i="13"/>
  <c r="V277" i="13" s="1"/>
  <c r="W277" i="13" s="1"/>
  <c r="Y277" i="13" s="1"/>
  <c r="U34" i="13"/>
  <c r="V34" i="13" s="1"/>
  <c r="W34" i="13" s="1"/>
  <c r="Y34" i="13" s="1"/>
  <c r="U226" i="13"/>
  <c r="V226" i="13" s="1"/>
  <c r="W226" i="13" s="1"/>
  <c r="Y226" i="13" s="1"/>
  <c r="AE226" i="13" s="1"/>
  <c r="U230" i="13"/>
  <c r="V230" i="13" s="1"/>
  <c r="W230" i="13" s="1"/>
  <c r="Y230" i="13" s="1"/>
  <c r="U110" i="13"/>
  <c r="V110" i="13" s="1"/>
  <c r="W110" i="13" s="1"/>
  <c r="Y110" i="13" s="1"/>
  <c r="U401" i="13"/>
  <c r="V401" i="13" s="1"/>
  <c r="W401" i="13" s="1"/>
  <c r="Y401" i="13" s="1"/>
  <c r="Q164" i="25" s="1"/>
  <c r="U338" i="13"/>
  <c r="V338" i="13" s="1"/>
  <c r="W338" i="13" s="1"/>
  <c r="Y338" i="13" s="1"/>
  <c r="U367" i="13"/>
  <c r="V367" i="13" s="1"/>
  <c r="W367" i="13" s="1"/>
  <c r="Y367" i="13" s="1"/>
  <c r="U244" i="13"/>
  <c r="V244" i="13" s="1"/>
  <c r="W244" i="13" s="1"/>
  <c r="Y244" i="13" s="1"/>
  <c r="U272" i="13"/>
  <c r="V272" i="13" s="1"/>
  <c r="W272" i="13" s="1"/>
  <c r="Y272" i="13" s="1"/>
  <c r="U26" i="13"/>
  <c r="V26" i="13" s="1"/>
  <c r="W26" i="13" s="1"/>
  <c r="Y26" i="13" s="1"/>
  <c r="AD26" i="13" s="1"/>
  <c r="AK26" i="13" s="1"/>
  <c r="U373" i="13"/>
  <c r="V373" i="13" s="1"/>
  <c r="W373" i="13" s="1"/>
  <c r="Y373" i="13" s="1"/>
  <c r="Q55" i="25" s="1"/>
  <c r="U343" i="13"/>
  <c r="V343" i="13" s="1"/>
  <c r="W343" i="13" s="1"/>
  <c r="Y343" i="13" s="1"/>
  <c r="Z343" i="13" s="1"/>
  <c r="U294" i="13"/>
  <c r="V294" i="13" s="1"/>
  <c r="W294" i="13" s="1"/>
  <c r="Y294" i="13" s="1"/>
  <c r="U140" i="13"/>
  <c r="V140" i="13" s="1"/>
  <c r="W140" i="13" s="1"/>
  <c r="U393" i="13"/>
  <c r="V393" i="13" s="1"/>
  <c r="W393" i="13" s="1"/>
  <c r="U399" i="13"/>
  <c r="V399" i="13" s="1"/>
  <c r="W399" i="13" s="1"/>
  <c r="U173" i="13"/>
  <c r="V173" i="13" s="1"/>
  <c r="W173" i="13" s="1"/>
  <c r="U310" i="13"/>
  <c r="V310" i="13" s="1"/>
  <c r="W310" i="13" s="1"/>
  <c r="U309" i="13"/>
  <c r="V309" i="13" s="1"/>
  <c r="W309" i="13" s="1"/>
  <c r="U319" i="13"/>
  <c r="V319" i="13" s="1"/>
  <c r="W319" i="13" s="1"/>
  <c r="U129" i="13"/>
  <c r="V129" i="13" s="1"/>
  <c r="W129" i="13" s="1"/>
  <c r="U396" i="13"/>
  <c r="V396" i="13" s="1"/>
  <c r="W396" i="13" s="1"/>
  <c r="U300" i="13"/>
  <c r="V300" i="13" s="1"/>
  <c r="W300" i="13" s="1"/>
  <c r="Y300" i="13" s="1"/>
  <c r="U313" i="13"/>
  <c r="V313" i="13" s="1"/>
  <c r="W313" i="13" s="1"/>
  <c r="U177" i="13"/>
  <c r="V177" i="13" s="1"/>
  <c r="W177" i="13" s="1"/>
  <c r="U261" i="13"/>
  <c r="V261" i="13" s="1"/>
  <c r="W261" i="13" s="1"/>
  <c r="U23" i="13"/>
  <c r="V23" i="13" s="1"/>
  <c r="W23" i="13" s="1"/>
  <c r="Y23" i="13" s="1"/>
  <c r="U252" i="13"/>
  <c r="V252" i="13" s="1"/>
  <c r="W252" i="13" s="1"/>
  <c r="U376" i="13"/>
  <c r="V376" i="13" s="1"/>
  <c r="W376" i="13" s="1"/>
  <c r="Y376" i="13" s="1"/>
  <c r="Q64" i="25" s="1"/>
  <c r="U120" i="13"/>
  <c r="V120" i="13" s="1"/>
  <c r="W120" i="13" s="1"/>
  <c r="Y120" i="13" s="1"/>
  <c r="U227" i="13"/>
  <c r="V227" i="13" s="1"/>
  <c r="W227" i="13" s="1"/>
  <c r="Y227" i="13" s="1"/>
  <c r="Z227" i="13" s="1"/>
  <c r="U403" i="13"/>
  <c r="V403" i="13" s="1"/>
  <c r="W403" i="13" s="1"/>
  <c r="U305" i="13"/>
  <c r="V305" i="13" s="1"/>
  <c r="W305" i="13" s="1"/>
  <c r="U153" i="13"/>
  <c r="V153" i="13" s="1"/>
  <c r="W153" i="13" s="1"/>
  <c r="U60" i="13"/>
  <c r="V60" i="13" s="1"/>
  <c r="W60" i="13" s="1"/>
  <c r="U397" i="13"/>
  <c r="V397" i="13" s="1"/>
  <c r="W397" i="13" s="1"/>
  <c r="U341" i="13"/>
  <c r="V341" i="13" s="1"/>
  <c r="W341" i="13" s="1"/>
  <c r="Y341" i="13" s="1"/>
  <c r="AD341" i="13" s="1"/>
  <c r="AK341" i="13" s="1"/>
  <c r="U286" i="13"/>
  <c r="V286" i="13" s="1"/>
  <c r="W286" i="13" s="1"/>
  <c r="U10" i="13"/>
  <c r="V10" i="13" s="1"/>
  <c r="W10" i="13" s="1"/>
  <c r="U134" i="13"/>
  <c r="V134" i="13" s="1"/>
  <c r="W134" i="13" s="1"/>
  <c r="U30" i="13"/>
  <c r="V30" i="13" s="1"/>
  <c r="W30" i="13" s="1"/>
  <c r="Y30" i="13" s="1"/>
  <c r="U12" i="13"/>
  <c r="V12" i="13" s="1"/>
  <c r="W12" i="13" s="1"/>
  <c r="U296" i="13"/>
  <c r="V296" i="13" s="1"/>
  <c r="W296" i="13" s="1"/>
  <c r="Y296" i="13" s="1"/>
  <c r="U71" i="13"/>
  <c r="V71" i="13" s="1"/>
  <c r="W71" i="13" s="1"/>
  <c r="Y71" i="13" s="1"/>
  <c r="AF71" i="13" s="1"/>
  <c r="U85" i="13"/>
  <c r="V85" i="13" s="1"/>
  <c r="W85" i="13" s="1"/>
  <c r="U163" i="13"/>
  <c r="V163" i="13" s="1"/>
  <c r="W163" i="13" s="1"/>
  <c r="U431" i="13"/>
  <c r="V431" i="13" s="1"/>
  <c r="W431" i="13" s="1"/>
  <c r="U116" i="13"/>
  <c r="V116" i="13" s="1"/>
  <c r="W116" i="13" s="1"/>
  <c r="U246" i="13"/>
  <c r="V246" i="13" s="1"/>
  <c r="W246" i="13" s="1"/>
  <c r="Y246" i="13" s="1"/>
  <c r="U29" i="13"/>
  <c r="V29" i="13" s="1"/>
  <c r="W29" i="13" s="1"/>
  <c r="Y29" i="13" s="1"/>
  <c r="AA29" i="13" s="1"/>
  <c r="U221" i="13"/>
  <c r="V221" i="13" s="1"/>
  <c r="W221" i="13" s="1"/>
  <c r="Y221" i="13" s="1"/>
  <c r="U170" i="13"/>
  <c r="V170" i="13" s="1"/>
  <c r="W170" i="13" s="1"/>
  <c r="Y170" i="13" s="1"/>
  <c r="M110" i="15" s="1"/>
  <c r="U38" i="13"/>
  <c r="V38" i="13" s="1"/>
  <c r="W38" i="13" s="1"/>
  <c r="Y38" i="13" s="1"/>
  <c r="U41" i="13"/>
  <c r="V41" i="13" s="1"/>
  <c r="W41" i="13" s="1"/>
  <c r="U185" i="13"/>
  <c r="V185" i="13" s="1"/>
  <c r="W185" i="13" s="1"/>
  <c r="Y185" i="13" s="1"/>
  <c r="U195" i="13"/>
  <c r="V195" i="13" s="1"/>
  <c r="W195" i="13" s="1"/>
  <c r="U245" i="13"/>
  <c r="V245" i="13" s="1"/>
  <c r="W245" i="13" s="1"/>
  <c r="U101" i="13"/>
  <c r="V101" i="13" s="1"/>
  <c r="W101" i="13" s="1"/>
  <c r="Y101" i="13" s="1"/>
  <c r="U98" i="13"/>
  <c r="V98" i="13" s="1"/>
  <c r="W98" i="13" s="1"/>
  <c r="Y98" i="13" s="1"/>
  <c r="M63" i="15" s="1"/>
  <c r="U315" i="13"/>
  <c r="V315" i="13" s="1"/>
  <c r="W315" i="13" s="1"/>
  <c r="Y315" i="13" s="1"/>
  <c r="AS315" i="13" s="1"/>
  <c r="U55" i="13"/>
  <c r="V55" i="13" s="1"/>
  <c r="W55" i="13" s="1"/>
  <c r="Y55" i="13" s="1"/>
  <c r="AE55" i="13" s="1"/>
  <c r="U183" i="13"/>
  <c r="V183" i="13" s="1"/>
  <c r="W183" i="13" s="1"/>
  <c r="Y183" i="13" s="1"/>
  <c r="AE183" i="13" s="1"/>
  <c r="U87" i="13"/>
  <c r="V87" i="13" s="1"/>
  <c r="W87" i="13" s="1"/>
  <c r="Y87" i="13" s="1"/>
  <c r="U290" i="13"/>
  <c r="V290" i="13" s="1"/>
  <c r="W290" i="13" s="1"/>
  <c r="Y290" i="13" s="1"/>
  <c r="U363" i="13"/>
  <c r="V363" i="13" s="1"/>
  <c r="W363" i="13" s="1"/>
  <c r="U435" i="13"/>
  <c r="V435" i="13" s="1"/>
  <c r="W435" i="13" s="1"/>
  <c r="Y435" i="13" s="1"/>
  <c r="U238" i="13"/>
  <c r="V238" i="13" s="1"/>
  <c r="W238" i="13" s="1"/>
  <c r="Y238" i="13" s="1"/>
  <c r="U131" i="13"/>
  <c r="V131" i="13" s="1"/>
  <c r="W131" i="13" s="1"/>
  <c r="Y131" i="13" s="1"/>
  <c r="AE131" i="13" s="1"/>
  <c r="U406" i="13"/>
  <c r="V406" i="13" s="1"/>
  <c r="W406" i="13" s="1"/>
  <c r="Y406" i="13" s="1"/>
  <c r="Q187" i="25" s="1"/>
  <c r="U268" i="13"/>
  <c r="V268" i="13" s="1"/>
  <c r="W268" i="13" s="1"/>
  <c r="Y268" i="13" s="1"/>
  <c r="R394" i="13"/>
  <c r="U394" i="13" s="1"/>
  <c r="V394" i="13" s="1"/>
  <c r="R410" i="13"/>
  <c r="U410" i="13" s="1"/>
  <c r="V410" i="13" s="1"/>
  <c r="R366" i="13"/>
  <c r="U366" i="13" s="1"/>
  <c r="V366" i="13" s="1"/>
  <c r="U142" i="13"/>
  <c r="V142" i="13" s="1"/>
  <c r="W142" i="13" s="1"/>
  <c r="U426" i="13"/>
  <c r="V426" i="13" s="1"/>
  <c r="W426" i="13" s="1"/>
  <c r="Y426" i="13" s="1"/>
  <c r="Q335" i="25" s="1"/>
  <c r="U125" i="13"/>
  <c r="V125" i="13" s="1"/>
  <c r="W125" i="13" s="1"/>
  <c r="U113" i="13"/>
  <c r="V113" i="13" s="1"/>
  <c r="W113" i="13" s="1"/>
  <c r="Y113" i="13" s="1"/>
  <c r="AS113" i="13" s="1"/>
  <c r="U118" i="13"/>
  <c r="V118" i="13" s="1"/>
  <c r="W118" i="13" s="1"/>
  <c r="Y118" i="13" s="1"/>
  <c r="AE118" i="13" s="1"/>
  <c r="U378" i="13"/>
  <c r="V378" i="13" s="1"/>
  <c r="W378" i="13" s="1"/>
  <c r="Y378" i="13" s="1"/>
  <c r="U380" i="13"/>
  <c r="V380" i="13" s="1"/>
  <c r="W380" i="13" s="1"/>
  <c r="Y380" i="13" s="1"/>
  <c r="Q80" i="25" s="1"/>
  <c r="U274" i="13"/>
  <c r="V274" i="13" s="1"/>
  <c r="W274" i="13" s="1"/>
  <c r="Y274" i="13" s="1"/>
  <c r="U82" i="13"/>
  <c r="V82" i="13" s="1"/>
  <c r="W82" i="13" s="1"/>
  <c r="Y82" i="13" s="1"/>
  <c r="U381" i="13"/>
  <c r="V381" i="13" s="1"/>
  <c r="W381" i="13" s="1"/>
  <c r="Y381" i="13" s="1"/>
  <c r="Q87" i="25" s="1"/>
  <c r="U234" i="13"/>
  <c r="V234" i="13" s="1"/>
  <c r="W234" i="13" s="1"/>
  <c r="U432" i="13"/>
  <c r="V432" i="13" s="1"/>
  <c r="W432" i="13" s="1"/>
  <c r="U156" i="13"/>
  <c r="V156" i="13" s="1"/>
  <c r="W156" i="13" s="1"/>
  <c r="Y156" i="13" s="1"/>
  <c r="AD156" i="13" s="1"/>
  <c r="AK156" i="13" s="1"/>
  <c r="U285" i="13"/>
  <c r="V285" i="13" s="1"/>
  <c r="W285" i="13" s="1"/>
  <c r="Y285" i="13" s="1"/>
  <c r="M190" i="15" s="1"/>
  <c r="U67" i="13"/>
  <c r="V67" i="13" s="1"/>
  <c r="W67" i="13" s="1"/>
  <c r="Y67" i="13" s="1"/>
  <c r="U17" i="13"/>
  <c r="V17" i="13" s="1"/>
  <c r="W17" i="13" s="1"/>
  <c r="Y17" i="13" s="1"/>
  <c r="AD17" i="13" s="1"/>
  <c r="AK17" i="13" s="1"/>
  <c r="U386" i="13"/>
  <c r="V386" i="13" s="1"/>
  <c r="W386" i="13" s="1"/>
  <c r="Y386" i="13" s="1"/>
  <c r="U212" i="13"/>
  <c r="V212" i="13" s="1"/>
  <c r="W212" i="13" s="1"/>
  <c r="Y212" i="13" s="1"/>
  <c r="W258" i="13"/>
  <c r="Y258" i="13" s="1"/>
  <c r="U18" i="13"/>
  <c r="V18" i="13" s="1"/>
  <c r="W18" i="13" s="1"/>
  <c r="Y18" i="13" s="1"/>
  <c r="AS18" i="13" s="1"/>
  <c r="U282" i="13"/>
  <c r="V282" i="13" s="1"/>
  <c r="W282" i="13" s="1"/>
  <c r="Y282" i="13" s="1"/>
  <c r="U402" i="13"/>
  <c r="V402" i="13" s="1"/>
  <c r="W402" i="13" s="1"/>
  <c r="Y402" i="13" s="1"/>
  <c r="U250" i="13"/>
  <c r="V250" i="13" s="1"/>
  <c r="W250" i="13" s="1"/>
  <c r="Y250" i="13" s="1"/>
  <c r="U209" i="13"/>
  <c r="V209" i="13" s="1"/>
  <c r="W209" i="13" s="1"/>
  <c r="Y209" i="13" s="1"/>
  <c r="AS209" i="13" s="1"/>
  <c r="U20" i="13"/>
  <c r="V20" i="13" s="1"/>
  <c r="W20" i="13" s="1"/>
  <c r="Y20" i="13" s="1"/>
  <c r="U117" i="13"/>
  <c r="V117" i="13" s="1"/>
  <c r="W117" i="13" s="1"/>
  <c r="Y117" i="13" s="1"/>
  <c r="AE117" i="13" s="1"/>
  <c r="U442" i="13"/>
  <c r="V442" i="13" s="1"/>
  <c r="W442" i="13" s="1"/>
  <c r="Y442" i="13" s="1"/>
  <c r="Q482" i="25" s="1"/>
  <c r="U97" i="13"/>
  <c r="V97" i="13" s="1"/>
  <c r="W97" i="13" s="1"/>
  <c r="U102" i="13"/>
  <c r="V102" i="13" s="1"/>
  <c r="W102" i="13" s="1"/>
  <c r="Y102" i="13" s="1"/>
  <c r="U148" i="13"/>
  <c r="V148" i="13" s="1"/>
  <c r="W148" i="13" s="1"/>
  <c r="Y148" i="13" s="1"/>
  <c r="AE148" i="13" s="1"/>
  <c r="U107" i="13"/>
  <c r="V107" i="13" s="1"/>
  <c r="W107" i="13" s="1"/>
  <c r="Y107" i="13" s="1"/>
  <c r="U225" i="13"/>
  <c r="V225" i="13" s="1"/>
  <c r="W225" i="13" s="1"/>
  <c r="Y225" i="13" s="1"/>
  <c r="U417" i="13"/>
  <c r="V417" i="13" s="1"/>
  <c r="W417" i="13" s="1"/>
  <c r="Y417" i="13" s="1"/>
  <c r="Q233" i="25" s="1"/>
  <c r="U86" i="13"/>
  <c r="V86" i="13" s="1"/>
  <c r="W86" i="13" s="1"/>
  <c r="Y86" i="13" s="1"/>
  <c r="U295" i="13"/>
  <c r="V295" i="13" s="1"/>
  <c r="W295" i="13" s="1"/>
  <c r="Y295" i="13" s="1"/>
  <c r="Z295" i="13" s="1"/>
  <c r="U318" i="13"/>
  <c r="V318" i="13" s="1"/>
  <c r="W318" i="13" s="1"/>
  <c r="Y318" i="13" s="1"/>
  <c r="U174" i="13"/>
  <c r="V174" i="13" s="1"/>
  <c r="W174" i="13" s="1"/>
  <c r="Y174" i="13" s="1"/>
  <c r="M113" i="15" s="1"/>
  <c r="U32" i="13"/>
  <c r="V32" i="13" s="1"/>
  <c r="W32" i="13" s="1"/>
  <c r="U147" i="13"/>
  <c r="V147" i="13" s="1"/>
  <c r="W147" i="13" s="1"/>
  <c r="Y147" i="13" s="1"/>
  <c r="U333" i="13"/>
  <c r="V333" i="13" s="1"/>
  <c r="W333" i="13" s="1"/>
  <c r="Y333" i="13" s="1"/>
  <c r="AF333" i="13" s="1"/>
  <c r="U239" i="13"/>
  <c r="V239" i="13" s="1"/>
  <c r="W239" i="13" s="1"/>
  <c r="Y239" i="13" s="1"/>
  <c r="U159" i="13"/>
  <c r="V159" i="13" s="1"/>
  <c r="W159" i="13" s="1"/>
  <c r="Y159" i="13" s="1"/>
  <c r="AS159" i="13" s="1"/>
  <c r="U42" i="13"/>
  <c r="V42" i="13" s="1"/>
  <c r="W42" i="13" s="1"/>
  <c r="Y42" i="13" s="1"/>
  <c r="U184" i="13"/>
  <c r="V184" i="13" s="1"/>
  <c r="W184" i="13" s="1"/>
  <c r="Y184" i="13" s="1"/>
  <c r="M123" i="15" s="1"/>
  <c r="U288" i="13"/>
  <c r="V288" i="13" s="1"/>
  <c r="W288" i="13" s="1"/>
  <c r="Y288" i="13" s="1"/>
  <c r="U108" i="13"/>
  <c r="V108" i="13" s="1"/>
  <c r="W108" i="13" s="1"/>
  <c r="Y108" i="13" s="1"/>
  <c r="AD108" i="13" s="1"/>
  <c r="AK108" i="13" s="1"/>
  <c r="U21" i="13"/>
  <c r="V21" i="13" s="1"/>
  <c r="W21" i="13" s="1"/>
  <c r="Y21" i="13" s="1"/>
  <c r="U358" i="13"/>
  <c r="V358" i="13" s="1"/>
  <c r="W358" i="13" s="1"/>
  <c r="Y358" i="13" s="1"/>
  <c r="AA358" i="13" s="1"/>
  <c r="U420" i="13"/>
  <c r="V420" i="13" s="1"/>
  <c r="W420" i="13" s="1"/>
  <c r="U114" i="13"/>
  <c r="V114" i="13" s="1"/>
  <c r="W114" i="13" s="1"/>
  <c r="U124" i="13"/>
  <c r="V124" i="13" s="1"/>
  <c r="W124" i="13" s="1"/>
  <c r="U374" i="13"/>
  <c r="V374" i="13" s="1"/>
  <c r="W374" i="13" s="1"/>
  <c r="Y374" i="13" s="1"/>
  <c r="Q58" i="25" s="1"/>
  <c r="U382" i="13"/>
  <c r="V382" i="13" s="1"/>
  <c r="W382" i="13" s="1"/>
  <c r="Y382" i="13" s="1"/>
  <c r="Q90" i="25" s="1"/>
  <c r="U203" i="13"/>
  <c r="V203" i="13" s="1"/>
  <c r="W203" i="13" s="1"/>
  <c r="Y203" i="13" s="1"/>
  <c r="U158" i="13"/>
  <c r="V158" i="13" s="1"/>
  <c r="W158" i="13" s="1"/>
  <c r="Y158" i="13" s="1"/>
  <c r="U308" i="13"/>
  <c r="V308" i="13" s="1"/>
  <c r="W308" i="13" s="1"/>
  <c r="Y308" i="13" s="1"/>
  <c r="U37" i="13"/>
  <c r="V37" i="13" s="1"/>
  <c r="W37" i="13" s="1"/>
  <c r="Y37" i="13" s="1"/>
  <c r="U301" i="13"/>
  <c r="V301" i="13" s="1"/>
  <c r="W301" i="13" s="1"/>
  <c r="Y301" i="13" s="1"/>
  <c r="U123" i="13"/>
  <c r="V123" i="13" s="1"/>
  <c r="W123" i="13" s="1"/>
  <c r="Y123" i="13" s="1"/>
  <c r="AS123" i="13" s="1"/>
  <c r="U387" i="13"/>
  <c r="V387" i="13" s="1"/>
  <c r="W387" i="13" s="1"/>
  <c r="Y387" i="13" s="1"/>
  <c r="Q108" i="25" s="1"/>
  <c r="U327" i="13"/>
  <c r="V327" i="13" s="1"/>
  <c r="W327" i="13" s="1"/>
  <c r="Y327" i="13" s="1"/>
  <c r="U176" i="13"/>
  <c r="V176" i="13" s="1"/>
  <c r="W176" i="13" s="1"/>
  <c r="Y176" i="13" s="1"/>
  <c r="U154" i="13"/>
  <c r="V154" i="13" s="1"/>
  <c r="W154" i="13" s="1"/>
  <c r="U263" i="13"/>
  <c r="V263" i="13" s="1"/>
  <c r="W263" i="13" s="1"/>
  <c r="Y263" i="13" s="1"/>
  <c r="W384" i="13"/>
  <c r="Y384" i="13" s="1"/>
  <c r="U320" i="13"/>
  <c r="V320" i="13" s="1"/>
  <c r="W320" i="13" s="1"/>
  <c r="Y320" i="13" s="1"/>
  <c r="U237" i="13"/>
  <c r="V237" i="13" s="1"/>
  <c r="W237" i="13" s="1"/>
  <c r="Y237" i="13" s="1"/>
  <c r="M158" i="15" s="1"/>
  <c r="U266" i="13"/>
  <c r="V266" i="13" s="1"/>
  <c r="W266" i="13" s="1"/>
  <c r="Y266" i="13" s="1"/>
  <c r="U150" i="13"/>
  <c r="V150" i="13" s="1"/>
  <c r="W150" i="13" s="1"/>
  <c r="Y150" i="13" s="1"/>
  <c r="U289" i="13"/>
  <c r="V289" i="13" s="1"/>
  <c r="W289" i="13" s="1"/>
  <c r="Y289" i="13" s="1"/>
  <c r="U160" i="13"/>
  <c r="V160" i="13" s="1"/>
  <c r="W160" i="13" s="1"/>
  <c r="U63" i="13"/>
  <c r="V63" i="13" s="1"/>
  <c r="W63" i="13" s="1"/>
  <c r="U192" i="13"/>
  <c r="V192" i="13" s="1"/>
  <c r="W192" i="13" s="1"/>
  <c r="U354" i="13"/>
  <c r="V354" i="13" s="1"/>
  <c r="W354" i="13" s="1"/>
  <c r="U190" i="13"/>
  <c r="V190" i="13" s="1"/>
  <c r="W190" i="13" s="1"/>
  <c r="U47" i="13"/>
  <c r="V47" i="13" s="1"/>
  <c r="W47" i="13" s="1"/>
  <c r="Y47" i="13" s="1"/>
  <c r="U249" i="13"/>
  <c r="V249" i="13" s="1"/>
  <c r="W249" i="13" s="1"/>
  <c r="U127" i="13"/>
  <c r="V127" i="13" s="1"/>
  <c r="W127" i="13" s="1"/>
  <c r="Y127" i="13" s="1"/>
  <c r="U43" i="13"/>
  <c r="V43" i="13" s="1"/>
  <c r="W43" i="13" s="1"/>
  <c r="U93" i="13"/>
  <c r="V93" i="13" s="1"/>
  <c r="W93" i="13" s="1"/>
  <c r="Y93" i="13" s="1"/>
  <c r="U28" i="13"/>
  <c r="V28" i="13" s="1"/>
  <c r="W28" i="13" s="1"/>
  <c r="U143" i="13"/>
  <c r="V143" i="13" s="1"/>
  <c r="W143" i="13" s="1"/>
  <c r="U76" i="13"/>
  <c r="V76" i="13" s="1"/>
  <c r="W76" i="13" s="1"/>
  <c r="Y76" i="13" s="1"/>
  <c r="AS76" i="13" s="1"/>
  <c r="U267" i="13"/>
  <c r="V267" i="13" s="1"/>
  <c r="W267" i="13" s="1"/>
  <c r="Y267" i="13" s="1"/>
  <c r="U255" i="13"/>
  <c r="V255" i="13" s="1"/>
  <c r="W255" i="13" s="1"/>
  <c r="Y255" i="13" s="1"/>
  <c r="AF255" i="13" s="1"/>
  <c r="U15" i="13"/>
  <c r="V15" i="13" s="1"/>
  <c r="W15" i="13" s="1"/>
  <c r="U307" i="13"/>
  <c r="V307" i="13" s="1"/>
  <c r="W307" i="13" s="1"/>
  <c r="U144" i="13"/>
  <c r="V144" i="13" s="1"/>
  <c r="W144" i="13" s="1"/>
  <c r="U395" i="13"/>
  <c r="V395" i="13" s="1"/>
  <c r="W395" i="13" s="1"/>
  <c r="Y395" i="13" s="1"/>
  <c r="Q138" i="25" s="1"/>
  <c r="U390" i="13"/>
  <c r="V390" i="13" s="1"/>
  <c r="W390" i="13" s="1"/>
  <c r="Y390" i="13" s="1"/>
  <c r="Q118" i="25" s="1"/>
  <c r="U74" i="13"/>
  <c r="V74" i="13" s="1"/>
  <c r="W74" i="13" s="1"/>
  <c r="Y74" i="13" s="1"/>
  <c r="Z74" i="13" s="1"/>
  <c r="U65" i="13"/>
  <c r="V65" i="13" s="1"/>
  <c r="W65" i="13" s="1"/>
  <c r="Y65" i="13" s="1"/>
  <c r="U204" i="13"/>
  <c r="V204" i="13" s="1"/>
  <c r="W204" i="13" s="1"/>
  <c r="Y204" i="13" s="1"/>
  <c r="U302" i="13"/>
  <c r="V302" i="13" s="1"/>
  <c r="W302" i="13" s="1"/>
  <c r="U22" i="13"/>
  <c r="V22" i="13" s="1"/>
  <c r="W22" i="13" s="1"/>
  <c r="Y22" i="13" s="1"/>
  <c r="U33" i="13"/>
  <c r="V33" i="13" s="1"/>
  <c r="W33" i="13" s="1"/>
  <c r="Y33" i="13" s="1"/>
  <c r="U201" i="13"/>
  <c r="V201" i="13" s="1"/>
  <c r="W201" i="13" s="1"/>
  <c r="Y201" i="13" s="1"/>
  <c r="U368" i="13"/>
  <c r="V368" i="13" s="1"/>
  <c r="W368" i="13" s="1"/>
  <c r="Y368" i="13" s="1"/>
  <c r="U175" i="13"/>
  <c r="V175" i="13" s="1"/>
  <c r="W175" i="13" s="1"/>
  <c r="Y175" i="13" s="1"/>
  <c r="R413" i="13"/>
  <c r="U413" i="13" s="1"/>
  <c r="U161" i="13"/>
  <c r="V161" i="13" s="1"/>
  <c r="W161" i="13" s="1"/>
  <c r="U385" i="13"/>
  <c r="V385" i="13" s="1"/>
  <c r="W385" i="13" s="1"/>
  <c r="Y385" i="13" s="1"/>
  <c r="U112" i="13"/>
  <c r="V112" i="13" s="1"/>
  <c r="W112" i="13" s="1"/>
  <c r="Y112" i="13" s="1"/>
  <c r="U89" i="13"/>
  <c r="V89" i="13" s="1"/>
  <c r="W89" i="13" s="1"/>
  <c r="Y89" i="13" s="1"/>
  <c r="Z89" i="13" s="1"/>
  <c r="U115" i="13"/>
  <c r="V115" i="13" s="1"/>
  <c r="W115" i="13" s="1"/>
  <c r="Y115" i="13" s="1"/>
  <c r="U198" i="13"/>
  <c r="V198" i="13" s="1"/>
  <c r="W198" i="13" s="1"/>
  <c r="U52" i="13"/>
  <c r="V52" i="13" s="1"/>
  <c r="W52" i="13" s="1"/>
  <c r="Y52" i="13" s="1"/>
  <c r="U443" i="13"/>
  <c r="V443" i="13" s="1"/>
  <c r="W443" i="13" s="1"/>
  <c r="Y443" i="13" s="1"/>
  <c r="Q494" i="25" s="1"/>
  <c r="U130" i="13"/>
  <c r="V130" i="13" s="1"/>
  <c r="W130" i="13" s="1"/>
  <c r="Y130" i="13" s="1"/>
  <c r="U287" i="13"/>
  <c r="V287" i="13" s="1"/>
  <c r="W287" i="13" s="1"/>
  <c r="Y287" i="13" s="1"/>
  <c r="U57" i="13"/>
  <c r="V57" i="13" s="1"/>
  <c r="W57" i="13" s="1"/>
  <c r="Y57" i="13" s="1"/>
  <c r="U334" i="13"/>
  <c r="V334" i="13" s="1"/>
  <c r="W334" i="13" s="1"/>
  <c r="Y334" i="13" s="1"/>
  <c r="U155" i="13"/>
  <c r="V155" i="13" s="1"/>
  <c r="W155" i="13" s="1"/>
  <c r="Y155" i="13" s="1"/>
  <c r="W349" i="13"/>
  <c r="Y349" i="13" s="1"/>
  <c r="Z349" i="13" s="1"/>
  <c r="U265" i="13"/>
  <c r="V265" i="13" s="1"/>
  <c r="W265" i="13" s="1"/>
  <c r="Y265" i="13" s="1"/>
  <c r="AD265" i="13" s="1"/>
  <c r="AK265" i="13" s="1"/>
  <c r="U75" i="13"/>
  <c r="V75" i="13" s="1"/>
  <c r="W75" i="13" s="1"/>
  <c r="U262" i="13"/>
  <c r="V262" i="13" s="1"/>
  <c r="W262" i="13" s="1"/>
  <c r="U206" i="13"/>
  <c r="V206" i="13" s="1"/>
  <c r="W206" i="13" s="1"/>
  <c r="Y206" i="13" s="1"/>
  <c r="U166" i="13"/>
  <c r="V166" i="13" s="1"/>
  <c r="W166" i="13" s="1"/>
  <c r="Y166" i="13" s="1"/>
  <c r="M106" i="15" s="1"/>
  <c r="U88" i="13"/>
  <c r="V88" i="13" s="1"/>
  <c r="W88" i="13" s="1"/>
  <c r="Y88" i="13" s="1"/>
  <c r="U359" i="13"/>
  <c r="V359" i="13" s="1"/>
  <c r="W359" i="13" s="1"/>
  <c r="Y359" i="13" s="1"/>
  <c r="U167" i="13"/>
  <c r="V167" i="13" s="1"/>
  <c r="W167" i="13" s="1"/>
  <c r="Y167" i="13" s="1"/>
  <c r="U172" i="13"/>
  <c r="V172" i="13" s="1"/>
  <c r="W172" i="13" s="1"/>
  <c r="U235" i="13"/>
  <c r="V235" i="13" s="1"/>
  <c r="W235" i="13" s="1"/>
  <c r="Y235" i="13" s="1"/>
  <c r="U70" i="13"/>
  <c r="V70" i="13" s="1"/>
  <c r="W70" i="13" s="1"/>
  <c r="Y70" i="13" s="1"/>
  <c r="AS70" i="13" s="1"/>
  <c r="U254" i="13"/>
  <c r="V254" i="13" s="1"/>
  <c r="W254" i="13" s="1"/>
  <c r="Y254" i="13" s="1"/>
  <c r="U145" i="13"/>
  <c r="V145" i="13" s="1"/>
  <c r="W145" i="13" s="1"/>
  <c r="Y145" i="13" s="1"/>
  <c r="M91" i="15" s="1"/>
  <c r="U398" i="13"/>
  <c r="V398" i="13" s="1"/>
  <c r="W398" i="13" s="1"/>
  <c r="Y398" i="13" s="1"/>
  <c r="Q154" i="25" s="1"/>
  <c r="U404" i="13"/>
  <c r="V404" i="13" s="1"/>
  <c r="W404" i="13" s="1"/>
  <c r="Y404" i="13" s="1"/>
  <c r="Q176" i="25" s="1"/>
  <c r="U152" i="13"/>
  <c r="V152" i="13" s="1"/>
  <c r="W152" i="13" s="1"/>
  <c r="Y152" i="13" s="1"/>
  <c r="U11" i="13"/>
  <c r="V11" i="13" s="1"/>
  <c r="W11" i="13" s="1"/>
  <c r="Y11" i="13" s="1"/>
  <c r="U438" i="13"/>
  <c r="V438" i="13" s="1"/>
  <c r="W438" i="13" s="1"/>
  <c r="Y438" i="13" s="1"/>
  <c r="Q443" i="25" s="1"/>
  <c r="U264" i="13"/>
  <c r="V264" i="13" s="1"/>
  <c r="W264" i="13" s="1"/>
  <c r="Y264" i="13" s="1"/>
  <c r="AS264" i="13" s="1"/>
  <c r="U392" i="13"/>
  <c r="V392" i="13" s="1"/>
  <c r="W392" i="13" s="1"/>
  <c r="Y392" i="13" s="1"/>
  <c r="Q129" i="25" s="1"/>
  <c r="U27" i="13"/>
  <c r="V27" i="13" s="1"/>
  <c r="W27" i="13" s="1"/>
  <c r="Y27" i="13" s="1"/>
  <c r="U251" i="13"/>
  <c r="V251" i="13" s="1"/>
  <c r="W251" i="13" s="1"/>
  <c r="Y251" i="13" s="1"/>
  <c r="U25" i="13"/>
  <c r="V25" i="13" s="1"/>
  <c r="W25" i="13" s="1"/>
  <c r="Y25" i="13" s="1"/>
  <c r="U270" i="13"/>
  <c r="V270" i="13" s="1"/>
  <c r="W270" i="13" s="1"/>
  <c r="U243" i="13"/>
  <c r="V243" i="13" s="1"/>
  <c r="W243" i="13" s="1"/>
  <c r="Y243" i="13" s="1"/>
  <c r="U178" i="13"/>
  <c r="V178" i="13" s="1"/>
  <c r="W178" i="13" s="1"/>
  <c r="U248" i="13"/>
  <c r="V248" i="13" s="1"/>
  <c r="W248" i="13" s="1"/>
  <c r="U214" i="13"/>
  <c r="V214" i="13" s="1"/>
  <c r="W214" i="13" s="1"/>
  <c r="Y214" i="13" s="1"/>
  <c r="U357" i="13"/>
  <c r="V357" i="13" s="1"/>
  <c r="W357" i="13" s="1"/>
  <c r="U361" i="13"/>
  <c r="V361" i="13" s="1"/>
  <c r="W361" i="13" s="1"/>
  <c r="U191" i="13"/>
  <c r="V191" i="13" s="1"/>
  <c r="W191" i="13" s="1"/>
  <c r="U408" i="13"/>
  <c r="V408" i="13" s="1"/>
  <c r="W408" i="13" s="1"/>
  <c r="Y408" i="13" s="1"/>
  <c r="Q194" i="25" s="1"/>
  <c r="U9" i="13"/>
  <c r="V9" i="13" s="1"/>
  <c r="W9" i="13" s="1"/>
  <c r="U416" i="13"/>
  <c r="V416" i="13" s="1"/>
  <c r="W416" i="13" s="1"/>
  <c r="Y416" i="13" s="1"/>
  <c r="Q230" i="25" s="1"/>
  <c r="U135" i="13"/>
  <c r="V135" i="13" s="1"/>
  <c r="W135" i="13" s="1"/>
  <c r="U297" i="13"/>
  <c r="V297" i="13" s="1"/>
  <c r="W297" i="13" s="1"/>
  <c r="Y297" i="13" s="1"/>
  <c r="U45" i="13"/>
  <c r="V45" i="13" s="1"/>
  <c r="W45" i="13" s="1"/>
  <c r="Y45" i="13" s="1"/>
  <c r="U228" i="13"/>
  <c r="V228" i="13" s="1"/>
  <c r="W228" i="13" s="1"/>
  <c r="Y228" i="13" s="1"/>
  <c r="U340" i="13"/>
  <c r="V340" i="13" s="1"/>
  <c r="W340" i="13" s="1"/>
  <c r="Y340" i="13" s="1"/>
  <c r="AE340" i="13" s="1"/>
  <c r="U64" i="13"/>
  <c r="V64" i="13" s="1"/>
  <c r="W64" i="13" s="1"/>
  <c r="U224" i="13"/>
  <c r="V224" i="13" s="1"/>
  <c r="W224" i="13" s="1"/>
  <c r="U84" i="13"/>
  <c r="V84" i="13" s="1"/>
  <c r="W84" i="13" s="1"/>
  <c r="Y84" i="13" s="1"/>
  <c r="U317" i="13"/>
  <c r="V317" i="13" s="1"/>
  <c r="W317" i="13" s="1"/>
  <c r="Y317" i="13" s="1"/>
  <c r="Z317" i="13" s="1"/>
  <c r="U362" i="13"/>
  <c r="V362" i="13" s="1"/>
  <c r="W362" i="13" s="1"/>
  <c r="Y362" i="13" s="1"/>
  <c r="Q16" i="25" s="1"/>
  <c r="U180" i="13"/>
  <c r="V180" i="13" s="1"/>
  <c r="W180" i="13" s="1"/>
  <c r="U19" i="13"/>
  <c r="V19" i="13" s="1"/>
  <c r="W19" i="13" s="1"/>
  <c r="Y19" i="13" s="1"/>
  <c r="U269" i="13"/>
  <c r="V269" i="13" s="1"/>
  <c r="W269" i="13" s="1"/>
  <c r="U322" i="13"/>
  <c r="V322" i="13" s="1"/>
  <c r="W322" i="13" s="1"/>
  <c r="U331" i="13"/>
  <c r="V331" i="13" s="1"/>
  <c r="W331" i="13" s="1"/>
  <c r="U411" i="13"/>
  <c r="V411" i="13" s="1"/>
  <c r="W411" i="13" s="1"/>
  <c r="Y411" i="13" s="1"/>
  <c r="Q207" i="25" s="1"/>
  <c r="U132" i="13"/>
  <c r="V132" i="13" s="1"/>
  <c r="W132" i="13" s="1"/>
  <c r="Y132" i="13" s="1"/>
  <c r="M83" i="15" s="1"/>
  <c r="U356" i="13"/>
  <c r="V356" i="13" s="1"/>
  <c r="W356" i="13" s="1"/>
  <c r="Y356" i="13" s="1"/>
  <c r="W350" i="13"/>
  <c r="Y350" i="13" s="1"/>
  <c r="AF350" i="13" s="1"/>
  <c r="U222" i="13"/>
  <c r="V222" i="13" s="1"/>
  <c r="W222" i="13" s="1"/>
  <c r="Y222" i="13" s="1"/>
  <c r="M147" i="15" s="1"/>
  <c r="U109" i="13"/>
  <c r="V109" i="13" s="1"/>
  <c r="W109" i="13" s="1"/>
  <c r="Y109" i="13" s="1"/>
  <c r="U253" i="13"/>
  <c r="V253" i="13" s="1"/>
  <c r="W253" i="13" s="1"/>
  <c r="U231" i="13"/>
  <c r="V231" i="13" s="1"/>
  <c r="W231" i="13" s="1"/>
  <c r="U141" i="13"/>
  <c r="V141" i="13" s="1"/>
  <c r="W141" i="13" s="1"/>
  <c r="Y141" i="13" s="1"/>
  <c r="U275" i="13"/>
  <c r="V275" i="13" s="1"/>
  <c r="W275" i="13" s="1"/>
  <c r="U355" i="13"/>
  <c r="V355" i="13" s="1"/>
  <c r="W355" i="13" s="1"/>
  <c r="U326" i="13"/>
  <c r="V326" i="13" s="1"/>
  <c r="W326" i="13" s="1"/>
  <c r="Y326" i="13" s="1"/>
  <c r="U352" i="13"/>
  <c r="V352" i="13" s="1"/>
  <c r="W352" i="13" s="1"/>
  <c r="Y352" i="13" s="1"/>
  <c r="AE352" i="13" s="1"/>
  <c r="U371" i="13"/>
  <c r="V371" i="13" s="1"/>
  <c r="W371" i="13" s="1"/>
  <c r="Y371" i="13" s="1"/>
  <c r="Q49" i="25" s="1"/>
  <c r="U400" i="13"/>
  <c r="V400" i="13" s="1"/>
  <c r="W400" i="13" s="1"/>
  <c r="Y400" i="13" s="1"/>
  <c r="Q160" i="25" s="1"/>
  <c r="U128" i="13"/>
  <c r="V128" i="13" s="1"/>
  <c r="W128" i="13" s="1"/>
  <c r="Y128" i="13" s="1"/>
  <c r="U136" i="13"/>
  <c r="V136" i="13" s="1"/>
  <c r="W136" i="13" s="1"/>
  <c r="Y136" i="13" s="1"/>
  <c r="AD136" i="13" s="1"/>
  <c r="AK136" i="13" s="1"/>
  <c r="W418" i="13"/>
  <c r="Y418" i="13" s="1"/>
  <c r="Q241" i="25" s="1"/>
  <c r="U51" i="13"/>
  <c r="V51" i="13" s="1"/>
  <c r="W51" i="13" s="1"/>
  <c r="Y51" i="13" s="1"/>
  <c r="U68" i="13"/>
  <c r="V68" i="13" s="1"/>
  <c r="W68" i="13" s="1"/>
  <c r="Y68" i="13" s="1"/>
  <c r="U303" i="13"/>
  <c r="V303" i="13" s="1"/>
  <c r="W303" i="13" s="1"/>
  <c r="Y303" i="13" s="1"/>
  <c r="U345" i="13"/>
  <c r="V345" i="13" s="1"/>
  <c r="W345" i="13" s="1"/>
  <c r="U99" i="13"/>
  <c r="V99" i="13" s="1"/>
  <c r="W99" i="13" s="1"/>
  <c r="Y99" i="13" s="1"/>
  <c r="AE99" i="13" s="1"/>
  <c r="U312" i="13"/>
  <c r="V312" i="13" s="1"/>
  <c r="W312" i="13" s="1"/>
  <c r="U49" i="13"/>
  <c r="V49" i="13" s="1"/>
  <c r="W49" i="13" s="1"/>
  <c r="Y49" i="13" s="1"/>
  <c r="U330" i="13"/>
  <c r="V330" i="13" s="1"/>
  <c r="W330" i="13" s="1"/>
  <c r="Y330" i="13" s="1"/>
  <c r="U54" i="13"/>
  <c r="V54" i="13" s="1"/>
  <c r="W54" i="13" s="1"/>
  <c r="U421" i="13"/>
  <c r="V421" i="13" s="1"/>
  <c r="W421" i="13" s="1"/>
  <c r="U430" i="13"/>
  <c r="V430" i="13" s="1"/>
  <c r="W430" i="13" s="1"/>
  <c r="Y430" i="13" s="1"/>
  <c r="U337" i="13"/>
  <c r="V337" i="13" s="1"/>
  <c r="W337" i="13" s="1"/>
  <c r="Y337" i="13" s="1"/>
  <c r="AS337" i="13" s="1"/>
  <c r="W240" i="13"/>
  <c r="Y240" i="13" s="1"/>
  <c r="U298" i="13"/>
  <c r="V298" i="13" s="1"/>
  <c r="W298" i="13" s="1"/>
  <c r="Y298" i="13" s="1"/>
  <c r="U346" i="13"/>
  <c r="V346" i="13" s="1"/>
  <c r="W346" i="13" s="1"/>
  <c r="Y346" i="13" s="1"/>
  <c r="AE346" i="13" s="1"/>
  <c r="U78" i="13"/>
  <c r="V78" i="13" s="1"/>
  <c r="W78" i="13" s="1"/>
  <c r="Y78" i="13" s="1"/>
  <c r="U425" i="13"/>
  <c r="V425" i="13" s="1"/>
  <c r="W425" i="13" s="1"/>
  <c r="U436" i="13"/>
  <c r="V436" i="13" s="1"/>
  <c r="W436" i="13" s="1"/>
  <c r="Y436" i="13" s="1"/>
  <c r="Q427" i="25" s="1"/>
  <c r="U405" i="13"/>
  <c r="V405" i="13" s="1"/>
  <c r="W405" i="13" s="1"/>
  <c r="Y405" i="13" s="1"/>
  <c r="Q182" i="25" s="1"/>
  <c r="U104" i="13"/>
  <c r="V104" i="13" s="1"/>
  <c r="W104" i="13" s="1"/>
  <c r="Y104" i="13" s="1"/>
  <c r="U299" i="13"/>
  <c r="V299" i="13" s="1"/>
  <c r="W299" i="13" s="1"/>
  <c r="Y299" i="13" s="1"/>
  <c r="AE299" i="13" s="1"/>
  <c r="U40" i="13"/>
  <c r="V40" i="13" s="1"/>
  <c r="W40" i="13" s="1"/>
  <c r="Y40" i="13" s="1"/>
  <c r="U335" i="13"/>
  <c r="V335" i="13" s="1"/>
  <c r="W335" i="13" s="1"/>
  <c r="Y335" i="13" s="1"/>
  <c r="U187" i="13"/>
  <c r="V187" i="13" s="1"/>
  <c r="W187" i="13" s="1"/>
  <c r="Y187" i="13" s="1"/>
  <c r="U79" i="13"/>
  <c r="V79" i="13" s="1"/>
  <c r="W79" i="13" s="1"/>
  <c r="Y79" i="13" s="1"/>
  <c r="U280" i="13"/>
  <c r="V280" i="13" s="1"/>
  <c r="W280" i="13" s="1"/>
  <c r="Y280" i="13" s="1"/>
  <c r="U105" i="13"/>
  <c r="V105" i="13" s="1"/>
  <c r="W105" i="13" s="1"/>
  <c r="Y105" i="13" s="1"/>
  <c r="U165" i="13"/>
  <c r="V165" i="13" s="1"/>
  <c r="W165" i="13" s="1"/>
  <c r="Y165" i="13" s="1"/>
  <c r="U351" i="13"/>
  <c r="V351" i="13" s="1"/>
  <c r="W351" i="13" s="1"/>
  <c r="Y351" i="13" s="1"/>
  <c r="Z351" i="13" s="1"/>
  <c r="U412" i="13"/>
  <c r="V412" i="13" s="1"/>
  <c r="W412" i="13" s="1"/>
  <c r="Y412" i="13" s="1"/>
  <c r="Q213" i="25" s="1"/>
  <c r="U189" i="13"/>
  <c r="V189" i="13" s="1"/>
  <c r="W189" i="13" s="1"/>
  <c r="Y189" i="13" s="1"/>
  <c r="AS189" i="13" s="1"/>
  <c r="U241" i="13"/>
  <c r="V241" i="13" s="1"/>
  <c r="W241" i="13" s="1"/>
  <c r="U329" i="13"/>
  <c r="V329" i="13" s="1"/>
  <c r="W329" i="13" s="1"/>
  <c r="Y329" i="13" s="1"/>
  <c r="U106" i="13"/>
  <c r="V106" i="13" s="1"/>
  <c r="W106" i="13" s="1"/>
  <c r="Y106" i="13" s="1"/>
  <c r="U139" i="13"/>
  <c r="V139" i="13" s="1"/>
  <c r="W139" i="13" s="1"/>
  <c r="Y139" i="13" s="1"/>
  <c r="U379" i="13"/>
  <c r="V379" i="13" s="1"/>
  <c r="W379" i="13" s="1"/>
  <c r="Y379" i="13" s="1"/>
  <c r="Q75" i="25" s="1"/>
  <c r="U157" i="13"/>
  <c r="V157" i="13" s="1"/>
  <c r="W157" i="13" s="1"/>
  <c r="U247" i="13"/>
  <c r="V247" i="13" s="1"/>
  <c r="W247" i="13" s="1"/>
  <c r="Y247" i="13" s="1"/>
  <c r="M164" i="15" s="1"/>
  <c r="U324" i="13"/>
  <c r="V324" i="13" s="1"/>
  <c r="W324" i="13" s="1"/>
  <c r="Y324" i="13" s="1"/>
  <c r="U273" i="13"/>
  <c r="V273" i="13" s="1"/>
  <c r="W273" i="13" s="1"/>
  <c r="Y273" i="13" s="1"/>
  <c r="U14" i="13"/>
  <c r="V14" i="13" s="1"/>
  <c r="W14" i="13" s="1"/>
  <c r="Y14" i="13" s="1"/>
  <c r="U126" i="13"/>
  <c r="V126" i="13" s="1"/>
  <c r="W126" i="13" s="1"/>
  <c r="U323" i="13"/>
  <c r="V323" i="13" s="1"/>
  <c r="W323" i="13" s="1"/>
  <c r="Y323" i="13" s="1"/>
  <c r="U423" i="13"/>
  <c r="V423" i="13" s="1"/>
  <c r="W423" i="13" s="1"/>
  <c r="U427" i="13"/>
  <c r="V427" i="13" s="1"/>
  <c r="W427" i="13" s="1"/>
  <c r="Y427" i="13" s="1"/>
  <c r="Q339" i="25" s="1"/>
  <c r="U181" i="13"/>
  <c r="V181" i="13" s="1"/>
  <c r="W181" i="13" s="1"/>
  <c r="U389" i="13"/>
  <c r="V389" i="13" s="1"/>
  <c r="W389" i="13" s="1"/>
  <c r="U328" i="13"/>
  <c r="V328" i="13" s="1"/>
  <c r="W328" i="13" s="1"/>
  <c r="U213" i="13"/>
  <c r="V213" i="13" s="1"/>
  <c r="W213" i="13" s="1"/>
  <c r="Y213" i="13" s="1"/>
  <c r="U146" i="13"/>
  <c r="V146" i="13" s="1"/>
  <c r="W146" i="13" s="1"/>
  <c r="Y146" i="13" s="1"/>
  <c r="AE146" i="13" s="1"/>
  <c r="U81" i="13"/>
  <c r="V81" i="13" s="1"/>
  <c r="W81" i="13" s="1"/>
  <c r="Y81" i="13" s="1"/>
  <c r="U283" i="13"/>
  <c r="V283" i="13" s="1"/>
  <c r="W283" i="13" s="1"/>
  <c r="Y283" i="13" s="1"/>
  <c r="Z283" i="13" s="1"/>
  <c r="U314" i="13"/>
  <c r="V314" i="13" s="1"/>
  <c r="W314" i="13" s="1"/>
  <c r="Y314" i="13" s="1"/>
  <c r="U164" i="13"/>
  <c r="V164" i="13" s="1"/>
  <c r="W164" i="13" s="1"/>
  <c r="U59" i="13"/>
  <c r="V59" i="13" s="1"/>
  <c r="W59" i="13" s="1"/>
  <c r="Y59" i="13" s="1"/>
  <c r="U36" i="13"/>
  <c r="V36" i="13" s="1"/>
  <c r="W36" i="13" s="1"/>
  <c r="U91" i="13"/>
  <c r="V91" i="13" s="1"/>
  <c r="W91" i="13" s="1"/>
  <c r="U80" i="13"/>
  <c r="V80" i="13" s="1"/>
  <c r="W80" i="13" s="1"/>
  <c r="U232" i="13"/>
  <c r="V232" i="13" s="1"/>
  <c r="W232" i="13" s="1"/>
  <c r="Y232" i="13" s="1"/>
  <c r="U90" i="13"/>
  <c r="V90" i="13" s="1"/>
  <c r="W90" i="13" s="1"/>
  <c r="Y90" i="13" s="1"/>
  <c r="AF90" i="13" s="1"/>
  <c r="U205" i="13"/>
  <c r="V205" i="13" s="1"/>
  <c r="W205" i="13" s="1"/>
  <c r="Y205" i="13" s="1"/>
  <c r="U365" i="13"/>
  <c r="V365" i="13" s="1"/>
  <c r="W365" i="13" s="1"/>
  <c r="Y365" i="13" s="1"/>
  <c r="Q25" i="25" s="1"/>
  <c r="U407" i="13"/>
  <c r="V407" i="13" s="1"/>
  <c r="W407" i="13" s="1"/>
  <c r="Y407" i="13" s="1"/>
  <c r="Q191" i="25" s="1"/>
  <c r="U35" i="13"/>
  <c r="V35" i="13" s="1"/>
  <c r="W35" i="13" s="1"/>
  <c r="Y35" i="13" s="1"/>
  <c r="U137" i="13"/>
  <c r="V137" i="13" s="1"/>
  <c r="W137" i="13" s="1"/>
  <c r="Y137" i="13" s="1"/>
  <c r="U440" i="13"/>
  <c r="V440" i="13" s="1"/>
  <c r="W440" i="13" s="1"/>
  <c r="U216" i="13"/>
  <c r="V216" i="13" s="1"/>
  <c r="W216" i="13" s="1"/>
  <c r="Y216" i="13" s="1"/>
  <c r="U62" i="13"/>
  <c r="V62" i="13" s="1"/>
  <c r="W62" i="13" s="1"/>
  <c r="U179" i="13"/>
  <c r="V179" i="13" s="1"/>
  <c r="W179" i="13" s="1"/>
  <c r="Y179" i="13" s="1"/>
  <c r="U208" i="13"/>
  <c r="V208" i="13" s="1"/>
  <c r="W208" i="13" s="1"/>
  <c r="Y208" i="13" s="1"/>
  <c r="AF208" i="13" s="1"/>
  <c r="U220" i="13"/>
  <c r="V220" i="13" s="1"/>
  <c r="W220" i="13" s="1"/>
  <c r="Y220" i="13" s="1"/>
  <c r="U444" i="13"/>
  <c r="V444" i="13" s="1"/>
  <c r="W444" i="13" s="1"/>
  <c r="U121" i="13"/>
  <c r="V121" i="13" s="1"/>
  <c r="W121" i="13" s="1"/>
  <c r="U316" i="13"/>
  <c r="V316" i="13" s="1"/>
  <c r="W316" i="13" s="1"/>
  <c r="U169" i="13"/>
  <c r="V169" i="13" s="1"/>
  <c r="W169" i="13" s="1"/>
  <c r="Y169" i="13" s="1"/>
  <c r="W242" i="13"/>
  <c r="Y242" i="13" s="1"/>
  <c r="AA242" i="13" s="1"/>
  <c r="U375" i="13"/>
  <c r="V375" i="13" s="1"/>
  <c r="W375" i="13" s="1"/>
  <c r="Y375" i="13" s="1"/>
  <c r="Q61" i="25" s="1"/>
  <c r="W188" i="13"/>
  <c r="Y188" i="13" s="1"/>
  <c r="M125" i="15" s="1"/>
  <c r="U364" i="13"/>
  <c r="V364" i="13" s="1"/>
  <c r="W364" i="13" s="1"/>
  <c r="Y364" i="13" s="1"/>
  <c r="U119" i="13"/>
  <c r="V119" i="13" s="1"/>
  <c r="W119" i="13" s="1"/>
  <c r="Y119" i="13" s="1"/>
  <c r="U388" i="13"/>
  <c r="V388" i="13" s="1"/>
  <c r="W388" i="13" s="1"/>
  <c r="Y388" i="13" s="1"/>
  <c r="U360" i="13"/>
  <c r="V360" i="13" s="1"/>
  <c r="W360" i="13" s="1"/>
  <c r="U53" i="13"/>
  <c r="V53" i="13" s="1"/>
  <c r="W53" i="13" s="1"/>
  <c r="U284" i="13"/>
  <c r="V284" i="13" s="1"/>
  <c r="W284" i="13" s="1"/>
  <c r="Y284" i="13" s="1"/>
  <c r="U219" i="13"/>
  <c r="V219" i="13" s="1"/>
  <c r="W219" i="13" s="1"/>
  <c r="U46" i="13"/>
  <c r="V46" i="13" s="1"/>
  <c r="W46" i="13" s="1"/>
  <c r="Y46" i="13" s="1"/>
  <c r="U100" i="13"/>
  <c r="V100" i="13" s="1"/>
  <c r="W100" i="13" s="1"/>
  <c r="U429" i="13"/>
  <c r="V429" i="13" s="1"/>
  <c r="W429" i="13" s="1"/>
  <c r="Y429" i="13" s="1"/>
  <c r="Q350" i="25" s="1"/>
  <c r="U218" i="13"/>
  <c r="V218" i="13" s="1"/>
  <c r="W218" i="13" s="1"/>
  <c r="W61" i="13"/>
  <c r="Y61" i="13" s="1"/>
  <c r="AA61" i="13" s="1"/>
  <c r="U259" i="13"/>
  <c r="V259" i="13" s="1"/>
  <c r="W259" i="13" s="1"/>
  <c r="Y259" i="13" s="1"/>
  <c r="U151" i="13"/>
  <c r="V151" i="13" s="1"/>
  <c r="W151" i="13" s="1"/>
  <c r="Y151" i="13" s="1"/>
  <c r="AF151" i="13" s="1"/>
  <c r="U50" i="13"/>
  <c r="V50" i="13" s="1"/>
  <c r="W50" i="13" s="1"/>
  <c r="Y50" i="13" s="1"/>
  <c r="U215" i="13"/>
  <c r="V215" i="13" s="1"/>
  <c r="W215" i="13" s="1"/>
  <c r="Y215" i="13" s="1"/>
  <c r="AD215" i="13" s="1"/>
  <c r="AK215" i="13" s="1"/>
  <c r="U311" i="13"/>
  <c r="V311" i="13" s="1"/>
  <c r="W311" i="13" s="1"/>
  <c r="Y311" i="13" s="1"/>
  <c r="AE311" i="13" s="1"/>
  <c r="U344" i="13"/>
  <c r="V344" i="13" s="1"/>
  <c r="W344" i="13" s="1"/>
  <c r="Y344" i="13" s="1"/>
  <c r="AS344" i="13" s="1"/>
  <c r="U279" i="13"/>
  <c r="V279" i="13" s="1"/>
  <c r="W279" i="13" s="1"/>
  <c r="U66" i="13"/>
  <c r="V66" i="13" s="1"/>
  <c r="W66" i="13" s="1"/>
  <c r="U73" i="13"/>
  <c r="V73" i="13" s="1"/>
  <c r="W73" i="13" s="1"/>
  <c r="AB223" i="13"/>
  <c r="M94" i="15"/>
  <c r="O94" i="15" s="1"/>
  <c r="P366" i="13"/>
  <c r="P410" i="13"/>
  <c r="P394" i="13"/>
  <c r="Z149" i="13"/>
  <c r="AF149" i="13"/>
  <c r="AD149" i="13"/>
  <c r="AK149" i="13" s="1"/>
  <c r="AE149" i="13"/>
  <c r="AS149" i="13"/>
  <c r="AA149" i="13"/>
  <c r="R321" i="13"/>
  <c r="U321" i="13" s="1"/>
  <c r="V321" i="13" s="1"/>
  <c r="P321" i="13"/>
  <c r="W77" i="13"/>
  <c r="Y77" i="13" s="1"/>
  <c r="W332" i="13"/>
  <c r="Y332" i="13" s="1"/>
  <c r="W95" i="13"/>
  <c r="Y95" i="13" s="1"/>
  <c r="W271" i="13"/>
  <c r="Y271" i="13" s="1"/>
  <c r="W339" i="13"/>
  <c r="Y339" i="13" s="1"/>
  <c r="W291" i="13"/>
  <c r="Y291" i="13" s="1"/>
  <c r="W353" i="13"/>
  <c r="Y353" i="13" s="1"/>
  <c r="W342" i="13"/>
  <c r="Y342" i="13" s="1"/>
  <c r="W306" i="13"/>
  <c r="Y306" i="13" s="1"/>
  <c r="W133" i="13"/>
  <c r="Y133" i="13" s="1"/>
  <c r="R391" i="13"/>
  <c r="U391" i="13" s="1"/>
  <c r="V391" i="13" s="1"/>
  <c r="P391" i="13"/>
  <c r="P72" i="13"/>
  <c r="R72" i="13"/>
  <c r="R92" i="13"/>
  <c r="P92" i="13"/>
  <c r="P422" i="13"/>
  <c r="R422" i="13"/>
  <c r="P13" i="13"/>
  <c r="R13" i="13"/>
  <c r="P377" i="13"/>
  <c r="R377" i="13"/>
  <c r="R445" i="13"/>
  <c r="U445" i="13" s="1"/>
  <c r="V445" i="13" s="1"/>
  <c r="P445" i="13"/>
  <c r="R58" i="13"/>
  <c r="U58" i="13" s="1"/>
  <c r="V58" i="13" s="1"/>
  <c r="P58" i="13"/>
  <c r="R69" i="13"/>
  <c r="U69" i="13" s="1"/>
  <c r="V69" i="13" s="1"/>
  <c r="P69" i="13"/>
  <c r="P10" i="19"/>
  <c r="J8" i="13"/>
  <c r="N14" i="19"/>
  <c r="N1765" i="19" s="1"/>
  <c r="J22" i="12" s="1"/>
  <c r="P372" i="13"/>
  <c r="R372" i="13"/>
  <c r="R202" i="13"/>
  <c r="P202" i="13"/>
  <c r="R111" i="13"/>
  <c r="P111" i="13"/>
  <c r="R200" i="13"/>
  <c r="P200" i="13"/>
  <c r="P11" i="19"/>
  <c r="J439" i="13"/>
  <c r="R414" i="13"/>
  <c r="P414" i="13"/>
  <c r="P409" i="13"/>
  <c r="R409" i="13"/>
  <c r="R304" i="13"/>
  <c r="P304" i="13"/>
  <c r="M314" i="15" l="1"/>
  <c r="Q398" i="25"/>
  <c r="AE385" i="13"/>
  <c r="Q99" i="25"/>
  <c r="AE378" i="13"/>
  <c r="Q72" i="25"/>
  <c r="M248" i="15"/>
  <c r="N248" i="15" s="1"/>
  <c r="Q32" i="25"/>
  <c r="AA441" i="13"/>
  <c r="R476" i="25" s="1"/>
  <c r="Q476" i="25"/>
  <c r="AF388" i="13"/>
  <c r="Q112" i="25"/>
  <c r="AS368" i="13"/>
  <c r="Q35" i="25"/>
  <c r="M245" i="15"/>
  <c r="P245" i="15" s="1"/>
  <c r="Q22" i="25"/>
  <c r="AD359" i="13"/>
  <c r="AK359" i="13" s="1"/>
  <c r="Q5" i="25"/>
  <c r="AF402" i="13"/>
  <c r="Q168" i="25"/>
  <c r="Z430" i="13"/>
  <c r="Q360" i="25"/>
  <c r="AF384" i="13"/>
  <c r="Q96" i="25"/>
  <c r="AD386" i="13"/>
  <c r="AK386" i="13" s="1"/>
  <c r="Q105" i="25"/>
  <c r="AS435" i="13"/>
  <c r="Q417" i="25"/>
  <c r="AD199" i="13"/>
  <c r="AK199" i="13" s="1"/>
  <c r="AD96" i="13"/>
  <c r="AK96" i="13" s="1"/>
  <c r="AA131" i="13"/>
  <c r="M86" i="15"/>
  <c r="N86" i="15" s="1"/>
  <c r="AE138" i="13"/>
  <c r="AS138" i="13"/>
  <c r="Z138" i="13"/>
  <c r="AD138" i="13"/>
  <c r="AK138" i="13" s="1"/>
  <c r="AA138" i="13"/>
  <c r="AB138" i="13" s="1"/>
  <c r="N67" i="15"/>
  <c r="O67" i="15"/>
  <c r="Z98" i="13"/>
  <c r="AA435" i="13"/>
  <c r="AF359" i="13"/>
  <c r="AD159" i="13"/>
  <c r="AK159" i="13" s="1"/>
  <c r="Z159" i="13"/>
  <c r="Y191" i="13"/>
  <c r="AS191" i="13" s="1"/>
  <c r="AS340" i="13"/>
  <c r="Y114" i="13"/>
  <c r="AF114" i="13" s="1"/>
  <c r="Z117" i="13"/>
  <c r="AF117" i="13"/>
  <c r="AF98" i="13"/>
  <c r="M240" i="15"/>
  <c r="N240" i="15" s="1"/>
  <c r="AE430" i="13"/>
  <c r="AA256" i="13"/>
  <c r="AB256" i="13" s="1"/>
  <c r="Z256" i="13"/>
  <c r="AF256" i="13"/>
  <c r="AS256" i="13"/>
  <c r="M170" i="15"/>
  <c r="O170" i="15" s="1"/>
  <c r="AE256" i="13"/>
  <c r="AD343" i="13"/>
  <c r="AK343" i="13" s="1"/>
  <c r="Y125" i="13"/>
  <c r="AD125" i="13" s="1"/>
  <c r="AK125" i="13" s="1"/>
  <c r="Z156" i="13"/>
  <c r="M97" i="15"/>
  <c r="O97" i="15" s="1"/>
  <c r="Y396" i="13"/>
  <c r="AF183" i="13"/>
  <c r="Y434" i="13"/>
  <c r="AA118" i="13"/>
  <c r="AB118" i="13" s="1"/>
  <c r="Y249" i="13"/>
  <c r="AS249" i="13" s="1"/>
  <c r="Z118" i="13"/>
  <c r="AD368" i="13"/>
  <c r="AK368" i="13" s="1"/>
  <c r="AD349" i="13"/>
  <c r="AK349" i="13" s="1"/>
  <c r="AD76" i="13"/>
  <c r="AK76" i="13" s="1"/>
  <c r="M45" i="15"/>
  <c r="P45" i="15" s="1"/>
  <c r="AE402" i="13"/>
  <c r="K18" i="16"/>
  <c r="L19" i="16"/>
  <c r="L18" i="16" s="1"/>
  <c r="AE347" i="13"/>
  <c r="Y393" i="13"/>
  <c r="AD441" i="13"/>
  <c r="AK441" i="13" s="1"/>
  <c r="AS108" i="13"/>
  <c r="Z285" i="13"/>
  <c r="Y431" i="13"/>
  <c r="AA317" i="13"/>
  <c r="AB317" i="13" s="1"/>
  <c r="AE136" i="13"/>
  <c r="AF184" i="13"/>
  <c r="Y182" i="13"/>
  <c r="M121" i="15" s="1"/>
  <c r="AE341" i="13"/>
  <c r="AD211" i="13"/>
  <c r="AK211" i="13" s="1"/>
  <c r="AA55" i="13"/>
  <c r="AB55" i="13" s="1"/>
  <c r="AA18" i="13"/>
  <c r="Y193" i="13"/>
  <c r="AF193" i="13" s="1"/>
  <c r="AF162" i="13"/>
  <c r="AD222" i="13"/>
  <c r="AK222" i="13" s="1"/>
  <c r="Z255" i="13"/>
  <c r="Z265" i="13"/>
  <c r="AA247" i="13"/>
  <c r="AB247" i="13" s="1"/>
  <c r="AF55" i="13"/>
  <c r="AS162" i="13"/>
  <c r="Y361" i="13"/>
  <c r="O186" i="15"/>
  <c r="AE255" i="13"/>
  <c r="AD113" i="13"/>
  <c r="AK113" i="13" s="1"/>
  <c r="AF247" i="13"/>
  <c r="AD55" i="13"/>
  <c r="AK55" i="13" s="1"/>
  <c r="M36" i="15"/>
  <c r="N36" i="15" s="1"/>
  <c r="AD18" i="13"/>
  <c r="AK18" i="13" s="1"/>
  <c r="Y194" i="13"/>
  <c r="AE194" i="13" s="1"/>
  <c r="AD162" i="13"/>
  <c r="AK162" i="13" s="1"/>
  <c r="AA184" i="13"/>
  <c r="AB184" i="13" s="1"/>
  <c r="AD184" i="13"/>
  <c r="AK184" i="13" s="1"/>
  <c r="AA341" i="13"/>
  <c r="AA211" i="13"/>
  <c r="AB211" i="13" s="1"/>
  <c r="AE211" i="13"/>
  <c r="AA113" i="13"/>
  <c r="AE265" i="13"/>
  <c r="M175" i="15"/>
  <c r="N175" i="15" s="1"/>
  <c r="Y85" i="13"/>
  <c r="AS85" i="13" s="1"/>
  <c r="Y336" i="13"/>
  <c r="AD336" i="13" s="1"/>
  <c r="AK336" i="13" s="1"/>
  <c r="AS55" i="13"/>
  <c r="Z55" i="13"/>
  <c r="Y432" i="13"/>
  <c r="AE18" i="13"/>
  <c r="Y129" i="13"/>
  <c r="AD129" i="13" s="1"/>
  <c r="AK129" i="13" s="1"/>
  <c r="Y97" i="13"/>
  <c r="AE97" i="13" s="1"/>
  <c r="AA162" i="13"/>
  <c r="AB162" i="13" s="1"/>
  <c r="M103" i="15"/>
  <c r="O103" i="15" s="1"/>
  <c r="Z184" i="13"/>
  <c r="AE184" i="13"/>
  <c r="P186" i="15"/>
  <c r="AS341" i="13"/>
  <c r="Z211" i="13"/>
  <c r="AS211" i="13"/>
  <c r="AE113" i="13"/>
  <c r="AS265" i="13"/>
  <c r="Y16" i="13"/>
  <c r="AF16" i="13" s="1"/>
  <c r="Y172" i="13"/>
  <c r="Z172" i="13" s="1"/>
  <c r="AE162" i="13"/>
  <c r="AS184" i="13"/>
  <c r="AF211" i="13"/>
  <c r="AA265" i="13"/>
  <c r="AB265" i="13" s="1"/>
  <c r="AF265" i="13"/>
  <c r="AF299" i="13"/>
  <c r="Y157" i="13"/>
  <c r="AS157" i="13" s="1"/>
  <c r="Y219" i="13"/>
  <c r="AD219" i="13" s="1"/>
  <c r="AK219" i="13" s="1"/>
  <c r="Y224" i="13"/>
  <c r="AS224" i="13" s="1"/>
  <c r="Z299" i="13"/>
  <c r="Y231" i="13"/>
  <c r="Z231" i="13" s="1"/>
  <c r="Y331" i="13"/>
  <c r="AD331" i="13" s="1"/>
  <c r="AK331" i="13" s="1"/>
  <c r="Y9" i="13"/>
  <c r="AD9" i="13" s="1"/>
  <c r="AK9" i="13" s="1"/>
  <c r="AF351" i="13"/>
  <c r="Y73" i="13"/>
  <c r="AS73" i="13" s="1"/>
  <c r="AE351" i="13"/>
  <c r="AD351" i="13"/>
  <c r="AK351" i="13" s="1"/>
  <c r="M234" i="15"/>
  <c r="P234" i="15" s="1"/>
  <c r="Y140" i="13"/>
  <c r="M87" i="15" s="1"/>
  <c r="Y163" i="13"/>
  <c r="AD163" i="13" s="1"/>
  <c r="AK163" i="13" s="1"/>
  <c r="Y171" i="13"/>
  <c r="AS171" i="13" s="1"/>
  <c r="P31" i="15"/>
  <c r="Y312" i="13"/>
  <c r="AS312" i="13" s="1"/>
  <c r="AA136" i="13"/>
  <c r="AB136" i="13" s="1"/>
  <c r="AA183" i="13"/>
  <c r="AB183" i="13" s="1"/>
  <c r="M122" i="15"/>
  <c r="O122" i="15" s="1"/>
  <c r="AS118" i="13"/>
  <c r="AF118" i="13"/>
  <c r="AS255" i="13"/>
  <c r="AD352" i="13"/>
  <c r="AK352" i="13" s="1"/>
  <c r="AS156" i="13"/>
  <c r="AD247" i="13"/>
  <c r="AK247" i="13" s="1"/>
  <c r="Q12" i="19"/>
  <c r="H24" i="12"/>
  <c r="Y75" i="13"/>
  <c r="AF75" i="13" s="1"/>
  <c r="Y370" i="13"/>
  <c r="Y286" i="13"/>
  <c r="AA286" i="13" s="1"/>
  <c r="Y196" i="13"/>
  <c r="AF196" i="13" s="1"/>
  <c r="Y181" i="13"/>
  <c r="AE181" i="13" s="1"/>
  <c r="Y41" i="13"/>
  <c r="AD41" i="13" s="1"/>
  <c r="AK41" i="13" s="1"/>
  <c r="O31" i="15"/>
  <c r="AS136" i="13"/>
  <c r="AS183" i="13"/>
  <c r="Z183" i="13"/>
  <c r="AD118" i="13"/>
  <c r="AK118" i="13" s="1"/>
  <c r="M77" i="15"/>
  <c r="O77" i="15" s="1"/>
  <c r="AA255" i="13"/>
  <c r="AB255" i="13" s="1"/>
  <c r="AD255" i="13"/>
  <c r="AK255" i="13" s="1"/>
  <c r="AA226" i="13"/>
  <c r="AB226" i="13" s="1"/>
  <c r="AA156" i="13"/>
  <c r="AB156" i="13" s="1"/>
  <c r="AF156" i="13"/>
  <c r="AE208" i="13"/>
  <c r="AS247" i="13"/>
  <c r="Q11" i="19"/>
  <c r="G24" i="12"/>
  <c r="Y164" i="13"/>
  <c r="Z164" i="13" s="1"/>
  <c r="AF386" i="13"/>
  <c r="Y178" i="13"/>
  <c r="AE178" i="13" s="1"/>
  <c r="AD183" i="13"/>
  <c r="AK183" i="13" s="1"/>
  <c r="M169" i="15"/>
  <c r="O169" i="15" s="1"/>
  <c r="AE156" i="13"/>
  <c r="AD208" i="13"/>
  <c r="AK208" i="13" s="1"/>
  <c r="Z247" i="13"/>
  <c r="AD89" i="13"/>
  <c r="AK89" i="13" s="1"/>
  <c r="Q13" i="19"/>
  <c r="I24" i="12"/>
  <c r="Y143" i="13"/>
  <c r="AS143" i="13" s="1"/>
  <c r="M76" i="15"/>
  <c r="P76" i="15" s="1"/>
  <c r="AE98" i="13"/>
  <c r="Y168" i="13"/>
  <c r="AE168" i="13" s="1"/>
  <c r="Y309" i="13"/>
  <c r="AA309" i="13" s="1"/>
  <c r="Y269" i="13"/>
  <c r="AD269" i="13" s="1"/>
  <c r="AK269" i="13" s="1"/>
  <c r="AF367" i="13"/>
  <c r="Z359" i="13"/>
  <c r="AE359" i="13"/>
  <c r="AA148" i="13"/>
  <c r="AB148" i="13" s="1"/>
  <c r="AD402" i="13"/>
  <c r="AK402" i="13" s="1"/>
  <c r="AA227" i="13"/>
  <c r="AB227" i="13" s="1"/>
  <c r="Z441" i="13"/>
  <c r="AD117" i="13"/>
  <c r="AK117" i="13" s="1"/>
  <c r="AA96" i="13"/>
  <c r="AB96" i="13" s="1"/>
  <c r="M206" i="15"/>
  <c r="N206" i="15" s="1"/>
  <c r="AD98" i="13"/>
  <c r="AK98" i="13" s="1"/>
  <c r="Y32" i="13"/>
  <c r="M22" i="15" s="1"/>
  <c r="Y354" i="13"/>
  <c r="AD354" i="13" s="1"/>
  <c r="AK354" i="13" s="1"/>
  <c r="Y60" i="13"/>
  <c r="AS60" i="13" s="1"/>
  <c r="Y24" i="13"/>
  <c r="AE24" i="13" s="1"/>
  <c r="AD378" i="13"/>
  <c r="AK378" i="13" s="1"/>
  <c r="AS359" i="13"/>
  <c r="AA159" i="13"/>
  <c r="AB159" i="13" s="1"/>
  <c r="M100" i="15"/>
  <c r="O100" i="15" s="1"/>
  <c r="AD148" i="13"/>
  <c r="AK148" i="13" s="1"/>
  <c r="AS402" i="13"/>
  <c r="AD340" i="13"/>
  <c r="AK340" i="13" s="1"/>
  <c r="AD227" i="13"/>
  <c r="AK227" i="13" s="1"/>
  <c r="M322" i="15"/>
  <c r="N322" i="15" s="1"/>
  <c r="AS117" i="13"/>
  <c r="AD346" i="13"/>
  <c r="AK346" i="13" s="1"/>
  <c r="M137" i="15"/>
  <c r="N137" i="15" s="1"/>
  <c r="Z96" i="13"/>
  <c r="AS98" i="13"/>
  <c r="AA31" i="13"/>
  <c r="AB31" i="13" s="1"/>
  <c r="M311" i="15"/>
  <c r="N311" i="15" s="1"/>
  <c r="AA364" i="13"/>
  <c r="AS317" i="13"/>
  <c r="AA378" i="13"/>
  <c r="AF159" i="13"/>
  <c r="AA340" i="13"/>
  <c r="Y161" i="13"/>
  <c r="AE161" i="13" s="1"/>
  <c r="AE31" i="13"/>
  <c r="Y325" i="13"/>
  <c r="M218" i="15" s="1"/>
  <c r="AA98" i="13"/>
  <c r="AB98" i="13" s="1"/>
  <c r="Y248" i="13"/>
  <c r="AE248" i="13" s="1"/>
  <c r="AA132" i="13"/>
  <c r="AB132" i="13" s="1"/>
  <c r="AF108" i="13"/>
  <c r="AS378" i="13"/>
  <c r="AA359" i="13"/>
  <c r="AE159" i="13"/>
  <c r="Z148" i="13"/>
  <c r="AF227" i="13"/>
  <c r="AA117" i="13"/>
  <c r="AB117" i="13" s="1"/>
  <c r="AS208" i="13"/>
  <c r="AS347" i="13"/>
  <c r="AA344" i="13"/>
  <c r="AB344" i="13" s="1"/>
  <c r="AF236" i="13"/>
  <c r="M266" i="15"/>
  <c r="N266" i="15" s="1"/>
  <c r="Y43" i="13"/>
  <c r="AF43" i="13" s="1"/>
  <c r="Y116" i="13"/>
  <c r="AA116" i="13" s="1"/>
  <c r="Y328" i="13"/>
  <c r="AE328" i="13" s="1"/>
  <c r="AA311" i="13"/>
  <c r="AB311" i="13" s="1"/>
  <c r="Y100" i="13"/>
  <c r="AF100" i="13" s="1"/>
  <c r="AA385" i="13"/>
  <c r="AE364" i="13"/>
  <c r="AF132" i="13"/>
  <c r="AE317" i="13"/>
  <c r="Z108" i="13"/>
  <c r="M259" i="15"/>
  <c r="N259" i="15" s="1"/>
  <c r="AA207" i="13"/>
  <c r="AB207" i="13" s="1"/>
  <c r="M93" i="15"/>
  <c r="O93" i="15" s="1"/>
  <c r="M151" i="15"/>
  <c r="P151" i="15" s="1"/>
  <c r="AF441" i="13"/>
  <c r="M231" i="15"/>
  <c r="N231" i="15" s="1"/>
  <c r="AF347" i="13"/>
  <c r="Y403" i="13"/>
  <c r="Z31" i="13"/>
  <c r="AE344" i="13"/>
  <c r="AF311" i="13"/>
  <c r="Y423" i="13"/>
  <c r="Y134" i="13"/>
  <c r="M84" i="15" s="1"/>
  <c r="AF31" i="13"/>
  <c r="Y15" i="13"/>
  <c r="M12" i="15" s="1"/>
  <c r="Y154" i="13"/>
  <c r="AA154" i="13" s="1"/>
  <c r="AD344" i="13"/>
  <c r="AK344" i="13" s="1"/>
  <c r="AS385" i="13"/>
  <c r="Z364" i="13"/>
  <c r="AE132" i="13"/>
  <c r="AD317" i="13"/>
  <c r="AK317" i="13" s="1"/>
  <c r="AA123" i="13"/>
  <c r="AB123" i="13" s="1"/>
  <c r="M72" i="15"/>
  <c r="P72" i="15" s="1"/>
  <c r="AE207" i="13"/>
  <c r="AA402" i="13"/>
  <c r="AA264" i="13"/>
  <c r="AS441" i="13"/>
  <c r="AD189" i="13"/>
  <c r="AK189" i="13" s="1"/>
  <c r="Z347" i="13"/>
  <c r="AD311" i="13"/>
  <c r="AK311" i="13" s="1"/>
  <c r="Y444" i="13"/>
  <c r="Y262" i="13"/>
  <c r="AS262" i="13" s="1"/>
  <c r="Y292" i="13"/>
  <c r="AE292" i="13" s="1"/>
  <c r="Y10" i="13"/>
  <c r="AF10" i="13" s="1"/>
  <c r="AD31" i="13"/>
  <c r="AK31" i="13" s="1"/>
  <c r="Y36" i="13"/>
  <c r="AE36" i="13" s="1"/>
  <c r="Y389" i="13"/>
  <c r="Y278" i="13"/>
  <c r="M183" i="15" s="1"/>
  <c r="Y197" i="13"/>
  <c r="AA197" i="13" s="1"/>
  <c r="AF344" i="13"/>
  <c r="AD367" i="13"/>
  <c r="AK367" i="13" s="1"/>
  <c r="Y195" i="13"/>
  <c r="AE195" i="13" s="1"/>
  <c r="AD385" i="13"/>
  <c r="AK385" i="13" s="1"/>
  <c r="AF364" i="13"/>
  <c r="AD132" i="13"/>
  <c r="AK132" i="13" s="1"/>
  <c r="M212" i="15"/>
  <c r="O212" i="15" s="1"/>
  <c r="AA108" i="13"/>
  <c r="AB108" i="13" s="1"/>
  <c r="Z378" i="13"/>
  <c r="AS207" i="13"/>
  <c r="AF148" i="13"/>
  <c r="Z402" i="13"/>
  <c r="AS227" i="13"/>
  <c r="AD264" i="13"/>
  <c r="AK264" i="13" s="1"/>
  <c r="AE441" i="13"/>
  <c r="AA346" i="13"/>
  <c r="AA237" i="13"/>
  <c r="AB237" i="13" s="1"/>
  <c r="AD236" i="13"/>
  <c r="AK236" i="13" s="1"/>
  <c r="AS285" i="13"/>
  <c r="AD347" i="13"/>
  <c r="AK347" i="13" s="1"/>
  <c r="Y302" i="13"/>
  <c r="AA302" i="13" s="1"/>
  <c r="Y217" i="13"/>
  <c r="Z217" i="13" s="1"/>
  <c r="AF385" i="13"/>
  <c r="Z132" i="13"/>
  <c r="AF317" i="13"/>
  <c r="AE264" i="13"/>
  <c r="Z311" i="13"/>
  <c r="AS311" i="13"/>
  <c r="AS31" i="13"/>
  <c r="Y355" i="13"/>
  <c r="AF355" i="13" s="1"/>
  <c r="M230" i="15"/>
  <c r="O230" i="15" s="1"/>
  <c r="AE367" i="13"/>
  <c r="Z385" i="13"/>
  <c r="AD364" i="13"/>
  <c r="AK364" i="13" s="1"/>
  <c r="AS132" i="13"/>
  <c r="AE108" i="13"/>
  <c r="AF378" i="13"/>
  <c r="AS148" i="13"/>
  <c r="M283" i="15"/>
  <c r="N283" i="15" s="1"/>
  <c r="AE227" i="13"/>
  <c r="AS346" i="13"/>
  <c r="AE236" i="13"/>
  <c r="Z344" i="13"/>
  <c r="Y293" i="13"/>
  <c r="AS293" i="13" s="1"/>
  <c r="AS364" i="13"/>
  <c r="Y313" i="13"/>
  <c r="Z313" i="13" s="1"/>
  <c r="Y399" i="13"/>
  <c r="AE90" i="13"/>
  <c r="Y275" i="13"/>
  <c r="AS275" i="13" s="1"/>
  <c r="Y160" i="13"/>
  <c r="M101" i="15" s="1"/>
  <c r="Y135" i="13"/>
  <c r="AD135" i="13" s="1"/>
  <c r="AK135" i="13" s="1"/>
  <c r="M140" i="15"/>
  <c r="P140" i="15" s="1"/>
  <c r="AD145" i="13"/>
  <c r="AK145" i="13" s="1"/>
  <c r="AF433" i="13"/>
  <c r="AA388" i="13"/>
  <c r="Y305" i="13"/>
  <c r="AS305" i="13" s="1"/>
  <c r="Y121" i="13"/>
  <c r="M78" i="15" s="1"/>
  <c r="Y357" i="13"/>
  <c r="Z357" i="13" s="1"/>
  <c r="AS215" i="13"/>
  <c r="AE388" i="13"/>
  <c r="AS188" i="13"/>
  <c r="Z17" i="13"/>
  <c r="AE17" i="13"/>
  <c r="M14" i="15"/>
  <c r="O14" i="15" s="1"/>
  <c r="AS333" i="13"/>
  <c r="Z188" i="13"/>
  <c r="Y437" i="13"/>
  <c r="AF17" i="13"/>
  <c r="AA94" i="13"/>
  <c r="AB94" i="13" s="1"/>
  <c r="AD209" i="13"/>
  <c r="AK209" i="13" s="1"/>
  <c r="AD166" i="13"/>
  <c r="AK166" i="13" s="1"/>
  <c r="AE209" i="13"/>
  <c r="Z433" i="13"/>
  <c r="Y144" i="13"/>
  <c r="AS144" i="13" s="1"/>
  <c r="Y63" i="13"/>
  <c r="AS63" i="13" s="1"/>
  <c r="Z386" i="13"/>
  <c r="Y83" i="13"/>
  <c r="AE83" i="13" s="1"/>
  <c r="AS199" i="13"/>
  <c r="Y218" i="13"/>
  <c r="AD218" i="13" s="1"/>
  <c r="AK218" i="13" s="1"/>
  <c r="AF94" i="13"/>
  <c r="M316" i="15"/>
  <c r="N316" i="15" s="1"/>
  <c r="AS166" i="13"/>
  <c r="AD226" i="13"/>
  <c r="AK226" i="13" s="1"/>
  <c r="M269" i="15"/>
  <c r="O269" i="15" s="1"/>
  <c r="AE333" i="13"/>
  <c r="AD350" i="13"/>
  <c r="AK350" i="13" s="1"/>
  <c r="AS384" i="13"/>
  <c r="Y142" i="13"/>
  <c r="AD142" i="13" s="1"/>
  <c r="AK142" i="13" s="1"/>
  <c r="AS386" i="13"/>
  <c r="Y420" i="13"/>
  <c r="Y279" i="13"/>
  <c r="Z279" i="13" s="1"/>
  <c r="Y440" i="13"/>
  <c r="Y91" i="13"/>
  <c r="AS91" i="13" s="1"/>
  <c r="AE386" i="13"/>
  <c r="Y153" i="13"/>
  <c r="AS153" i="13" s="1"/>
  <c r="Y316" i="13"/>
  <c r="AE316" i="13" s="1"/>
  <c r="Y80" i="13"/>
  <c r="AF80" i="13" s="1"/>
  <c r="AE199" i="13"/>
  <c r="AA222" i="13"/>
  <c r="AB222" i="13" s="1"/>
  <c r="M60" i="15"/>
  <c r="O60" i="15" s="1"/>
  <c r="AA209" i="13"/>
  <c r="AB209" i="13" s="1"/>
  <c r="AA352" i="13"/>
  <c r="AB352" i="13" s="1"/>
  <c r="Z166" i="13"/>
  <c r="AA433" i="13"/>
  <c r="M223" i="15"/>
  <c r="N223" i="15" s="1"/>
  <c r="AA89" i="13"/>
  <c r="AB89" i="13" s="1"/>
  <c r="AE350" i="13"/>
  <c r="M265" i="15"/>
  <c r="N265" i="15" s="1"/>
  <c r="AE222" i="13"/>
  <c r="Y307" i="13"/>
  <c r="AS307" i="13" s="1"/>
  <c r="M267" i="15"/>
  <c r="P267" i="15" s="1"/>
  <c r="Y310" i="13"/>
  <c r="AA310" i="13" s="1"/>
  <c r="Y245" i="13"/>
  <c r="M162" i="15" s="1"/>
  <c r="AF222" i="13"/>
  <c r="AE94" i="13"/>
  <c r="AF435" i="13"/>
  <c r="AS352" i="13"/>
  <c r="AA166" i="13"/>
  <c r="AB166" i="13" s="1"/>
  <c r="AS226" i="13"/>
  <c r="AE433" i="13"/>
  <c r="Z388" i="13"/>
  <c r="Z208" i="13"/>
  <c r="AE247" i="13"/>
  <c r="AE26" i="13"/>
  <c r="AE384" i="13"/>
  <c r="AA384" i="13"/>
  <c r="Y126" i="13"/>
  <c r="AS126" i="13" s="1"/>
  <c r="AA17" i="13"/>
  <c r="AB17" i="13" s="1"/>
  <c r="Y261" i="13"/>
  <c r="AA261" i="13" s="1"/>
  <c r="Y173" i="13"/>
  <c r="AE173" i="13" s="1"/>
  <c r="Z222" i="13"/>
  <c r="Z94" i="13"/>
  <c r="AD435" i="13"/>
  <c r="AK435" i="13" s="1"/>
  <c r="AE166" i="13"/>
  <c r="M150" i="15"/>
  <c r="N150" i="15" s="1"/>
  <c r="AD433" i="13"/>
  <c r="AK433" i="13" s="1"/>
  <c r="AS388" i="13"/>
  <c r="AS26" i="13"/>
  <c r="Z384" i="13"/>
  <c r="Y421" i="13"/>
  <c r="AE435" i="13"/>
  <c r="AA26" i="13"/>
  <c r="AS17" i="13"/>
  <c r="Y177" i="13"/>
  <c r="Z177" i="13" s="1"/>
  <c r="AA386" i="13"/>
  <c r="Y260" i="13"/>
  <c r="AF260" i="13" s="1"/>
  <c r="Y363" i="13"/>
  <c r="AS222" i="13"/>
  <c r="AD94" i="13"/>
  <c r="AK94" i="13" s="1"/>
  <c r="Z435" i="13"/>
  <c r="AF166" i="13"/>
  <c r="Z226" i="13"/>
  <c r="AS433" i="13"/>
  <c r="AD388" i="13"/>
  <c r="AK388" i="13" s="1"/>
  <c r="AA333" i="13"/>
  <c r="AB333" i="13" s="1"/>
  <c r="AA350" i="13"/>
  <c r="AB350" i="13" s="1"/>
  <c r="AD384" i="13"/>
  <c r="AK384" i="13" s="1"/>
  <c r="AF226" i="13"/>
  <c r="Y28" i="13"/>
  <c r="AE28" i="13" s="1"/>
  <c r="Y419" i="13"/>
  <c r="Y12" i="13"/>
  <c r="M10" i="15" s="1"/>
  <c r="Y192" i="13"/>
  <c r="Z192" i="13" s="1"/>
  <c r="Y425" i="13"/>
  <c r="Y428" i="13"/>
  <c r="Y180" i="13"/>
  <c r="AF180" i="13" s="1"/>
  <c r="Y54" i="13"/>
  <c r="AD54" i="13" s="1"/>
  <c r="AK54" i="13" s="1"/>
  <c r="AS350" i="13"/>
  <c r="Y190" i="13"/>
  <c r="AD190" i="13" s="1"/>
  <c r="AK190" i="13" s="1"/>
  <c r="Y233" i="13"/>
  <c r="AS233" i="13" s="1"/>
  <c r="Z90" i="13"/>
  <c r="Y319" i="13"/>
  <c r="Y348" i="13"/>
  <c r="AA348" i="13" s="1"/>
  <c r="Y257" i="13"/>
  <c r="AE257" i="13" s="1"/>
  <c r="AE368" i="13"/>
  <c r="AE123" i="13"/>
  <c r="AF343" i="13"/>
  <c r="AE76" i="13"/>
  <c r="AD131" i="13"/>
  <c r="AK131" i="13" s="1"/>
  <c r="AD237" i="13"/>
  <c r="AK237" i="13" s="1"/>
  <c r="AS349" i="13"/>
  <c r="Y198" i="13"/>
  <c r="Z198" i="13" s="1"/>
  <c r="Y44" i="13"/>
  <c r="AD44" i="13" s="1"/>
  <c r="AK44" i="13" s="1"/>
  <c r="M57" i="15"/>
  <c r="N57" i="15" s="1"/>
  <c r="Y124" i="13"/>
  <c r="AE124" i="13" s="1"/>
  <c r="Y270" i="13"/>
  <c r="AE270" i="13" s="1"/>
  <c r="M249" i="15"/>
  <c r="O249" i="15" s="1"/>
  <c r="AD123" i="13"/>
  <c r="AK123" i="13" s="1"/>
  <c r="M229" i="15"/>
  <c r="O229" i="15" s="1"/>
  <c r="AA71" i="13"/>
  <c r="AB71" i="13" s="1"/>
  <c r="AS131" i="13"/>
  <c r="AF237" i="13"/>
  <c r="AF349" i="13"/>
  <c r="AS295" i="13"/>
  <c r="Y322" i="13"/>
  <c r="AS322" i="13" s="1"/>
  <c r="Z368" i="13"/>
  <c r="Z71" i="13"/>
  <c r="AD151" i="13"/>
  <c r="AK151" i="13" s="1"/>
  <c r="AD242" i="13"/>
  <c r="AK242" i="13" s="1"/>
  <c r="Z237" i="13"/>
  <c r="AE349" i="13"/>
  <c r="M210" i="15"/>
  <c r="O210" i="15" s="1"/>
  <c r="Y234" i="13"/>
  <c r="Z234" i="13" s="1"/>
  <c r="AA90" i="13"/>
  <c r="AB90" i="13" s="1"/>
  <c r="AE295" i="13"/>
  <c r="AA343" i="13"/>
  <c r="AB343" i="13" s="1"/>
  <c r="AD71" i="13"/>
  <c r="AK71" i="13" s="1"/>
  <c r="AS151" i="13"/>
  <c r="AE237" i="13"/>
  <c r="M232" i="15"/>
  <c r="O232" i="15" s="1"/>
  <c r="Y62" i="13"/>
  <c r="AE62" i="13" s="1"/>
  <c r="Y345" i="13"/>
  <c r="AS345" i="13" s="1"/>
  <c r="AS90" i="13"/>
  <c r="AA368" i="13"/>
  <c r="AS343" i="13"/>
  <c r="AS71" i="13"/>
  <c r="AE151" i="13"/>
  <c r="AS237" i="13"/>
  <c r="AF368" i="13"/>
  <c r="AE343" i="13"/>
  <c r="AA76" i="13"/>
  <c r="AB76" i="13" s="1"/>
  <c r="AE71" i="13"/>
  <c r="M95" i="15"/>
  <c r="O95" i="15" s="1"/>
  <c r="AA349" i="13"/>
  <c r="AB349" i="13" s="1"/>
  <c r="AD90" i="13"/>
  <c r="AK90" i="13" s="1"/>
  <c r="Y229" i="13"/>
  <c r="AD229" i="13" s="1"/>
  <c r="AK229" i="13" s="1"/>
  <c r="Y253" i="13"/>
  <c r="AD253" i="13" s="1"/>
  <c r="AK253" i="13" s="1"/>
  <c r="Y252" i="13"/>
  <c r="AE252" i="13" s="1"/>
  <c r="Y39" i="13"/>
  <c r="AS39" i="13" s="1"/>
  <c r="Y397" i="13"/>
  <c r="Y64" i="13"/>
  <c r="AF64" i="13" s="1"/>
  <c r="Z151" i="13"/>
  <c r="AA208" i="13"/>
  <c r="AB208" i="13" s="1"/>
  <c r="AA188" i="13"/>
  <c r="AB188" i="13" s="1"/>
  <c r="AA151" i="13"/>
  <c r="AB151" i="13" s="1"/>
  <c r="AF188" i="13"/>
  <c r="AD188" i="13"/>
  <c r="AK188" i="13" s="1"/>
  <c r="AF206" i="13"/>
  <c r="AA206" i="13"/>
  <c r="AB206" i="13" s="1"/>
  <c r="AS206" i="13"/>
  <c r="M136" i="15"/>
  <c r="N136" i="15" s="1"/>
  <c r="AD206" i="13"/>
  <c r="AK206" i="13" s="1"/>
  <c r="Z206" i="13"/>
  <c r="AE206" i="13"/>
  <c r="AF81" i="13"/>
  <c r="AS81" i="13"/>
  <c r="AD436" i="13"/>
  <c r="AK436" i="13" s="1"/>
  <c r="AA436" i="13"/>
  <c r="AE436" i="13"/>
  <c r="Z436" i="13"/>
  <c r="AS436" i="13"/>
  <c r="M317" i="15"/>
  <c r="O317" i="15" s="1"/>
  <c r="AF436" i="13"/>
  <c r="Z356" i="13"/>
  <c r="AA356" i="13"/>
  <c r="AB356" i="13" s="1"/>
  <c r="AF356" i="13"/>
  <c r="AS356" i="13"/>
  <c r="M238" i="15"/>
  <c r="P238" i="15" s="1"/>
  <c r="AE356" i="13"/>
  <c r="AD356" i="13"/>
  <c r="AK356" i="13" s="1"/>
  <c r="Z215" i="13"/>
  <c r="AS242" i="13"/>
  <c r="AF189" i="13"/>
  <c r="AA81" i="13"/>
  <c r="AB81" i="13" s="1"/>
  <c r="AD81" i="13"/>
  <c r="AK81" i="13" s="1"/>
  <c r="Y66" i="13"/>
  <c r="AA66" i="13" s="1"/>
  <c r="AA215" i="13"/>
  <c r="AB215" i="13" s="1"/>
  <c r="AF215" i="13"/>
  <c r="AE242" i="13"/>
  <c r="AA189" i="13"/>
  <c r="AB189" i="13" s="1"/>
  <c r="Z189" i="13"/>
  <c r="Z350" i="13"/>
  <c r="M233" i="15"/>
  <c r="O233" i="15" s="1"/>
  <c r="M52" i="15"/>
  <c r="P52" i="15" s="1"/>
  <c r="AE81" i="13"/>
  <c r="AE215" i="13"/>
  <c r="AE189" i="13"/>
  <c r="M126" i="15"/>
  <c r="P126" i="15" s="1"/>
  <c r="AS61" i="13"/>
  <c r="Z81" i="13"/>
  <c r="Z398" i="13"/>
  <c r="AA398" i="13"/>
  <c r="AF398" i="13"/>
  <c r="M279" i="15"/>
  <c r="N279" i="15" s="1"/>
  <c r="AE398" i="13"/>
  <c r="AS398" i="13"/>
  <c r="AD398" i="13"/>
  <c r="AK398" i="13" s="1"/>
  <c r="AE267" i="13"/>
  <c r="AD267" i="13"/>
  <c r="AK267" i="13" s="1"/>
  <c r="AA267" i="13"/>
  <c r="AS267" i="13"/>
  <c r="AE147" i="13"/>
  <c r="AD147" i="13"/>
  <c r="AK147" i="13" s="1"/>
  <c r="AA147" i="13"/>
  <c r="AS147" i="13"/>
  <c r="AE46" i="13"/>
  <c r="AD46" i="13"/>
  <c r="AK46" i="13" s="1"/>
  <c r="AA46" i="13"/>
  <c r="AB46" i="13" s="1"/>
  <c r="AS46" i="13"/>
  <c r="M252" i="15"/>
  <c r="N252" i="15" s="1"/>
  <c r="AE371" i="13"/>
  <c r="AD371" i="13"/>
  <c r="AK371" i="13" s="1"/>
  <c r="Z371" i="13"/>
  <c r="AS371" i="13"/>
  <c r="AF371" i="13"/>
  <c r="AA371" i="13"/>
  <c r="AF392" i="13"/>
  <c r="M273" i="15"/>
  <c r="O273" i="15" s="1"/>
  <c r="AS392" i="13"/>
  <c r="Z392" i="13"/>
  <c r="AE392" i="13"/>
  <c r="AD392" i="13"/>
  <c r="AK392" i="13" s="1"/>
  <c r="AA392" i="13"/>
  <c r="AA266" i="13"/>
  <c r="AB266" i="13" s="1"/>
  <c r="AS266" i="13"/>
  <c r="AD266" i="13"/>
  <c r="AK266" i="13" s="1"/>
  <c r="AE266" i="13"/>
  <c r="AS25" i="13"/>
  <c r="AF25" i="13"/>
  <c r="AE25" i="13"/>
  <c r="Z25" i="13"/>
  <c r="AD25" i="13"/>
  <c r="AK25" i="13" s="1"/>
  <c r="M18" i="15"/>
  <c r="O18" i="15" s="1"/>
  <c r="AA25" i="13"/>
  <c r="AB25" i="13" s="1"/>
  <c r="AE127" i="13"/>
  <c r="AD127" i="13"/>
  <c r="AK127" i="13" s="1"/>
  <c r="AA127" i="13"/>
  <c r="AS127" i="13"/>
  <c r="AS417" i="13"/>
  <c r="M298" i="15"/>
  <c r="N298" i="15" s="1"/>
  <c r="AE417" i="13"/>
  <c r="AA417" i="13"/>
  <c r="AD417" i="13"/>
  <c r="AK417" i="13" s="1"/>
  <c r="AF417" i="13"/>
  <c r="Z417" i="13"/>
  <c r="AE297" i="13"/>
  <c r="AF297" i="13"/>
  <c r="AS297" i="13"/>
  <c r="AA297" i="13"/>
  <c r="AB297" i="13" s="1"/>
  <c r="AD297" i="13"/>
  <c r="AK297" i="13" s="1"/>
  <c r="M197" i="15"/>
  <c r="N197" i="15" s="1"/>
  <c r="Z297" i="13"/>
  <c r="AS21" i="13"/>
  <c r="AE21" i="13"/>
  <c r="AF21" i="13"/>
  <c r="M15" i="15"/>
  <c r="N15" i="15" s="1"/>
  <c r="AD21" i="13"/>
  <c r="AK21" i="13" s="1"/>
  <c r="AA21" i="13"/>
  <c r="AB21" i="13" s="1"/>
  <c r="Z21" i="13"/>
  <c r="M282" i="15"/>
  <c r="N282" i="15" s="1"/>
  <c r="AS401" i="13"/>
  <c r="AE401" i="13"/>
  <c r="AA401" i="13"/>
  <c r="AF401" i="13"/>
  <c r="Z401" i="13"/>
  <c r="AD401" i="13"/>
  <c r="AK401" i="13" s="1"/>
  <c r="Z314" i="13"/>
  <c r="AE314" i="13"/>
  <c r="M209" i="15"/>
  <c r="O209" i="15" s="1"/>
  <c r="AA314" i="13"/>
  <c r="AB314" i="13" s="1"/>
  <c r="AS314" i="13"/>
  <c r="AD314" i="13"/>
  <c r="AK314" i="13" s="1"/>
  <c r="AF314" i="13"/>
  <c r="AE88" i="13"/>
  <c r="AS88" i="13"/>
  <c r="AD88" i="13"/>
  <c r="AK88" i="13" s="1"/>
  <c r="AA88" i="13"/>
  <c r="Z107" i="13"/>
  <c r="AE107" i="13"/>
  <c r="AS107" i="13"/>
  <c r="AA107" i="13"/>
  <c r="AB107" i="13" s="1"/>
  <c r="AD107" i="13"/>
  <c r="AK107" i="13" s="1"/>
  <c r="M71" i="15"/>
  <c r="P71" i="15" s="1"/>
  <c r="AF107" i="13"/>
  <c r="AS250" i="13"/>
  <c r="AF250" i="13"/>
  <c r="AE250" i="13"/>
  <c r="Z250" i="13"/>
  <c r="M166" i="15"/>
  <c r="O166" i="15" s="1"/>
  <c r="AA250" i="13"/>
  <c r="AB250" i="13" s="1"/>
  <c r="AD250" i="13"/>
  <c r="AK250" i="13" s="1"/>
  <c r="AA289" i="13"/>
  <c r="AB289" i="13" s="1"/>
  <c r="AS289" i="13"/>
  <c r="AE289" i="13"/>
  <c r="AD289" i="13"/>
  <c r="AK289" i="13" s="1"/>
  <c r="AS246" i="13"/>
  <c r="AF246" i="13"/>
  <c r="AE246" i="13"/>
  <c r="AD246" i="13"/>
  <c r="AK246" i="13" s="1"/>
  <c r="Z246" i="13"/>
  <c r="M163" i="15"/>
  <c r="N163" i="15" s="1"/>
  <c r="AA246" i="13"/>
  <c r="AB246" i="13" s="1"/>
  <c r="AS68" i="13"/>
  <c r="AF68" i="13"/>
  <c r="AE68" i="13"/>
  <c r="AA68" i="13"/>
  <c r="AB68" i="13" s="1"/>
  <c r="Z68" i="13"/>
  <c r="AD68" i="13"/>
  <c r="AK68" i="13" s="1"/>
  <c r="M43" i="15"/>
  <c r="P43" i="15" s="1"/>
  <c r="AS424" i="13"/>
  <c r="AE424" i="13"/>
  <c r="AD424" i="13"/>
  <c r="AK424" i="13" s="1"/>
  <c r="AA424" i="13"/>
  <c r="AF424" i="13"/>
  <c r="M305" i="15"/>
  <c r="P305" i="15" s="1"/>
  <c r="Z424" i="13"/>
  <c r="AE119" i="13"/>
  <c r="AA119" i="13"/>
  <c r="AD119" i="13"/>
  <c r="AK119" i="13" s="1"/>
  <c r="AS119" i="13"/>
  <c r="AE239" i="13"/>
  <c r="AA239" i="13"/>
  <c r="AS239" i="13"/>
  <c r="AD239" i="13"/>
  <c r="AK239" i="13" s="1"/>
  <c r="Z375" i="13"/>
  <c r="AF375" i="13"/>
  <c r="M256" i="15"/>
  <c r="O256" i="15" s="1"/>
  <c r="AA375" i="13"/>
  <c r="AE375" i="13"/>
  <c r="AS375" i="13"/>
  <c r="AD375" i="13"/>
  <c r="AK375" i="13" s="1"/>
  <c r="AS78" i="13"/>
  <c r="AE78" i="13"/>
  <c r="AF78" i="13"/>
  <c r="AA78" i="13"/>
  <c r="AB78" i="13" s="1"/>
  <c r="AD78" i="13"/>
  <c r="AK78" i="13" s="1"/>
  <c r="M49" i="15"/>
  <c r="N49" i="15" s="1"/>
  <c r="Z78" i="13"/>
  <c r="AS254" i="13"/>
  <c r="AD254" i="13"/>
  <c r="AK254" i="13" s="1"/>
  <c r="AA254" i="13"/>
  <c r="AE254" i="13"/>
  <c r="AD20" i="13"/>
  <c r="AK20" i="13" s="1"/>
  <c r="AE20" i="13"/>
  <c r="AA20" i="13"/>
  <c r="AB20" i="13" s="1"/>
  <c r="AS20" i="13"/>
  <c r="Z369" i="13"/>
  <c r="AD369" i="13"/>
  <c r="AK369" i="13" s="1"/>
  <c r="M250" i="15"/>
  <c r="O250" i="15" s="1"/>
  <c r="AA369" i="13"/>
  <c r="AF369" i="13"/>
  <c r="AS369" i="13"/>
  <c r="AE369" i="13"/>
  <c r="AE61" i="13"/>
  <c r="AA283" i="13"/>
  <c r="AB283" i="13" s="1"/>
  <c r="AE188" i="13"/>
  <c r="Y241" i="13"/>
  <c r="AS241" i="13" s="1"/>
  <c r="AD61" i="13"/>
  <c r="AK61" i="13" s="1"/>
  <c r="AF324" i="13"/>
  <c r="AS324" i="13"/>
  <c r="Z324" i="13"/>
  <c r="AD324" i="13"/>
  <c r="AK324" i="13" s="1"/>
  <c r="M217" i="15"/>
  <c r="P217" i="15" s="1"/>
  <c r="AA324" i="13"/>
  <c r="AB324" i="13" s="1"/>
  <c r="AE324" i="13"/>
  <c r="AF175" i="13"/>
  <c r="AE175" i="13"/>
  <c r="AA175" i="13"/>
  <c r="AB175" i="13" s="1"/>
  <c r="M114" i="15"/>
  <c r="N114" i="15" s="1"/>
  <c r="AD175" i="13"/>
  <c r="AK175" i="13" s="1"/>
  <c r="Z175" i="13"/>
  <c r="AS175" i="13"/>
  <c r="AD295" i="13"/>
  <c r="AK295" i="13" s="1"/>
  <c r="M195" i="15"/>
  <c r="N195" i="15" s="1"/>
  <c r="M105" i="15"/>
  <c r="P105" i="15" s="1"/>
  <c r="AS165" i="13"/>
  <c r="AE165" i="13"/>
  <c r="AF165" i="13"/>
  <c r="AD165" i="13"/>
  <c r="AK165" i="13" s="1"/>
  <c r="AA165" i="13"/>
  <c r="AB165" i="13" s="1"/>
  <c r="Z165" i="13"/>
  <c r="Z128" i="13"/>
  <c r="AE128" i="13"/>
  <c r="AD128" i="13"/>
  <c r="AK128" i="13" s="1"/>
  <c r="AA128" i="13"/>
  <c r="AB128" i="13" s="1"/>
  <c r="AF128" i="13"/>
  <c r="M81" i="15"/>
  <c r="O81" i="15" s="1"/>
  <c r="AS128" i="13"/>
  <c r="M107" i="15"/>
  <c r="O107" i="15" s="1"/>
  <c r="AA167" i="13"/>
  <c r="AB167" i="13" s="1"/>
  <c r="AS167" i="13"/>
  <c r="AD167" i="13"/>
  <c r="AK167" i="13" s="1"/>
  <c r="Z167" i="13"/>
  <c r="AE167" i="13"/>
  <c r="AF167" i="13"/>
  <c r="AE373" i="13"/>
  <c r="AD373" i="13"/>
  <c r="AK373" i="13" s="1"/>
  <c r="AS373" i="13"/>
  <c r="M254" i="15"/>
  <c r="P254" i="15" s="1"/>
  <c r="Z373" i="13"/>
  <c r="AF373" i="13"/>
  <c r="AA373" i="13"/>
  <c r="AS367" i="13"/>
  <c r="Z367" i="13"/>
  <c r="AA367" i="13"/>
  <c r="AE415" i="13"/>
  <c r="M296" i="15"/>
  <c r="N296" i="15" s="1"/>
  <c r="AD415" i="13"/>
  <c r="AK415" i="13" s="1"/>
  <c r="AF415" i="13"/>
  <c r="Z415" i="13"/>
  <c r="AS415" i="13"/>
  <c r="AA415" i="13"/>
  <c r="M32" i="15"/>
  <c r="P32" i="15" s="1"/>
  <c r="Z50" i="13"/>
  <c r="AF50" i="13"/>
  <c r="AE50" i="13"/>
  <c r="AD50" i="13"/>
  <c r="AK50" i="13" s="1"/>
  <c r="AA50" i="13"/>
  <c r="AB50" i="13" s="1"/>
  <c r="AS50" i="13"/>
  <c r="Z112" i="13"/>
  <c r="AA112" i="13"/>
  <c r="AB112" i="13" s="1"/>
  <c r="AS112" i="13"/>
  <c r="M74" i="15"/>
  <c r="O74" i="15" s="1"/>
  <c r="AF112" i="13"/>
  <c r="AE112" i="13"/>
  <c r="AD112" i="13"/>
  <c r="AK112" i="13" s="1"/>
  <c r="AD34" i="13"/>
  <c r="AK34" i="13" s="1"/>
  <c r="AS34" i="13"/>
  <c r="Z34" i="13"/>
  <c r="AA34" i="13"/>
  <c r="AB34" i="13" s="1"/>
  <c r="AF34" i="13"/>
  <c r="AE34" i="13"/>
  <c r="M24" i="15"/>
  <c r="O24" i="15" s="1"/>
  <c r="AF295" i="13"/>
  <c r="AE407" i="13"/>
  <c r="Z407" i="13"/>
  <c r="AS407" i="13"/>
  <c r="AA407" i="13"/>
  <c r="AD407" i="13"/>
  <c r="AK407" i="13" s="1"/>
  <c r="M288" i="15"/>
  <c r="P288" i="15" s="1"/>
  <c r="AF407" i="13"/>
  <c r="AD14" i="13"/>
  <c r="AK14" i="13" s="1"/>
  <c r="AE14" i="13"/>
  <c r="Z14" i="13"/>
  <c r="M11" i="15"/>
  <c r="O11" i="15" s="1"/>
  <c r="AS14" i="13"/>
  <c r="AF14" i="13"/>
  <c r="AA14" i="13"/>
  <c r="AB14" i="13" s="1"/>
  <c r="AF430" i="13"/>
  <c r="AA430" i="13"/>
  <c r="AS430" i="13"/>
  <c r="AD430" i="13"/>
  <c r="AK430" i="13" s="1"/>
  <c r="AS201" i="13"/>
  <c r="AD201" i="13"/>
  <c r="AK201" i="13" s="1"/>
  <c r="AE201" i="13"/>
  <c r="AA201" i="13"/>
  <c r="AB201" i="13" s="1"/>
  <c r="AS42" i="13"/>
  <c r="M27" i="15"/>
  <c r="O27" i="15" s="1"/>
  <c r="AE42" i="13"/>
  <c r="AF42" i="13"/>
  <c r="Z42" i="13"/>
  <c r="AD42" i="13"/>
  <c r="AK42" i="13" s="1"/>
  <c r="AA42" i="13"/>
  <c r="AB42" i="13" s="1"/>
  <c r="Z442" i="13"/>
  <c r="AF442" i="13"/>
  <c r="AD442" i="13"/>
  <c r="AK442" i="13" s="1"/>
  <c r="AA442" i="13"/>
  <c r="M323" i="15"/>
  <c r="O323" i="15" s="1"/>
  <c r="AS442" i="13"/>
  <c r="AE442" i="13"/>
  <c r="Z282" i="13"/>
  <c r="AA282" i="13"/>
  <c r="AB282" i="13" s="1"/>
  <c r="M187" i="15"/>
  <c r="O187" i="15" s="1"/>
  <c r="AF282" i="13"/>
  <c r="AD282" i="13"/>
  <c r="AK282" i="13" s="1"/>
  <c r="AS282" i="13"/>
  <c r="AE282" i="13"/>
  <c r="AS221" i="13"/>
  <c r="AA221" i="13"/>
  <c r="AB221" i="13" s="1"/>
  <c r="AE221" i="13"/>
  <c r="M146" i="15"/>
  <c r="P146" i="15" s="1"/>
  <c r="Z221" i="13"/>
  <c r="AF221" i="13"/>
  <c r="AD221" i="13"/>
  <c r="AK221" i="13" s="1"/>
  <c r="AD230" i="13"/>
  <c r="AK230" i="13" s="1"/>
  <c r="AA230" i="13"/>
  <c r="AB230" i="13" s="1"/>
  <c r="Z230" i="13"/>
  <c r="AE230" i="13"/>
  <c r="AS230" i="13"/>
  <c r="AF230" i="13"/>
  <c r="M153" i="15"/>
  <c r="O153" i="15" s="1"/>
  <c r="AA295" i="13"/>
  <c r="AB295" i="13" s="1"/>
  <c r="AE412" i="13"/>
  <c r="AF412" i="13"/>
  <c r="M293" i="15"/>
  <c r="N293" i="15" s="1"/>
  <c r="Z412" i="13"/>
  <c r="AD412" i="13"/>
  <c r="AK412" i="13" s="1"/>
  <c r="AA412" i="13"/>
  <c r="AS412" i="13"/>
  <c r="M198" i="15"/>
  <c r="O198" i="15" s="1"/>
  <c r="Z298" i="13"/>
  <c r="AE298" i="13"/>
  <c r="AD298" i="13"/>
  <c r="AK298" i="13" s="1"/>
  <c r="AS298" i="13"/>
  <c r="AA298" i="13"/>
  <c r="AB298" i="13" s="1"/>
  <c r="AF298" i="13"/>
  <c r="AD228" i="13"/>
  <c r="AK228" i="13" s="1"/>
  <c r="AS228" i="13"/>
  <c r="M152" i="15"/>
  <c r="N152" i="15" s="1"/>
  <c r="AE228" i="13"/>
  <c r="AF228" i="13"/>
  <c r="Z228" i="13"/>
  <c r="AA228" i="13"/>
  <c r="AB228" i="13" s="1"/>
  <c r="AA235" i="13"/>
  <c r="AS235" i="13"/>
  <c r="AD235" i="13"/>
  <c r="AK235" i="13" s="1"/>
  <c r="AE235" i="13"/>
  <c r="M196" i="15"/>
  <c r="N196" i="15" s="1"/>
  <c r="AA296" i="13"/>
  <c r="AB296" i="13" s="1"/>
  <c r="Z296" i="13"/>
  <c r="AD296" i="13"/>
  <c r="AK296" i="13" s="1"/>
  <c r="AS296" i="13"/>
  <c r="AF296" i="13"/>
  <c r="AE296" i="13"/>
  <c r="AF272" i="13"/>
  <c r="AA272" i="13"/>
  <c r="AB272" i="13" s="1"/>
  <c r="AD272" i="13"/>
  <c r="AK272" i="13" s="1"/>
  <c r="AE272" i="13"/>
  <c r="AS272" i="13"/>
  <c r="M180" i="15"/>
  <c r="N180" i="15" s="1"/>
  <c r="Z272" i="13"/>
  <c r="Y360" i="13"/>
  <c r="U372" i="13"/>
  <c r="V372" i="13" s="1"/>
  <c r="W372" i="13" s="1"/>
  <c r="Y372" i="13" s="1"/>
  <c r="Q52" i="25" s="1"/>
  <c r="U422" i="13"/>
  <c r="V422" i="13" s="1"/>
  <c r="W422" i="13" s="1"/>
  <c r="Y422" i="13" s="1"/>
  <c r="Q287" i="25" s="1"/>
  <c r="U92" i="13"/>
  <c r="V92" i="13" s="1"/>
  <c r="W92" i="13" s="1"/>
  <c r="Y92" i="13" s="1"/>
  <c r="M69" i="15"/>
  <c r="N69" i="15" s="1"/>
  <c r="AS105" i="13"/>
  <c r="AE105" i="13"/>
  <c r="AF105" i="13"/>
  <c r="Z105" i="13"/>
  <c r="AA105" i="13"/>
  <c r="AB105" i="13" s="1"/>
  <c r="AD105" i="13"/>
  <c r="AK105" i="13" s="1"/>
  <c r="M202" i="15"/>
  <c r="O202" i="15" s="1"/>
  <c r="Z303" i="13"/>
  <c r="AE303" i="13"/>
  <c r="AD303" i="13"/>
  <c r="AK303" i="13" s="1"/>
  <c r="AS303" i="13"/>
  <c r="AA303" i="13"/>
  <c r="AB303" i="13" s="1"/>
  <c r="AF303" i="13"/>
  <c r="Z400" i="13"/>
  <c r="AE400" i="13"/>
  <c r="AF400" i="13"/>
  <c r="AA400" i="13"/>
  <c r="AS400" i="13"/>
  <c r="M281" i="15"/>
  <c r="N281" i="15" s="1"/>
  <c r="AD400" i="13"/>
  <c r="AK400" i="13" s="1"/>
  <c r="AF45" i="13"/>
  <c r="AA45" i="13"/>
  <c r="AB45" i="13" s="1"/>
  <c r="AS45" i="13"/>
  <c r="AE45" i="13"/>
  <c r="Z45" i="13"/>
  <c r="AD45" i="13"/>
  <c r="AK45" i="13" s="1"/>
  <c r="M29" i="15"/>
  <c r="P29" i="15" s="1"/>
  <c r="AF86" i="13"/>
  <c r="AD86" i="13"/>
  <c r="AK86" i="13" s="1"/>
  <c r="Z86" i="13"/>
  <c r="AA86" i="13"/>
  <c r="AB86" i="13" s="1"/>
  <c r="M55" i="15"/>
  <c r="O55" i="15" s="1"/>
  <c r="AE86" i="13"/>
  <c r="AS86" i="13"/>
  <c r="AS238" i="13"/>
  <c r="M159" i="15"/>
  <c r="P159" i="15" s="1"/>
  <c r="Z238" i="13"/>
  <c r="AD238" i="13"/>
  <c r="AK238" i="13" s="1"/>
  <c r="AE238" i="13"/>
  <c r="AF238" i="13"/>
  <c r="AA238" i="13"/>
  <c r="AB238" i="13" s="1"/>
  <c r="AD29" i="13"/>
  <c r="AK29" i="13" s="1"/>
  <c r="AS29" i="13"/>
  <c r="AE29" i="13"/>
  <c r="AF23" i="13"/>
  <c r="AA23" i="13"/>
  <c r="AB23" i="13" s="1"/>
  <c r="M16" i="15"/>
  <c r="P16" i="15" s="1"/>
  <c r="AS23" i="13"/>
  <c r="AE23" i="13"/>
  <c r="Z23" i="13"/>
  <c r="AD23" i="13"/>
  <c r="AK23" i="13" s="1"/>
  <c r="AD338" i="13"/>
  <c r="AK338" i="13" s="1"/>
  <c r="AA338" i="13"/>
  <c r="AB338" i="13" s="1"/>
  <c r="M226" i="15"/>
  <c r="P226" i="15" s="1"/>
  <c r="AF338" i="13"/>
  <c r="AS338" i="13"/>
  <c r="Z338" i="13"/>
  <c r="AE338" i="13"/>
  <c r="M157" i="15"/>
  <c r="N157" i="15" s="1"/>
  <c r="AA236" i="13"/>
  <c r="AB236" i="13" s="1"/>
  <c r="AS236" i="13"/>
  <c r="U111" i="13"/>
  <c r="V111" i="13" s="1"/>
  <c r="W111" i="13" s="1"/>
  <c r="Y111" i="13" s="1"/>
  <c r="U202" i="13"/>
  <c r="V202" i="13" s="1"/>
  <c r="W202" i="13" s="1"/>
  <c r="Y202" i="13" s="1"/>
  <c r="U72" i="13"/>
  <c r="V72" i="13" s="1"/>
  <c r="W72" i="13" s="1"/>
  <c r="Y72" i="13" s="1"/>
  <c r="AD35" i="13"/>
  <c r="AK35" i="13" s="1"/>
  <c r="AS35" i="13"/>
  <c r="AE35" i="13"/>
  <c r="AA35" i="13"/>
  <c r="Z273" i="13"/>
  <c r="AS273" i="13"/>
  <c r="M181" i="15"/>
  <c r="O181" i="15" s="1"/>
  <c r="AE273" i="13"/>
  <c r="AF273" i="13"/>
  <c r="AD273" i="13"/>
  <c r="AK273" i="13" s="1"/>
  <c r="AA273" i="13"/>
  <c r="AB273" i="13" s="1"/>
  <c r="AS351" i="13"/>
  <c r="AA351" i="13"/>
  <c r="AB351" i="13" s="1"/>
  <c r="AD299" i="13"/>
  <c r="AK299" i="13" s="1"/>
  <c r="M199" i="15"/>
  <c r="N199" i="15" s="1"/>
  <c r="AS299" i="13"/>
  <c r="AA299" i="13"/>
  <c r="AB299" i="13" s="1"/>
  <c r="AD99" i="13"/>
  <c r="AK99" i="13" s="1"/>
  <c r="AA99" i="13"/>
  <c r="AS99" i="13"/>
  <c r="AE141" i="13"/>
  <c r="AD141" i="13"/>
  <c r="AK141" i="13" s="1"/>
  <c r="AA141" i="13"/>
  <c r="AB141" i="13" s="1"/>
  <c r="AS141" i="13"/>
  <c r="AE89" i="13"/>
  <c r="AS89" i="13"/>
  <c r="M56" i="15"/>
  <c r="N56" i="15" s="1"/>
  <c r="AF89" i="13"/>
  <c r="AS268" i="13"/>
  <c r="AA268" i="13"/>
  <c r="AB268" i="13" s="1"/>
  <c r="Z268" i="13"/>
  <c r="M176" i="15"/>
  <c r="O176" i="15" s="1"/>
  <c r="AE268" i="13"/>
  <c r="AF268" i="13"/>
  <c r="AD268" i="13"/>
  <c r="AK268" i="13" s="1"/>
  <c r="AS170" i="13"/>
  <c r="AA170" i="13"/>
  <c r="AB170" i="13" s="1"/>
  <c r="AF170" i="13"/>
  <c r="AD170" i="13"/>
  <c r="AK170" i="13" s="1"/>
  <c r="Z170" i="13"/>
  <c r="AE170" i="13"/>
  <c r="AA244" i="13"/>
  <c r="AB244" i="13" s="1"/>
  <c r="AD244" i="13"/>
  <c r="AK244" i="13" s="1"/>
  <c r="AS244" i="13"/>
  <c r="AE244" i="13"/>
  <c r="AE96" i="13"/>
  <c r="M62" i="15"/>
  <c r="P62" i="15" s="1"/>
  <c r="AF96" i="13"/>
  <c r="Z276" i="13"/>
  <c r="M182" i="15"/>
  <c r="N182" i="15" s="1"/>
  <c r="AE276" i="13"/>
  <c r="AS276" i="13"/>
  <c r="AD276" i="13"/>
  <c r="AK276" i="13" s="1"/>
  <c r="AF276" i="13"/>
  <c r="AA276" i="13"/>
  <c r="AB276" i="13" s="1"/>
  <c r="AA186" i="13"/>
  <c r="AB186" i="13" s="1"/>
  <c r="AD186" i="13"/>
  <c r="AK186" i="13" s="1"/>
  <c r="AS186" i="13"/>
  <c r="AE186" i="13"/>
  <c r="U13" i="13"/>
  <c r="V13" i="13" s="1"/>
  <c r="W13" i="13" s="1"/>
  <c r="Y13" i="13" s="1"/>
  <c r="U304" i="13"/>
  <c r="V304" i="13" s="1"/>
  <c r="W304" i="13" s="1"/>
  <c r="Y304" i="13" s="1"/>
  <c r="U409" i="13"/>
  <c r="V409" i="13" s="1"/>
  <c r="W409" i="13" s="1"/>
  <c r="Y409" i="13" s="1"/>
  <c r="Q200" i="25" s="1"/>
  <c r="U414" i="13"/>
  <c r="V414" i="13" s="1"/>
  <c r="W414" i="13" s="1"/>
  <c r="Y414" i="13" s="1"/>
  <c r="Q221" i="25" s="1"/>
  <c r="U200" i="13"/>
  <c r="V200" i="13" s="1"/>
  <c r="W200" i="13" s="1"/>
  <c r="Y200" i="13" s="1"/>
  <c r="U377" i="13"/>
  <c r="V377" i="13" s="1"/>
  <c r="W377" i="13" s="1"/>
  <c r="Y377" i="13" s="1"/>
  <c r="Q69" i="25" s="1"/>
  <c r="AF70" i="13"/>
  <c r="AA70" i="13"/>
  <c r="AB70" i="13" s="1"/>
  <c r="M44" i="15"/>
  <c r="P44" i="15" s="1"/>
  <c r="AD70" i="13"/>
  <c r="AK70" i="13" s="1"/>
  <c r="AE70" i="13"/>
  <c r="Z70" i="13"/>
  <c r="V413" i="13"/>
  <c r="W413" i="13" s="1"/>
  <c r="Y413" i="13" s="1"/>
  <c r="Q217" i="25" s="1"/>
  <c r="AE67" i="13"/>
  <c r="AA67" i="13"/>
  <c r="AB67" i="13" s="1"/>
  <c r="AS67" i="13"/>
  <c r="AD67" i="13"/>
  <c r="AK67" i="13" s="1"/>
  <c r="AF380" i="13"/>
  <c r="AS380" i="13"/>
  <c r="AE380" i="13"/>
  <c r="AA380" i="13"/>
  <c r="Z380" i="13"/>
  <c r="AD380" i="13"/>
  <c r="AK380" i="13" s="1"/>
  <c r="M261" i="15"/>
  <c r="N261" i="15" s="1"/>
  <c r="AA122" i="13"/>
  <c r="AE122" i="13"/>
  <c r="AS122" i="13"/>
  <c r="AD122" i="13"/>
  <c r="AK122" i="13" s="1"/>
  <c r="M37" i="15"/>
  <c r="O37" i="15" s="1"/>
  <c r="Z56" i="13"/>
  <c r="AS56" i="13"/>
  <c r="AD56" i="13"/>
  <c r="AK56" i="13" s="1"/>
  <c r="AE56" i="13"/>
  <c r="AA56" i="13"/>
  <c r="AB56" i="13" s="1"/>
  <c r="AF56" i="13"/>
  <c r="AF283" i="13"/>
  <c r="AS283" i="13"/>
  <c r="M188" i="15"/>
  <c r="P188" i="15" s="1"/>
  <c r="AE283" i="13"/>
  <c r="AD283" i="13"/>
  <c r="AK283" i="13" s="1"/>
  <c r="AF79" i="13"/>
  <c r="AA79" i="13"/>
  <c r="AB79" i="13" s="1"/>
  <c r="AS79" i="13"/>
  <c r="M50" i="15"/>
  <c r="N50" i="15" s="1"/>
  <c r="AE79" i="13"/>
  <c r="AD79" i="13"/>
  <c r="AK79" i="13" s="1"/>
  <c r="Z79" i="13"/>
  <c r="AS145" i="13"/>
  <c r="Z145" i="13"/>
  <c r="AE145" i="13"/>
  <c r="AF145" i="13"/>
  <c r="AA145" i="13"/>
  <c r="AB145" i="13" s="1"/>
  <c r="AD155" i="13"/>
  <c r="AK155" i="13" s="1"/>
  <c r="AA155" i="13"/>
  <c r="AS155" i="13"/>
  <c r="AE155" i="13"/>
  <c r="AA150" i="13"/>
  <c r="AB150" i="13" s="1"/>
  <c r="AS150" i="13"/>
  <c r="AE150" i="13"/>
  <c r="AD150" i="13"/>
  <c r="AK150" i="13" s="1"/>
  <c r="Z333" i="13"/>
  <c r="AD333" i="13"/>
  <c r="AK333" i="13" s="1"/>
  <c r="AE285" i="13"/>
  <c r="AD285" i="13"/>
  <c r="AK285" i="13" s="1"/>
  <c r="AF285" i="13"/>
  <c r="AA285" i="13"/>
  <c r="AB285" i="13" s="1"/>
  <c r="AF110" i="13"/>
  <c r="AS110" i="13"/>
  <c r="Z110" i="13"/>
  <c r="AA110" i="13"/>
  <c r="AB110" i="13" s="1"/>
  <c r="M73" i="15"/>
  <c r="N73" i="15" s="1"/>
  <c r="AE110" i="13"/>
  <c r="AD110" i="13"/>
  <c r="AK110" i="13" s="1"/>
  <c r="W394" i="13"/>
  <c r="Y394" i="13" s="1"/>
  <c r="Q135" i="25" s="1"/>
  <c r="W410" i="13"/>
  <c r="Y410" i="13" s="1"/>
  <c r="Q204" i="25" s="1"/>
  <c r="Y53" i="13"/>
  <c r="AE53" i="13" s="1"/>
  <c r="W366" i="13"/>
  <c r="Y366" i="13" s="1"/>
  <c r="Q29" i="25" s="1"/>
  <c r="N94" i="15"/>
  <c r="P94" i="15"/>
  <c r="AE365" i="13"/>
  <c r="AD284" i="13"/>
  <c r="AK284" i="13" s="1"/>
  <c r="M262" i="15"/>
  <c r="N262" i="15" s="1"/>
  <c r="AS301" i="13"/>
  <c r="M271" i="15"/>
  <c r="O271" i="15" s="1"/>
  <c r="AA330" i="13"/>
  <c r="Z27" i="13"/>
  <c r="Z57" i="13"/>
  <c r="AF84" i="13"/>
  <c r="AS274" i="13"/>
  <c r="AS11" i="13"/>
  <c r="Z404" i="13"/>
  <c r="AD411" i="13"/>
  <c r="AK411" i="13" s="1"/>
  <c r="AA308" i="13"/>
  <c r="AB199" i="13"/>
  <c r="AA374" i="13"/>
  <c r="R58" i="25" s="1"/>
  <c r="AS104" i="13"/>
  <c r="AS438" i="13"/>
  <c r="AD33" i="13"/>
  <c r="AK33" i="13" s="1"/>
  <c r="Z387" i="13"/>
  <c r="M33" i="15"/>
  <c r="O33" i="15" s="1"/>
  <c r="AA288" i="13"/>
  <c r="Z382" i="13"/>
  <c r="AB347" i="13"/>
  <c r="AB149" i="13"/>
  <c r="AD87" i="13"/>
  <c r="AK87" i="13" s="1"/>
  <c r="AD205" i="13"/>
  <c r="AK205" i="13" s="1"/>
  <c r="Z329" i="13"/>
  <c r="AS120" i="13"/>
  <c r="Z251" i="13"/>
  <c r="AE315" i="13"/>
  <c r="AE334" i="13"/>
  <c r="AD106" i="13"/>
  <c r="AK106" i="13" s="1"/>
  <c r="AD212" i="13"/>
  <c r="AK212" i="13" s="1"/>
  <c r="AS130" i="13"/>
  <c r="AE37" i="13"/>
  <c r="AD337" i="13"/>
  <c r="AK337" i="13" s="1"/>
  <c r="AD213" i="13"/>
  <c r="AK213" i="13" s="1"/>
  <c r="AE174" i="13"/>
  <c r="AS287" i="13"/>
  <c r="AS139" i="13"/>
  <c r="AB131" i="13"/>
  <c r="AB29" i="13"/>
  <c r="AS146" i="13"/>
  <c r="AE358" i="13"/>
  <c r="AE22" i="13"/>
  <c r="AS290" i="13"/>
  <c r="AS115" i="13"/>
  <c r="AS426" i="13"/>
  <c r="AE327" i="13"/>
  <c r="AD225" i="13"/>
  <c r="AK225" i="13" s="1"/>
  <c r="AD40" i="13"/>
  <c r="AK40" i="13" s="1"/>
  <c r="AS335" i="13"/>
  <c r="AD379" i="13"/>
  <c r="AK379" i="13" s="1"/>
  <c r="AB61" i="13"/>
  <c r="AS176" i="13"/>
  <c r="AA74" i="13"/>
  <c r="AF406" i="13"/>
  <c r="M96" i="15"/>
  <c r="O96" i="15" s="1"/>
  <c r="AA158" i="13"/>
  <c r="M172" i="15"/>
  <c r="O172" i="15" s="1"/>
  <c r="AE405" i="13"/>
  <c r="AE210" i="13"/>
  <c r="AD376" i="13"/>
  <c r="AK376" i="13" s="1"/>
  <c r="AA443" i="13"/>
  <c r="R494" i="25" s="1"/>
  <c r="AD101" i="13"/>
  <c r="AK101" i="13" s="1"/>
  <c r="AA203" i="13"/>
  <c r="AS65" i="13"/>
  <c r="AS318" i="13"/>
  <c r="AD49" i="13"/>
  <c r="AK49" i="13" s="1"/>
  <c r="AS82" i="13"/>
  <c r="AF337" i="13"/>
  <c r="M225" i="15"/>
  <c r="O225" i="15" s="1"/>
  <c r="Z337" i="13"/>
  <c r="AS37" i="13"/>
  <c r="AA337" i="13"/>
  <c r="AE337" i="13"/>
  <c r="Z174" i="13"/>
  <c r="M287" i="15"/>
  <c r="P287" i="15" s="1"/>
  <c r="AE406" i="13"/>
  <c r="AA152" i="13"/>
  <c r="AF152" i="13"/>
  <c r="AS406" i="13"/>
  <c r="AD334" i="13"/>
  <c r="AK334" i="13" s="1"/>
  <c r="Z334" i="13"/>
  <c r="AA315" i="13"/>
  <c r="AS334" i="13"/>
  <c r="AF315" i="13"/>
  <c r="AF334" i="13"/>
  <c r="AD315" i="13"/>
  <c r="AK315" i="13" s="1"/>
  <c r="AE251" i="13"/>
  <c r="Z315" i="13"/>
  <c r="AD288" i="13"/>
  <c r="AK288" i="13" s="1"/>
  <c r="AA334" i="13"/>
  <c r="M224" i="15"/>
  <c r="O224" i="15" s="1"/>
  <c r="AS106" i="13"/>
  <c r="AF106" i="13"/>
  <c r="M70" i="15"/>
  <c r="N70" i="15" s="1"/>
  <c r="AA426" i="13"/>
  <c r="R335" i="25" s="1"/>
  <c r="AF225" i="13"/>
  <c r="AA51" i="13"/>
  <c r="AA225" i="13"/>
  <c r="AD115" i="13"/>
  <c r="AK115" i="13" s="1"/>
  <c r="AE225" i="13"/>
  <c r="M149" i="15"/>
  <c r="O149" i="15" s="1"/>
  <c r="AE115" i="13"/>
  <c r="Z225" i="13"/>
  <c r="AE290" i="13"/>
  <c r="AS225" i="13"/>
  <c r="AA290" i="13"/>
  <c r="AD290" i="13"/>
  <c r="AK290" i="13" s="1"/>
  <c r="AA115" i="13"/>
  <c r="AE426" i="13"/>
  <c r="AA106" i="13"/>
  <c r="AE106" i="13"/>
  <c r="AF101" i="13"/>
  <c r="AE40" i="13"/>
  <c r="M65" i="15"/>
  <c r="P65" i="15" s="1"/>
  <c r="AA101" i="13"/>
  <c r="AE101" i="13"/>
  <c r="Z101" i="13"/>
  <c r="AS101" i="13"/>
  <c r="Z146" i="13"/>
  <c r="AA406" i="13"/>
  <c r="R187" i="25" s="1"/>
  <c r="Z152" i="13"/>
  <c r="Z406" i="13"/>
  <c r="AD406" i="13"/>
  <c r="AK406" i="13" s="1"/>
  <c r="AD210" i="13"/>
  <c r="AK210" i="13" s="1"/>
  <c r="AA210" i="13"/>
  <c r="AS40" i="13"/>
  <c r="AS210" i="13"/>
  <c r="AD152" i="13"/>
  <c r="AK152" i="13" s="1"/>
  <c r="AS152" i="13"/>
  <c r="AA327" i="13"/>
  <c r="Z106" i="13"/>
  <c r="AE411" i="13"/>
  <c r="AE387" i="13"/>
  <c r="AF404" i="13"/>
  <c r="M263" i="15"/>
  <c r="O263" i="15" s="1"/>
  <c r="AE158" i="13"/>
  <c r="M133" i="15"/>
  <c r="O133" i="15" s="1"/>
  <c r="AA376" i="13"/>
  <c r="R64" i="25" s="1"/>
  <c r="AE443" i="13"/>
  <c r="AE301" i="13"/>
  <c r="AD65" i="13"/>
  <c r="AK65" i="13" s="1"/>
  <c r="AS258" i="13"/>
  <c r="AE335" i="13"/>
  <c r="AD139" i="13"/>
  <c r="AK139" i="13" s="1"/>
  <c r="AE65" i="13"/>
  <c r="AA318" i="13"/>
  <c r="Z158" i="13"/>
  <c r="AE139" i="13"/>
  <c r="AD335" i="13"/>
  <c r="AK335" i="13" s="1"/>
  <c r="AA258" i="13"/>
  <c r="AF258" i="13"/>
  <c r="AE318" i="13"/>
  <c r="AS158" i="13"/>
  <c r="AD318" i="13"/>
  <c r="AK318" i="13" s="1"/>
  <c r="AE258" i="13"/>
  <c r="AF158" i="13"/>
  <c r="AF405" i="13"/>
  <c r="AE308" i="13"/>
  <c r="Z365" i="13"/>
  <c r="Z258" i="13"/>
  <c r="M99" i="15"/>
  <c r="N99" i="15" s="1"/>
  <c r="M286" i="15"/>
  <c r="P286" i="15" s="1"/>
  <c r="AA87" i="13"/>
  <c r="AD308" i="13"/>
  <c r="AK308" i="13" s="1"/>
  <c r="AD365" i="13"/>
  <c r="AK365" i="13" s="1"/>
  <c r="AD258" i="13"/>
  <c r="AK258" i="13" s="1"/>
  <c r="AA65" i="13"/>
  <c r="AA139" i="13"/>
  <c r="Z405" i="13"/>
  <c r="AE87" i="13"/>
  <c r="M205" i="15"/>
  <c r="N205" i="15" s="1"/>
  <c r="M246" i="15"/>
  <c r="P246" i="15" s="1"/>
  <c r="AD158" i="13"/>
  <c r="AK158" i="13" s="1"/>
  <c r="AA405" i="13"/>
  <c r="R182" i="25" s="1"/>
  <c r="AD405" i="13"/>
  <c r="AK405" i="13" s="1"/>
  <c r="AE274" i="13"/>
  <c r="AF146" i="13"/>
  <c r="AD146" i="13"/>
  <c r="AK146" i="13" s="1"/>
  <c r="M92" i="15"/>
  <c r="N92" i="15" s="1"/>
  <c r="AS358" i="13"/>
  <c r="AF308" i="13"/>
  <c r="AD358" i="13"/>
  <c r="AK358" i="13" s="1"/>
  <c r="AD22" i="13"/>
  <c r="AK22" i="13" s="1"/>
  <c r="AA365" i="13"/>
  <c r="R25" i="25" s="1"/>
  <c r="AS405" i="13"/>
  <c r="AA146" i="13"/>
  <c r="Z308" i="13"/>
  <c r="AA335" i="13"/>
  <c r="AS22" i="13"/>
  <c r="AS365" i="13"/>
  <c r="AS87" i="13"/>
  <c r="AS308" i="13"/>
  <c r="AF365" i="13"/>
  <c r="AS376" i="13"/>
  <c r="AA390" i="13"/>
  <c r="R118" i="25" s="1"/>
  <c r="Z381" i="13"/>
  <c r="AE82" i="13"/>
  <c r="AF390" i="13"/>
  <c r="AD57" i="13"/>
  <c r="AK57" i="13" s="1"/>
  <c r="AS379" i="13"/>
  <c r="AA57" i="13"/>
  <c r="AE33" i="13"/>
  <c r="AD330" i="13"/>
  <c r="AK330" i="13" s="1"/>
  <c r="AA284" i="13"/>
  <c r="AS84" i="13"/>
  <c r="AE49" i="13"/>
  <c r="AE330" i="13"/>
  <c r="Z284" i="13"/>
  <c r="AF374" i="13"/>
  <c r="AA104" i="13"/>
  <c r="Z203" i="13"/>
  <c r="Z376" i="13"/>
  <c r="Z443" i="13"/>
  <c r="AD327" i="13"/>
  <c r="AK327" i="13" s="1"/>
  <c r="AS203" i="13"/>
  <c r="M257" i="15"/>
  <c r="N257" i="15" s="1"/>
  <c r="AF443" i="13"/>
  <c r="AE152" i="13"/>
  <c r="AS327" i="13"/>
  <c r="AD203" i="13"/>
  <c r="AK203" i="13" s="1"/>
  <c r="AD443" i="13"/>
  <c r="AK443" i="13" s="1"/>
  <c r="AA40" i="13"/>
  <c r="AF203" i="13"/>
  <c r="Z176" i="13"/>
  <c r="AE287" i="13"/>
  <c r="AE203" i="13"/>
  <c r="AD176" i="13"/>
  <c r="AK176" i="13" s="1"/>
  <c r="AF376" i="13"/>
  <c r="M324" i="15"/>
  <c r="N324" i="15" s="1"/>
  <c r="AD301" i="13"/>
  <c r="AK301" i="13" s="1"/>
  <c r="Z33" i="13"/>
  <c r="Z84" i="13"/>
  <c r="AF379" i="13"/>
  <c r="AA274" i="13"/>
  <c r="AS374" i="13"/>
  <c r="AE438" i="13"/>
  <c r="AS33" i="13"/>
  <c r="AD84" i="13"/>
  <c r="AK84" i="13" s="1"/>
  <c r="AE379" i="13"/>
  <c r="AD274" i="13"/>
  <c r="AK274" i="13" s="1"/>
  <c r="Z374" i="13"/>
  <c r="AE104" i="13"/>
  <c r="AA438" i="13"/>
  <c r="R443" i="25" s="1"/>
  <c r="AF33" i="13"/>
  <c r="M53" i="15"/>
  <c r="N53" i="15" s="1"/>
  <c r="M260" i="15"/>
  <c r="N260" i="15" s="1"/>
  <c r="AD374" i="13"/>
  <c r="AK374" i="13" s="1"/>
  <c r="M68" i="15"/>
  <c r="N68" i="15" s="1"/>
  <c r="AD438" i="13"/>
  <c r="AK438" i="13" s="1"/>
  <c r="M23" i="15"/>
  <c r="O23" i="15" s="1"/>
  <c r="AE374" i="13"/>
  <c r="Z104" i="13"/>
  <c r="Z438" i="13"/>
  <c r="AA84" i="13"/>
  <c r="AA379" i="13"/>
  <c r="R75" i="25" s="1"/>
  <c r="M135" i="15"/>
  <c r="O135" i="15" s="1"/>
  <c r="M255" i="15"/>
  <c r="O255" i="15" s="1"/>
  <c r="AD104" i="13"/>
  <c r="AK104" i="13" s="1"/>
  <c r="AF438" i="13"/>
  <c r="AA301" i="13"/>
  <c r="AA33" i="13"/>
  <c r="AE84" i="13"/>
  <c r="Z379" i="13"/>
  <c r="AF104" i="13"/>
  <c r="M319" i="15"/>
  <c r="O319" i="15" s="1"/>
  <c r="AS27" i="13"/>
  <c r="AD329" i="13"/>
  <c r="AK329" i="13" s="1"/>
  <c r="M189" i="15"/>
  <c r="P189" i="15" s="1"/>
  <c r="M307" i="15"/>
  <c r="N307" i="15" s="1"/>
  <c r="AA381" i="13"/>
  <c r="R87" i="25" s="1"/>
  <c r="AD174" i="13"/>
  <c r="AK174" i="13" s="1"/>
  <c r="AD390" i="13"/>
  <c r="AK390" i="13" s="1"/>
  <c r="M115" i="15"/>
  <c r="N115" i="15" s="1"/>
  <c r="M221" i="15"/>
  <c r="P221" i="15" s="1"/>
  <c r="AS57" i="13"/>
  <c r="M19" i="15"/>
  <c r="P19" i="15" s="1"/>
  <c r="AS381" i="13"/>
  <c r="AA49" i="13"/>
  <c r="AS174" i="13"/>
  <c r="AF176" i="13"/>
  <c r="Z330" i="13"/>
  <c r="M38" i="15"/>
  <c r="O38" i="15" s="1"/>
  <c r="AS284" i="13"/>
  <c r="AD426" i="13"/>
  <c r="AK426" i="13" s="1"/>
  <c r="AE381" i="13"/>
  <c r="AA213" i="13"/>
  <c r="AS49" i="13"/>
  <c r="AE390" i="13"/>
  <c r="AF330" i="13"/>
  <c r="AE57" i="13"/>
  <c r="AA27" i="13"/>
  <c r="AF284" i="13"/>
  <c r="Z426" i="13"/>
  <c r="AD381" i="13"/>
  <c r="AK381" i="13" s="1"/>
  <c r="AE213" i="13"/>
  <c r="AA174" i="13"/>
  <c r="AA82" i="13"/>
  <c r="AA287" i="13"/>
  <c r="Z390" i="13"/>
  <c r="AA176" i="13"/>
  <c r="AS330" i="13"/>
  <c r="AF57" i="13"/>
  <c r="AF27" i="13"/>
  <c r="AE284" i="13"/>
  <c r="AF426" i="13"/>
  <c r="AF381" i="13"/>
  <c r="AS213" i="13"/>
  <c r="AF174" i="13"/>
  <c r="AD82" i="13"/>
  <c r="AK82" i="13" s="1"/>
  <c r="AD287" i="13"/>
  <c r="AK287" i="13" s="1"/>
  <c r="AS390" i="13"/>
  <c r="AE176" i="13"/>
  <c r="AE27" i="13"/>
  <c r="AS74" i="13"/>
  <c r="AD27" i="13"/>
  <c r="AK27" i="13" s="1"/>
  <c r="AF74" i="13"/>
  <c r="AD74" i="13"/>
  <c r="AK74" i="13" s="1"/>
  <c r="W321" i="13"/>
  <c r="Y321" i="13" s="1"/>
  <c r="M47" i="15"/>
  <c r="N47" i="15" s="1"/>
  <c r="AA77" i="13"/>
  <c r="AE77" i="13"/>
  <c r="AS77" i="13"/>
  <c r="AD77" i="13"/>
  <c r="AK77" i="13" s="1"/>
  <c r="AF411" i="13"/>
  <c r="AS387" i="13"/>
  <c r="AD404" i="13"/>
  <c r="AK404" i="13" s="1"/>
  <c r="AS205" i="13"/>
  <c r="AE329" i="13"/>
  <c r="Z411" i="13"/>
  <c r="AF387" i="13"/>
  <c r="AE404" i="13"/>
  <c r="AF205" i="13"/>
  <c r="M220" i="15"/>
  <c r="N220" i="15" s="1"/>
  <c r="AD387" i="13"/>
  <c r="AK387" i="13" s="1"/>
  <c r="AA11" i="13"/>
  <c r="AS404" i="13"/>
  <c r="Z205" i="13"/>
  <c r="AA120" i="13"/>
  <c r="M268" i="15"/>
  <c r="O268" i="15" s="1"/>
  <c r="AE11" i="13"/>
  <c r="AE205" i="13"/>
  <c r="AA329" i="13"/>
  <c r="AS411" i="13"/>
  <c r="AD120" i="13"/>
  <c r="AK120" i="13" s="1"/>
  <c r="AD11" i="13"/>
  <c r="AK11" i="13" s="1"/>
  <c r="AA404" i="13"/>
  <c r="R176" i="25" s="1"/>
  <c r="AS329" i="13"/>
  <c r="M292" i="15"/>
  <c r="O292" i="15" s="1"/>
  <c r="AA411" i="13"/>
  <c r="R207" i="25" s="1"/>
  <c r="AE120" i="13"/>
  <c r="AA387" i="13"/>
  <c r="R108" i="25" s="1"/>
  <c r="M285" i="15"/>
  <c r="N285" i="15" s="1"/>
  <c r="AA205" i="13"/>
  <c r="AF329" i="13"/>
  <c r="AE74" i="13"/>
  <c r="AS288" i="13"/>
  <c r="M25" i="15"/>
  <c r="P25" i="15" s="1"/>
  <c r="AF251" i="13"/>
  <c r="Z51" i="13"/>
  <c r="AA130" i="13"/>
  <c r="M191" i="15"/>
  <c r="N191" i="15" s="1"/>
  <c r="AD37" i="13"/>
  <c r="AK37" i="13" s="1"/>
  <c r="AD251" i="13"/>
  <c r="AK251" i="13" s="1"/>
  <c r="AS51" i="13"/>
  <c r="AA382" i="13"/>
  <c r="R90" i="25" s="1"/>
  <c r="AE376" i="13"/>
  <c r="AS443" i="13"/>
  <c r="AA22" i="13"/>
  <c r="AD130" i="13"/>
  <c r="AK130" i="13" s="1"/>
  <c r="M167" i="15"/>
  <c r="P167" i="15" s="1"/>
  <c r="AF51" i="13"/>
  <c r="AF382" i="13"/>
  <c r="AE130" i="13"/>
  <c r="AA212" i="13"/>
  <c r="Z288" i="13"/>
  <c r="AF37" i="13"/>
  <c r="AF288" i="13"/>
  <c r="Z37" i="13"/>
  <c r="AD51" i="13"/>
  <c r="AK51" i="13" s="1"/>
  <c r="AS382" i="13"/>
  <c r="AE212" i="13"/>
  <c r="AE288" i="13"/>
  <c r="AA251" i="13"/>
  <c r="AE51" i="13"/>
  <c r="AE382" i="13"/>
  <c r="AS212" i="13"/>
  <c r="AA37" i="13"/>
  <c r="AS251" i="13"/>
  <c r="AD382" i="13"/>
  <c r="AK382" i="13" s="1"/>
  <c r="AD95" i="13"/>
  <c r="AK95" i="13" s="1"/>
  <c r="AE95" i="13"/>
  <c r="AA95" i="13"/>
  <c r="Z95" i="13"/>
  <c r="M61" i="15"/>
  <c r="P61" i="15" s="1"/>
  <c r="AF95" i="13"/>
  <c r="AS95" i="13"/>
  <c r="AS353" i="13"/>
  <c r="Z353" i="13"/>
  <c r="AF353" i="13"/>
  <c r="AA353" i="13"/>
  <c r="AD353" i="13"/>
  <c r="AK353" i="13" s="1"/>
  <c r="M235" i="15"/>
  <c r="P235" i="15" s="1"/>
  <c r="AE353" i="13"/>
  <c r="AD339" i="13"/>
  <c r="AK339" i="13" s="1"/>
  <c r="Z339" i="13"/>
  <c r="M227" i="15"/>
  <c r="O227" i="15" s="1"/>
  <c r="AS339" i="13"/>
  <c r="AF339" i="13"/>
  <c r="AA339" i="13"/>
  <c r="AE339" i="13"/>
  <c r="M222" i="15"/>
  <c r="P222" i="15" s="1"/>
  <c r="AS332" i="13"/>
  <c r="AF332" i="13"/>
  <c r="AD332" i="13"/>
  <c r="AK332" i="13" s="1"/>
  <c r="Z332" i="13"/>
  <c r="AE332" i="13"/>
  <c r="AA332" i="13"/>
  <c r="Z291" i="13"/>
  <c r="AE291" i="13"/>
  <c r="AA291" i="13"/>
  <c r="M192" i="15"/>
  <c r="P192" i="15" s="1"/>
  <c r="AS291" i="13"/>
  <c r="AF291" i="13"/>
  <c r="AD291" i="13"/>
  <c r="AK291" i="13" s="1"/>
  <c r="AS306" i="13"/>
  <c r="AE306" i="13"/>
  <c r="AD306" i="13"/>
  <c r="AK306" i="13" s="1"/>
  <c r="AA306" i="13"/>
  <c r="M179" i="15"/>
  <c r="P179" i="15" s="1"/>
  <c r="AD271" i="13"/>
  <c r="AK271" i="13" s="1"/>
  <c r="AS271" i="13"/>
  <c r="AF271" i="13"/>
  <c r="Z271" i="13"/>
  <c r="AE271" i="13"/>
  <c r="AA271" i="13"/>
  <c r="AF342" i="13"/>
  <c r="AE342" i="13"/>
  <c r="AD342" i="13"/>
  <c r="AK342" i="13" s="1"/>
  <c r="M228" i="15"/>
  <c r="O228" i="15" s="1"/>
  <c r="Z342" i="13"/>
  <c r="AS342" i="13"/>
  <c r="AA342" i="13"/>
  <c r="W69" i="13"/>
  <c r="Y69" i="13" s="1"/>
  <c r="W58" i="13"/>
  <c r="Y58" i="13" s="1"/>
  <c r="W391" i="13"/>
  <c r="Y391" i="13" s="1"/>
  <c r="Q125" i="25" s="1"/>
  <c r="W445" i="13"/>
  <c r="Y445" i="13" s="1"/>
  <c r="Q544" i="25" s="1"/>
  <c r="N63" i="15"/>
  <c r="O63" i="15"/>
  <c r="P63" i="15"/>
  <c r="AE220" i="13"/>
  <c r="AD220" i="13"/>
  <c r="AK220" i="13" s="1"/>
  <c r="AF220" i="13"/>
  <c r="Z220" i="13"/>
  <c r="M145" i="15"/>
  <c r="AS220" i="13"/>
  <c r="AA220" i="13"/>
  <c r="J448" i="13"/>
  <c r="J320" i="15"/>
  <c r="K320" i="15" s="1"/>
  <c r="K439" i="13"/>
  <c r="L439" i="13" s="1"/>
  <c r="AR439" i="13"/>
  <c r="AE216" i="13"/>
  <c r="Z216" i="13"/>
  <c r="M141" i="15"/>
  <c r="AS216" i="13"/>
  <c r="AF216" i="13"/>
  <c r="AD216" i="13"/>
  <c r="AK216" i="13" s="1"/>
  <c r="AA216" i="13"/>
  <c r="M173" i="15"/>
  <c r="AS259" i="13"/>
  <c r="AF259" i="13"/>
  <c r="AE259" i="13"/>
  <c r="Z259" i="13"/>
  <c r="AD259" i="13"/>
  <c r="AK259" i="13" s="1"/>
  <c r="AA259" i="13"/>
  <c r="AS30" i="13"/>
  <c r="AD30" i="13"/>
  <c r="AK30" i="13" s="1"/>
  <c r="AE30" i="13"/>
  <c r="M20" i="15"/>
  <c r="Z30" i="13"/>
  <c r="AF30" i="13"/>
  <c r="AA30" i="13"/>
  <c r="M26" i="15"/>
  <c r="Z38" i="13"/>
  <c r="AE38" i="13"/>
  <c r="AD38" i="13"/>
  <c r="AK38" i="13" s="1"/>
  <c r="AF38" i="13"/>
  <c r="AS38" i="13"/>
  <c r="AA38" i="13"/>
  <c r="M243" i="15"/>
  <c r="AE362" i="13"/>
  <c r="AF362" i="13"/>
  <c r="Z362" i="13"/>
  <c r="AD362" i="13"/>
  <c r="AK362" i="13" s="1"/>
  <c r="AS362" i="13"/>
  <c r="AA362" i="13"/>
  <c r="R16" i="25" s="1"/>
  <c r="N83" i="15"/>
  <c r="O83" i="15"/>
  <c r="P83" i="15"/>
  <c r="O138" i="15"/>
  <c r="N138" i="15"/>
  <c r="P138" i="15"/>
  <c r="N110" i="15"/>
  <c r="P110" i="15"/>
  <c r="O110" i="15"/>
  <c r="N314" i="15"/>
  <c r="O314" i="15"/>
  <c r="P314" i="15"/>
  <c r="O91" i="15"/>
  <c r="N91" i="15"/>
  <c r="P91" i="15"/>
  <c r="N125" i="15"/>
  <c r="O125" i="15"/>
  <c r="P125" i="15"/>
  <c r="AF102" i="13"/>
  <c r="AS102" i="13"/>
  <c r="AD102" i="13"/>
  <c r="AK102" i="13" s="1"/>
  <c r="M66" i="15"/>
  <c r="Z102" i="13"/>
  <c r="AE102" i="13"/>
  <c r="AA102" i="13"/>
  <c r="M289" i="15"/>
  <c r="AF408" i="13"/>
  <c r="AS408" i="13"/>
  <c r="AD408" i="13"/>
  <c r="AK408" i="13" s="1"/>
  <c r="AE408" i="13"/>
  <c r="Z408" i="13"/>
  <c r="AA408" i="13"/>
  <c r="R194" i="25" s="1"/>
  <c r="P147" i="15"/>
  <c r="N147" i="15"/>
  <c r="O147" i="15"/>
  <c r="AS137" i="13"/>
  <c r="AE137" i="13"/>
  <c r="AD137" i="13"/>
  <c r="AK137" i="13" s="1"/>
  <c r="AA137" i="13"/>
  <c r="P21" i="15"/>
  <c r="N21" i="15"/>
  <c r="O21" i="15"/>
  <c r="M124" i="15"/>
  <c r="Z185" i="13"/>
  <c r="AE185" i="13"/>
  <c r="AF185" i="13"/>
  <c r="AS185" i="13"/>
  <c r="AD185" i="13"/>
  <c r="AK185" i="13" s="1"/>
  <c r="AA185" i="13"/>
  <c r="AS232" i="13"/>
  <c r="AE232" i="13"/>
  <c r="AD232" i="13"/>
  <c r="AK232" i="13" s="1"/>
  <c r="AA232" i="13"/>
  <c r="N245" i="15"/>
  <c r="P113" i="15"/>
  <c r="N113" i="15"/>
  <c r="O113" i="15"/>
  <c r="AD133" i="13"/>
  <c r="AK133" i="13" s="1"/>
  <c r="AE133" i="13"/>
  <c r="AS133" i="13"/>
  <c r="AA133" i="13"/>
  <c r="AS204" i="13"/>
  <c r="Z204" i="13"/>
  <c r="M134" i="15"/>
  <c r="AE204" i="13"/>
  <c r="AF204" i="13"/>
  <c r="AD204" i="13"/>
  <c r="AK204" i="13" s="1"/>
  <c r="AA204" i="13"/>
  <c r="M161" i="15"/>
  <c r="AS243" i="13"/>
  <c r="AD243" i="13"/>
  <c r="AK243" i="13" s="1"/>
  <c r="AE243" i="13"/>
  <c r="Z243" i="13"/>
  <c r="AF243" i="13"/>
  <c r="AA243" i="13"/>
  <c r="N106" i="15"/>
  <c r="P106" i="15"/>
  <c r="O106" i="15"/>
  <c r="N164" i="15"/>
  <c r="P164" i="15"/>
  <c r="O164" i="15"/>
  <c r="AS240" i="13"/>
  <c r="AD240" i="13"/>
  <c r="AK240" i="13" s="1"/>
  <c r="AE240" i="13"/>
  <c r="AA240" i="13"/>
  <c r="O123" i="15"/>
  <c r="P123" i="15"/>
  <c r="N123" i="15"/>
  <c r="M109" i="15"/>
  <c r="AS169" i="13"/>
  <c r="AF169" i="13"/>
  <c r="AE169" i="13"/>
  <c r="AD169" i="13"/>
  <c r="AK169" i="13" s="1"/>
  <c r="Z169" i="13"/>
  <c r="AA169" i="13"/>
  <c r="J8" i="15"/>
  <c r="K8" i="15" s="1"/>
  <c r="AR8" i="13"/>
  <c r="J446" i="13"/>
  <c r="AO11" i="7" s="1"/>
  <c r="K8" i="13"/>
  <c r="M59" i="15"/>
  <c r="AD93" i="13"/>
  <c r="AK93" i="13" s="1"/>
  <c r="AF93" i="13"/>
  <c r="AS93" i="13"/>
  <c r="AE93" i="13"/>
  <c r="Z93" i="13"/>
  <c r="AA93" i="13"/>
  <c r="Z300" i="13"/>
  <c r="M200" i="15"/>
  <c r="AF300" i="13"/>
  <c r="AD300" i="13"/>
  <c r="AK300" i="13" s="1"/>
  <c r="AE300" i="13"/>
  <c r="AS300" i="13"/>
  <c r="AA300" i="13"/>
  <c r="AS280" i="13"/>
  <c r="AF280" i="13"/>
  <c r="AD280" i="13"/>
  <c r="AK280" i="13" s="1"/>
  <c r="Z280" i="13"/>
  <c r="M185" i="15"/>
  <c r="AE280" i="13"/>
  <c r="AA280" i="13"/>
  <c r="Q10" i="19"/>
  <c r="P14" i="19"/>
  <c r="J24" i="12" s="1"/>
  <c r="M308" i="15"/>
  <c r="AS427" i="13"/>
  <c r="AD427" i="13"/>
  <c r="AK427" i="13" s="1"/>
  <c r="AF427" i="13"/>
  <c r="AE427" i="13"/>
  <c r="Z427" i="13"/>
  <c r="AA427" i="13"/>
  <c r="R339" i="25" s="1"/>
  <c r="AS277" i="13"/>
  <c r="AE277" i="13"/>
  <c r="AD277" i="13"/>
  <c r="AK277" i="13" s="1"/>
  <c r="AA277" i="13"/>
  <c r="M310" i="15"/>
  <c r="Z429" i="13"/>
  <c r="AF429" i="13"/>
  <c r="AS429" i="13"/>
  <c r="AD429" i="13"/>
  <c r="AK429" i="13" s="1"/>
  <c r="AE429" i="13"/>
  <c r="AA429" i="13"/>
  <c r="R350" i="25" s="1"/>
  <c r="P190" i="15"/>
  <c r="N190" i="15"/>
  <c r="O190" i="15"/>
  <c r="Z59" i="13"/>
  <c r="M40" i="15"/>
  <c r="AS59" i="13"/>
  <c r="AF59" i="13"/>
  <c r="AE59" i="13"/>
  <c r="AD59" i="13"/>
  <c r="AK59" i="13" s="1"/>
  <c r="AA59" i="13"/>
  <c r="N158" i="15"/>
  <c r="O158" i="15"/>
  <c r="P158" i="15"/>
  <c r="Z418" i="13"/>
  <c r="M299" i="15"/>
  <c r="AE418" i="13"/>
  <c r="AS418" i="13"/>
  <c r="AD418" i="13"/>
  <c r="AK418" i="13" s="1"/>
  <c r="AF418" i="13"/>
  <c r="AA418" i="13"/>
  <c r="R241" i="25" s="1"/>
  <c r="AS187" i="13"/>
  <c r="AD187" i="13"/>
  <c r="AK187" i="13" s="1"/>
  <c r="AE187" i="13"/>
  <c r="AA187" i="13"/>
  <c r="AS326" i="13"/>
  <c r="AE326" i="13"/>
  <c r="AD326" i="13"/>
  <c r="AK326" i="13" s="1"/>
  <c r="AA326" i="13"/>
  <c r="AS47" i="13"/>
  <c r="AD47" i="13"/>
  <c r="AK47" i="13" s="1"/>
  <c r="AF47" i="13"/>
  <c r="Z47" i="13"/>
  <c r="AE47" i="13"/>
  <c r="M30" i="15"/>
  <c r="AA47" i="13"/>
  <c r="AD263" i="13"/>
  <c r="AK263" i="13" s="1"/>
  <c r="AE263" i="13"/>
  <c r="AS263" i="13"/>
  <c r="AA263" i="13"/>
  <c r="AS320" i="13"/>
  <c r="AD320" i="13"/>
  <c r="AK320" i="13" s="1"/>
  <c r="AE320" i="13"/>
  <c r="AA320" i="13"/>
  <c r="M297" i="15"/>
  <c r="AS416" i="13"/>
  <c r="AF416" i="13"/>
  <c r="AE416" i="13"/>
  <c r="Z416" i="13"/>
  <c r="AD416" i="13"/>
  <c r="AK416" i="13" s="1"/>
  <c r="AA416" i="13"/>
  <c r="R230" i="25" s="1"/>
  <c r="M194" i="15"/>
  <c r="Z294" i="13"/>
  <c r="AE294" i="13"/>
  <c r="AF294" i="13"/>
  <c r="AD294" i="13"/>
  <c r="AK294" i="13" s="1"/>
  <c r="AS294" i="13"/>
  <c r="AA294" i="13"/>
  <c r="M276" i="15"/>
  <c r="AF395" i="13"/>
  <c r="Z395" i="13"/>
  <c r="AD395" i="13"/>
  <c r="AK395" i="13" s="1"/>
  <c r="AS395" i="13"/>
  <c r="AE395" i="13"/>
  <c r="AA395" i="13"/>
  <c r="R138" i="25" s="1"/>
  <c r="AD214" i="13"/>
  <c r="AK214" i="13" s="1"/>
  <c r="AE214" i="13"/>
  <c r="AS214" i="13"/>
  <c r="Z214" i="13"/>
  <c r="M139" i="15"/>
  <c r="AF214" i="13"/>
  <c r="AA214" i="13"/>
  <c r="AS179" i="13"/>
  <c r="AE179" i="13"/>
  <c r="AF179" i="13"/>
  <c r="Z179" i="13"/>
  <c r="M118" i="15"/>
  <c r="AD179" i="13"/>
  <c r="AK179" i="13" s="1"/>
  <c r="AA179" i="13"/>
  <c r="AF323" i="13"/>
  <c r="AD323" i="13"/>
  <c r="AK323" i="13" s="1"/>
  <c r="AS323" i="13"/>
  <c r="AE323" i="13"/>
  <c r="Z323" i="13"/>
  <c r="M216" i="15"/>
  <c r="AA323" i="13"/>
  <c r="AE109" i="13"/>
  <c r="AS109" i="13"/>
  <c r="AD109" i="13"/>
  <c r="AK109" i="13" s="1"/>
  <c r="AA109" i="13"/>
  <c r="AS52" i="13"/>
  <c r="M34" i="15"/>
  <c r="AF52" i="13"/>
  <c r="Z52" i="13"/>
  <c r="AE52" i="13"/>
  <c r="AD52" i="13"/>
  <c r="AK52" i="13" s="1"/>
  <c r="AA52" i="13"/>
  <c r="AD383" i="13"/>
  <c r="AK383" i="13" s="1"/>
  <c r="AS383" i="13"/>
  <c r="AF383" i="13"/>
  <c r="AE383" i="13"/>
  <c r="Z383" i="13"/>
  <c r="M264" i="15"/>
  <c r="AA383" i="13"/>
  <c r="R93" i="25" s="1"/>
  <c r="AE19" i="13"/>
  <c r="AD19" i="13"/>
  <c r="AK19" i="13" s="1"/>
  <c r="AS19" i="13"/>
  <c r="AA19" i="13"/>
  <c r="O248" i="15" l="1"/>
  <c r="P248" i="15"/>
  <c r="AB441" i="13"/>
  <c r="O245" i="15"/>
  <c r="O86" i="15"/>
  <c r="P86" i="15"/>
  <c r="AB400" i="13"/>
  <c r="R160" i="25"/>
  <c r="AB424" i="13"/>
  <c r="R325" i="25"/>
  <c r="AF420" i="13"/>
  <c r="Q265" i="25"/>
  <c r="AB402" i="13"/>
  <c r="R168" i="25"/>
  <c r="Z432" i="13"/>
  <c r="Q389" i="25"/>
  <c r="AB380" i="13"/>
  <c r="R80" i="25"/>
  <c r="AB375" i="13"/>
  <c r="R61" i="25"/>
  <c r="AB371" i="13"/>
  <c r="R49" i="25"/>
  <c r="AB398" i="13"/>
  <c r="R154" i="25"/>
  <c r="AB386" i="13"/>
  <c r="R105" i="25"/>
  <c r="AF403" i="13"/>
  <c r="Q172" i="25"/>
  <c r="AB364" i="13"/>
  <c r="R22" i="25"/>
  <c r="AS396" i="13"/>
  <c r="Q147" i="25"/>
  <c r="AB401" i="13"/>
  <c r="R164" i="25"/>
  <c r="AB392" i="13"/>
  <c r="R129" i="25"/>
  <c r="AS419" i="13"/>
  <c r="Q255" i="25"/>
  <c r="AB433" i="13"/>
  <c r="R398" i="25"/>
  <c r="AD444" i="13"/>
  <c r="AK444" i="13" s="1"/>
  <c r="Q515" i="25"/>
  <c r="AB407" i="13"/>
  <c r="R191" i="25"/>
  <c r="AB369" i="13"/>
  <c r="R38" i="25"/>
  <c r="AB436" i="13"/>
  <c r="R427" i="25"/>
  <c r="AB388" i="13"/>
  <c r="R112" i="25"/>
  <c r="AA399" i="13"/>
  <c r="R157" i="25" s="1"/>
  <c r="Q157" i="25"/>
  <c r="AF393" i="13"/>
  <c r="Q132" i="25"/>
  <c r="AB367" i="13"/>
  <c r="R32" i="25"/>
  <c r="AB384" i="13"/>
  <c r="R96" i="25"/>
  <c r="AE389" i="13"/>
  <c r="Q115" i="25"/>
  <c r="AB359" i="13"/>
  <c r="R5" i="25"/>
  <c r="AD360" i="13"/>
  <c r="AK360" i="13" s="1"/>
  <c r="Q8" i="25"/>
  <c r="AB415" i="13"/>
  <c r="R227" i="25"/>
  <c r="AS397" i="13"/>
  <c r="Q150" i="25"/>
  <c r="AB368" i="13"/>
  <c r="R35" i="25"/>
  <c r="AD423" i="13"/>
  <c r="AK423" i="13" s="1"/>
  <c r="Q305" i="25"/>
  <c r="AB385" i="13"/>
  <c r="R99" i="25"/>
  <c r="AS370" i="13"/>
  <c r="Q41" i="25"/>
  <c r="AB442" i="13"/>
  <c r="R482" i="25"/>
  <c r="M309" i="15"/>
  <c r="O309" i="15" s="1"/>
  <c r="Q344" i="25"/>
  <c r="M302" i="15"/>
  <c r="O302" i="15" s="1"/>
  <c r="Q274" i="25"/>
  <c r="AE440" i="13"/>
  <c r="Q464" i="25"/>
  <c r="Z361" i="13"/>
  <c r="Q11" i="25"/>
  <c r="AB412" i="13"/>
  <c r="R213" i="25"/>
  <c r="AB430" i="13"/>
  <c r="R360" i="25"/>
  <c r="AB373" i="13"/>
  <c r="R55" i="25"/>
  <c r="AB417" i="13"/>
  <c r="R233" i="25"/>
  <c r="AA425" i="13"/>
  <c r="R330" i="25" s="1"/>
  <c r="Q330" i="25"/>
  <c r="AA363" i="13"/>
  <c r="R19" i="25" s="1"/>
  <c r="Q19" i="25"/>
  <c r="AS437" i="13"/>
  <c r="Q433" i="25"/>
  <c r="AB378" i="13"/>
  <c r="R72" i="25"/>
  <c r="AA431" i="13"/>
  <c r="R379" i="25" s="1"/>
  <c r="Q379" i="25"/>
  <c r="AD434" i="13"/>
  <c r="AK434" i="13" s="1"/>
  <c r="Q411" i="25"/>
  <c r="AB435" i="13"/>
  <c r="R417" i="25"/>
  <c r="O311" i="15"/>
  <c r="Z142" i="13"/>
  <c r="O72" i="15"/>
  <c r="O240" i="15"/>
  <c r="P240" i="15"/>
  <c r="AA24" i="13"/>
  <c r="AB24" i="13" s="1"/>
  <c r="AS444" i="13"/>
  <c r="N14" i="15"/>
  <c r="AD43" i="13"/>
  <c r="AK43" i="13" s="1"/>
  <c r="AE177" i="13"/>
  <c r="AD197" i="13"/>
  <c r="AK197" i="13" s="1"/>
  <c r="M79" i="15"/>
  <c r="P79" i="15" s="1"/>
  <c r="AF191" i="13"/>
  <c r="AE191" i="13"/>
  <c r="AD191" i="13"/>
  <c r="AK191" i="13" s="1"/>
  <c r="M127" i="15"/>
  <c r="N127" i="15" s="1"/>
  <c r="AA191" i="13"/>
  <c r="AB191" i="13" s="1"/>
  <c r="Z191" i="13"/>
  <c r="AE114" i="13"/>
  <c r="M277" i="15"/>
  <c r="O277" i="15" s="1"/>
  <c r="AA114" i="13"/>
  <c r="AB114" i="13" s="1"/>
  <c r="AF431" i="13"/>
  <c r="AF434" i="13"/>
  <c r="N170" i="15"/>
  <c r="N122" i="15"/>
  <c r="Z135" i="13"/>
  <c r="M75" i="15"/>
  <c r="P75" i="15" s="1"/>
  <c r="AE396" i="13"/>
  <c r="AD396" i="13"/>
  <c r="AK396" i="13" s="1"/>
  <c r="AD114" i="13"/>
  <c r="AK114" i="13" s="1"/>
  <c r="AA396" i="13"/>
  <c r="Z114" i="13"/>
  <c r="Z396" i="13"/>
  <c r="AS114" i="13"/>
  <c r="AF396" i="13"/>
  <c r="AE249" i="13"/>
  <c r="M165" i="15"/>
  <c r="O165" i="15" s="1"/>
  <c r="AF249" i="13"/>
  <c r="AF135" i="13"/>
  <c r="AS434" i="13"/>
  <c r="AA135" i="13"/>
  <c r="AB135" i="13" s="1"/>
  <c r="AS135" i="13"/>
  <c r="Z431" i="13"/>
  <c r="AA434" i="13"/>
  <c r="M9" i="15"/>
  <c r="P9" i="15" s="1"/>
  <c r="P170" i="15"/>
  <c r="N234" i="15"/>
  <c r="AE135" i="13"/>
  <c r="AS431" i="13"/>
  <c r="AE434" i="13"/>
  <c r="O234" i="15"/>
  <c r="M85" i="15"/>
  <c r="N85" i="15" s="1"/>
  <c r="AE431" i="13"/>
  <c r="M315" i="15"/>
  <c r="P315" i="15" s="1"/>
  <c r="P122" i="15"/>
  <c r="AD431" i="13"/>
  <c r="AK431" i="13" s="1"/>
  <c r="AA195" i="13"/>
  <c r="AB195" i="13" s="1"/>
  <c r="Z434" i="13"/>
  <c r="M117" i="15"/>
  <c r="N117" i="15" s="1"/>
  <c r="M312" i="15"/>
  <c r="P312" i="15" s="1"/>
  <c r="AD178" i="13"/>
  <c r="AK178" i="13" s="1"/>
  <c r="AF437" i="13"/>
  <c r="AF178" i="13"/>
  <c r="AD10" i="13"/>
  <c r="AK10" i="13" s="1"/>
  <c r="AS178" i="13"/>
  <c r="Z249" i="13"/>
  <c r="AD249" i="13"/>
  <c r="AK249" i="13" s="1"/>
  <c r="AA249" i="13"/>
  <c r="AB249" i="13" s="1"/>
  <c r="AS125" i="13"/>
  <c r="AA125" i="13"/>
  <c r="AB125" i="13" s="1"/>
  <c r="Z125" i="13"/>
  <c r="AE125" i="13"/>
  <c r="AF125" i="13"/>
  <c r="N45" i="15"/>
  <c r="Z224" i="13"/>
  <c r="AA420" i="13"/>
  <c r="M80" i="15"/>
  <c r="P80" i="15" s="1"/>
  <c r="Z322" i="13"/>
  <c r="O45" i="15"/>
  <c r="Z253" i="13"/>
  <c r="Z444" i="13"/>
  <c r="AE419" i="13"/>
  <c r="AD24" i="13"/>
  <c r="AK24" i="13" s="1"/>
  <c r="P97" i="15"/>
  <c r="AS325" i="13"/>
  <c r="AE309" i="13"/>
  <c r="AF157" i="13"/>
  <c r="AS16" i="13"/>
  <c r="AD312" i="13"/>
  <c r="AK312" i="13" s="1"/>
  <c r="AS181" i="13"/>
  <c r="M28" i="15"/>
  <c r="N28" i="15" s="1"/>
  <c r="AD181" i="13"/>
  <c r="AK181" i="13" s="1"/>
  <c r="AE157" i="13"/>
  <c r="AA142" i="13"/>
  <c r="AB142" i="13" s="1"/>
  <c r="M13" i="15"/>
  <c r="N13" i="15" s="1"/>
  <c r="AS177" i="13"/>
  <c r="M207" i="15"/>
  <c r="P207" i="15" s="1"/>
  <c r="AA316" i="13"/>
  <c r="AB316" i="13" s="1"/>
  <c r="AA73" i="13"/>
  <c r="N97" i="15"/>
  <c r="P233" i="15"/>
  <c r="N181" i="15"/>
  <c r="AS319" i="13"/>
  <c r="M213" i="15"/>
  <c r="P50" i="15"/>
  <c r="AA171" i="13"/>
  <c r="AB171" i="13" s="1"/>
  <c r="AE286" i="13"/>
  <c r="AA313" i="13"/>
  <c r="AB313" i="13" s="1"/>
  <c r="P11" i="15"/>
  <c r="AF171" i="13"/>
  <c r="AE313" i="13"/>
  <c r="AD389" i="13"/>
  <c r="AK389" i="13" s="1"/>
  <c r="AD85" i="13"/>
  <c r="AK85" i="13" s="1"/>
  <c r="AF161" i="13"/>
  <c r="AA9" i="13"/>
  <c r="Z389" i="13"/>
  <c r="M54" i="15"/>
  <c r="P54" i="15" s="1"/>
  <c r="Z354" i="13"/>
  <c r="Z161" i="13"/>
  <c r="AF217" i="13"/>
  <c r="M236" i="15"/>
  <c r="O236" i="15" s="1"/>
  <c r="AE134" i="13"/>
  <c r="AE217" i="13"/>
  <c r="M237" i="15"/>
  <c r="P237" i="15" s="1"/>
  <c r="AE355" i="13"/>
  <c r="O43" i="15"/>
  <c r="AE393" i="13"/>
  <c r="AE196" i="13"/>
  <c r="P77" i="15"/>
  <c r="AD393" i="13"/>
  <c r="AK393" i="13" s="1"/>
  <c r="AD196" i="13"/>
  <c r="AK196" i="13" s="1"/>
  <c r="M280" i="15"/>
  <c r="N280" i="15" s="1"/>
  <c r="AA182" i="13"/>
  <c r="AB182" i="13" s="1"/>
  <c r="AA336" i="13"/>
  <c r="AB336" i="13" s="1"/>
  <c r="AA168" i="13"/>
  <c r="AB168" i="13" s="1"/>
  <c r="AF182" i="13"/>
  <c r="AE336" i="13"/>
  <c r="AA60" i="13"/>
  <c r="AB60" i="13" s="1"/>
  <c r="Z393" i="13"/>
  <c r="AS196" i="13"/>
  <c r="AE60" i="13"/>
  <c r="AS393" i="13"/>
  <c r="AS168" i="13"/>
  <c r="Z182" i="13"/>
  <c r="AS336" i="13"/>
  <c r="AD60" i="13"/>
  <c r="AK60" i="13" s="1"/>
  <c r="M274" i="15"/>
  <c r="O274" i="15" s="1"/>
  <c r="AA196" i="13"/>
  <c r="AB196" i="13" s="1"/>
  <c r="Z278" i="13"/>
  <c r="Z168" i="13"/>
  <c r="AS182" i="13"/>
  <c r="AA278" i="13"/>
  <c r="AB278" i="13" s="1"/>
  <c r="M131" i="15"/>
  <c r="N131" i="15" s="1"/>
  <c r="AE278" i="13"/>
  <c r="AF168" i="13"/>
  <c r="N103" i="15"/>
  <c r="AE182" i="13"/>
  <c r="AA393" i="13"/>
  <c r="AD168" i="13"/>
  <c r="AK168" i="13" s="1"/>
  <c r="P103" i="15"/>
  <c r="AD182" i="13"/>
  <c r="AK182" i="13" s="1"/>
  <c r="Z196" i="13"/>
  <c r="M108" i="15"/>
  <c r="N108" i="15" s="1"/>
  <c r="N77" i="15"/>
  <c r="P100" i="15"/>
  <c r="Z193" i="13"/>
  <c r="AD193" i="13"/>
  <c r="AK193" i="13" s="1"/>
  <c r="AA361" i="13"/>
  <c r="AF361" i="13"/>
  <c r="N18" i="15"/>
  <c r="AF224" i="13"/>
  <c r="M301" i="15"/>
  <c r="P301" i="15" s="1"/>
  <c r="AD62" i="13"/>
  <c r="AK62" i="13" s="1"/>
  <c r="AE192" i="13"/>
  <c r="M128" i="15"/>
  <c r="P128" i="15" s="1"/>
  <c r="AE234" i="13"/>
  <c r="AA292" i="13"/>
  <c r="AB292" i="13" s="1"/>
  <c r="AA248" i="13"/>
  <c r="AS234" i="13"/>
  <c r="AF292" i="13"/>
  <c r="P49" i="15"/>
  <c r="AF328" i="13"/>
  <c r="AA260" i="13"/>
  <c r="AB260" i="13" s="1"/>
  <c r="AS432" i="13"/>
  <c r="AE357" i="13"/>
  <c r="AS160" i="13"/>
  <c r="AE260" i="13"/>
  <c r="AD432" i="13"/>
  <c r="AK432" i="13" s="1"/>
  <c r="Z144" i="13"/>
  <c r="AA173" i="13"/>
  <c r="AF144" i="13"/>
  <c r="N187" i="15"/>
  <c r="AA322" i="13"/>
  <c r="AB322" i="13" s="1"/>
  <c r="O114" i="15"/>
  <c r="P166" i="15"/>
  <c r="O146" i="15"/>
  <c r="AF231" i="13"/>
  <c r="M48" i="15"/>
  <c r="N48" i="15" s="1"/>
  <c r="AE361" i="13"/>
  <c r="M129" i="15"/>
  <c r="N129" i="15" s="1"/>
  <c r="AE231" i="13"/>
  <c r="AS75" i="13"/>
  <c r="AS361" i="13"/>
  <c r="AD361" i="13"/>
  <c r="AK361" i="13" s="1"/>
  <c r="AF143" i="13"/>
  <c r="AA129" i="13"/>
  <c r="AB129" i="13" s="1"/>
  <c r="M242" i="15"/>
  <c r="O242" i="15" s="1"/>
  <c r="AE129" i="13"/>
  <c r="O137" i="15"/>
  <c r="AF140" i="13"/>
  <c r="AS193" i="13"/>
  <c r="AE193" i="13"/>
  <c r="Z15" i="13"/>
  <c r="N256" i="15"/>
  <c r="P136" i="15"/>
  <c r="Z316" i="13"/>
  <c r="AF124" i="13"/>
  <c r="AA305" i="13"/>
  <c r="AB305" i="13" s="1"/>
  <c r="O62" i="15"/>
  <c r="AD310" i="13"/>
  <c r="AK310" i="13" s="1"/>
  <c r="AD419" i="13"/>
  <c r="AK419" i="13" s="1"/>
  <c r="AE190" i="13"/>
  <c r="Z305" i="13"/>
  <c r="P199" i="15"/>
  <c r="AA193" i="13"/>
  <c r="AB193" i="13" s="1"/>
  <c r="AA15" i="13"/>
  <c r="AB15" i="13" s="1"/>
  <c r="Z32" i="13"/>
  <c r="AS269" i="13"/>
  <c r="AF164" i="13"/>
  <c r="AS219" i="13"/>
  <c r="O282" i="15"/>
  <c r="AE331" i="13"/>
  <c r="AS116" i="13"/>
  <c r="AA172" i="13"/>
  <c r="AB172" i="13" s="1"/>
  <c r="AD121" i="13"/>
  <c r="AK121" i="13" s="1"/>
  <c r="O322" i="15"/>
  <c r="O76" i="15"/>
  <c r="P198" i="15"/>
  <c r="AA163" i="13"/>
  <c r="AA370" i="13"/>
  <c r="AA97" i="13"/>
  <c r="AE154" i="13"/>
  <c r="P15" i="15"/>
  <c r="M104" i="15"/>
  <c r="P104" i="15" s="1"/>
  <c r="AE172" i="13"/>
  <c r="AF32" i="13"/>
  <c r="P169" i="15"/>
  <c r="AA269" i="13"/>
  <c r="AB269" i="13" s="1"/>
  <c r="Z219" i="13"/>
  <c r="Z403" i="13"/>
  <c r="AE41" i="13"/>
  <c r="AA229" i="13"/>
  <c r="AE370" i="13"/>
  <c r="AD275" i="13"/>
  <c r="AK275" i="13" s="1"/>
  <c r="P18" i="15"/>
  <c r="O49" i="15"/>
  <c r="AA328" i="13"/>
  <c r="AB328" i="13" s="1"/>
  <c r="M219" i="15"/>
  <c r="P219" i="15" s="1"/>
  <c r="AS248" i="13"/>
  <c r="AD355" i="13"/>
  <c r="AK355" i="13" s="1"/>
  <c r="AS355" i="13"/>
  <c r="M313" i="15"/>
  <c r="O313" i="15" s="1"/>
  <c r="AD144" i="13"/>
  <c r="AK144" i="13" s="1"/>
  <c r="AD286" i="13"/>
  <c r="AK286" i="13" s="1"/>
  <c r="AE224" i="13"/>
  <c r="M148" i="15"/>
  <c r="O148" i="15" s="1"/>
  <c r="AA253" i="13"/>
  <c r="AB253" i="13" s="1"/>
  <c r="AF253" i="13"/>
  <c r="AE171" i="13"/>
  <c r="Z171" i="13"/>
  <c r="AD420" i="13"/>
  <c r="AK420" i="13" s="1"/>
  <c r="Z420" i="13"/>
  <c r="AS62" i="13"/>
  <c r="P259" i="15"/>
  <c r="AA357" i="13"/>
  <c r="AB357" i="13" s="1"/>
  <c r="AF357" i="13"/>
  <c r="AE44" i="13"/>
  <c r="AF85" i="13"/>
  <c r="AD173" i="13"/>
  <c r="AK173" i="13" s="1"/>
  <c r="P187" i="15"/>
  <c r="AA160" i="13"/>
  <c r="AB160" i="13" s="1"/>
  <c r="AD160" i="13"/>
  <c r="AK160" i="13" s="1"/>
  <c r="N249" i="15"/>
  <c r="M215" i="15"/>
  <c r="O215" i="15" s="1"/>
  <c r="AE322" i="13"/>
  <c r="AS192" i="13"/>
  <c r="O36" i="15"/>
  <c r="AD260" i="13"/>
  <c r="AK260" i="13" s="1"/>
  <c r="Z260" i="13"/>
  <c r="AF354" i="13"/>
  <c r="AF313" i="13"/>
  <c r="AD313" i="13"/>
  <c r="AK313" i="13" s="1"/>
  <c r="AD161" i="13"/>
  <c r="AK161" i="13" s="1"/>
  <c r="AS161" i="13"/>
  <c r="AA134" i="13"/>
  <c r="AB134" i="13" s="1"/>
  <c r="AS134" i="13"/>
  <c r="N146" i="15"/>
  <c r="P24" i="15"/>
  <c r="AE9" i="13"/>
  <c r="AF389" i="13"/>
  <c r="M270" i="15"/>
  <c r="P270" i="15" s="1"/>
  <c r="AF234" i="13"/>
  <c r="M156" i="15"/>
  <c r="O156" i="15" s="1"/>
  <c r="Z292" i="13"/>
  <c r="M193" i="15"/>
  <c r="P193" i="15" s="1"/>
  <c r="AD217" i="13"/>
  <c r="AK217" i="13" s="1"/>
  <c r="AS217" i="13"/>
  <c r="P114" i="15"/>
  <c r="Z328" i="13"/>
  <c r="AA432" i="13"/>
  <c r="AE144" i="13"/>
  <c r="AS286" i="13"/>
  <c r="AS253" i="13"/>
  <c r="AE253" i="13"/>
  <c r="AD171" i="13"/>
  <c r="AK171" i="13" s="1"/>
  <c r="M111" i="15"/>
  <c r="N111" i="15" s="1"/>
  <c r="AS420" i="13"/>
  <c r="AE420" i="13"/>
  <c r="AA62" i="13"/>
  <c r="N250" i="15"/>
  <c r="O259" i="15"/>
  <c r="AD357" i="13"/>
  <c r="AK357" i="13" s="1"/>
  <c r="M239" i="15"/>
  <c r="N239" i="15" s="1"/>
  <c r="AA85" i="13"/>
  <c r="AB85" i="13" s="1"/>
  <c r="AE85" i="13"/>
  <c r="AS173" i="13"/>
  <c r="AE160" i="13"/>
  <c r="AF160" i="13"/>
  <c r="P249" i="15"/>
  <c r="AD322" i="13"/>
  <c r="AK322" i="13" s="1"/>
  <c r="AF322" i="13"/>
  <c r="AA192" i="13"/>
  <c r="AB192" i="13" s="1"/>
  <c r="AD192" i="13"/>
  <c r="AK192" i="13" s="1"/>
  <c r="P36" i="15"/>
  <c r="AS260" i="13"/>
  <c r="M174" i="15"/>
  <c r="P174" i="15" s="1"/>
  <c r="AA354" i="13"/>
  <c r="AB354" i="13" s="1"/>
  <c r="AS354" i="13"/>
  <c r="AS313" i="13"/>
  <c r="M208" i="15"/>
  <c r="O208" i="15" s="1"/>
  <c r="M102" i="15"/>
  <c r="O102" i="15" s="1"/>
  <c r="AD134" i="13"/>
  <c r="AK134" i="13" s="1"/>
  <c r="Z134" i="13"/>
  <c r="N166" i="15"/>
  <c r="N24" i="15"/>
  <c r="AS9" i="13"/>
  <c r="AS389" i="13"/>
  <c r="AD234" i="13"/>
  <c r="AK234" i="13" s="1"/>
  <c r="AS292" i="13"/>
  <c r="AD292" i="13"/>
  <c r="AK292" i="13" s="1"/>
  <c r="M142" i="15"/>
  <c r="O142" i="15" s="1"/>
  <c r="AS328" i="13"/>
  <c r="AD248" i="13"/>
  <c r="AK248" i="13" s="1"/>
  <c r="Z355" i="13"/>
  <c r="AE432" i="13"/>
  <c r="AA144" i="13"/>
  <c r="AB144" i="13" s="1"/>
  <c r="AD224" i="13"/>
  <c r="AK224" i="13" s="1"/>
  <c r="AD328" i="13"/>
  <c r="AK328" i="13" s="1"/>
  <c r="AA355" i="13"/>
  <c r="AB355" i="13" s="1"/>
  <c r="AF432" i="13"/>
  <c r="M90" i="15"/>
  <c r="P90" i="15" s="1"/>
  <c r="AA224" i="13"/>
  <c r="AB224" i="13" s="1"/>
  <c r="M204" i="15"/>
  <c r="N204" i="15" s="1"/>
  <c r="M168" i="15"/>
  <c r="P168" i="15" s="1"/>
  <c r="P209" i="15"/>
  <c r="AS357" i="13"/>
  <c r="Z85" i="13"/>
  <c r="Z160" i="13"/>
  <c r="AE64" i="13"/>
  <c r="AF192" i="13"/>
  <c r="AE354" i="13"/>
  <c r="AA161" i="13"/>
  <c r="AB161" i="13" s="1"/>
  <c r="AF134" i="13"/>
  <c r="AA389" i="13"/>
  <c r="AA234" i="13"/>
  <c r="AB234" i="13" s="1"/>
  <c r="AA217" i="13"/>
  <c r="AB217" i="13" s="1"/>
  <c r="AD172" i="13"/>
  <c r="AK172" i="13" s="1"/>
  <c r="AS172" i="13"/>
  <c r="AS32" i="13"/>
  <c r="AE32" i="13"/>
  <c r="AA257" i="13"/>
  <c r="AB257" i="13" s="1"/>
  <c r="AF233" i="13"/>
  <c r="O175" i="15"/>
  <c r="N169" i="15"/>
  <c r="Z269" i="13"/>
  <c r="AF269" i="13"/>
  <c r="AF219" i="13"/>
  <c r="AE219" i="13"/>
  <c r="AE198" i="13"/>
  <c r="P322" i="15"/>
  <c r="AA270" i="13"/>
  <c r="AB270" i="13" s="1"/>
  <c r="P176" i="15"/>
  <c r="AS41" i="13"/>
  <c r="AA245" i="13"/>
  <c r="AB245" i="13" s="1"/>
  <c r="AS163" i="13"/>
  <c r="AS331" i="13"/>
  <c r="M251" i="15"/>
  <c r="O251" i="15" s="1"/>
  <c r="AD370" i="13"/>
  <c r="AK370" i="13" s="1"/>
  <c r="AS97" i="13"/>
  <c r="AD116" i="13"/>
  <c r="AK116" i="13" s="1"/>
  <c r="AE164" i="13"/>
  <c r="AF172" i="13"/>
  <c r="M304" i="15"/>
  <c r="O304" i="15" s="1"/>
  <c r="N210" i="15"/>
  <c r="AE269" i="13"/>
  <c r="AD397" i="13"/>
  <c r="AK397" i="13" s="1"/>
  <c r="N76" i="15"/>
  <c r="AE163" i="13"/>
  <c r="AS302" i="13"/>
  <c r="AA331" i="13"/>
  <c r="AB331" i="13" s="1"/>
  <c r="Z370" i="13"/>
  <c r="AF370" i="13"/>
  <c r="AD97" i="13"/>
  <c r="AK97" i="13" s="1"/>
  <c r="AE116" i="13"/>
  <c r="AA164" i="13"/>
  <c r="AB164" i="13" s="1"/>
  <c r="AS164" i="13"/>
  <c r="P232" i="15"/>
  <c r="M112" i="15"/>
  <c r="O112" i="15" s="1"/>
  <c r="AD32" i="13"/>
  <c r="AK32" i="13" s="1"/>
  <c r="N37" i="15"/>
  <c r="P175" i="15"/>
  <c r="M177" i="15"/>
  <c r="N177" i="15" s="1"/>
  <c r="AE66" i="13"/>
  <c r="M144" i="15"/>
  <c r="N144" i="15" s="1"/>
  <c r="AA41" i="13"/>
  <c r="AD36" i="13"/>
  <c r="AK36" i="13" s="1"/>
  <c r="AA32" i="13"/>
  <c r="AB32" i="13" s="1"/>
  <c r="P316" i="15"/>
  <c r="M51" i="15"/>
  <c r="N51" i="15" s="1"/>
  <c r="AA219" i="13"/>
  <c r="AB219" i="13" s="1"/>
  <c r="P55" i="15"/>
  <c r="AS154" i="13"/>
  <c r="AD83" i="13"/>
  <c r="AK83" i="13" s="1"/>
  <c r="AE180" i="13"/>
  <c r="AD164" i="13"/>
  <c r="AK164" i="13" s="1"/>
  <c r="AS261" i="13"/>
  <c r="Z194" i="13"/>
  <c r="M88" i="15"/>
  <c r="N88" i="15" s="1"/>
  <c r="AS142" i="13"/>
  <c r="Z419" i="13"/>
  <c r="M116" i="15"/>
  <c r="N116" i="15" s="1"/>
  <c r="N100" i="15"/>
  <c r="AF24" i="13"/>
  <c r="Z124" i="13"/>
  <c r="AS124" i="13"/>
  <c r="AE73" i="13"/>
  <c r="P293" i="15"/>
  <c r="AA143" i="13"/>
  <c r="AB143" i="13" s="1"/>
  <c r="AD143" i="13"/>
  <c r="AK143" i="13" s="1"/>
  <c r="M120" i="15"/>
  <c r="P120" i="15" s="1"/>
  <c r="AA190" i="13"/>
  <c r="AB190" i="13" s="1"/>
  <c r="AE305" i="13"/>
  <c r="AF305" i="13"/>
  <c r="O199" i="15"/>
  <c r="AS310" i="13"/>
  <c r="AD15" i="13"/>
  <c r="AK15" i="13" s="1"/>
  <c r="AS15" i="13"/>
  <c r="AA140" i="13"/>
  <c r="AB140" i="13" s="1"/>
  <c r="AE140" i="13"/>
  <c r="AD309" i="13"/>
  <c r="AK309" i="13" s="1"/>
  <c r="M98" i="15"/>
  <c r="O98" i="15" s="1"/>
  <c r="M300" i="15"/>
  <c r="P300" i="15" s="1"/>
  <c r="AE16" i="13"/>
  <c r="AE312" i="13"/>
  <c r="AS231" i="13"/>
  <c r="AD75" i="13"/>
  <c r="AK75" i="13" s="1"/>
  <c r="Z24" i="13"/>
  <c r="P181" i="15"/>
  <c r="AA444" i="13"/>
  <c r="AE444" i="13"/>
  <c r="Z325" i="13"/>
  <c r="AD325" i="13"/>
  <c r="AK325" i="13" s="1"/>
  <c r="AS309" i="13"/>
  <c r="AD157" i="13"/>
  <c r="AK157" i="13" s="1"/>
  <c r="P14" i="15"/>
  <c r="P311" i="15"/>
  <c r="AF142" i="13"/>
  <c r="AE142" i="13"/>
  <c r="AF419" i="13"/>
  <c r="AA16" i="13"/>
  <c r="AB16" i="13" s="1"/>
  <c r="AD16" i="13"/>
  <c r="AK16" i="13" s="1"/>
  <c r="AA43" i="13"/>
  <c r="AB43" i="13" s="1"/>
  <c r="AS43" i="13"/>
  <c r="Z129" i="13"/>
  <c r="M82" i="15"/>
  <c r="N82" i="15" s="1"/>
  <c r="AA177" i="13"/>
  <c r="AB177" i="13" s="1"/>
  <c r="AD177" i="13"/>
  <c r="AK177" i="13" s="1"/>
  <c r="N233" i="15"/>
  <c r="P137" i="15"/>
  <c r="O136" i="15"/>
  <c r="AA312" i="13"/>
  <c r="AB312" i="13" s="1"/>
  <c r="AF312" i="13"/>
  <c r="AF316" i="13"/>
  <c r="M211" i="15"/>
  <c r="O211" i="15" s="1"/>
  <c r="AE197" i="13"/>
  <c r="AD194" i="13"/>
  <c r="AK194" i="13" s="1"/>
  <c r="AA231" i="13"/>
  <c r="AB231" i="13" s="1"/>
  <c r="AD231" i="13"/>
  <c r="AK231" i="13" s="1"/>
  <c r="AE75" i="13"/>
  <c r="AS24" i="13"/>
  <c r="M17" i="15"/>
  <c r="N17" i="15" s="1"/>
  <c r="AD124" i="13"/>
  <c r="AK124" i="13" s="1"/>
  <c r="AD73" i="13"/>
  <c r="AK73" i="13" s="1"/>
  <c r="M89" i="15"/>
  <c r="N89" i="15" s="1"/>
  <c r="AE143" i="13"/>
  <c r="AA181" i="13"/>
  <c r="AB181" i="13" s="1"/>
  <c r="Z181" i="13"/>
  <c r="AS190" i="13"/>
  <c r="M203" i="15"/>
  <c r="N203" i="15" s="1"/>
  <c r="AD305" i="13"/>
  <c r="AK305" i="13" s="1"/>
  <c r="P74" i="15"/>
  <c r="AE310" i="13"/>
  <c r="AF15" i="13"/>
  <c r="AE15" i="13"/>
  <c r="AS140" i="13"/>
  <c r="Z140" i="13"/>
  <c r="AS194" i="13"/>
  <c r="AF444" i="13"/>
  <c r="AA325" i="13"/>
  <c r="AB325" i="13" s="1"/>
  <c r="AE325" i="13"/>
  <c r="Z157" i="13"/>
  <c r="N72" i="15"/>
  <c r="AS100" i="13"/>
  <c r="Z43" i="13"/>
  <c r="AF129" i="13"/>
  <c r="AS129" i="13"/>
  <c r="O16" i="15"/>
  <c r="P296" i="15"/>
  <c r="AD316" i="13"/>
  <c r="AK316" i="13" s="1"/>
  <c r="AS316" i="13"/>
  <c r="AS197" i="13"/>
  <c r="AF194" i="13"/>
  <c r="M130" i="15"/>
  <c r="P130" i="15" s="1"/>
  <c r="Z75" i="13"/>
  <c r="M325" i="15"/>
  <c r="O325" i="15" s="1"/>
  <c r="AF325" i="13"/>
  <c r="AA157" i="13"/>
  <c r="AB157" i="13" s="1"/>
  <c r="AA419" i="13"/>
  <c r="Z16" i="13"/>
  <c r="AE43" i="13"/>
  <c r="AF177" i="13"/>
  <c r="Z312" i="13"/>
  <c r="AA194" i="13"/>
  <c r="AB194" i="13" s="1"/>
  <c r="M154" i="15"/>
  <c r="O154" i="15" s="1"/>
  <c r="AA75" i="13"/>
  <c r="AB75" i="13" s="1"/>
  <c r="AA124" i="13"/>
  <c r="AB124" i="13" s="1"/>
  <c r="Z143" i="13"/>
  <c r="AF181" i="13"/>
  <c r="O50" i="15"/>
  <c r="O254" i="15"/>
  <c r="N202" i="15"/>
  <c r="N62" i="15"/>
  <c r="AD140" i="13"/>
  <c r="AK140" i="13" s="1"/>
  <c r="Z178" i="13"/>
  <c r="AS195" i="13"/>
  <c r="AE10" i="13"/>
  <c r="AA178" i="13"/>
  <c r="AB178" i="13" s="1"/>
  <c r="AS53" i="13"/>
  <c r="P266" i="15"/>
  <c r="P206" i="15"/>
  <c r="O283" i="15"/>
  <c r="P283" i="15"/>
  <c r="O266" i="15"/>
  <c r="AD195" i="13"/>
  <c r="AK195" i="13" s="1"/>
  <c r="AA10" i="13"/>
  <c r="AB10" i="13" s="1"/>
  <c r="Z10" i="13"/>
  <c r="O206" i="15"/>
  <c r="O262" i="15"/>
  <c r="AE399" i="13"/>
  <c r="AS10" i="13"/>
  <c r="N140" i="15"/>
  <c r="O140" i="15"/>
  <c r="P261" i="15"/>
  <c r="AA100" i="13"/>
  <c r="AB100" i="13" s="1"/>
  <c r="AD100" i="13"/>
  <c r="AK100" i="13" s="1"/>
  <c r="O261" i="15"/>
  <c r="M64" i="15"/>
  <c r="N64" i="15" s="1"/>
  <c r="AA293" i="13"/>
  <c r="P56" i="15"/>
  <c r="AE100" i="13"/>
  <c r="AD293" i="13"/>
  <c r="AK293" i="13" s="1"/>
  <c r="N93" i="15"/>
  <c r="Z100" i="13"/>
  <c r="AE293" i="13"/>
  <c r="AF53" i="13"/>
  <c r="AA53" i="13"/>
  <c r="AB53" i="13" s="1"/>
  <c r="O56" i="15"/>
  <c r="P93" i="15"/>
  <c r="N151" i="15"/>
  <c r="M278" i="15"/>
  <c r="P278" i="15" s="1"/>
  <c r="P282" i="15"/>
  <c r="AS83" i="13"/>
  <c r="AF302" i="13"/>
  <c r="AD180" i="13"/>
  <c r="AK180" i="13" s="1"/>
  <c r="O151" i="15"/>
  <c r="AE360" i="13"/>
  <c r="AS360" i="13"/>
  <c r="AS36" i="13"/>
  <c r="N323" i="15"/>
  <c r="AF198" i="13"/>
  <c r="AS257" i="13"/>
  <c r="AA91" i="13"/>
  <c r="AB91" i="13" s="1"/>
  <c r="AA423" i="13"/>
  <c r="P323" i="15"/>
  <c r="AF397" i="13"/>
  <c r="AS198" i="13"/>
  <c r="AE302" i="13"/>
  <c r="AS180" i="13"/>
  <c r="N126" i="15"/>
  <c r="AA360" i="13"/>
  <c r="AF360" i="13"/>
  <c r="AD257" i="13"/>
  <c r="AK257" i="13" s="1"/>
  <c r="AD91" i="13"/>
  <c r="AK91" i="13" s="1"/>
  <c r="AE423" i="13"/>
  <c r="Z397" i="13"/>
  <c r="AD198" i="13"/>
  <c r="AK198" i="13" s="1"/>
  <c r="Z302" i="13"/>
  <c r="M119" i="15"/>
  <c r="O119" i="15" s="1"/>
  <c r="O126" i="15"/>
  <c r="M241" i="15"/>
  <c r="O241" i="15" s="1"/>
  <c r="Z360" i="13"/>
  <c r="AF257" i="13"/>
  <c r="Z257" i="13"/>
  <c r="AE91" i="13"/>
  <c r="Z423" i="13"/>
  <c r="O159" i="15"/>
  <c r="M132" i="15"/>
  <c r="P132" i="15" s="1"/>
  <c r="AD302" i="13"/>
  <c r="AK302" i="13" s="1"/>
  <c r="N159" i="15"/>
  <c r="AA397" i="13"/>
  <c r="M201" i="15"/>
  <c r="N201" i="15" s="1"/>
  <c r="AA180" i="13"/>
  <c r="AB180" i="13" s="1"/>
  <c r="AA36" i="13"/>
  <c r="M171" i="15"/>
  <c r="P171" i="15" s="1"/>
  <c r="AF423" i="13"/>
  <c r="AE397" i="13"/>
  <c r="AA198" i="13"/>
  <c r="AB198" i="13" s="1"/>
  <c r="N198" i="15"/>
  <c r="AA83" i="13"/>
  <c r="AB83" i="13" s="1"/>
  <c r="Z180" i="13"/>
  <c r="AS423" i="13"/>
  <c r="N232" i="15"/>
  <c r="M155" i="15"/>
  <c r="N155" i="15" s="1"/>
  <c r="AA121" i="13"/>
  <c r="AB121" i="13" s="1"/>
  <c r="P210" i="15"/>
  <c r="Z80" i="13"/>
  <c r="AS66" i="13"/>
  <c r="AS399" i="13"/>
  <c r="AD403" i="13"/>
  <c r="AK403" i="13" s="1"/>
  <c r="AD270" i="13"/>
  <c r="AK270" i="13" s="1"/>
  <c r="AA12" i="13"/>
  <c r="AB12" i="13" s="1"/>
  <c r="N55" i="15"/>
  <c r="AD154" i="13"/>
  <c r="AK154" i="13" s="1"/>
  <c r="O15" i="15"/>
  <c r="AD245" i="13"/>
  <c r="AK245" i="13" s="1"/>
  <c r="AS229" i="13"/>
  <c r="AE261" i="13"/>
  <c r="AA275" i="13"/>
  <c r="AS270" i="13"/>
  <c r="AA233" i="13"/>
  <c r="AB233" i="13" s="1"/>
  <c r="O52" i="15"/>
  <c r="AE121" i="13"/>
  <c r="AS278" i="13"/>
  <c r="AA80" i="13"/>
  <c r="AB80" i="13" s="1"/>
  <c r="AD399" i="13"/>
  <c r="AK399" i="13" s="1"/>
  <c r="AA403" i="13"/>
  <c r="AF270" i="13"/>
  <c r="Z12" i="13"/>
  <c r="AE245" i="13"/>
  <c r="AE229" i="13"/>
  <c r="AA262" i="13"/>
  <c r="O69" i="15"/>
  <c r="P150" i="15"/>
  <c r="O223" i="15"/>
  <c r="AE275" i="13"/>
  <c r="O231" i="15"/>
  <c r="AF245" i="13"/>
  <c r="P223" i="15"/>
  <c r="AE233" i="13"/>
  <c r="N52" i="15"/>
  <c r="P230" i="15"/>
  <c r="AF121" i="13"/>
  <c r="AD278" i="13"/>
  <c r="AK278" i="13" s="1"/>
  <c r="AE80" i="13"/>
  <c r="Z399" i="13"/>
  <c r="AS403" i="13"/>
  <c r="M178" i="15"/>
  <c r="P178" i="15" s="1"/>
  <c r="AD12" i="13"/>
  <c r="AK12" i="13" s="1"/>
  <c r="O288" i="15"/>
  <c r="AS245" i="13"/>
  <c r="AE262" i="13"/>
  <c r="O298" i="15"/>
  <c r="P69" i="15"/>
  <c r="O238" i="15"/>
  <c r="AD66" i="13"/>
  <c r="AK66" i="13" s="1"/>
  <c r="N212" i="15"/>
  <c r="Z233" i="13"/>
  <c r="N230" i="15"/>
  <c r="AS121" i="13"/>
  <c r="AF278" i="13"/>
  <c r="AD80" i="13"/>
  <c r="AK80" i="13" s="1"/>
  <c r="AF399" i="13"/>
  <c r="AE403" i="13"/>
  <c r="Z270" i="13"/>
  <c r="AE12" i="13"/>
  <c r="N288" i="15"/>
  <c r="Z245" i="13"/>
  <c r="AD262" i="13"/>
  <c r="AK262" i="13" s="1"/>
  <c r="P298" i="15"/>
  <c r="N238" i="15"/>
  <c r="P231" i="15"/>
  <c r="AD261" i="13"/>
  <c r="AK261" i="13" s="1"/>
  <c r="P212" i="15"/>
  <c r="AD233" i="13"/>
  <c r="AK233" i="13" s="1"/>
  <c r="Z121" i="13"/>
  <c r="O316" i="15"/>
  <c r="AS80" i="13"/>
  <c r="M284" i="15"/>
  <c r="N284" i="15" s="1"/>
  <c r="AS12" i="13"/>
  <c r="N176" i="15"/>
  <c r="M35" i="15"/>
  <c r="P35" i="15" s="1"/>
  <c r="AF12" i="13"/>
  <c r="AE153" i="13"/>
  <c r="Z53" i="13"/>
  <c r="O180" i="15"/>
  <c r="AD53" i="13"/>
  <c r="AK53" i="13" s="1"/>
  <c r="AD363" i="13"/>
  <c r="AK363" i="13" s="1"/>
  <c r="P271" i="15"/>
  <c r="M306" i="15"/>
  <c r="O306" i="15" s="1"/>
  <c r="N271" i="15"/>
  <c r="Z63" i="13"/>
  <c r="AS279" i="13"/>
  <c r="M318" i="15"/>
  <c r="N318" i="15" s="1"/>
  <c r="M244" i="15"/>
  <c r="P244" i="15" s="1"/>
  <c r="P252" i="15"/>
  <c r="AE63" i="13"/>
  <c r="AD279" i="13"/>
  <c r="AK279" i="13" s="1"/>
  <c r="P180" i="15"/>
  <c r="Z425" i="13"/>
  <c r="AA252" i="13"/>
  <c r="AE363" i="13"/>
  <c r="O252" i="15"/>
  <c r="AA345" i="13"/>
  <c r="AB345" i="13" s="1"/>
  <c r="M184" i="15"/>
  <c r="P184" i="15" s="1"/>
  <c r="AF425" i="13"/>
  <c r="AS252" i="13"/>
  <c r="AS363" i="13"/>
  <c r="AA63" i="13"/>
  <c r="AB63" i="13" s="1"/>
  <c r="AD345" i="13"/>
  <c r="AK345" i="13" s="1"/>
  <c r="AF279" i="13"/>
  <c r="AS425" i="13"/>
  <c r="P279" i="15"/>
  <c r="AD252" i="13"/>
  <c r="AK252" i="13" s="1"/>
  <c r="AF319" i="13"/>
  <c r="AA437" i="13"/>
  <c r="AE437" i="13"/>
  <c r="AF363" i="13"/>
  <c r="AD63" i="13"/>
  <c r="AK63" i="13" s="1"/>
  <c r="AE345" i="13"/>
  <c r="N188" i="15"/>
  <c r="N317" i="15"/>
  <c r="AA319" i="13"/>
  <c r="AB319" i="13" s="1"/>
  <c r="AD425" i="13"/>
  <c r="AK425" i="13" s="1"/>
  <c r="O279" i="15"/>
  <c r="Z319" i="13"/>
  <c r="Z437" i="13"/>
  <c r="N27" i="15"/>
  <c r="Z363" i="13"/>
  <c r="AF63" i="13"/>
  <c r="AA279" i="13"/>
  <c r="AB279" i="13" s="1"/>
  <c r="O188" i="15"/>
  <c r="P317" i="15"/>
  <c r="AE319" i="13"/>
  <c r="AE425" i="13"/>
  <c r="P273" i="15"/>
  <c r="AD437" i="13"/>
  <c r="AK437" i="13" s="1"/>
  <c r="P27" i="15"/>
  <c r="M41" i="15"/>
  <c r="O41" i="15" s="1"/>
  <c r="AE279" i="13"/>
  <c r="N172" i="15"/>
  <c r="AD319" i="13"/>
  <c r="AK319" i="13" s="1"/>
  <c r="N273" i="15"/>
  <c r="O265" i="15"/>
  <c r="M321" i="15"/>
  <c r="O321" i="15" s="1"/>
  <c r="AA421" i="13"/>
  <c r="AS348" i="13"/>
  <c r="N60" i="15"/>
  <c r="N153" i="15"/>
  <c r="AE39" i="13"/>
  <c r="AA428" i="13"/>
  <c r="P60" i="15"/>
  <c r="P265" i="15"/>
  <c r="AF440" i="13"/>
  <c r="P269" i="15"/>
  <c r="AE421" i="13"/>
  <c r="AE348" i="13"/>
  <c r="AD428" i="13"/>
  <c r="AK428" i="13" s="1"/>
  <c r="Z440" i="13"/>
  <c r="N269" i="15"/>
  <c r="AF421" i="13"/>
  <c r="AD348" i="13"/>
  <c r="AK348" i="13" s="1"/>
  <c r="AF428" i="13"/>
  <c r="N71" i="15"/>
  <c r="AS440" i="13"/>
  <c r="Z421" i="13"/>
  <c r="AE428" i="13"/>
  <c r="O71" i="15"/>
  <c r="P197" i="15"/>
  <c r="P229" i="15"/>
  <c r="O73" i="15"/>
  <c r="AD440" i="13"/>
  <c r="AK440" i="13" s="1"/>
  <c r="AD421" i="13"/>
  <c r="AK421" i="13" s="1"/>
  <c r="Z428" i="13"/>
  <c r="O197" i="15"/>
  <c r="O182" i="15"/>
  <c r="N229" i="15"/>
  <c r="P73" i="15"/>
  <c r="AS421" i="13"/>
  <c r="AA39" i="13"/>
  <c r="AB39" i="13" s="1"/>
  <c r="AS428" i="13"/>
  <c r="O217" i="15"/>
  <c r="O157" i="15"/>
  <c r="AA440" i="13"/>
  <c r="AD39" i="13"/>
  <c r="AK39" i="13" s="1"/>
  <c r="N305" i="15"/>
  <c r="O281" i="15"/>
  <c r="O29" i="15"/>
  <c r="AS44" i="13"/>
  <c r="N11" i="15"/>
  <c r="N43" i="15"/>
  <c r="Z64" i="13"/>
  <c r="O32" i="15"/>
  <c r="M42" i="15"/>
  <c r="P42" i="15" s="1"/>
  <c r="AA54" i="13"/>
  <c r="AB54" i="13" s="1"/>
  <c r="N32" i="15"/>
  <c r="N107" i="15"/>
  <c r="AF241" i="13"/>
  <c r="M160" i="15"/>
  <c r="N160" i="15" s="1"/>
  <c r="Z307" i="13"/>
  <c r="AS54" i="13"/>
  <c r="P107" i="15"/>
  <c r="AE307" i="13"/>
  <c r="P95" i="15"/>
  <c r="AA64" i="13"/>
  <c r="AB64" i="13" s="1"/>
  <c r="AE54" i="13"/>
  <c r="AD241" i="13"/>
  <c r="AK241" i="13" s="1"/>
  <c r="AE241" i="13"/>
  <c r="AA307" i="13"/>
  <c r="AB307" i="13" s="1"/>
  <c r="O163" i="15"/>
  <c r="AF307" i="13"/>
  <c r="N95" i="15"/>
  <c r="O152" i="15"/>
  <c r="AD64" i="13"/>
  <c r="AK64" i="13" s="1"/>
  <c r="Z241" i="13"/>
  <c r="P163" i="15"/>
  <c r="AD307" i="13"/>
  <c r="AK307" i="13" s="1"/>
  <c r="P250" i="15"/>
  <c r="N209" i="15"/>
  <c r="AA44" i="13"/>
  <c r="AB44" i="13" s="1"/>
  <c r="P152" i="15"/>
  <c r="AS64" i="13"/>
  <c r="AA241" i="13"/>
  <c r="AB241" i="13" s="1"/>
  <c r="AA153" i="13"/>
  <c r="AB153" i="13" s="1"/>
  <c r="P224" i="15"/>
  <c r="N226" i="15"/>
  <c r="M143" i="15"/>
  <c r="N143" i="15" s="1"/>
  <c r="O267" i="15"/>
  <c r="AD126" i="13"/>
  <c r="AK126" i="13" s="1"/>
  <c r="AD153" i="13"/>
  <c r="AK153" i="13" s="1"/>
  <c r="O195" i="15"/>
  <c r="AE218" i="13"/>
  <c r="O150" i="15"/>
  <c r="AA28" i="13"/>
  <c r="AA218" i="13"/>
  <c r="AB218" i="13" s="1"/>
  <c r="AS28" i="13"/>
  <c r="Z218" i="13"/>
  <c r="AD28" i="13"/>
  <c r="AK28" i="13" s="1"/>
  <c r="AF218" i="13"/>
  <c r="AA126" i="13"/>
  <c r="AS218" i="13"/>
  <c r="N267" i="15"/>
  <c r="AE126" i="13"/>
  <c r="P57" i="15"/>
  <c r="O226" i="15"/>
  <c r="O57" i="15"/>
  <c r="P195" i="15"/>
  <c r="O196" i="15"/>
  <c r="O44" i="15"/>
  <c r="P196" i="15"/>
  <c r="AE200" i="13"/>
  <c r="AS200" i="13"/>
  <c r="AA200" i="13"/>
  <c r="AD200" i="13"/>
  <c r="AK200" i="13" s="1"/>
  <c r="O105" i="15"/>
  <c r="P281" i="15"/>
  <c r="P37" i="15"/>
  <c r="N29" i="15"/>
  <c r="O296" i="15"/>
  <c r="P157" i="15"/>
  <c r="P81" i="15"/>
  <c r="P256" i="15"/>
  <c r="O293" i="15"/>
  <c r="N74" i="15"/>
  <c r="P182" i="15"/>
  <c r="P202" i="15"/>
  <c r="N44" i="15"/>
  <c r="O305" i="15"/>
  <c r="N16" i="15"/>
  <c r="N81" i="15"/>
  <c r="P153" i="15"/>
  <c r="N254" i="15"/>
  <c r="N105" i="15"/>
  <c r="N217" i="15"/>
  <c r="P96" i="15"/>
  <c r="AD413" i="13"/>
  <c r="AK413" i="13" s="1"/>
  <c r="AS413" i="13"/>
  <c r="AF413" i="13"/>
  <c r="Z413" i="13"/>
  <c r="AE413" i="13"/>
  <c r="AA413" i="13"/>
  <c r="M294" i="15"/>
  <c r="AA111" i="13"/>
  <c r="AS111" i="13"/>
  <c r="AD111" i="13"/>
  <c r="AK111" i="13" s="1"/>
  <c r="AE111" i="13"/>
  <c r="AD72" i="13"/>
  <c r="AK72" i="13" s="1"/>
  <c r="M46" i="15"/>
  <c r="P46" i="15" s="1"/>
  <c r="AS72" i="13"/>
  <c r="AF72" i="13"/>
  <c r="AE72" i="13"/>
  <c r="Z72" i="13"/>
  <c r="AA72" i="13"/>
  <c r="AB72" i="13" s="1"/>
  <c r="AD372" i="13"/>
  <c r="AK372" i="13" s="1"/>
  <c r="M253" i="15"/>
  <c r="P253" i="15" s="1"/>
  <c r="AF372" i="13"/>
  <c r="AE372" i="13"/>
  <c r="AS372" i="13"/>
  <c r="AA372" i="13"/>
  <c r="Z372" i="13"/>
  <c r="M291" i="15"/>
  <c r="AF410" i="13"/>
  <c r="Z410" i="13"/>
  <c r="AA410" i="13"/>
  <c r="AS410" i="13"/>
  <c r="AE410" i="13"/>
  <c r="AD410" i="13"/>
  <c r="AK410" i="13" s="1"/>
  <c r="Z366" i="13"/>
  <c r="AA366" i="13"/>
  <c r="AS366" i="13"/>
  <c r="M247" i="15"/>
  <c r="AD366" i="13"/>
  <c r="AK366" i="13" s="1"/>
  <c r="AE366" i="13"/>
  <c r="AF366" i="13"/>
  <c r="AD394" i="13"/>
  <c r="AK394" i="13" s="1"/>
  <c r="AS394" i="13"/>
  <c r="AF394" i="13"/>
  <c r="AE394" i="13"/>
  <c r="Z394" i="13"/>
  <c r="AA394" i="13"/>
  <c r="M275" i="15"/>
  <c r="P262" i="15"/>
  <c r="N96" i="15"/>
  <c r="N33" i="15"/>
  <c r="P33" i="15"/>
  <c r="P172" i="15"/>
  <c r="AB66" i="13"/>
  <c r="N225" i="15"/>
  <c r="AB220" i="13"/>
  <c r="AB382" i="13"/>
  <c r="AB329" i="13"/>
  <c r="AB174" i="13"/>
  <c r="AB33" i="13"/>
  <c r="AB84" i="13"/>
  <c r="AB104" i="13"/>
  <c r="AB390" i="13"/>
  <c r="AB51" i="13"/>
  <c r="AB443" i="13"/>
  <c r="AB158" i="13"/>
  <c r="AB52" i="13"/>
  <c r="AB179" i="13"/>
  <c r="AB214" i="13"/>
  <c r="AB320" i="13"/>
  <c r="AB47" i="13"/>
  <c r="AB59" i="13"/>
  <c r="AB197" i="13"/>
  <c r="AB93" i="13"/>
  <c r="P225" i="15"/>
  <c r="AB293" i="13"/>
  <c r="AB102" i="13"/>
  <c r="AB116" i="13"/>
  <c r="AA13" i="13"/>
  <c r="AB411" i="13"/>
  <c r="AB301" i="13"/>
  <c r="AB57" i="13"/>
  <c r="AB87" i="13"/>
  <c r="AB406" i="13"/>
  <c r="AB308" i="13"/>
  <c r="AB323" i="13"/>
  <c r="AB300" i="13"/>
  <c r="AB169" i="13"/>
  <c r="AB261" i="13"/>
  <c r="AB216" i="13"/>
  <c r="AD414" i="13"/>
  <c r="AK414" i="13" s="1"/>
  <c r="AB146" i="13"/>
  <c r="AB318" i="13"/>
  <c r="AB426" i="13"/>
  <c r="AB374" i="13"/>
  <c r="AB309" i="13"/>
  <c r="AB416" i="13"/>
  <c r="AB187" i="13"/>
  <c r="AB399" i="13"/>
  <c r="AB280" i="13"/>
  <c r="AB240" i="13"/>
  <c r="AB291" i="13"/>
  <c r="AB376" i="13"/>
  <c r="AB106" i="13"/>
  <c r="AB337" i="13"/>
  <c r="AB395" i="13"/>
  <c r="AB383" i="13"/>
  <c r="AB429" i="13"/>
  <c r="AB427" i="13"/>
  <c r="AB38" i="13"/>
  <c r="M290" i="15"/>
  <c r="P290" i="15" s="1"/>
  <c r="AB271" i="13"/>
  <c r="AB251" i="13"/>
  <c r="AB404" i="13"/>
  <c r="AB176" i="13"/>
  <c r="AB49" i="13"/>
  <c r="AB438" i="13"/>
  <c r="AB40" i="13"/>
  <c r="AB365" i="13"/>
  <c r="AB139" i="13"/>
  <c r="AB210" i="13"/>
  <c r="AB203" i="13"/>
  <c r="AB248" i="13"/>
  <c r="AB109" i="13"/>
  <c r="AB294" i="13"/>
  <c r="AB263" i="13"/>
  <c r="AB204" i="13"/>
  <c r="AB362" i="13"/>
  <c r="AB259" i="13"/>
  <c r="AB342" i="13"/>
  <c r="AB130" i="13"/>
  <c r="AB205" i="13"/>
  <c r="AB27" i="13"/>
  <c r="AB65" i="13"/>
  <c r="AB115" i="13"/>
  <c r="AB330" i="13"/>
  <c r="AB154" i="13"/>
  <c r="AB302" i="13"/>
  <c r="AB408" i="13"/>
  <c r="AB310" i="13"/>
  <c r="AB30" i="13"/>
  <c r="AB332" i="13"/>
  <c r="AB339" i="13"/>
  <c r="AB37" i="13"/>
  <c r="AB77" i="13"/>
  <c r="AB287" i="13"/>
  <c r="AB381" i="13"/>
  <c r="AB284" i="13"/>
  <c r="AB405" i="13"/>
  <c r="AB258" i="13"/>
  <c r="AB101" i="13"/>
  <c r="AB152" i="13"/>
  <c r="AB74" i="13"/>
  <c r="AB288" i="13"/>
  <c r="AB418" i="13"/>
  <c r="AB243" i="13"/>
  <c r="AB185" i="13"/>
  <c r="AB353" i="13"/>
  <c r="AB95" i="13"/>
  <c r="AS202" i="13"/>
  <c r="AB387" i="13"/>
  <c r="AB379" i="13"/>
  <c r="AB274" i="13"/>
  <c r="AB225" i="13"/>
  <c r="AB334" i="13"/>
  <c r="AB315" i="13"/>
  <c r="N287" i="15"/>
  <c r="O287" i="15"/>
  <c r="N224" i="15"/>
  <c r="O70" i="15"/>
  <c r="P70" i="15"/>
  <c r="N65" i="15"/>
  <c r="O65" i="15"/>
  <c r="P149" i="15"/>
  <c r="N149" i="15"/>
  <c r="N263" i="15"/>
  <c r="P263" i="15"/>
  <c r="N133" i="15"/>
  <c r="P133" i="15"/>
  <c r="O189" i="15"/>
  <c r="N38" i="15"/>
  <c r="N228" i="15"/>
  <c r="P38" i="15"/>
  <c r="N189" i="15"/>
  <c r="N246" i="15"/>
  <c r="O246" i="15"/>
  <c r="P228" i="15"/>
  <c r="P68" i="15"/>
  <c r="O68" i="15"/>
  <c r="P285" i="15"/>
  <c r="O285" i="15"/>
  <c r="P319" i="15"/>
  <c r="P53" i="15"/>
  <c r="N286" i="15"/>
  <c r="O286" i="15"/>
  <c r="N319" i="15"/>
  <c r="P99" i="15"/>
  <c r="O99" i="15"/>
  <c r="P205" i="15"/>
  <c r="O92" i="15"/>
  <c r="O205" i="15"/>
  <c r="P92" i="15"/>
  <c r="O25" i="15"/>
  <c r="O220" i="15"/>
  <c r="AE414" i="13"/>
  <c r="N19" i="15"/>
  <c r="P47" i="15"/>
  <c r="O307" i="15"/>
  <c r="AA202" i="13"/>
  <c r="N135" i="15"/>
  <c r="P324" i="15"/>
  <c r="P135" i="15"/>
  <c r="O47" i="15"/>
  <c r="P307" i="15"/>
  <c r="O19" i="15"/>
  <c r="N23" i="15"/>
  <c r="AE202" i="13"/>
  <c r="AD202" i="13"/>
  <c r="AK202" i="13" s="1"/>
  <c r="AF409" i="13"/>
  <c r="O324" i="15"/>
  <c r="P260" i="15"/>
  <c r="M295" i="15"/>
  <c r="O295" i="15" s="1"/>
  <c r="O260" i="15"/>
  <c r="AF414" i="13"/>
  <c r="P227" i="15"/>
  <c r="P257" i="15"/>
  <c r="N25" i="15"/>
  <c r="N227" i="15"/>
  <c r="O257" i="15"/>
  <c r="O53" i="15"/>
  <c r="P220" i="15"/>
  <c r="P23" i="15"/>
  <c r="N255" i="15"/>
  <c r="N61" i="15"/>
  <c r="P255" i="15"/>
  <c r="N235" i="15"/>
  <c r="Z414" i="13"/>
  <c r="AA414" i="13"/>
  <c r="R221" i="25" s="1"/>
  <c r="AS414" i="13"/>
  <c r="AA409" i="13"/>
  <c r="R200" i="25" s="1"/>
  <c r="Z409" i="13"/>
  <c r="AS409" i="13"/>
  <c r="AE409" i="13"/>
  <c r="AD409" i="13"/>
  <c r="AK409" i="13" s="1"/>
  <c r="O115" i="15"/>
  <c r="P191" i="15"/>
  <c r="O191" i="15"/>
  <c r="O61" i="15"/>
  <c r="O235" i="15"/>
  <c r="P115" i="15"/>
  <c r="O192" i="15"/>
  <c r="P292" i="15"/>
  <c r="N192" i="15"/>
  <c r="N292" i="15"/>
  <c r="N222" i="15"/>
  <c r="O179" i="15"/>
  <c r="N179" i="15"/>
  <c r="N221" i="15"/>
  <c r="O221" i="15"/>
  <c r="N268" i="15"/>
  <c r="P268" i="15"/>
  <c r="AF321" i="13"/>
  <c r="AE321" i="13"/>
  <c r="AD321" i="13"/>
  <c r="AK321" i="13" s="1"/>
  <c r="Z321" i="13"/>
  <c r="AS321" i="13"/>
  <c r="AA321" i="13"/>
  <c r="M214" i="15"/>
  <c r="Z58" i="13"/>
  <c r="AA58" i="13"/>
  <c r="M39" i="15"/>
  <c r="N39" i="15" s="1"/>
  <c r="AS58" i="13"/>
  <c r="AF58" i="13"/>
  <c r="AE58" i="13"/>
  <c r="AD58" i="13"/>
  <c r="AK58" i="13" s="1"/>
  <c r="AA69" i="13"/>
  <c r="AD69" i="13"/>
  <c r="AK69" i="13" s="1"/>
  <c r="AE69" i="13"/>
  <c r="AS13" i="13"/>
  <c r="AD13" i="13"/>
  <c r="AK13" i="13" s="1"/>
  <c r="AE13" i="13"/>
  <c r="AF391" i="13"/>
  <c r="AS391" i="13"/>
  <c r="AS69" i="13"/>
  <c r="O222" i="15"/>
  <c r="O167" i="15"/>
  <c r="N167" i="15"/>
  <c r="AA391" i="13"/>
  <c r="R125" i="25" s="1"/>
  <c r="M272" i="15"/>
  <c r="P272" i="15" s="1"/>
  <c r="Z391" i="13"/>
  <c r="AE391" i="13"/>
  <c r="AD391" i="13"/>
  <c r="AK391" i="13" s="1"/>
  <c r="O30" i="15"/>
  <c r="P30" i="15"/>
  <c r="N30" i="15"/>
  <c r="P299" i="15"/>
  <c r="O299" i="15"/>
  <c r="N299" i="15"/>
  <c r="O185" i="15"/>
  <c r="P185" i="15"/>
  <c r="N185" i="15"/>
  <c r="L8" i="13"/>
  <c r="K446" i="13"/>
  <c r="D17" i="7" s="1"/>
  <c r="P134" i="15"/>
  <c r="O134" i="15"/>
  <c r="N134" i="15"/>
  <c r="N218" i="15"/>
  <c r="P218" i="15"/>
  <c r="O218" i="15"/>
  <c r="O276" i="15"/>
  <c r="N276" i="15"/>
  <c r="P276" i="15"/>
  <c r="AR446" i="13"/>
  <c r="D16" i="7"/>
  <c r="H13" i="7"/>
  <c r="J327" i="15"/>
  <c r="K327" i="15" s="1"/>
  <c r="K330" i="15" s="1"/>
  <c r="P101" i="15"/>
  <c r="N101" i="15"/>
  <c r="O101" i="15"/>
  <c r="P161" i="15"/>
  <c r="O161" i="15"/>
  <c r="N161" i="15"/>
  <c r="N12" i="15"/>
  <c r="O12" i="15"/>
  <c r="P12" i="15"/>
  <c r="P141" i="15"/>
  <c r="O141" i="15"/>
  <c r="N141" i="15"/>
  <c r="N183" i="15"/>
  <c r="O183" i="15"/>
  <c r="P183" i="15"/>
  <c r="O200" i="15"/>
  <c r="N200" i="15"/>
  <c r="P200" i="15"/>
  <c r="N162" i="15"/>
  <c r="O162" i="15"/>
  <c r="P162" i="15"/>
  <c r="P84" i="15"/>
  <c r="O84" i="15"/>
  <c r="N84" i="15"/>
  <c r="O66" i="15"/>
  <c r="N66" i="15"/>
  <c r="P66" i="15"/>
  <c r="O22" i="15"/>
  <c r="P22" i="15"/>
  <c r="N22" i="15"/>
  <c r="O194" i="15"/>
  <c r="P194" i="15"/>
  <c r="N194" i="15"/>
  <c r="P297" i="15"/>
  <c r="O297" i="15"/>
  <c r="N297" i="15"/>
  <c r="K331" i="15"/>
  <c r="N124" i="15"/>
  <c r="P124" i="15"/>
  <c r="O124" i="15"/>
  <c r="P121" i="15"/>
  <c r="O121" i="15"/>
  <c r="N121" i="15"/>
  <c r="P264" i="15"/>
  <c r="O264" i="15"/>
  <c r="N264" i="15"/>
  <c r="P78" i="15"/>
  <c r="O78" i="15"/>
  <c r="N78" i="15"/>
  <c r="P40" i="15"/>
  <c r="N40" i="15"/>
  <c r="O40" i="15"/>
  <c r="P1765" i="19"/>
  <c r="Q1765" i="19" s="1"/>
  <c r="Q14" i="19"/>
  <c r="O10" i="15"/>
  <c r="N10" i="15"/>
  <c r="P10" i="15"/>
  <c r="O20" i="15"/>
  <c r="N20" i="15"/>
  <c r="P20" i="15"/>
  <c r="P87" i="15"/>
  <c r="O87" i="15"/>
  <c r="N87" i="15"/>
  <c r="O310" i="15"/>
  <c r="P310" i="15"/>
  <c r="N310" i="15"/>
  <c r="N308" i="15"/>
  <c r="P308" i="15"/>
  <c r="O308" i="15"/>
  <c r="O59" i="15"/>
  <c r="N59" i="15"/>
  <c r="P59" i="15"/>
  <c r="O289" i="15"/>
  <c r="P289" i="15"/>
  <c r="N289" i="15"/>
  <c r="N26" i="15"/>
  <c r="P26" i="15"/>
  <c r="O26" i="15"/>
  <c r="AD445" i="13"/>
  <c r="AK445" i="13" s="1"/>
  <c r="M326" i="15"/>
  <c r="AS445" i="13"/>
  <c r="AF445" i="13"/>
  <c r="AE445" i="13"/>
  <c r="Z445" i="13"/>
  <c r="AA445" i="13"/>
  <c r="R544" i="25" s="1"/>
  <c r="M58" i="15"/>
  <c r="AD92" i="13"/>
  <c r="AK92" i="13" s="1"/>
  <c r="AF92" i="13"/>
  <c r="Z92" i="13"/>
  <c r="AE92" i="13"/>
  <c r="AS92" i="13"/>
  <c r="AA92" i="13"/>
  <c r="AE304" i="13"/>
  <c r="AD304" i="13"/>
  <c r="AK304" i="13" s="1"/>
  <c r="AS304" i="13"/>
  <c r="AA304" i="13"/>
  <c r="P243" i="15"/>
  <c r="N243" i="15"/>
  <c r="O243" i="15"/>
  <c r="O173" i="15"/>
  <c r="P173" i="15"/>
  <c r="N173" i="15"/>
  <c r="P439" i="13"/>
  <c r="R439" i="13"/>
  <c r="U439" i="13" s="1"/>
  <c r="V439" i="13" s="1"/>
  <c r="P145" i="15"/>
  <c r="N145" i="15"/>
  <c r="O145" i="15"/>
  <c r="AD377" i="13"/>
  <c r="AK377" i="13" s="1"/>
  <c r="AF377" i="13"/>
  <c r="M258" i="15"/>
  <c r="AE377" i="13"/>
  <c r="AS377" i="13"/>
  <c r="Z377" i="13"/>
  <c r="AA377" i="13"/>
  <c r="R69" i="25" s="1"/>
  <c r="N34" i="15"/>
  <c r="P34" i="15"/>
  <c r="O34" i="15"/>
  <c r="P216" i="15"/>
  <c r="N216" i="15"/>
  <c r="O216" i="15"/>
  <c r="P118" i="15"/>
  <c r="N118" i="15"/>
  <c r="O118" i="15"/>
  <c r="P139" i="15"/>
  <c r="N139" i="15"/>
  <c r="O139" i="15"/>
  <c r="N109" i="15"/>
  <c r="P109" i="15"/>
  <c r="O109" i="15"/>
  <c r="M303" i="15"/>
  <c r="AE422" i="13"/>
  <c r="AS422" i="13"/>
  <c r="AD422" i="13"/>
  <c r="AK422" i="13" s="1"/>
  <c r="Z422" i="13"/>
  <c r="AF422" i="13"/>
  <c r="AA422" i="13"/>
  <c r="R287" i="25" s="1"/>
  <c r="AB363" i="13" l="1"/>
  <c r="AB431" i="13"/>
  <c r="AB425" i="13"/>
  <c r="P309" i="15"/>
  <c r="N309" i="15"/>
  <c r="P302" i="15"/>
  <c r="N302" i="15"/>
  <c r="AB403" i="13"/>
  <c r="R172" i="25"/>
  <c r="AB360" i="13"/>
  <c r="R8" i="25"/>
  <c r="AB419" i="13"/>
  <c r="R255" i="25"/>
  <c r="AB421" i="13"/>
  <c r="R274" i="25"/>
  <c r="AB413" i="13"/>
  <c r="R217" i="25"/>
  <c r="AB370" i="13"/>
  <c r="R41" i="25"/>
  <c r="AB361" i="13"/>
  <c r="R11" i="25"/>
  <c r="AB372" i="13"/>
  <c r="R52" i="25"/>
  <c r="AB394" i="13"/>
  <c r="R135" i="25"/>
  <c r="AB410" i="13"/>
  <c r="R204" i="25"/>
  <c r="AB440" i="13"/>
  <c r="R464" i="25"/>
  <c r="AB396" i="13"/>
  <c r="R147" i="25"/>
  <c r="AB428" i="13"/>
  <c r="R344" i="25"/>
  <c r="AB397" i="13"/>
  <c r="R150" i="25"/>
  <c r="AB389" i="13"/>
  <c r="R115" i="25"/>
  <c r="AB432" i="13"/>
  <c r="R389" i="25"/>
  <c r="AB393" i="13"/>
  <c r="R132" i="25"/>
  <c r="AB444" i="13"/>
  <c r="R515" i="25"/>
  <c r="AB420" i="13"/>
  <c r="R265" i="25"/>
  <c r="AB434" i="13"/>
  <c r="R411" i="25"/>
  <c r="AB366" i="13"/>
  <c r="R29" i="25"/>
  <c r="AB437" i="13"/>
  <c r="R433" i="25"/>
  <c r="AB423" i="13"/>
  <c r="R305" i="25"/>
  <c r="N79" i="15"/>
  <c r="O79" i="15"/>
  <c r="O75" i="15"/>
  <c r="O85" i="15"/>
  <c r="O312" i="15"/>
  <c r="P127" i="15"/>
  <c r="N312" i="15"/>
  <c r="N277" i="15"/>
  <c r="P85" i="15"/>
  <c r="P277" i="15"/>
  <c r="O127" i="15"/>
  <c r="N75" i="15"/>
  <c r="O207" i="15"/>
  <c r="N207" i="15"/>
  <c r="N165" i="15"/>
  <c r="P165" i="15"/>
  <c r="P117" i="15"/>
  <c r="O117" i="15"/>
  <c r="P28" i="15"/>
  <c r="N9" i="15"/>
  <c r="O9" i="15"/>
  <c r="O315" i="15"/>
  <c r="N315" i="15"/>
  <c r="O13" i="15"/>
  <c r="P13" i="15"/>
  <c r="N237" i="15"/>
  <c r="O28" i="15"/>
  <c r="O80" i="15"/>
  <c r="O130" i="15"/>
  <c r="O270" i="15"/>
  <c r="N80" i="15"/>
  <c r="N102" i="15"/>
  <c r="O237" i="15"/>
  <c r="P280" i="15"/>
  <c r="O108" i="15"/>
  <c r="P213" i="15"/>
  <c r="N213" i="15"/>
  <c r="O213" i="15"/>
  <c r="N325" i="15"/>
  <c r="N128" i="15"/>
  <c r="P156" i="15"/>
  <c r="O128" i="15"/>
  <c r="N142" i="15"/>
  <c r="O129" i="15"/>
  <c r="O174" i="15"/>
  <c r="P129" i="15"/>
  <c r="N174" i="15"/>
  <c r="P242" i="15"/>
  <c r="P325" i="15"/>
  <c r="P142" i="15"/>
  <c r="N156" i="15"/>
  <c r="N242" i="15"/>
  <c r="O201" i="15"/>
  <c r="N236" i="15"/>
  <c r="P236" i="15"/>
  <c r="P108" i="15"/>
  <c r="P51" i="15"/>
  <c r="O51" i="15"/>
  <c r="P203" i="15"/>
  <c r="P98" i="15"/>
  <c r="O54" i="15"/>
  <c r="N54" i="15"/>
  <c r="N98" i="15"/>
  <c r="P251" i="15"/>
  <c r="P82" i="15"/>
  <c r="N251" i="15"/>
  <c r="P102" i="15"/>
  <c r="N130" i="15"/>
  <c r="O82" i="15"/>
  <c r="N270" i="15"/>
  <c r="P318" i="15"/>
  <c r="O17" i="15"/>
  <c r="O203" i="15"/>
  <c r="N301" i="15"/>
  <c r="P304" i="15"/>
  <c r="O301" i="15"/>
  <c r="O280" i="15"/>
  <c r="P239" i="15"/>
  <c r="P274" i="15"/>
  <c r="O204" i="15"/>
  <c r="O239" i="15"/>
  <c r="N274" i="15"/>
  <c r="P204" i="15"/>
  <c r="N304" i="15"/>
  <c r="O104" i="15"/>
  <c r="O48" i="15"/>
  <c r="P215" i="15"/>
  <c r="O111" i="15"/>
  <c r="P208" i="15"/>
  <c r="P111" i="15"/>
  <c r="N168" i="15"/>
  <c r="P48" i="15"/>
  <c r="P116" i="15"/>
  <c r="O131" i="15"/>
  <c r="P131" i="15"/>
  <c r="O116" i="15"/>
  <c r="O90" i="15"/>
  <c r="N90" i="15"/>
  <c r="N193" i="15"/>
  <c r="O193" i="15"/>
  <c r="N104" i="15"/>
  <c r="O168" i="15"/>
  <c r="N208" i="15"/>
  <c r="N215" i="15"/>
  <c r="O88" i="15"/>
  <c r="P17" i="15"/>
  <c r="P313" i="15"/>
  <c r="O219" i="15"/>
  <c r="O177" i="15"/>
  <c r="O300" i="15"/>
  <c r="N112" i="15"/>
  <c r="N211" i="15"/>
  <c r="N148" i="15"/>
  <c r="N313" i="15"/>
  <c r="O120" i="15"/>
  <c r="P177" i="15"/>
  <c r="N300" i="15"/>
  <c r="P148" i="15"/>
  <c r="N120" i="15"/>
  <c r="P88" i="15"/>
  <c r="P112" i="15"/>
  <c r="N219" i="15"/>
  <c r="P211" i="15"/>
  <c r="N41" i="15"/>
  <c r="P144" i="15"/>
  <c r="P241" i="15"/>
  <c r="N241" i="15"/>
  <c r="O89" i="15"/>
  <c r="O144" i="15"/>
  <c r="N184" i="15"/>
  <c r="P321" i="15"/>
  <c r="P154" i="15"/>
  <c r="P89" i="15"/>
  <c r="O184" i="15"/>
  <c r="N321" i="15"/>
  <c r="N154" i="15"/>
  <c r="P64" i="15"/>
  <c r="N244" i="15"/>
  <c r="O244" i="15"/>
  <c r="O284" i="15"/>
  <c r="N278" i="15"/>
  <c r="P284" i="15"/>
  <c r="O278" i="15"/>
  <c r="N178" i="15"/>
  <c r="O46" i="15"/>
  <c r="O64" i="15"/>
  <c r="N46" i="15"/>
  <c r="P201" i="15"/>
  <c r="O178" i="15"/>
  <c r="P119" i="15"/>
  <c r="P143" i="15"/>
  <c r="N119" i="15"/>
  <c r="N171" i="15"/>
  <c r="O171" i="15"/>
  <c r="P155" i="15"/>
  <c r="O155" i="15"/>
  <c r="O132" i="15"/>
  <c r="N132" i="15"/>
  <c r="O143" i="15"/>
  <c r="P41" i="15"/>
  <c r="O318" i="15"/>
  <c r="N42" i="15"/>
  <c r="N35" i="15"/>
  <c r="O42" i="15"/>
  <c r="N306" i="15"/>
  <c r="O35" i="15"/>
  <c r="P306" i="15"/>
  <c r="O253" i="15"/>
  <c r="N253" i="15"/>
  <c r="O160" i="15"/>
  <c r="P160" i="15"/>
  <c r="P275" i="15"/>
  <c r="N275" i="15"/>
  <c r="O275" i="15"/>
  <c r="N291" i="15"/>
  <c r="P291" i="15"/>
  <c r="O291" i="15"/>
  <c r="N294" i="15"/>
  <c r="O294" i="15"/>
  <c r="P294" i="15"/>
  <c r="W439" i="13"/>
  <c r="Y439" i="13" s="1"/>
  <c r="P247" i="15"/>
  <c r="N247" i="15"/>
  <c r="O247" i="15"/>
  <c r="N290" i="15"/>
  <c r="O290" i="15"/>
  <c r="AB321" i="13"/>
  <c r="AB92" i="13"/>
  <c r="AB391" i="13"/>
  <c r="AB409" i="13"/>
  <c r="AB445" i="13"/>
  <c r="AB377" i="13"/>
  <c r="AB58" i="13"/>
  <c r="AB414" i="13"/>
  <c r="AB422" i="13"/>
  <c r="AB202" i="13"/>
  <c r="P295" i="15"/>
  <c r="N295" i="15"/>
  <c r="O39" i="15"/>
  <c r="P39" i="15"/>
  <c r="O272" i="15"/>
  <c r="N272" i="15"/>
  <c r="O214" i="15"/>
  <c r="N214" i="15"/>
  <c r="P214" i="15"/>
  <c r="O58" i="15"/>
  <c r="P58" i="15"/>
  <c r="N58" i="15"/>
  <c r="P258" i="15"/>
  <c r="N258" i="15"/>
  <c r="O258" i="15"/>
  <c r="N303" i="15"/>
  <c r="P303" i="15"/>
  <c r="O303" i="15"/>
  <c r="R8" i="13"/>
  <c r="U8" i="13" s="1"/>
  <c r="L449" i="13"/>
  <c r="L446" i="13"/>
  <c r="P8" i="13"/>
  <c r="P446" i="13" s="1"/>
  <c r="H19" i="3" s="1"/>
  <c r="I13" i="7"/>
  <c r="J13" i="7" s="1"/>
  <c r="O326" i="15"/>
  <c r="P326" i="15"/>
  <c r="N326" i="15"/>
  <c r="AS439" i="13" l="1"/>
  <c r="Q453" i="25"/>
  <c r="M320" i="15"/>
  <c r="P320" i="15" s="1"/>
  <c r="V8" i="13"/>
  <c r="W8" i="13" s="1"/>
  <c r="Y8" i="13" s="1"/>
  <c r="U446" i="13"/>
  <c r="Z439" i="13"/>
  <c r="AF439" i="13"/>
  <c r="AA439" i="13"/>
  <c r="AD439" i="13"/>
  <c r="AK439" i="13" s="1"/>
  <c r="AE439" i="13"/>
  <c r="U449" i="13"/>
  <c r="U451" i="13"/>
  <c r="U452" i="13"/>
  <c r="D18" i="7"/>
  <c r="H8" i="3"/>
  <c r="R449" i="13"/>
  <c r="R446" i="13"/>
  <c r="AB439" i="13" l="1"/>
  <c r="R453" i="25"/>
  <c r="V446" i="13"/>
  <c r="N320" i="15"/>
  <c r="O320" i="15"/>
  <c r="D23" i="7"/>
  <c r="D26" i="7" s="1"/>
  <c r="H10" i="3"/>
  <c r="D31" i="7"/>
  <c r="H11" i="3"/>
  <c r="W446" i="13"/>
  <c r="D34" i="7" l="1"/>
  <c r="H12" i="3"/>
  <c r="Y446" i="13"/>
  <c r="AO12" i="7" s="1"/>
  <c r="M8" i="15"/>
  <c r="AE8" i="13"/>
  <c r="AF8" i="13"/>
  <c r="Z8" i="13"/>
  <c r="AD8" i="13"/>
  <c r="AK8" i="13" s="1"/>
  <c r="AS8" i="13"/>
  <c r="AA8" i="13"/>
  <c r="AE448" i="13" l="1"/>
  <c r="AC46" i="3" s="1"/>
  <c r="AE447" i="13"/>
  <c r="AC45" i="3" s="1"/>
  <c r="N8" i="15"/>
  <c r="O8" i="15"/>
  <c r="P8" i="15"/>
  <c r="AB8" i="13"/>
  <c r="AA446" i="13"/>
  <c r="AB446" i="13" s="1"/>
  <c r="AS446" i="13"/>
  <c r="H14" i="7"/>
  <c r="M327" i="15"/>
  <c r="Y448" i="13"/>
  <c r="D40" i="7"/>
  <c r="D41" i="7" s="1"/>
  <c r="H13" i="3"/>
  <c r="H21" i="3" s="1"/>
  <c r="AD446" i="13"/>
  <c r="AK446" i="13" s="1"/>
  <c r="P327" i="15" l="1"/>
  <c r="O327" i="15"/>
  <c r="N327" i="15"/>
  <c r="H16" i="3"/>
  <c r="H17" i="3" s="1"/>
  <c r="H18" i="7"/>
  <c r="I14" i="7"/>
  <c r="J14" i="7" s="1"/>
  <c r="H15" i="7"/>
  <c r="O330" i="15"/>
  <c r="O331" i="15"/>
  <c r="N330" i="15"/>
  <c r="H20" i="3" s="1"/>
  <c r="N331" i="15"/>
  <c r="H20" i="7" l="1"/>
  <c r="I15" i="7"/>
  <c r="J15"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Yang, Hua  (DESE)</author>
  </authors>
  <commentList>
    <comment ref="AB6" authorId="0" shapeId="0" xr:uid="{9558FB56-A6E5-4244-9360-2EA9BCFB7B6C}">
      <text>
        <r>
          <rPr>
            <sz val="9"/>
            <color indexed="81"/>
            <rFont val="Tahoma"/>
            <family val="2"/>
          </rPr>
          <t xml:space="preserve">After implementation
</t>
        </r>
      </text>
    </comment>
    <comment ref="AC6" authorId="0" shapeId="0" xr:uid="{03C8A6D3-EF82-4A98-BCA1-9218AA235822}">
      <text>
        <r>
          <rPr>
            <sz val="9"/>
            <color indexed="81"/>
            <rFont val="Tahoma"/>
            <family val="2"/>
          </rPr>
          <t xml:space="preserve">After implementation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Hatch, Roger M (DOE)</author>
  </authors>
  <commentList>
    <comment ref="AF448" authorId="0" shapeId="0" xr:uid="{00000000-0006-0000-0F00-000001000000}">
      <text>
        <r>
          <rPr>
            <b/>
            <sz val="8"/>
            <color indexed="81"/>
            <rFont val="Tahoma"/>
            <family val="2"/>
          </rPr>
          <t xml:space="preserve">adds in Essex Ag which is no longer on the file
</t>
        </r>
        <r>
          <rPr>
            <sz val="8"/>
            <color indexed="81"/>
            <rFont val="Tahoma"/>
            <family val="2"/>
          </rPr>
          <t xml:space="preserve">
</t>
        </r>
      </text>
    </comment>
    <comment ref="AG448" authorId="0" shapeId="0" xr:uid="{00000000-0006-0000-0F00-000002000000}">
      <text>
        <r>
          <rPr>
            <b/>
            <sz val="8"/>
            <color indexed="81"/>
            <rFont val="Tahoma"/>
            <family val="2"/>
          </rPr>
          <t xml:space="preserve">adds in essex ag which is no longer on the file; source: state total fy14
</t>
        </r>
        <r>
          <rPr>
            <sz val="8"/>
            <color indexed="81"/>
            <rFont val="Tahoma"/>
            <family val="2"/>
          </rPr>
          <t xml:space="preserve">
</t>
        </r>
      </text>
    </comment>
    <comment ref="AH448" authorId="0" shapeId="0" xr:uid="{00000000-0006-0000-0F00-000003000000}">
      <text>
        <r>
          <rPr>
            <b/>
            <sz val="8"/>
            <color indexed="81"/>
            <rFont val="Tahoma"/>
            <family val="2"/>
          </rPr>
          <t xml:space="preserve">adds in essex ag which is no longer on the file; source: c70fy14 state total from summary page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<sst xmlns="http://schemas.openxmlformats.org/spreadsheetml/2006/main" count="15924" uniqueCount="2581">
  <si>
    <t xml:space="preserve">SOUTHERN BERKSHIRE           </t>
  </si>
  <si>
    <t xml:space="preserve">AMESBURY                     </t>
  </si>
  <si>
    <t xml:space="preserve">WHITTIER                     </t>
  </si>
  <si>
    <t xml:space="preserve">AMHERST                      </t>
  </si>
  <si>
    <t xml:space="preserve">AMHERST PELHAM               </t>
  </si>
  <si>
    <t xml:space="preserve">ANDOVER                      </t>
  </si>
  <si>
    <t xml:space="preserve">GREATER LAWRENCE             </t>
  </si>
  <si>
    <t xml:space="preserve">ARLINGTON                    </t>
  </si>
  <si>
    <t xml:space="preserve">ASHBURNHAM                   </t>
  </si>
  <si>
    <t xml:space="preserve">ASHBURNHAM WESTMINSTER       </t>
  </si>
  <si>
    <t xml:space="preserve">MONTACHUSETT                 </t>
  </si>
  <si>
    <t xml:space="preserve">ASHBY                        </t>
  </si>
  <si>
    <t xml:space="preserve">NORTH MIDDLESEX              </t>
  </si>
  <si>
    <t xml:space="preserve">ASHFIELD                     </t>
  </si>
  <si>
    <t xml:space="preserve">MOHAWK TRAIL                 </t>
  </si>
  <si>
    <t xml:space="preserve">ASHLAND                      </t>
  </si>
  <si>
    <t xml:space="preserve">SOUTH MIDDLESEX              </t>
  </si>
  <si>
    <t xml:space="preserve">ATHOL                        </t>
  </si>
  <si>
    <t xml:space="preserve">ATHOL ROYALSTON              </t>
  </si>
  <si>
    <t xml:space="preserve">ATTLEBORO                    </t>
  </si>
  <si>
    <t xml:space="preserve">AUBURN                       </t>
  </si>
  <si>
    <t xml:space="preserve">SOUTHERN WORCESTER           </t>
  </si>
  <si>
    <t xml:space="preserve">AVON                         </t>
  </si>
  <si>
    <t xml:space="preserve">BLUE HILLS                   </t>
  </si>
  <si>
    <t xml:space="preserve">NORFOLK COUNTY               </t>
  </si>
  <si>
    <t xml:space="preserve">AYER                         </t>
  </si>
  <si>
    <t xml:space="preserve">BARNSTABLE                   </t>
  </si>
  <si>
    <t xml:space="preserve">CAPE COD                     </t>
  </si>
  <si>
    <t xml:space="preserve">BARRE                        </t>
  </si>
  <si>
    <t xml:space="preserve">QUABBIN                      </t>
  </si>
  <si>
    <t xml:space="preserve">BECKET                       </t>
  </si>
  <si>
    <t xml:space="preserve">CENTRAL BERKSHIRE            </t>
  </si>
  <si>
    <t xml:space="preserve">BEDFORD                      </t>
  </si>
  <si>
    <t xml:space="preserve">SHAWSHEEN VALLEY             </t>
  </si>
  <si>
    <t xml:space="preserve">BELCHERTOWN                  </t>
  </si>
  <si>
    <t xml:space="preserve">PATHFINDER                   </t>
  </si>
  <si>
    <t xml:space="preserve">BELLINGHAM                   </t>
  </si>
  <si>
    <t xml:space="preserve">BLACKSTONE VALLEY            </t>
  </si>
  <si>
    <t xml:space="preserve">BERKLEY                      </t>
  </si>
  <si>
    <t xml:space="preserve">BRISTOL PLYMOUTH             </t>
  </si>
  <si>
    <t xml:space="preserve">BERLIN                       </t>
  </si>
  <si>
    <t xml:space="preserve">BERLIN BOYLSTON              </t>
  </si>
  <si>
    <t xml:space="preserve">ASSABET VALLEY               </t>
  </si>
  <si>
    <t xml:space="preserve">BERNARDSTON                  </t>
  </si>
  <si>
    <t xml:space="preserve">PIONEER                      </t>
  </si>
  <si>
    <t xml:space="preserve">FRANKLIN COUNTY              </t>
  </si>
  <si>
    <t xml:space="preserve">BEVERLY                      </t>
  </si>
  <si>
    <t xml:space="preserve">BILLERICA                    </t>
  </si>
  <si>
    <t xml:space="preserve">BLACKSTONE                   </t>
  </si>
  <si>
    <t xml:space="preserve">BLACKSTONE MILLVILLE         </t>
  </si>
  <si>
    <t>c70fy09 oct 15</t>
  </si>
  <si>
    <t>sfsf</t>
  </si>
  <si>
    <t>Foundation Aid</t>
  </si>
  <si>
    <t>Non-Operating District Reduction to Foundation</t>
  </si>
  <si>
    <t xml:space="preserve">BLANDFORD                    </t>
  </si>
  <si>
    <t xml:space="preserve">GATEWAY                      </t>
  </si>
  <si>
    <t xml:space="preserve">BOLTON                       </t>
  </si>
  <si>
    <t>LEA</t>
  </si>
  <si>
    <t>Town</t>
  </si>
  <si>
    <t>Order</t>
  </si>
  <si>
    <t>Percentage</t>
  </si>
  <si>
    <t>Record</t>
  </si>
  <si>
    <t>Number</t>
  </si>
  <si>
    <t>Non-Op</t>
  </si>
  <si>
    <t>foundaid</t>
  </si>
  <si>
    <t>Share of Total</t>
  </si>
  <si>
    <t>ESSEX</t>
  </si>
  <si>
    <t>MANCHESTER</t>
  </si>
  <si>
    <t>HOLDEN</t>
  </si>
  <si>
    <t>HARDWICK</t>
  </si>
  <si>
    <t>RUTLAND</t>
  </si>
  <si>
    <t>Foundation budget</t>
  </si>
  <si>
    <t xml:space="preserve"> </t>
  </si>
  <si>
    <t>code</t>
  </si>
  <si>
    <t>Summary</t>
  </si>
  <si>
    <t>Foundation Budget</t>
  </si>
  <si>
    <t>Regional Allocation</t>
  </si>
  <si>
    <t>Questions or comments about Chapter 70 may be directed to:</t>
  </si>
  <si>
    <t>MONOMOY</t>
  </si>
  <si>
    <t>FY13</t>
  </si>
  <si>
    <t>SOUTHWICK TOLLAND GRANVILLE</t>
  </si>
  <si>
    <t>c70fy12, oct 14; monomoy, chatham harwich, granville, st</t>
  </si>
  <si>
    <t>Reduction to foundation</t>
  </si>
  <si>
    <t>19)</t>
  </si>
  <si>
    <t>Return to Index</t>
  </si>
  <si>
    <t>AYER</t>
  </si>
  <si>
    <t>The foundation budget shown on this page may differ from the final number used in the formula, due to rounding error.</t>
  </si>
  <si>
    <t>Instructional Leadership</t>
  </si>
  <si>
    <t>Other Teaching Services</t>
  </si>
  <si>
    <t>Professional Development</t>
  </si>
  <si>
    <t>FY08</t>
  </si>
  <si>
    <t>Pupil Services</t>
  </si>
  <si>
    <t>Wage Adjustment Factor</t>
  </si>
  <si>
    <t>Total foundation enrollment assigns pupils in pre-kindergarten and half-time kindergarten an enrollment count of .5.</t>
  </si>
  <si>
    <t>Foundation Enrollment</t>
  </si>
  <si>
    <t>Regional District Enrollment and Contributions by Member City or Town</t>
  </si>
  <si>
    <t>Member</t>
  </si>
  <si>
    <t>Required district contribution</t>
  </si>
  <si>
    <t>excess effort</t>
  </si>
  <si>
    <t>GRANVILLE</t>
  </si>
  <si>
    <t>fy11 fb in localcont pivoted, total difffers because of regionalizers</t>
  </si>
  <si>
    <t>FY11</t>
  </si>
  <si>
    <t>NORTH BROOKFIELD</t>
  </si>
  <si>
    <t>OAKHAM</t>
  </si>
  <si>
    <t>PEABODY</t>
  </si>
  <si>
    <t>Reg'l Total</t>
  </si>
  <si>
    <t>WELLESLEY</t>
  </si>
  <si>
    <t>budget</t>
  </si>
  <si>
    <t>foundation</t>
  </si>
  <si>
    <t>total</t>
  </si>
  <si>
    <t>contribution</t>
  </si>
  <si>
    <t>Effort Goal</t>
  </si>
  <si>
    <t>Local effort from property wealth</t>
  </si>
  <si>
    <t>Local effort from income</t>
  </si>
  <si>
    <t>1)</t>
  </si>
  <si>
    <t>2)</t>
  </si>
  <si>
    <t>3)</t>
  </si>
  <si>
    <t>4)</t>
  </si>
  <si>
    <t>5)</t>
  </si>
  <si>
    <t>6)</t>
  </si>
  <si>
    <t>7)</t>
  </si>
  <si>
    <t>8)</t>
  </si>
  <si>
    <t>9)</t>
  </si>
  <si>
    <t>10)</t>
  </si>
  <si>
    <t>11)</t>
  </si>
  <si>
    <t>12)</t>
  </si>
  <si>
    <t>13)</t>
  </si>
  <si>
    <t>14)</t>
  </si>
  <si>
    <t>15)</t>
  </si>
  <si>
    <t>16)</t>
  </si>
  <si>
    <t>17)</t>
  </si>
  <si>
    <t>See a listing of all 351 communities</t>
  </si>
  <si>
    <t>Required</t>
  </si>
  <si>
    <t>required</t>
  </si>
  <si>
    <t>18)</t>
  </si>
  <si>
    <t>rednonop</t>
  </si>
  <si>
    <t>23)</t>
  </si>
  <si>
    <t>25)</t>
  </si>
  <si>
    <t>Office of School Finance</t>
  </si>
  <si>
    <t>Elementary</t>
  </si>
  <si>
    <t>PK</t>
  </si>
  <si>
    <t>K Half</t>
  </si>
  <si>
    <t>Elem</t>
  </si>
  <si>
    <t>NORTHAMPTON SMITH</t>
  </si>
  <si>
    <t>AMHERST PELHAM</t>
  </si>
  <si>
    <t>ASHBURNHAM WESTMINSTER</t>
  </si>
  <si>
    <t>ATHOL ROYALSTON</t>
  </si>
  <si>
    <t>BERKSHIRE HILLS</t>
  </si>
  <si>
    <t>BERLIN BOYLSTON</t>
  </si>
  <si>
    <t>BLACKSTONE MILLVILLE</t>
  </si>
  <si>
    <t>BRIDGEWATER RAYNHAM</t>
  </si>
  <si>
    <t>CENTRAL BERKSHIRE</t>
  </si>
  <si>
    <t>CONCORD CARLISLE</t>
  </si>
  <si>
    <t>DENNIS YARMOUTH</t>
  </si>
  <si>
    <t>DIGHTON REHOBOTH</t>
  </si>
  <si>
    <t>DOVER SHERBORN</t>
  </si>
  <si>
    <t>DUDLEY CHARLTON</t>
  </si>
  <si>
    <t>NAUSET</t>
  </si>
  <si>
    <t>FREETOWN LAKEVILLE</t>
  </si>
  <si>
    <t>FRONTIER</t>
  </si>
  <si>
    <t>GATEWAY</t>
  </si>
  <si>
    <t>GROTON DUNSTABLE</t>
  </si>
  <si>
    <t>GILL MONTAGUE</t>
  </si>
  <si>
    <t>HAMILTON WENHAM</t>
  </si>
  <si>
    <t>HAMPDEN WILBRAHAM</t>
  </si>
  <si>
    <t>HAMPSHIRE</t>
  </si>
  <si>
    <t>HAWLEMONT</t>
  </si>
  <si>
    <t>KING PHILIP</t>
  </si>
  <si>
    <t>LINCOLN SUDBURY</t>
  </si>
  <si>
    <t>MARTHAS VINEYARD</t>
  </si>
  <si>
    <t>MASCONOMET</t>
  </si>
  <si>
    <t>MENDON UPTON</t>
  </si>
  <si>
    <t>Prior Year Data (for comparison purposes)</t>
  </si>
  <si>
    <t>Prior Year Aid</t>
  </si>
  <si>
    <t>MOUNT GREYLOCK</t>
  </si>
  <si>
    <t>MOHAWK TRAIL</t>
  </si>
  <si>
    <t>FY09 9c cut</t>
  </si>
  <si>
    <t>stabilization aid</t>
  </si>
  <si>
    <t>NARRAGANSETT</t>
  </si>
  <si>
    <t>NASHOBA</t>
  </si>
  <si>
    <t>NEW SALEM WENDELL</t>
  </si>
  <si>
    <t>NORTHBORO SOUTHBORO</t>
  </si>
  <si>
    <t>NORTH MIDDLESEX</t>
  </si>
  <si>
    <t>OLD ROCHESTER</t>
  </si>
  <si>
    <t>PENTUCKET</t>
  </si>
  <si>
    <t>PIONEER</t>
  </si>
  <si>
    <t>QUABBIN</t>
  </si>
  <si>
    <t>RALPH C MAHAR</t>
  </si>
  <si>
    <t>SILVER LAKE</t>
  </si>
  <si>
    <t>SOUTHERN BERKSHIRE</t>
  </si>
  <si>
    <t>SPENCER EAST BROOKFIELD</t>
  </si>
  <si>
    <t>TANTASQUA</t>
  </si>
  <si>
    <t>TRITON</t>
  </si>
  <si>
    <t>WACHUSETT</t>
  </si>
  <si>
    <t>WHITMAN HANSON</t>
  </si>
  <si>
    <t>ASSABET VALLEY</t>
  </si>
  <si>
    <t>BLACKSTONE VALLEY</t>
  </si>
  <si>
    <t>BLUE HILLS</t>
  </si>
  <si>
    <t>BRISTOL PLYMOUTH</t>
  </si>
  <si>
    <t>CAPE COD</t>
  </si>
  <si>
    <t>FRANKLIN COUNTY</t>
  </si>
  <si>
    <t>GREATER FALL RIVER</t>
  </si>
  <si>
    <t>GREATER LAWRENCE</t>
  </si>
  <si>
    <t>GREATER NEW BEDFORD</t>
  </si>
  <si>
    <t>GREATER LOWELL</t>
  </si>
  <si>
    <t>SOUTH MIDDLESEX</t>
  </si>
  <si>
    <t>MINUTEMAN</t>
  </si>
  <si>
    <t>MONTACHUSETT</t>
  </si>
  <si>
    <t>NORTHERN BERKSHIRE</t>
  </si>
  <si>
    <t>NASHOBA VALLEY</t>
  </si>
  <si>
    <t>NORTHEAST METROPOLITAN</t>
  </si>
  <si>
    <t>OLD COLONY</t>
  </si>
  <si>
    <t>SHAWSHEEN VALLEY</t>
  </si>
  <si>
    <t>SOUTHEASTERN</t>
  </si>
  <si>
    <t>SOUTH SHORE</t>
  </si>
  <si>
    <t>SOUTHERN WORCESTER</t>
  </si>
  <si>
    <t>TRI COUNTY</t>
  </si>
  <si>
    <t>UPPER CAPE COD</t>
  </si>
  <si>
    <t>WHITTIER</t>
  </si>
  <si>
    <t>BRISTOL COUNTY</t>
  </si>
  <si>
    <t>NORFOLK COUNTY</t>
  </si>
  <si>
    <t>Administration</t>
  </si>
  <si>
    <t>Junior/Middle</t>
  </si>
  <si>
    <t>High School</t>
  </si>
  <si>
    <t>Vocational</t>
  </si>
  <si>
    <t>aid</t>
  </si>
  <si>
    <t xml:space="preserve">town </t>
  </si>
  <si>
    <t xml:space="preserve">effort </t>
  </si>
  <si>
    <t>goal pct</t>
  </si>
  <si>
    <t>chapter 70</t>
  </si>
  <si>
    <t>memeffpct</t>
  </si>
  <si>
    <t>weighted</t>
  </si>
  <si>
    <t>percentage</t>
  </si>
  <si>
    <t>effort goal</t>
  </si>
  <si>
    <t xml:space="preserve">NASHOBA                      </t>
  </si>
  <si>
    <t xml:space="preserve">BOURNE                       </t>
  </si>
  <si>
    <t>AYER SHIRLEY</t>
  </si>
  <si>
    <t>SOMERSET BERKLEY</t>
  </si>
  <si>
    <t xml:space="preserve">UPPER CAPE COD               </t>
  </si>
  <si>
    <t xml:space="preserve">BOXBOROUGH                   </t>
  </si>
  <si>
    <t xml:space="preserve">BOXFORD                      </t>
  </si>
  <si>
    <t xml:space="preserve">MASCONOMET                   </t>
  </si>
  <si>
    <t xml:space="preserve">BOYLSTON                     </t>
  </si>
  <si>
    <t xml:space="preserve">BRAINTREE                    </t>
  </si>
  <si>
    <t xml:space="preserve">BREWSTER                     </t>
  </si>
  <si>
    <t xml:space="preserve">NAUSET                       </t>
  </si>
  <si>
    <t xml:space="preserve">BRIDGEWATER                  </t>
  </si>
  <si>
    <t xml:space="preserve">BRIDGEWATER RAYNHAM          </t>
  </si>
  <si>
    <t xml:space="preserve">BRIMFIELD                    </t>
  </si>
  <si>
    <t xml:space="preserve">TANTASQUA                    </t>
  </si>
  <si>
    <t xml:space="preserve">BROCKTON                     </t>
  </si>
  <si>
    <t xml:space="preserve">SOUTHEASTERN                 </t>
  </si>
  <si>
    <t xml:space="preserve">BROOKFIELD                   </t>
  </si>
  <si>
    <t xml:space="preserve">BROOKLINE                    </t>
  </si>
  <si>
    <t xml:space="preserve">BUCKLAND                     </t>
  </si>
  <si>
    <t xml:space="preserve">BURLINGTON                   </t>
  </si>
  <si>
    <t xml:space="preserve">CANTON                       </t>
  </si>
  <si>
    <t xml:space="preserve">CARLISLE                     </t>
  </si>
  <si>
    <t xml:space="preserve">CONCORD CARLISLE             </t>
  </si>
  <si>
    <t xml:space="preserve">CARVER                       </t>
  </si>
  <si>
    <t xml:space="preserve">CHARLEMONT                   </t>
  </si>
  <si>
    <t xml:space="preserve">HAWLEMONT                    </t>
  </si>
  <si>
    <t xml:space="preserve">CHARLTON                     </t>
  </si>
  <si>
    <t xml:space="preserve">DUDLEY CHARLTON              </t>
  </si>
  <si>
    <t xml:space="preserve">CHATHAM                      </t>
  </si>
  <si>
    <t xml:space="preserve">CHELMSFORD                   </t>
  </si>
  <si>
    <t xml:space="preserve">NASHOBA VALLEY               </t>
  </si>
  <si>
    <t xml:space="preserve">CHELSEA                      </t>
  </si>
  <si>
    <t xml:space="preserve">NORTHEAST METROPOLITAN       </t>
  </si>
  <si>
    <t xml:space="preserve">CHESHIRE                     </t>
  </si>
  <si>
    <t xml:space="preserve">CHESTER                      </t>
  </si>
  <si>
    <t xml:space="preserve">CHESTERFIELD                 </t>
  </si>
  <si>
    <t>CHESTERFIELD GOSHEN</t>
  </si>
  <si>
    <t xml:space="preserve">HAMPSHIRE                    </t>
  </si>
  <si>
    <t xml:space="preserve">CHILMARK                     </t>
  </si>
  <si>
    <t xml:space="preserve">MARTHAS VINEYARD             </t>
  </si>
  <si>
    <t>UPISLAND</t>
  </si>
  <si>
    <t xml:space="preserve">CLARKSBURG                   </t>
  </si>
  <si>
    <t xml:space="preserve">COHASSET                     </t>
  </si>
  <si>
    <t xml:space="preserve">COLRAIN                      </t>
  </si>
  <si>
    <t xml:space="preserve">CONCORD                      </t>
  </si>
  <si>
    <t xml:space="preserve">CONWAY                       </t>
  </si>
  <si>
    <t xml:space="preserve">FRONTIER                     </t>
  </si>
  <si>
    <t xml:space="preserve">CUMMINGTON                   </t>
  </si>
  <si>
    <t xml:space="preserve">DALTON                       </t>
  </si>
  <si>
    <t xml:space="preserve">DANVERS                      </t>
  </si>
  <si>
    <t xml:space="preserve">DARTMOUTH                    </t>
  </si>
  <si>
    <t xml:space="preserve">GREATER NEW BEDFORD          </t>
  </si>
  <si>
    <t xml:space="preserve">DEDHAM                       </t>
  </si>
  <si>
    <t>pymincont pivoted dec 21, reflects raynham waiver and reallocated contributions for a/s, s/b oakhamfor comparison purposes</t>
  </si>
  <si>
    <t>ayer, shirley, berkley, somerset, freetown, lakeville, ayer/shirley,  berk/som, f/l  adjusted based upon disaagregation file; oakham aid assigned to pathfindeer</t>
  </si>
  <si>
    <t>ayer, shirley, berkley, somerset,freetown, lakeville,  ayer/shirley, berk/som, freetown/lakevilleadjusted based upon disaagregation file</t>
  </si>
  <si>
    <t>ayer, shirley, berkley, somerset, freetown, lakeville, ayer/shirley, berk/som, freetown/lakeville  adjusted based upon disaagregation file</t>
  </si>
  <si>
    <t xml:space="preserve">DEERFIELD                    </t>
  </si>
  <si>
    <t xml:space="preserve">DENNIS                       </t>
  </si>
  <si>
    <t xml:space="preserve">DENNIS YARMOUTH              </t>
  </si>
  <si>
    <t xml:space="preserve">DIGHTON                      </t>
  </si>
  <si>
    <t xml:space="preserve">DIGHTON REHOBOTH             </t>
  </si>
  <si>
    <t xml:space="preserve">DOUGLAS                      </t>
  </si>
  <si>
    <t xml:space="preserve">DOVER                        </t>
  </si>
  <si>
    <t xml:space="preserve">DOVER SHERBORN               </t>
  </si>
  <si>
    <t xml:space="preserve">DRACUT                       </t>
  </si>
  <si>
    <t>effort reduction</t>
  </si>
  <si>
    <t xml:space="preserve">GREATER LOWELL               </t>
  </si>
  <si>
    <t xml:space="preserve">DUDLEY                       </t>
  </si>
  <si>
    <t xml:space="preserve">DUNSTABLE                    </t>
  </si>
  <si>
    <t xml:space="preserve">GROTON DUNSTABLE             </t>
  </si>
  <si>
    <t xml:space="preserve">EAST BRIDGEWATER             </t>
  </si>
  <si>
    <t xml:space="preserve">EAST BROOKFIELD              </t>
  </si>
  <si>
    <t xml:space="preserve">SPENCER EAST BROOKFIELD      </t>
  </si>
  <si>
    <t xml:space="preserve">EASTHAM                      </t>
  </si>
  <si>
    <t xml:space="preserve">EASTON                       </t>
  </si>
  <si>
    <t xml:space="preserve">EDGARTOWN                    </t>
  </si>
  <si>
    <t>c70fy10finalmay, reflecting weymouth and chelsea waiver, june 29, 2010</t>
  </si>
  <si>
    <t xml:space="preserve">EGREMONT                     </t>
  </si>
  <si>
    <t xml:space="preserve">ERVING                       </t>
  </si>
  <si>
    <t xml:space="preserve">ESSEX                        </t>
  </si>
  <si>
    <t xml:space="preserve">FAIRHAVEN                    </t>
  </si>
  <si>
    <t xml:space="preserve">FALL RIVER                   </t>
  </si>
  <si>
    <t xml:space="preserve">GREATER FALL RIVER           </t>
  </si>
  <si>
    <t xml:space="preserve">FALMOUTH                     </t>
  </si>
  <si>
    <t xml:space="preserve">FITCHBURG                    </t>
  </si>
  <si>
    <t xml:space="preserve">FLORIDA                      </t>
  </si>
  <si>
    <t xml:space="preserve">FOXBOROUGH                   </t>
  </si>
  <si>
    <t xml:space="preserve">FRAMINGHAM                   </t>
  </si>
  <si>
    <t xml:space="preserve">FRANKLIN                     </t>
  </si>
  <si>
    <t xml:space="preserve">TRI COUNTY                   </t>
  </si>
  <si>
    <t xml:space="preserve">FREETOWN                     </t>
  </si>
  <si>
    <t xml:space="preserve">FREETOWN LAKEVILLE           </t>
  </si>
  <si>
    <t xml:space="preserve">GARDNER                      </t>
  </si>
  <si>
    <t xml:space="preserve">GAY HEAD                     </t>
  </si>
  <si>
    <t xml:space="preserve">GEORGETOWN                   </t>
  </si>
  <si>
    <t xml:space="preserve">GILL                         </t>
  </si>
  <si>
    <t xml:space="preserve">GILL MONTAGUE                </t>
  </si>
  <si>
    <t xml:space="preserve">GLOUCESTER                   </t>
  </si>
  <si>
    <t xml:space="preserve">GOSHEN                       </t>
  </si>
  <si>
    <t xml:space="preserve">GRAFTON                      </t>
  </si>
  <si>
    <t xml:space="preserve">GRANBY                       </t>
  </si>
  <si>
    <t xml:space="preserve">GRANVILLE                    </t>
  </si>
  <si>
    <t xml:space="preserve">GREAT BARRINGTON             </t>
  </si>
  <si>
    <t xml:space="preserve">BERKSHIRE HILLS              </t>
  </si>
  <si>
    <t xml:space="preserve">GREENFIELD                   </t>
  </si>
  <si>
    <t xml:space="preserve">GROTON                       </t>
  </si>
  <si>
    <t xml:space="preserve">GROVELAND                    </t>
  </si>
  <si>
    <t xml:space="preserve">PENTUCKET                    </t>
  </si>
  <si>
    <t xml:space="preserve">HALIFAX                      </t>
  </si>
  <si>
    <t xml:space="preserve">SILVER LAKE                  </t>
  </si>
  <si>
    <t xml:space="preserve">HAMILTON                     </t>
  </si>
  <si>
    <t xml:space="preserve">HAMILTON WENHAM              </t>
  </si>
  <si>
    <t xml:space="preserve">HAMPDEN                      </t>
  </si>
  <si>
    <t xml:space="preserve">HAMPDEN WILBRAHAM            </t>
  </si>
  <si>
    <t xml:space="preserve">HANOVER                      </t>
  </si>
  <si>
    <t xml:space="preserve">HANSON                       </t>
  </si>
  <si>
    <t xml:space="preserve">WHITMAN HANSON               </t>
  </si>
  <si>
    <t xml:space="preserve">HARDWICK                     </t>
  </si>
  <si>
    <t xml:space="preserve">HARVARD                      </t>
  </si>
  <si>
    <t xml:space="preserve">HARWICH                      </t>
  </si>
  <si>
    <t xml:space="preserve">HAVERHILL                    </t>
  </si>
  <si>
    <t xml:space="preserve">HAWLEY                       </t>
  </si>
  <si>
    <t xml:space="preserve">HEATH                        </t>
  </si>
  <si>
    <t xml:space="preserve">HINSDALE                     </t>
  </si>
  <si>
    <t xml:space="preserve">HOLBROOK                     </t>
  </si>
  <si>
    <t xml:space="preserve">HOLDEN                       </t>
  </si>
  <si>
    <t xml:space="preserve">WACHUSETT                    </t>
  </si>
  <si>
    <t xml:space="preserve">HOLLAND                      </t>
  </si>
  <si>
    <t xml:space="preserve">HOLLISTON                    </t>
  </si>
  <si>
    <t xml:space="preserve">HOPEDALE                     </t>
  </si>
  <si>
    <t xml:space="preserve">HOPKINTON                    </t>
  </si>
  <si>
    <t xml:space="preserve">HUBBARDSTON                  </t>
  </si>
  <si>
    <t xml:space="preserve">HUDSON                       </t>
  </si>
  <si>
    <t xml:space="preserve">HUNTINGTON                   </t>
  </si>
  <si>
    <t xml:space="preserve">IPSWICH                      </t>
  </si>
  <si>
    <t xml:space="preserve">KINGSTON                     </t>
  </si>
  <si>
    <t xml:space="preserve">LAKEVILLE                    </t>
  </si>
  <si>
    <t xml:space="preserve">LANCASTER                    </t>
  </si>
  <si>
    <t xml:space="preserve">LANESBOROUGH                 </t>
  </si>
  <si>
    <t xml:space="preserve">MOUNT GREYLOCK               </t>
  </si>
  <si>
    <t xml:space="preserve">LAWRENCE                     </t>
  </si>
  <si>
    <t xml:space="preserve">LEVERETT                     </t>
  </si>
  <si>
    <t xml:space="preserve">LEXINGTON                    </t>
  </si>
  <si>
    <t xml:space="preserve">LEYDEN                       </t>
  </si>
  <si>
    <t xml:space="preserve">LINCOLN                      </t>
  </si>
  <si>
    <t xml:space="preserve">LINCOLN SUDBURY              </t>
  </si>
  <si>
    <t xml:space="preserve">LITTLETON                    </t>
  </si>
  <si>
    <t xml:space="preserve">LOWELL                       </t>
  </si>
  <si>
    <t>If preliminary contribution is below the target share:</t>
  </si>
  <si>
    <t>FY06</t>
  </si>
  <si>
    <t>FY07</t>
  </si>
  <si>
    <t>c70fy07</t>
  </si>
  <si>
    <t>c70fy06</t>
  </si>
  <si>
    <t>FY12</t>
  </si>
  <si>
    <t>State Total</t>
  </si>
  <si>
    <t>net of $412m cut</t>
  </si>
  <si>
    <t>Foundation aid (2 -3)</t>
  </si>
  <si>
    <t>20)</t>
  </si>
  <si>
    <t>Contribution as percentage of foundation (19 / 8)</t>
  </si>
  <si>
    <t>If preliminary contribution is above the target share:</t>
  </si>
  <si>
    <t>Excess local effort (15 - 10)</t>
  </si>
  <si>
    <t>21)</t>
  </si>
  <si>
    <t>22)</t>
  </si>
  <si>
    <t>c70</t>
  </si>
  <si>
    <t>There are also a number of "hidden" sheets which contain the underlying spreadsheet calculations.</t>
  </si>
  <si>
    <t>24)</t>
  </si>
  <si>
    <t>Municipal revenue growth factor (DOR)</t>
  </si>
  <si>
    <t xml:space="preserve">LUNENBURG                    </t>
  </si>
  <si>
    <t xml:space="preserve">LYNNFIELD                    </t>
  </si>
  <si>
    <t xml:space="preserve">MALDEN                       </t>
  </si>
  <si>
    <t xml:space="preserve">MANCHESTER                   </t>
  </si>
  <si>
    <t xml:space="preserve">MANSFIELD                    </t>
  </si>
  <si>
    <t xml:space="preserve">MARBLEHEAD                   </t>
  </si>
  <si>
    <t xml:space="preserve">MARION                       </t>
  </si>
  <si>
    <t xml:space="preserve">OLD ROCHESTER                </t>
  </si>
  <si>
    <t xml:space="preserve">MARLBOROUGH                  </t>
  </si>
  <si>
    <t xml:space="preserve">MASHPEE                      </t>
  </si>
  <si>
    <t xml:space="preserve">MATTAPOISETT                 </t>
  </si>
  <si>
    <t xml:space="preserve">MAYNARD                      </t>
  </si>
  <si>
    <t xml:space="preserve">MEDFIELD                     </t>
  </si>
  <si>
    <t>pyenro</t>
  </si>
  <si>
    <t xml:space="preserve">MEDWAY                       </t>
  </si>
  <si>
    <t xml:space="preserve">MELROSE                      </t>
  </si>
  <si>
    <t xml:space="preserve">MENDON                       </t>
  </si>
  <si>
    <t xml:space="preserve">MENDON UPTON                 </t>
  </si>
  <si>
    <t xml:space="preserve">MERRIMAC                     </t>
  </si>
  <si>
    <t xml:space="preserve">METHUEN                      </t>
  </si>
  <si>
    <t xml:space="preserve">MIDDLEBOROUGH                </t>
  </si>
  <si>
    <t xml:space="preserve">MIDDLEFIELD                  </t>
  </si>
  <si>
    <t xml:space="preserve">MIDDLETON                    </t>
  </si>
  <si>
    <t xml:space="preserve">MILFORD                      </t>
  </si>
  <si>
    <t xml:space="preserve">MILLBURY                     </t>
  </si>
  <si>
    <t xml:space="preserve">MILLIS                       </t>
  </si>
  <si>
    <t xml:space="preserve">MILLVILLE                    </t>
  </si>
  <si>
    <t xml:space="preserve">MILTON                       </t>
  </si>
  <si>
    <t xml:space="preserve">MONROE                       </t>
  </si>
  <si>
    <t xml:space="preserve">MONSON                       </t>
  </si>
  <si>
    <t xml:space="preserve">MONTAGUE                     </t>
  </si>
  <si>
    <t xml:space="preserve">MONTEREY                     </t>
  </si>
  <si>
    <t xml:space="preserve">MONTGOMERY                   </t>
  </si>
  <si>
    <t xml:space="preserve">NAHANT                       </t>
  </si>
  <si>
    <t xml:space="preserve">NATICK                       </t>
  </si>
  <si>
    <t>Required net school spending (NSS)</t>
  </si>
  <si>
    <t xml:space="preserve">NEEDHAM                      </t>
  </si>
  <si>
    <t xml:space="preserve">NEW BEDFORD                  </t>
  </si>
  <si>
    <t xml:space="preserve">NEW BRAINTREE                </t>
  </si>
  <si>
    <t xml:space="preserve">NEWBURY                      </t>
  </si>
  <si>
    <t xml:space="preserve">TRITON                       </t>
  </si>
  <si>
    <t xml:space="preserve">NEWBURYPORT                  </t>
  </si>
  <si>
    <t xml:space="preserve">NEW MARLBOROUGH              </t>
  </si>
  <si>
    <t xml:space="preserve">NEW SALEM                    </t>
  </si>
  <si>
    <t xml:space="preserve">NEW SALEM WENDELL            </t>
  </si>
  <si>
    <t xml:space="preserve">RALPH C MAHAR                </t>
  </si>
  <si>
    <t xml:space="preserve">NORFOLK                      </t>
  </si>
  <si>
    <t xml:space="preserve">KING PHILIP                  </t>
  </si>
  <si>
    <t xml:space="preserve">NORTH ADAMS                  </t>
  </si>
  <si>
    <t xml:space="preserve">NORTHAMPTON                  </t>
  </si>
  <si>
    <t xml:space="preserve">NORTHAMPTON SMITH            </t>
  </si>
  <si>
    <t>nonop</t>
  </si>
  <si>
    <t xml:space="preserve">NORTH ANDOVER                </t>
  </si>
  <si>
    <t xml:space="preserve">NORTH ATTLEBOROUGH           </t>
  </si>
  <si>
    <t xml:space="preserve">NORTHBOROUGH                 </t>
  </si>
  <si>
    <t xml:space="preserve">NORTHBORO SOUTHBORO          </t>
  </si>
  <si>
    <t xml:space="preserve">NORTHBRIDGE                  </t>
  </si>
  <si>
    <t xml:space="preserve">NORTH BROOKFIELD             </t>
  </si>
  <si>
    <t xml:space="preserve">NORTHFIELD                   </t>
  </si>
  <si>
    <t xml:space="preserve">NORTH READING                </t>
  </si>
  <si>
    <t xml:space="preserve">NORTON                       </t>
  </si>
  <si>
    <t>FY10</t>
  </si>
  <si>
    <t xml:space="preserve">NORWELL                      </t>
  </si>
  <si>
    <t xml:space="preserve">NORWOOD                      </t>
  </si>
  <si>
    <t xml:space="preserve">OAK BLUFFS                   </t>
  </si>
  <si>
    <t>FY09</t>
  </si>
  <si>
    <t xml:space="preserve">OAKHAM                       </t>
  </si>
  <si>
    <t xml:space="preserve">ORANGE                       </t>
  </si>
  <si>
    <t xml:space="preserve">ORLEANS                      </t>
  </si>
  <si>
    <t>foundinc</t>
  </si>
  <si>
    <t xml:space="preserve">OTIS                         </t>
  </si>
  <si>
    <t>FARMINGTON RIVER</t>
  </si>
  <si>
    <t xml:space="preserve">OXFORD                       </t>
  </si>
  <si>
    <t xml:space="preserve">PALMER                       </t>
  </si>
  <si>
    <t xml:space="preserve">PAXTON                       </t>
  </si>
  <si>
    <t>edujobs</t>
  </si>
  <si>
    <t>c70fy10final, june30, 2010; reflects what weymouth chelsea and associated districts were ELIGIBLE for after June 30 waivers</t>
  </si>
  <si>
    <t xml:space="preserve">PELHAM                       </t>
  </si>
  <si>
    <t>enro</t>
  </si>
  <si>
    <t>minaid</t>
  </si>
  <si>
    <t xml:space="preserve">PEPPERELL                    </t>
  </si>
  <si>
    <t xml:space="preserve">PERU                         </t>
  </si>
  <si>
    <t xml:space="preserve">PETERSHAM                    </t>
  </si>
  <si>
    <t xml:space="preserve">PHILLIPSTON                  </t>
  </si>
  <si>
    <t xml:space="preserve">NARRAGANSETT                 </t>
  </si>
  <si>
    <t xml:space="preserve">PLAINFIELD                   </t>
  </si>
  <si>
    <t xml:space="preserve">PLAINVILLE                   </t>
  </si>
  <si>
    <t xml:space="preserve">PLYMPTON                     </t>
  </si>
  <si>
    <t xml:space="preserve">PRINCETON                    </t>
  </si>
  <si>
    <t xml:space="preserve">PROVINCETOWN                 </t>
  </si>
  <si>
    <t xml:space="preserve">QUINCY                       </t>
  </si>
  <si>
    <t xml:space="preserve">RANDOLPH                     </t>
  </si>
  <si>
    <t xml:space="preserve">RAYNHAM                      </t>
  </si>
  <si>
    <t xml:space="preserve">READING                      </t>
  </si>
  <si>
    <t xml:space="preserve">REHOBOTH                     </t>
  </si>
  <si>
    <t xml:space="preserve">REVERE                       </t>
  </si>
  <si>
    <t xml:space="preserve">ROCHESTER                    </t>
  </si>
  <si>
    <t xml:space="preserve">ROCKLAND                     </t>
  </si>
  <si>
    <t xml:space="preserve">ROCKPORT                     </t>
  </si>
  <si>
    <t xml:space="preserve">ROWLEY                       </t>
  </si>
  <si>
    <t xml:space="preserve">ROYALSTON                    </t>
  </si>
  <si>
    <t xml:space="preserve">RUSSELL                      </t>
  </si>
  <si>
    <t xml:space="preserve">RUTLAND                      </t>
  </si>
  <si>
    <t xml:space="preserve">SALEM                        </t>
  </si>
  <si>
    <t xml:space="preserve">SALISBURY                    </t>
  </si>
  <si>
    <t xml:space="preserve">SANDISFIELD                  </t>
  </si>
  <si>
    <t xml:space="preserve">SANDWICH                     </t>
  </si>
  <si>
    <t xml:space="preserve">SAUGUS                       </t>
  </si>
  <si>
    <t xml:space="preserve">SAVOY                        </t>
  </si>
  <si>
    <t xml:space="preserve">SCITUATE                     </t>
  </si>
  <si>
    <t xml:space="preserve">SEEKONK                      </t>
  </si>
  <si>
    <t xml:space="preserve">SHARON                       </t>
  </si>
  <si>
    <t xml:space="preserve">SHEFFIELD                    </t>
  </si>
  <si>
    <t xml:space="preserve">SHELBURNE                    </t>
  </si>
  <si>
    <t xml:space="preserve">SHERBORN                     </t>
  </si>
  <si>
    <t xml:space="preserve">SHIRLEY                      </t>
  </si>
  <si>
    <t xml:space="preserve">SHUTESBURY                   </t>
  </si>
  <si>
    <t xml:space="preserve">SOMERSET                     </t>
  </si>
  <si>
    <t xml:space="preserve">SOUTHAMPTON                  </t>
  </si>
  <si>
    <t xml:space="preserve">SOUTHBOROUGH                 </t>
  </si>
  <si>
    <t>Massachusetts Department of Elementary and Secondary Education</t>
  </si>
  <si>
    <t>Foundation Categories</t>
  </si>
  <si>
    <t xml:space="preserve">SOUTHBRIDGE                  </t>
  </si>
  <si>
    <t xml:space="preserve">SOUTHWICK                    </t>
  </si>
  <si>
    <t>SOUTHWICK TOLLAND</t>
  </si>
  <si>
    <t xml:space="preserve">SPENCER                      </t>
  </si>
  <si>
    <t xml:space="preserve">STERLING                     </t>
  </si>
  <si>
    <t xml:space="preserve">STOCKBRIDGE                  </t>
  </si>
  <si>
    <t xml:space="preserve">STONEHAM                     </t>
  </si>
  <si>
    <t xml:space="preserve">STOUGHTON                    </t>
  </si>
  <si>
    <t xml:space="preserve">STOW                         </t>
  </si>
  <si>
    <t xml:space="preserve">STURBRIDGE                   </t>
  </si>
  <si>
    <t xml:space="preserve">SUDBURY                      </t>
  </si>
  <si>
    <t xml:space="preserve">SUNDERLAND                   </t>
  </si>
  <si>
    <t xml:space="preserve">SUTTON                       </t>
  </si>
  <si>
    <t xml:space="preserve">SWAMPSCOTT                   </t>
  </si>
  <si>
    <t xml:space="preserve">SWANSEA                      </t>
  </si>
  <si>
    <t xml:space="preserve">TAUNTON                      </t>
  </si>
  <si>
    <t xml:space="preserve">TEMPLETON                    </t>
  </si>
  <si>
    <t xml:space="preserve">TEWKSBURY                    </t>
  </si>
  <si>
    <t xml:space="preserve">TISBURY                      </t>
  </si>
  <si>
    <t xml:space="preserve">TOLLAND                      </t>
  </si>
  <si>
    <t xml:space="preserve">TOPSFIELD                    </t>
  </si>
  <si>
    <t xml:space="preserve">TOWNSEND                     </t>
  </si>
  <si>
    <t xml:space="preserve">TRURO                        </t>
  </si>
  <si>
    <t xml:space="preserve">TYNGSBOROUGH                 </t>
  </si>
  <si>
    <t xml:space="preserve">UPTON                        </t>
  </si>
  <si>
    <t xml:space="preserve">UXBRIDGE                     </t>
  </si>
  <si>
    <t xml:space="preserve">WAKEFIELD                    </t>
  </si>
  <si>
    <t xml:space="preserve">WALES                        </t>
  </si>
  <si>
    <t xml:space="preserve">WALPOLE                      </t>
  </si>
  <si>
    <t xml:space="preserve">WARE                         </t>
  </si>
  <si>
    <t xml:space="preserve">WAREHAM                      </t>
  </si>
  <si>
    <t xml:space="preserve">WARREN                       </t>
  </si>
  <si>
    <t>QUABOAG</t>
  </si>
  <si>
    <t xml:space="preserve">WARWICK                      </t>
  </si>
  <si>
    <t xml:space="preserve">WASHINGTON                   </t>
  </si>
  <si>
    <t xml:space="preserve">WEBSTER                      </t>
  </si>
  <si>
    <t xml:space="preserve">WELLESLEY                    </t>
  </si>
  <si>
    <t xml:space="preserve">WELLFLEET                    </t>
  </si>
  <si>
    <t xml:space="preserve">WENDELL                      </t>
  </si>
  <si>
    <t xml:space="preserve">WENHAM                       </t>
  </si>
  <si>
    <t xml:space="preserve">WESTBOROUGH                  </t>
  </si>
  <si>
    <t xml:space="preserve">WEST BRIDGEWATER             </t>
  </si>
  <si>
    <t xml:space="preserve">WEST BROOKFIELD              </t>
  </si>
  <si>
    <t xml:space="preserve">WESTFORD                     </t>
  </si>
  <si>
    <t xml:space="preserve">WESTHAMPTON                  </t>
  </si>
  <si>
    <t xml:space="preserve">WESTMINSTER                  </t>
  </si>
  <si>
    <t xml:space="preserve">WEST NEWBURY                 </t>
  </si>
  <si>
    <t xml:space="preserve">WESTPORT                     </t>
  </si>
  <si>
    <t xml:space="preserve">WEST STOCKBRIDGE             </t>
  </si>
  <si>
    <t xml:space="preserve">WEST TISBURY                 </t>
  </si>
  <si>
    <t xml:space="preserve">WESTWOOD                     </t>
  </si>
  <si>
    <t xml:space="preserve">WEYMOUTH                     </t>
  </si>
  <si>
    <t xml:space="preserve">WHATELY                      </t>
  </si>
  <si>
    <t xml:space="preserve">WHITMAN                      </t>
  </si>
  <si>
    <t xml:space="preserve">WILBRAHAM                    </t>
  </si>
  <si>
    <t xml:space="preserve">WILLIAMSBURG                 </t>
  </si>
  <si>
    <t xml:space="preserve">WILLIAMSTOWN                 </t>
  </si>
  <si>
    <t xml:space="preserve">WILMINGTON                   </t>
  </si>
  <si>
    <t xml:space="preserve">WINCHENDON                   </t>
  </si>
  <si>
    <t xml:space="preserve">WINCHESTER                   </t>
  </si>
  <si>
    <t xml:space="preserve">WINDSOR                      </t>
  </si>
  <si>
    <t xml:space="preserve">WINTHROP                     </t>
  </si>
  <si>
    <t>WOBURN</t>
  </si>
  <si>
    <t xml:space="preserve">WRENTHAM                     </t>
  </si>
  <si>
    <t xml:space="preserve">YARMOUTH                     </t>
  </si>
  <si>
    <t>STATE TOTAL</t>
  </si>
  <si>
    <t>AQUINNAH</t>
  </si>
  <si>
    <t>Total</t>
  </si>
  <si>
    <t>District</t>
  </si>
  <si>
    <t>MANCHESTER ESSEX</t>
  </si>
  <si>
    <t>memlea</t>
  </si>
  <si>
    <t>fraclea</t>
  </si>
  <si>
    <t>found</t>
  </si>
  <si>
    <t>Chapter 70</t>
  </si>
  <si>
    <t>City or Town</t>
  </si>
  <si>
    <t>School District</t>
  </si>
  <si>
    <t>PATHFINDER</t>
  </si>
  <si>
    <t>Townwide</t>
  </si>
  <si>
    <t>fraconcat</t>
  </si>
  <si>
    <t>prelcont1755</t>
  </si>
  <si>
    <t>lea1755</t>
  </si>
  <si>
    <t>prelcont436</t>
  </si>
  <si>
    <t>found1755</t>
  </si>
  <si>
    <t>enro1755</t>
  </si>
  <si>
    <t>Net Minimum</t>
  </si>
  <si>
    <t>Percent</t>
  </si>
  <si>
    <t>Change</t>
  </si>
  <si>
    <t>regorder</t>
  </si>
  <si>
    <t>ACTON BOXBOROUGH</t>
  </si>
  <si>
    <t>Foundation</t>
  </si>
  <si>
    <t>Enrollment</t>
  </si>
  <si>
    <t>Budget</t>
  </si>
  <si>
    <t>Contribution</t>
  </si>
  <si>
    <t xml:space="preserve">ABINGTON                     </t>
  </si>
  <si>
    <t xml:space="preserve">SOUTH SHORE                  </t>
  </si>
  <si>
    <t xml:space="preserve">ACTON                        </t>
  </si>
  <si>
    <t xml:space="preserve">ACTON BOXBOROUGH             </t>
  </si>
  <si>
    <t xml:space="preserve">MINUTEMAN                    </t>
  </si>
  <si>
    <t xml:space="preserve">ACUSHNET                     </t>
  </si>
  <si>
    <t xml:space="preserve">OLD COLONY                   </t>
  </si>
  <si>
    <t xml:space="preserve">BRISTOL COUNTY               </t>
  </si>
  <si>
    <t xml:space="preserve">ADAMS                        </t>
  </si>
  <si>
    <t xml:space="preserve">NORTHERN BERKSHIRE           </t>
  </si>
  <si>
    <t xml:space="preserve">ALFORD                       </t>
  </si>
  <si>
    <t>enrollment</t>
  </si>
  <si>
    <t>CEY</t>
  </si>
  <si>
    <t>Members</t>
  </si>
  <si>
    <t>final</t>
  </si>
  <si>
    <t>FY14</t>
  </si>
  <si>
    <t>leas</t>
  </si>
  <si>
    <t>CHESIRE</t>
  </si>
  <si>
    <t>c70fy13; adjusts Lanesborough, Chesire, Berlin, Boylston, Ayer, N Berkshire, Nashoba Valley, Berlin Boylston</t>
  </si>
  <si>
    <t>regcount</t>
  </si>
  <si>
    <t>c70fy13; adjusts Lanesborough, Chesire, Berlin, Boylston, Ayer, N Berkshire, Nashoba Valley, Berlin Boylston; New Bedford</t>
  </si>
  <si>
    <t>Total CEY for town</t>
  </si>
  <si>
    <t>FB for school district/town combo</t>
  </si>
  <si>
    <t>CEY*% of town's fb</t>
  </si>
  <si>
    <t>Calculation of CEY as a % of Foundation</t>
  </si>
  <si>
    <t>Added increment toward target (13 x 1% or 2%)*</t>
  </si>
  <si>
    <t>chapter70</t>
  </si>
  <si>
    <t>lea_order</t>
  </si>
  <si>
    <t>reg_order</t>
  </si>
  <si>
    <t>c70fy15</t>
  </si>
  <si>
    <t>FY15</t>
  </si>
  <si>
    <t>Minimum Aid Calculation</t>
  </si>
  <si>
    <t>Foundation Aid Calculation</t>
  </si>
  <si>
    <t>c70fy14; adjusts Acton Boxborough; removes Essex</t>
  </si>
  <si>
    <t>priorc70</t>
  </si>
  <si>
    <t>c70fy14; adjusts Acton Boxborough; removes Essex and allocates aid to sending districts</t>
  </si>
  <si>
    <t>Progress Towards Target Local Share</t>
  </si>
  <si>
    <t>excess effort before effort reduction</t>
  </si>
  <si>
    <t>net excess after effort reduction</t>
  </si>
  <si>
    <t>shortfall below target before increment</t>
  </si>
  <si>
    <t>additional increments toward target</t>
  </si>
  <si>
    <t>net shortfall below target after increment</t>
  </si>
  <si>
    <t>n of municipalities with effort too high</t>
  </si>
  <si>
    <t>Progress Towards Target Aid Share</t>
  </si>
  <si>
    <t>aid above target</t>
  </si>
  <si>
    <t>aid below target</t>
  </si>
  <si>
    <t>Base</t>
  </si>
  <si>
    <t>*1% if shortfall is between 2.5% and 7.5%; 2% if shortfall &gt; 7.5%</t>
  </si>
  <si>
    <t>See Progress Towards Targets</t>
  </si>
  <si>
    <t>c70fy16</t>
  </si>
  <si>
    <t>FY16</t>
  </si>
  <si>
    <t>ESSEX NORTH SHORE</t>
  </si>
  <si>
    <r>
      <t xml:space="preserve">lea_list </t>
    </r>
    <r>
      <rPr>
        <sz val="10"/>
        <rFont val="Calibri"/>
        <family val="2"/>
        <scheme val="minor"/>
      </rPr>
      <t xml:space="preserve">and </t>
    </r>
    <r>
      <rPr>
        <b/>
        <i/>
        <sz val="10"/>
        <rFont val="Calibri"/>
        <family val="2"/>
        <scheme val="minor"/>
      </rPr>
      <t xml:space="preserve">reg_list </t>
    </r>
  </si>
  <si>
    <t>Base Aid</t>
  </si>
  <si>
    <t>Reduction</t>
  </si>
  <si>
    <t>c70fy15; adjusts Gateway and Worthington; Peabody and ENS</t>
  </si>
  <si>
    <t>FY17</t>
  </si>
  <si>
    <t>Pyr</t>
  </si>
  <si>
    <t>Cyr</t>
  </si>
  <si>
    <t>We recommend that you save this workbook to your computer before proceeding, then leave this browser, and open the workbook using Excel or My Computer.</t>
  </si>
  <si>
    <t>Parameters</t>
  </si>
  <si>
    <t>∆ in Foundation Budget</t>
  </si>
  <si>
    <t>∆ in Aid</t>
  </si>
  <si>
    <t>Abington</t>
  </si>
  <si>
    <t>Acton</t>
  </si>
  <si>
    <t>Acushnet</t>
  </si>
  <si>
    <t>Adams</t>
  </si>
  <si>
    <t>Agawam</t>
  </si>
  <si>
    <t>Alford</t>
  </si>
  <si>
    <t>Amesbury</t>
  </si>
  <si>
    <t>Amherst</t>
  </si>
  <si>
    <t>Andover</t>
  </si>
  <si>
    <t>Arlington</t>
  </si>
  <si>
    <t>Ashburnham</t>
  </si>
  <si>
    <t>Ashby</t>
  </si>
  <si>
    <t>Ashfield</t>
  </si>
  <si>
    <t>Ashland</t>
  </si>
  <si>
    <t>Athol</t>
  </si>
  <si>
    <t>Attleboro</t>
  </si>
  <si>
    <t>Auburn</t>
  </si>
  <si>
    <t>Avon</t>
  </si>
  <si>
    <t>Ayer</t>
  </si>
  <si>
    <t>Barnstable</t>
  </si>
  <si>
    <t>Barre</t>
  </si>
  <si>
    <t>Becket</t>
  </si>
  <si>
    <t>Bedford</t>
  </si>
  <si>
    <t>Belchertown</t>
  </si>
  <si>
    <t>Bellingham</t>
  </si>
  <si>
    <t>Belmont</t>
  </si>
  <si>
    <t>Berkley</t>
  </si>
  <si>
    <t>Berlin</t>
  </si>
  <si>
    <t>Bernardston</t>
  </si>
  <si>
    <t>Beverly</t>
  </si>
  <si>
    <t>Billerica</t>
  </si>
  <si>
    <t>Blackstone</t>
  </si>
  <si>
    <t>Blandford</t>
  </si>
  <si>
    <t>Bolton</t>
  </si>
  <si>
    <t>Boston</t>
  </si>
  <si>
    <t>Bourne</t>
  </si>
  <si>
    <t>Boxborough</t>
  </si>
  <si>
    <t>Boxford</t>
  </si>
  <si>
    <t>Boylston</t>
  </si>
  <si>
    <t>Braintree</t>
  </si>
  <si>
    <t>Brewster</t>
  </si>
  <si>
    <t>Bridgewater</t>
  </si>
  <si>
    <t>Brimfield</t>
  </si>
  <si>
    <t>Brockton</t>
  </si>
  <si>
    <t>Brookfield</t>
  </si>
  <si>
    <t>Brookline</t>
  </si>
  <si>
    <t>Buckland</t>
  </si>
  <si>
    <t>Burlington</t>
  </si>
  <si>
    <t>Cambridge</t>
  </si>
  <si>
    <t>Canton</t>
  </si>
  <si>
    <t>Carlisle</t>
  </si>
  <si>
    <t>Carver</t>
  </si>
  <si>
    <t>Charlemont</t>
  </si>
  <si>
    <t>Charlton</t>
  </si>
  <si>
    <t>Chatham</t>
  </si>
  <si>
    <t>Chelmsford</t>
  </si>
  <si>
    <t>Chelsea</t>
  </si>
  <si>
    <t>Cheshire</t>
  </si>
  <si>
    <t>Chester</t>
  </si>
  <si>
    <t>Chesterfield</t>
  </si>
  <si>
    <t>Chicopee</t>
  </si>
  <si>
    <t>Chilmark</t>
  </si>
  <si>
    <t>Clarksburg</t>
  </si>
  <si>
    <t>Clinton</t>
  </si>
  <si>
    <t>Cohasset</t>
  </si>
  <si>
    <t>Colrain</t>
  </si>
  <si>
    <t>Concord</t>
  </si>
  <si>
    <t>Conway</t>
  </si>
  <si>
    <t>Cummington</t>
  </si>
  <si>
    <t>Dalton</t>
  </si>
  <si>
    <t>Danvers</t>
  </si>
  <si>
    <t>Dartmouth</t>
  </si>
  <si>
    <t>Dedham</t>
  </si>
  <si>
    <t>Deerfield</t>
  </si>
  <si>
    <t>Dennis</t>
  </si>
  <si>
    <t>Dighton</t>
  </si>
  <si>
    <t>Douglas</t>
  </si>
  <si>
    <t>Dover</t>
  </si>
  <si>
    <t>Dracut</t>
  </si>
  <si>
    <t>Dudley</t>
  </si>
  <si>
    <t>Dunstable</t>
  </si>
  <si>
    <t>Duxbury</t>
  </si>
  <si>
    <t>East Bridgewater</t>
  </si>
  <si>
    <t>East Brookfield</t>
  </si>
  <si>
    <t>Eastham</t>
  </si>
  <si>
    <t>Easthampton</t>
  </si>
  <si>
    <t>East Longmeadow</t>
  </si>
  <si>
    <t>Easton</t>
  </si>
  <si>
    <t>Edgartown</t>
  </si>
  <si>
    <t>Egremont</t>
  </si>
  <si>
    <t>Erving</t>
  </si>
  <si>
    <t>Essex</t>
  </si>
  <si>
    <t>Everett</t>
  </si>
  <si>
    <t>Fairhaven</t>
  </si>
  <si>
    <t>Fall River</t>
  </si>
  <si>
    <t>Falmouth</t>
  </si>
  <si>
    <t>Fitchburg</t>
  </si>
  <si>
    <t>Florida</t>
  </si>
  <si>
    <t>Foxborough</t>
  </si>
  <si>
    <t>Framingham</t>
  </si>
  <si>
    <t>Franklin</t>
  </si>
  <si>
    <t>Freetown</t>
  </si>
  <si>
    <t>Gardner</t>
  </si>
  <si>
    <t>Aquinnah</t>
  </si>
  <si>
    <t>Georgetown</t>
  </si>
  <si>
    <t>Gill</t>
  </si>
  <si>
    <t>Gloucester</t>
  </si>
  <si>
    <t>Goshen</t>
  </si>
  <si>
    <t>Gosnold</t>
  </si>
  <si>
    <t>Grafton</t>
  </si>
  <si>
    <t>Granby</t>
  </si>
  <si>
    <t>Granville</t>
  </si>
  <si>
    <t>Great Barrington</t>
  </si>
  <si>
    <t>Greenfield</t>
  </si>
  <si>
    <t>Groton</t>
  </si>
  <si>
    <t>Groveland</t>
  </si>
  <si>
    <t>Hadley</t>
  </si>
  <si>
    <t>Halifax</t>
  </si>
  <si>
    <t>Hamilton</t>
  </si>
  <si>
    <t>Hampden</t>
  </si>
  <si>
    <t>Hancock</t>
  </si>
  <si>
    <t>Hanover</t>
  </si>
  <si>
    <t>Hanson</t>
  </si>
  <si>
    <t>Hardwick</t>
  </si>
  <si>
    <t>Harvard</t>
  </si>
  <si>
    <t>Harwich</t>
  </si>
  <si>
    <t>Hatfield</t>
  </si>
  <si>
    <t>Haverhill</t>
  </si>
  <si>
    <t>Hawley</t>
  </si>
  <si>
    <t>Heath</t>
  </si>
  <si>
    <t>Hingham</t>
  </si>
  <si>
    <t>Hinsdale</t>
  </si>
  <si>
    <t>Holbrook</t>
  </si>
  <si>
    <t>Holden</t>
  </si>
  <si>
    <t>Holland</t>
  </si>
  <si>
    <t>Holliston</t>
  </si>
  <si>
    <t>Holyoke</t>
  </si>
  <si>
    <t>Hopedale</t>
  </si>
  <si>
    <t>Hopkinton</t>
  </si>
  <si>
    <t>Hubbardston</t>
  </si>
  <si>
    <t>Hudson</t>
  </si>
  <si>
    <t>Hull</t>
  </si>
  <si>
    <t>Huntington</t>
  </si>
  <si>
    <t>Ipswich</t>
  </si>
  <si>
    <t>Kingston</t>
  </si>
  <si>
    <t>Lakeville</t>
  </si>
  <si>
    <t>Lancaster</t>
  </si>
  <si>
    <t>Lanesborough</t>
  </si>
  <si>
    <t>Lawrence</t>
  </si>
  <si>
    <t>Lee</t>
  </si>
  <si>
    <t>Leicester</t>
  </si>
  <si>
    <t>Lenox</t>
  </si>
  <si>
    <t>Leominster</t>
  </si>
  <si>
    <t>Leverett</t>
  </si>
  <si>
    <t>Lexington</t>
  </si>
  <si>
    <t>Leyden</t>
  </si>
  <si>
    <t>Lincoln</t>
  </si>
  <si>
    <t>Littleton</t>
  </si>
  <si>
    <t>Longmeadow</t>
  </si>
  <si>
    <t>Lowell</t>
  </si>
  <si>
    <t>Ludlow</t>
  </si>
  <si>
    <t>Lunenburg</t>
  </si>
  <si>
    <t>Lynn</t>
  </si>
  <si>
    <t>Lynnfield</t>
  </si>
  <si>
    <t>Malden</t>
  </si>
  <si>
    <t>Manchester</t>
  </si>
  <si>
    <t>Mansfield</t>
  </si>
  <si>
    <t>Marblehead</t>
  </si>
  <si>
    <t>Marion</t>
  </si>
  <si>
    <t>Marlborough</t>
  </si>
  <si>
    <t>Marshfield</t>
  </si>
  <si>
    <t>Mashpee</t>
  </si>
  <si>
    <t>Mattapoisett</t>
  </si>
  <si>
    <t>Maynard</t>
  </si>
  <si>
    <t>Medfield</t>
  </si>
  <si>
    <t>Medford</t>
  </si>
  <si>
    <t>Medway</t>
  </si>
  <si>
    <t>Melrose</t>
  </si>
  <si>
    <t>Mendon</t>
  </si>
  <si>
    <t>Merrimac</t>
  </si>
  <si>
    <t>Methuen</t>
  </si>
  <si>
    <t>Middleborough</t>
  </si>
  <si>
    <t>Middlefield</t>
  </si>
  <si>
    <t>Middleton</t>
  </si>
  <si>
    <t>Milford</t>
  </si>
  <si>
    <t>Millbury</t>
  </si>
  <si>
    <t>Millis</t>
  </si>
  <si>
    <t>Millville</t>
  </si>
  <si>
    <t>Milton</t>
  </si>
  <si>
    <t>Monroe</t>
  </si>
  <si>
    <t>Monson</t>
  </si>
  <si>
    <t>Montague</t>
  </si>
  <si>
    <t>Monterey</t>
  </si>
  <si>
    <t>Montgomery</t>
  </si>
  <si>
    <t>Mount Washington</t>
  </si>
  <si>
    <t>Nahant</t>
  </si>
  <si>
    <t>Nantucket</t>
  </si>
  <si>
    <t>Natick</t>
  </si>
  <si>
    <t>Needham</t>
  </si>
  <si>
    <t>New Ashford</t>
  </si>
  <si>
    <t>New Bedford</t>
  </si>
  <si>
    <t>New Braintree</t>
  </si>
  <si>
    <t>Newbury</t>
  </si>
  <si>
    <t>Newburyport</t>
  </si>
  <si>
    <t>New Marlborough</t>
  </si>
  <si>
    <t>New Salem</t>
  </si>
  <si>
    <t>Newton</t>
  </si>
  <si>
    <t>Norfolk</t>
  </si>
  <si>
    <t>North Adams</t>
  </si>
  <si>
    <t>Northampton</t>
  </si>
  <si>
    <t>North Andover</t>
  </si>
  <si>
    <t>North Attleborough</t>
  </si>
  <si>
    <t>Northborough</t>
  </si>
  <si>
    <t>Northbridge</t>
  </si>
  <si>
    <t>North Brookfield</t>
  </si>
  <si>
    <t>Northfield</t>
  </si>
  <si>
    <t>North Reading</t>
  </si>
  <si>
    <t>Norton</t>
  </si>
  <si>
    <t>Norwell</t>
  </si>
  <si>
    <t>Norwood</t>
  </si>
  <si>
    <t>Oak Bluffs</t>
  </si>
  <si>
    <t>Oakham</t>
  </si>
  <si>
    <t>Orange</t>
  </si>
  <si>
    <t>Orleans</t>
  </si>
  <si>
    <t>Otis</t>
  </si>
  <si>
    <t>Oxford</t>
  </si>
  <si>
    <t>Palmer</t>
  </si>
  <si>
    <t>Paxton</t>
  </si>
  <si>
    <t>Peabody</t>
  </si>
  <si>
    <t>Pelham</t>
  </si>
  <si>
    <t>Pembroke</t>
  </si>
  <si>
    <t>Pepperell</t>
  </si>
  <si>
    <t>Peru</t>
  </si>
  <si>
    <t>Petersham</t>
  </si>
  <si>
    <t>Phillipston</t>
  </si>
  <si>
    <t>Pittsfield</t>
  </si>
  <si>
    <t>Plainfield</t>
  </si>
  <si>
    <t>Plainville</t>
  </si>
  <si>
    <t>Plymouth</t>
  </si>
  <si>
    <t>Plympton</t>
  </si>
  <si>
    <t>Princeton</t>
  </si>
  <si>
    <t>Provincetown</t>
  </si>
  <si>
    <t>Quincy</t>
  </si>
  <si>
    <t>Randolph</t>
  </si>
  <si>
    <t>Raynham</t>
  </si>
  <si>
    <t>Reading</t>
  </si>
  <si>
    <t>Rehoboth</t>
  </si>
  <si>
    <t>Revere</t>
  </si>
  <si>
    <t>Richmond</t>
  </si>
  <si>
    <t>Rochester</t>
  </si>
  <si>
    <t>Rockland</t>
  </si>
  <si>
    <t>Rockport</t>
  </si>
  <si>
    <t>Rowe</t>
  </si>
  <si>
    <t>Rowley</t>
  </si>
  <si>
    <t>Royalston</t>
  </si>
  <si>
    <t>Russell</t>
  </si>
  <si>
    <t>Rutland</t>
  </si>
  <si>
    <t>Salem</t>
  </si>
  <si>
    <t>Salisbury</t>
  </si>
  <si>
    <t>Sandisfield</t>
  </si>
  <si>
    <t>Sandwich</t>
  </si>
  <si>
    <t>Saugus</t>
  </si>
  <si>
    <t>Savoy</t>
  </si>
  <si>
    <t>Scituate</t>
  </si>
  <si>
    <t>Seekonk</t>
  </si>
  <si>
    <t>Sharon</t>
  </si>
  <si>
    <t>Sheffield</t>
  </si>
  <si>
    <t>Shelburne</t>
  </si>
  <si>
    <t>Sherborn</t>
  </si>
  <si>
    <t>Shirley</t>
  </si>
  <si>
    <t>Shrewsbury</t>
  </si>
  <si>
    <t>Shutesbury</t>
  </si>
  <si>
    <t>Somerset</t>
  </si>
  <si>
    <t>Somerville</t>
  </si>
  <si>
    <t>Southampton</t>
  </si>
  <si>
    <t>Southborough</t>
  </si>
  <si>
    <t>Southbridge</t>
  </si>
  <si>
    <t>South Hadley</t>
  </si>
  <si>
    <t>Southwick</t>
  </si>
  <si>
    <t>Spencer</t>
  </si>
  <si>
    <t>Springfield</t>
  </si>
  <si>
    <t>Sterling</t>
  </si>
  <si>
    <t>Stockbridge</t>
  </si>
  <si>
    <t>Stoneham</t>
  </si>
  <si>
    <t>Stoughton</t>
  </si>
  <si>
    <t>Stow</t>
  </si>
  <si>
    <t>Sturbridge</t>
  </si>
  <si>
    <t>Sudbury</t>
  </si>
  <si>
    <t>Sunderland</t>
  </si>
  <si>
    <t>Sutton</t>
  </si>
  <si>
    <t>Swampscott</t>
  </si>
  <si>
    <t>Swansea</t>
  </si>
  <si>
    <t>Taunton</t>
  </si>
  <si>
    <t>Templeton</t>
  </si>
  <si>
    <t>Tewksbury</t>
  </si>
  <si>
    <t>Tisbury</t>
  </si>
  <si>
    <t>Tolland</t>
  </si>
  <si>
    <t>Topsfield</t>
  </si>
  <si>
    <t>Townsend</t>
  </si>
  <si>
    <t>Truro</t>
  </si>
  <si>
    <t>Tyngsborough</t>
  </si>
  <si>
    <t>Tyringham</t>
  </si>
  <si>
    <t>Upton</t>
  </si>
  <si>
    <t>Uxbridge</t>
  </si>
  <si>
    <t>Wakefield</t>
  </si>
  <si>
    <t>Wales</t>
  </si>
  <si>
    <t>Walpole</t>
  </si>
  <si>
    <t>Waltham</t>
  </si>
  <si>
    <t>Ware</t>
  </si>
  <si>
    <t>Wareham</t>
  </si>
  <si>
    <t>Warren</t>
  </si>
  <si>
    <t>Warwick</t>
  </si>
  <si>
    <t>Washington</t>
  </si>
  <si>
    <t>Watertown</t>
  </si>
  <si>
    <t>Wayland</t>
  </si>
  <si>
    <t>Webster</t>
  </si>
  <si>
    <t>Wellesley</t>
  </si>
  <si>
    <t>Wellfleet</t>
  </si>
  <si>
    <t>Wendell</t>
  </si>
  <si>
    <t>Wenham</t>
  </si>
  <si>
    <t>Westborough</t>
  </si>
  <si>
    <t>West Boylston</t>
  </si>
  <si>
    <t>West Bridgewater</t>
  </si>
  <si>
    <t>West Brookfield</t>
  </si>
  <si>
    <t>Westfield</t>
  </si>
  <si>
    <t>Westford</t>
  </si>
  <si>
    <t>Westhampton</t>
  </si>
  <si>
    <t>Westminster</t>
  </si>
  <si>
    <t>West Newbury</t>
  </si>
  <si>
    <t>Weston</t>
  </si>
  <si>
    <t>Westport</t>
  </si>
  <si>
    <t>West Springfield</t>
  </si>
  <si>
    <t>West Stockbridge</t>
  </si>
  <si>
    <t>West Tisbury</t>
  </si>
  <si>
    <t>Westwood</t>
  </si>
  <si>
    <t>Weymouth</t>
  </si>
  <si>
    <t>Whately</t>
  </si>
  <si>
    <t>Whitman</t>
  </si>
  <si>
    <t>Wilbraham</t>
  </si>
  <si>
    <t>Williamsburg</t>
  </si>
  <si>
    <t>Williamstown</t>
  </si>
  <si>
    <t>Wilmington</t>
  </si>
  <si>
    <t>Winchendon</t>
  </si>
  <si>
    <t>Winchester</t>
  </si>
  <si>
    <t>Windsor</t>
  </si>
  <si>
    <t>Winthrop</t>
  </si>
  <si>
    <t>Woburn</t>
  </si>
  <si>
    <t>Worcester</t>
  </si>
  <si>
    <t>Worthington</t>
  </si>
  <si>
    <t>Wrentham</t>
  </si>
  <si>
    <t>Yarmouth</t>
  </si>
  <si>
    <t>Devens</t>
  </si>
  <si>
    <t>Northampton Smith</t>
  </si>
  <si>
    <t>Acton Boxborough</t>
  </si>
  <si>
    <t>Amherst Pelham</t>
  </si>
  <si>
    <t>Ashburnham Westminster</t>
  </si>
  <si>
    <t>Athol Royalston</t>
  </si>
  <si>
    <t>Ayer Shirley</t>
  </si>
  <si>
    <t>Berkshire Hills</t>
  </si>
  <si>
    <t>Berlin Boylston</t>
  </si>
  <si>
    <t>Blackstone Millville</t>
  </si>
  <si>
    <t>Bridgewater Raynham</t>
  </si>
  <si>
    <t>Chesterfield Goshen</t>
  </si>
  <si>
    <t>Central Berkshire</t>
  </si>
  <si>
    <t>Concord Carlisle</t>
  </si>
  <si>
    <t>Dennis Yarmouth</t>
  </si>
  <si>
    <t>Dighton Rehoboth</t>
  </si>
  <si>
    <t>Dover Sherborn</t>
  </si>
  <si>
    <t>Dudley Charlton</t>
  </si>
  <si>
    <t>Nauset</t>
  </si>
  <si>
    <t>Farmington River</t>
  </si>
  <si>
    <t>Freetown Lakeville</t>
  </si>
  <si>
    <t>Frontier</t>
  </si>
  <si>
    <t>Gateway</t>
  </si>
  <si>
    <t>Groton Dunstable</t>
  </si>
  <si>
    <t>Gill Montague</t>
  </si>
  <si>
    <t>Hamilton Wenham</t>
  </si>
  <si>
    <t>Hampden Wilbraham</t>
  </si>
  <si>
    <t>Hampshire</t>
  </si>
  <si>
    <t>Hawlemont</t>
  </si>
  <si>
    <t>King Philip</t>
  </si>
  <si>
    <t>Lincoln Sudbury</t>
  </si>
  <si>
    <t>Manchester Essex</t>
  </si>
  <si>
    <t>Marthas Vineyard</t>
  </si>
  <si>
    <t>Masconomet</t>
  </si>
  <si>
    <t>Mendon Upton</t>
  </si>
  <si>
    <t>Monomoy</t>
  </si>
  <si>
    <t>Mount Greylock</t>
  </si>
  <si>
    <t>Mohawk Trail</t>
  </si>
  <si>
    <t>Narragansett</t>
  </si>
  <si>
    <t>Nashoba</t>
  </si>
  <si>
    <t>New Salem Wendell</t>
  </si>
  <si>
    <t>Northboro Southboro</t>
  </si>
  <si>
    <t>North Middlesex</t>
  </si>
  <si>
    <t>Old Rochester</t>
  </si>
  <si>
    <t>Pentucket</t>
  </si>
  <si>
    <t>Pioneer</t>
  </si>
  <si>
    <t>Quabbin</t>
  </si>
  <si>
    <t>Ralph C Mahar</t>
  </si>
  <si>
    <t>Silver Lake</t>
  </si>
  <si>
    <t>Somerset Berkley</t>
  </si>
  <si>
    <t>Southern Berkshire</t>
  </si>
  <si>
    <t>Southwick Tolland Granville</t>
  </si>
  <si>
    <t>Spencer East Brookfield</t>
  </si>
  <si>
    <t>Tantasqua</t>
  </si>
  <si>
    <t>Triton</t>
  </si>
  <si>
    <t>Upisland</t>
  </si>
  <si>
    <t>Wachusett</t>
  </si>
  <si>
    <t>Quaboag</t>
  </si>
  <si>
    <t>Whitman Hanson</t>
  </si>
  <si>
    <t>Assabet Valley</t>
  </si>
  <si>
    <t>Blackstone Valley</t>
  </si>
  <si>
    <t>Blue Hills</t>
  </si>
  <si>
    <t>Bristol Plymouth</t>
  </si>
  <si>
    <t>Cape Cod</t>
  </si>
  <si>
    <t>Essex North Shore</t>
  </si>
  <si>
    <t>Franklin County</t>
  </si>
  <si>
    <t>Greater Fall River</t>
  </si>
  <si>
    <t>Greater Lawrence</t>
  </si>
  <si>
    <t>Greater New Bedford</t>
  </si>
  <si>
    <t>Greater Lowell</t>
  </si>
  <si>
    <t>South Middlesex</t>
  </si>
  <si>
    <t>Minuteman</t>
  </si>
  <si>
    <t>Montachusett</t>
  </si>
  <si>
    <t>Northern Berkshire</t>
  </si>
  <si>
    <t>Nashoba Valley</t>
  </si>
  <si>
    <t>Northeast Metropolitan</t>
  </si>
  <si>
    <t>Old Colony</t>
  </si>
  <si>
    <t>Pathfinder</t>
  </si>
  <si>
    <t>Shawsheen Valley</t>
  </si>
  <si>
    <t>Southeastern</t>
  </si>
  <si>
    <t>South Shore</t>
  </si>
  <si>
    <t>Southern Worcester</t>
  </si>
  <si>
    <t>Tri County</t>
  </si>
  <si>
    <t>Upper Cape Cod</t>
  </si>
  <si>
    <t>Whittier</t>
  </si>
  <si>
    <t>Bristol County</t>
  </si>
  <si>
    <t>Norfolk County</t>
  </si>
  <si>
    <t xml:space="preserve">Abington                     </t>
  </si>
  <si>
    <t xml:space="preserve">Acton                        </t>
  </si>
  <si>
    <t xml:space="preserve">Acushnet                     </t>
  </si>
  <si>
    <t xml:space="preserve">Adams                        </t>
  </si>
  <si>
    <t xml:space="preserve">Agawam                       </t>
  </si>
  <si>
    <t xml:space="preserve">Alford                       </t>
  </si>
  <si>
    <t xml:space="preserve">Amesbury                     </t>
  </si>
  <si>
    <t xml:space="preserve">Amherst                      </t>
  </si>
  <si>
    <t xml:space="preserve">Andover                      </t>
  </si>
  <si>
    <t xml:space="preserve">Arlington                    </t>
  </si>
  <si>
    <t xml:space="preserve">Ashburnham                   </t>
  </si>
  <si>
    <t xml:space="preserve">Ashby                        </t>
  </si>
  <si>
    <t xml:space="preserve">Ashfield                     </t>
  </si>
  <si>
    <t xml:space="preserve">Ashland                      </t>
  </si>
  <si>
    <t xml:space="preserve">Athol                        </t>
  </si>
  <si>
    <t xml:space="preserve">Attleboro                    </t>
  </si>
  <si>
    <t xml:space="preserve">Auburn                       </t>
  </si>
  <si>
    <t xml:space="preserve">Avon                         </t>
  </si>
  <si>
    <t xml:space="preserve">Ayer                         </t>
  </si>
  <si>
    <t xml:space="preserve">Barnstable                   </t>
  </si>
  <si>
    <t xml:space="preserve">Barre                        </t>
  </si>
  <si>
    <t xml:space="preserve">Becket                       </t>
  </si>
  <si>
    <t xml:space="preserve">Bedford                      </t>
  </si>
  <si>
    <t xml:space="preserve">Belchertown                  </t>
  </si>
  <si>
    <t xml:space="preserve">Bellingham                   </t>
  </si>
  <si>
    <t xml:space="preserve">Belmont                      </t>
  </si>
  <si>
    <t xml:space="preserve">Berkley                      </t>
  </si>
  <si>
    <t xml:space="preserve">Berlin                       </t>
  </si>
  <si>
    <t xml:space="preserve">Bernardston                  </t>
  </si>
  <si>
    <t xml:space="preserve">Beverly                      </t>
  </si>
  <si>
    <t xml:space="preserve">Billerica                    </t>
  </si>
  <si>
    <t xml:space="preserve">Blackstone                   </t>
  </si>
  <si>
    <t xml:space="preserve">Blandford                    </t>
  </si>
  <si>
    <t xml:space="preserve">Bolton                       </t>
  </si>
  <si>
    <t xml:space="preserve">Boston                       </t>
  </si>
  <si>
    <t xml:space="preserve">Bourne                       </t>
  </si>
  <si>
    <t xml:space="preserve">Boxborough                   </t>
  </si>
  <si>
    <t xml:space="preserve">Boxford                      </t>
  </si>
  <si>
    <t xml:space="preserve">Boylston                     </t>
  </si>
  <si>
    <t xml:space="preserve">Braintree                    </t>
  </si>
  <si>
    <t xml:space="preserve">Brewster                     </t>
  </si>
  <si>
    <t xml:space="preserve">Bridgewater                  </t>
  </si>
  <si>
    <t xml:space="preserve">Brimfield                    </t>
  </si>
  <si>
    <t xml:space="preserve">Brockton                     </t>
  </si>
  <si>
    <t xml:space="preserve">Brookfield                   </t>
  </si>
  <si>
    <t xml:space="preserve">Brookline                    </t>
  </si>
  <si>
    <t xml:space="preserve">Buckland                     </t>
  </si>
  <si>
    <t xml:space="preserve">Burlington                   </t>
  </si>
  <si>
    <t xml:space="preserve">Cambridge                    </t>
  </si>
  <si>
    <t xml:space="preserve">Canton                       </t>
  </si>
  <si>
    <t xml:space="preserve">Carlisle                     </t>
  </si>
  <si>
    <t xml:space="preserve">Carver                       </t>
  </si>
  <si>
    <t xml:space="preserve">Charlemont                   </t>
  </si>
  <si>
    <t xml:space="preserve">Charlton                     </t>
  </si>
  <si>
    <t xml:space="preserve">Chatham                      </t>
  </si>
  <si>
    <t xml:space="preserve">Chelmsford                   </t>
  </si>
  <si>
    <t xml:space="preserve">Chelsea                      </t>
  </si>
  <si>
    <t xml:space="preserve">Cheshire                     </t>
  </si>
  <si>
    <t xml:space="preserve">Chester                      </t>
  </si>
  <si>
    <t xml:space="preserve">Chesterfield                 </t>
  </si>
  <si>
    <t xml:space="preserve">Chicopee                     </t>
  </si>
  <si>
    <t xml:space="preserve">Chilmark                     </t>
  </si>
  <si>
    <t xml:space="preserve">Clarksburg                   </t>
  </si>
  <si>
    <t xml:space="preserve">Clinton                      </t>
  </si>
  <si>
    <t xml:space="preserve">Cohasset                     </t>
  </si>
  <si>
    <t xml:space="preserve">Colrain                      </t>
  </si>
  <si>
    <t xml:space="preserve">Concord                      </t>
  </si>
  <si>
    <t xml:space="preserve">Conway                       </t>
  </si>
  <si>
    <t xml:space="preserve">Cummington                   </t>
  </si>
  <si>
    <t xml:space="preserve">Dalton                       </t>
  </si>
  <si>
    <t xml:space="preserve">Danvers                      </t>
  </si>
  <si>
    <t xml:space="preserve">Dartmouth                    </t>
  </si>
  <si>
    <t xml:space="preserve">Dedham                       </t>
  </si>
  <si>
    <t xml:space="preserve">Deerfield                    </t>
  </si>
  <si>
    <t xml:space="preserve">Dennis                       </t>
  </si>
  <si>
    <t xml:space="preserve">Dighton                      </t>
  </si>
  <si>
    <t xml:space="preserve">Douglas                      </t>
  </si>
  <si>
    <t xml:space="preserve">Dover                        </t>
  </si>
  <si>
    <t xml:space="preserve">Dracut                       </t>
  </si>
  <si>
    <t xml:space="preserve">Dudley                       </t>
  </si>
  <si>
    <t xml:space="preserve">Dunstable                    </t>
  </si>
  <si>
    <t xml:space="preserve">Duxbury                      </t>
  </si>
  <si>
    <t xml:space="preserve">East Bridgewater             </t>
  </si>
  <si>
    <t xml:space="preserve">East Brookfield              </t>
  </si>
  <si>
    <t xml:space="preserve">Eastham                      </t>
  </si>
  <si>
    <t xml:space="preserve">Easthampton                  </t>
  </si>
  <si>
    <t xml:space="preserve">East Longmeadow              </t>
  </si>
  <si>
    <t xml:space="preserve">Easton                       </t>
  </si>
  <si>
    <t xml:space="preserve">Edgartown                    </t>
  </si>
  <si>
    <t xml:space="preserve">Egremont                     </t>
  </si>
  <si>
    <t xml:space="preserve">Erving                       </t>
  </si>
  <si>
    <t xml:space="preserve">Essex                        </t>
  </si>
  <si>
    <t xml:space="preserve">Everett                      </t>
  </si>
  <si>
    <t xml:space="preserve">Fairhaven                    </t>
  </si>
  <si>
    <t xml:space="preserve">Fall River                   </t>
  </si>
  <si>
    <t xml:space="preserve">Falmouth                     </t>
  </si>
  <si>
    <t xml:space="preserve">Fitchburg                    </t>
  </si>
  <si>
    <t xml:space="preserve">Florida                      </t>
  </si>
  <si>
    <t xml:space="preserve">Foxborough                   </t>
  </si>
  <si>
    <t xml:space="preserve">Framingham                   </t>
  </si>
  <si>
    <t xml:space="preserve">Franklin                     </t>
  </si>
  <si>
    <t xml:space="preserve">Freetown                     </t>
  </si>
  <si>
    <t xml:space="preserve">Gardner                      </t>
  </si>
  <si>
    <t xml:space="preserve">Georgetown                   </t>
  </si>
  <si>
    <t xml:space="preserve">Gill                         </t>
  </si>
  <si>
    <t xml:space="preserve">Gloucester                   </t>
  </si>
  <si>
    <t xml:space="preserve">Goshen                       </t>
  </si>
  <si>
    <t xml:space="preserve">Gosnold                      </t>
  </si>
  <si>
    <t xml:space="preserve">Grafton                      </t>
  </si>
  <si>
    <t xml:space="preserve">Granby                       </t>
  </si>
  <si>
    <t xml:space="preserve">Granville                    </t>
  </si>
  <si>
    <t xml:space="preserve">Great Barrington             </t>
  </si>
  <si>
    <t xml:space="preserve">Greenfield                   </t>
  </si>
  <si>
    <t xml:space="preserve">Groton                       </t>
  </si>
  <si>
    <t xml:space="preserve">Groveland                    </t>
  </si>
  <si>
    <t xml:space="preserve">Hadley                       </t>
  </si>
  <si>
    <t xml:space="preserve">Halifax                      </t>
  </si>
  <si>
    <t xml:space="preserve">Hamilton                     </t>
  </si>
  <si>
    <t xml:space="preserve">Hampden                      </t>
  </si>
  <si>
    <t xml:space="preserve">Hancock                      </t>
  </si>
  <si>
    <t xml:space="preserve">Hanover                      </t>
  </si>
  <si>
    <t xml:space="preserve">Hanson                       </t>
  </si>
  <si>
    <t xml:space="preserve">Hardwick                     </t>
  </si>
  <si>
    <t xml:space="preserve">Harvard                      </t>
  </si>
  <si>
    <t xml:space="preserve">Harwich                      </t>
  </si>
  <si>
    <t xml:space="preserve">Hatfield                     </t>
  </si>
  <si>
    <t xml:space="preserve">Haverhill                    </t>
  </si>
  <si>
    <t xml:space="preserve">Hawley                       </t>
  </si>
  <si>
    <t xml:space="preserve">Heath                        </t>
  </si>
  <si>
    <t xml:space="preserve">Hingham                      </t>
  </si>
  <si>
    <t xml:space="preserve">Hinsdale                     </t>
  </si>
  <si>
    <t xml:space="preserve">Holbrook                     </t>
  </si>
  <si>
    <t xml:space="preserve">Holden                       </t>
  </si>
  <si>
    <t xml:space="preserve">Holland                      </t>
  </si>
  <si>
    <t xml:space="preserve">Holliston                    </t>
  </si>
  <si>
    <t xml:space="preserve">Holyoke                      </t>
  </si>
  <si>
    <t xml:space="preserve">Hopedale                     </t>
  </si>
  <si>
    <t xml:space="preserve">Hopkinton                    </t>
  </si>
  <si>
    <t xml:space="preserve">Hubbardston                  </t>
  </si>
  <si>
    <t xml:space="preserve">Hudson                       </t>
  </si>
  <si>
    <t xml:space="preserve">Hull                         </t>
  </si>
  <si>
    <t xml:space="preserve">Huntington                   </t>
  </si>
  <si>
    <t xml:space="preserve">Ipswich                      </t>
  </si>
  <si>
    <t xml:space="preserve">Kingston                     </t>
  </si>
  <si>
    <t xml:space="preserve">Lakeville                    </t>
  </si>
  <si>
    <t xml:space="preserve">Lancaster                    </t>
  </si>
  <si>
    <t xml:space="preserve">Lanesborough                 </t>
  </si>
  <si>
    <t xml:space="preserve">Lawrence                     </t>
  </si>
  <si>
    <t xml:space="preserve">Lee                          </t>
  </si>
  <si>
    <t xml:space="preserve">Leicester                    </t>
  </si>
  <si>
    <t xml:space="preserve">Lenox                        </t>
  </si>
  <si>
    <t xml:space="preserve">Leominster                   </t>
  </si>
  <si>
    <t xml:space="preserve">Leverett                     </t>
  </si>
  <si>
    <t xml:space="preserve">Lexington                    </t>
  </si>
  <si>
    <t xml:space="preserve">Leyden                       </t>
  </si>
  <si>
    <t xml:space="preserve">Lincoln                      </t>
  </si>
  <si>
    <t xml:space="preserve">Littleton                    </t>
  </si>
  <si>
    <t xml:space="preserve">Longmeadow                   </t>
  </si>
  <si>
    <t xml:space="preserve">Lowell                       </t>
  </si>
  <si>
    <t xml:space="preserve">Ludlow                       </t>
  </si>
  <si>
    <t xml:space="preserve">Lunenburg                    </t>
  </si>
  <si>
    <t xml:space="preserve">Lynn                         </t>
  </si>
  <si>
    <t xml:space="preserve">Lynnfield                    </t>
  </si>
  <si>
    <t xml:space="preserve">Malden                       </t>
  </si>
  <si>
    <t xml:space="preserve">Manchester                   </t>
  </si>
  <si>
    <t xml:space="preserve">Mansfield                    </t>
  </si>
  <si>
    <t xml:space="preserve">Marblehead                   </t>
  </si>
  <si>
    <t xml:space="preserve">Marion                       </t>
  </si>
  <si>
    <t xml:space="preserve">Marlborough                  </t>
  </si>
  <si>
    <t xml:space="preserve">Marshfield                   </t>
  </si>
  <si>
    <t xml:space="preserve">Mashpee                      </t>
  </si>
  <si>
    <t xml:space="preserve">Mattapoisett                 </t>
  </si>
  <si>
    <t xml:space="preserve">Maynard                      </t>
  </si>
  <si>
    <t xml:space="preserve">Medfield                     </t>
  </si>
  <si>
    <t xml:space="preserve">Medford                      </t>
  </si>
  <si>
    <t xml:space="preserve">Medway                       </t>
  </si>
  <si>
    <t xml:space="preserve">Melrose                      </t>
  </si>
  <si>
    <t xml:space="preserve">Mendon                       </t>
  </si>
  <si>
    <t xml:space="preserve">Merrimac                     </t>
  </si>
  <si>
    <t xml:space="preserve">Methuen                      </t>
  </si>
  <si>
    <t xml:space="preserve">Middleborough                </t>
  </si>
  <si>
    <t xml:space="preserve">Middlefield                  </t>
  </si>
  <si>
    <t xml:space="preserve">Middleton                    </t>
  </si>
  <si>
    <t xml:space="preserve">Milford                      </t>
  </si>
  <si>
    <t xml:space="preserve">Millbury                     </t>
  </si>
  <si>
    <t xml:space="preserve">Millis                       </t>
  </si>
  <si>
    <t xml:space="preserve">Millville                    </t>
  </si>
  <si>
    <t xml:space="preserve">Milton                       </t>
  </si>
  <si>
    <t xml:space="preserve">Monroe                       </t>
  </si>
  <si>
    <t xml:space="preserve">Monson                       </t>
  </si>
  <si>
    <t xml:space="preserve">Montague                     </t>
  </si>
  <si>
    <t xml:space="preserve">Monterey                     </t>
  </si>
  <si>
    <t xml:space="preserve">Montgomery                   </t>
  </si>
  <si>
    <t xml:space="preserve">Mount Washington             </t>
  </si>
  <si>
    <t xml:space="preserve">Nahant                       </t>
  </si>
  <si>
    <t xml:space="preserve">Nantucket                    </t>
  </si>
  <si>
    <t xml:space="preserve">Natick                       </t>
  </si>
  <si>
    <t xml:space="preserve">Needham                      </t>
  </si>
  <si>
    <t xml:space="preserve">New Ashford                  </t>
  </si>
  <si>
    <t xml:space="preserve">New Bedford                  </t>
  </si>
  <si>
    <t xml:space="preserve">New Braintree                </t>
  </si>
  <si>
    <t xml:space="preserve">Newbury                      </t>
  </si>
  <si>
    <t xml:space="preserve">Newburyport                  </t>
  </si>
  <si>
    <t xml:space="preserve">New Marlborough              </t>
  </si>
  <si>
    <t xml:space="preserve">New Salem                    </t>
  </si>
  <si>
    <t xml:space="preserve">Newton                       </t>
  </si>
  <si>
    <t xml:space="preserve">Norfolk                      </t>
  </si>
  <si>
    <t xml:space="preserve">North Adams                  </t>
  </si>
  <si>
    <t xml:space="preserve">Northampton                  </t>
  </si>
  <si>
    <t xml:space="preserve">North Andover                </t>
  </si>
  <si>
    <t xml:space="preserve">North Attleborough           </t>
  </si>
  <si>
    <t xml:space="preserve">Northborough                 </t>
  </si>
  <si>
    <t xml:space="preserve">Northbridge                  </t>
  </si>
  <si>
    <t xml:space="preserve">North Brookfield             </t>
  </si>
  <si>
    <t xml:space="preserve">Northfield                   </t>
  </si>
  <si>
    <t xml:space="preserve">North Reading                </t>
  </si>
  <si>
    <t xml:space="preserve">Norton                       </t>
  </si>
  <si>
    <t xml:space="preserve">Norwell                      </t>
  </si>
  <si>
    <t xml:space="preserve">Norwood                      </t>
  </si>
  <si>
    <t xml:space="preserve">Oak Bluffs                   </t>
  </si>
  <si>
    <t xml:space="preserve">Oakham                       </t>
  </si>
  <si>
    <t xml:space="preserve">Orange                       </t>
  </si>
  <si>
    <t xml:space="preserve">Orleans                      </t>
  </si>
  <si>
    <t xml:space="preserve">Otis                         </t>
  </si>
  <si>
    <t xml:space="preserve">Oxford                       </t>
  </si>
  <si>
    <t xml:space="preserve">Palmer                       </t>
  </si>
  <si>
    <t xml:space="preserve">Paxton                       </t>
  </si>
  <si>
    <t xml:space="preserve">Peabody                      </t>
  </si>
  <si>
    <t xml:space="preserve">Pelham                       </t>
  </si>
  <si>
    <t xml:space="preserve">Pembroke                     </t>
  </si>
  <si>
    <t xml:space="preserve">Pepperell                    </t>
  </si>
  <si>
    <t xml:space="preserve">Peru                         </t>
  </si>
  <si>
    <t xml:space="preserve">Petersham                    </t>
  </si>
  <si>
    <t xml:space="preserve">Phillipston                  </t>
  </si>
  <si>
    <t xml:space="preserve">Pittsfield                   </t>
  </si>
  <si>
    <t xml:space="preserve">Plainfield                   </t>
  </si>
  <si>
    <t xml:space="preserve">Plainville                   </t>
  </si>
  <si>
    <t xml:space="preserve">Plymouth                     </t>
  </si>
  <si>
    <t xml:space="preserve">Plympton                     </t>
  </si>
  <si>
    <t xml:space="preserve">Princeton                    </t>
  </si>
  <si>
    <t xml:space="preserve">Provincetown                 </t>
  </si>
  <si>
    <t xml:space="preserve">Quincy                       </t>
  </si>
  <si>
    <t xml:space="preserve">Randolph                     </t>
  </si>
  <si>
    <t xml:space="preserve">Raynham                      </t>
  </si>
  <si>
    <t xml:space="preserve">Reading                      </t>
  </si>
  <si>
    <t xml:space="preserve">Rehoboth                     </t>
  </si>
  <si>
    <t xml:space="preserve">Revere                       </t>
  </si>
  <si>
    <t xml:space="preserve">Richmond                     </t>
  </si>
  <si>
    <t xml:space="preserve">Rochester                    </t>
  </si>
  <si>
    <t xml:space="preserve">Rockland                     </t>
  </si>
  <si>
    <t xml:space="preserve">Rockport                     </t>
  </si>
  <si>
    <t xml:space="preserve">Rowe                         </t>
  </si>
  <si>
    <t xml:space="preserve">Rowley                       </t>
  </si>
  <si>
    <t xml:space="preserve">Royalston                    </t>
  </si>
  <si>
    <t xml:space="preserve">Russell                      </t>
  </si>
  <si>
    <t xml:space="preserve">Rutland                      </t>
  </si>
  <si>
    <t xml:space="preserve">Salem                        </t>
  </si>
  <si>
    <t xml:space="preserve">Salisbury                    </t>
  </si>
  <si>
    <t xml:space="preserve">Sandisfield                  </t>
  </si>
  <si>
    <t xml:space="preserve">Sandwich                     </t>
  </si>
  <si>
    <t xml:space="preserve">Saugus                       </t>
  </si>
  <si>
    <t xml:space="preserve">Savoy                        </t>
  </si>
  <si>
    <t xml:space="preserve">Scituate                     </t>
  </si>
  <si>
    <t xml:space="preserve">Seekonk                      </t>
  </si>
  <si>
    <t xml:space="preserve">Sharon                       </t>
  </si>
  <si>
    <t xml:space="preserve">Sheffield                    </t>
  </si>
  <si>
    <t xml:space="preserve">Shelburne                    </t>
  </si>
  <si>
    <t xml:space="preserve">Sherborn                     </t>
  </si>
  <si>
    <t xml:space="preserve">Shirley                      </t>
  </si>
  <si>
    <t xml:space="preserve">Shrewsbury                   </t>
  </si>
  <si>
    <t xml:space="preserve">Shutesbury                   </t>
  </si>
  <si>
    <t xml:space="preserve">Somerset                     </t>
  </si>
  <si>
    <t xml:space="preserve">Somerville                   </t>
  </si>
  <si>
    <t xml:space="preserve">Southampton                  </t>
  </si>
  <si>
    <t xml:space="preserve">Southborough                 </t>
  </si>
  <si>
    <t xml:space="preserve">Southbridge                  </t>
  </si>
  <si>
    <t xml:space="preserve">South Hadley                 </t>
  </si>
  <si>
    <t xml:space="preserve">Southwick                    </t>
  </si>
  <si>
    <t xml:space="preserve">Spencer                      </t>
  </si>
  <si>
    <t xml:space="preserve">Springfield                  </t>
  </si>
  <si>
    <t xml:space="preserve">Sterling                     </t>
  </si>
  <si>
    <t xml:space="preserve">Stockbridge                  </t>
  </si>
  <si>
    <t xml:space="preserve">Stoneham                     </t>
  </si>
  <si>
    <t xml:space="preserve">Stoughton                    </t>
  </si>
  <si>
    <t xml:space="preserve">Stow                         </t>
  </si>
  <si>
    <t xml:space="preserve">Sturbridge                   </t>
  </si>
  <si>
    <t xml:space="preserve">Sudbury                      </t>
  </si>
  <si>
    <t xml:space="preserve">Sunderland                   </t>
  </si>
  <si>
    <t xml:space="preserve">Sutton                       </t>
  </si>
  <si>
    <t xml:space="preserve">Swampscott                   </t>
  </si>
  <si>
    <t xml:space="preserve">Swansea                      </t>
  </si>
  <si>
    <t xml:space="preserve">Taunton                      </t>
  </si>
  <si>
    <t xml:space="preserve">Templeton                    </t>
  </si>
  <si>
    <t xml:space="preserve">Tewksbury                    </t>
  </si>
  <si>
    <t xml:space="preserve">Tisbury                      </t>
  </si>
  <si>
    <t xml:space="preserve">Tolland                      </t>
  </si>
  <si>
    <t xml:space="preserve">Topsfield                    </t>
  </si>
  <si>
    <t xml:space="preserve">Townsend                     </t>
  </si>
  <si>
    <t xml:space="preserve">Truro                        </t>
  </si>
  <si>
    <t xml:space="preserve">Tyngsborough                 </t>
  </si>
  <si>
    <t xml:space="preserve">Tyringham                    </t>
  </si>
  <si>
    <t xml:space="preserve">Upton                        </t>
  </si>
  <si>
    <t xml:space="preserve">Uxbridge                     </t>
  </si>
  <si>
    <t xml:space="preserve">Wakefield                    </t>
  </si>
  <si>
    <t xml:space="preserve">Wales                        </t>
  </si>
  <si>
    <t xml:space="preserve">Walpole                      </t>
  </si>
  <si>
    <t xml:space="preserve">Waltham                      </t>
  </si>
  <si>
    <t xml:space="preserve">Ware                         </t>
  </si>
  <si>
    <t xml:space="preserve">Wareham                      </t>
  </si>
  <si>
    <t xml:space="preserve">Warren                       </t>
  </si>
  <si>
    <t xml:space="preserve">Warwick                      </t>
  </si>
  <si>
    <t xml:space="preserve">Washington                   </t>
  </si>
  <si>
    <t xml:space="preserve">Watertown                    </t>
  </si>
  <si>
    <t xml:space="preserve">Wayland                      </t>
  </si>
  <si>
    <t xml:space="preserve">Webster                      </t>
  </si>
  <si>
    <t xml:space="preserve">Wellesley                    </t>
  </si>
  <si>
    <t xml:space="preserve">Wellfleet                    </t>
  </si>
  <si>
    <t xml:space="preserve">Wendell                      </t>
  </si>
  <si>
    <t xml:space="preserve">Wenham                       </t>
  </si>
  <si>
    <t xml:space="preserve">Westborough                  </t>
  </si>
  <si>
    <t xml:space="preserve">West Boylston                </t>
  </si>
  <si>
    <t xml:space="preserve">West Bridgewater             </t>
  </si>
  <si>
    <t xml:space="preserve">West Brookfield              </t>
  </si>
  <si>
    <t xml:space="preserve">Westfield                    </t>
  </si>
  <si>
    <t xml:space="preserve">Westford                     </t>
  </si>
  <si>
    <t xml:space="preserve">Westhampton                  </t>
  </si>
  <si>
    <t xml:space="preserve">Westminster                  </t>
  </si>
  <si>
    <t xml:space="preserve">West Newbury                 </t>
  </si>
  <si>
    <t xml:space="preserve">Weston                       </t>
  </si>
  <si>
    <t xml:space="preserve">Westport                     </t>
  </si>
  <si>
    <t xml:space="preserve">West Springfield             </t>
  </si>
  <si>
    <t xml:space="preserve">West Stockbridge             </t>
  </si>
  <si>
    <t xml:space="preserve">West Tisbury                 </t>
  </si>
  <si>
    <t xml:space="preserve">Westwood                     </t>
  </si>
  <si>
    <t xml:space="preserve">Weymouth                     </t>
  </si>
  <si>
    <t xml:space="preserve">Whately                      </t>
  </si>
  <si>
    <t xml:space="preserve">Whitman                      </t>
  </si>
  <si>
    <t xml:space="preserve">Wilbraham                    </t>
  </si>
  <si>
    <t xml:space="preserve">Williamsburg                 </t>
  </si>
  <si>
    <t xml:space="preserve">Williamstown                 </t>
  </si>
  <si>
    <t xml:space="preserve">Wilmington                   </t>
  </si>
  <si>
    <t xml:space="preserve">Winchendon                   </t>
  </si>
  <si>
    <t xml:space="preserve">Winchester                   </t>
  </si>
  <si>
    <t xml:space="preserve">Windsor                      </t>
  </si>
  <si>
    <t xml:space="preserve">Winthrop                     </t>
  </si>
  <si>
    <t xml:space="preserve">Worcester                    </t>
  </si>
  <si>
    <t xml:space="preserve">Worthington                  </t>
  </si>
  <si>
    <t xml:space="preserve">Wrentham                     </t>
  </si>
  <si>
    <t xml:space="preserve">Yarmouth                     </t>
  </si>
  <si>
    <t xml:space="preserve">Northampton Smith            </t>
  </si>
  <si>
    <t xml:space="preserve">Acton Boxborough             </t>
  </si>
  <si>
    <t xml:space="preserve">Adams Cheshire               </t>
  </si>
  <si>
    <t xml:space="preserve">Amherst Pelham               </t>
  </si>
  <si>
    <t xml:space="preserve">Ashburnham Westminster       </t>
  </si>
  <si>
    <t xml:space="preserve">Athol Royalston              </t>
  </si>
  <si>
    <t xml:space="preserve">Berkshire Hills              </t>
  </si>
  <si>
    <t xml:space="preserve">Berlin Boylston              </t>
  </si>
  <si>
    <t xml:space="preserve">Blackstone Millville         </t>
  </si>
  <si>
    <t xml:space="preserve">Bridgewater Raynham          </t>
  </si>
  <si>
    <t xml:space="preserve">Central Berkshire            </t>
  </si>
  <si>
    <t xml:space="preserve">Concord Carlisle             </t>
  </si>
  <si>
    <t xml:space="preserve">Dennis Yarmouth              </t>
  </si>
  <si>
    <t xml:space="preserve">Dighton Rehoboth             </t>
  </si>
  <si>
    <t xml:space="preserve">Dover Sherborn               </t>
  </si>
  <si>
    <t xml:space="preserve">Dudley Charlton              </t>
  </si>
  <si>
    <t xml:space="preserve">Nauset                       </t>
  </si>
  <si>
    <t xml:space="preserve">Freetown Lakeville           </t>
  </si>
  <si>
    <t xml:space="preserve">Frontier                     </t>
  </si>
  <si>
    <t xml:space="preserve">Gateway                      </t>
  </si>
  <si>
    <t xml:space="preserve">Groton Dunstable             </t>
  </si>
  <si>
    <t xml:space="preserve">Gill Montague                </t>
  </si>
  <si>
    <t xml:space="preserve">Hamilton Wenham              </t>
  </si>
  <si>
    <t xml:space="preserve">Hampden Wilbraham            </t>
  </si>
  <si>
    <t xml:space="preserve">Hampshire                    </t>
  </si>
  <si>
    <t xml:space="preserve">Hawlemont                    </t>
  </si>
  <si>
    <t xml:space="preserve">King Philip                  </t>
  </si>
  <si>
    <t xml:space="preserve">Lincoln Sudbury              </t>
  </si>
  <si>
    <t xml:space="preserve">Marthas Vineyard             </t>
  </si>
  <si>
    <t xml:space="preserve">Masconomet                   </t>
  </si>
  <si>
    <t xml:space="preserve">Mendon Upton                 </t>
  </si>
  <si>
    <t xml:space="preserve">Mount Greylock               </t>
  </si>
  <si>
    <t xml:space="preserve">Mohawk Trail                 </t>
  </si>
  <si>
    <t xml:space="preserve">Narragansett                 </t>
  </si>
  <si>
    <t xml:space="preserve">Nashoba                      </t>
  </si>
  <si>
    <t xml:space="preserve">New Salem Wendell            </t>
  </si>
  <si>
    <t xml:space="preserve">Northboro Southboro          </t>
  </si>
  <si>
    <t xml:space="preserve">North Middlesex              </t>
  </si>
  <si>
    <t xml:space="preserve">Old Rochester                </t>
  </si>
  <si>
    <t xml:space="preserve">Pentucket                    </t>
  </si>
  <si>
    <t xml:space="preserve">Pioneer                      </t>
  </si>
  <si>
    <t xml:space="preserve">Quabbin                      </t>
  </si>
  <si>
    <t xml:space="preserve">Ralph C Mahar                </t>
  </si>
  <si>
    <t xml:space="preserve">Silver Lake                  </t>
  </si>
  <si>
    <t xml:space="preserve">Southern Berkshire           </t>
  </si>
  <si>
    <t xml:space="preserve">Spencer East Brookfield      </t>
  </si>
  <si>
    <t xml:space="preserve">Tantasqua                    </t>
  </si>
  <si>
    <t xml:space="preserve">Triton                       </t>
  </si>
  <si>
    <t xml:space="preserve">Wachusett                    </t>
  </si>
  <si>
    <t xml:space="preserve">Whitman Hanson               </t>
  </si>
  <si>
    <t xml:space="preserve">Assabet Valley               </t>
  </si>
  <si>
    <t xml:space="preserve">Blackstone Valley            </t>
  </si>
  <si>
    <t xml:space="preserve">Blue Hills                   </t>
  </si>
  <si>
    <t xml:space="preserve">Bristol Plymouth             </t>
  </si>
  <si>
    <t xml:space="preserve">Cape Cod                     </t>
  </si>
  <si>
    <t xml:space="preserve">Franklin County              </t>
  </si>
  <si>
    <t xml:space="preserve">Greater Fall River           </t>
  </si>
  <si>
    <t xml:space="preserve">Greater Lawrence             </t>
  </si>
  <si>
    <t xml:space="preserve">Greater New Bedford          </t>
  </si>
  <si>
    <t xml:space="preserve">Greater Lowell               </t>
  </si>
  <si>
    <t xml:space="preserve">South Middlesex              </t>
  </si>
  <si>
    <t xml:space="preserve">Minuteman                    </t>
  </si>
  <si>
    <t xml:space="preserve">Montachusett                 </t>
  </si>
  <si>
    <t xml:space="preserve">Northern Berkshire           </t>
  </si>
  <si>
    <t xml:space="preserve">Nashoba Valley               </t>
  </si>
  <si>
    <t xml:space="preserve">Northeast Metropolitan       </t>
  </si>
  <si>
    <t xml:space="preserve">Old Colony                   </t>
  </si>
  <si>
    <t xml:space="preserve">Pathfinder                   </t>
  </si>
  <si>
    <t xml:space="preserve">Shawsheen Valley             </t>
  </si>
  <si>
    <t xml:space="preserve">Southeastern                 </t>
  </si>
  <si>
    <t xml:space="preserve">South Shore                  </t>
  </si>
  <si>
    <t xml:space="preserve">Southern Worcester           </t>
  </si>
  <si>
    <t xml:space="preserve">Tri County                   </t>
  </si>
  <si>
    <t xml:space="preserve">Upper Cape Cod               </t>
  </si>
  <si>
    <t xml:space="preserve">Whittier                     </t>
  </si>
  <si>
    <t xml:space="preserve">Bristol County               </t>
  </si>
  <si>
    <t xml:space="preserve">Norfolk County               </t>
  </si>
  <si>
    <t>State Total, All Districts</t>
  </si>
  <si>
    <t/>
  </si>
  <si>
    <t>Southwick Tolland</t>
  </si>
  <si>
    <t>Combined Total for All Districts</t>
  </si>
  <si>
    <t>Foundation Budget per Pupil</t>
  </si>
  <si>
    <t xml:space="preserve">Which version of foundation budget? </t>
  </si>
  <si>
    <t>Effort reduction</t>
  </si>
  <si>
    <t>Eqv/income percentages</t>
  </si>
  <si>
    <t>Per pupil guaranteed increase</t>
  </si>
  <si>
    <t>Below effort threshold 1</t>
  </si>
  <si>
    <t>Below effort threshold 2</t>
  </si>
  <si>
    <t>Below effort contribution increment, 5-10% under</t>
  </si>
  <si>
    <t>Below effort contribution increment, &gt;10% under</t>
  </si>
  <si>
    <t>Maximum local contribution pct of foundation</t>
  </si>
  <si>
    <t>Statewide target for local contribution % of foundation</t>
  </si>
  <si>
    <t>Cap contributions at fixed percentage of foundation</t>
  </si>
  <si>
    <t>Effort based upon following percentages</t>
  </si>
  <si>
    <t>Difference  from target</t>
  </si>
  <si>
    <t xml:space="preserve">           Percentage of EQV </t>
  </si>
  <si>
    <t>State Average % of EQV</t>
  </si>
  <si>
    <t>Total EQV</t>
  </si>
  <si>
    <t>Total Income</t>
  </si>
  <si>
    <t>Minimum per pupil aid increase</t>
  </si>
  <si>
    <t>Non-op reduction</t>
  </si>
  <si>
    <t>Change in C70 Appropriation</t>
  </si>
  <si>
    <t>Percent Change</t>
  </si>
  <si>
    <t>N of Foundation Aid Districts</t>
  </si>
  <si>
    <t>Total C70 Including Devens</t>
  </si>
  <si>
    <t>Required District Contribution</t>
  </si>
  <si>
    <t>C70 Aid</t>
  </si>
  <si>
    <t>c70fy16, $1M for Framingham (found reserve)</t>
  </si>
  <si>
    <t>blank</t>
  </si>
  <si>
    <t>Instructional Materials, Equipment &amp; Technology</t>
  </si>
  <si>
    <t>Guidance &amp; Psychological Services</t>
  </si>
  <si>
    <t>Operations &amp; Maintenance</t>
  </si>
  <si>
    <t>Employee Benefits &amp; Fixed Charges</t>
  </si>
  <si>
    <t>Special Education Tuition</t>
  </si>
  <si>
    <t>Total, All Categories</t>
  </si>
  <si>
    <t>As of</t>
  </si>
  <si>
    <t>FY18</t>
  </si>
  <si>
    <t>c70fy17</t>
  </si>
  <si>
    <t>Analysis of Aggregate Wealth Model Implementation</t>
  </si>
  <si>
    <t>1. Calculation of effort goal (target local share)</t>
  </si>
  <si>
    <t>2. Calculation of annual increments toward goal (required local contribution)</t>
  </si>
  <si>
    <t>Analysis of Gap Closing</t>
  </si>
  <si>
    <t>They can be accessed by right-clicking on any of the tabs below and choosing a sheet to unhide.</t>
  </si>
  <si>
    <t>Lookup table for foundation budget scenarios</t>
  </si>
  <si>
    <t>c70fy17
Minuteman, Boxborough, Carlisle, Lincoln, Sudbury, Wayland, Weston</t>
  </si>
  <si>
    <t>Target Aid Share</t>
  </si>
  <si>
    <t>Analysis</t>
  </si>
  <si>
    <r>
      <t xml:space="preserve">Pct downpayment on </t>
    </r>
    <r>
      <rPr>
        <i/>
        <sz val="10"/>
        <rFont val="Calibri"/>
        <family val="2"/>
        <scheme val="minor"/>
      </rPr>
      <t>target aid share</t>
    </r>
  </si>
  <si>
    <t>Increments</t>
  </si>
  <si>
    <t>Thresholds</t>
  </si>
  <si>
    <t>Effort Reduction</t>
  </si>
  <si>
    <t>Prior Year</t>
  </si>
  <si>
    <t>Tabs</t>
  </si>
  <si>
    <t>What happens on this sheet</t>
  </si>
  <si>
    <t>Data source (if any)</t>
  </si>
  <si>
    <t>Notes</t>
  </si>
  <si>
    <r>
      <t xml:space="preserve">Allows the user to adjust all of the policy levers in Chapter 70, </t>
    </r>
    <r>
      <rPr>
        <b/>
        <u/>
        <sz val="10"/>
        <rFont val="Calibri"/>
        <family val="2"/>
        <scheme val="minor"/>
      </rPr>
      <t>except</t>
    </r>
    <r>
      <rPr>
        <sz val="10"/>
        <rFont val="Calibri"/>
        <family val="2"/>
        <scheme val="minor"/>
      </rPr>
      <t xml:space="preserve"> for changes to foundation.</t>
    </r>
    <r>
      <rPr>
        <i/>
        <sz val="10"/>
        <rFont val="Calibri"/>
        <family val="2"/>
        <scheme val="minor"/>
      </rPr>
      <t xml:space="preserve">  Foundation budget scenarios can be changed, but they must 1st be run separately and dropped into localcont (all the way to the right).  Up to 11 alternatives can be included.</t>
    </r>
  </si>
  <si>
    <t>Index</t>
  </si>
  <si>
    <t>Controls the district being viewed for all reports except regional dist members</t>
  </si>
  <si>
    <t>Dropdown box reads LEAs</t>
  </si>
  <si>
    <t>Rates</t>
  </si>
  <si>
    <t>CY and PY foundation budget rates
Used to calculate foundation budget report</t>
  </si>
  <si>
    <t>Copied in from found file</t>
  </si>
  <si>
    <t>1 district report showing build-up of foundation budget</t>
  </si>
  <si>
    <t>Rates, dist435</t>
  </si>
  <si>
    <t>Municipal Contribution</t>
  </si>
  <si>
    <t>1 city/town report showing build-up of required local contribution (municipal level)</t>
  </si>
  <si>
    <t>townwide contributions</t>
  </si>
  <si>
    <t>1 city/town report showing allocation of total municipal required local contribution based on proportion of foundation budget at each district to which it belongs</t>
  </si>
  <si>
    <t>localcont</t>
  </si>
  <si>
    <t>1 district report summarizing C70 calculation and comparison to PY</t>
  </si>
  <si>
    <t>aid436, disthist</t>
  </si>
  <si>
    <t>Regional Dist Members</t>
  </si>
  <si>
    <t>LocalCont</t>
  </si>
  <si>
    <r>
      <t xml:space="preserve">Results from distfrac get copied into the far right (up to 11 versions of foundation budget can be entered).  Toggle is on parameters sheet.
Data is organized in 5 row format for each city/town (municipality and its districts, blanks are 998 and total is 999).
</t>
    </r>
    <r>
      <rPr>
        <b/>
        <sz val="10"/>
        <rFont val="Calibri"/>
        <family val="2"/>
        <scheme val="minor"/>
      </rPr>
      <t>Used to calculate each municipal-district combination's RLC.</t>
    </r>
  </si>
  <si>
    <t>found file, distfrac (allocate sheet)</t>
  </si>
  <si>
    <t>2 year comparison for operating districts</t>
  </si>
  <si>
    <t>aid436, disthist, localcont</t>
  </si>
  <si>
    <t>Townwide Contributions</t>
  </si>
  <si>
    <t>Calculates municipal required local contributions</t>
  </si>
  <si>
    <t>DOR (EQV, Income, MRGFs), PY file (RLCs), parameters</t>
  </si>
  <si>
    <t>Aid436</t>
  </si>
  <si>
    <t>Calculates district Ch 70 aid</t>
  </si>
  <si>
    <t>Frac</t>
  </si>
  <si>
    <t>Calculates target aid percentage for regional districts</t>
  </si>
  <si>
    <t>DistHist</t>
  </si>
  <si>
    <t>***Don't forget to copy in target aid %s from PY
Historical C70 data used in summary report, and other places</t>
  </si>
  <si>
    <t>Dist435</t>
  </si>
  <si>
    <t>Data source for foundation budget report, shows detailed enrollment and budget columns</t>
  </si>
  <si>
    <t>Data</t>
  </si>
  <si>
    <t>Source</t>
  </si>
  <si>
    <t>Inflation</t>
  </si>
  <si>
    <t>BEA website</t>
  </si>
  <si>
    <t>Wage Adjustment Factor Inputs</t>
  </si>
  <si>
    <t>EOLWD</t>
  </si>
  <si>
    <t>EQV</t>
  </si>
  <si>
    <t>DOR</t>
  </si>
  <si>
    <t>Income</t>
  </si>
  <si>
    <t>MRGFs</t>
  </si>
  <si>
    <t>DOR/ANF</t>
  </si>
  <si>
    <t>regdetail</t>
  </si>
  <si>
    <t>org4code</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</si>
  <si>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</si>
  <si>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</si>
  <si>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</si>
  <si>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</si>
  <si>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</si>
  <si>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</si>
  <si>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</si>
  <si>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</si>
  <si>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</si>
  <si>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</si>
  <si>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</si>
  <si>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</si>
  <si>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</si>
  <si>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</si>
  <si>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</si>
  <si>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</si>
  <si>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</si>
  <si>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</si>
  <si>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</si>
  <si>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</si>
  <si>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</si>
  <si>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</si>
  <si>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</si>
  <si>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</si>
  <si>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</si>
  <si>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</si>
  <si>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</si>
  <si>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</si>
  <si>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</si>
  <si>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</si>
  <si>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</si>
  <si>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</si>
  <si>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</si>
  <si>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</si>
  <si>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</si>
  <si>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</si>
  <si>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</si>
  <si>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</si>
  <si>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</si>
  <si>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</si>
  <si>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</si>
  <si>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</si>
  <si>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</si>
  <si>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</si>
  <si>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</si>
  <si>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</si>
  <si>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</si>
  <si>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</si>
  <si>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</si>
  <si>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</si>
  <si>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</si>
  <si>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</si>
  <si>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</si>
  <si>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</si>
  <si>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</si>
  <si>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</si>
  <si>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</si>
  <si>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</si>
  <si>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</si>
  <si>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</si>
  <si>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</si>
  <si>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</si>
  <si>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</si>
  <si>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</si>
  <si>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</si>
  <si>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</si>
  <si>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</si>
  <si>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</si>
  <si>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</si>
  <si>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</si>
  <si>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</si>
  <si>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</si>
  <si>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</si>
  <si>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</si>
  <si>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</si>
  <si>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</si>
  <si>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</si>
  <si>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</si>
  <si>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</si>
  <si>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</si>
  <si>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</si>
  <si>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</si>
  <si>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</si>
  <si>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</si>
  <si>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</si>
  <si>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</si>
  <si>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</si>
  <si>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</si>
  <si>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</si>
  <si>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</si>
  <si>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</si>
  <si>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</si>
  <si>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</si>
  <si>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</si>
  <si>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</si>
  <si>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</si>
  <si>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</si>
  <si>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</si>
  <si>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</si>
  <si>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</si>
  <si>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</si>
  <si>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</si>
  <si>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</si>
  <si>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</si>
  <si>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</si>
  <si>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</si>
  <si>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</si>
  <si>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</si>
  <si>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</si>
  <si>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</si>
  <si>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</si>
  <si>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</si>
  <si>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</si>
  <si>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</si>
  <si>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</si>
  <si>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</si>
  <si>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</si>
  <si>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</si>
  <si>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</si>
  <si>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</si>
  <si>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</si>
  <si>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</si>
  <si>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</si>
  <si>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</si>
  <si>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</si>
  <si>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</si>
  <si>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</si>
  <si>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</si>
  <si>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</si>
  <si>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</si>
  <si>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</si>
  <si>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</si>
  <si>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</si>
  <si>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</si>
  <si>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</si>
  <si>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</si>
  <si>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</si>
  <si>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</si>
  <si>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</si>
  <si>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</si>
  <si>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</si>
  <si>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</si>
  <si>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</si>
  <si>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</si>
  <si>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</si>
  <si>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</si>
  <si>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</si>
  <si>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</si>
  <si>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</si>
  <si>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</si>
  <si>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</si>
  <si>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</si>
  <si>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</si>
  <si>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</si>
  <si>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</si>
  <si>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</si>
  <si>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</si>
  <si>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</si>
  <si>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</si>
  <si>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</si>
  <si>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</si>
  <si>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</si>
  <si>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</si>
  <si>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</si>
  <si>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</si>
  <si>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</si>
  <si>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</si>
  <si>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</si>
  <si>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</si>
  <si>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</si>
  <si>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</si>
  <si>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</si>
  <si>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</si>
  <si>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</si>
  <si>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</si>
  <si>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</si>
  <si>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</si>
  <si>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</si>
  <si>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</si>
  <si>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</si>
  <si>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</si>
  <si>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</si>
  <si>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</si>
  <si>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</si>
  <si>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</si>
  <si>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</si>
  <si>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</si>
  <si>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</si>
  <si>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</si>
  <si>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</si>
  <si>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</si>
  <si>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</si>
  <si>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</si>
  <si>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</si>
  <si>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</si>
  <si>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</si>
  <si>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</si>
  <si>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</si>
  <si>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</si>
  <si>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</si>
  <si>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</si>
  <si>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</si>
  <si>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</si>
  <si>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</si>
  <si>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</si>
  <si>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</si>
  <si>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</si>
  <si>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</si>
  <si>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</si>
  <si>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</si>
  <si>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</si>
  <si>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</si>
  <si>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</si>
  <si>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</si>
  <si>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</si>
  <si>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</si>
  <si>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</si>
  <si>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</si>
  <si>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</si>
  <si>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</si>
  <si>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</si>
  <si>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</si>
  <si>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</si>
  <si>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</si>
  <si>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</si>
  <si>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</si>
  <si>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</si>
  <si>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</si>
  <si>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</si>
  <si>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</si>
  <si>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</si>
  <si>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</si>
  <si>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</si>
  <si>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</si>
  <si>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</si>
  <si>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</si>
  <si>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</si>
  <si>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</si>
  <si>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</si>
  <si>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</si>
  <si>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</si>
  <si>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</si>
  <si>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</si>
  <si>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</si>
  <si>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</si>
  <si>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</si>
  <si>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</si>
  <si>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</si>
  <si>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</si>
  <si>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</si>
  <si>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</si>
  <si>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</si>
  <si>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</si>
  <si>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</si>
  <si>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</si>
  <si>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</si>
  <si>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</si>
  <si>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</si>
  <si>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</si>
  <si>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</si>
  <si>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</si>
  <si>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</si>
  <si>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</si>
  <si>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</si>
  <si>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</si>
  <si>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</si>
  <si>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</si>
  <si>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</si>
  <si>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</si>
  <si>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</si>
  <si>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</si>
  <si>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</si>
  <si>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</si>
  <si>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</si>
  <si>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</si>
  <si>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</si>
  <si>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</si>
  <si>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</si>
  <si>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</si>
  <si>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</si>
  <si>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</si>
  <si>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</si>
  <si>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</si>
  <si>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</si>
  <si>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</si>
  <si>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</si>
  <si>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</si>
  <si>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</si>
  <si>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</si>
  <si>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</si>
  <si>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</si>
  <si>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</si>
  <si>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</si>
  <si>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</si>
  <si>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</si>
  <si>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</si>
  <si>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</si>
  <si>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</si>
  <si>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</si>
  <si>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</si>
  <si>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</si>
  <si>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</si>
  <si>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</si>
  <si>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</si>
  <si>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</si>
  <si>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</si>
  <si>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</si>
  <si>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</si>
  <si>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</si>
  <si>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</si>
  <si>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</si>
  <si>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</si>
  <si>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</si>
  <si>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</si>
  <si>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</si>
  <si>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</si>
  <si>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</si>
  <si>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</si>
  <si>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</si>
  <si>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</si>
  <si>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</si>
  <si>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</si>
  <si>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</si>
  <si>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</si>
  <si>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</si>
  <si>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</si>
  <si>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</si>
  <si>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</si>
  <si>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</si>
  <si>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</si>
  <si>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</si>
  <si>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</si>
  <si>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</si>
  <si>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</si>
  <si>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</si>
  <si>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</si>
  <si>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</si>
  <si>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</si>
  <si>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</si>
  <si>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</si>
  <si>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</si>
  <si>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</si>
  <si>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</si>
  <si>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</si>
  <si>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</si>
  <si>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</si>
  <si>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</si>
  <si>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</si>
  <si>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</si>
  <si>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</si>
  <si>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</si>
  <si>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</si>
  <si>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0406</t>
  </si>
  <si>
    <t>0600</t>
  </si>
  <si>
    <t>0603</t>
  </si>
  <si>
    <t>0605</t>
  </si>
  <si>
    <t>0610</t>
  </si>
  <si>
    <t>0615</t>
  </si>
  <si>
    <t>0616</t>
  </si>
  <si>
    <t>0618</t>
  </si>
  <si>
    <t>0620</t>
  </si>
  <si>
    <t>0622</t>
  </si>
  <si>
    <t>0625</t>
  </si>
  <si>
    <t>0632</t>
  </si>
  <si>
    <t>0635</t>
  </si>
  <si>
    <t>0640</t>
  </si>
  <si>
    <t>0645</t>
  </si>
  <si>
    <t>0650</t>
  </si>
  <si>
    <t>0655</t>
  </si>
  <si>
    <t>0658</t>
  </si>
  <si>
    <t>0660</t>
  </si>
  <si>
    <t>0662</t>
  </si>
  <si>
    <t>0665</t>
  </si>
  <si>
    <t>0670</t>
  </si>
  <si>
    <t>0672</t>
  </si>
  <si>
    <t>0673</t>
  </si>
  <si>
    <t>0674</t>
  </si>
  <si>
    <t>0675</t>
  </si>
  <si>
    <t>0680</t>
  </si>
  <si>
    <t>0683</t>
  </si>
  <si>
    <t>0685</t>
  </si>
  <si>
    <t>0690</t>
  </si>
  <si>
    <t>0695</t>
  </si>
  <si>
    <t>0698</t>
  </si>
  <si>
    <t>0700</t>
  </si>
  <si>
    <t>0705</t>
  </si>
  <si>
    <t>0710</t>
  </si>
  <si>
    <t>0712</t>
  </si>
  <si>
    <t>0715</t>
  </si>
  <si>
    <t>0717</t>
  </si>
  <si>
    <t>0720</t>
  </si>
  <si>
    <t>0725</t>
  </si>
  <si>
    <t>0728</t>
  </si>
  <si>
    <t>0730</t>
  </si>
  <si>
    <t>0735</t>
  </si>
  <si>
    <t>0740</t>
  </si>
  <si>
    <t>0745</t>
  </si>
  <si>
    <t>0750</t>
  </si>
  <si>
    <t>0753</t>
  </si>
  <si>
    <t>0755</t>
  </si>
  <si>
    <t>0760</t>
  </si>
  <si>
    <t>0763</t>
  </si>
  <si>
    <t>0765</t>
  </si>
  <si>
    <t>0766</t>
  </si>
  <si>
    <t>0767</t>
  </si>
  <si>
    <t>0770</t>
  </si>
  <si>
    <t>0773</t>
  </si>
  <si>
    <t>0774</t>
  </si>
  <si>
    <t>0775</t>
  </si>
  <si>
    <t>0778</t>
  </si>
  <si>
    <t>0780</t>
  </si>
  <si>
    <t>0801</t>
  </si>
  <si>
    <t>0805</t>
  </si>
  <si>
    <t>0806</t>
  </si>
  <si>
    <t>0810</t>
  </si>
  <si>
    <t>0815</t>
  </si>
  <si>
    <t>0817</t>
  </si>
  <si>
    <t>0818</t>
  </si>
  <si>
    <t>0821</t>
  </si>
  <si>
    <t>0823</t>
  </si>
  <si>
    <t>0825</t>
  </si>
  <si>
    <t>0828</t>
  </si>
  <si>
    <t>0829</t>
  </si>
  <si>
    <t>0830</t>
  </si>
  <si>
    <t>0832</t>
  </si>
  <si>
    <t>0851</t>
  </si>
  <si>
    <t>0852</t>
  </si>
  <si>
    <t>0853</t>
  </si>
  <si>
    <t>0855</t>
  </si>
  <si>
    <t>0860</t>
  </si>
  <si>
    <t>0871</t>
  </si>
  <si>
    <t>0872</t>
  </si>
  <si>
    <t>0873</t>
  </si>
  <si>
    <t>0876</t>
  </si>
  <si>
    <t>0878</t>
  </si>
  <si>
    <t>0879</t>
  </si>
  <si>
    <t>0885</t>
  </si>
  <si>
    <t>0910</t>
  </si>
  <si>
    <t>0915</t>
  </si>
  <si>
    <t>TownLEA</t>
  </si>
  <si>
    <t>0998</t>
  </si>
  <si>
    <t>0999</t>
  </si>
  <si>
    <t>localcont, leas</t>
  </si>
  <si>
    <r>
      <t xml:space="preserve">disthist, localcont, frac, parameters
</t>
    </r>
    <r>
      <rPr>
        <i/>
        <sz val="10"/>
        <rFont val="Calibri"/>
        <family val="2"/>
        <scheme val="minor"/>
      </rPr>
      <t>Starting w/ LEA 406, in col J (target aid %), formula changes to pull from frac tab.</t>
    </r>
  </si>
  <si>
    <t>Base Foundation Components</t>
  </si>
  <si>
    <t>More about the data</t>
  </si>
  <si>
    <t>Back to the top</t>
  </si>
  <si>
    <t>Regional District Members</t>
  </si>
  <si>
    <t>This report displays relevant data for municipal members of a single regional district.</t>
  </si>
  <si>
    <t>Key Terms</t>
  </si>
  <si>
    <r>
      <rPr>
        <i/>
        <sz val="14"/>
        <rFont val="Calibri"/>
        <family val="2"/>
        <scheme val="minor"/>
      </rPr>
      <t>TABLE OF CONTENTS</t>
    </r>
    <r>
      <rPr>
        <sz val="10"/>
        <rFont val="Calibri"/>
        <family val="2"/>
        <scheme val="minor"/>
      </rPr>
      <t xml:space="preserve">
</t>
    </r>
  </si>
  <si>
    <t>c70fy18</t>
  </si>
  <si>
    <t>FY19</t>
  </si>
  <si>
    <t>Rob O'Donnell</t>
  </si>
  <si>
    <t>781-338-6512</t>
  </si>
  <si>
    <t xml:space="preserve">Which version of mrgf? </t>
  </si>
  <si>
    <t>K Full</t>
  </si>
  <si>
    <t>LEA code</t>
  </si>
  <si>
    <t>Select or type full district name below</t>
  </si>
  <si>
    <t>Select a district</t>
  </si>
  <si>
    <t>Select a regional district</t>
  </si>
  <si>
    <t>Select or type full regional district name below</t>
  </si>
  <si>
    <t>Only municipal district selections will activate the Municipal Contribution Requirement and Regional Allocation reports.</t>
  </si>
  <si>
    <t xml:space="preserve">Use the drop-down menu to select a municipal or regional district  and then go to any of the first four links below.  </t>
  </si>
  <si>
    <t>Select the district you're interested in from the dropdown list on this sheet.</t>
  </si>
  <si>
    <t>A list of LEAs by code begins on row 26 of this sheet.</t>
  </si>
  <si>
    <t>FY20</t>
  </si>
  <si>
    <t>Target effort</t>
  </si>
  <si>
    <t>English learners PK-5</t>
  </si>
  <si>
    <t>English learners 6-8</t>
  </si>
  <si>
    <t>uniform property percentage</t>
  </si>
  <si>
    <t>uniform income percentage</t>
  </si>
  <si>
    <t>District Name</t>
  </si>
  <si>
    <t>Jr/Middle</t>
  </si>
  <si>
    <t>EL PK-5</t>
  </si>
  <si>
    <t>EL 6-8</t>
  </si>
  <si>
    <t>Total Foundation Enrollment</t>
  </si>
  <si>
    <t>WAF</t>
  </si>
  <si>
    <t>Classroom &amp; Specialist Teachers</t>
  </si>
  <si>
    <t>Total Foundation Budget</t>
  </si>
  <si>
    <t>1</t>
  </si>
  <si>
    <t>2</t>
  </si>
  <si>
    <t>3</t>
  </si>
  <si>
    <t>4</t>
  </si>
  <si>
    <t>5</t>
  </si>
  <si>
    <t>6</t>
  </si>
  <si>
    <t>11</t>
  </si>
  <si>
    <t>13</t>
  </si>
  <si>
    <t>10</t>
  </si>
  <si>
    <t xml:space="preserve">           Percentage of INCOME</t>
  </si>
  <si>
    <t>*The wage adjustment factor is applied to underlying rates in all functions except instructional equipment, benefits and special education tuition.</t>
  </si>
  <si>
    <t>Pct Chg</t>
  </si>
  <si>
    <t>Target aid share</t>
  </si>
  <si>
    <t>C70 % of foundation</t>
  </si>
  <si>
    <t>Required NSS % of foundation</t>
  </si>
  <si>
    <t>base aid</t>
  </si>
  <si>
    <t>Special increment toward 82.5% target**</t>
  </si>
  <si>
    <t>Uniform property percentage</t>
  </si>
  <si>
    <t>Uniform income percentage</t>
  </si>
  <si>
    <t>English learner foundation budget as % total foundation budget</t>
  </si>
  <si>
    <r>
      <t xml:space="preserve">1 regional district report summarizing enrollment and local contribution for each member town
</t>
    </r>
    <r>
      <rPr>
        <i/>
        <sz val="10"/>
        <rFont val="Calibri"/>
        <family val="2"/>
        <scheme val="minor"/>
      </rPr>
      <t>Changed in FY18 to vlookup on localcont</t>
    </r>
  </si>
  <si>
    <t>DESE</t>
  </si>
  <si>
    <t>Pre-school</t>
  </si>
  <si>
    <t>Combined effort yield (3 + 6)</t>
  </si>
  <si>
    <t>Maximum local contribution (82.5% * 8)</t>
  </si>
  <si>
    <t>Target local contribution (lesser of 7 or 9)</t>
  </si>
  <si>
    <r>
      <t xml:space="preserve">Target </t>
    </r>
    <r>
      <rPr>
        <b/>
        <sz val="12"/>
        <rFont val="Calibri"/>
        <family val="2"/>
        <scheme val="minor"/>
      </rPr>
      <t>local</t>
    </r>
    <r>
      <rPr>
        <sz val="12"/>
        <rFont val="Calibri"/>
        <family val="2"/>
        <scheme val="minor"/>
      </rPr>
      <t xml:space="preserve"> share (10 as % of 8)</t>
    </r>
  </si>
  <si>
    <r>
      <t>Target</t>
    </r>
    <r>
      <rPr>
        <b/>
        <sz val="12"/>
        <rFont val="Calibri"/>
        <family val="2"/>
        <scheme val="minor"/>
      </rPr>
      <t xml:space="preserve"> aid </t>
    </r>
    <r>
      <rPr>
        <sz val="12"/>
        <rFont val="Calibri"/>
        <family val="2"/>
        <scheme val="minor"/>
      </rPr>
      <t>share (100% minus 11)</t>
    </r>
  </si>
  <si>
    <t>Preliminary contribution pct of foundation (15 / 8)</t>
  </si>
  <si>
    <t>Incremental Costs Above the Base</t>
  </si>
  <si>
    <t xml:space="preserve">    Combined effort yield as % of foundation</t>
  </si>
  <si>
    <t>26)</t>
  </si>
  <si>
    <t>**if combined effort yield &gt; 175% foundation</t>
  </si>
  <si>
    <t>OPTION TO ACTIVATE THIS INCREMENT</t>
  </si>
  <si>
    <t>Foundation Enrollment in Regional District</t>
  </si>
  <si>
    <t>Required Minimum Contribution to Regional District</t>
  </si>
  <si>
    <t xml:space="preserve">The table below presents the minimum required local contribution for each member to the selected regional district. </t>
  </si>
  <si>
    <t>Year</t>
  </si>
  <si>
    <t>Table 1.1.9. Implicit Price Deflators for Gross Domestic Product</t>
  </si>
  <si>
    <t>7</t>
  </si>
  <si>
    <t>8</t>
  </si>
  <si>
    <t>12</t>
  </si>
  <si>
    <t>FY21</t>
  </si>
  <si>
    <t>c70fy20</t>
  </si>
  <si>
    <t>SUMMARY FOR EXPORT (reads from columns to the left)</t>
  </si>
  <si>
    <t>Hoosac Valley</t>
  </si>
  <si>
    <t>HOOSAC VALLEY</t>
  </si>
  <si>
    <t>LEA Number</t>
  </si>
  <si>
    <t>English learners high school/voc</t>
  </si>
  <si>
    <t>Total foundation enrollment (column 14) does not include incremental costs above the base.  The pupils are already counted in columns 1 to 7.</t>
  </si>
  <si>
    <t>Each component of the foundation budget represents the enrollment in row 10 multiplied by the appropriate statewide foundation allotment.</t>
  </si>
  <si>
    <t>Chapter 70 aid</t>
  </si>
  <si>
    <t>Minimum aid amount</t>
  </si>
  <si>
    <t>change in aid</t>
  </si>
  <si>
    <t>Min aid adjustment increase</t>
  </si>
  <si>
    <t>Low-Income</t>
  </si>
  <si>
    <t>EL high school/voc</t>
  </si>
  <si>
    <t>change per pupil</t>
  </si>
  <si>
    <t>change in aid per pupil</t>
  </si>
  <si>
    <t>% change in aid</t>
  </si>
  <si>
    <t>the total students attending school in the district and the total resident students attending charter schools.</t>
  </si>
  <si>
    <t>Total 
Low-Income Enrollment</t>
  </si>
  <si>
    <t>SHIRLEY</t>
  </si>
  <si>
    <t>27)</t>
  </si>
  <si>
    <t>Shortfall from target local share (10 - 15)</t>
  </si>
  <si>
    <t>Shortfall percentage (11 - 16)</t>
  </si>
  <si>
    <t>Contribution as percentage of foundation (26 / 8)</t>
  </si>
  <si>
    <t>Shortfall from target after adding increments (10 - 15 - 23 - 24)</t>
  </si>
  <si>
    <t>Special education tuitioned-out enrollment is also an assumed percentage, representing 1 percent of non-vocational K-12 enrollment.</t>
  </si>
  <si>
    <t>Employee Benefits/Fixed Charges</t>
  </si>
  <si>
    <t>Kindergarten half-day</t>
  </si>
  <si>
    <t>Kindergarten full-day</t>
  </si>
  <si>
    <t xml:space="preserve">c70fy18
</t>
  </si>
  <si>
    <t xml:space="preserve">c70fy19
</t>
  </si>
  <si>
    <t>(if line 6 - line 5 &gt; 0, then line 6 - line 5, otherwise 0)</t>
  </si>
  <si>
    <t>CHESHIRE</t>
  </si>
  <si>
    <t>The combined totals on lines 5 and 9 may differ due to rounding.</t>
  </si>
  <si>
    <t>State total (excluding Devens)</t>
  </si>
  <si>
    <t>Low income</t>
  </si>
  <si>
    <t>change</t>
  </si>
  <si>
    <t>Robert.F.O'Donnell@mass.gov</t>
  </si>
  <si>
    <t>pynetmin</t>
  </si>
  <si>
    <t>TOTAL</t>
  </si>
  <si>
    <t>Instructional Materials, Equipment &amp; Technology*</t>
  </si>
  <si>
    <t>Employee Benefits/Fixed Charges*</t>
  </si>
  <si>
    <t>Special Education Tuition*</t>
  </si>
  <si>
    <t>FY22</t>
  </si>
  <si>
    <t>c70fy21</t>
  </si>
  <si>
    <t>From DOR
3</t>
  </si>
  <si>
    <t>From DOR
5</t>
  </si>
  <si>
    <t>Group</t>
  </si>
  <si>
    <t>Low-Income % 
for Group Assignment</t>
  </si>
  <si>
    <t>Low-income group assignment</t>
  </si>
  <si>
    <t>plus additional $30/pupil</t>
  </si>
  <si>
    <t>Subtotal</t>
  </si>
  <si>
    <t>Sum of 1,5,7</t>
  </si>
  <si>
    <t>Minimum Aid Adjustment</t>
  </si>
  <si>
    <t>Minimum aid adjustment</t>
  </si>
  <si>
    <t>Aid adjustment increment</t>
  </si>
  <si>
    <t>(if line 9 - line 8 &gt; 0, then line 9 - line 8, otherwise 0)</t>
  </si>
  <si>
    <t>Minimum Aid</t>
  </si>
  <si>
    <t>Low-Income
Group</t>
  </si>
  <si>
    <t>Note on Minimum Aid Adjustment on lines 9 and 10:</t>
  </si>
  <si>
    <t>Municipal Contribution Requirement</t>
  </si>
  <si>
    <t>Regional District Detail</t>
  </si>
  <si>
    <t>(go to this sheet to see any particular regional district's comparison of enrollment and minimum contributions to the prior year)</t>
  </si>
  <si>
    <t>Assumed Special Education In-District</t>
  </si>
  <si>
    <t>Assumed Special Education Tuition</t>
  </si>
  <si>
    <t>FY23</t>
  </si>
  <si>
    <t>c70fy22</t>
  </si>
  <si>
    <t>Town code</t>
  </si>
  <si>
    <t>includes Devens aid</t>
  </si>
  <si>
    <t>N of Operating Districts with an Aid Increase</t>
  </si>
  <si>
    <t>Total Enrollment of Students Attending School in the District 
plus the Total Resident Students Attending Charter Schools</t>
  </si>
  <si>
    <t>Enrollment incl. Postgrads</t>
  </si>
  <si>
    <t>0-5.99%</t>
  </si>
  <si>
    <t>6-11.99%</t>
  </si>
  <si>
    <t>12-17.99%</t>
  </si>
  <si>
    <t>18-23.99%</t>
  </si>
  <si>
    <t>24-29.99%</t>
  </si>
  <si>
    <t>30-35.99%</t>
  </si>
  <si>
    <t>36-41.99%</t>
  </si>
  <si>
    <t>42-47.99%</t>
  </si>
  <si>
    <t>48-53.99%</t>
  </si>
  <si>
    <t>54-69.99%</t>
  </si>
  <si>
    <t>70-79.99%</t>
  </si>
  <si>
    <t>80%+</t>
  </si>
  <si>
    <t>Group 1</t>
  </si>
  <si>
    <t>Group 2</t>
  </si>
  <si>
    <t>Group 3</t>
  </si>
  <si>
    <t>Group 4</t>
  </si>
  <si>
    <t>Group 5</t>
  </si>
  <si>
    <t>Group 6</t>
  </si>
  <si>
    <t>Group 7</t>
  </si>
  <si>
    <t>Group 8</t>
  </si>
  <si>
    <t>Group 9</t>
  </si>
  <si>
    <t>Group 10</t>
  </si>
  <si>
    <t>Group 11</t>
  </si>
  <si>
    <t>Group 12</t>
  </si>
  <si>
    <t>The low-income percentage is the ratio of the low-income enrollment to:</t>
  </si>
  <si>
    <t>Low-income group</t>
  </si>
  <si>
    <t>Low-income foundation budget as % total foundation budget</t>
  </si>
  <si>
    <t>Low-income %</t>
  </si>
  <si>
    <t>Low-income percentage</t>
  </si>
  <si>
    <t>Low-income group 5 (24-29.99%)</t>
  </si>
  <si>
    <t>Low-income group 6 (30-35.99%)</t>
  </si>
  <si>
    <t>Low-income group 7 (36-41.99%)</t>
  </si>
  <si>
    <t>Low-income group 8 (42-47.99%)</t>
  </si>
  <si>
    <t>Low-income group 9 (48-53.99%)</t>
  </si>
  <si>
    <t>Low-income group 10 (54-69.99%)</t>
  </si>
  <si>
    <t>Low-income group 11 (70-79.99%)</t>
  </si>
  <si>
    <t>Low-income group 12 (80%+)</t>
  </si>
  <si>
    <t>Low-income group 4 (18-23.99%)</t>
  </si>
  <si>
    <t>Low-income group 3 (12-17.99%)</t>
  </si>
  <si>
    <t>Low-income group 1 (0-5.99%)</t>
  </si>
  <si>
    <t>Low-income group 2 (6-11.99%)</t>
  </si>
  <si>
    <t xml:space="preserve">the Transitional Assistance for Families with Dependent Children (TAFDC), MassHealth (Medicaid), or foster care; </t>
  </si>
  <si>
    <t xml:space="preserve">(2) homeless designation through the McKinney-Vento Homeless Education Assistance program; </t>
  </si>
  <si>
    <t>Low-income and English learner foundation budget increments are based on the number of students attending school in the district</t>
  </si>
  <si>
    <t>or district residents who attend charter schools.</t>
  </si>
  <si>
    <t>Special Education in-district</t>
  </si>
  <si>
    <t>Special Education tuitioned-out</t>
  </si>
  <si>
    <t xml:space="preserve">Low-income enrollment is based on: (1) participation in Supplemental Nutrition Assistance Program (SNAP), </t>
  </si>
  <si>
    <t>FY24</t>
  </si>
  <si>
    <t>c70fy23</t>
  </si>
  <si>
    <t>c70fy23 
incl. base aid adjustments for Warwick and Pioneer</t>
  </si>
  <si>
    <t>FY24 Chapter 70</t>
  </si>
  <si>
    <t>Headcount</t>
  </si>
  <si>
    <t>12/7/22: Starting in FY24, Warwick will no longer be part of Pioneer.</t>
  </si>
  <si>
    <t>2022 equalized valuation</t>
  </si>
  <si>
    <t>min aid adjustment only applied to operating districts; adjusted base aid for Warwick and Pioneer Valley</t>
  </si>
  <si>
    <t>Copied in FY23 foundation budget, %s, RLCs and enro. Starting in FY24, Warwick will no longer be part of Pioneer. Removed Warwick/Pioneer combination on this tab.</t>
  </si>
  <si>
    <t># of Districts Increasing</t>
  </si>
  <si>
    <t># of Districts Decreasing</t>
  </si>
  <si>
    <t>or (3) verification as low income through a supplemental data collection process.</t>
  </si>
  <si>
    <t>Hold Harmless Aid</t>
  </si>
  <si>
    <t>Hold harmless aid</t>
  </si>
  <si>
    <t>Sum of 1,5,7,10, 12 minus 11</t>
  </si>
  <si>
    <t>holdharmlessaid</t>
  </si>
  <si>
    <t>FY25</t>
  </si>
  <si>
    <t>FY25 Chapter 70 Prelim</t>
  </si>
  <si>
    <t>Special education in-district enrollment is an assumed percentage, representing 3.93 percent of K-12 non-vocational enrollment and</t>
  </si>
  <si>
    <t>4.93 percent of vocational enrollment.</t>
  </si>
  <si>
    <t>2021 income</t>
  </si>
  <si>
    <t>c70fy24</t>
  </si>
  <si>
    <t>c70fy24, col AQ, AR, AS from aid436</t>
  </si>
  <si>
    <t>12/13/2023: Copied in output from distfrac25draft into localcont</t>
  </si>
  <si>
    <t>12/13/23 copied in income 2021</t>
  </si>
  <si>
    <t>FY24 C70 including Devens</t>
  </si>
  <si>
    <t>FY25 foundation aid increase</t>
  </si>
  <si>
    <t>c70fy24
14</t>
  </si>
  <si>
    <t xml:space="preserve">Copied in FY24 FB, RLC and Aid
Copied in target aid %s from FY24 12/14/2023
</t>
  </si>
  <si>
    <t>12/14/23 : updated frac, disthist, added in min aid adjustment figures into aid 436</t>
  </si>
  <si>
    <t>updated 12/21/23</t>
  </si>
  <si>
    <t>1/3/2024 updated distfrac and found, ran scenarios 1 and 2 again</t>
  </si>
  <si>
    <t>chgd formula 1/3/24 to exclude nonops from mindaidadj $</t>
  </si>
  <si>
    <t>1/5/2024 updated minaidadjustment #s in Aid436, no change otherwise</t>
  </si>
  <si>
    <t>MARSHFIELD</t>
  </si>
  <si>
    <t>Copied from distfrac25prelim 1/5/2024, checked and updated ranges</t>
  </si>
  <si>
    <t>found25prelim</t>
  </si>
  <si>
    <t>Copied in FY25 rates</t>
  </si>
  <si>
    <t>Comparison to FY24</t>
  </si>
  <si>
    <t>Only includes districts operating in both years</t>
  </si>
  <si>
    <t>Copied FY24 RLCs into PY RLC column; updated formulas in columns I, Q, and Y to return value = 0 if townwide foundation budget = 0</t>
  </si>
  <si>
    <t>From DOR 1/11/24
15</t>
  </si>
  <si>
    <t>updated MRGFs 1/11/2024</t>
  </si>
  <si>
    <t>distfrac25prelim_hwm</t>
  </si>
  <si>
    <t>2/1/2024 updated localcont with found25prelim_hwm which had several corrections; removed py hold harmless for Lowell</t>
  </si>
  <si>
    <t>*base aid shift from Marshfield to SSVT 23,806 in Aid436, don't forget to make sure the formulas are reset in FY26</t>
  </si>
  <si>
    <t>3/4/2024 updates to 2 towns' MRgfs</t>
  </si>
  <si>
    <t>3/7/2024 Updated localcont for enrollment</t>
  </si>
  <si>
    <t>4/1/24 minaidadjustprelimhwm file col y aid436</t>
  </si>
  <si>
    <t>found25</t>
  </si>
  <si>
    <t>source:  found25</t>
  </si>
  <si>
    <t>Meghan Ryan</t>
  </si>
  <si>
    <t>Meghan.Ryan2@mass.gov</t>
  </si>
  <si>
    <t>781-338-6507</t>
  </si>
  <si>
    <t>Budget24</t>
  </si>
  <si>
    <t>Foundation24</t>
  </si>
  <si>
    <t>Budget25</t>
  </si>
  <si>
    <t>Foundation25</t>
  </si>
  <si>
    <t>Contribution25</t>
  </si>
  <si>
    <t>Contribution24</t>
  </si>
  <si>
    <t>Enrollment24</t>
  </si>
  <si>
    <t>Enrollment25</t>
  </si>
  <si>
    <t>Grand Total</t>
  </si>
  <si>
    <t>Sum of Enrollment25</t>
  </si>
  <si>
    <t>Sum of Budget25</t>
  </si>
  <si>
    <t>Sum of Contribution252</t>
  </si>
  <si>
    <t>406 Total</t>
  </si>
  <si>
    <t>600 Total</t>
  </si>
  <si>
    <t>603 Total</t>
  </si>
  <si>
    <t>605 Total</t>
  </si>
  <si>
    <t>610 Total</t>
  </si>
  <si>
    <t>615 Total</t>
  </si>
  <si>
    <t>616 Total</t>
  </si>
  <si>
    <t>618 Total</t>
  </si>
  <si>
    <t>620 Total</t>
  </si>
  <si>
    <t>622 Total</t>
  </si>
  <si>
    <t>625 Total</t>
  </si>
  <si>
    <t>885 Total</t>
  </si>
  <si>
    <t>910 Total</t>
  </si>
  <si>
    <t>915 Total</t>
  </si>
  <si>
    <t>632 Total</t>
  </si>
  <si>
    <t>635 Total</t>
  </si>
  <si>
    <t>640 Total</t>
  </si>
  <si>
    <t>645 Total</t>
  </si>
  <si>
    <t>650 Total</t>
  </si>
  <si>
    <t>655 Total</t>
  </si>
  <si>
    <t>658 Total</t>
  </si>
  <si>
    <t>660 Total</t>
  </si>
  <si>
    <t>662 Total</t>
  </si>
  <si>
    <t>665 Total</t>
  </si>
  <si>
    <t>670 Total</t>
  </si>
  <si>
    <t>672 Total</t>
  </si>
  <si>
    <t>673 Total</t>
  </si>
  <si>
    <t>674 Total</t>
  </si>
  <si>
    <t>675 Total</t>
  </si>
  <si>
    <t>680 Total</t>
  </si>
  <si>
    <t>683 Total</t>
  </si>
  <si>
    <t>685 Total</t>
  </si>
  <si>
    <t>690 Total</t>
  </si>
  <si>
    <t>695 Total</t>
  </si>
  <si>
    <t>698 Total</t>
  </si>
  <si>
    <t>700 Total</t>
  </si>
  <si>
    <t>705 Total</t>
  </si>
  <si>
    <t>710 Total</t>
  </si>
  <si>
    <t>712 Total</t>
  </si>
  <si>
    <t>715 Total</t>
  </si>
  <si>
    <t>717 Total</t>
  </si>
  <si>
    <t>720 Total</t>
  </si>
  <si>
    <t>725 Total</t>
  </si>
  <si>
    <t>728 Total</t>
  </si>
  <si>
    <t>730 Total</t>
  </si>
  <si>
    <t>735 Total</t>
  </si>
  <si>
    <t>740 Total</t>
  </si>
  <si>
    <t>745 Total</t>
  </si>
  <si>
    <t>750 Total</t>
  </si>
  <si>
    <t>753 Total</t>
  </si>
  <si>
    <t>755 Total</t>
  </si>
  <si>
    <t>760 Total</t>
  </si>
  <si>
    <t>763 Total</t>
  </si>
  <si>
    <t>765 Total</t>
  </si>
  <si>
    <t>766 Total</t>
  </si>
  <si>
    <t>767 Total</t>
  </si>
  <si>
    <t>770 Total</t>
  </si>
  <si>
    <t>773 Total</t>
  </si>
  <si>
    <t>774 Total</t>
  </si>
  <si>
    <t>775 Total</t>
  </si>
  <si>
    <t>778 Total</t>
  </si>
  <si>
    <t>780 Total</t>
  </si>
  <si>
    <t>801 Total</t>
  </si>
  <si>
    <t>805 Total</t>
  </si>
  <si>
    <t>806 Total</t>
  </si>
  <si>
    <t>810 Total</t>
  </si>
  <si>
    <t>815 Total</t>
  </si>
  <si>
    <t>817 Total</t>
  </si>
  <si>
    <t>818 Total</t>
  </si>
  <si>
    <t>821 Total</t>
  </si>
  <si>
    <t>823 Total</t>
  </si>
  <si>
    <t>825 Total</t>
  </si>
  <si>
    <t>828 Total</t>
  </si>
  <si>
    <t>829 Total</t>
  </si>
  <si>
    <t>830 Total</t>
  </si>
  <si>
    <t>832 Total</t>
  </si>
  <si>
    <t>851 Total</t>
  </si>
  <si>
    <t>852 Total</t>
  </si>
  <si>
    <t>853 Total</t>
  </si>
  <si>
    <t>855 Total</t>
  </si>
  <si>
    <t>860 Total</t>
  </si>
  <si>
    <t>871 Total</t>
  </si>
  <si>
    <t>872 Total</t>
  </si>
  <si>
    <t>873 Total</t>
  </si>
  <si>
    <t>876 Total</t>
  </si>
  <si>
    <t>878 Total</t>
  </si>
  <si>
    <t>879 Total</t>
  </si>
  <si>
    <t>Town ID</t>
  </si>
  <si>
    <t>Member city or town</t>
  </si>
  <si>
    <t>Foundation enrollment</t>
  </si>
  <si>
    <t xml:space="preserve">Foundation budget </t>
  </si>
  <si>
    <t>Required contribution</t>
  </si>
  <si>
    <t>Chapter 70 
Aid</t>
  </si>
  <si>
    <t>Required net school spending</t>
  </si>
  <si>
    <t>Lookup</t>
  </si>
  <si>
    <t>Minimum $104 per pupil increase</t>
  </si>
  <si>
    <t xml:space="preserve">This report displays the foundation enrollment and foundation budget for a single district. A district’s foundation budget is updated </t>
  </si>
  <si>
    <t xml:space="preserve">each year and it is derived by multiplying the number of pupils in thirteen enrollment categories by cost rates in eleven functional areas. </t>
  </si>
  <si>
    <t>FY25 Chapter 70 and Net School Spending Formula</t>
  </si>
  <si>
    <r>
      <rPr>
        <b/>
        <sz val="10"/>
        <rFont val="Calibri"/>
        <family val="2"/>
        <scheme val="minor"/>
      </rPr>
      <t xml:space="preserve">Foundation Enrollment: </t>
    </r>
    <r>
      <rPr>
        <sz val="10"/>
        <rFont val="Calibri"/>
        <family val="2"/>
        <scheme val="minor"/>
      </rPr>
      <t>A count of the students for whom a school district is financially responsible on October 1st of any given year.</t>
    </r>
  </si>
  <si>
    <r>
      <rPr>
        <b/>
        <sz val="10"/>
        <rFont val="Calibri"/>
        <family val="2"/>
        <scheme val="minor"/>
      </rPr>
      <t>Inflation:</t>
    </r>
    <r>
      <rPr>
        <sz val="10"/>
        <rFont val="Calibri"/>
        <family val="2"/>
        <scheme val="minor"/>
      </rPr>
      <t xml:space="preserve"> Foundation budget rates are adjusted each year by a statutorily defined inflationary factor.  It affects all districts in the same way. </t>
    </r>
  </si>
  <si>
    <r>
      <rPr>
        <b/>
        <sz val="10"/>
        <rFont val="Calibri"/>
        <family val="2"/>
        <scheme val="minor"/>
      </rPr>
      <t>Wage Adjustment Factor (WAF)</t>
    </r>
    <r>
      <rPr>
        <sz val="10"/>
        <rFont val="Calibri"/>
        <family val="2"/>
        <scheme val="minor"/>
      </rPr>
      <t xml:space="preserve">: Gives a district credit for having higher school costs if it is located in a geographic area where average wages </t>
    </r>
  </si>
  <si>
    <t xml:space="preserve">are higher than in other areas of the state. Calculated using the latest available average wage data supplied by the state’s Executive Office of </t>
  </si>
  <si>
    <t>Labor and Workforce Development (EOLWD).</t>
  </si>
  <si>
    <r>
      <rPr>
        <b/>
        <sz val="10"/>
        <rFont val="Calibri"/>
        <family val="2"/>
        <scheme val="minor"/>
      </rPr>
      <t>Low-Income Group:</t>
    </r>
    <r>
      <rPr>
        <sz val="10"/>
        <rFont val="Calibri"/>
        <family val="2"/>
        <scheme val="minor"/>
      </rPr>
      <t xml:space="preserve"> Determined based on the relative concentration of low-income students served in the district. Corresponds to a </t>
    </r>
  </si>
  <si>
    <t>foundation budget rate for low-income students.</t>
  </si>
  <si>
    <t>This report displays the required local contribution for a single municipality. Each municipality has a target local share of its foundation budget,</t>
  </si>
  <si>
    <t xml:space="preserve"> based on local ability to pay. The required local contribution for each municipality is based on the previous year's required contribution, </t>
  </si>
  <si>
    <t>and includes some transition factors so that the shift toward the target levels occurs over a period of several years.</t>
  </si>
  <si>
    <r>
      <rPr>
        <b/>
        <sz val="12"/>
        <rFont val="Calibri"/>
        <family val="2"/>
        <scheme val="minor"/>
      </rPr>
      <t>Equalized Valuation (EQV):</t>
    </r>
    <r>
      <rPr>
        <sz val="12"/>
        <rFont val="Calibri"/>
        <family val="2"/>
        <scheme val="minor"/>
      </rPr>
      <t xml:space="preserve"> Calculated by DOR every two years. Full and fair cash value of all taxable property for each municipality.</t>
    </r>
  </si>
  <si>
    <r>
      <rPr>
        <b/>
        <sz val="12"/>
        <rFont val="Calibri"/>
        <family val="2"/>
        <scheme val="minor"/>
      </rPr>
      <t>Income:</t>
    </r>
    <r>
      <rPr>
        <sz val="12"/>
        <rFont val="Calibri"/>
        <family val="2"/>
        <scheme val="minor"/>
      </rPr>
      <t xml:space="preserve"> Derived annually by DOR from state income tax returns. Includes all forms of wage, pension, interest, business, investment,</t>
    </r>
  </si>
  <si>
    <t xml:space="preserve">   and capital gains income.</t>
  </si>
  <si>
    <r>
      <rPr>
        <b/>
        <sz val="12"/>
        <rFont val="Calibri"/>
        <family val="2"/>
        <scheme val="minor"/>
      </rPr>
      <t>Combined Effort Yield (CEY):</t>
    </r>
    <r>
      <rPr>
        <sz val="12"/>
        <rFont val="Calibri"/>
        <family val="2"/>
        <scheme val="minor"/>
      </rPr>
      <t xml:space="preserve"> Sum of property and income effort. Based on DESE-calculated property and income percentages, which, </t>
    </r>
  </si>
  <si>
    <t xml:space="preserve">   when applied to all municipalities in the Commonwealth, yields 59% of statewide foundation coming from local revenue.</t>
  </si>
  <si>
    <r>
      <rPr>
        <b/>
        <sz val="12"/>
        <rFont val="Calibri"/>
        <family val="2"/>
        <scheme val="minor"/>
      </rPr>
      <t>Target Local Contribution/Share:</t>
    </r>
    <r>
      <rPr>
        <sz val="12"/>
        <rFont val="Calibri"/>
        <family val="2"/>
        <scheme val="minor"/>
      </rPr>
      <t xml:space="preserve"> Calculated for each municipality as an equitable share of its foundation budget based on property</t>
    </r>
  </si>
  <si>
    <t xml:space="preserve"> wealth and income.</t>
  </si>
  <si>
    <r>
      <rPr>
        <b/>
        <sz val="12"/>
        <rFont val="Calibri"/>
        <family val="2"/>
        <scheme val="minor"/>
      </rPr>
      <t>Municipal Revenue Growth Factor (MRGF):</t>
    </r>
    <r>
      <rPr>
        <sz val="12"/>
        <rFont val="Calibri"/>
        <family val="2"/>
        <scheme val="minor"/>
      </rPr>
      <t xml:space="preserve"> Calculated each year by DOR and quantifies the most recent annual percentage change in</t>
    </r>
  </si>
  <si>
    <t xml:space="preserve"> each community's local revenues (such as the annual increase in the Proposition 2½ levy limit) that should be available for schools. </t>
  </si>
  <si>
    <t xml:space="preserve">This report displays the allocation of a municipality's required local contribution across the districts to which it belongs. The municipality's </t>
  </si>
  <si>
    <t>required contribution is allocated in direct proportion to the district's share of the municipality's foundation budget.</t>
  </si>
  <si>
    <t xml:space="preserve">This report displays the Chapter 70 aid calculation for a single district. The aid calculation begins with each district's prior year Chapter 70 amount. </t>
  </si>
  <si>
    <t xml:space="preserve">The difference between each district's foundation budget and its required contribution equals foundation aid. On the right-hand side, there is </t>
  </si>
  <si>
    <t>a comparison to the prior year.</t>
  </si>
  <si>
    <r>
      <rPr>
        <b/>
        <sz val="10"/>
        <rFont val="Calibri"/>
        <family val="2"/>
        <scheme val="minor"/>
      </rPr>
      <t>Foundation Aid</t>
    </r>
    <r>
      <rPr>
        <sz val="10"/>
        <rFont val="Calibri"/>
        <family val="2"/>
        <scheme val="minor"/>
      </rPr>
      <t xml:space="preserve">: The amount of aid needed by a district to reach its foundation budget, after factoring in this year's required local contribution. </t>
    </r>
  </si>
  <si>
    <r>
      <rPr>
        <b/>
        <sz val="10"/>
        <rFont val="Calibri"/>
        <family val="2"/>
        <scheme val="minor"/>
      </rPr>
      <t xml:space="preserve">Foundation budget: </t>
    </r>
    <r>
      <rPr>
        <sz val="10"/>
        <rFont val="Calibri"/>
        <family val="2"/>
        <scheme val="minor"/>
      </rPr>
      <t>Required Local Contribution = Foundation Aid</t>
    </r>
  </si>
  <si>
    <r>
      <rPr>
        <b/>
        <sz val="10"/>
        <rFont val="Calibri"/>
        <family val="2"/>
        <scheme val="minor"/>
      </rPr>
      <t xml:space="preserve">Minimum Aid: </t>
    </r>
    <r>
      <rPr>
        <sz val="10"/>
        <rFont val="Calibri"/>
        <family val="2"/>
        <scheme val="minor"/>
      </rPr>
      <t>A guaranteed per pupil aid increase over the prior year.</t>
    </r>
  </si>
  <si>
    <r>
      <rPr>
        <b/>
        <sz val="10"/>
        <rFont val="Calibri"/>
        <family val="2"/>
        <scheme val="minor"/>
      </rPr>
      <t>Required Net School Spending (NSS):</t>
    </r>
    <r>
      <rPr>
        <sz val="10"/>
        <rFont val="Calibri"/>
        <family val="2"/>
        <scheme val="minor"/>
      </rPr>
      <t xml:space="preserve"> The sum of this year's required local contribution and Chapter 70 aid. A district must spend this amount</t>
    </r>
  </si>
  <si>
    <t xml:space="preserve"> to be in compliance.</t>
  </si>
  <si>
    <r>
      <rPr>
        <b/>
        <sz val="10"/>
        <rFont val="Calibri"/>
        <family val="2"/>
        <scheme val="minor"/>
      </rPr>
      <t>Foundation Enrollment</t>
    </r>
    <r>
      <rPr>
        <sz val="10"/>
        <rFont val="Calibri"/>
        <family val="2"/>
        <scheme val="minor"/>
      </rPr>
      <t>: Foundation enrollment for the selected district, in total and by member.</t>
    </r>
  </si>
  <si>
    <r>
      <rPr>
        <b/>
        <sz val="10"/>
        <rFont val="Calibri"/>
        <family val="2"/>
        <scheme val="minor"/>
      </rPr>
      <t>Required Minimum Contribution:</t>
    </r>
    <r>
      <rPr>
        <sz val="10"/>
        <rFont val="Calibri"/>
        <family val="2"/>
        <scheme val="minor"/>
      </rPr>
      <t xml:space="preserve"> Total required minimum contribution for the selected district, in total and by member.</t>
    </r>
  </si>
  <si>
    <t>This report displays prior year and current year foundation enrollment, foundation budget, required local contribution and Chapter 70 aid</t>
  </si>
  <si>
    <t xml:space="preserve"> for all operating districts.</t>
  </si>
  <si>
    <t>#</t>
  </si>
  <si>
    <t>Line Description</t>
  </si>
  <si>
    <t>Kindergarten Half-Day</t>
  </si>
  <si>
    <t>Kindergarten Full-Day</t>
  </si>
  <si>
    <t xml:space="preserve"> Junior/Middle</t>
  </si>
  <si>
    <t>Special Ed 
In-District</t>
  </si>
  <si>
    <t>Special Ed Tuitioned-Out</t>
  </si>
  <si>
    <t>English learners
PK-5</t>
  </si>
  <si>
    <t>English learners
6-8</t>
  </si>
  <si>
    <t>English
learners
High School/Voc</t>
  </si>
  <si>
    <t xml:space="preserve">The minimum aid adjustment is the sum of (a) the greater of foundation aid or base aid determined based on the </t>
  </si>
  <si>
    <t xml:space="preserve">FY21 base and incremental rates, inflated to FY25, and (b) foundation enrollment multiplied by $104. The aid </t>
  </si>
  <si>
    <t xml:space="preserve">adjustment increment (line 10) is the line 9 amount less the line 8 amount if the difference is positive. </t>
  </si>
  <si>
    <t>Otherwise, the increment is zero.</t>
  </si>
  <si>
    <t>Description</t>
  </si>
  <si>
    <t>Note: A city or town might belong to more than one regional district (e.g., a regional district and a vocational district) and therefore</t>
  </si>
  <si>
    <t xml:space="preserve"> be required to contribute to multiple districts. See the regional allocation tab for a full list of minimum required contributions for each city or town.</t>
  </si>
  <si>
    <t>Foundation enrollments are presented as whole numbers. The change column reflects differences prior to rounding.</t>
  </si>
  <si>
    <t>Doperating strict name</t>
  </si>
  <si>
    <t>FY24 Foundation Enrollment</t>
  </si>
  <si>
    <t>FY25 Foundation Enrollment</t>
  </si>
  <si>
    <t>FY 24 Foundation Budget</t>
  </si>
  <si>
    <t>FY 25 Foundation Budget</t>
  </si>
  <si>
    <t>MC change per pupil</t>
  </si>
  <si>
    <t>FY24 
Minimum Contribution</t>
  </si>
  <si>
    <t>FY25
Minimum Contribution</t>
  </si>
  <si>
    <t>FY24 
Chapter 70 aid</t>
  </si>
  <si>
    <t>FY25
Chapter 70 aid</t>
  </si>
  <si>
    <t>Aid Comp'd to Target</t>
  </si>
  <si>
    <t>Distance from Aid Target</t>
  </si>
  <si>
    <t>Foundation  Budget PP</t>
  </si>
  <si>
    <t>per pupil ∆ in Aid</t>
  </si>
  <si>
    <t>LEA FY25</t>
  </si>
  <si>
    <t>District FY25</t>
  </si>
  <si>
    <t>Non-op FY25</t>
  </si>
  <si>
    <t>foundation enrollment FY25</t>
  </si>
  <si>
    <t>required contribution FY25</t>
  </si>
  <si>
    <t>nss percent of foundation</t>
  </si>
  <si>
    <t>FY25 Required NSS</t>
  </si>
  <si>
    <t>c70 pct of foundation</t>
  </si>
  <si>
    <t>non-op reduction</t>
  </si>
  <si>
    <t>c70 prior to non-op reduction</t>
  </si>
  <si>
    <t>Increment above min aid</t>
  </si>
  <si>
    <t>Aid determination from minimum aid adjustment formula</t>
  </si>
  <si>
    <t>Addl Aid to Reach Min</t>
  </si>
  <si>
    <t>Min Aid Per Pupil</t>
  </si>
  <si>
    <t>operating dist foundation aid?</t>
  </si>
  <si>
    <t>foundation enrollment FY24</t>
  </si>
  <si>
    <t>district target aid percentage</t>
  </si>
  <si>
    <t>foundation aid increase</t>
  </si>
  <si>
    <t>foundation aid</t>
  </si>
  <si>
    <t>required contribution FY24</t>
  </si>
  <si>
    <t>--</t>
  </si>
  <si>
    <t>foundation budget 
FY24</t>
  </si>
  <si>
    <t>chapter 70
FY24</t>
  </si>
  <si>
    <t>foundation budget
FY25</t>
  </si>
  <si>
    <t>required contribution
 FY25</t>
  </si>
  <si>
    <t>Chapter 70
FY25</t>
  </si>
  <si>
    <t>Line</t>
  </si>
  <si>
    <t>Adminis-tration</t>
  </si>
  <si>
    <t>total EQV 2022</t>
  </si>
  <si>
    <t>local effort from property wealth</t>
  </si>
  <si>
    <t>DOR total income 2021</t>
  </si>
  <si>
    <t>local effort from income wealth</t>
  </si>
  <si>
    <t>combined effort yield</t>
  </si>
  <si>
    <t>CEY % Found</t>
  </si>
  <si>
    <t>maximum local contribution foundation pct=82.5%</t>
  </si>
  <si>
    <t>target local contribution (lesser of max local or effort yield)</t>
  </si>
  <si>
    <t>target local share</t>
  </si>
  <si>
    <t>required local contribution FY24</t>
  </si>
  <si>
    <t>mrgf FY25</t>
  </si>
  <si>
    <t>preliminary contribution FY25</t>
  </si>
  <si>
    <t>preliminary contribution percentage of foundation</t>
  </si>
  <si>
    <t>shortfall from target local share</t>
  </si>
  <si>
    <t>percentage increment toward target</t>
  </si>
  <si>
    <t>dollar increment toward target</t>
  </si>
  <si>
    <t>excess effort times effort reduction %</t>
  </si>
  <si>
    <t>CEY% &gt; 175% increment</t>
  </si>
  <si>
    <t>percentage of foundation</t>
  </si>
  <si>
    <t>Before below effort shortfall</t>
  </si>
  <si>
    <t>After Impl below effort shortfall</t>
  </si>
  <si>
    <t>After Impl above effort excess</t>
  </si>
  <si>
    <t>distance from target</t>
  </si>
  <si>
    <t>FY25
 foundation</t>
  </si>
  <si>
    <t>CEY% found 
FY25</t>
  </si>
  <si>
    <t>target local share
 FY25</t>
  </si>
  <si>
    <t>MRGF
 FY25</t>
  </si>
  <si>
    <t>RLC
FY25</t>
  </si>
  <si>
    <t>End of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</si>
</sst>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1" formatCode="_(* #,##0_);_(* \(#,##0\);_(* &quot;-&quot;_);_(@_)"/>
    <numFmt numFmtId="43" formatCode="_(* #,##0.00_);_(* \(#,##0.00\);_(* &quot;-&quot;??_);_(@_)"/>
    <numFmt numFmtId="164" formatCode="_(* #,##0_);_(* \(#,##0\);_(* &quot;-&quot;??_);_(@_)"/>
    <numFmt numFmtId="165" formatCode="0.0000"/>
    <numFmt numFmtId="166" formatCode="0.0"/>
    <numFmt numFmtId="167" formatCode="0.0000%"/>
    <numFmt numFmtId="168" formatCode="#,##0.0"/>
    <numFmt numFmtId="169" formatCode="0.0%"/>
    <numFmt numFmtId="170" formatCode="mm/dd/yy"/>
    <numFmt numFmtId="171" formatCode="dd\-mmm\-yy"/>
    <numFmt numFmtId="172" formatCode="m/d/yy\ h:mm\ AM/PM"/>
    <numFmt numFmtId="173" formatCode="m/d/yy;@"/>
    <numFmt numFmtId="174" formatCode="_(* #,##0.0000_);_(* \(#,##0.0000\);_(* &quot;-&quot;????_);_(@_)"/>
    <numFmt numFmtId="175" formatCode="0.000"/>
    <numFmt numFmtId="176" formatCode="0.000_)"/>
    <numFmt numFmtId="177" formatCode="#,##0.000000_);\(#,##0.000000\)"/>
    <numFmt numFmtId="178" formatCode="&quot;$&quot;#,##0"/>
  </numFmts>
  <fonts count="96">
    <font>
      <sz val="10"/>
      <name val="Courier"/>
    </font>
    <font>
      <sz val="11"/>
      <color theme="1"/>
      <name val="Calibri"/>
      <family val="2"/>
      <scheme val="minor"/>
    </font>
    <font>
      <sz val="11"/>
      <color theme="1"/>
      <name val="Calibri"/>
      <family val="2"/>
      <scheme val="minor"/>
    </font>
    <font>
      <sz val="10"/>
      <name val="Arial"/>
      <family val="2"/>
    </font>
    <font>
      <sz val="10"/>
      <name val="Arial"/>
      <family val="2"/>
    </font>
    <font>
      <b/>
      <sz val="10"/>
      <name val="Arial Narrow"/>
      <family val="2"/>
    </font>
    <font>
      <sz val="8"/>
      <name val="Arial Narrow"/>
      <family val="2"/>
    </font>
    <font>
      <u/>
      <sz val="10"/>
      <color indexed="12"/>
      <name val="Courier"/>
      <family val="3"/>
    </font>
    <font>
      <sz val="10"/>
      <name val="Courier"/>
      <family val="3"/>
    </font>
    <font>
      <b/>
      <sz val="8"/>
      <color indexed="81"/>
      <name val="Tahoma"/>
      <family val="2"/>
    </font>
    <font>
      <sz val="8"/>
      <color indexed="81"/>
      <name val="Tahoma"/>
      <family val="2"/>
    </font>
    <font>
      <sz val="12"/>
      <name val="SWISS"/>
    </font>
    <font>
      <sz val="10"/>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Times New Roman"/>
      <family val="1"/>
    </font>
    <font>
      <b/>
      <sz val="12"/>
      <name val="Calibri"/>
      <family val="2"/>
      <scheme val="minor"/>
    </font>
    <font>
      <sz val="10"/>
      <name val="Calibri"/>
      <family val="2"/>
      <scheme val="minor"/>
    </font>
    <font>
      <b/>
      <sz val="10"/>
      <name val="Calibri"/>
      <family val="2"/>
      <scheme val="minor"/>
    </font>
    <font>
      <b/>
      <u/>
      <sz val="10"/>
      <name val="Calibri"/>
      <family val="2"/>
      <scheme val="minor"/>
    </font>
    <font>
      <b/>
      <sz val="8"/>
      <name val="Calibri"/>
      <family val="2"/>
      <scheme val="minor"/>
    </font>
    <font>
      <b/>
      <i/>
      <sz val="10"/>
      <name val="Calibri"/>
      <family val="2"/>
      <scheme val="minor"/>
    </font>
    <font>
      <i/>
      <sz val="10"/>
      <name val="Calibri"/>
      <family val="2"/>
      <scheme val="minor"/>
    </font>
    <font>
      <sz val="10"/>
      <color indexed="8"/>
      <name val="Calibri"/>
      <family val="2"/>
      <scheme val="minor"/>
    </font>
    <font>
      <i/>
      <sz val="8"/>
      <name val="Calibri"/>
      <family val="2"/>
      <scheme val="minor"/>
    </font>
    <font>
      <sz val="8"/>
      <name val="Calibri"/>
      <family val="2"/>
      <scheme val="minor"/>
    </font>
    <font>
      <i/>
      <sz val="12"/>
      <name val="Calibri"/>
      <family val="2"/>
      <scheme val="minor"/>
    </font>
    <font>
      <i/>
      <sz val="10"/>
      <color rgb="FFFF0000"/>
      <name val="Calibri"/>
      <family val="2"/>
      <scheme val="minor"/>
    </font>
    <font>
      <b/>
      <u/>
      <sz val="12"/>
      <name val="Calibri"/>
      <family val="2"/>
      <scheme val="minor"/>
    </font>
    <font>
      <sz val="12"/>
      <name val="Calibri"/>
      <family val="2"/>
      <scheme val="minor"/>
    </font>
    <font>
      <sz val="6"/>
      <name val="Calibri"/>
      <family val="2"/>
      <scheme val="minor"/>
    </font>
    <font>
      <b/>
      <sz val="10"/>
      <color rgb="FFFF0000"/>
      <name val="Calibri"/>
      <family val="2"/>
      <scheme val="minor"/>
    </font>
    <font>
      <b/>
      <sz val="14"/>
      <name val="Calibri"/>
      <family val="2"/>
      <scheme val="minor"/>
    </font>
    <font>
      <i/>
      <u/>
      <sz val="10"/>
      <color indexed="12"/>
      <name val="Calibri"/>
      <family val="2"/>
      <scheme val="minor"/>
    </font>
    <font>
      <b/>
      <sz val="11"/>
      <name val="Calibri"/>
      <family val="2"/>
      <scheme val="minor"/>
    </font>
    <font>
      <b/>
      <sz val="9"/>
      <name val="Calibri"/>
      <family val="2"/>
      <scheme val="minor"/>
    </font>
    <font>
      <i/>
      <sz val="9"/>
      <name val="Calibri"/>
      <family val="2"/>
      <scheme val="minor"/>
    </font>
    <font>
      <sz val="9"/>
      <name val="Calibri"/>
      <family val="2"/>
      <scheme val="minor"/>
    </font>
    <font>
      <u/>
      <sz val="9"/>
      <color indexed="12"/>
      <name val="Calibri"/>
      <family val="2"/>
      <scheme val="minor"/>
    </font>
    <font>
      <b/>
      <sz val="20"/>
      <name val="Calibri"/>
      <family val="2"/>
      <scheme val="minor"/>
    </font>
    <font>
      <sz val="10"/>
      <color theme="1"/>
      <name val="Calibri"/>
      <family val="2"/>
      <scheme val="minor"/>
    </font>
    <font>
      <b/>
      <sz val="10"/>
      <color theme="1"/>
      <name val="Calibri"/>
      <family val="2"/>
      <scheme val="minor"/>
    </font>
    <font>
      <b/>
      <sz val="9"/>
      <color rgb="FFFF0000"/>
      <name val="Calibri"/>
      <family val="2"/>
      <scheme val="minor"/>
    </font>
    <font>
      <b/>
      <sz val="12"/>
      <color rgb="FFFF0000"/>
      <name val="Calibri"/>
      <family val="2"/>
      <scheme val="minor"/>
    </font>
    <font>
      <u/>
      <sz val="10"/>
      <color indexed="12"/>
      <name val="Calibri"/>
      <family val="2"/>
      <scheme val="minor"/>
    </font>
    <font>
      <b/>
      <sz val="16"/>
      <name val="Calibri"/>
      <family val="2"/>
      <scheme val="minor"/>
    </font>
    <font>
      <b/>
      <sz val="18"/>
      <name val="Calibri"/>
      <family val="2"/>
      <scheme val="minor"/>
    </font>
    <font>
      <sz val="11"/>
      <name val="Calibri"/>
      <family val="2"/>
      <scheme val="minor"/>
    </font>
    <font>
      <u/>
      <sz val="12"/>
      <color indexed="12"/>
      <name val="Calibri"/>
      <family val="2"/>
      <scheme val="minor"/>
    </font>
    <font>
      <b/>
      <u/>
      <sz val="14"/>
      <name val="Calibri"/>
      <family val="2"/>
      <scheme val="minor"/>
    </font>
    <font>
      <sz val="14"/>
      <name val="Calibri"/>
      <family val="2"/>
      <scheme val="minor"/>
    </font>
    <font>
      <sz val="10"/>
      <color indexed="10"/>
      <name val="Calibri"/>
      <family val="2"/>
      <scheme val="minor"/>
    </font>
    <font>
      <strike/>
      <sz val="10"/>
      <name val="Calibri"/>
      <family val="2"/>
      <scheme val="minor"/>
    </font>
    <font>
      <b/>
      <u/>
      <sz val="11"/>
      <name val="Calibri"/>
      <family val="2"/>
      <scheme val="minor"/>
    </font>
    <font>
      <b/>
      <i/>
      <sz val="12"/>
      <name val="Calibri"/>
      <family val="2"/>
      <scheme val="minor"/>
    </font>
    <font>
      <b/>
      <sz val="16"/>
      <color theme="3"/>
      <name val="Calibri"/>
      <family val="2"/>
      <scheme val="minor"/>
    </font>
    <font>
      <i/>
      <sz val="14"/>
      <name val="Calibri"/>
      <family val="2"/>
      <scheme val="minor"/>
    </font>
    <font>
      <b/>
      <sz val="14"/>
      <color rgb="FF0000FF"/>
      <name val="Calibri"/>
      <family val="2"/>
      <scheme val="minor"/>
    </font>
    <font>
      <sz val="10"/>
      <name val="Calibri"/>
      <family val="2"/>
    </font>
    <font>
      <b/>
      <sz val="12"/>
      <color rgb="FF000000"/>
      <name val="Calibri"/>
      <family val="2"/>
    </font>
    <font>
      <i/>
      <sz val="11"/>
      <color rgb="FFFF0000"/>
      <name val="Calibri"/>
      <family val="2"/>
      <scheme val="minor"/>
    </font>
    <font>
      <sz val="10"/>
      <color theme="0"/>
      <name val="Calibri"/>
      <family val="2"/>
      <scheme val="minor"/>
    </font>
    <font>
      <sz val="10"/>
      <color rgb="FFFF0000"/>
      <name val="Arial Narrow"/>
      <family val="2"/>
    </font>
    <font>
      <sz val="10"/>
      <color rgb="FFFF0000"/>
      <name val="Calibri"/>
      <family val="2"/>
      <scheme val="minor"/>
    </font>
    <font>
      <i/>
      <sz val="10"/>
      <name val="Courier"/>
    </font>
    <font>
      <sz val="12"/>
      <color theme="0"/>
      <name val="Calibri"/>
      <family val="2"/>
      <scheme val="minor"/>
    </font>
    <font>
      <i/>
      <sz val="11"/>
      <name val="Calibri"/>
      <family val="2"/>
      <scheme val="minor"/>
    </font>
    <font>
      <b/>
      <sz val="12"/>
      <color theme="6" tint="-0.499984740745262"/>
      <name val="Calibri"/>
      <family val="2"/>
      <scheme val="minor"/>
    </font>
    <font>
      <sz val="12"/>
      <name val="Courier"/>
    </font>
    <font>
      <i/>
      <strike/>
      <sz val="10"/>
      <name val="Calibri"/>
      <family val="2"/>
      <scheme val="minor"/>
    </font>
    <font>
      <sz val="11"/>
      <name val="Calibri"/>
      <family val="2"/>
    </font>
    <font>
      <sz val="10"/>
      <name val="Courier"/>
    </font>
    <font>
      <sz val="10"/>
      <name val="Arial"/>
      <family val="2"/>
    </font>
    <font>
      <b/>
      <sz val="18"/>
      <color theme="1"/>
      <name val="Calibri"/>
      <family val="2"/>
      <scheme val="minor"/>
    </font>
    <font>
      <b/>
      <sz val="12"/>
      <color theme="1"/>
      <name val="Calibri"/>
      <family val="2"/>
      <scheme val="minor"/>
    </font>
    <font>
      <b/>
      <sz val="11"/>
      <color theme="1"/>
      <name val="Calibri"/>
      <family val="2"/>
      <scheme val="minor"/>
    </font>
    <font>
      <sz val="9"/>
      <color indexed="81"/>
      <name val="Tahoma"/>
      <family val="2"/>
    </font>
    <font>
      <b/>
      <i/>
      <sz val="12"/>
      <color rgb="FFA20000"/>
      <name val="Calibri"/>
      <family val="2"/>
      <scheme val="minor"/>
    </font>
    <font>
      <sz val="10"/>
      <color theme="1" tint="0.34998626667073579"/>
      <name val="Calibri"/>
      <family val="2"/>
      <scheme val="minor"/>
    </font>
    <font>
      <sz val="12"/>
      <color rgb="FF505050"/>
      <name val="Calibri"/>
      <family val="2"/>
      <scheme val="minor"/>
    </font>
    <font>
      <sz val="12"/>
      <color theme="1" tint="0.34998626667073579"/>
      <name val="Calibri"/>
      <family val="2"/>
      <scheme val="minor"/>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tint="0.59999389629810485"/>
        <bgColor indexed="64"/>
      </patternFill>
    </fill>
    <fill>
      <patternFill patternType="solid">
        <fgColor rgb="FFFFFF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C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AFAFA"/>
        <bgColor rgb="FF000000"/>
      </patternFill>
    </fill>
    <fill>
      <patternFill patternType="solid">
        <fgColor theme="4" tint="0.39997558519241921"/>
        <bgColor indexed="64"/>
      </patternFill>
    </fill>
    <fill>
      <patternFill patternType="solid">
        <fgColor theme="6" tint="0.79998168889431442"/>
        <bgColor indexed="64"/>
      </patternFill>
    </fill>
    <fill>
      <patternFill patternType="solid">
        <fgColor theme="3" tint="0.79998168889431442"/>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dashed">
        <color auto="1"/>
      </left>
      <right/>
      <top style="thin">
        <color auto="1"/>
      </top>
      <bottom/>
      <diagonal/>
    </border>
    <border>
      <left style="dashed">
        <color auto="1"/>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4"/>
      </left>
      <right style="thin">
        <color theme="4"/>
      </right>
      <top style="thin">
        <color theme="4"/>
      </top>
      <bottom style="thin">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101">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1" applyNumberFormat="0" applyAlignment="0" applyProtection="0"/>
    <xf numFmtId="0" fontId="17" fillId="21" borderId="2" applyNumberFormat="0" applyAlignment="0" applyProtection="0"/>
    <xf numFmtId="43" fontId="3"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3"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7" fillId="0" borderId="0" applyNumberFormat="0" applyFill="0" applyBorder="0" applyAlignment="0" applyProtection="0">
      <alignment vertical="top"/>
      <protection locked="0"/>
    </xf>
    <xf numFmtId="0" fontId="23" fillId="7" borderId="1" applyNumberFormat="0" applyAlignment="0" applyProtection="0"/>
    <xf numFmtId="0" fontId="24" fillId="0" borderId="6" applyNumberFormat="0" applyFill="0" applyAlignment="0" applyProtection="0"/>
    <xf numFmtId="0" fontId="25" fillId="22" borderId="0" applyNumberFormat="0" applyBorder="0" applyAlignment="0" applyProtection="0"/>
    <xf numFmtId="0" fontId="30" fillId="0" borderId="0"/>
    <xf numFmtId="0" fontId="4" fillId="0" borderId="0"/>
    <xf numFmtId="0" fontId="11" fillId="0" borderId="0"/>
    <xf numFmtId="0" fontId="12" fillId="0" borderId="0"/>
    <xf numFmtId="0" fontId="3" fillId="23" borderId="7" applyNumberFormat="0" applyFont="0" applyAlignment="0" applyProtection="0"/>
    <xf numFmtId="0" fontId="26" fillId="20" borderId="8" applyNumberFormat="0" applyAlignment="0" applyProtection="0"/>
    <xf numFmtId="9" fontId="3" fillId="0" borderId="0" applyFont="0" applyFill="0" applyBorder="0" applyAlignment="0" applyProtection="0"/>
    <xf numFmtId="0" fontId="27" fillId="0" borderId="0" applyNumberFormat="0" applyFill="0" applyBorder="0" applyAlignment="0" applyProtection="0"/>
    <xf numFmtId="0" fontId="28" fillId="0" borderId="9" applyNumberFormat="0" applyFill="0" applyAlignment="0" applyProtection="0"/>
    <xf numFmtId="0" fontId="29" fillId="0" borderId="0" applyNumberFormat="0" applyFill="0" applyBorder="0" applyAlignment="0" applyProtection="0"/>
    <xf numFmtId="0" fontId="2" fillId="0" borderId="0"/>
    <xf numFmtId="43" fontId="2" fillId="0" borderId="0" applyFont="0" applyFill="0" applyBorder="0" applyAlignment="0" applyProtection="0"/>
    <xf numFmtId="0" fontId="8" fillId="0" borderId="0"/>
    <xf numFmtId="0" fontId="1" fillId="0" borderId="0"/>
    <xf numFmtId="0" fontId="87" fillId="0" borderId="0"/>
    <xf numFmtId="43" fontId="3" fillId="0" borderId="0" applyFont="0" applyFill="0" applyBorder="0" applyAlignment="0" applyProtection="0"/>
    <xf numFmtId="0" fontId="86"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31" applyNumberFormat="0" applyAlignment="0" applyProtection="0"/>
    <xf numFmtId="0" fontId="17" fillId="21" borderId="2" applyNumberFormat="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3"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23" fillId="7" borderId="31" applyNumberFormat="0" applyAlignment="0" applyProtection="0"/>
    <xf numFmtId="0" fontId="24" fillId="0" borderId="6" applyNumberFormat="0" applyFill="0" applyAlignment="0" applyProtection="0"/>
    <xf numFmtId="0" fontId="25" fillId="22" borderId="0" applyNumberFormat="0" applyBorder="0" applyAlignment="0" applyProtection="0"/>
    <xf numFmtId="0" fontId="30" fillId="0" borderId="0"/>
    <xf numFmtId="0" fontId="3" fillId="23" borderId="32" applyNumberFormat="0" applyFont="0" applyAlignment="0" applyProtection="0"/>
    <xf numFmtId="0" fontId="26" fillId="20" borderId="33" applyNumberFormat="0" applyAlignment="0" applyProtection="0"/>
    <xf numFmtId="9" fontId="3" fillId="0" borderId="0" applyFont="0" applyFill="0" applyBorder="0" applyAlignment="0" applyProtection="0"/>
    <xf numFmtId="0" fontId="27" fillId="0" borderId="0" applyNumberFormat="0" applyFill="0" applyBorder="0" applyAlignment="0" applyProtection="0"/>
    <xf numFmtId="0" fontId="28" fillId="0" borderId="34" applyNumberFormat="0" applyFill="0" applyAlignment="0" applyProtection="0"/>
    <xf numFmtId="0" fontId="29" fillId="0" borderId="0" applyNumberFormat="0" applyFill="0" applyBorder="0" applyAlignment="0" applyProtection="0"/>
    <xf numFmtId="0" fontId="1" fillId="0" borderId="0"/>
    <xf numFmtId="43" fontId="1" fillId="0" borderId="0" applyFont="0" applyFill="0" applyBorder="0" applyAlignment="0" applyProtection="0"/>
  </cellStyleXfs>
  <cellXfs count="647">
    <xf numFmtId="0" fontId="0" fillId="0" borderId="0" xfId="0"/>
    <xf numFmtId="0" fontId="5" fillId="0" borderId="0" xfId="0" applyFont="1" applyAlignment="1">
      <alignment horizontal="center"/>
    </xf>
    <xf numFmtId="0" fontId="6" fillId="0" borderId="0" xfId="0" applyFont="1"/>
    <xf numFmtId="0" fontId="5" fillId="0" borderId="0" xfId="0" applyFont="1"/>
    <xf numFmtId="0" fontId="3" fillId="0" borderId="0" xfId="0" applyFont="1"/>
    <xf numFmtId="14" fontId="5" fillId="0" borderId="0" xfId="0" applyNumberFormat="1" applyFont="1"/>
    <xf numFmtId="0" fontId="32" fillId="0" borderId="0" xfId="0" applyFont="1"/>
    <xf numFmtId="0" fontId="32" fillId="0" borderId="0" xfId="0" applyFont="1" applyAlignment="1">
      <alignment horizontal="center"/>
    </xf>
    <xf numFmtId="164" fontId="32" fillId="0" borderId="0" xfId="28" applyNumberFormat="1" applyFont="1"/>
    <xf numFmtId="3" fontId="32" fillId="0" borderId="0" xfId="0" applyNumberFormat="1" applyFont="1"/>
    <xf numFmtId="0" fontId="33" fillId="0" borderId="0" xfId="0" applyFont="1"/>
    <xf numFmtId="0" fontId="34" fillId="0" borderId="0" xfId="0" applyFont="1"/>
    <xf numFmtId="0" fontId="33" fillId="0" borderId="0" xfId="0" applyFont="1" applyAlignment="1">
      <alignment horizontal="center"/>
    </xf>
    <xf numFmtId="0" fontId="36" fillId="0" borderId="0" xfId="0" applyFont="1"/>
    <xf numFmtId="0" fontId="37" fillId="0" borderId="0" xfId="0" applyFont="1"/>
    <xf numFmtId="0" fontId="33" fillId="0" borderId="0" xfId="0" applyFont="1" applyAlignment="1">
      <alignment horizontal="left"/>
    </xf>
    <xf numFmtId="14" fontId="32" fillId="0" borderId="0" xfId="0" applyNumberFormat="1" applyFont="1"/>
    <xf numFmtId="0" fontId="39" fillId="0" borderId="0" xfId="0" applyFont="1"/>
    <xf numFmtId="0" fontId="32" fillId="38" borderId="0" xfId="0" applyFont="1" applyFill="1" applyAlignment="1">
      <alignment horizontal="right"/>
    </xf>
    <xf numFmtId="10" fontId="32" fillId="0" borderId="0" xfId="0" applyNumberFormat="1" applyFont="1" applyAlignment="1">
      <alignment horizontal="right"/>
    </xf>
    <xf numFmtId="9" fontId="32" fillId="38" borderId="0" xfId="45" applyFont="1" applyFill="1" applyAlignment="1">
      <alignment horizontal="right"/>
    </xf>
    <xf numFmtId="9" fontId="39" fillId="0" borderId="0" xfId="0" applyNumberFormat="1" applyFont="1"/>
    <xf numFmtId="0" fontId="35" fillId="0" borderId="0" xfId="0" applyFont="1"/>
    <xf numFmtId="0" fontId="40" fillId="0" borderId="0" xfId="0" applyFont="1"/>
    <xf numFmtId="1" fontId="39" fillId="0" borderId="0" xfId="0" applyNumberFormat="1" applyFont="1"/>
    <xf numFmtId="0" fontId="40" fillId="0" borderId="10" xfId="0" applyFont="1" applyBorder="1"/>
    <xf numFmtId="0" fontId="35" fillId="0" borderId="10" xfId="0" applyFont="1" applyBorder="1" applyAlignment="1">
      <alignment horizontal="center"/>
    </xf>
    <xf numFmtId="166" fontId="35" fillId="0" borderId="10" xfId="0" applyNumberFormat="1" applyFont="1" applyBorder="1"/>
    <xf numFmtId="37" fontId="32" fillId="0" borderId="0" xfId="0" applyNumberFormat="1" applyFont="1"/>
    <xf numFmtId="0" fontId="33" fillId="0" borderId="0" xfId="0" applyFont="1" applyAlignment="1">
      <alignment horizontal="right"/>
    </xf>
    <xf numFmtId="168" fontId="40" fillId="0" borderId="0" xfId="0" applyNumberFormat="1" applyFont="1"/>
    <xf numFmtId="166" fontId="40" fillId="0" borderId="0" xfId="0" applyNumberFormat="1" applyFont="1"/>
    <xf numFmtId="168" fontId="40" fillId="34" borderId="0" xfId="0" applyNumberFormat="1" applyFont="1" applyFill="1"/>
    <xf numFmtId="3" fontId="32" fillId="0" borderId="0" xfId="0" quotePrefix="1" applyNumberFormat="1" applyFont="1"/>
    <xf numFmtId="169" fontId="39" fillId="0" borderId="0" xfId="0" applyNumberFormat="1" applyFont="1"/>
    <xf numFmtId="0" fontId="39" fillId="0" borderId="10" xfId="0" applyFont="1" applyBorder="1"/>
    <xf numFmtId="43" fontId="39" fillId="0" borderId="0" xfId="0" applyNumberFormat="1" applyFont="1"/>
    <xf numFmtId="10" fontId="39" fillId="0" borderId="0" xfId="45" applyNumberFormat="1" applyFont="1"/>
    <xf numFmtId="9" fontId="39" fillId="0" borderId="0" xfId="0" applyNumberFormat="1" applyFont="1" applyAlignment="1">
      <alignment horizontal="center"/>
    </xf>
    <xf numFmtId="168" fontId="33" fillId="0" borderId="0" xfId="0" applyNumberFormat="1" applyFont="1"/>
    <xf numFmtId="168" fontId="32" fillId="0" borderId="0" xfId="0" applyNumberFormat="1" applyFont="1"/>
    <xf numFmtId="169" fontId="32" fillId="38" borderId="0" xfId="45" applyNumberFormat="1" applyFont="1" applyFill="1" applyAlignment="1">
      <alignment horizontal="right"/>
    </xf>
    <xf numFmtId="10" fontId="39" fillId="0" borderId="0" xfId="0" applyNumberFormat="1" applyFont="1"/>
    <xf numFmtId="37" fontId="37" fillId="0" borderId="0" xfId="0" applyNumberFormat="1" applyFont="1"/>
    <xf numFmtId="3" fontId="32" fillId="25" borderId="0" xfId="0" applyNumberFormat="1" applyFont="1" applyFill="1"/>
    <xf numFmtId="3" fontId="32" fillId="25" borderId="0" xfId="0" applyNumberFormat="1" applyFont="1" applyFill="1" applyAlignment="1">
      <alignment wrapText="1"/>
    </xf>
    <xf numFmtId="3" fontId="32" fillId="25" borderId="0" xfId="0" quotePrefix="1" applyNumberFormat="1" applyFont="1" applyFill="1" applyAlignment="1">
      <alignment wrapText="1"/>
    </xf>
    <xf numFmtId="167" fontId="32" fillId="25" borderId="0" xfId="0" applyNumberFormat="1" applyFont="1" applyFill="1"/>
    <xf numFmtId="10" fontId="32" fillId="25" borderId="0" xfId="0" applyNumberFormat="1" applyFont="1" applyFill="1"/>
    <xf numFmtId="0" fontId="39" fillId="0" borderId="22" xfId="0" applyFont="1" applyBorder="1"/>
    <xf numFmtId="168" fontId="40" fillId="0" borderId="22" xfId="0" applyNumberFormat="1" applyFont="1" applyBorder="1"/>
    <xf numFmtId="166" fontId="40" fillId="0" borderId="22" xfId="0" applyNumberFormat="1" applyFont="1" applyBorder="1"/>
    <xf numFmtId="166" fontId="40" fillId="34" borderId="22" xfId="0" applyNumberFormat="1" applyFont="1" applyFill="1" applyBorder="1"/>
    <xf numFmtId="3" fontId="33" fillId="30" borderId="0" xfId="0" applyNumberFormat="1" applyFont="1" applyFill="1"/>
    <xf numFmtId="172" fontId="32" fillId="0" borderId="0" xfId="0" applyNumberFormat="1" applyFont="1" applyAlignment="1">
      <alignment horizontal="left"/>
    </xf>
    <xf numFmtId="0" fontId="37" fillId="0" borderId="0" xfId="0" applyFont="1" applyAlignment="1">
      <alignment horizontal="center"/>
    </xf>
    <xf numFmtId="0" fontId="41" fillId="0" borderId="0" xfId="0" applyFont="1" applyAlignment="1">
      <alignment horizontal="center"/>
    </xf>
    <xf numFmtId="2" fontId="32" fillId="0" borderId="0" xfId="0" applyNumberFormat="1" applyFont="1"/>
    <xf numFmtId="166" fontId="32" fillId="0" borderId="0" xfId="0" applyNumberFormat="1" applyFont="1"/>
    <xf numFmtId="0" fontId="31" fillId="0" borderId="0" xfId="41" applyFont="1"/>
    <xf numFmtId="14" fontId="32" fillId="0" borderId="0" xfId="41" applyNumberFormat="1" applyFont="1" applyAlignment="1">
      <alignment horizontal="left"/>
    </xf>
    <xf numFmtId="1" fontId="31" fillId="0" borderId="0" xfId="41" applyNumberFormat="1" applyFont="1"/>
    <xf numFmtId="0" fontId="32" fillId="0" borderId="0" xfId="41" applyFont="1" applyAlignment="1">
      <alignment horizontal="left"/>
    </xf>
    <xf numFmtId="39" fontId="31" fillId="0" borderId="0" xfId="41" applyNumberFormat="1" applyFont="1" applyAlignment="1">
      <alignment horizontal="center"/>
    </xf>
    <xf numFmtId="0" fontId="31" fillId="0" borderId="0" xfId="41" applyFont="1" applyAlignment="1">
      <alignment horizontal="center"/>
    </xf>
    <xf numFmtId="1" fontId="31" fillId="0" borderId="0" xfId="41" applyNumberFormat="1" applyFont="1" applyAlignment="1">
      <alignment horizontal="center"/>
    </xf>
    <xf numFmtId="0" fontId="43" fillId="0" borderId="0" xfId="41" applyFont="1" applyAlignment="1">
      <alignment horizontal="left"/>
    </xf>
    <xf numFmtId="0" fontId="33" fillId="0" borderId="0" xfId="41" applyFont="1" applyAlignment="1">
      <alignment horizontal="center"/>
    </xf>
    <xf numFmtId="1" fontId="33" fillId="0" borderId="0" xfId="41" applyNumberFormat="1" applyFont="1" applyAlignment="1">
      <alignment horizontal="center"/>
    </xf>
    <xf numFmtId="39" fontId="33" fillId="0" borderId="0" xfId="41" applyNumberFormat="1" applyFont="1" applyAlignment="1">
      <alignment horizontal="center"/>
    </xf>
    <xf numFmtId="0" fontId="33" fillId="0" borderId="0" xfId="41" applyFont="1"/>
    <xf numFmtId="0" fontId="32" fillId="0" borderId="0" xfId="41" applyFont="1"/>
    <xf numFmtId="1" fontId="44" fillId="0" borderId="0" xfId="41" applyNumberFormat="1" applyFont="1"/>
    <xf numFmtId="0" fontId="44" fillId="0" borderId="0" xfId="41" applyFont="1"/>
    <xf numFmtId="37" fontId="33" fillId="0" borderId="0" xfId="0" applyNumberFormat="1" applyFont="1"/>
    <xf numFmtId="0" fontId="40" fillId="0" borderId="0" xfId="0" applyFont="1" applyAlignment="1">
      <alignment horizontal="center" vertical="top" wrapText="1"/>
    </xf>
    <xf numFmtId="0" fontId="45" fillId="0" borderId="0" xfId="0" applyFont="1" applyAlignment="1">
      <alignment horizontal="center" vertical="top" wrapText="1"/>
    </xf>
    <xf numFmtId="0" fontId="40" fillId="0" borderId="0" xfId="0" applyFont="1" applyAlignment="1">
      <alignment wrapText="1"/>
    </xf>
    <xf numFmtId="0" fontId="33" fillId="0" borderId="0" xfId="0" applyFont="1" applyAlignment="1">
      <alignment horizontal="center" vertical="top"/>
    </xf>
    <xf numFmtId="3" fontId="33" fillId="0" borderId="0" xfId="0" applyNumberFormat="1" applyFont="1"/>
    <xf numFmtId="0" fontId="46" fillId="0" borderId="0" xfId="0" applyFont="1"/>
    <xf numFmtId="164" fontId="32" fillId="0" borderId="0" xfId="0" applyNumberFormat="1" applyFont="1"/>
    <xf numFmtId="0" fontId="32" fillId="0" borderId="0" xfId="0" applyFont="1" applyAlignment="1">
      <alignment wrapText="1"/>
    </xf>
    <xf numFmtId="0" fontId="32" fillId="0" borderId="0" xfId="0" applyFont="1" applyAlignment="1">
      <alignment horizontal="center" wrapText="1"/>
    </xf>
    <xf numFmtId="171" fontId="32" fillId="0" borderId="0" xfId="0" applyNumberFormat="1" applyFont="1" applyAlignment="1">
      <alignment horizontal="center"/>
    </xf>
    <xf numFmtId="3" fontId="33" fillId="0" borderId="0" xfId="0" applyNumberFormat="1" applyFont="1" applyAlignment="1">
      <alignment horizontal="center"/>
    </xf>
    <xf numFmtId="3" fontId="33" fillId="30" borderId="0" xfId="0" quotePrefix="1" applyNumberFormat="1" applyFont="1" applyFill="1" applyAlignment="1">
      <alignment horizontal="center"/>
    </xf>
    <xf numFmtId="3" fontId="33" fillId="0" borderId="0" xfId="0" applyNumberFormat="1" applyFont="1" applyAlignment="1">
      <alignment horizontal="center" vertical="top"/>
    </xf>
    <xf numFmtId="10" fontId="32" fillId="0" borderId="0" xfId="0" quotePrefix="1" applyNumberFormat="1" applyFont="1"/>
    <xf numFmtId="3" fontId="32" fillId="30" borderId="0" xfId="0" applyNumberFormat="1" applyFont="1" applyFill="1"/>
    <xf numFmtId="3" fontId="32" fillId="31" borderId="0" xfId="39" applyNumberFormat="1" applyFont="1" applyFill="1"/>
    <xf numFmtId="10" fontId="33" fillId="0" borderId="0" xfId="0" applyNumberFormat="1" applyFont="1"/>
    <xf numFmtId="3" fontId="33" fillId="0" borderId="0" xfId="0" quotePrefix="1" applyNumberFormat="1" applyFont="1"/>
    <xf numFmtId="3" fontId="36" fillId="0" borderId="0" xfId="0" applyNumberFormat="1" applyFont="1"/>
    <xf numFmtId="4" fontId="32" fillId="0" borderId="0" xfId="0" applyNumberFormat="1" applyFont="1"/>
    <xf numFmtId="14" fontId="44" fillId="0" borderId="0" xfId="41" applyNumberFormat="1" applyFont="1" applyAlignment="1">
      <alignment wrapText="1"/>
    </xf>
    <xf numFmtId="4" fontId="44" fillId="0" borderId="0" xfId="41" applyNumberFormat="1" applyFont="1"/>
    <xf numFmtId="169" fontId="33" fillId="0" borderId="0" xfId="45" applyNumberFormat="1" applyFont="1"/>
    <xf numFmtId="0" fontId="48" fillId="0" borderId="0" xfId="35" applyFont="1" applyAlignment="1" applyProtection="1"/>
    <xf numFmtId="0" fontId="44" fillId="0" borderId="0" xfId="41" applyFont="1" applyAlignment="1">
      <alignment horizontal="center"/>
    </xf>
    <xf numFmtId="4" fontId="44" fillId="0" borderId="0" xfId="41" applyNumberFormat="1" applyFont="1" applyAlignment="1">
      <alignment horizontal="center"/>
    </xf>
    <xf numFmtId="37" fontId="44" fillId="0" borderId="0" xfId="41" applyNumberFormat="1" applyFont="1" applyAlignment="1">
      <alignment horizontal="center"/>
    </xf>
    <xf numFmtId="39" fontId="44" fillId="0" borderId="0" xfId="41" applyNumberFormat="1" applyFont="1" applyAlignment="1">
      <alignment horizontal="center"/>
    </xf>
    <xf numFmtId="4" fontId="44" fillId="0" borderId="0" xfId="41" applyNumberFormat="1" applyFont="1" applyAlignment="1">
      <alignment horizontal="right"/>
    </xf>
    <xf numFmtId="3" fontId="40" fillId="0" borderId="22" xfId="0" applyNumberFormat="1" applyFont="1" applyBorder="1"/>
    <xf numFmtId="0" fontId="40" fillId="0" borderId="0" xfId="0" applyFont="1" applyAlignment="1">
      <alignment vertical="top" wrapText="1"/>
    </xf>
    <xf numFmtId="0" fontId="32" fillId="0" borderId="0" xfId="0" applyFont="1" applyAlignment="1">
      <alignment horizontal="center" vertical="top" wrapText="1"/>
    </xf>
    <xf numFmtId="0" fontId="50" fillId="0" borderId="0" xfId="0" applyFont="1" applyAlignment="1">
      <alignment horizontal="center"/>
    </xf>
    <xf numFmtId="0" fontId="51" fillId="0" borderId="0" xfId="0" applyFont="1" applyAlignment="1">
      <alignment horizontal="center"/>
    </xf>
    <xf numFmtId="0" fontId="51" fillId="0" borderId="0" xfId="0" applyFont="1"/>
    <xf numFmtId="0" fontId="52" fillId="0" borderId="0" xfId="0" applyFont="1"/>
    <xf numFmtId="37" fontId="32" fillId="28" borderId="0" xfId="0" quotePrefix="1" applyNumberFormat="1" applyFont="1" applyFill="1"/>
    <xf numFmtId="3" fontId="32" fillId="27" borderId="0" xfId="0" applyNumberFormat="1" applyFont="1" applyFill="1"/>
    <xf numFmtId="37" fontId="32" fillId="27" borderId="0" xfId="0" applyNumberFormat="1" applyFont="1" applyFill="1"/>
    <xf numFmtId="168" fontId="32" fillId="0" borderId="0" xfId="0" quotePrefix="1" applyNumberFormat="1" applyFont="1"/>
    <xf numFmtId="39" fontId="32" fillId="0" borderId="0" xfId="0" applyNumberFormat="1" applyFont="1"/>
    <xf numFmtId="168" fontId="33" fillId="0" borderId="0" xfId="0" quotePrefix="1" applyNumberFormat="1" applyFont="1"/>
    <xf numFmtId="164" fontId="33" fillId="0" borderId="0" xfId="28" applyNumberFormat="1" applyFont="1"/>
    <xf numFmtId="164" fontId="33" fillId="0" borderId="0" xfId="28" applyNumberFormat="1" applyFont="1" applyFill="1"/>
    <xf numFmtId="0" fontId="50" fillId="26" borderId="0" xfId="0" applyFont="1" applyFill="1" applyAlignment="1">
      <alignment horizontal="center"/>
    </xf>
    <xf numFmtId="169" fontId="50" fillId="26" borderId="0" xfId="45" applyNumberFormat="1" applyFont="1" applyFill="1" applyAlignment="1">
      <alignment horizontal="center"/>
    </xf>
    <xf numFmtId="0" fontId="50" fillId="0" borderId="0" xfId="0" applyFont="1" applyAlignment="1">
      <alignment horizontal="center" wrapText="1"/>
    </xf>
    <xf numFmtId="10" fontId="50" fillId="26" borderId="0" xfId="0" applyNumberFormat="1" applyFont="1" applyFill="1" applyAlignment="1">
      <alignment horizontal="center"/>
    </xf>
    <xf numFmtId="9" fontId="50" fillId="26" borderId="0" xfId="0" applyNumberFormat="1" applyFont="1" applyFill="1" applyAlignment="1">
      <alignment horizontal="center"/>
    </xf>
    <xf numFmtId="0" fontId="50" fillId="0" borderId="0" xfId="0" applyFont="1" applyAlignment="1">
      <alignment horizontal="left"/>
    </xf>
    <xf numFmtId="0" fontId="50" fillId="0" borderId="0" xfId="0" applyFont="1"/>
    <xf numFmtId="4" fontId="32" fillId="0" borderId="0" xfId="0" quotePrefix="1" applyNumberFormat="1" applyFont="1"/>
    <xf numFmtId="3" fontId="32" fillId="27" borderId="0" xfId="0" quotePrefix="1" applyNumberFormat="1" applyFont="1" applyFill="1"/>
    <xf numFmtId="3" fontId="32" fillId="28" borderId="0" xfId="0" quotePrefix="1" applyNumberFormat="1" applyFont="1" applyFill="1"/>
    <xf numFmtId="10" fontId="32" fillId="0" borderId="0" xfId="0" applyNumberFormat="1" applyFont="1"/>
    <xf numFmtId="166" fontId="33" fillId="0" borderId="0" xfId="0" quotePrefix="1" applyNumberFormat="1" applyFont="1"/>
    <xf numFmtId="4" fontId="33" fillId="0" borderId="0" xfId="0" quotePrefix="1" applyNumberFormat="1" applyFont="1"/>
    <xf numFmtId="9" fontId="33" fillId="0" borderId="0" xfId="45" applyFont="1"/>
    <xf numFmtId="3" fontId="33" fillId="0" borderId="0" xfId="0" applyNumberFormat="1" applyFont="1" applyAlignment="1">
      <alignment horizontal="left"/>
    </xf>
    <xf numFmtId="0" fontId="52" fillId="0" borderId="0" xfId="0" applyFont="1" applyAlignment="1">
      <alignment wrapText="1"/>
    </xf>
    <xf numFmtId="0" fontId="53" fillId="0" borderId="0" xfId="35" applyFont="1" applyFill="1" applyAlignment="1" applyProtection="1"/>
    <xf numFmtId="164" fontId="52" fillId="0" borderId="0" xfId="0" applyNumberFormat="1" applyFont="1"/>
    <xf numFmtId="2" fontId="50" fillId="26" borderId="0" xfId="0" applyNumberFormat="1" applyFont="1" applyFill="1" applyAlignment="1">
      <alignment horizontal="center"/>
    </xf>
    <xf numFmtId="167" fontId="50" fillId="26" borderId="0" xfId="0" applyNumberFormat="1" applyFont="1" applyFill="1" applyAlignment="1">
      <alignment horizontal="center"/>
    </xf>
    <xf numFmtId="0" fontId="32" fillId="0" borderId="0" xfId="0" applyFont="1" applyAlignment="1">
      <alignment vertical="center"/>
    </xf>
    <xf numFmtId="0" fontId="32" fillId="0" borderId="0" xfId="0" applyFont="1" applyAlignment="1">
      <alignment horizontal="center" vertical="center"/>
    </xf>
    <xf numFmtId="0" fontId="40" fillId="30" borderId="0" xfId="0" applyFont="1" applyFill="1"/>
    <xf numFmtId="0" fontId="39" fillId="0" borderId="0" xfId="0" applyFont="1" applyAlignment="1">
      <alignment horizontal="center"/>
    </xf>
    <xf numFmtId="0" fontId="35" fillId="0" borderId="0" xfId="0" applyFont="1" applyAlignment="1">
      <alignment horizontal="center" vertical="center" wrapText="1"/>
    </xf>
    <xf numFmtId="0" fontId="55" fillId="0" borderId="0" xfId="0" applyFont="1"/>
    <xf numFmtId="0" fontId="55" fillId="0" borderId="0" xfId="0" applyFont="1" applyAlignment="1">
      <alignment horizontal="center"/>
    </xf>
    <xf numFmtId="0" fontId="56" fillId="0" borderId="0" xfId="0" applyFont="1" applyAlignment="1">
      <alignment horizontal="center"/>
    </xf>
    <xf numFmtId="37" fontId="44" fillId="0" borderId="0" xfId="41" applyNumberFormat="1" applyFont="1"/>
    <xf numFmtId="10" fontId="44" fillId="0" borderId="0" xfId="41" applyNumberFormat="1" applyFont="1"/>
    <xf numFmtId="0" fontId="57" fillId="0" borderId="0" xfId="0" applyFont="1" applyAlignment="1">
      <alignment horizontal="center"/>
    </xf>
    <xf numFmtId="2" fontId="50" fillId="0" borderId="0" xfId="0" applyNumberFormat="1" applyFont="1" applyAlignment="1">
      <alignment horizontal="center"/>
    </xf>
    <xf numFmtId="9" fontId="32" fillId="0" borderId="0" xfId="45" applyFont="1" applyFill="1" applyAlignment="1">
      <alignment horizontal="right"/>
    </xf>
    <xf numFmtId="0" fontId="32" fillId="0" borderId="0" xfId="0" applyFont="1" applyAlignment="1">
      <alignment horizontal="right"/>
    </xf>
    <xf numFmtId="0" fontId="39" fillId="0" borderId="0" xfId="45" applyNumberFormat="1" applyFont="1" applyFill="1"/>
    <xf numFmtId="166" fontId="39" fillId="0" borderId="0" xfId="45" applyNumberFormat="1" applyFont="1" applyFill="1"/>
    <xf numFmtId="43" fontId="32" fillId="0" borderId="0" xfId="28" applyFont="1"/>
    <xf numFmtId="3" fontId="37" fillId="0" borderId="0" xfId="0" applyNumberFormat="1" applyFont="1"/>
    <xf numFmtId="0" fontId="40" fillId="0" borderId="0" xfId="0" applyFont="1" applyAlignment="1">
      <alignment horizontal="left" wrapText="1"/>
    </xf>
    <xf numFmtId="0" fontId="50" fillId="30" borderId="0" xfId="0" applyFont="1" applyFill="1" applyAlignment="1">
      <alignment horizontal="center"/>
    </xf>
    <xf numFmtId="0" fontId="31" fillId="29" borderId="0" xfId="0" applyFont="1" applyFill="1"/>
    <xf numFmtId="0" fontId="32" fillId="29" borderId="0" xfId="0" applyFont="1" applyFill="1"/>
    <xf numFmtId="0" fontId="58" fillId="29" borderId="0" xfId="0" applyFont="1" applyFill="1"/>
    <xf numFmtId="0" fontId="33" fillId="29" borderId="0" xfId="0" applyFont="1" applyFill="1"/>
    <xf numFmtId="0" fontId="32" fillId="29" borderId="0" xfId="0" applyFont="1" applyFill="1" applyAlignment="1">
      <alignment wrapText="1"/>
    </xf>
    <xf numFmtId="0" fontId="59" fillId="29" borderId="0" xfId="35" applyFont="1" applyFill="1" applyAlignment="1" applyProtection="1"/>
    <xf numFmtId="0" fontId="32" fillId="24" borderId="0" xfId="0" applyFont="1" applyFill="1"/>
    <xf numFmtId="0" fontId="35" fillId="0" borderId="0" xfId="40" applyFont="1"/>
    <xf numFmtId="0" fontId="62" fillId="0" borderId="0" xfId="41" applyFont="1"/>
    <xf numFmtId="0" fontId="62" fillId="0" borderId="0" xfId="41" applyFont="1" applyAlignment="1">
      <alignment horizontal="right"/>
    </xf>
    <xf numFmtId="37" fontId="62" fillId="0" borderId="0" xfId="41" applyNumberFormat="1" applyFont="1" applyAlignment="1">
      <alignment horizontal="right"/>
    </xf>
    <xf numFmtId="0" fontId="49" fillId="0" borderId="0" xfId="41" applyFont="1"/>
    <xf numFmtId="37" fontId="49" fillId="0" borderId="0" xfId="41" applyNumberFormat="1" applyFont="1" applyAlignment="1">
      <alignment horizontal="right"/>
    </xf>
    <xf numFmtId="0" fontId="62" fillId="0" borderId="0" xfId="41" applyFont="1" applyAlignment="1">
      <alignment horizontal="center"/>
    </xf>
    <xf numFmtId="0" fontId="40" fillId="0" borderId="0" xfId="41" applyFont="1" applyAlignment="1">
      <alignment horizontal="center"/>
    </xf>
    <xf numFmtId="37" fontId="40" fillId="0" borderId="0" xfId="41" applyNumberFormat="1" applyFont="1" applyAlignment="1">
      <alignment horizontal="center"/>
    </xf>
    <xf numFmtId="3" fontId="32" fillId="24" borderId="0" xfId="0" applyNumberFormat="1" applyFont="1" applyFill="1"/>
    <xf numFmtId="3" fontId="32" fillId="24" borderId="0" xfId="0" applyNumberFormat="1" applyFont="1" applyFill="1" applyAlignment="1">
      <alignment horizontal="left"/>
    </xf>
    <xf numFmtId="10" fontId="32" fillId="24" borderId="0" xfId="0" applyNumberFormat="1" applyFont="1" applyFill="1"/>
    <xf numFmtId="0" fontId="32" fillId="0" borderId="0" xfId="0" applyFont="1" applyAlignment="1">
      <alignment horizontal="left"/>
    </xf>
    <xf numFmtId="0" fontId="63" fillId="0" borderId="0" xfId="35" applyFont="1" applyFill="1" applyAlignment="1" applyProtection="1"/>
    <xf numFmtId="0" fontId="31" fillId="0" borderId="0" xfId="0" applyFont="1"/>
    <xf numFmtId="0" fontId="47" fillId="0" borderId="0" xfId="0" applyFont="1"/>
    <xf numFmtId="0" fontId="47" fillId="0" borderId="0" xfId="0" quotePrefix="1" applyFont="1"/>
    <xf numFmtId="0" fontId="31" fillId="0" borderId="0" xfId="0" quotePrefix="1" applyFont="1" applyAlignment="1">
      <alignment horizontal="center" wrapText="1"/>
    </xf>
    <xf numFmtId="0" fontId="31" fillId="0" borderId="0" xfId="0" applyFont="1" applyAlignment="1">
      <alignment horizontal="center" wrapText="1"/>
    </xf>
    <xf numFmtId="3" fontId="44" fillId="0" borderId="0" xfId="0" applyNumberFormat="1" applyFont="1"/>
    <xf numFmtId="0" fontId="64" fillId="0" borderId="0" xfId="0" applyFont="1"/>
    <xf numFmtId="0" fontId="65" fillId="0" borderId="0" xfId="0" applyFont="1"/>
    <xf numFmtId="3" fontId="44" fillId="0" borderId="0" xfId="0" quotePrefix="1" applyNumberFormat="1" applyFont="1"/>
    <xf numFmtId="1" fontId="32" fillId="0" borderId="0" xfId="0" applyNumberFormat="1" applyFont="1"/>
    <xf numFmtId="167" fontId="32" fillId="0" borderId="0" xfId="0" applyNumberFormat="1" applyFont="1"/>
    <xf numFmtId="1" fontId="65" fillId="0" borderId="0" xfId="0" applyNumberFormat="1" applyFont="1"/>
    <xf numFmtId="167" fontId="65" fillId="0" borderId="0" xfId="0" applyNumberFormat="1" applyFont="1"/>
    <xf numFmtId="10" fontId="44" fillId="0" borderId="0" xfId="0" quotePrefix="1" applyNumberFormat="1" applyFont="1"/>
    <xf numFmtId="0" fontId="44" fillId="0" borderId="0" xfId="0" applyFont="1"/>
    <xf numFmtId="3" fontId="44" fillId="0" borderId="0" xfId="0" quotePrefix="1" applyNumberFormat="1" applyFont="1" applyAlignment="1">
      <alignment horizontal="right"/>
    </xf>
    <xf numFmtId="10" fontId="44" fillId="0" borderId="0" xfId="0" quotePrefix="1" applyNumberFormat="1" applyFont="1" applyAlignment="1">
      <alignment horizontal="right"/>
    </xf>
    <xf numFmtId="3" fontId="31" fillId="0" borderId="0" xfId="0" quotePrefix="1" applyNumberFormat="1" applyFont="1" applyAlignment="1">
      <alignment horizontal="right"/>
    </xf>
    <xf numFmtId="0" fontId="32" fillId="24" borderId="0" xfId="0" applyFont="1" applyFill="1" applyAlignment="1">
      <alignment vertical="center"/>
    </xf>
    <xf numFmtId="0" fontId="59" fillId="24" borderId="0" xfId="35" applyFont="1" applyFill="1" applyAlignment="1" applyProtection="1">
      <alignment vertical="center"/>
    </xf>
    <xf numFmtId="0" fontId="66" fillId="24" borderId="0" xfId="0" applyFont="1" applyFill="1" applyAlignment="1">
      <alignment vertical="center"/>
    </xf>
    <xf numFmtId="173" fontId="32" fillId="24" borderId="0" xfId="0" applyNumberFormat="1" applyFont="1" applyFill="1" applyAlignment="1">
      <alignment vertical="center"/>
    </xf>
    <xf numFmtId="0" fontId="33" fillId="24" borderId="0" xfId="0" applyFont="1" applyFill="1" applyAlignment="1">
      <alignment horizontal="center" vertical="center"/>
    </xf>
    <xf numFmtId="0" fontId="31" fillId="24" borderId="0" xfId="0" applyFont="1" applyFill="1" applyAlignment="1">
      <alignment vertical="center"/>
    </xf>
    <xf numFmtId="0" fontId="32" fillId="24" borderId="0" xfId="0" applyFont="1" applyFill="1" applyAlignment="1">
      <alignment horizontal="center"/>
    </xf>
    <xf numFmtId="0" fontId="32" fillId="24" borderId="0" xfId="0" applyFont="1" applyFill="1" applyAlignment="1">
      <alignment horizontal="left" vertical="center"/>
    </xf>
    <xf numFmtId="0" fontId="40" fillId="0" borderId="0" xfId="0" applyFont="1" applyAlignment="1">
      <alignment horizontal="center" wrapText="1"/>
    </xf>
    <xf numFmtId="0" fontId="32" fillId="30" borderId="0" xfId="0" applyFont="1" applyFill="1" applyAlignment="1">
      <alignment horizontal="right"/>
    </xf>
    <xf numFmtId="0" fontId="32" fillId="30" borderId="0" xfId="0" applyFont="1" applyFill="1"/>
    <xf numFmtId="0" fontId="55" fillId="30" borderId="0" xfId="0" applyFont="1" applyFill="1"/>
    <xf numFmtId="37" fontId="31" fillId="0" borderId="0" xfId="41" applyNumberFormat="1" applyFont="1"/>
    <xf numFmtId="0" fontId="40" fillId="0" borderId="22" xfId="0" applyFont="1" applyBorder="1"/>
    <xf numFmtId="14" fontId="42" fillId="0" borderId="0" xfId="0" applyNumberFormat="1" applyFont="1"/>
    <xf numFmtId="9" fontId="32" fillId="0" borderId="0" xfId="45" applyFont="1"/>
    <xf numFmtId="169" fontId="32" fillId="0" borderId="0" xfId="45" quotePrefix="1" applyNumberFormat="1" applyFont="1"/>
    <xf numFmtId="3" fontId="0" fillId="0" borderId="0" xfId="0" applyNumberFormat="1"/>
    <xf numFmtId="0" fontId="32" fillId="0" borderId="0" xfId="51" applyFont="1" applyAlignment="1">
      <alignment wrapText="1"/>
    </xf>
    <xf numFmtId="0" fontId="32" fillId="0" borderId="0" xfId="51" applyFont="1"/>
    <xf numFmtId="0" fontId="33" fillId="35" borderId="0" xfId="51" applyFont="1" applyFill="1" applyAlignment="1">
      <alignment wrapText="1"/>
    </xf>
    <xf numFmtId="0" fontId="32" fillId="0" borderId="0" xfId="51" applyFont="1" applyAlignment="1">
      <alignment vertical="center" wrapText="1"/>
    </xf>
    <xf numFmtId="0" fontId="32" fillId="0" borderId="0" xfId="51" applyFont="1" applyAlignment="1">
      <alignment vertical="center"/>
    </xf>
    <xf numFmtId="0" fontId="47" fillId="0" borderId="0" xfId="0" applyFont="1" applyAlignment="1">
      <alignment horizontal="center"/>
    </xf>
    <xf numFmtId="49" fontId="33" fillId="0" borderId="0" xfId="0" applyNumberFormat="1" applyFont="1"/>
    <xf numFmtId="0" fontId="67" fillId="0" borderId="0" xfId="51" applyFont="1" applyAlignment="1">
      <alignment vertical="center" wrapText="1"/>
    </xf>
    <xf numFmtId="0" fontId="49" fillId="0" borderId="0" xfId="41" applyFont="1" applyAlignment="1">
      <alignment horizontal="center" vertical="center"/>
    </xf>
    <xf numFmtId="0" fontId="35" fillId="0" borderId="0" xfId="41" applyFont="1" applyAlignment="1">
      <alignment horizontal="center" vertical="center"/>
    </xf>
    <xf numFmtId="0" fontId="59" fillId="0" borderId="0" xfId="35" applyFont="1" applyFill="1" applyAlignment="1" applyProtection="1"/>
    <xf numFmtId="0" fontId="60" fillId="0" borderId="0" xfId="41" applyFont="1" applyAlignment="1">
      <alignment vertical="center"/>
    </xf>
    <xf numFmtId="0" fontId="31" fillId="0" borderId="0" xfId="41" applyFont="1" applyAlignment="1">
      <alignment vertical="center"/>
    </xf>
    <xf numFmtId="0" fontId="61" fillId="0" borderId="0" xfId="41" applyFont="1" applyAlignment="1">
      <alignment vertical="center"/>
    </xf>
    <xf numFmtId="0" fontId="59" fillId="0" borderId="0" xfId="35" applyFont="1" applyFill="1" applyBorder="1" applyAlignment="1" applyProtection="1">
      <alignment horizontal="left"/>
    </xf>
    <xf numFmtId="0" fontId="44" fillId="0" borderId="0" xfId="41" applyFont="1" applyAlignment="1">
      <alignment vertical="center"/>
    </xf>
    <xf numFmtId="0" fontId="60" fillId="0" borderId="0" xfId="41" quotePrefix="1" applyFont="1"/>
    <xf numFmtId="0" fontId="33" fillId="0" borderId="0" xfId="40" applyFont="1"/>
    <xf numFmtId="0" fontId="31" fillId="0" borderId="0" xfId="41" applyFont="1" applyAlignment="1">
      <alignment horizontal="center" vertical="center"/>
    </xf>
    <xf numFmtId="37" fontId="44" fillId="0" borderId="0" xfId="41" quotePrefix="1" applyNumberFormat="1" applyFont="1"/>
    <xf numFmtId="169" fontId="62" fillId="0" borderId="0" xfId="41" applyNumberFormat="1" applyFont="1" applyAlignment="1">
      <alignment horizontal="center"/>
    </xf>
    <xf numFmtId="0" fontId="40" fillId="0" borderId="0" xfId="41" applyFont="1"/>
    <xf numFmtId="0" fontId="40" fillId="0" borderId="0" xfId="41" applyFont="1" applyAlignment="1">
      <alignment horizontal="right"/>
    </xf>
    <xf numFmtId="0" fontId="62" fillId="0" borderId="0" xfId="0" applyFont="1"/>
    <xf numFmtId="0" fontId="60" fillId="0" borderId="0" xfId="0" applyFont="1"/>
    <xf numFmtId="0" fontId="31" fillId="0" borderId="0" xfId="41" applyFont="1" applyAlignment="1">
      <alignment vertical="top"/>
    </xf>
    <xf numFmtId="0" fontId="31" fillId="29" borderId="0" xfId="0" applyFont="1" applyFill="1" applyAlignment="1">
      <alignment vertical="top"/>
    </xf>
    <xf numFmtId="0" fontId="32" fillId="29" borderId="0" xfId="0" applyFont="1" applyFill="1" applyAlignment="1">
      <alignment vertical="top"/>
    </xf>
    <xf numFmtId="0" fontId="47" fillId="24" borderId="0" xfId="0" applyFont="1" applyFill="1" applyAlignment="1">
      <alignment vertical="center"/>
    </xf>
    <xf numFmtId="0" fontId="43" fillId="0" borderId="0" xfId="0" applyFont="1" applyAlignment="1">
      <alignment horizontal="right"/>
    </xf>
    <xf numFmtId="0" fontId="43" fillId="0" borderId="0" xfId="0" applyFont="1"/>
    <xf numFmtId="0" fontId="64" fillId="24" borderId="0" xfId="0" applyFont="1" applyFill="1" applyAlignment="1">
      <alignment vertical="center"/>
    </xf>
    <xf numFmtId="0" fontId="65" fillId="24" borderId="0" xfId="0" applyFont="1" applyFill="1" applyAlignment="1">
      <alignment vertical="center"/>
    </xf>
    <xf numFmtId="0" fontId="65" fillId="24" borderId="0" xfId="0" applyFont="1" applyFill="1"/>
    <xf numFmtId="0" fontId="62" fillId="24" borderId="0" xfId="0" applyFont="1" applyFill="1" applyAlignment="1">
      <alignment vertical="center"/>
    </xf>
    <xf numFmtId="0" fontId="49" fillId="24" borderId="0" xfId="0" applyFont="1" applyFill="1" applyAlignment="1">
      <alignment horizontal="center" vertical="center"/>
    </xf>
    <xf numFmtId="0" fontId="49" fillId="24" borderId="0" xfId="0" applyFont="1" applyFill="1" applyAlignment="1">
      <alignment vertical="center"/>
    </xf>
    <xf numFmtId="3" fontId="62" fillId="24" borderId="0" xfId="0" applyNumberFormat="1" applyFont="1" applyFill="1" applyAlignment="1">
      <alignment horizontal="right" vertical="center"/>
    </xf>
    <xf numFmtId="0" fontId="62" fillId="24" borderId="0" xfId="0" applyFont="1" applyFill="1" applyAlignment="1">
      <alignment horizontal="left" vertical="center"/>
    </xf>
    <xf numFmtId="3" fontId="62" fillId="24" borderId="0" xfId="0" quotePrefix="1" applyNumberFormat="1" applyFont="1" applyFill="1" applyAlignment="1">
      <alignment vertical="center"/>
    </xf>
    <xf numFmtId="3" fontId="62" fillId="24" borderId="0" xfId="0" applyNumberFormat="1" applyFont="1" applyFill="1" applyAlignment="1">
      <alignment vertical="center"/>
    </xf>
    <xf numFmtId="10" fontId="62" fillId="24" borderId="0" xfId="0" applyNumberFormat="1" applyFont="1" applyFill="1" applyAlignment="1">
      <alignment vertical="center"/>
    </xf>
    <xf numFmtId="3" fontId="49" fillId="35" borderId="0" xfId="0" quotePrefix="1" applyNumberFormat="1" applyFont="1" applyFill="1" applyAlignment="1">
      <alignment vertical="center"/>
    </xf>
    <xf numFmtId="0" fontId="62" fillId="0" borderId="0" xfId="0" applyFont="1" applyAlignment="1">
      <alignment vertical="center"/>
    </xf>
    <xf numFmtId="3" fontId="49" fillId="0" borderId="0" xfId="0" quotePrefix="1" applyNumberFormat="1" applyFont="1" applyAlignment="1">
      <alignment vertical="center"/>
    </xf>
    <xf numFmtId="0" fontId="61" fillId="24" borderId="0" xfId="0" applyFont="1" applyFill="1" applyAlignment="1">
      <alignment vertical="top"/>
    </xf>
    <xf numFmtId="0" fontId="60" fillId="24" borderId="0" xfId="0" applyFont="1" applyFill="1"/>
    <xf numFmtId="14" fontId="44" fillId="0" borderId="0" xfId="0" applyNumberFormat="1" applyFont="1"/>
    <xf numFmtId="0" fontId="60" fillId="0" borderId="0" xfId="0" applyFont="1" applyAlignment="1">
      <alignment horizontal="center"/>
    </xf>
    <xf numFmtId="0" fontId="31" fillId="0" borderId="0" xfId="0" applyFont="1" applyAlignment="1">
      <alignment horizontal="center"/>
    </xf>
    <xf numFmtId="0" fontId="47" fillId="0" borderId="0" xfId="0" applyFont="1" applyAlignment="1">
      <alignment horizontal="center" vertical="center"/>
    </xf>
    <xf numFmtId="0" fontId="47" fillId="0" borderId="0" xfId="0" applyFont="1" applyAlignment="1">
      <alignment vertical="top"/>
    </xf>
    <xf numFmtId="3" fontId="47" fillId="0" borderId="0" xfId="0" applyNumberFormat="1" applyFont="1" applyAlignment="1">
      <alignment vertical="top"/>
    </xf>
    <xf numFmtId="3" fontId="47" fillId="0" borderId="0" xfId="0" quotePrefix="1" applyNumberFormat="1" applyFont="1" applyAlignment="1">
      <alignment vertical="top"/>
    </xf>
    <xf numFmtId="3" fontId="65" fillId="0" borderId="0" xfId="0" applyNumberFormat="1" applyFont="1"/>
    <xf numFmtId="3" fontId="65" fillId="0" borderId="0" xfId="0" quotePrefix="1" applyNumberFormat="1" applyFont="1"/>
    <xf numFmtId="0" fontId="54" fillId="0" borderId="0" xfId="41" applyFont="1" applyAlignment="1">
      <alignment vertical="center"/>
    </xf>
    <xf numFmtId="0" fontId="60" fillId="0" borderId="0" xfId="41" applyFont="1" applyAlignment="1">
      <alignment vertical="top"/>
    </xf>
    <xf numFmtId="0" fontId="54" fillId="0" borderId="0" xfId="0" applyFont="1"/>
    <xf numFmtId="0" fontId="32" fillId="0" borderId="0" xfId="0" applyFont="1" applyAlignment="1">
      <alignment vertical="center" wrapText="1"/>
    </xf>
    <xf numFmtId="0" fontId="47" fillId="0" borderId="0" xfId="0" applyFont="1" applyAlignment="1">
      <alignment horizontal="center" vertical="center" wrapText="1"/>
    </xf>
    <xf numFmtId="0" fontId="72" fillId="0" borderId="22" xfId="0" applyFont="1" applyBorder="1" applyAlignment="1">
      <alignment vertical="center"/>
    </xf>
    <xf numFmtId="0" fontId="0" fillId="0" borderId="22" xfId="0" applyBorder="1" applyAlignment="1">
      <alignment vertical="center"/>
    </xf>
    <xf numFmtId="0" fontId="32" fillId="0" borderId="22" xfId="0" applyFont="1" applyBorder="1"/>
    <xf numFmtId="0" fontId="32" fillId="0" borderId="0" xfId="0" applyFont="1" applyAlignment="1">
      <alignment horizontal="left" vertical="center" wrapText="1"/>
    </xf>
    <xf numFmtId="0" fontId="32" fillId="0" borderId="0" xfId="0" applyFont="1" applyAlignment="1">
      <alignment vertical="top"/>
    </xf>
    <xf numFmtId="14" fontId="59" fillId="0" borderId="0" xfId="35" applyNumberFormat="1" applyFont="1" applyFill="1" applyAlignment="1" applyProtection="1"/>
    <xf numFmtId="14" fontId="53" fillId="0" borderId="0" xfId="35" applyNumberFormat="1" applyFont="1" applyFill="1" applyAlignment="1" applyProtection="1"/>
    <xf numFmtId="0" fontId="44" fillId="0" borderId="0" xfId="0" applyFont="1" applyAlignment="1">
      <alignment horizontal="right" vertical="center"/>
    </xf>
    <xf numFmtId="0" fontId="44" fillId="0" borderId="0" xfId="0" applyFont="1" applyAlignment="1">
      <alignment horizontal="left" vertical="center"/>
    </xf>
    <xf numFmtId="10" fontId="44" fillId="0" borderId="0" xfId="0" applyNumberFormat="1" applyFont="1" applyAlignment="1">
      <alignment vertical="center"/>
    </xf>
    <xf numFmtId="3" fontId="44" fillId="0" borderId="0" xfId="0" applyNumberFormat="1" applyFont="1" applyAlignment="1">
      <alignment horizontal="left" vertical="center"/>
    </xf>
    <xf numFmtId="3" fontId="44" fillId="0" borderId="0" xfId="0" applyNumberFormat="1" applyFont="1" applyAlignment="1">
      <alignment vertical="center"/>
    </xf>
    <xf numFmtId="3" fontId="31" fillId="0" borderId="0" xfId="0" applyNumberFormat="1" applyFont="1" applyAlignment="1">
      <alignment vertical="center"/>
    </xf>
    <xf numFmtId="0" fontId="44" fillId="0" borderId="0" xfId="0" applyFont="1" applyAlignment="1">
      <alignment vertical="center"/>
    </xf>
    <xf numFmtId="167" fontId="44" fillId="0" borderId="0" xfId="0" applyNumberFormat="1" applyFont="1" applyAlignment="1">
      <alignment horizontal="right" vertical="center"/>
    </xf>
    <xf numFmtId="167" fontId="44" fillId="0" borderId="0" xfId="0" applyNumberFormat="1" applyFont="1" applyAlignment="1">
      <alignment vertical="center"/>
    </xf>
    <xf numFmtId="0" fontId="69" fillId="0" borderId="0" xfId="0" applyFont="1" applyAlignment="1">
      <alignment vertical="center"/>
    </xf>
    <xf numFmtId="10" fontId="41" fillId="0" borderId="0" xfId="0" applyNumberFormat="1" applyFont="1" applyAlignment="1">
      <alignment vertical="center"/>
    </xf>
    <xf numFmtId="0" fontId="47" fillId="0" borderId="0" xfId="41" applyFont="1"/>
    <xf numFmtId="37" fontId="32" fillId="0" borderId="0" xfId="0" quotePrefix="1" applyNumberFormat="1" applyFont="1"/>
    <xf numFmtId="4" fontId="73" fillId="0" borderId="0" xfId="0" applyNumberFormat="1" applyFont="1"/>
    <xf numFmtId="3" fontId="73" fillId="41" borderId="0" xfId="0" applyNumberFormat="1" applyFont="1" applyFill="1"/>
    <xf numFmtId="0" fontId="73" fillId="41" borderId="0" xfId="0" applyFont="1" applyFill="1"/>
    <xf numFmtId="0" fontId="59" fillId="0" borderId="0" xfId="35" applyFont="1" applyAlignment="1" applyProtection="1">
      <alignment wrapText="1"/>
    </xf>
    <xf numFmtId="164" fontId="73" fillId="41" borderId="0" xfId="0" applyNumberFormat="1" applyFont="1" applyFill="1"/>
    <xf numFmtId="3" fontId="32" fillId="24" borderId="0" xfId="0" applyNumberFormat="1" applyFont="1" applyFill="1" applyAlignment="1">
      <alignment vertical="center"/>
    </xf>
    <xf numFmtId="0" fontId="75" fillId="0" borderId="0" xfId="0" applyFont="1"/>
    <xf numFmtId="14" fontId="32" fillId="0" borderId="0" xfId="41" applyNumberFormat="1" applyFont="1" applyAlignment="1">
      <alignment horizontal="center"/>
    </xf>
    <xf numFmtId="14" fontId="32" fillId="0" borderId="0" xfId="0" applyNumberFormat="1" applyFont="1" applyAlignment="1">
      <alignment horizontal="center" wrapText="1"/>
    </xf>
    <xf numFmtId="0" fontId="32" fillId="0" borderId="0" xfId="41" applyFont="1" applyAlignment="1">
      <alignment horizontal="center"/>
    </xf>
    <xf numFmtId="14" fontId="44" fillId="0" borderId="0" xfId="41" applyNumberFormat="1" applyFont="1" applyAlignment="1">
      <alignment vertical="center"/>
    </xf>
    <xf numFmtId="0" fontId="68" fillId="0" borderId="0" xfId="40" applyFont="1"/>
    <xf numFmtId="0" fontId="37" fillId="29" borderId="0" xfId="0" applyFont="1" applyFill="1"/>
    <xf numFmtId="14" fontId="32" fillId="0" borderId="0" xfId="51" applyNumberFormat="1" applyFont="1" applyAlignment="1">
      <alignment wrapText="1"/>
    </xf>
    <xf numFmtId="0" fontId="65" fillId="42" borderId="0" xfId="0" applyFont="1" applyFill="1"/>
    <xf numFmtId="0" fontId="71" fillId="29" borderId="0" xfId="0" applyFont="1" applyFill="1"/>
    <xf numFmtId="14" fontId="50" fillId="0" borderId="0" xfId="0" applyNumberFormat="1" applyFont="1" applyAlignment="1">
      <alignment horizontal="center"/>
    </xf>
    <xf numFmtId="3" fontId="19" fillId="0" borderId="0" xfId="30" applyNumberFormat="1" applyFill="1"/>
    <xf numFmtId="0" fontId="19" fillId="0" borderId="0" xfId="30" applyFill="1"/>
    <xf numFmtId="168" fontId="19" fillId="0" borderId="0" xfId="30" quotePrefix="1" applyNumberFormat="1" applyFill="1"/>
    <xf numFmtId="0" fontId="50" fillId="0" borderId="0" xfId="0" applyFont="1" applyAlignment="1">
      <alignment wrapText="1"/>
    </xf>
    <xf numFmtId="0" fontId="33" fillId="0" borderId="0" xfId="0" applyFont="1" applyAlignment="1">
      <alignment wrapText="1"/>
    </xf>
    <xf numFmtId="3" fontId="40" fillId="0" borderId="0" xfId="0" applyNumberFormat="1" applyFont="1" applyAlignment="1">
      <alignment horizontal="center" vertical="top" wrapText="1"/>
    </xf>
    <xf numFmtId="3" fontId="40" fillId="0" borderId="0" xfId="0" applyNumberFormat="1" applyFont="1" applyAlignment="1">
      <alignment wrapText="1"/>
    </xf>
    <xf numFmtId="0" fontId="65" fillId="24" borderId="0" xfId="0" applyFont="1" applyFill="1" applyAlignment="1">
      <alignment horizontal="center" vertical="center"/>
    </xf>
    <xf numFmtId="0" fontId="33" fillId="42" borderId="0" xfId="0" applyFont="1" applyFill="1" applyAlignment="1">
      <alignment horizontal="center" vertical="center"/>
    </xf>
    <xf numFmtId="4" fontId="33" fillId="0" borderId="0" xfId="0" applyNumberFormat="1" applyFont="1"/>
    <xf numFmtId="0" fontId="49" fillId="24" borderId="0" xfId="0" applyFont="1" applyFill="1" applyAlignment="1">
      <alignment vertical="center" wrapText="1"/>
    </xf>
    <xf numFmtId="0" fontId="62" fillId="24" borderId="0" xfId="0" applyFont="1" applyFill="1" applyAlignment="1">
      <alignment vertical="center" wrapText="1"/>
    </xf>
    <xf numFmtId="0" fontId="62" fillId="24" borderId="0" xfId="0" quotePrefix="1" applyFont="1" applyFill="1" applyAlignment="1">
      <alignment vertical="center"/>
    </xf>
    <xf numFmtId="0" fontId="62" fillId="24" borderId="0" xfId="0" quotePrefix="1" applyFont="1" applyFill="1" applyAlignment="1">
      <alignment vertical="center" wrapText="1"/>
    </xf>
    <xf numFmtId="2" fontId="44" fillId="0" borderId="0" xfId="41" applyNumberFormat="1" applyFont="1"/>
    <xf numFmtId="0" fontId="77" fillId="0" borderId="0" xfId="0" applyFont="1"/>
    <xf numFmtId="3" fontId="44" fillId="0" borderId="0" xfId="41" applyNumberFormat="1" applyFont="1"/>
    <xf numFmtId="0" fontId="41" fillId="0" borderId="0" xfId="41" applyFont="1"/>
    <xf numFmtId="3" fontId="41" fillId="0" borderId="0" xfId="41" applyNumberFormat="1" applyFont="1"/>
    <xf numFmtId="37" fontId="41" fillId="0" borderId="0" xfId="41" quotePrefix="1" applyNumberFormat="1" applyFont="1"/>
    <xf numFmtId="37" fontId="41" fillId="0" borderId="0" xfId="41" applyNumberFormat="1" applyFont="1"/>
    <xf numFmtId="0" fontId="79" fillId="0" borderId="0" xfId="0" applyFont="1"/>
    <xf numFmtId="0" fontId="78" fillId="0" borderId="0" xfId="0" applyFont="1"/>
    <xf numFmtId="3" fontId="73" fillId="0" borderId="0" xfId="0" applyNumberFormat="1" applyFont="1"/>
    <xf numFmtId="4" fontId="31" fillId="0" borderId="0" xfId="41" applyNumberFormat="1" applyFont="1"/>
    <xf numFmtId="4" fontId="31" fillId="0" borderId="0" xfId="41" applyNumberFormat="1" applyFont="1" applyAlignment="1">
      <alignment horizontal="center"/>
    </xf>
    <xf numFmtId="4" fontId="33" fillId="0" borderId="0" xfId="41" applyNumberFormat="1" applyFont="1" applyAlignment="1">
      <alignment horizontal="center"/>
    </xf>
    <xf numFmtId="0" fontId="49" fillId="0" borderId="0" xfId="0" quotePrefix="1" applyFont="1" applyAlignment="1">
      <alignment horizontal="center" vertical="center" wrapText="1"/>
    </xf>
    <xf numFmtId="3" fontId="62" fillId="0" borderId="0" xfId="0" quotePrefix="1" applyNumberFormat="1" applyFont="1" applyAlignment="1">
      <alignment vertical="center"/>
    </xf>
    <xf numFmtId="3" fontId="62" fillId="0" borderId="0" xfId="0" applyNumberFormat="1" applyFont="1" applyAlignment="1">
      <alignment vertical="center"/>
    </xf>
    <xf numFmtId="166" fontId="62" fillId="0" borderId="0" xfId="0" applyNumberFormat="1" applyFont="1" applyAlignment="1">
      <alignment vertical="center"/>
    </xf>
    <xf numFmtId="10" fontId="62" fillId="0" borderId="0" xfId="0" applyNumberFormat="1" applyFont="1" applyAlignment="1">
      <alignment vertical="center"/>
    </xf>
    <xf numFmtId="0" fontId="65" fillId="0" borderId="0" xfId="0" applyFont="1" applyAlignment="1">
      <alignment horizontal="center" vertical="center"/>
    </xf>
    <xf numFmtId="169" fontId="32" fillId="0" borderId="0" xfId="45" applyNumberFormat="1" applyFont="1" applyBorder="1"/>
    <xf numFmtId="41" fontId="32" fillId="0" borderId="0" xfId="0" applyNumberFormat="1" applyFont="1"/>
    <xf numFmtId="1" fontId="52" fillId="0" borderId="0" xfId="0" applyNumberFormat="1" applyFont="1"/>
    <xf numFmtId="1" fontId="52" fillId="0" borderId="0" xfId="0" applyNumberFormat="1" applyFont="1" applyAlignment="1">
      <alignment horizontal="center"/>
    </xf>
    <xf numFmtId="3" fontId="41" fillId="0" borderId="0" xfId="0" applyNumberFormat="1" applyFont="1" applyAlignment="1">
      <alignment horizontal="left" vertical="center"/>
    </xf>
    <xf numFmtId="0" fontId="44" fillId="0" borderId="23" xfId="41" applyFont="1" applyBorder="1"/>
    <xf numFmtId="0" fontId="44" fillId="0" borderId="22" xfId="41" applyFont="1" applyBorder="1"/>
    <xf numFmtId="0" fontId="44" fillId="0" borderId="25" xfId="41" applyFont="1" applyBorder="1"/>
    <xf numFmtId="0" fontId="40" fillId="0" borderId="10" xfId="41" applyFont="1" applyBorder="1"/>
    <xf numFmtId="0" fontId="40" fillId="0" borderId="25" xfId="41" applyFont="1" applyBorder="1"/>
    <xf numFmtId="169" fontId="44" fillId="0" borderId="24" xfId="41" applyNumberFormat="1" applyFont="1" applyBorder="1" applyAlignment="1">
      <alignment horizontal="right"/>
    </xf>
    <xf numFmtId="169" fontId="44" fillId="0" borderId="26" xfId="41" applyNumberFormat="1" applyFont="1" applyBorder="1" applyAlignment="1">
      <alignment horizontal="right"/>
    </xf>
    <xf numFmtId="10" fontId="32" fillId="0" borderId="0" xfId="0" applyNumberFormat="1" applyFont="1" applyAlignment="1">
      <alignment vertical="center"/>
    </xf>
    <xf numFmtId="3" fontId="44" fillId="0" borderId="0" xfId="0" quotePrefix="1" applyNumberFormat="1" applyFont="1" applyAlignment="1">
      <alignment vertical="center"/>
    </xf>
    <xf numFmtId="3" fontId="50" fillId="0" borderId="0" xfId="0" applyNumberFormat="1" applyFont="1" applyAlignment="1">
      <alignment horizontal="center"/>
    </xf>
    <xf numFmtId="0" fontId="50" fillId="35" borderId="0" xfId="0" applyFont="1" applyFill="1" applyAlignment="1">
      <alignment horizontal="center"/>
    </xf>
    <xf numFmtId="0" fontId="80" fillId="0" borderId="0" xfId="41" applyFont="1"/>
    <xf numFmtId="0" fontId="50" fillId="35" borderId="0" xfId="0" applyFont="1" applyFill="1"/>
    <xf numFmtId="169" fontId="32" fillId="0" borderId="0" xfId="45" applyNumberFormat="1" applyFont="1" applyFill="1"/>
    <xf numFmtId="0" fontId="31" fillId="0" borderId="0" xfId="0" applyFont="1" applyAlignment="1">
      <alignment horizontal="center" vertical="top"/>
    </xf>
    <xf numFmtId="10" fontId="32" fillId="0" borderId="0" xfId="45" applyNumberFormat="1" applyFont="1" applyFill="1" applyAlignment="1">
      <alignment horizontal="left"/>
    </xf>
    <xf numFmtId="10" fontId="33" fillId="0" borderId="0" xfId="45" applyNumberFormat="1" applyFont="1" applyFill="1" applyAlignment="1">
      <alignment horizontal="center"/>
    </xf>
    <xf numFmtId="10" fontId="32" fillId="0" borderId="0" xfId="45" applyNumberFormat="1" applyFont="1" applyFill="1"/>
    <xf numFmtId="0" fontId="69" fillId="0" borderId="0" xfId="41" applyFont="1"/>
    <xf numFmtId="49" fontId="62" fillId="0" borderId="0" xfId="41" applyNumberFormat="1" applyFont="1" applyAlignment="1">
      <alignment horizontal="center" vertical="center"/>
    </xf>
    <xf numFmtId="0" fontId="62" fillId="0" borderId="0" xfId="0" applyFont="1" applyAlignment="1">
      <alignment vertical="top" wrapText="1"/>
    </xf>
    <xf numFmtId="1" fontId="32" fillId="31" borderId="0" xfId="39" applyNumberFormat="1" applyFont="1" applyFill="1"/>
    <xf numFmtId="0" fontId="50" fillId="40" borderId="27" xfId="0" applyFont="1" applyFill="1" applyBorder="1" applyAlignment="1">
      <alignment horizontal="center"/>
    </xf>
    <xf numFmtId="0" fontId="50" fillId="40" borderId="0" xfId="0" applyFont="1" applyFill="1" applyAlignment="1">
      <alignment horizontal="center"/>
    </xf>
    <xf numFmtId="0" fontId="50" fillId="40" borderId="28" xfId="0" applyFont="1" applyFill="1" applyBorder="1" applyAlignment="1">
      <alignment horizontal="center"/>
    </xf>
    <xf numFmtId="0" fontId="31" fillId="0" borderId="0" xfId="41" applyFont="1" applyAlignment="1">
      <alignment horizontal="right"/>
    </xf>
    <xf numFmtId="37" fontId="31" fillId="0" borderId="0" xfId="41" applyNumberFormat="1" applyFont="1" applyAlignment="1">
      <alignment horizontal="left"/>
    </xf>
    <xf numFmtId="37" fontId="31" fillId="0" borderId="0" xfId="41" applyNumberFormat="1" applyFont="1" applyAlignment="1">
      <alignment horizontal="center"/>
    </xf>
    <xf numFmtId="10" fontId="32" fillId="0" borderId="0" xfId="45" applyNumberFormat="1" applyFont="1" applyBorder="1"/>
    <xf numFmtId="4" fontId="32" fillId="0" borderId="0" xfId="45" applyNumberFormat="1" applyFont="1" applyBorder="1"/>
    <xf numFmtId="3" fontId="32" fillId="33" borderId="0" xfId="0" applyNumberFormat="1" applyFont="1" applyFill="1"/>
    <xf numFmtId="14" fontId="33" fillId="0" borderId="0" xfId="0" applyNumberFormat="1" applyFont="1" applyAlignment="1">
      <alignment horizontal="center"/>
    </xf>
    <xf numFmtId="37" fontId="62" fillId="0" borderId="30" xfId="41" applyNumberFormat="1" applyFont="1" applyBorder="1" applyAlignment="1">
      <alignment horizontal="right"/>
    </xf>
    <xf numFmtId="0" fontId="40" fillId="0" borderId="0" xfId="0" applyFont="1" applyAlignment="1">
      <alignment horizontal="right" wrapText="1"/>
    </xf>
    <xf numFmtId="0" fontId="52" fillId="0" borderId="0" xfId="0" applyFont="1" applyAlignment="1">
      <alignment horizontal="right" wrapText="1"/>
    </xf>
    <xf numFmtId="0" fontId="52" fillId="0" borderId="0" xfId="0" applyFont="1" applyAlignment="1">
      <alignment horizontal="right"/>
    </xf>
    <xf numFmtId="10" fontId="32" fillId="0" borderId="0" xfId="45" applyNumberFormat="1" applyFont="1" applyBorder="1" applyAlignment="1">
      <alignment horizontal="left"/>
    </xf>
    <xf numFmtId="0" fontId="52" fillId="0" borderId="0" xfId="0" applyFont="1" applyAlignment="1">
      <alignment horizontal="center" wrapText="1"/>
    </xf>
    <xf numFmtId="0" fontId="52" fillId="0" borderId="0" xfId="0" applyFont="1" applyAlignment="1">
      <alignment horizontal="center"/>
    </xf>
    <xf numFmtId="0" fontId="51" fillId="24" borderId="0" xfId="0" applyFont="1" applyFill="1" applyAlignment="1">
      <alignment vertical="center"/>
    </xf>
    <xf numFmtId="3" fontId="51" fillId="24" borderId="0" xfId="0" applyNumberFormat="1" applyFont="1" applyFill="1" applyAlignment="1">
      <alignment vertical="center"/>
    </xf>
    <xf numFmtId="14" fontId="32" fillId="24" borderId="0" xfId="0" applyNumberFormat="1" applyFont="1" applyFill="1" applyAlignment="1">
      <alignment vertical="center"/>
    </xf>
    <xf numFmtId="9" fontId="32" fillId="0" borderId="0" xfId="0" applyNumberFormat="1" applyFont="1"/>
    <xf numFmtId="174" fontId="40" fillId="0" borderId="0" xfId="0" applyNumberFormat="1" applyFont="1" applyAlignment="1">
      <alignment horizontal="left" wrapText="1"/>
    </xf>
    <xf numFmtId="174" fontId="52" fillId="0" borderId="0" xfId="0" applyNumberFormat="1" applyFont="1" applyAlignment="1">
      <alignment wrapText="1"/>
    </xf>
    <xf numFmtId="174" fontId="52" fillId="0" borderId="0" xfId="0" applyNumberFormat="1" applyFont="1"/>
    <xf numFmtId="174" fontId="50" fillId="0" borderId="0" xfId="0" applyNumberFormat="1" applyFont="1" applyAlignment="1">
      <alignment horizontal="center"/>
    </xf>
    <xf numFmtId="174" fontId="32" fillId="0" borderId="0" xfId="0" applyNumberFormat="1" applyFont="1"/>
    <xf numFmtId="3" fontId="49" fillId="24" borderId="0" xfId="0" applyNumberFormat="1" applyFont="1" applyFill="1" applyAlignment="1">
      <alignment vertical="center" wrapText="1"/>
    </xf>
    <xf numFmtId="4" fontId="62" fillId="24" borderId="0" xfId="0" applyNumberFormat="1" applyFont="1" applyFill="1" applyAlignment="1">
      <alignment vertical="center"/>
    </xf>
    <xf numFmtId="169" fontId="44" fillId="0" borderId="0" xfId="41" applyNumberFormat="1" applyFont="1" applyAlignment="1">
      <alignment horizontal="right"/>
    </xf>
    <xf numFmtId="3" fontId="49" fillId="0" borderId="0" xfId="41" applyNumberFormat="1" applyFont="1" applyAlignment="1">
      <alignment horizontal="right"/>
    </xf>
    <xf numFmtId="3" fontId="49" fillId="0" borderId="29" xfId="41" applyNumberFormat="1" applyFont="1" applyBorder="1" applyAlignment="1">
      <alignment horizontal="right"/>
    </xf>
    <xf numFmtId="37" fontId="32" fillId="0" borderId="0" xfId="41" applyNumberFormat="1" applyFont="1"/>
    <xf numFmtId="37" fontId="31" fillId="0" borderId="11" xfId="41" applyNumberFormat="1" applyFont="1" applyBorder="1" applyAlignment="1">
      <alignment horizontal="left"/>
    </xf>
    <xf numFmtId="37" fontId="31" fillId="0" borderId="12" xfId="41" applyNumberFormat="1" applyFont="1" applyBorder="1" applyAlignment="1">
      <alignment horizontal="center"/>
    </xf>
    <xf numFmtId="37" fontId="31" fillId="0" borderId="13" xfId="41" applyNumberFormat="1" applyFont="1" applyBorder="1"/>
    <xf numFmtId="9" fontId="32" fillId="0" borderId="0" xfId="45" applyFont="1" applyFill="1"/>
    <xf numFmtId="3" fontId="32" fillId="40" borderId="0" xfId="0" quotePrefix="1" applyNumberFormat="1" applyFont="1" applyFill="1"/>
    <xf numFmtId="3" fontId="32" fillId="31" borderId="0" xfId="0" quotePrefix="1" applyNumberFormat="1" applyFont="1" applyFill="1"/>
    <xf numFmtId="3" fontId="32" fillId="35" borderId="0" xfId="0" quotePrefix="1" applyNumberFormat="1" applyFont="1" applyFill="1"/>
    <xf numFmtId="3" fontId="32" fillId="25" borderId="0" xfId="0" quotePrefix="1" applyNumberFormat="1" applyFont="1" applyFill="1"/>
    <xf numFmtId="9" fontId="32" fillId="25" borderId="0" xfId="45" applyFont="1" applyFill="1"/>
    <xf numFmtId="9" fontId="32" fillId="0" borderId="0" xfId="45" quotePrefix="1" applyFont="1"/>
    <xf numFmtId="10" fontId="33" fillId="0" borderId="0" xfId="41" applyNumberFormat="1" applyFont="1"/>
    <xf numFmtId="10" fontId="32" fillId="0" borderId="0" xfId="41" applyNumberFormat="1" applyFont="1"/>
    <xf numFmtId="3" fontId="37" fillId="0" borderId="0" xfId="0" applyNumberFormat="1" applyFont="1" applyAlignment="1">
      <alignment vertical="center"/>
    </xf>
    <xf numFmtId="3" fontId="32" fillId="0" borderId="0" xfId="0" applyNumberFormat="1" applyFont="1" applyAlignment="1">
      <alignment vertical="center"/>
    </xf>
    <xf numFmtId="9" fontId="44" fillId="0" borderId="0" xfId="0" applyNumberFormat="1" applyFont="1" applyAlignment="1">
      <alignment vertical="center"/>
    </xf>
    <xf numFmtId="2" fontId="32" fillId="0" borderId="0" xfId="0" applyNumberFormat="1" applyFont="1" applyAlignment="1">
      <alignment horizontal="center"/>
    </xf>
    <xf numFmtId="0" fontId="32" fillId="24" borderId="0" xfId="0" applyFont="1" applyFill="1" applyAlignment="1">
      <alignment horizontal="center" vertical="center"/>
    </xf>
    <xf numFmtId="165" fontId="44" fillId="0" borderId="0" xfId="41" applyNumberFormat="1" applyFont="1"/>
    <xf numFmtId="37" fontId="32" fillId="26" borderId="0" xfId="0" applyNumberFormat="1" applyFont="1" applyFill="1"/>
    <xf numFmtId="169" fontId="33" fillId="0" borderId="0" xfId="45" applyNumberFormat="1" applyFont="1" applyFill="1"/>
    <xf numFmtId="164" fontId="32" fillId="0" borderId="0" xfId="0" quotePrefix="1" applyNumberFormat="1" applyFont="1"/>
    <xf numFmtId="0" fontId="32" fillId="0" borderId="0" xfId="0" applyFont="1" applyAlignment="1">
      <alignment vertical="top" wrapText="1"/>
    </xf>
    <xf numFmtId="37" fontId="37" fillId="0" borderId="0" xfId="0" applyNumberFormat="1" applyFont="1" applyAlignment="1">
      <alignment horizontal="left" indent="1"/>
    </xf>
    <xf numFmtId="3" fontId="49" fillId="0" borderId="30" xfId="41" applyNumberFormat="1" applyFont="1" applyBorder="1" applyAlignment="1">
      <alignment horizontal="right"/>
    </xf>
    <xf numFmtId="14" fontId="32" fillId="0" borderId="0" xfId="0" applyNumberFormat="1" applyFont="1" applyAlignment="1">
      <alignment horizontal="center"/>
    </xf>
    <xf numFmtId="0" fontId="62" fillId="0" borderId="0" xfId="0" applyFont="1" applyAlignment="1">
      <alignment horizontal="left" vertical="center"/>
    </xf>
    <xf numFmtId="3" fontId="49" fillId="24" borderId="0" xfId="0" quotePrefix="1" applyNumberFormat="1" applyFont="1" applyFill="1" applyAlignment="1">
      <alignment vertical="center"/>
    </xf>
    <xf numFmtId="164" fontId="40" fillId="0" borderId="0" xfId="28" applyNumberFormat="1" applyFont="1" applyAlignment="1">
      <alignment horizontal="left" wrapText="1"/>
    </xf>
    <xf numFmtId="164" fontId="52" fillId="0" borderId="0" xfId="28" applyNumberFormat="1" applyFont="1" applyAlignment="1">
      <alignment wrapText="1"/>
    </xf>
    <xf numFmtId="164" fontId="52" fillId="0" borderId="0" xfId="28" applyNumberFormat="1" applyFont="1"/>
    <xf numFmtId="164" fontId="33" fillId="0" borderId="0" xfId="28" applyNumberFormat="1" applyFont="1" applyBorder="1"/>
    <xf numFmtId="3" fontId="51" fillId="0" borderId="0" xfId="0" applyNumberFormat="1" applyFont="1" applyAlignment="1">
      <alignment vertical="center"/>
    </xf>
    <xf numFmtId="9" fontId="62" fillId="0" borderId="0" xfId="0" applyNumberFormat="1" applyFont="1" applyAlignment="1">
      <alignment vertical="center"/>
    </xf>
    <xf numFmtId="10" fontId="62" fillId="0" borderId="0" xfId="0" quotePrefix="1" applyNumberFormat="1" applyFont="1" applyAlignment="1">
      <alignment vertical="center"/>
    </xf>
    <xf numFmtId="3" fontId="33" fillId="0" borderId="0" xfId="41" applyNumberFormat="1" applyFont="1"/>
    <xf numFmtId="37" fontId="33" fillId="0" borderId="0" xfId="41" applyNumberFormat="1" applyFont="1"/>
    <xf numFmtId="3" fontId="49" fillId="35" borderId="0" xfId="0" applyNumberFormat="1" applyFont="1" applyFill="1" applyAlignment="1">
      <alignment vertical="center"/>
    </xf>
    <xf numFmtId="3" fontId="49" fillId="0" borderId="0" xfId="0" applyNumberFormat="1" applyFont="1" applyAlignment="1">
      <alignment horizontal="right" vertical="center"/>
    </xf>
    <xf numFmtId="0" fontId="37" fillId="0" borderId="0" xfId="0" applyFont="1" applyAlignment="1">
      <alignment horizontal="right" vertical="center"/>
    </xf>
    <xf numFmtId="4" fontId="31" fillId="0" borderId="0" xfId="41" applyNumberFormat="1" applyFont="1" applyAlignment="1">
      <alignment vertical="center"/>
    </xf>
    <xf numFmtId="17" fontId="32" fillId="0" borderId="0" xfId="51" quotePrefix="1" applyNumberFormat="1" applyFont="1" applyAlignment="1">
      <alignment wrapText="1"/>
    </xf>
    <xf numFmtId="14" fontId="33" fillId="0" borderId="0" xfId="51" applyNumberFormat="1" applyFont="1" applyAlignment="1">
      <alignment wrapText="1"/>
    </xf>
    <xf numFmtId="10" fontId="32" fillId="0" borderId="0" xfId="51" applyNumberFormat="1" applyFont="1" applyAlignment="1">
      <alignment horizontal="left" wrapText="1"/>
    </xf>
    <xf numFmtId="10" fontId="32" fillId="35" borderId="0" xfId="0" applyNumberFormat="1" applyFont="1" applyFill="1"/>
    <xf numFmtId="10" fontId="33" fillId="35" borderId="0" xfId="0" applyNumberFormat="1" applyFont="1" applyFill="1"/>
    <xf numFmtId="0" fontId="62" fillId="24" borderId="0" xfId="0" applyFont="1" applyFill="1" applyAlignment="1">
      <alignment horizontal="left" vertical="center" wrapText="1"/>
    </xf>
    <xf numFmtId="3" fontId="71" fillId="0" borderId="0" xfId="0" quotePrefix="1" applyNumberFormat="1" applyFont="1" applyAlignment="1">
      <alignment horizontal="center"/>
    </xf>
    <xf numFmtId="9" fontId="65" fillId="0" borderId="0" xfId="0" applyNumberFormat="1" applyFont="1" applyAlignment="1">
      <alignment horizontal="center"/>
    </xf>
    <xf numFmtId="3" fontId="65" fillId="0" borderId="0" xfId="0" applyNumberFormat="1" applyFont="1" applyAlignment="1">
      <alignment horizontal="right"/>
    </xf>
    <xf numFmtId="14" fontId="52" fillId="0" borderId="0" xfId="0" applyNumberFormat="1" applyFont="1" applyAlignment="1">
      <alignment horizontal="center" wrapText="1"/>
    </xf>
    <xf numFmtId="14" fontId="52" fillId="0" borderId="0" xfId="0" applyNumberFormat="1" applyFont="1" applyAlignment="1">
      <alignment horizontal="center"/>
    </xf>
    <xf numFmtId="3" fontId="83" fillId="0" borderId="0" xfId="0" applyNumberFormat="1" applyFont="1"/>
    <xf numFmtId="2" fontId="32" fillId="0" borderId="0" xfId="0" quotePrefix="1" applyNumberFormat="1" applyFont="1"/>
    <xf numFmtId="16" fontId="32" fillId="0" borderId="0" xfId="0" applyNumberFormat="1" applyFont="1" applyAlignment="1">
      <alignment horizontal="center"/>
    </xf>
    <xf numFmtId="3" fontId="32" fillId="0" borderId="0" xfId="41" applyNumberFormat="1" applyFont="1"/>
    <xf numFmtId="3" fontId="69" fillId="0" borderId="0" xfId="41" applyNumberFormat="1" applyFont="1"/>
    <xf numFmtId="37" fontId="0" fillId="0" borderId="0" xfId="0" applyNumberFormat="1"/>
    <xf numFmtId="14" fontId="78" fillId="0" borderId="0" xfId="51" applyNumberFormat="1" applyFont="1" applyAlignment="1">
      <alignment vertical="center" wrapText="1"/>
    </xf>
    <xf numFmtId="14" fontId="32" fillId="0" borderId="0" xfId="51" applyNumberFormat="1" applyFont="1" applyAlignment="1">
      <alignment vertical="center" wrapText="1"/>
    </xf>
    <xf numFmtId="0" fontId="84" fillId="0" borderId="0" xfId="51" applyFont="1" applyAlignment="1">
      <alignment vertical="center" wrapText="1"/>
    </xf>
    <xf numFmtId="3" fontId="54" fillId="0" borderId="0" xfId="41" applyNumberFormat="1" applyFont="1"/>
    <xf numFmtId="10" fontId="62" fillId="35" borderId="0" xfId="41" applyNumberFormat="1" applyFont="1" applyFill="1" applyAlignment="1">
      <alignment horizontal="center"/>
    </xf>
    <xf numFmtId="0" fontId="62" fillId="35" borderId="0" xfId="41" applyFont="1" applyFill="1" applyAlignment="1">
      <alignment horizontal="center"/>
    </xf>
    <xf numFmtId="0" fontId="62" fillId="0" borderId="0" xfId="41" applyFont="1" applyAlignment="1">
      <alignment wrapText="1"/>
    </xf>
    <xf numFmtId="169" fontId="37" fillId="0" borderId="0" xfId="45" applyNumberFormat="1" applyFont="1" applyBorder="1"/>
    <xf numFmtId="164" fontId="50" fillId="0" borderId="0" xfId="0" applyNumberFormat="1" applyFont="1" applyAlignment="1">
      <alignment wrapText="1"/>
    </xf>
    <xf numFmtId="10" fontId="33" fillId="0" borderId="0" xfId="0" quotePrefix="1" applyNumberFormat="1" applyFont="1"/>
    <xf numFmtId="37" fontId="32" fillId="33" borderId="0" xfId="0" applyNumberFormat="1" applyFont="1" applyFill="1"/>
    <xf numFmtId="3" fontId="40" fillId="33" borderId="0" xfId="0" applyNumberFormat="1" applyFont="1" applyFill="1" applyAlignment="1">
      <alignment horizontal="center" vertical="top" wrapText="1"/>
    </xf>
    <xf numFmtId="0" fontId="32" fillId="0" borderId="0" xfId="0" quotePrefix="1" applyFont="1"/>
    <xf numFmtId="0" fontId="49" fillId="0" borderId="0" xfId="0" applyFont="1" applyAlignment="1">
      <alignment vertical="center"/>
    </xf>
    <xf numFmtId="4" fontId="37" fillId="0" borderId="0" xfId="41" applyNumberFormat="1" applyFont="1"/>
    <xf numFmtId="0" fontId="41" fillId="0" borderId="0" xfId="41" applyFont="1" applyAlignment="1">
      <alignment horizontal="right"/>
    </xf>
    <xf numFmtId="0" fontId="33" fillId="0" borderId="0" xfId="0" applyFont="1" applyAlignment="1">
      <alignment vertical="center"/>
    </xf>
    <xf numFmtId="0" fontId="33" fillId="0" borderId="0" xfId="0" applyFont="1" applyAlignment="1">
      <alignment horizontal="center" vertical="center"/>
    </xf>
    <xf numFmtId="0" fontId="37" fillId="0" borderId="0" xfId="0" applyFont="1" applyAlignment="1">
      <alignment vertical="center"/>
    </xf>
    <xf numFmtId="0" fontId="36" fillId="0" borderId="0" xfId="0" applyFont="1" applyAlignment="1">
      <alignment vertical="center"/>
    </xf>
    <xf numFmtId="0" fontId="33" fillId="0" borderId="0" xfId="0" applyFont="1" applyAlignment="1">
      <alignment horizontal="left" vertical="center"/>
    </xf>
    <xf numFmtId="0" fontId="33" fillId="0" borderId="0" xfId="0" quotePrefix="1" applyFont="1" applyAlignment="1">
      <alignment horizontal="left" vertical="center"/>
    </xf>
    <xf numFmtId="0" fontId="38" fillId="0" borderId="0" xfId="42" applyFont="1" applyAlignment="1">
      <alignment horizontal="center" vertical="center" wrapText="1"/>
    </xf>
    <xf numFmtId="0" fontId="38" fillId="0" borderId="0" xfId="42" applyFont="1" applyAlignment="1">
      <alignment horizontal="left" vertical="center" wrapText="1"/>
    </xf>
    <xf numFmtId="0" fontId="38" fillId="0" borderId="0" xfId="42" quotePrefix="1" applyFont="1" applyAlignment="1">
      <alignment horizontal="left" vertical="center" wrapText="1"/>
    </xf>
    <xf numFmtId="0" fontId="32" fillId="0" borderId="14" xfId="0" applyFont="1" applyBorder="1" applyAlignment="1">
      <alignment horizontal="center" vertical="center"/>
    </xf>
    <xf numFmtId="0" fontId="32" fillId="0" borderId="15" xfId="0" applyFont="1" applyBorder="1"/>
    <xf numFmtId="0" fontId="38" fillId="0" borderId="15" xfId="42" applyFont="1" applyBorder="1" applyAlignment="1">
      <alignment horizontal="center" vertical="center" wrapText="1"/>
    </xf>
    <xf numFmtId="0" fontId="32" fillId="0" borderId="16" xfId="0" applyFont="1" applyBorder="1"/>
    <xf numFmtId="0" fontId="32" fillId="0" borderId="17" xfId="0" applyFont="1" applyBorder="1" applyAlignment="1">
      <alignment horizontal="center" vertical="center"/>
    </xf>
    <xf numFmtId="0" fontId="38" fillId="0" borderId="18" xfId="42" applyFont="1" applyBorder="1" applyAlignment="1">
      <alignment horizontal="left" vertical="center" wrapText="1"/>
    </xf>
    <xf numFmtId="0" fontId="32" fillId="0" borderId="19" xfId="0" applyFont="1" applyBorder="1" applyAlignment="1">
      <alignment horizontal="center" vertical="center"/>
    </xf>
    <xf numFmtId="0" fontId="32" fillId="0" borderId="20" xfId="0" applyFont="1" applyBorder="1" applyAlignment="1">
      <alignment vertical="center"/>
    </xf>
    <xf numFmtId="0" fontId="38" fillId="0" borderId="20" xfId="42" applyFont="1" applyBorder="1" applyAlignment="1">
      <alignment horizontal="center" vertical="center" wrapText="1"/>
    </xf>
    <xf numFmtId="0" fontId="38" fillId="0" borderId="21" xfId="42" applyFont="1" applyBorder="1" applyAlignment="1">
      <alignment horizontal="left" vertical="center" wrapText="1"/>
    </xf>
    <xf numFmtId="2" fontId="33" fillId="0" borderId="0" xfId="0" applyNumberFormat="1" applyFont="1"/>
    <xf numFmtId="0" fontId="32" fillId="36" borderId="0" xfId="0" applyFont="1" applyFill="1"/>
    <xf numFmtId="0" fontId="33" fillId="36" borderId="0" xfId="0" applyFont="1" applyFill="1"/>
    <xf numFmtId="3" fontId="32" fillId="36" borderId="0" xfId="0" applyNumberFormat="1" applyFont="1" applyFill="1"/>
    <xf numFmtId="3" fontId="50" fillId="0" borderId="0" xfId="0" quotePrefix="1" applyNumberFormat="1" applyFont="1" applyAlignment="1">
      <alignment horizontal="center"/>
    </xf>
    <xf numFmtId="0" fontId="32" fillId="0" borderId="0" xfId="51" applyFont="1" applyAlignment="1">
      <alignment horizontal="right" wrapText="1"/>
    </xf>
    <xf numFmtId="3" fontId="33" fillId="36" borderId="0" xfId="0" applyNumberFormat="1" applyFont="1" applyFill="1"/>
    <xf numFmtId="3" fontId="32" fillId="36" borderId="0" xfId="0" quotePrefix="1" applyNumberFormat="1" applyFont="1" applyFill="1"/>
    <xf numFmtId="3" fontId="33" fillId="36" borderId="0" xfId="0" quotePrefix="1" applyNumberFormat="1" applyFont="1" applyFill="1"/>
    <xf numFmtId="168" fontId="32" fillId="36" borderId="0" xfId="0" applyNumberFormat="1" applyFont="1" applyFill="1"/>
    <xf numFmtId="168" fontId="33" fillId="36" borderId="0" xfId="0" applyNumberFormat="1" applyFont="1" applyFill="1"/>
    <xf numFmtId="3" fontId="61" fillId="0" borderId="0" xfId="41" applyNumberFormat="1" applyFont="1" applyAlignment="1">
      <alignment vertical="center"/>
    </xf>
    <xf numFmtId="3" fontId="32" fillId="31" borderId="0" xfId="0" applyNumberFormat="1" applyFont="1" applyFill="1"/>
    <xf numFmtId="14" fontId="32" fillId="0" borderId="0" xfId="51" applyNumberFormat="1" applyFont="1"/>
    <xf numFmtId="167" fontId="32" fillId="0" borderId="0" xfId="45" applyNumberFormat="1" applyFont="1"/>
    <xf numFmtId="0" fontId="82" fillId="0" borderId="0" xfId="0" applyFont="1"/>
    <xf numFmtId="49" fontId="32" fillId="0" borderId="0" xfId="0" applyNumberFormat="1" applyFont="1"/>
    <xf numFmtId="10" fontId="33" fillId="0" borderId="0" xfId="45" applyNumberFormat="1" applyFont="1"/>
    <xf numFmtId="37" fontId="32" fillId="0" borderId="0" xfId="45" applyNumberFormat="1" applyFont="1" applyFill="1"/>
    <xf numFmtId="175" fontId="32" fillId="0" borderId="0" xfId="0" applyNumberFormat="1" applyFont="1"/>
    <xf numFmtId="176" fontId="33" fillId="0" borderId="0" xfId="0" applyNumberFormat="1" applyFont="1"/>
    <xf numFmtId="177" fontId="32" fillId="0" borderId="0" xfId="0" applyNumberFormat="1" applyFont="1"/>
    <xf numFmtId="14" fontId="32" fillId="26" borderId="0" xfId="0" applyNumberFormat="1" applyFont="1" applyFill="1" applyAlignment="1">
      <alignment horizontal="left"/>
    </xf>
    <xf numFmtId="3" fontId="85" fillId="0" borderId="0" xfId="0" applyNumberFormat="1" applyFont="1"/>
    <xf numFmtId="43" fontId="32" fillId="0" borderId="0" xfId="0" applyNumberFormat="1" applyFont="1"/>
    <xf numFmtId="0" fontId="1" fillId="0" borderId="0" xfId="52"/>
    <xf numFmtId="170" fontId="31" fillId="0" borderId="0" xfId="0" applyNumberFormat="1" applyFont="1"/>
    <xf numFmtId="0" fontId="32" fillId="0" borderId="0" xfId="0" pivotButton="1" applyFont="1"/>
    <xf numFmtId="178" fontId="32" fillId="0" borderId="0" xfId="0" applyNumberFormat="1" applyFont="1"/>
    <xf numFmtId="0" fontId="51" fillId="26" borderId="0" xfId="0" applyFont="1" applyFill="1" applyAlignment="1">
      <alignment horizontal="center"/>
    </xf>
    <xf numFmtId="0" fontId="32" fillId="0" borderId="10" xfId="0" applyFont="1" applyBorder="1" applyAlignment="1">
      <alignment horizontal="left" vertical="center"/>
    </xf>
    <xf numFmtId="0" fontId="81" fillId="0" borderId="0" xfId="0" applyFont="1" applyAlignment="1">
      <alignment horizontal="left" vertical="top" wrapText="1"/>
    </xf>
    <xf numFmtId="0" fontId="49" fillId="0" borderId="0" xfId="0" applyFont="1" applyAlignment="1">
      <alignment horizontal="center"/>
    </xf>
    <xf numFmtId="0" fontId="50" fillId="40" borderId="23" xfId="0" applyFont="1" applyFill="1" applyBorder="1" applyAlignment="1">
      <alignment horizontal="center"/>
    </xf>
    <xf numFmtId="0" fontId="50" fillId="40" borderId="22" xfId="0" applyFont="1" applyFill="1" applyBorder="1" applyAlignment="1">
      <alignment horizontal="center"/>
    </xf>
    <xf numFmtId="0" fontId="50" fillId="40" borderId="24" xfId="0" applyFont="1" applyFill="1" applyBorder="1" applyAlignment="1">
      <alignment horizontal="center"/>
    </xf>
    <xf numFmtId="0" fontId="50" fillId="34" borderId="0" xfId="0" applyFont="1" applyFill="1" applyAlignment="1">
      <alignment horizontal="center"/>
    </xf>
    <xf numFmtId="0" fontId="50" fillId="33" borderId="0" xfId="0" applyFont="1" applyFill="1" applyAlignment="1">
      <alignment horizontal="center"/>
    </xf>
    <xf numFmtId="0" fontId="36" fillId="0" borderId="0" xfId="41" applyFont="1" applyAlignment="1">
      <alignment horizontal="center" wrapText="1"/>
    </xf>
    <xf numFmtId="0" fontId="33" fillId="44" borderId="0" xfId="0" applyFont="1" applyFill="1"/>
    <xf numFmtId="0" fontId="52" fillId="40" borderId="0" xfId="39" applyFont="1" applyFill="1" applyAlignment="1">
      <alignment vertical="center"/>
    </xf>
    <xf numFmtId="49" fontId="32" fillId="0" borderId="0" xfId="0" applyNumberFormat="1" applyFont="1" applyAlignment="1">
      <alignment vertical="center"/>
    </xf>
    <xf numFmtId="49" fontId="0" fillId="0" borderId="0" xfId="0" applyNumberFormat="1"/>
    <xf numFmtId="0" fontId="89" fillId="0" borderId="0" xfId="0" applyFont="1" applyAlignment="1">
      <alignment horizontal="left" vertical="center" wrapText="1"/>
    </xf>
    <xf numFmtId="0" fontId="32" fillId="0" borderId="0" xfId="0" applyFont="1" applyAlignment="1">
      <alignment horizontal="left" vertical="center"/>
    </xf>
    <xf numFmtId="0" fontId="32" fillId="40" borderId="12" xfId="0" applyFont="1" applyFill="1" applyBorder="1" applyAlignment="1">
      <alignment vertical="center"/>
    </xf>
    <xf numFmtId="0" fontId="88" fillId="40" borderId="0" xfId="39" applyFont="1" applyFill="1" applyAlignment="1">
      <alignment horizontal="left" vertical="center"/>
    </xf>
    <xf numFmtId="0" fontId="70" fillId="40" borderId="0" xfId="39" applyFont="1" applyFill="1" applyAlignment="1">
      <alignment horizontal="left" vertical="center"/>
    </xf>
    <xf numFmtId="0" fontId="32" fillId="0" borderId="10" xfId="0" applyFont="1" applyBorder="1" applyAlignment="1">
      <alignment vertical="center"/>
    </xf>
    <xf numFmtId="0" fontId="31" fillId="0" borderId="0" xfId="0" applyFont="1" applyAlignment="1">
      <alignment horizontal="left" vertical="center" wrapText="1"/>
    </xf>
    <xf numFmtId="0" fontId="0" fillId="0" borderId="0" xfId="0" applyAlignment="1">
      <alignment vertical="center"/>
    </xf>
    <xf numFmtId="0" fontId="53" fillId="0" borderId="0" xfId="35" applyFont="1" applyBorder="1" applyAlignment="1" applyProtection="1">
      <alignment horizontal="right" vertical="center" indent="1"/>
    </xf>
    <xf numFmtId="0" fontId="53" fillId="0" borderId="0" xfId="35" applyFont="1" applyBorder="1" applyAlignment="1" applyProtection="1">
      <alignment horizontal="right" vertical="center"/>
    </xf>
    <xf numFmtId="3" fontId="76" fillId="0" borderId="0" xfId="41" applyNumberFormat="1" applyFont="1" applyAlignment="1">
      <alignment horizontal="center"/>
    </xf>
    <xf numFmtId="0" fontId="68" fillId="0" borderId="0" xfId="40" applyFont="1" applyAlignment="1">
      <alignment horizontal="center"/>
    </xf>
    <xf numFmtId="0" fontId="49" fillId="0" borderId="10" xfId="41" applyFont="1" applyBorder="1" applyAlignment="1">
      <alignment horizontal="center"/>
    </xf>
    <xf numFmtId="0" fontId="49" fillId="44" borderId="37" xfId="41" applyFont="1" applyFill="1" applyBorder="1" applyAlignment="1">
      <alignment horizontal="center" wrapText="1"/>
    </xf>
    <xf numFmtId="0" fontId="90" fillId="44" borderId="37" xfId="41" applyFont="1" applyFill="1" applyBorder="1" applyAlignment="1">
      <alignment horizontal="center" wrapText="1"/>
    </xf>
    <xf numFmtId="16" fontId="90" fillId="44" borderId="37" xfId="41" quotePrefix="1" applyNumberFormat="1" applyFont="1" applyFill="1" applyBorder="1" applyAlignment="1">
      <alignment horizontal="center" wrapText="1"/>
    </xf>
    <xf numFmtId="0" fontId="44" fillId="0" borderId="38" xfId="41" applyFont="1" applyBorder="1"/>
    <xf numFmtId="0" fontId="44" fillId="0" borderId="38" xfId="41" applyFont="1" applyBorder="1" applyAlignment="1">
      <alignment horizontal="center"/>
    </xf>
    <xf numFmtId="0" fontId="31" fillId="35" borderId="10" xfId="41" applyFont="1" applyFill="1" applyBorder="1"/>
    <xf numFmtId="0" fontId="31" fillId="35" borderId="10" xfId="41" applyFont="1" applyFill="1" applyBorder="1" applyAlignment="1">
      <alignment horizontal="center"/>
    </xf>
    <xf numFmtId="0" fontId="49" fillId="44" borderId="0" xfId="0" applyFont="1" applyFill="1" applyAlignment="1">
      <alignment horizontal="center" vertical="center"/>
    </xf>
    <xf numFmtId="166" fontId="40" fillId="34" borderId="0" xfId="0" applyNumberFormat="1" applyFont="1" applyFill="1"/>
    <xf numFmtId="0" fontId="35" fillId="0" borderId="0" xfId="0" applyFont="1" applyAlignment="1">
      <alignment horizontal="center"/>
    </xf>
    <xf numFmtId="0" fontId="62" fillId="0" borderId="0" xfId="0" applyFont="1" applyAlignment="1">
      <alignment vertical="top"/>
    </xf>
    <xf numFmtId="0" fontId="62" fillId="0" borderId="0" xfId="0" applyFont="1" applyAlignment="1">
      <alignment horizontal="left" vertical="top"/>
    </xf>
    <xf numFmtId="0" fontId="47" fillId="43" borderId="0" xfId="0" applyFont="1" applyFill="1" applyAlignment="1">
      <alignment vertical="center" wrapText="1"/>
    </xf>
    <xf numFmtId="0" fontId="47" fillId="43" borderId="0" xfId="0" applyFont="1" applyFill="1" applyAlignment="1">
      <alignment vertical="center"/>
    </xf>
    <xf numFmtId="0" fontId="47" fillId="44" borderId="0" xfId="0" applyFont="1" applyFill="1" applyAlignment="1">
      <alignment vertical="center"/>
    </xf>
    <xf numFmtId="0" fontId="47" fillId="44" borderId="0" xfId="0" applyFont="1" applyFill="1" applyAlignment="1">
      <alignment horizontal="center" vertical="center"/>
    </xf>
    <xf numFmtId="0" fontId="33" fillId="0" borderId="0" xfId="0" applyFont="1" applyAlignment="1">
      <alignment horizontal="left" wrapText="1"/>
    </xf>
    <xf numFmtId="0" fontId="33" fillId="40" borderId="0" xfId="0" applyFont="1" applyFill="1" applyAlignment="1">
      <alignment horizontal="center" wrapText="1"/>
    </xf>
    <xf numFmtId="0" fontId="33" fillId="31" borderId="0" xfId="0" applyFont="1" applyFill="1" applyAlignment="1">
      <alignment horizontal="center" wrapText="1"/>
    </xf>
    <xf numFmtId="0" fontId="33" fillId="35" borderId="0" xfId="0" applyFont="1" applyFill="1" applyAlignment="1">
      <alignment horizontal="center" wrapText="1"/>
    </xf>
    <xf numFmtId="0" fontId="33" fillId="25" borderId="0" xfId="0" applyFont="1" applyFill="1" applyAlignment="1">
      <alignment horizontal="center" wrapText="1"/>
    </xf>
    <xf numFmtId="0" fontId="50" fillId="40" borderId="23" xfId="0" applyFont="1" applyFill="1" applyBorder="1"/>
    <xf numFmtId="0" fontId="50" fillId="40" borderId="22" xfId="0" applyFont="1" applyFill="1" applyBorder="1"/>
    <xf numFmtId="0" fontId="50" fillId="40" borderId="24" xfId="0" applyFont="1" applyFill="1" applyBorder="1"/>
    <xf numFmtId="0" fontId="50" fillId="39" borderId="0" xfId="0" applyFont="1" applyFill="1"/>
    <xf numFmtId="0" fontId="50" fillId="39" borderId="0" xfId="0" applyFont="1" applyFill="1" applyAlignment="1">
      <alignment horizontal="right"/>
    </xf>
    <xf numFmtId="0" fontId="50" fillId="44" borderId="36" xfId="0" applyFont="1" applyFill="1" applyBorder="1" applyAlignment="1">
      <alignment horizontal="center" wrapText="1"/>
    </xf>
    <xf numFmtId="0" fontId="51" fillId="0" borderId="0" xfId="0" applyFont="1" applyAlignment="1">
      <alignment horizontal="center" wrapText="1"/>
    </xf>
    <xf numFmtId="0" fontId="50" fillId="32" borderId="0" xfId="0" applyFont="1" applyFill="1" applyAlignment="1">
      <alignment horizontal="center" wrapText="1"/>
    </xf>
    <xf numFmtId="0" fontId="50" fillId="44" borderId="37" xfId="0" applyFont="1" applyFill="1" applyBorder="1" applyAlignment="1">
      <alignment wrapText="1"/>
    </xf>
    <xf numFmtId="0" fontId="50" fillId="44" borderId="37" xfId="0" applyFont="1" applyFill="1" applyBorder="1" applyAlignment="1">
      <alignment horizontal="left" wrapText="1"/>
    </xf>
    <xf numFmtId="0" fontId="50" fillId="44" borderId="37" xfId="0" applyFont="1" applyFill="1" applyBorder="1" applyAlignment="1">
      <alignment horizontal="center" wrapText="1"/>
    </xf>
    <xf numFmtId="0" fontId="33" fillId="0" borderId="0" xfId="0" quotePrefix="1" applyFont="1" applyAlignment="1">
      <alignment horizontal="center"/>
    </xf>
    <xf numFmtId="3" fontId="50" fillId="44" borderId="37" xfId="28" applyNumberFormat="1" applyFont="1" applyFill="1" applyBorder="1" applyAlignment="1">
      <alignment horizontal="center" wrapText="1"/>
    </xf>
    <xf numFmtId="0" fontId="50" fillId="43" borderId="0" xfId="0" applyFont="1" applyFill="1"/>
    <xf numFmtId="43" fontId="32" fillId="0" borderId="0" xfId="28" quotePrefix="1" applyFont="1" applyAlignment="1">
      <alignment horizontal="right"/>
    </xf>
    <xf numFmtId="0" fontId="49" fillId="0" borderId="0" xfId="41" applyFont="1" applyAlignment="1">
      <alignment wrapText="1"/>
    </xf>
    <xf numFmtId="0" fontId="33" fillId="44" borderId="36" xfId="41" applyFont="1" applyFill="1" applyBorder="1" applyAlignment="1">
      <alignment horizontal="center" wrapText="1"/>
    </xf>
    <xf numFmtId="0" fontId="49" fillId="44" borderId="37" xfId="41" applyFont="1" applyFill="1" applyBorder="1" applyAlignment="1">
      <alignment wrapText="1"/>
    </xf>
    <xf numFmtId="0" fontId="33" fillId="44" borderId="37" xfId="41" applyFont="1" applyFill="1" applyBorder="1" applyAlignment="1">
      <alignment horizontal="center" wrapText="1"/>
    </xf>
    <xf numFmtId="0" fontId="50" fillId="34" borderId="0" xfId="0" applyFont="1" applyFill="1"/>
    <xf numFmtId="0" fontId="57" fillId="34" borderId="0" xfId="0" applyFont="1" applyFill="1"/>
    <xf numFmtId="0" fontId="50" fillId="36" borderId="0" xfId="0" applyFont="1" applyFill="1" applyAlignment="1">
      <alignment wrapText="1"/>
    </xf>
    <xf numFmtId="0" fontId="50" fillId="36" borderId="0" xfId="0" applyFont="1" applyFill="1"/>
    <xf numFmtId="169" fontId="50" fillId="26" borderId="0" xfId="0" applyNumberFormat="1" applyFont="1" applyFill="1" applyAlignment="1">
      <alignment horizontal="center" wrapText="1"/>
    </xf>
    <xf numFmtId="1" fontId="50" fillId="44" borderId="36" xfId="0" applyNumberFormat="1" applyFont="1" applyFill="1" applyBorder="1" applyAlignment="1">
      <alignment horizontal="center" wrapText="1"/>
    </xf>
    <xf numFmtId="0" fontId="50" fillId="34" borderId="0" xfId="0" applyFont="1" applyFill="1" applyAlignment="1">
      <alignment horizontal="center" wrapText="1"/>
    </xf>
    <xf numFmtId="1" fontId="50" fillId="44" borderId="37" xfId="0" applyNumberFormat="1" applyFont="1" applyFill="1" applyBorder="1" applyAlignment="1">
      <alignment horizontal="center" wrapText="1"/>
    </xf>
    <xf numFmtId="0" fontId="32" fillId="0" borderId="0" xfId="0" quotePrefix="1" applyFont="1" applyAlignment="1">
      <alignment horizontal="right"/>
    </xf>
    <xf numFmtId="0" fontId="55" fillId="0" borderId="35" xfId="0" quotePrefix="1" applyFont="1" applyBorder="1" applyAlignment="1">
      <alignment horizontal="right"/>
    </xf>
    <xf numFmtId="164" fontId="52" fillId="0" borderId="0" xfId="28" applyNumberFormat="1" applyFont="1" applyFill="1"/>
    <xf numFmtId="164" fontId="50" fillId="0" borderId="0" xfId="28" applyNumberFormat="1" applyFont="1" applyFill="1" applyAlignment="1">
      <alignment horizontal="center"/>
    </xf>
    <xf numFmtId="164" fontId="50" fillId="0" borderId="36" xfId="28" applyNumberFormat="1" applyFont="1" applyFill="1" applyBorder="1" applyAlignment="1">
      <alignment horizontal="center" wrapText="1"/>
    </xf>
    <xf numFmtId="164" fontId="32" fillId="0" borderId="0" xfId="28" applyNumberFormat="1" applyFont="1" applyFill="1"/>
    <xf numFmtId="0" fontId="50" fillId="40" borderId="22" xfId="0" applyFont="1" applyFill="1" applyBorder="1" applyAlignment="1">
      <alignment horizontal="left"/>
    </xf>
    <xf numFmtId="10" fontId="32" fillId="0" borderId="0" xfId="45" applyNumberFormat="1" applyFont="1" applyBorder="1" applyAlignment="1">
      <alignment horizontal="center"/>
    </xf>
    <xf numFmtId="0" fontId="50" fillId="44" borderId="26" xfId="0" applyFont="1" applyFill="1" applyBorder="1" applyAlignment="1">
      <alignment horizontal="center" wrapText="1"/>
    </xf>
    <xf numFmtId="0" fontId="50" fillId="44" borderId="25" xfId="0" applyFont="1" applyFill="1" applyBorder="1" applyAlignment="1">
      <alignment horizontal="center" wrapText="1"/>
    </xf>
    <xf numFmtId="2" fontId="32" fillId="0" borderId="0" xfId="0" applyNumberFormat="1" applyFont="1" applyAlignment="1">
      <alignment horizontal="right"/>
    </xf>
    <xf numFmtId="0" fontId="33" fillId="0" borderId="0" xfId="41" applyFont="1" applyAlignment="1">
      <alignment horizontal="center" wrapText="1"/>
    </xf>
    <xf numFmtId="0" fontId="33" fillId="26" borderId="0" xfId="41" applyFont="1" applyFill="1" applyAlignment="1">
      <alignment horizontal="center" wrapText="1"/>
    </xf>
    <xf numFmtId="0" fontId="33" fillId="39" borderId="0" xfId="41" applyFont="1" applyFill="1"/>
    <xf numFmtId="0" fontId="33" fillId="39" borderId="0" xfId="41" applyFont="1" applyFill="1" applyAlignment="1">
      <alignment horizontal="right"/>
    </xf>
    <xf numFmtId="3" fontId="33" fillId="44" borderId="36" xfId="41" applyNumberFormat="1" applyFont="1" applyFill="1" applyBorder="1" applyAlignment="1">
      <alignment horizontal="center" wrapText="1"/>
    </xf>
    <xf numFmtId="4" fontId="33" fillId="44" borderId="36" xfId="41" applyNumberFormat="1" applyFont="1" applyFill="1" applyBorder="1" applyAlignment="1">
      <alignment horizontal="center" wrapText="1"/>
    </xf>
    <xf numFmtId="0" fontId="36" fillId="44" borderId="37" xfId="41" applyFont="1" applyFill="1" applyBorder="1" applyAlignment="1">
      <alignment horizontal="center" wrapText="1"/>
    </xf>
    <xf numFmtId="0" fontId="81" fillId="0" borderId="0" xfId="0" applyFont="1" applyAlignment="1">
      <alignment vertical="top" wrapText="1"/>
    </xf>
    <xf numFmtId="0" fontId="92" fillId="29" borderId="0" xfId="0" quotePrefix="1" applyFont="1" applyFill="1" applyAlignment="1">
      <alignment vertical="top"/>
    </xf>
    <xf numFmtId="3" fontId="93" fillId="0" borderId="0" xfId="41" applyNumberFormat="1" applyFont="1" applyAlignment="1">
      <alignment horizontal="center"/>
    </xf>
    <xf numFmtId="0" fontId="93" fillId="0" borderId="0" xfId="0" applyFont="1"/>
    <xf numFmtId="0" fontId="94" fillId="0" borderId="0" xfId="0" applyFont="1"/>
    <xf numFmtId="0" fontId="95" fillId="0" borderId="0" xfId="41" applyFont="1"/>
    <xf numFmtId="0" fontId="93" fillId="29" borderId="0" xfId="0" applyFont="1" applyFill="1"/>
    <xf numFmtId="49" fontId="32" fillId="0" borderId="0" xfId="0" applyNumberFormat="1" applyFont="1" applyAlignment="1">
      <alignment vertical="top"/>
    </xf>
    <xf numFmtId="0" fontId="32" fillId="0" borderId="0" xfId="0" applyFont="1" applyAlignment="1">
      <alignment horizontal="left" vertical="top"/>
    </xf>
    <xf numFmtId="0" fontId="56" fillId="37" borderId="0" xfId="0" applyFont="1" applyFill="1" applyAlignment="1">
      <alignment horizontal="center"/>
    </xf>
    <xf numFmtId="0" fontId="32" fillId="37" borderId="0" xfId="35" applyFont="1" applyFill="1" applyAlignment="1" applyProtection="1">
      <alignment horizontal="center" vertical="center" wrapText="1"/>
    </xf>
    <xf numFmtId="1" fontId="54" fillId="32" borderId="0" xfId="0" applyNumberFormat="1" applyFont="1" applyFill="1" applyAlignment="1">
      <alignment horizontal="center" vertical="center"/>
    </xf>
    <xf numFmtId="0" fontId="54" fillId="32" borderId="0" xfId="0" applyFont="1" applyFill="1" applyAlignment="1">
      <alignment horizontal="center" vertical="center"/>
    </xf>
    <xf numFmtId="0" fontId="7" fillId="37" borderId="0" xfId="35" applyFill="1" applyAlignment="1" applyProtection="1">
      <alignment horizontal="center" vertical="center" wrapText="1"/>
    </xf>
    <xf numFmtId="0" fontId="46" fillId="37" borderId="0" xfId="0" applyFont="1" applyFill="1" applyAlignment="1">
      <alignment horizontal="center" vertical="center" wrapText="1"/>
    </xf>
    <xf numFmtId="0" fontId="53" fillId="0" borderId="22" xfId="35" applyFont="1" applyBorder="1" applyAlignment="1" applyProtection="1">
      <alignment horizontal="right" vertical="center" indent="1"/>
    </xf>
    <xf numFmtId="0" fontId="62" fillId="0" borderId="0" xfId="0" applyFont="1" applyAlignment="1">
      <alignment horizontal="left" vertical="center" wrapText="1"/>
    </xf>
    <xf numFmtId="0" fontId="34" fillId="0" borderId="0" xfId="0" applyFont="1" applyAlignment="1">
      <alignment horizontal="left"/>
    </xf>
    <xf numFmtId="0" fontId="37" fillId="0" borderId="0" xfId="0" applyFont="1" applyAlignment="1">
      <alignment horizontal="left" vertical="center" wrapText="1"/>
    </xf>
    <xf numFmtId="0" fontId="50" fillId="31" borderId="0" xfId="0" applyFont="1" applyFill="1" applyAlignment="1">
      <alignment horizontal="center" vertical="center" wrapText="1"/>
    </xf>
    <xf numFmtId="0" fontId="33" fillId="0" borderId="0" xfId="0" applyFont="1" applyAlignment="1">
      <alignment horizontal="center"/>
    </xf>
    <xf numFmtId="0" fontId="46" fillId="0" borderId="0" xfId="0" applyFont="1" applyAlignment="1">
      <alignment horizontal="center"/>
    </xf>
    <xf numFmtId="164" fontId="50" fillId="0" borderId="0" xfId="0" applyNumberFormat="1" applyFont="1" applyAlignment="1">
      <alignment horizontal="center" wrapText="1"/>
    </xf>
    <xf numFmtId="1" fontId="31" fillId="0" borderId="0" xfId="41" applyNumberFormat="1" applyFont="1" applyAlignment="1">
      <alignment horizontal="center"/>
    </xf>
    <xf numFmtId="0" fontId="36" fillId="0" borderId="0" xfId="0" applyFont="1" applyAlignment="1">
      <alignment horizontal="center" vertical="center"/>
    </xf>
    <xf numFmtId="0" fontId="32" fillId="0" borderId="0" xfId="0" applyFont="1" applyAlignment="1">
      <alignment horizontal="center"/>
    </xf>
    <xf numFmtId="14" fontId="32" fillId="0" borderId="0" xfId="0" applyNumberFormat="1" applyFont="1" applyAlignment="1">
      <alignment horizontal="center"/>
    </xf>
  </cellXfs>
  <cellStyles count="101">
    <cellStyle name="20% - Accent1" xfId="1" builtinId="30" customBuiltin="1"/>
    <cellStyle name="20% - Accent1 2" xfId="56" xr:uid="{97A7385D-40A5-43CD-9A73-E9CC84619EF8}"/>
    <cellStyle name="20% - Accent2" xfId="2" builtinId="34" customBuiltin="1"/>
    <cellStyle name="20% - Accent2 2" xfId="57" xr:uid="{23C59020-4FD3-4084-9107-8EC771F67C56}"/>
    <cellStyle name="20% - Accent3" xfId="3" builtinId="38" customBuiltin="1"/>
    <cellStyle name="20% - Accent3 2" xfId="58" xr:uid="{FBE14C6C-62AA-441A-BC02-512323F5ACB4}"/>
    <cellStyle name="20% - Accent4" xfId="4" builtinId="42" customBuiltin="1"/>
    <cellStyle name="20% - Accent4 2" xfId="59" xr:uid="{0D44382B-A43A-47C0-890F-BC34167C6535}"/>
    <cellStyle name="20% - Accent5" xfId="5" builtinId="46" customBuiltin="1"/>
    <cellStyle name="20% - Accent5 2" xfId="60" xr:uid="{366D7E9A-BD5B-44B5-9C2F-10B47C6E4792}"/>
    <cellStyle name="20% - Accent6" xfId="6" builtinId="50" customBuiltin="1"/>
    <cellStyle name="20% - Accent6 2" xfId="61" xr:uid="{B0DB816A-6D08-453C-8A4A-0CA26D076762}"/>
    <cellStyle name="40% - Accent1" xfId="7" builtinId="31" customBuiltin="1"/>
    <cellStyle name="40% - Accent1 2" xfId="62" xr:uid="{4F9019D3-3D9E-4FA4-8F1E-9709CB063020}"/>
    <cellStyle name="40% - Accent2" xfId="8" builtinId="35" customBuiltin="1"/>
    <cellStyle name="40% - Accent2 2" xfId="63" xr:uid="{EAB35DFA-5F6B-40F0-A47A-DCFB881CAC70}"/>
    <cellStyle name="40% - Accent3" xfId="9" builtinId="39" customBuiltin="1"/>
    <cellStyle name="40% - Accent3 2" xfId="64" xr:uid="{85D6C27A-0702-4C85-A4F8-030923F10DDA}"/>
    <cellStyle name="40% - Accent4" xfId="10" builtinId="43" customBuiltin="1"/>
    <cellStyle name="40% - Accent4 2" xfId="65" xr:uid="{3D1AF198-FF03-4235-A135-92C28E4345B3}"/>
    <cellStyle name="40% - Accent5" xfId="11" builtinId="47" customBuiltin="1"/>
    <cellStyle name="40% - Accent5 2" xfId="66" xr:uid="{3D684D02-2B80-4027-84F0-46E254385E55}"/>
    <cellStyle name="40% - Accent6" xfId="12" builtinId="51" customBuiltin="1"/>
    <cellStyle name="40% - Accent6 2" xfId="67" xr:uid="{ED76E08B-F495-4A2E-AC84-91783210BE35}"/>
    <cellStyle name="60% - Accent1" xfId="13" builtinId="32" customBuiltin="1"/>
    <cellStyle name="60% - Accent1 2" xfId="68" xr:uid="{7158C5E7-9C81-4F2F-A1F0-DDE4B48BED10}"/>
    <cellStyle name="60% - Accent2" xfId="14" builtinId="36" customBuiltin="1"/>
    <cellStyle name="60% - Accent2 2" xfId="69" xr:uid="{4DE04033-B8E5-40D5-8DA1-FA0C71AEAED2}"/>
    <cellStyle name="60% - Accent3" xfId="15" builtinId="40" customBuiltin="1"/>
    <cellStyle name="60% - Accent3 2" xfId="70" xr:uid="{780D0FC3-DB29-4458-85C7-E2990505FB2F}"/>
    <cellStyle name="60% - Accent4" xfId="16" builtinId="44" customBuiltin="1"/>
    <cellStyle name="60% - Accent4 2" xfId="71" xr:uid="{0058795A-F389-4C8D-813A-EC8CFDB43136}"/>
    <cellStyle name="60% - Accent5" xfId="17" builtinId="48" customBuiltin="1"/>
    <cellStyle name="60% - Accent5 2" xfId="72" xr:uid="{0511F26B-2D1F-442C-8567-D0317CA44029}"/>
    <cellStyle name="60% - Accent6" xfId="18" builtinId="52" customBuiltin="1"/>
    <cellStyle name="60% - Accent6 2" xfId="73" xr:uid="{A48D5BA7-FCD3-4923-97E9-AE83BDE9269D}"/>
    <cellStyle name="Accent1" xfId="19" builtinId="29" customBuiltin="1"/>
    <cellStyle name="Accent1 2" xfId="74" xr:uid="{DF2DF6B8-96FB-4059-A81F-5D2DB68DFDF1}"/>
    <cellStyle name="Accent2" xfId="20" builtinId="33" customBuiltin="1"/>
    <cellStyle name="Accent2 2" xfId="75" xr:uid="{92FC935F-8A8A-42FA-8A8B-AA530173C687}"/>
    <cellStyle name="Accent3" xfId="21" builtinId="37" customBuiltin="1"/>
    <cellStyle name="Accent3 2" xfId="76" xr:uid="{9EBED917-B0D0-4F80-B2DA-06A1FDE89982}"/>
    <cellStyle name="Accent4" xfId="22" builtinId="41" customBuiltin="1"/>
    <cellStyle name="Accent4 2" xfId="77" xr:uid="{EAB7FCB2-CF52-448B-B878-CC53DFA783BE}"/>
    <cellStyle name="Accent5" xfId="23" builtinId="45" customBuiltin="1"/>
    <cellStyle name="Accent5 2" xfId="78" xr:uid="{54CC8AB0-F88C-4058-8CB6-0F8E2425EBC4}"/>
    <cellStyle name="Accent6" xfId="24" builtinId="49" customBuiltin="1"/>
    <cellStyle name="Accent6 2" xfId="79" xr:uid="{B524CD79-F0FD-4658-A97E-B93962095003}"/>
    <cellStyle name="Bad" xfId="25" builtinId="27" customBuiltin="1"/>
    <cellStyle name="Bad 2" xfId="80" xr:uid="{59416ACE-3F9A-4E34-8EFE-A74F985DAE4B}"/>
    <cellStyle name="Calculation" xfId="26" builtinId="22" customBuiltin="1"/>
    <cellStyle name="Calculation 2" xfId="81" xr:uid="{0F899690-831C-44EC-8764-A53C33919016}"/>
    <cellStyle name="Check Cell" xfId="27" builtinId="23" customBuiltin="1"/>
    <cellStyle name="Check Cell 2" xfId="82" xr:uid="{BA279B68-EE34-42FE-9FF8-E4D45CE0C690}"/>
    <cellStyle name="Comma" xfId="28" builtinId="3"/>
    <cellStyle name="Comma 2" xfId="50" xr:uid="{00000000-0005-0000-0000-00001C000000}"/>
    <cellStyle name="Comma 2 2" xfId="100" xr:uid="{90CDEFCB-F1FC-49EB-BE18-1564B9892F7A}"/>
    <cellStyle name="Comma 2 3" xfId="54" xr:uid="{8C9792AC-907E-4663-BC13-D22246943E36}"/>
    <cellStyle name="Explanatory Text" xfId="29" builtinId="53" customBuiltin="1"/>
    <cellStyle name="Explanatory Text 2" xfId="83" xr:uid="{AF3DA1C2-A8B2-4887-A51A-04577DB631C2}"/>
    <cellStyle name="Good" xfId="30" builtinId="26" customBuiltin="1"/>
    <cellStyle name="Good 2" xfId="84" xr:uid="{2C7E77E8-13DA-4D2D-827E-D9EB695E01D8}"/>
    <cellStyle name="Heading 1" xfId="31" builtinId="16" customBuiltin="1"/>
    <cellStyle name="Heading 1 2" xfId="85" xr:uid="{42AD6868-55F2-415C-B94F-03ED878884B7}"/>
    <cellStyle name="Heading 2" xfId="32" builtinId="17" customBuiltin="1"/>
    <cellStyle name="Heading 2 2" xfId="86" xr:uid="{4701CDBF-714D-45B8-8DB2-59744903FE2D}"/>
    <cellStyle name="Heading 3" xfId="33" builtinId="18" customBuiltin="1"/>
    <cellStyle name="Heading 3 2" xfId="87" xr:uid="{C707CAB5-6C02-431A-B6F1-9F3F6CD68F35}"/>
    <cellStyle name="Heading 4" xfId="34" builtinId="19" customBuiltin="1"/>
    <cellStyle name="Heading 4 2" xfId="88" xr:uid="{14AFAD5D-EAF2-4884-B405-92513C1E4F3D}"/>
    <cellStyle name="Hyperlink" xfId="35" builtinId="8"/>
    <cellStyle name="Input" xfId="36" builtinId="20" customBuiltin="1"/>
    <cellStyle name="Input 2" xfId="89" xr:uid="{B99C15B3-F96B-4A67-8C3C-03D92B6D2E85}"/>
    <cellStyle name="Linked Cell" xfId="37" builtinId="24" customBuiltin="1"/>
    <cellStyle name="Linked Cell 2" xfId="90" xr:uid="{BFA9B5A0-2426-45C8-80D4-8F862DD314E1}"/>
    <cellStyle name="Neutral" xfId="38" builtinId="28" customBuiltin="1"/>
    <cellStyle name="Neutral 2" xfId="91" xr:uid="{F388953E-D0C4-47D6-A8EC-0B35C376028E}"/>
    <cellStyle name="Normal" xfId="0" builtinId="0"/>
    <cellStyle name="Normal 2" xfId="39" xr:uid="{00000000-0005-0000-0000-000028000000}"/>
    <cellStyle name="Normal 2 2" xfId="92" xr:uid="{CD360F0C-E95E-4834-8E14-92577E34DC9E}"/>
    <cellStyle name="Normal 2 3" xfId="53" xr:uid="{F6C25945-97D9-4E39-B3D1-A53DB6426253}"/>
    <cellStyle name="Normal 3" xfId="49" xr:uid="{00000000-0005-0000-0000-000029000000}"/>
    <cellStyle name="Normal 3 2" xfId="99" xr:uid="{C41E61C3-5863-4C92-B7FC-323558AAB50D}"/>
    <cellStyle name="Normal 4" xfId="51" xr:uid="{00000000-0005-0000-0000-00002A000000}"/>
    <cellStyle name="Normal 5" xfId="55" xr:uid="{A094DB12-6586-4394-827D-0F91E94BEB95}"/>
    <cellStyle name="Normal 6" xfId="52" xr:uid="{AB51DF28-91A0-4B64-B3E2-1A3FD5F0B43C}"/>
    <cellStyle name="Normal_05 - OCT rate" xfId="40" xr:uid="{00000000-0005-0000-0000-00002B000000}"/>
    <cellStyle name="Normal_a&amp;f newfound07" xfId="41" xr:uid="{00000000-0005-0000-0000-00002C000000}"/>
    <cellStyle name="Normal_leas" xfId="42" xr:uid="{00000000-0005-0000-0000-00002D000000}"/>
    <cellStyle name="Note" xfId="43" builtinId="10" customBuiltin="1"/>
    <cellStyle name="Note 2" xfId="93" xr:uid="{262D3E43-0823-4429-9336-08C5227860FD}"/>
    <cellStyle name="Output" xfId="44" builtinId="21" customBuiltin="1"/>
    <cellStyle name="Output 2" xfId="94" xr:uid="{5D546E3D-3D6C-4DA4-B0C3-F6591CB57215}"/>
    <cellStyle name="Percent" xfId="45" builtinId="5"/>
    <cellStyle name="Percent 2" xfId="95" xr:uid="{7D49FBD5-C220-41A3-961E-73AB957733BA}"/>
    <cellStyle name="Title" xfId="46" builtinId="15" customBuiltin="1"/>
    <cellStyle name="Title 2" xfId="96" xr:uid="{DDF9565D-8A0F-4EBA-B4E0-173F035961E6}"/>
    <cellStyle name="Total" xfId="47" builtinId="25" customBuiltin="1"/>
    <cellStyle name="Total 2" xfId="97" xr:uid="{382DA175-CF4A-4043-BA1F-475A18A20F6E}"/>
    <cellStyle name="Warning Text" xfId="48" builtinId="11" customBuiltin="1"/>
    <cellStyle name="Warning Text 2" xfId="98" xr:uid="{E57CDDC3-531B-4AB1-B5B4-96729BA2F4B1}"/>
  </cellStyles>
  <dxfs count="937">
    <dxf>
      <font>
        <b val="0"/>
        <i val="0"/>
        <strike val="0"/>
        <condense val="0"/>
        <extend val="0"/>
        <outline val="0"/>
        <shadow val="0"/>
        <u val="none"/>
        <vertAlign val="baseline"/>
        <sz val="10"/>
        <color auto="1"/>
        <name val="Calibri"/>
        <family val="2"/>
        <scheme val="minor"/>
      </font>
      <numFmt numFmtId="14" formatCode="0.00%"/>
      <fill>
        <patternFill patternType="none">
          <fgColor indexed="64"/>
          <bgColor indexed="65"/>
        </patternFill>
      </fill>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numFmt numFmtId="175" formatCode="0.000"/>
    </dxf>
    <dxf>
      <font>
        <b val="0"/>
        <i val="0"/>
        <strike val="0"/>
        <condense val="0"/>
        <extend val="0"/>
        <outline val="0"/>
        <shadow val="0"/>
        <u val="none"/>
        <vertAlign val="baseline"/>
        <sz val="10"/>
        <color auto="1"/>
        <name val="Calibri"/>
        <family val="2"/>
        <scheme val="minor"/>
      </font>
      <numFmt numFmtId="5" formatCode="#,##0_);\(#,##0\)"/>
      <fill>
        <patternFill patternType="none">
          <fgColor indexed="64"/>
          <bgColor indexed="65"/>
        </patternFill>
      </fill>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theme="9" tint="0.39994506668294322"/>
        </patternFill>
      </fill>
    </dxf>
    <dxf>
      <fill>
        <patternFill>
          <bgColor theme="9" tint="0.39994506668294322"/>
        </patternFill>
      </fill>
    </dxf>
    <dxf>
      <font>
        <b/>
        <i val="0"/>
        <condense val="0"/>
        <extend val="0"/>
        <color indexed="8"/>
      </font>
      <fill>
        <patternFill>
          <bgColor indexed="29"/>
        </patternFill>
      </fill>
    </dxf>
    <dxf>
      <font>
        <b/>
        <i val="0"/>
        <condense val="0"/>
        <extend val="0"/>
        <color indexed="8"/>
      </font>
      <fill>
        <patternFill>
          <bgColor indexed="29"/>
        </patternFill>
      </fill>
    </dxf>
    <dxf>
      <font>
        <b/>
        <i val="0"/>
        <condense val="0"/>
        <extend val="0"/>
        <color indexed="8"/>
      </font>
      <fill>
        <patternFill>
          <bgColor indexed="29"/>
        </patternFill>
      </fill>
    </dxf>
    <dxf>
      <font>
        <b/>
        <i val="0"/>
        <condense val="0"/>
        <extend val="0"/>
        <color indexed="8"/>
      </font>
      <fill>
        <patternFill>
          <bgColor indexed="29"/>
        </patternFill>
      </fill>
    </dxf>
    <dxf>
      <font>
        <b/>
        <i val="0"/>
        <condense val="0"/>
        <extend val="0"/>
        <color indexed="8"/>
      </font>
      <fill>
        <patternFill>
          <bgColor indexed="29"/>
        </patternFill>
      </fill>
    </dxf>
    <dxf>
      <font>
        <b/>
        <i val="0"/>
        <condense val="0"/>
        <extend val="0"/>
        <color indexed="8"/>
      </font>
      <fill>
        <patternFill>
          <bgColor indexed="29"/>
        </patternFill>
      </fill>
    </dxf>
    <dxf>
      <fill>
        <patternFill>
          <bgColor indexed="29"/>
        </patternFill>
      </fill>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font>
        <name val="Calibri"/>
        <family val="2"/>
        <scheme val="minor"/>
      </font>
    </dxf>
    <dxf>
      <numFmt numFmtId="3" formatCode="#,##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14" formatCode="0.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5" formatCode="#,##0_);\(#,##0\)"/>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strike val="0"/>
        <condense val="0"/>
        <extend val="0"/>
        <outline val="0"/>
        <shadow val="0"/>
        <u val="none"/>
        <vertAlign val="baseline"/>
        <sz val="10"/>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val="0"/>
        <strike val="0"/>
        <condense val="0"/>
        <extend val="0"/>
        <outline val="0"/>
        <shadow val="0"/>
        <u val="none"/>
        <vertAlign val="baseline"/>
        <sz val="10"/>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2" formatCode="0.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14" formatCode="0.00%"/>
    </dxf>
    <dxf>
      <font>
        <b val="0"/>
        <i val="0"/>
        <strike val="0"/>
        <condense val="0"/>
        <extend val="0"/>
        <outline val="0"/>
        <shadow val="0"/>
        <u val="none"/>
        <vertAlign val="baseline"/>
        <sz val="10"/>
        <color auto="1"/>
        <name val="Calibri"/>
        <family val="2"/>
        <scheme val="minor"/>
      </font>
      <numFmt numFmtId="4" formatCode="#,##0.00"/>
    </dxf>
    <dxf>
      <font>
        <b val="0"/>
        <i val="0"/>
        <strike val="0"/>
        <condense val="0"/>
        <extend val="0"/>
        <outline val="0"/>
        <shadow val="0"/>
        <u val="none"/>
        <vertAlign val="baseline"/>
        <sz val="10"/>
        <color auto="1"/>
        <name val="Calibri"/>
        <family val="2"/>
        <scheme val="minor"/>
      </font>
      <numFmt numFmtId="14" formatCode="0.00%"/>
    </dxf>
    <dxf>
      <font>
        <b val="0"/>
        <i val="0"/>
        <strike val="0"/>
        <condense val="0"/>
        <extend val="0"/>
        <outline val="0"/>
        <shadow val="0"/>
        <u val="none"/>
        <vertAlign val="baseline"/>
        <sz val="10"/>
        <color auto="1"/>
        <name val="Calibri"/>
        <family val="2"/>
        <scheme val="minor"/>
      </font>
      <numFmt numFmtId="14" formatCode="0.00%"/>
      <alignment horizontal="left" vertical="bottom"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dxf>
    <dxf>
      <border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family val="2"/>
        <scheme val="minor"/>
      </font>
    </dxf>
    <dxf>
      <border outline="0">
        <bottom style="thin">
          <color auto="1"/>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2" formatCode="0.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4" formatCode="#,##0.00"/>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8" tint="0.59999389629810485"/>
        </patternFill>
      </fill>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14" formatCode="0.00%"/>
    </dxf>
    <dxf>
      <font>
        <b val="0"/>
        <i val="0"/>
        <strike val="0"/>
        <condense val="0"/>
        <extend val="0"/>
        <outline val="0"/>
        <shadow val="0"/>
        <u val="none"/>
        <vertAlign val="baseline"/>
        <sz val="10"/>
        <color auto="1"/>
        <name val="Calibri"/>
        <family val="2"/>
        <scheme val="minor"/>
      </font>
      <numFmt numFmtId="2" formatCode="0.00"/>
    </dxf>
    <dxf>
      <font>
        <b val="0"/>
        <i val="0"/>
        <strike val="0"/>
        <condense val="0"/>
        <extend val="0"/>
        <outline val="0"/>
        <shadow val="0"/>
        <u val="none"/>
        <vertAlign val="baseline"/>
        <sz val="10"/>
        <color auto="1"/>
        <name val="Calibri"/>
        <family val="2"/>
        <scheme val="minor"/>
      </font>
      <numFmt numFmtId="2" formatCode="0.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14" formatCode="0.00%"/>
      <fill>
        <patternFill patternType="solid">
          <fgColor indexed="64"/>
          <bgColor theme="4" tint="0.79998168889431442"/>
        </patternFill>
      </fill>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9" tint="0.59999389629810485"/>
        </patternFill>
      </fill>
    </dxf>
    <dxf>
      <font>
        <b val="0"/>
        <i val="0"/>
        <strike val="0"/>
        <condense val="0"/>
        <extend val="0"/>
        <outline val="0"/>
        <shadow val="0"/>
        <u val="none"/>
        <vertAlign val="baseline"/>
        <sz val="10"/>
        <color auto="1"/>
        <name val="Calibri"/>
        <family val="2"/>
        <scheme val="minor"/>
      </font>
      <fill>
        <patternFill patternType="solid">
          <fgColor indexed="64"/>
          <bgColor theme="9" tint="0.59999389629810485"/>
        </patternFill>
      </fill>
    </dxf>
    <dxf>
      <font>
        <b/>
        <i val="0"/>
        <strike val="0"/>
        <condense val="0"/>
        <extend val="0"/>
        <outline val="0"/>
        <shadow val="0"/>
        <u val="none"/>
        <vertAlign val="baseline"/>
        <sz val="9"/>
        <color auto="1"/>
        <name val="Calibri"/>
        <family val="2"/>
        <scheme val="minor"/>
      </font>
      <fill>
        <patternFill patternType="solid">
          <fgColor indexed="64"/>
          <bgColor theme="9" tint="0.79998168889431442"/>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Calibri"/>
        <family val="2"/>
        <scheme val="minor"/>
      </font>
      <numFmt numFmtId="4" formatCode="#,##0.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169" formatCode="0.0%"/>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8" tint="0.59999389629810485"/>
        </patternFill>
      </fill>
    </dxf>
    <dxf>
      <font>
        <b val="0"/>
        <i val="0"/>
        <strike val="0"/>
        <condense val="0"/>
        <extend val="0"/>
        <outline val="0"/>
        <shadow val="0"/>
        <u val="none"/>
        <vertAlign val="baseline"/>
        <sz val="10"/>
        <color auto="1"/>
        <name val="Calibri"/>
        <family val="2"/>
        <scheme val="minor"/>
      </font>
      <numFmt numFmtId="164" formatCode="_(* #,##0_);_(* \(#,##0\);_(* &quot;-&quot;??_);_(@_)"/>
    </dxf>
    <dxf>
      <font>
        <b val="0"/>
        <i val="0"/>
        <strike val="0"/>
        <condense val="0"/>
        <extend val="0"/>
        <outline val="0"/>
        <shadow val="0"/>
        <u val="none"/>
        <vertAlign val="baseline"/>
        <sz val="10"/>
        <color auto="1"/>
        <name val="Calibri"/>
        <family val="2"/>
        <scheme val="minor"/>
      </font>
      <numFmt numFmtId="164" formatCode="_(* #,##0_);_(* \(#,##0\);_(* &quot;-&quot;??_);_(@_)"/>
    </dxf>
    <dxf>
      <font>
        <b val="0"/>
        <i val="0"/>
        <strike val="0"/>
        <condense val="0"/>
        <extend val="0"/>
        <outline val="0"/>
        <shadow val="0"/>
        <u val="none"/>
        <vertAlign val="baseline"/>
        <sz val="10"/>
        <color auto="1"/>
        <name val="Calibri"/>
        <family val="2"/>
        <scheme val="minor"/>
      </font>
      <numFmt numFmtId="164" formatCode="_(* #,##0_);_(* \(#,##0\);_(* &quot;-&quot;??_);_(@_)"/>
    </dxf>
    <dxf>
      <font>
        <b val="0"/>
        <i val="0"/>
        <strike val="0"/>
        <condense val="0"/>
        <extend val="0"/>
        <outline val="0"/>
        <shadow val="0"/>
        <u val="none"/>
        <vertAlign val="baseline"/>
        <sz val="10"/>
        <color auto="1"/>
        <name val="Calibri"/>
        <family val="2"/>
        <scheme val="minor"/>
      </font>
      <numFmt numFmtId="164" formatCode="_(* #,##0_);_(* \(#,##0\);_(* &quot;-&quot;??_);_(@_)"/>
    </dxf>
    <dxf>
      <font>
        <b val="0"/>
        <i val="0"/>
        <strike val="0"/>
        <condense val="0"/>
        <extend val="0"/>
        <outline val="0"/>
        <shadow val="0"/>
        <u val="none"/>
        <vertAlign val="baseline"/>
        <sz val="10"/>
        <color auto="1"/>
        <name val="Calibri"/>
        <family val="2"/>
        <scheme val="minor"/>
      </font>
      <numFmt numFmtId="164" formatCode="_(* #,##0_);_(* \(#,##0\);_(* &quot;-&quot;??_);_(@_)"/>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0"/>
        <color auto="1"/>
        <name val="Calibri"/>
        <family val="2"/>
        <scheme val="none"/>
      </font>
      <numFmt numFmtId="4" formatCode="#,##0.00"/>
    </dxf>
    <dxf>
      <font>
        <b val="0"/>
        <i val="0"/>
        <strike val="0"/>
        <condense val="0"/>
        <extend val="0"/>
        <outline val="0"/>
        <shadow val="0"/>
        <u val="none"/>
        <vertAlign val="baseline"/>
        <sz val="12"/>
        <color auto="1"/>
        <name val="Calibri"/>
        <family val="2"/>
        <scheme val="minor"/>
      </font>
    </dxf>
    <dxf>
      <border outline="0">
        <top style="thin">
          <color indexed="64"/>
        </top>
      </border>
    </dxf>
    <dxf>
      <font>
        <b val="0"/>
        <i val="0"/>
        <strike val="0"/>
        <condense val="0"/>
        <extend val="0"/>
        <outline val="0"/>
        <shadow val="0"/>
        <u val="none"/>
        <vertAlign val="baseline"/>
        <sz val="10"/>
        <color auto="1"/>
        <name val="Calibri"/>
        <family val="2"/>
        <scheme val="none"/>
      </font>
    </dxf>
    <dxf>
      <border outline="0">
        <bottom style="thin">
          <color indexed="64"/>
        </bottom>
      </border>
    </dxf>
    <dxf>
      <font>
        <b/>
        <i val="0"/>
        <strike val="0"/>
        <condense val="0"/>
        <extend val="0"/>
        <outline val="0"/>
        <shadow val="0"/>
        <u val="none"/>
        <vertAlign val="baseline"/>
        <sz val="10"/>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border outline="0">
        <left style="thin">
          <color auto="1"/>
        </left>
        <right style="thin">
          <color auto="1"/>
        </right>
        <bottom style="thin">
          <color indexed="64"/>
        </bottom>
      </border>
    </dxf>
    <dxf>
      <font>
        <b val="0"/>
        <i val="0"/>
        <strike val="0"/>
        <condense val="0"/>
        <extend val="0"/>
        <outline val="0"/>
        <shadow val="0"/>
        <u val="none"/>
        <vertAlign val="baseline"/>
        <sz val="10"/>
        <color auto="1"/>
        <name val="Calibri"/>
        <family val="2"/>
        <scheme val="minor"/>
      </font>
    </dxf>
    <dxf>
      <font>
        <b/>
        <i val="0"/>
        <strike val="0"/>
        <condense val="0"/>
        <extend val="0"/>
        <outline val="0"/>
        <shadow val="0"/>
        <u val="none"/>
        <vertAlign val="baseline"/>
        <sz val="9"/>
        <color auto="1"/>
        <name val="Calibri"/>
        <family val="2"/>
        <scheme val="minor"/>
      </font>
      <alignment horizontal="center" vertical="bottom" textRotation="0" wrapText="1" indent="0" justifyLastLine="0" shrinkToFit="0" readingOrder="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dxf>
    <dxf>
      <font>
        <b/>
        <i val="0"/>
        <strike val="0"/>
        <condense val="0"/>
        <extend val="0"/>
        <outline val="0"/>
        <shadow val="0"/>
        <u val="none"/>
        <vertAlign val="baseline"/>
        <sz val="9"/>
        <color auto="1"/>
        <name val="Calibri"/>
        <family val="2"/>
        <scheme val="minor"/>
      </font>
      <fill>
        <patternFill patternType="solid">
          <fgColor indexed="64"/>
          <bgColor rgb="FFFFC000"/>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7" formatCode="#,##0.00_);\(#,##0.0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168" formatCode="#,##0.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numFmt numFmtId="5" formatCode="#,##0_);\(#,##0\)"/>
      <fill>
        <patternFill patternType="solid">
          <fgColor indexed="64"/>
          <bgColor theme="8" tint="0.59999389629810485"/>
        </patternFill>
      </fill>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7" tint="0.79998168889431442"/>
        </patternFill>
      </fill>
    </dxf>
    <dxf>
      <font>
        <b val="0"/>
        <i val="0"/>
        <strike val="0"/>
        <condense val="0"/>
        <extend val="0"/>
        <outline val="0"/>
        <shadow val="0"/>
        <u val="none"/>
        <vertAlign val="baseline"/>
        <sz val="10"/>
        <color auto="1"/>
        <name val="Calibri"/>
        <family val="2"/>
        <scheme val="minor"/>
      </font>
      <numFmt numFmtId="5" formatCode="#,##0_);\(#,##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2" formatCode="0.00"/>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8" tint="0.59999389629810485"/>
        </patternFill>
      </fill>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numFmt numFmtId="5" formatCode="#,##0_);\(#,##0\)"/>
      <fill>
        <patternFill patternType="solid">
          <fgColor indexed="64"/>
          <bgColor theme="9" tint="0.59999389629810485"/>
        </patternFill>
      </fill>
    </dxf>
    <dxf>
      <border outline="0">
        <top style="thin">
          <color indexed="64"/>
        </top>
      </border>
    </dxf>
    <dxf>
      <font>
        <b val="0"/>
        <i val="0"/>
        <strike val="0"/>
        <condense val="0"/>
        <extend val="0"/>
        <outline val="0"/>
        <shadow val="0"/>
        <u val="none"/>
        <vertAlign val="baseline"/>
        <sz val="10"/>
        <color auto="1"/>
        <name val="Calibri"/>
        <family val="2"/>
        <scheme val="minor"/>
      </font>
      <fill>
        <patternFill patternType="solid">
          <fgColor indexed="64"/>
          <bgColor theme="9" tint="0.59999389629810485"/>
        </patternFill>
      </fill>
    </dxf>
    <dxf>
      <border outline="0">
        <bottom style="thin">
          <color indexed="64"/>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numFmt numFmtId="3" formatCode="#,##0"/>
    </dxf>
    <dxf>
      <font>
        <b val="0"/>
        <i val="0"/>
        <strike val="0"/>
        <condense val="0"/>
        <extend val="0"/>
        <outline val="0"/>
        <shadow val="0"/>
        <u val="none"/>
        <vertAlign val="baseline"/>
        <sz val="10"/>
        <color auto="1"/>
        <name val="Calibri"/>
        <family val="2"/>
        <scheme val="minor"/>
      </font>
      <alignment horizontal="center" textRotation="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border outline="0">
        <top style="thin">
          <color indexed="64"/>
        </top>
      </border>
    </dxf>
    <dxf>
      <font>
        <b val="0"/>
        <i val="0"/>
        <strike val="0"/>
        <condense val="0"/>
        <extend val="0"/>
        <outline val="0"/>
        <shadow val="0"/>
        <u val="none"/>
        <vertAlign val="baseline"/>
        <sz val="10"/>
        <color auto="1"/>
        <name val="Calibri"/>
        <family val="2"/>
        <scheme val="minor"/>
      </font>
    </dxf>
    <dxf>
      <border outline="0">
        <bottom style="thin">
          <color indexed="64"/>
        </bottom>
      </border>
    </dxf>
    <dxf>
      <font>
        <b/>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59999389629810485"/>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59999389629810485"/>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59999389629810485"/>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59999389629810485"/>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79998168889431442"/>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79998168889431442"/>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4" tint="0.79998168889431442"/>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0.14999847407452621"/>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0.14999847407452621"/>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0.14999847407452621"/>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4.9989318521683403E-2"/>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4.9989318521683403E-2"/>
        </patternFill>
      </fill>
    </dxf>
    <dxf>
      <font>
        <b val="0"/>
        <i val="0"/>
        <strike val="0"/>
        <condense val="0"/>
        <extend val="0"/>
        <outline val="0"/>
        <shadow val="0"/>
        <u val="none"/>
        <vertAlign val="baseline"/>
        <sz val="10"/>
        <color auto="1"/>
        <name val="Calibri"/>
        <family val="2"/>
        <scheme val="minor"/>
      </font>
      <numFmt numFmtId="3" formatCode="#,##0"/>
      <fill>
        <patternFill patternType="solid">
          <fgColor indexed="64"/>
          <bgColor theme="0" tint="-4.9989318521683403E-2"/>
        </patternFill>
      </fill>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dxf>
    <dxf>
      <font>
        <b/>
        <i val="0"/>
        <strike val="0"/>
        <condense val="0"/>
        <extend val="0"/>
        <outline val="0"/>
        <shadow val="0"/>
        <u val="none"/>
        <vertAlign val="baseline"/>
        <sz val="10"/>
        <color auto="1"/>
        <name val="Calibri"/>
        <family val="2"/>
        <scheme val="minor"/>
      </font>
      <fill>
        <patternFill patternType="solid">
          <fgColor indexed="64"/>
          <bgColor theme="4" tint="0.59999389629810485"/>
        </patternFill>
      </fill>
      <alignment horizontal="center" vertical="bottom" textRotation="0" wrapText="1" indent="0" justifyLastLine="0" shrinkToFit="0" readingOrder="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dxf>
    <dxf>
      <font>
        <b/>
        <i val="0"/>
        <strike val="0"/>
        <condense val="0"/>
        <extend val="0"/>
        <outline val="0"/>
        <shadow val="0"/>
        <u val="none"/>
        <vertAlign val="baseline"/>
        <sz val="14"/>
        <color auto="1"/>
        <name val="Calibri"/>
        <family val="2"/>
        <scheme val="minor"/>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numFmt numFmtId="3" formatCode="#,##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dxf>
    <dxf>
      <font>
        <b/>
        <i val="0"/>
        <strike val="0"/>
        <condense val="0"/>
        <extend val="0"/>
        <outline val="0"/>
        <shadow val="0"/>
        <u val="none"/>
        <vertAlign val="baseline"/>
        <sz val="14"/>
        <color auto="1"/>
        <name val="Calibri"/>
        <family val="2"/>
        <scheme val="minor"/>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66" formatCode="0.0"/>
      <fill>
        <patternFill patternType="solid">
          <fgColor indexed="64"/>
          <bgColor theme="9" tint="0.79998168889431442"/>
        </patternFill>
      </fill>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6"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font>
        <b val="0"/>
        <i val="0"/>
        <strike val="0"/>
        <condense val="0"/>
        <extend val="0"/>
        <outline val="0"/>
        <shadow val="0"/>
        <u val="none"/>
        <vertAlign val="baseline"/>
        <sz val="8"/>
        <color auto="1"/>
        <name val="Calibri"/>
        <family val="2"/>
        <scheme val="minor"/>
      </font>
      <numFmt numFmtId="168" formatCode="#,##0.0"/>
      <border diagonalUp="0" diagonalDown="0">
        <left/>
        <right/>
        <top style="thin">
          <color indexed="64"/>
        </top>
        <bottom/>
        <vertical/>
        <horizontal/>
      </border>
    </dxf>
    <dxf>
      <border outline="0">
        <bottom style="thin">
          <color indexed="64"/>
        </bottom>
      </border>
    </dxf>
    <dxf>
      <font>
        <b val="0"/>
        <i val="0"/>
        <strike val="0"/>
        <condense val="0"/>
        <extend val="0"/>
        <outline val="0"/>
        <shadow val="0"/>
        <u val="none"/>
        <vertAlign val="baseline"/>
        <sz val="8"/>
        <color auto="1"/>
        <name val="Calibri"/>
        <family val="2"/>
        <scheme val="minor"/>
      </font>
    </dxf>
    <dxf>
      <font>
        <b/>
        <i val="0"/>
        <strike val="0"/>
        <condense val="0"/>
        <extend val="0"/>
        <outline val="0"/>
        <shadow val="0"/>
        <u val="none"/>
        <vertAlign val="baseline"/>
        <sz val="8"/>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168" formatCode="#,##0.0"/>
      <fill>
        <patternFill patternType="solid">
          <fgColor indexed="64"/>
          <bgColor theme="9" tint="0.79998168889431442"/>
        </patternFill>
      </fill>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6" formatCode="0.0"/>
    </dxf>
    <dxf>
      <font>
        <b val="0"/>
        <i val="0"/>
        <strike val="0"/>
        <condense val="0"/>
        <extend val="0"/>
        <outline val="0"/>
        <shadow val="0"/>
        <u val="none"/>
        <vertAlign val="baseline"/>
        <sz val="8"/>
        <color auto="1"/>
        <name val="Calibri"/>
        <family val="2"/>
        <scheme val="minor"/>
      </font>
      <numFmt numFmtId="168" formatCode="#,##0.0"/>
    </dxf>
    <dxf>
      <font>
        <b val="0"/>
        <i val="0"/>
        <strike val="0"/>
        <condense val="0"/>
        <extend val="0"/>
        <outline val="0"/>
        <shadow val="0"/>
        <u val="none"/>
        <vertAlign val="baseline"/>
        <sz val="8"/>
        <color auto="1"/>
        <name val="Calibri"/>
        <family val="2"/>
        <scheme val="minor"/>
      </font>
      <numFmt numFmtId="168" formatCode="#,##0.0"/>
    </dxf>
    <dxf>
      <font>
        <b val="0"/>
        <i/>
        <strike val="0"/>
        <condense val="0"/>
        <extend val="0"/>
        <outline val="0"/>
        <shadow val="0"/>
        <u val="none"/>
        <vertAlign val="baseline"/>
        <sz val="8"/>
        <color auto="1"/>
        <name val="Calibri"/>
        <family val="2"/>
        <scheme val="minor"/>
      </font>
    </dxf>
    <dxf>
      <font>
        <b val="0"/>
        <i val="0"/>
        <strike val="0"/>
        <condense val="0"/>
        <extend val="0"/>
        <outline val="0"/>
        <shadow val="0"/>
        <u val="none"/>
        <vertAlign val="baseline"/>
        <sz val="8"/>
        <color auto="1"/>
        <name val="Calibri"/>
        <family val="2"/>
        <scheme val="minor"/>
      </font>
    </dxf>
    <dxf>
      <border outline="0">
        <bottom style="thin">
          <color indexed="64"/>
        </bottom>
      </border>
    </dxf>
    <dxf>
      <font>
        <b/>
        <i val="0"/>
        <strike val="0"/>
        <condense val="0"/>
        <extend val="0"/>
        <outline val="0"/>
        <shadow val="0"/>
        <u val="none"/>
        <vertAlign val="baseline"/>
        <sz val="8"/>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4" formatCode="0.00%"/>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9"/>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fill>
        <patternFill patternType="none">
          <fgColor indexed="64"/>
          <bgColor indexed="65"/>
        </patternFill>
      </fill>
    </dxf>
    <dxf>
      <border outline="0">
        <left style="thin">
          <color auto="1"/>
        </left>
        <right style="thin">
          <color auto="1"/>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border diagonalUp="0" diagonalDown="0">
        <left style="dashed">
          <color auto="1"/>
        </left>
        <right/>
        <top/>
        <bottom/>
        <vertical/>
        <horizontal/>
      </border>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5" formatCode="#,##0_);\(#,##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border outline="0">
        <top style="thin">
          <color indexed="64"/>
        </top>
      </border>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family val="2"/>
        <scheme val="minor"/>
      </font>
      <fill>
        <patternFill patternType="solid">
          <fgColor indexed="64"/>
          <bgColor theme="0"/>
        </patternFill>
      </fill>
    </dxf>
    <dxf>
      <font>
        <b val="0"/>
        <i val="0"/>
        <strike val="0"/>
        <condense val="0"/>
        <extend val="0"/>
        <outline val="0"/>
        <shadow val="0"/>
        <u val="none"/>
        <vertAlign val="baseline"/>
        <sz val="10"/>
        <color auto="1"/>
        <name val="Calibri"/>
        <family val="2"/>
        <scheme val="minor"/>
      </font>
      <fill>
        <patternFill patternType="solid">
          <fgColor indexed="64"/>
          <bgColor theme="0"/>
        </patternFill>
      </fill>
    </dxf>
    <dxf>
      <font>
        <b/>
        <i val="0"/>
        <strike val="0"/>
        <condense val="0"/>
        <extend val="0"/>
        <outline val="0"/>
        <shadow val="0"/>
        <u val="none"/>
        <vertAlign val="baseline"/>
        <sz val="10"/>
        <color auto="1"/>
        <name val="Calibri"/>
        <family val="2"/>
        <scheme val="minor"/>
      </font>
      <fill>
        <patternFill patternType="solid">
          <fgColor indexed="64"/>
          <bgColor theme="3" tint="0.79998168889431442"/>
        </patternFill>
      </fill>
    </dxf>
    <dxf>
      <font>
        <b val="0"/>
        <i val="0"/>
        <strike val="0"/>
        <condense val="0"/>
        <extend val="0"/>
        <outline val="0"/>
        <shadow val="0"/>
        <u val="none"/>
        <vertAlign val="baseline"/>
        <sz val="10"/>
        <color auto="1"/>
        <name val="Calibri"/>
        <family val="2"/>
        <scheme val="minor"/>
      </font>
      <fill>
        <patternFill patternType="solid">
          <fgColor indexed="64"/>
          <bgColor theme="0"/>
        </patternFill>
      </fill>
    </dxf>
    <dxf>
      <font>
        <b val="0"/>
        <i val="0"/>
        <strike val="0"/>
        <condense val="0"/>
        <extend val="0"/>
        <outline val="0"/>
        <shadow val="0"/>
        <u val="none"/>
        <vertAlign val="baseline"/>
        <sz val="10"/>
        <color auto="1"/>
        <name val="Calibri"/>
        <family val="2"/>
        <scheme val="minor"/>
      </font>
      <fill>
        <patternFill patternType="solid">
          <fgColor indexed="64"/>
          <bgColor theme="0"/>
        </patternFill>
      </fill>
    </dxf>
    <dxf>
      <font>
        <b/>
        <i val="0"/>
        <strike val="0"/>
        <condense val="0"/>
        <extend val="0"/>
        <outline val="0"/>
        <shadow val="0"/>
        <u val="none"/>
        <vertAlign val="baseline"/>
        <sz val="10"/>
        <color auto="1"/>
        <name val="Calibri"/>
        <family val="2"/>
        <scheme val="minor"/>
      </font>
      <fill>
        <patternFill patternType="solid">
          <fgColor indexed="64"/>
          <bgColor theme="3"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DCE6F1"/>
      <color rgb="FF984807"/>
      <color rgb="FFEBF1DE"/>
      <color rgb="FFFDE8D7"/>
      <color rgb="FFFEF1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a:lstStyle/>
          <a:p>
            <a:pPr>
              <a:defRPr/>
            </a:pPr>
            <a:r>
              <a:rPr lang="en-US"/>
              <a:t>Five Year Trend</a:t>
            </a:r>
          </a:p>
        </c:rich>
      </c:tx>
      <c:layout>
        <c:manualLayout>
          <c:xMode val="edge"/>
          <c:yMode val="edge"/>
          <c:x val="0.40806377079483508"/>
          <c:y val="1.9157088122605363E-2"/>
        </c:manualLayout>
      </c:layout>
      <c:overlay val="0"/>
    </c:title>
    <c:autoTitleDeleted val="0"/>
    <c:plotArea>
      <c:layout>
        <c:manualLayout>
          <c:layoutTarget val="inner"/>
          <c:xMode val="edge"/>
          <c:yMode val="edge"/>
          <c:x val="0.12279462063545557"/>
          <c:y val="0.14187598889529934"/>
          <c:w val="0.64280326591883763"/>
          <c:h val="0.64545846300554399"/>
        </c:manualLayout>
      </c:layout>
      <c:barChart>
        <c:barDir val="col"/>
        <c:grouping val="stacked"/>
        <c:varyColors val="0"/>
        <c:ser>
          <c:idx val="2"/>
          <c:order val="1"/>
          <c:tx>
            <c:strRef>
              <c:f>Summary!$U$11</c:f>
              <c:strCache>
                <c:ptCount val="1"/>
                <c:pt idx="0">
                  <c:v>Required District Contribution</c:v>
                </c:pt>
              </c:strCache>
            </c:strRef>
          </c:tx>
          <c:spPr>
            <a:solidFill>
              <a:schemeClr val="bg1">
                <a:lumMod val="85000"/>
              </a:schemeClr>
            </a:solidFill>
            <a:ln>
              <a:noFill/>
            </a:ln>
          </c:spPr>
          <c:invertIfNegative val="0"/>
          <c:cat>
            <c:strRef>
              <c:f>Summary!$AJ$10:$AN$10</c:f>
              <c:strCache>
                <c:ptCount val="5"/>
                <c:pt idx="0">
                  <c:v>FY20</c:v>
                </c:pt>
                <c:pt idx="1">
                  <c:v>FY21</c:v>
                </c:pt>
                <c:pt idx="2">
                  <c:v>FY22</c:v>
                </c:pt>
                <c:pt idx="3">
                  <c:v>FY23</c:v>
                </c:pt>
                <c:pt idx="4">
                  <c:v>FY24</c:v>
                </c:pt>
              </c:strCache>
            </c:strRef>
          </c:cat>
          <c:val>
            <c:numRef>
              <c:f>Summary!$AJ$11:$AN$11</c:f>
              <c:numCache>
                <c:formatCode>#,##0</c:formatCode>
                <c:ptCount val="5"/>
                <c:pt idx="0">
                  <c:v>6513607368</c:v>
                </c:pt>
                <c:pt idx="1">
                  <c:v>6705321561</c:v>
                </c:pt>
                <c:pt idx="2">
                  <c:v>6827673657</c:v>
                </c:pt>
                <c:pt idx="3">
                  <c:v>7166744291</c:v>
                </c:pt>
                <c:pt idx="4">
                  <c:v>7566302116</c:v>
                </c:pt>
              </c:numCache>
            </c:numRef>
          </c:val>
          <c:extLst>
            <c:ext xmlns:c16="http://schemas.microsoft.com/office/drawing/2014/chart" uri="{C3380CC4-5D6E-409C-BE32-E72D297353CC}">
              <c16:uniqueId val="{00000001-592D-4048-9242-A39434D6BF29}"/>
            </c:ext>
          </c:extLst>
        </c:ser>
        <c:ser>
          <c:idx val="3"/>
          <c:order val="2"/>
          <c:tx>
            <c:strRef>
              <c:f>Summary!$U$12</c:f>
              <c:strCache>
                <c:ptCount val="1"/>
                <c:pt idx="0">
                  <c:v>C70 Aid</c:v>
                </c:pt>
              </c:strCache>
            </c:strRef>
          </c:tx>
          <c:spPr>
            <a:solidFill>
              <a:schemeClr val="accent1">
                <a:lumMod val="40000"/>
                <a:lumOff val="60000"/>
              </a:schemeClr>
            </a:solidFill>
          </c:spPr>
          <c:invertIfNegative val="0"/>
          <c:cat>
            <c:strRef>
              <c:f>Summary!$AJ$10:$AN$10</c:f>
              <c:strCache>
                <c:ptCount val="5"/>
                <c:pt idx="0">
                  <c:v>FY20</c:v>
                </c:pt>
                <c:pt idx="1">
                  <c:v>FY21</c:v>
                </c:pt>
                <c:pt idx="2">
                  <c:v>FY22</c:v>
                </c:pt>
                <c:pt idx="3">
                  <c:v>FY23</c:v>
                </c:pt>
                <c:pt idx="4">
                  <c:v>FY24</c:v>
                </c:pt>
              </c:strCache>
            </c:strRef>
          </c:cat>
          <c:val>
            <c:numRef>
              <c:f>Summary!$AJ$12:$AN$12</c:f>
              <c:numCache>
                <c:formatCode>#,##0</c:formatCode>
                <c:ptCount val="5"/>
                <c:pt idx="0">
                  <c:v>5175694094</c:v>
                </c:pt>
                <c:pt idx="1">
                  <c:v>5283343073.4799995</c:v>
                </c:pt>
                <c:pt idx="2">
                  <c:v>5502959666.6000013</c:v>
                </c:pt>
                <c:pt idx="3">
                  <c:v>5997901328.6000023</c:v>
                </c:pt>
                <c:pt idx="4">
                  <c:v>6592314527.6000013</c:v>
                </c:pt>
              </c:numCache>
            </c:numRef>
          </c:val>
          <c:extLst>
            <c:ext xmlns:c16="http://schemas.microsoft.com/office/drawing/2014/chart" uri="{C3380CC4-5D6E-409C-BE32-E72D297353CC}">
              <c16:uniqueId val="{00000002-592D-4048-9242-A39434D6BF29}"/>
            </c:ext>
          </c:extLst>
        </c:ser>
        <c:dLbls>
          <c:showLegendKey val="0"/>
          <c:showVal val="0"/>
          <c:showCatName val="0"/>
          <c:showSerName val="0"/>
          <c:showPercent val="0"/>
          <c:showBubbleSize val="0"/>
        </c:dLbls>
        <c:gapWidth val="150"/>
        <c:overlap val="100"/>
        <c:axId val="296469248"/>
        <c:axId val="296470784"/>
      </c:barChart>
      <c:lineChart>
        <c:grouping val="standard"/>
        <c:varyColors val="0"/>
        <c:ser>
          <c:idx val="0"/>
          <c:order val="0"/>
          <c:tx>
            <c:strRef>
              <c:f>Summary!$U$13</c:f>
              <c:strCache>
                <c:ptCount val="1"/>
                <c:pt idx="0">
                  <c:v>Foundation Budget</c:v>
                </c:pt>
              </c:strCache>
            </c:strRef>
          </c:tx>
          <c:spPr>
            <a:ln>
              <a:solidFill>
                <a:schemeClr val="accent1">
                  <a:lumMod val="75000"/>
                </a:schemeClr>
              </a:solidFill>
            </a:ln>
          </c:spPr>
          <c:marker>
            <c:symbol val="none"/>
          </c:marker>
          <c:cat>
            <c:strRef>
              <c:f>Summary!$AJ$10:$AN$10</c:f>
              <c:strCache>
                <c:ptCount val="5"/>
                <c:pt idx="0">
                  <c:v>FY20</c:v>
                </c:pt>
                <c:pt idx="1">
                  <c:v>FY21</c:v>
                </c:pt>
                <c:pt idx="2">
                  <c:v>FY22</c:v>
                </c:pt>
                <c:pt idx="3">
                  <c:v>FY23</c:v>
                </c:pt>
                <c:pt idx="4">
                  <c:v>FY24</c:v>
                </c:pt>
              </c:strCache>
            </c:strRef>
          </c:cat>
          <c:val>
            <c:numRef>
              <c:f>Summary!$AJ$13:$AN$13</c:f>
              <c:numCache>
                <c:formatCode>#,##0</c:formatCode>
                <c:ptCount val="5"/>
                <c:pt idx="0">
                  <c:v>11359048511.850758</c:v>
                </c:pt>
                <c:pt idx="1">
                  <c:v>11626531095.326303</c:v>
                </c:pt>
                <c:pt idx="2">
                  <c:v>11926225791.726231</c:v>
                </c:pt>
                <c:pt idx="3">
                  <c:v>12890335880.607767</c:v>
                </c:pt>
                <c:pt idx="4">
                  <c:v>13963389872.29413</c:v>
                </c:pt>
              </c:numCache>
            </c:numRef>
          </c:val>
          <c:smooth val="0"/>
          <c:extLst>
            <c:ext xmlns:c16="http://schemas.microsoft.com/office/drawing/2014/chart" uri="{C3380CC4-5D6E-409C-BE32-E72D297353CC}">
              <c16:uniqueId val="{00000003-4595-40D1-B83A-08040552711E}"/>
            </c:ext>
          </c:extLst>
        </c:ser>
        <c:dLbls>
          <c:showLegendKey val="0"/>
          <c:showVal val="0"/>
          <c:showCatName val="0"/>
          <c:showSerName val="0"/>
          <c:showPercent val="0"/>
          <c:showBubbleSize val="0"/>
        </c:dLbls>
        <c:marker val="1"/>
        <c:smooth val="0"/>
        <c:axId val="296469248"/>
        <c:axId val="296470784"/>
      </c:lineChart>
      <c:catAx>
        <c:axId val="296469248"/>
        <c:scaling>
          <c:orientation val="minMax"/>
        </c:scaling>
        <c:delete val="0"/>
        <c:axPos val="b"/>
        <c:numFmt formatCode="General" sourceLinked="1"/>
        <c:majorTickMark val="out"/>
        <c:minorTickMark val="none"/>
        <c:tickLblPos val="nextTo"/>
        <c:txPr>
          <a:bodyPr rot="0" vert="horz"/>
          <a:lstStyle/>
          <a:p>
            <a:pPr>
              <a:defRPr/>
            </a:pPr>
            <a:endParaRPr lang="en-US"/>
          </a:p>
        </c:txPr>
        <c:crossAx val="296470784"/>
        <c:crosses val="autoZero"/>
        <c:auto val="1"/>
        <c:lblAlgn val="ctr"/>
        <c:lblOffset val="100"/>
        <c:noMultiLvlLbl val="0"/>
      </c:catAx>
      <c:valAx>
        <c:axId val="296470784"/>
        <c:scaling>
          <c:orientation val="minMax"/>
        </c:scaling>
        <c:delete val="0"/>
        <c:axPos val="l"/>
        <c:majorGridlines>
          <c:spPr>
            <a:ln>
              <a:solidFill>
                <a:schemeClr val="bg1">
                  <a:lumMod val="85000"/>
                </a:schemeClr>
              </a:solidFill>
              <a:prstDash val="sysDot"/>
            </a:ln>
          </c:spPr>
        </c:majorGridlines>
        <c:numFmt formatCode="#,##0" sourceLinked="0"/>
        <c:majorTickMark val="out"/>
        <c:minorTickMark val="none"/>
        <c:tickLblPos val="nextTo"/>
        <c:txPr>
          <a:bodyPr rot="0" vert="horz"/>
          <a:lstStyle/>
          <a:p>
            <a:pPr>
              <a:defRPr/>
            </a:pPr>
            <a:endParaRPr lang="en-US"/>
          </a:p>
        </c:txPr>
        <c:crossAx val="296469248"/>
        <c:crosses val="autoZero"/>
        <c:crossBetween val="between"/>
      </c:valAx>
    </c:plotArea>
    <c:legend>
      <c:legendPos val="r"/>
      <c:layout>
        <c:manualLayout>
          <c:xMode val="edge"/>
          <c:yMode val="edge"/>
          <c:x val="0.77284661526462495"/>
          <c:y val="0.12166101460576959"/>
          <c:w val="0.21931946289151413"/>
          <c:h val="0.19128344315495477"/>
        </c:manualLayout>
      </c:layout>
      <c:overlay val="0"/>
    </c:legend>
    <c:plotVisOnly val="1"/>
    <c:dispBlanksAs val="gap"/>
    <c:showDLblsOverMax val="0"/>
  </c:chart>
  <c:txPr>
    <a:bodyPr/>
    <a:lstStyle/>
    <a:p>
      <a:pPr>
        <a:defRPr sz="900"/>
      </a:pPr>
      <a:endParaRPr lang="en-US"/>
    </a:p>
  </c:txPr>
  <c:printSettings>
    <c:headerFooter alignWithMargins="0"/>
    <c:pageMargins b="1" l="0.75000000000001465" r="0.7500000000000146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204096546755184"/>
          <c:y val="3.7382221161748719E-2"/>
          <c:w val="0.72426493747105158"/>
          <c:h val="0.68650547469446765"/>
        </c:manualLayout>
      </c:layout>
      <c:barChart>
        <c:barDir val="col"/>
        <c:grouping val="clustered"/>
        <c:varyColors val="0"/>
        <c:ser>
          <c:idx val="0"/>
          <c:order val="0"/>
          <c:tx>
            <c:strRef>
              <c:f>parameters!$K$10</c:f>
              <c:strCache>
                <c:ptCount val="1"/>
                <c:pt idx="0">
                  <c:v>excess effort before effort reduction</c:v>
                </c:pt>
              </c:strCache>
            </c:strRef>
          </c:tx>
          <c:spPr>
            <a:solidFill>
              <a:schemeClr val="accent5">
                <a:lumMod val="75000"/>
              </a:schemeClr>
            </a:solidFill>
          </c:spPr>
          <c:invertIfNegative val="0"/>
          <c:cat>
            <c:strRef>
              <c:f>parameters!$L$9:$AC$9</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parameters!$L$10:$AC$10</c:f>
              <c:numCache>
                <c:formatCode>#,##0.0</c:formatCode>
                <c:ptCount val="18"/>
                <c:pt idx="0">
                  <c:v>621.084157</c:v>
                </c:pt>
                <c:pt idx="1">
                  <c:v>494.05891200000002</c:v>
                </c:pt>
                <c:pt idx="2" formatCode="0.0">
                  <c:v>372.382091</c:v>
                </c:pt>
                <c:pt idx="3">
                  <c:v>228.110232</c:v>
                </c:pt>
                <c:pt idx="4">
                  <c:v>366</c:v>
                </c:pt>
                <c:pt idx="5">
                  <c:v>293.3</c:v>
                </c:pt>
                <c:pt idx="6">
                  <c:v>229.8</c:v>
                </c:pt>
                <c:pt idx="7">
                  <c:v>234.5</c:v>
                </c:pt>
                <c:pt idx="8">
                  <c:v>307.90301399999998</c:v>
                </c:pt>
                <c:pt idx="9">
                  <c:v>235.358789</c:v>
                </c:pt>
                <c:pt idx="10">
                  <c:v>299.86437000000001</c:v>
                </c:pt>
                <c:pt idx="11">
                  <c:v>151.670894</c:v>
                </c:pt>
                <c:pt idx="12">
                  <c:v>68.664220999999998</c:v>
                </c:pt>
                <c:pt idx="13">
                  <c:v>21.435137000000001</c:v>
                </c:pt>
                <c:pt idx="14">
                  <c:v>104.649236</c:v>
                </c:pt>
                <c:pt idx="15">
                  <c:v>93.814687000000006</c:v>
                </c:pt>
                <c:pt idx="16">
                  <c:v>3.8705799999999999</c:v>
                </c:pt>
                <c:pt idx="17">
                  <c:v>35.208638000000001</c:v>
                </c:pt>
              </c:numCache>
            </c:numRef>
          </c:val>
          <c:extLst>
            <c:ext xmlns:c16="http://schemas.microsoft.com/office/drawing/2014/chart" uri="{C3380CC4-5D6E-409C-BE32-E72D297353CC}">
              <c16:uniqueId val="{00000001-810B-44E8-82FB-46FE757E53A8}"/>
            </c:ext>
          </c:extLst>
        </c:ser>
        <c:ser>
          <c:idx val="2"/>
          <c:order val="2"/>
          <c:tx>
            <c:strRef>
              <c:f>parameters!$K$12</c:f>
              <c:strCache>
                <c:ptCount val="1"/>
                <c:pt idx="0">
                  <c:v>net excess after effort reduction</c:v>
                </c:pt>
              </c:strCache>
            </c:strRef>
          </c:tx>
          <c:spPr>
            <a:solidFill>
              <a:schemeClr val="accent5">
                <a:lumMod val="40000"/>
                <a:lumOff val="60000"/>
              </a:schemeClr>
            </a:solidFill>
          </c:spPr>
          <c:invertIfNegative val="0"/>
          <c:cat>
            <c:strRef>
              <c:f>parameters!$L$9:$AC$9</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parameters!$L$12:$AC$12</c:f>
              <c:numCache>
                <c:formatCode>#,##0.0</c:formatCode>
                <c:ptCount val="18"/>
                <c:pt idx="0">
                  <c:v>496.86732560000002</c:v>
                </c:pt>
                <c:pt idx="1">
                  <c:v>370.54418399999997</c:v>
                </c:pt>
                <c:pt idx="2" formatCode="0.0">
                  <c:v>249.49600097000001</c:v>
                </c:pt>
                <c:pt idx="3">
                  <c:v>193.893697</c:v>
                </c:pt>
                <c:pt idx="4">
                  <c:v>256.2</c:v>
                </c:pt>
                <c:pt idx="5">
                  <c:v>234.60000000000002</c:v>
                </c:pt>
                <c:pt idx="6">
                  <c:v>195.3</c:v>
                </c:pt>
                <c:pt idx="7">
                  <c:v>199.3</c:v>
                </c:pt>
                <c:pt idx="8">
                  <c:v>152.08069825743701</c:v>
                </c:pt>
                <c:pt idx="9">
                  <c:v>117.482913201</c:v>
                </c:pt>
                <c:pt idx="10">
                  <c:v>44.978793475999993</c:v>
                </c:pt>
                <c:pt idx="11">
                  <c:v>22.749214023213945</c:v>
                </c:pt>
                <c:pt idx="12">
                  <c:v>0</c:v>
                </c:pt>
                <c:pt idx="13">
                  <c:v>0</c:v>
                </c:pt>
                <c:pt idx="14">
                  <c:v>0</c:v>
                </c:pt>
                <c:pt idx="15">
                  <c:v>0</c:v>
                </c:pt>
                <c:pt idx="16">
                  <c:v>0</c:v>
                </c:pt>
                <c:pt idx="17">
                  <c:v>0</c:v>
                </c:pt>
              </c:numCache>
            </c:numRef>
          </c:val>
          <c:extLst>
            <c:ext xmlns:c16="http://schemas.microsoft.com/office/drawing/2014/chart" uri="{C3380CC4-5D6E-409C-BE32-E72D297353CC}">
              <c16:uniqueId val="{00000004-810B-44E8-82FB-46FE757E53A8}"/>
            </c:ext>
          </c:extLst>
        </c:ser>
        <c:ser>
          <c:idx val="3"/>
          <c:order val="3"/>
          <c:tx>
            <c:strRef>
              <c:f>parameters!$K$13</c:f>
              <c:strCache>
                <c:ptCount val="1"/>
                <c:pt idx="0">
                  <c:v>shortfall below target before increment</c:v>
                </c:pt>
              </c:strCache>
            </c:strRef>
          </c:tx>
          <c:spPr>
            <a:solidFill>
              <a:schemeClr val="accent2">
                <a:lumMod val="50000"/>
              </a:schemeClr>
            </a:solidFill>
          </c:spPr>
          <c:invertIfNegative val="0"/>
          <c:cat>
            <c:strRef>
              <c:f>parameters!$L$9:$AC$9</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parameters!$L$13:$AC$13</c:f>
              <c:numCache>
                <c:formatCode>#,##0.0</c:formatCode>
                <c:ptCount val="18"/>
                <c:pt idx="0">
                  <c:v>-321.45232199999998</c:v>
                </c:pt>
                <c:pt idx="1">
                  <c:v>-352.17487499999999</c:v>
                </c:pt>
                <c:pt idx="2" formatCode="0.0">
                  <c:v>-359.19356299999998</c:v>
                </c:pt>
                <c:pt idx="3">
                  <c:v>-427.2</c:v>
                </c:pt>
                <c:pt idx="4">
                  <c:v>-228</c:v>
                </c:pt>
                <c:pt idx="5">
                  <c:v>-211</c:v>
                </c:pt>
                <c:pt idx="6">
                  <c:v>-200</c:v>
                </c:pt>
                <c:pt idx="7">
                  <c:v>-180.2</c:v>
                </c:pt>
                <c:pt idx="8">
                  <c:v>-162.97221500000001</c:v>
                </c:pt>
                <c:pt idx="9">
                  <c:v>-132.627218</c:v>
                </c:pt>
                <c:pt idx="10">
                  <c:v>-96.928090999999995</c:v>
                </c:pt>
                <c:pt idx="11">
                  <c:v>-103.17317</c:v>
                </c:pt>
                <c:pt idx="12">
                  <c:v>-117.254713</c:v>
                </c:pt>
                <c:pt idx="13">
                  <c:v>-207.485209</c:v>
                </c:pt>
                <c:pt idx="14">
                  <c:v>-163.71</c:v>
                </c:pt>
                <c:pt idx="15">
                  <c:v>-228.99932699999999</c:v>
                </c:pt>
                <c:pt idx="16">
                  <c:v>-494.81849599999998</c:v>
                </c:pt>
                <c:pt idx="17">
                  <c:v>-662.49780199999998</c:v>
                </c:pt>
              </c:numCache>
            </c:numRef>
          </c:val>
          <c:extLst>
            <c:ext xmlns:c16="http://schemas.microsoft.com/office/drawing/2014/chart" uri="{C3380CC4-5D6E-409C-BE32-E72D297353CC}">
              <c16:uniqueId val="{00000006-810B-44E8-82FB-46FE757E53A8}"/>
            </c:ext>
          </c:extLst>
        </c:ser>
        <c:ser>
          <c:idx val="5"/>
          <c:order val="5"/>
          <c:tx>
            <c:strRef>
              <c:f>parameters!$K$15</c:f>
              <c:strCache>
                <c:ptCount val="1"/>
                <c:pt idx="0">
                  <c:v>net shortfall below target after increment</c:v>
                </c:pt>
              </c:strCache>
            </c:strRef>
          </c:tx>
          <c:spPr>
            <a:solidFill>
              <a:schemeClr val="accent2">
                <a:lumMod val="60000"/>
                <a:lumOff val="40000"/>
              </a:schemeClr>
            </a:solidFill>
          </c:spPr>
          <c:invertIfNegative val="0"/>
          <c:cat>
            <c:strRef>
              <c:f>parameters!$L$9:$AC$9</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parameters!$L$15:$AC$15</c:f>
              <c:numCache>
                <c:formatCode>#,##0.0</c:formatCode>
                <c:ptCount val="18"/>
                <c:pt idx="0">
                  <c:v>-321.45232199999998</c:v>
                </c:pt>
                <c:pt idx="1">
                  <c:v>-332.43572599999999</c:v>
                </c:pt>
                <c:pt idx="2" formatCode="0.0">
                  <c:v>-337.80597499999999</c:v>
                </c:pt>
                <c:pt idx="3">
                  <c:v>-306</c:v>
                </c:pt>
                <c:pt idx="4">
                  <c:v>-217.4</c:v>
                </c:pt>
                <c:pt idx="5">
                  <c:v>-200.9</c:v>
                </c:pt>
                <c:pt idx="6">
                  <c:v>-195.7</c:v>
                </c:pt>
                <c:pt idx="7">
                  <c:v>-176.3</c:v>
                </c:pt>
                <c:pt idx="8">
                  <c:v>-155.409122</c:v>
                </c:pt>
                <c:pt idx="9">
                  <c:v>-126.778479</c:v>
                </c:pt>
                <c:pt idx="10">
                  <c:v>-94.453875999999994</c:v>
                </c:pt>
                <c:pt idx="11">
                  <c:v>-99.544991999999993</c:v>
                </c:pt>
                <c:pt idx="12">
                  <c:v>-111.934364</c:v>
                </c:pt>
                <c:pt idx="13">
                  <c:v>-188.23126400000001</c:v>
                </c:pt>
                <c:pt idx="14">
                  <c:v>-154.331783</c:v>
                </c:pt>
                <c:pt idx="15">
                  <c:v>-208.79955899999999</c:v>
                </c:pt>
                <c:pt idx="16">
                  <c:v>-438.55386900000002</c:v>
                </c:pt>
                <c:pt idx="17">
                  <c:v>-603.65567999999996</c:v>
                </c:pt>
              </c:numCache>
            </c:numRef>
          </c:val>
          <c:extLst>
            <c:ext xmlns:c16="http://schemas.microsoft.com/office/drawing/2014/chart" uri="{C3380CC4-5D6E-409C-BE32-E72D297353CC}">
              <c16:uniqueId val="{00000009-810B-44E8-82FB-46FE757E53A8}"/>
            </c:ext>
          </c:extLst>
        </c:ser>
        <c:dLbls>
          <c:showLegendKey val="0"/>
          <c:showVal val="0"/>
          <c:showCatName val="0"/>
          <c:showSerName val="0"/>
          <c:showPercent val="0"/>
          <c:showBubbleSize val="0"/>
        </c:dLbls>
        <c:gapWidth val="70"/>
        <c:axId val="272073472"/>
        <c:axId val="272075008"/>
        <c:extLst>
          <c:ext xmlns:c15="http://schemas.microsoft.com/office/drawing/2012/chart" uri="{02D57815-91ED-43cb-92C2-25804820EDAC}">
            <c15:filteredBarSeries>
              <c15:ser>
                <c:idx val="1"/>
                <c:order val="1"/>
                <c:tx>
                  <c:strRef>
                    <c:extLst>
                      <c:ext uri="{02D57815-91ED-43cb-92C2-25804820EDAC}">
                        <c15:formulaRef>
                          <c15:sqref>parameters!$K$11</c15:sqref>
                        </c15:formulaRef>
                      </c:ext>
                    </c:extLst>
                    <c:strCache>
                      <c:ptCount val="1"/>
                      <c:pt idx="0">
                        <c:v>effort reduction</c:v>
                      </c:pt>
                    </c:strCache>
                  </c:strRef>
                </c:tx>
                <c:spPr>
                  <a:solidFill>
                    <a:srgbClr val="FFC000"/>
                  </a:solidFill>
                </c:spPr>
                <c:invertIfNegative val="0"/>
                <c:cat>
                  <c:strRef>
                    <c:extLst>
                      <c:ext uri="{02D57815-91ED-43cb-92C2-25804820EDAC}">
                        <c15:formulaRef>
                          <c15:sqref>parameters!$L$9:$AC$9</c15:sqref>
                        </c15:formulaRef>
                      </c:ext>
                    </c:extLst>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extLst>
                      <c:ext uri="{02D57815-91ED-43cb-92C2-25804820EDAC}">
                        <c15:formulaRef>
                          <c15:sqref>parameters!$L$11:$AC$11</c15:sqref>
                        </c15:formulaRef>
                      </c:ext>
                    </c:extLst>
                    <c:numCache>
                      <c:formatCode>#,##0.0</c:formatCode>
                      <c:ptCount val="18"/>
                      <c:pt idx="0">
                        <c:v>124.21683139999998</c:v>
                      </c:pt>
                      <c:pt idx="1">
                        <c:v>123.51472800000001</c:v>
                      </c:pt>
                      <c:pt idx="2" formatCode="0.0">
                        <c:v>122.88609003000001</c:v>
                      </c:pt>
                      <c:pt idx="3">
                        <c:v>34.216535</c:v>
                      </c:pt>
                      <c:pt idx="4">
                        <c:v>109.8</c:v>
                      </c:pt>
                      <c:pt idx="5">
                        <c:v>58.7</c:v>
                      </c:pt>
                      <c:pt idx="6">
                        <c:v>34.5</c:v>
                      </c:pt>
                      <c:pt idx="7">
                        <c:v>35.200000000000003</c:v>
                      </c:pt>
                      <c:pt idx="8">
                        <c:v>153.95150699999999</c:v>
                      </c:pt>
                      <c:pt idx="9">
                        <c:v>117.6793945</c:v>
                      </c:pt>
                      <c:pt idx="10">
                        <c:v>254.88471449999989</c:v>
                      </c:pt>
                      <c:pt idx="11">
                        <c:v>128.92025990000005</c:v>
                      </c:pt>
                      <c:pt idx="12">
                        <c:v>68.664220999999998</c:v>
                      </c:pt>
                      <c:pt idx="13">
                        <c:v>21.435137000000001</c:v>
                      </c:pt>
                      <c:pt idx="14">
                        <c:v>104.649236</c:v>
                      </c:pt>
                      <c:pt idx="15">
                        <c:v>93.814687000000006</c:v>
                      </c:pt>
                      <c:pt idx="16">
                        <c:v>3.8705799999999999</c:v>
                      </c:pt>
                      <c:pt idx="17">
                        <c:v>35.208638000000001</c:v>
                      </c:pt>
                    </c:numCache>
                  </c:numRef>
                </c:val>
                <c:extLst>
                  <c:ext xmlns:c16="http://schemas.microsoft.com/office/drawing/2014/chart" uri="{C3380CC4-5D6E-409C-BE32-E72D297353CC}">
                    <c16:uniqueId val="{00000002-810B-44E8-82FB-46FE757E53A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parameters!$K$14</c15:sqref>
                        </c15:formulaRef>
                      </c:ext>
                    </c:extLst>
                    <c:strCache>
                      <c:ptCount val="1"/>
                      <c:pt idx="0">
                        <c:v>additional increments toward target</c:v>
                      </c:pt>
                    </c:strCache>
                  </c:strRef>
                </c:tx>
                <c:spPr>
                  <a:solidFill>
                    <a:srgbClr val="FFC000"/>
                  </a:solidFill>
                </c:spPr>
                <c:invertIfNegative val="0"/>
                <c:cat>
                  <c:strRef>
                    <c:extLst xmlns:c15="http://schemas.microsoft.com/office/drawing/2012/chart">
                      <c:ext xmlns:c15="http://schemas.microsoft.com/office/drawing/2012/chart" uri="{02D57815-91ED-43cb-92C2-25804820EDAC}">
                        <c15:formulaRef>
                          <c15:sqref>parameters!$L$9:$AC$9</c15:sqref>
                        </c15:formulaRef>
                      </c:ext>
                    </c:extLst>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extLst xmlns:c15="http://schemas.microsoft.com/office/drawing/2012/chart">
                      <c:ext xmlns:c15="http://schemas.microsoft.com/office/drawing/2012/chart" uri="{02D57815-91ED-43cb-92C2-25804820EDAC}">
                        <c15:formulaRef>
                          <c15:sqref>parameters!$L$14:$AC$14</c15:sqref>
                        </c15:formulaRef>
                      </c:ext>
                    </c:extLst>
                    <c:numCache>
                      <c:formatCode>#,##0.0</c:formatCode>
                      <c:ptCount val="18"/>
                      <c:pt idx="0">
                        <c:v>0</c:v>
                      </c:pt>
                      <c:pt idx="1">
                        <c:v>-19.739149000000001</c:v>
                      </c:pt>
                      <c:pt idx="2" formatCode="0.0">
                        <c:v>-21.387588000000001</c:v>
                      </c:pt>
                      <c:pt idx="3">
                        <c:v>-121.2</c:v>
                      </c:pt>
                      <c:pt idx="4">
                        <c:v>-10.6</c:v>
                      </c:pt>
                      <c:pt idx="5">
                        <c:v>-10</c:v>
                      </c:pt>
                      <c:pt idx="6">
                        <c:v>-4.2</c:v>
                      </c:pt>
                      <c:pt idx="7">
                        <c:v>-3.9</c:v>
                      </c:pt>
                      <c:pt idx="8">
                        <c:v>-7.5630930000000003</c:v>
                      </c:pt>
                      <c:pt idx="9">
                        <c:v>-5.8487390000000001</c:v>
                      </c:pt>
                      <c:pt idx="10">
                        <c:v>-2.4742150000000001</c:v>
                      </c:pt>
                      <c:pt idx="11">
                        <c:v>-3.6281780000000001</c:v>
                      </c:pt>
                      <c:pt idx="12">
                        <c:v>-5.3203490000000002</c:v>
                      </c:pt>
                      <c:pt idx="13">
                        <c:v>-19.253945000000002</c:v>
                      </c:pt>
                      <c:pt idx="14">
                        <c:v>-9.3782169999999994</c:v>
                      </c:pt>
                      <c:pt idx="15">
                        <c:v>-20.199767999999999</c:v>
                      </c:pt>
                      <c:pt idx="16">
                        <c:v>-56.264627000000004</c:v>
                      </c:pt>
                      <c:pt idx="17">
                        <c:v>-58.842122000000003</c:v>
                      </c:pt>
                    </c:numCache>
                  </c:numRef>
                </c:val>
                <c:extLst xmlns:c15="http://schemas.microsoft.com/office/drawing/2012/chart">
                  <c:ext xmlns:c16="http://schemas.microsoft.com/office/drawing/2014/chart" uri="{C3380CC4-5D6E-409C-BE32-E72D297353CC}">
                    <c16:uniqueId val="{00000007-810B-44E8-82FB-46FE757E53A8}"/>
                  </c:ext>
                </c:extLst>
              </c15:ser>
            </c15:filteredBarSeries>
          </c:ext>
        </c:extLst>
      </c:barChart>
      <c:catAx>
        <c:axId val="272073472"/>
        <c:scaling>
          <c:orientation val="minMax"/>
        </c:scaling>
        <c:delete val="0"/>
        <c:axPos val="b"/>
        <c:numFmt formatCode="General" sourceLinked="0"/>
        <c:majorTickMark val="out"/>
        <c:minorTickMark val="none"/>
        <c:tickLblPos val="low"/>
        <c:txPr>
          <a:bodyPr/>
          <a:lstStyle/>
          <a:p>
            <a:pPr>
              <a:defRPr sz="1000"/>
            </a:pPr>
            <a:endParaRPr lang="en-US"/>
          </a:p>
        </c:txPr>
        <c:crossAx val="272075008"/>
        <c:crosses val="autoZero"/>
        <c:auto val="1"/>
        <c:lblAlgn val="ctr"/>
        <c:lblOffset val="100"/>
        <c:noMultiLvlLbl val="0"/>
      </c:catAx>
      <c:valAx>
        <c:axId val="272075008"/>
        <c:scaling>
          <c:orientation val="minMax"/>
        </c:scaling>
        <c:delete val="0"/>
        <c:axPos val="l"/>
        <c:title>
          <c:tx>
            <c:rich>
              <a:bodyPr rot="0" vert="horz"/>
              <a:lstStyle/>
              <a:p>
                <a:pPr>
                  <a:defRPr sz="1000"/>
                </a:pPr>
                <a:r>
                  <a:rPr lang="en-US" sz="1000"/>
                  <a:t>Dollars Above/Below Target Local Share</a:t>
                </a:r>
              </a:p>
              <a:p>
                <a:pPr>
                  <a:defRPr sz="1000"/>
                </a:pPr>
                <a:r>
                  <a:rPr lang="en-US" sz="1000" b="1" i="0" u="none" strike="noStrike" baseline="0">
                    <a:effectLst/>
                  </a:rPr>
                  <a:t>($ Millions)</a:t>
                </a:r>
                <a:r>
                  <a:rPr lang="en-US" sz="1000"/>
                  <a:t> </a:t>
                </a:r>
              </a:p>
            </c:rich>
          </c:tx>
          <c:overlay val="0"/>
        </c:title>
        <c:numFmt formatCode="#,##0" sourceLinked="0"/>
        <c:majorTickMark val="out"/>
        <c:minorTickMark val="none"/>
        <c:tickLblPos val="nextTo"/>
        <c:txPr>
          <a:bodyPr/>
          <a:lstStyle/>
          <a:p>
            <a:pPr>
              <a:defRPr sz="1000"/>
            </a:pPr>
            <a:endParaRPr lang="en-US"/>
          </a:p>
        </c:txPr>
        <c:crossAx val="272073472"/>
        <c:crosses val="autoZero"/>
        <c:crossBetween val="between"/>
      </c:valAx>
    </c:plotArea>
    <c:legend>
      <c:legendPos val="b"/>
      <c:layout>
        <c:manualLayout>
          <c:xMode val="edge"/>
          <c:yMode val="edge"/>
          <c:x val="0.19094121078002504"/>
          <c:y val="0.83254645800853855"/>
          <c:w val="0.79788887173417045"/>
          <c:h val="0.14725159355080619"/>
        </c:manualLayout>
      </c:layout>
      <c:overlay val="0"/>
      <c:txPr>
        <a:bodyPr/>
        <a:lstStyle/>
        <a:p>
          <a:pPr>
            <a:defRPr sz="1000"/>
          </a:pPr>
          <a:endParaRPr lang="en-US"/>
        </a:p>
      </c:txPr>
    </c:legend>
    <c:plotVisOnly val="1"/>
    <c:dispBlanksAs val="gap"/>
    <c:showDLblsOverMax val="0"/>
  </c:chart>
  <c:spPr>
    <a:ln>
      <a:noFill/>
    </a:ln>
  </c:spPr>
  <c:txPr>
    <a:bodyPr/>
    <a:lstStyle/>
    <a:p>
      <a:pPr>
        <a:defRPr sz="900" b="1"/>
      </a:pPr>
      <a:endParaRPr lang="en-US"/>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29754088764833"/>
          <c:y val="5.1400554097404488E-2"/>
          <c:w val="0.72313070573483629"/>
          <c:h val="0.72112459900845727"/>
        </c:manualLayout>
      </c:layout>
      <c:barChart>
        <c:barDir val="col"/>
        <c:grouping val="clustered"/>
        <c:varyColors val="0"/>
        <c:ser>
          <c:idx val="0"/>
          <c:order val="0"/>
          <c:tx>
            <c:strRef>
              <c:f>parameters!$K$45</c:f>
              <c:strCache>
                <c:ptCount val="1"/>
                <c:pt idx="0">
                  <c:v>aid above target</c:v>
                </c:pt>
              </c:strCache>
            </c:strRef>
          </c:tx>
          <c:invertIfNegative val="0"/>
          <c:cat>
            <c:strRef>
              <c:f>parameters!$L$44:$AC$44</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parameters!$L$45:$AC$45</c:f>
              <c:numCache>
                <c:formatCode>#,##0.0</c:formatCode>
                <c:ptCount val="18"/>
                <c:pt idx="0">
                  <c:v>394.9</c:v>
                </c:pt>
                <c:pt idx="1">
                  <c:v>421</c:v>
                </c:pt>
                <c:pt idx="2">
                  <c:v>440.4</c:v>
                </c:pt>
                <c:pt idx="3">
                  <c:v>413.59914561056684</c:v>
                </c:pt>
                <c:pt idx="4">
                  <c:v>489.29058672761249</c:v>
                </c:pt>
                <c:pt idx="5">
                  <c:v>360.5802896250691</c:v>
                </c:pt>
                <c:pt idx="6">
                  <c:v>372.91397258755205</c:v>
                </c:pt>
                <c:pt idx="7">
                  <c:v>385.3</c:v>
                </c:pt>
                <c:pt idx="8" formatCode="0.0">
                  <c:v>404.65393358144092</c:v>
                </c:pt>
                <c:pt idx="9" formatCode="0.0">
                  <c:v>419.07307786449184</c:v>
                </c:pt>
                <c:pt idx="10" formatCode="0.0">
                  <c:v>488.13621374028867</c:v>
                </c:pt>
                <c:pt idx="11" formatCode="0.0">
                  <c:v>497.40384494550671</c:v>
                </c:pt>
                <c:pt idx="12" formatCode="0.0">
                  <c:v>487.80696944632837</c:v>
                </c:pt>
                <c:pt idx="13" formatCode="0.0">
                  <c:v>518.44879540449108</c:v>
                </c:pt>
                <c:pt idx="14" formatCode="0.0">
                  <c:v>516.49432754833651</c:v>
                </c:pt>
                <c:pt idx="15" formatCode="0.0">
                  <c:v>613.17696001292984</c:v>
                </c:pt>
                <c:pt idx="16" formatCode="0.0">
                  <c:v>712.80310162890635</c:v>
                </c:pt>
                <c:pt idx="17" formatCode="0.0">
                  <c:v>942.22343281827125</c:v>
                </c:pt>
              </c:numCache>
            </c:numRef>
          </c:val>
          <c:extLst>
            <c:ext xmlns:c16="http://schemas.microsoft.com/office/drawing/2014/chart" uri="{C3380CC4-5D6E-409C-BE32-E72D297353CC}">
              <c16:uniqueId val="{00000001-F4A6-4A4A-A004-206F0C3385D0}"/>
            </c:ext>
          </c:extLst>
        </c:ser>
        <c:ser>
          <c:idx val="1"/>
          <c:order val="1"/>
          <c:tx>
            <c:strRef>
              <c:f>parameters!$K$46</c:f>
              <c:strCache>
                <c:ptCount val="1"/>
                <c:pt idx="0">
                  <c:v>aid below target</c:v>
                </c:pt>
              </c:strCache>
            </c:strRef>
          </c:tx>
          <c:invertIfNegative val="0"/>
          <c:cat>
            <c:strRef>
              <c:f>parameters!$L$44:$AC$44</c:f>
              <c:strCache>
                <c:ptCount val="18"/>
                <c:pt idx="0">
                  <c:v>FY07</c:v>
                </c:pt>
                <c:pt idx="1">
                  <c:v>FY08</c:v>
                </c:pt>
                <c:pt idx="2">
                  <c:v>FY09</c:v>
                </c:pt>
                <c:pt idx="3">
                  <c:v>FY10</c:v>
                </c:pt>
                <c:pt idx="4">
                  <c:v>FY11</c:v>
                </c:pt>
                <c:pt idx="5">
                  <c:v>FY12</c:v>
                </c:pt>
                <c:pt idx="6">
                  <c:v>FY13</c:v>
                </c:pt>
                <c:pt idx="7">
                  <c:v>FY14</c:v>
                </c:pt>
                <c:pt idx="8">
                  <c:v>FY15</c:v>
                </c:pt>
                <c:pt idx="9">
                  <c:v>FY16</c:v>
                </c:pt>
                <c:pt idx="10">
                  <c:v>FY17</c:v>
                </c:pt>
                <c:pt idx="11">
                  <c:v>FY18</c:v>
                </c:pt>
                <c:pt idx="12">
                  <c:v>FY19</c:v>
                </c:pt>
                <c:pt idx="13">
                  <c:v>FY20</c:v>
                </c:pt>
                <c:pt idx="14">
                  <c:v>FY21</c:v>
                </c:pt>
                <c:pt idx="15">
                  <c:v>FY22</c:v>
                </c:pt>
                <c:pt idx="16">
                  <c:v>FY23</c:v>
                </c:pt>
                <c:pt idx="17">
                  <c:v>FY25</c:v>
                </c:pt>
              </c:strCache>
            </c:strRef>
          </c:cat>
          <c:val>
            <c:numRef>
              <c:f>parameters!$L$46:$AC$46</c:f>
              <c:numCache>
                <c:formatCode>#,##0.0</c:formatCode>
                <c:ptCount val="18"/>
                <c:pt idx="0">
                  <c:v>-176.3</c:v>
                </c:pt>
                <c:pt idx="1">
                  <c:v>-143</c:v>
                </c:pt>
                <c:pt idx="2">
                  <c:v>-105.5</c:v>
                </c:pt>
                <c:pt idx="3">
                  <c:v>-97.823632622684812</c:v>
                </c:pt>
                <c:pt idx="4">
                  <c:v>-75.730739773442338</c:v>
                </c:pt>
                <c:pt idx="5">
                  <c:v>-110.4290612110001</c:v>
                </c:pt>
                <c:pt idx="6">
                  <c:v>-84.706296922117531</c:v>
                </c:pt>
                <c:pt idx="7">
                  <c:v>-66.900000000000006</c:v>
                </c:pt>
                <c:pt idx="8" formatCode="0.0">
                  <c:v>-49.399214270156875</c:v>
                </c:pt>
                <c:pt idx="9" formatCode="0.0">
                  <c:v>-44.487988876901781</c:v>
                </c:pt>
                <c:pt idx="10" formatCode="0.0">
                  <c:v>-13.013026762936654</c:v>
                </c:pt>
                <c:pt idx="11" formatCode="0.0">
                  <c:v>-7.2026888360463408</c:v>
                </c:pt>
                <c:pt idx="12" formatCode="0.0">
                  <c:v>-1.8096836867057722E-2</c:v>
                </c:pt>
                <c:pt idx="13" formatCode="0.0">
                  <c:v>-1.1899810261307884E-3</c:v>
                </c:pt>
                <c:pt idx="14" formatCode="0.0">
                  <c:v>-1.2838879272505514E-2</c:v>
                </c:pt>
                <c:pt idx="15" formatCode="0.0">
                  <c:v>-1.7719228420077125E-3</c:v>
                </c:pt>
                <c:pt idx="16" formatCode="0.0">
                  <c:v>-1.9628827480482868E-6</c:v>
                </c:pt>
                <c:pt idx="17" formatCode="0.0">
                  <c:v>-1.045870017260313E-7</c:v>
                </c:pt>
              </c:numCache>
            </c:numRef>
          </c:val>
          <c:extLst>
            <c:ext xmlns:c16="http://schemas.microsoft.com/office/drawing/2014/chart" uri="{C3380CC4-5D6E-409C-BE32-E72D297353CC}">
              <c16:uniqueId val="{00000003-F4A6-4A4A-A004-206F0C3385D0}"/>
            </c:ext>
          </c:extLst>
        </c:ser>
        <c:dLbls>
          <c:showLegendKey val="0"/>
          <c:showVal val="0"/>
          <c:showCatName val="0"/>
          <c:showSerName val="0"/>
          <c:showPercent val="0"/>
          <c:showBubbleSize val="0"/>
        </c:dLbls>
        <c:gapWidth val="101"/>
        <c:axId val="98409472"/>
        <c:axId val="98411264"/>
      </c:barChart>
      <c:catAx>
        <c:axId val="98409472"/>
        <c:scaling>
          <c:orientation val="minMax"/>
        </c:scaling>
        <c:delete val="0"/>
        <c:axPos val="b"/>
        <c:numFmt formatCode="General" sourceLinked="0"/>
        <c:majorTickMark val="out"/>
        <c:minorTickMark val="none"/>
        <c:tickLblPos val="low"/>
        <c:crossAx val="98411264"/>
        <c:crosses val="autoZero"/>
        <c:auto val="1"/>
        <c:lblAlgn val="ctr"/>
        <c:lblOffset val="100"/>
        <c:noMultiLvlLbl val="0"/>
      </c:catAx>
      <c:valAx>
        <c:axId val="98411264"/>
        <c:scaling>
          <c:orientation val="minMax"/>
        </c:scaling>
        <c:delete val="0"/>
        <c:axPos val="l"/>
        <c:title>
          <c:tx>
            <c:rich>
              <a:bodyPr rot="0" vert="horz"/>
              <a:lstStyle/>
              <a:p>
                <a:pPr>
                  <a:defRPr/>
                </a:pPr>
                <a:r>
                  <a:rPr lang="en-US"/>
                  <a:t>Dollars Above/Below</a:t>
                </a:r>
                <a:r>
                  <a:rPr lang="en-US" baseline="0"/>
                  <a:t> Target Aid Share </a:t>
                </a:r>
              </a:p>
              <a:p>
                <a:pPr>
                  <a:defRPr/>
                </a:pPr>
                <a:r>
                  <a:rPr lang="en-US" baseline="0"/>
                  <a:t>($ Millions)</a:t>
                </a:r>
                <a:endParaRPr lang="en-US"/>
              </a:p>
            </c:rich>
          </c:tx>
          <c:overlay val="0"/>
        </c:title>
        <c:numFmt formatCode="#,##0" sourceLinked="0"/>
        <c:majorTickMark val="out"/>
        <c:minorTickMark val="none"/>
        <c:tickLblPos val="nextTo"/>
        <c:crossAx val="98409472"/>
        <c:crosses val="autoZero"/>
        <c:crossBetween val="between"/>
      </c:valAx>
    </c:plotArea>
    <c:legend>
      <c:legendPos val="t"/>
      <c:overlay val="0"/>
    </c:legend>
    <c:plotVisOnly val="1"/>
    <c:dispBlanksAs val="gap"/>
    <c:showDLblsOverMax val="0"/>
  </c:chart>
  <c:spPr>
    <a:ln>
      <a:noFill/>
    </a:ln>
  </c:spPr>
  <c:txPr>
    <a:bodyPr/>
    <a:lstStyle/>
    <a:p>
      <a:pPr>
        <a:defRPr b="1"/>
      </a:pPr>
      <a:endParaRPr lang="en-US"/>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Target v. Required Contribution, FY2025</a:t>
            </a:r>
          </a:p>
        </c:rich>
      </c:tx>
      <c:overlay val="0"/>
    </c:title>
    <c:autoTitleDeleted val="0"/>
    <c:plotArea>
      <c:layout>
        <c:manualLayout>
          <c:layoutTarget val="inner"/>
          <c:xMode val="edge"/>
          <c:yMode val="edge"/>
          <c:x val="0.14482951271889238"/>
          <c:y val="9.207211640774618E-2"/>
          <c:w val="0.78642503389960061"/>
          <c:h val="0.75029029134296443"/>
        </c:manualLayout>
      </c:layout>
      <c:scatterChart>
        <c:scatterStyle val="lineMarker"/>
        <c:varyColors val="0"/>
        <c:ser>
          <c:idx val="0"/>
          <c:order val="0"/>
          <c:tx>
            <c:v>Required Contribution %</c:v>
          </c:tx>
          <c:spPr>
            <a:ln w="28575">
              <a:noFill/>
            </a:ln>
          </c:spPr>
          <c:marker>
            <c:symbol val="circle"/>
            <c:size val="6"/>
            <c:spPr>
              <a:noFill/>
              <a:ln w="12700">
                <a:solidFill>
                  <a:schemeClr val="accent5">
                    <a:lumMod val="50000"/>
                  </a:schemeClr>
                </a:solidFill>
              </a:ln>
            </c:spPr>
          </c:marker>
          <c:xVal>
            <c:numRef>
              <c:f>'Townwide Contributions'!$L$7:$L$357</c:f>
              <c:numCache>
                <c:formatCode>#,##0.00</c:formatCode>
                <c:ptCount val="351"/>
                <c:pt idx="0">
                  <c:v>60.4</c:v>
                </c:pt>
                <c:pt idx="1">
                  <c:v>82.5</c:v>
                </c:pt>
                <c:pt idx="2">
                  <c:v>63.18</c:v>
                </c:pt>
                <c:pt idx="3">
                  <c:v>32.229999999999997</c:v>
                </c:pt>
                <c:pt idx="4">
                  <c:v>53.76</c:v>
                </c:pt>
                <c:pt idx="5">
                  <c:v>82.5</c:v>
                </c:pt>
                <c:pt idx="6">
                  <c:v>80.64</c:v>
                </c:pt>
                <c:pt idx="7">
                  <c:v>82.5</c:v>
                </c:pt>
                <c:pt idx="8">
                  <c:v>82.5</c:v>
                </c:pt>
                <c:pt idx="9">
                  <c:v>82.5</c:v>
                </c:pt>
                <c:pt idx="10">
                  <c:v>48.48</c:v>
                </c:pt>
                <c:pt idx="11">
                  <c:v>55.29</c:v>
                </c:pt>
                <c:pt idx="12">
                  <c:v>82.5</c:v>
                </c:pt>
                <c:pt idx="13">
                  <c:v>81.55</c:v>
                </c:pt>
                <c:pt idx="14">
                  <c:v>29.06</c:v>
                </c:pt>
                <c:pt idx="15">
                  <c:v>48.72</c:v>
                </c:pt>
                <c:pt idx="16">
                  <c:v>59.33</c:v>
                </c:pt>
                <c:pt idx="17">
                  <c:v>68.8</c:v>
                </c:pt>
                <c:pt idx="18">
                  <c:v>75.8</c:v>
                </c:pt>
                <c:pt idx="19">
                  <c:v>82.5</c:v>
                </c:pt>
                <c:pt idx="20">
                  <c:v>43.09</c:v>
                </c:pt>
                <c:pt idx="21">
                  <c:v>82.5</c:v>
                </c:pt>
                <c:pt idx="22">
                  <c:v>82.5</c:v>
                </c:pt>
                <c:pt idx="23">
                  <c:v>54.51</c:v>
                </c:pt>
                <c:pt idx="24">
                  <c:v>74.16</c:v>
                </c:pt>
                <c:pt idx="25">
                  <c:v>82.5</c:v>
                </c:pt>
                <c:pt idx="26">
                  <c:v>59.65</c:v>
                </c:pt>
                <c:pt idx="27">
                  <c:v>82.5</c:v>
                </c:pt>
                <c:pt idx="28">
                  <c:v>60.55</c:v>
                </c:pt>
                <c:pt idx="29">
                  <c:v>82.5</c:v>
                </c:pt>
                <c:pt idx="30">
                  <c:v>82.5</c:v>
                </c:pt>
                <c:pt idx="31">
                  <c:v>55</c:v>
                </c:pt>
                <c:pt idx="32">
                  <c:v>82.5</c:v>
                </c:pt>
                <c:pt idx="33">
                  <c:v>82.5</c:v>
                </c:pt>
                <c:pt idx="34">
                  <c:v>82.5</c:v>
                </c:pt>
                <c:pt idx="35">
                  <c:v>82.5</c:v>
                </c:pt>
                <c:pt idx="36">
                  <c:v>82.5</c:v>
                </c:pt>
                <c:pt idx="37">
                  <c:v>82.5</c:v>
                </c:pt>
                <c:pt idx="38">
                  <c:v>82.5</c:v>
                </c:pt>
                <c:pt idx="39">
                  <c:v>82.5</c:v>
                </c:pt>
                <c:pt idx="40">
                  <c:v>82.5</c:v>
                </c:pt>
                <c:pt idx="41">
                  <c:v>64.05</c:v>
                </c:pt>
                <c:pt idx="42">
                  <c:v>57.06</c:v>
                </c:pt>
                <c:pt idx="43">
                  <c:v>23.23</c:v>
                </c:pt>
                <c:pt idx="44">
                  <c:v>48.57</c:v>
                </c:pt>
                <c:pt idx="45">
                  <c:v>82.5</c:v>
                </c:pt>
                <c:pt idx="46">
                  <c:v>57.44</c:v>
                </c:pt>
                <c:pt idx="47">
                  <c:v>82.5</c:v>
                </c:pt>
                <c:pt idx="48">
                  <c:v>82.5</c:v>
                </c:pt>
                <c:pt idx="49">
                  <c:v>82.5</c:v>
                </c:pt>
                <c:pt idx="50">
                  <c:v>82.5</c:v>
                </c:pt>
                <c:pt idx="51">
                  <c:v>58.4</c:v>
                </c:pt>
                <c:pt idx="52">
                  <c:v>59.7</c:v>
                </c:pt>
                <c:pt idx="53">
                  <c:v>61</c:v>
                </c:pt>
                <c:pt idx="54">
                  <c:v>82.5</c:v>
                </c:pt>
                <c:pt idx="55">
                  <c:v>82.5</c:v>
                </c:pt>
                <c:pt idx="56">
                  <c:v>22.05</c:v>
                </c:pt>
                <c:pt idx="57">
                  <c:v>55.22</c:v>
                </c:pt>
                <c:pt idx="58">
                  <c:v>56.38</c:v>
                </c:pt>
                <c:pt idx="59">
                  <c:v>81.75</c:v>
                </c:pt>
                <c:pt idx="60">
                  <c:v>29.06</c:v>
                </c:pt>
                <c:pt idx="61">
                  <c:v>82.5</c:v>
                </c:pt>
                <c:pt idx="62">
                  <c:v>31.7</c:v>
                </c:pt>
                <c:pt idx="63">
                  <c:v>43.53</c:v>
                </c:pt>
                <c:pt idx="64">
                  <c:v>82.5</c:v>
                </c:pt>
                <c:pt idx="65">
                  <c:v>60.22</c:v>
                </c:pt>
                <c:pt idx="66">
                  <c:v>82.5</c:v>
                </c:pt>
                <c:pt idx="67">
                  <c:v>82.5</c:v>
                </c:pt>
                <c:pt idx="68">
                  <c:v>82.5</c:v>
                </c:pt>
                <c:pt idx="69">
                  <c:v>47.83</c:v>
                </c:pt>
                <c:pt idx="70">
                  <c:v>82.5</c:v>
                </c:pt>
                <c:pt idx="71">
                  <c:v>82.5</c:v>
                </c:pt>
                <c:pt idx="72">
                  <c:v>82.5</c:v>
                </c:pt>
                <c:pt idx="73">
                  <c:v>82.5</c:v>
                </c:pt>
                <c:pt idx="74">
                  <c:v>82.5</c:v>
                </c:pt>
                <c:pt idx="75">
                  <c:v>56.12</c:v>
                </c:pt>
                <c:pt idx="76">
                  <c:v>68.150000000000006</c:v>
                </c:pt>
                <c:pt idx="77">
                  <c:v>82.5</c:v>
                </c:pt>
                <c:pt idx="78">
                  <c:v>58.02</c:v>
                </c:pt>
                <c:pt idx="79">
                  <c:v>44.69</c:v>
                </c:pt>
                <c:pt idx="80">
                  <c:v>82.5</c:v>
                </c:pt>
                <c:pt idx="81">
                  <c:v>82.5</c:v>
                </c:pt>
                <c:pt idx="82">
                  <c:v>60.23</c:v>
                </c:pt>
                <c:pt idx="83">
                  <c:v>58.32</c:v>
                </c:pt>
                <c:pt idx="84">
                  <c:v>82.5</c:v>
                </c:pt>
                <c:pt idx="85">
                  <c:v>68.3</c:v>
                </c:pt>
                <c:pt idx="86">
                  <c:v>61.74</c:v>
                </c:pt>
                <c:pt idx="87">
                  <c:v>82.5</c:v>
                </c:pt>
                <c:pt idx="88">
                  <c:v>82.5</c:v>
                </c:pt>
                <c:pt idx="89">
                  <c:v>82.5</c:v>
                </c:pt>
                <c:pt idx="90">
                  <c:v>82.5</c:v>
                </c:pt>
                <c:pt idx="91">
                  <c:v>82.5</c:v>
                </c:pt>
                <c:pt idx="92">
                  <c:v>34.08</c:v>
                </c:pt>
                <c:pt idx="93">
                  <c:v>73.48</c:v>
                </c:pt>
                <c:pt idx="94">
                  <c:v>22.28</c:v>
                </c:pt>
                <c:pt idx="95">
                  <c:v>82.5</c:v>
                </c:pt>
                <c:pt idx="96">
                  <c:v>27.09</c:v>
                </c:pt>
                <c:pt idx="97">
                  <c:v>61.42</c:v>
                </c:pt>
                <c:pt idx="98">
                  <c:v>82.5</c:v>
                </c:pt>
                <c:pt idx="99">
                  <c:v>54.6</c:v>
                </c:pt>
                <c:pt idx="100">
                  <c:v>81.150000000000006</c:v>
                </c:pt>
                <c:pt idx="101">
                  <c:v>78.680000000000007</c:v>
                </c:pt>
                <c:pt idx="102">
                  <c:v>32.119999999999997</c:v>
                </c:pt>
                <c:pt idx="103">
                  <c:v>82.5</c:v>
                </c:pt>
                <c:pt idx="104">
                  <c:v>82.5</c:v>
                </c:pt>
                <c:pt idx="105">
                  <c:v>70.84</c:v>
                </c:pt>
                <c:pt idx="106">
                  <c:v>82.5</c:v>
                </c:pt>
                <c:pt idx="107">
                  <c:v>69.5</c:v>
                </c:pt>
                <c:pt idx="108">
                  <c:v>0</c:v>
                </c:pt>
                <c:pt idx="109">
                  <c:v>76.75</c:v>
                </c:pt>
                <c:pt idx="110">
                  <c:v>65.180000000000007</c:v>
                </c:pt>
                <c:pt idx="111">
                  <c:v>78.14</c:v>
                </c:pt>
                <c:pt idx="112">
                  <c:v>82.5</c:v>
                </c:pt>
                <c:pt idx="113">
                  <c:v>44.41</c:v>
                </c:pt>
                <c:pt idx="114">
                  <c:v>82.5</c:v>
                </c:pt>
                <c:pt idx="115">
                  <c:v>81.19</c:v>
                </c:pt>
                <c:pt idx="116">
                  <c:v>82.5</c:v>
                </c:pt>
                <c:pt idx="117">
                  <c:v>58.15</c:v>
                </c:pt>
                <c:pt idx="118">
                  <c:v>82.5</c:v>
                </c:pt>
                <c:pt idx="119">
                  <c:v>82.5</c:v>
                </c:pt>
                <c:pt idx="120">
                  <c:v>82.5</c:v>
                </c:pt>
                <c:pt idx="121">
                  <c:v>82.5</c:v>
                </c:pt>
                <c:pt idx="122">
                  <c:v>66.86</c:v>
                </c:pt>
                <c:pt idx="123">
                  <c:v>44.21</c:v>
                </c:pt>
                <c:pt idx="124">
                  <c:v>82.5</c:v>
                </c:pt>
                <c:pt idx="125">
                  <c:v>82.5</c:v>
                </c:pt>
                <c:pt idx="126">
                  <c:v>82.5</c:v>
                </c:pt>
                <c:pt idx="127">
                  <c:v>42.68</c:v>
                </c:pt>
                <c:pt idx="128">
                  <c:v>82.5</c:v>
                </c:pt>
                <c:pt idx="129">
                  <c:v>42.21</c:v>
                </c:pt>
                <c:pt idx="130">
                  <c:v>82.5</c:v>
                </c:pt>
                <c:pt idx="131">
                  <c:v>82.5</c:v>
                </c:pt>
                <c:pt idx="132">
                  <c:v>52.5</c:v>
                </c:pt>
                <c:pt idx="133">
                  <c:v>63.29</c:v>
                </c:pt>
                <c:pt idx="134">
                  <c:v>67.91</c:v>
                </c:pt>
                <c:pt idx="135">
                  <c:v>82.5</c:v>
                </c:pt>
                <c:pt idx="136">
                  <c:v>19.34</c:v>
                </c:pt>
                <c:pt idx="137">
                  <c:v>60.25</c:v>
                </c:pt>
                <c:pt idx="138">
                  <c:v>82.5</c:v>
                </c:pt>
                <c:pt idx="139">
                  <c:v>58.42</c:v>
                </c:pt>
                <c:pt idx="140">
                  <c:v>69.819999999999993</c:v>
                </c:pt>
                <c:pt idx="141">
                  <c:v>82.5</c:v>
                </c:pt>
                <c:pt idx="142">
                  <c:v>42.82</c:v>
                </c:pt>
                <c:pt idx="143">
                  <c:v>82.5</c:v>
                </c:pt>
                <c:pt idx="144">
                  <c:v>68.78</c:v>
                </c:pt>
                <c:pt idx="145">
                  <c:v>76.849999999999994</c:v>
                </c:pt>
                <c:pt idx="146">
                  <c:v>71.86</c:v>
                </c:pt>
                <c:pt idx="147">
                  <c:v>60.48</c:v>
                </c:pt>
                <c:pt idx="148">
                  <c:v>15.45</c:v>
                </c:pt>
                <c:pt idx="149">
                  <c:v>82.5</c:v>
                </c:pt>
                <c:pt idx="150">
                  <c:v>52.49</c:v>
                </c:pt>
                <c:pt idx="151">
                  <c:v>82.5</c:v>
                </c:pt>
                <c:pt idx="152">
                  <c:v>40.28</c:v>
                </c:pt>
                <c:pt idx="153">
                  <c:v>82.5</c:v>
                </c:pt>
                <c:pt idx="154">
                  <c:v>82.5</c:v>
                </c:pt>
                <c:pt idx="155">
                  <c:v>82.5</c:v>
                </c:pt>
                <c:pt idx="156">
                  <c:v>82.5</c:v>
                </c:pt>
                <c:pt idx="157">
                  <c:v>82.5</c:v>
                </c:pt>
                <c:pt idx="158">
                  <c:v>82.5</c:v>
                </c:pt>
                <c:pt idx="159">
                  <c:v>25.29</c:v>
                </c:pt>
                <c:pt idx="160">
                  <c:v>60.44</c:v>
                </c:pt>
                <c:pt idx="161">
                  <c:v>65.77</c:v>
                </c:pt>
                <c:pt idx="162">
                  <c:v>23.3</c:v>
                </c:pt>
                <c:pt idx="163">
                  <c:v>82.5</c:v>
                </c:pt>
                <c:pt idx="164">
                  <c:v>56.26</c:v>
                </c:pt>
                <c:pt idx="165">
                  <c:v>82.5</c:v>
                </c:pt>
                <c:pt idx="166">
                  <c:v>82.13</c:v>
                </c:pt>
                <c:pt idx="167">
                  <c:v>82.5</c:v>
                </c:pt>
                <c:pt idx="168">
                  <c:v>82.5</c:v>
                </c:pt>
                <c:pt idx="169">
                  <c:v>52.09</c:v>
                </c:pt>
                <c:pt idx="170">
                  <c:v>82.5</c:v>
                </c:pt>
                <c:pt idx="171">
                  <c:v>82.5</c:v>
                </c:pt>
                <c:pt idx="172">
                  <c:v>82.5</c:v>
                </c:pt>
                <c:pt idx="173">
                  <c:v>76.94</c:v>
                </c:pt>
                <c:pt idx="174">
                  <c:v>82.5</c:v>
                </c:pt>
                <c:pt idx="175">
                  <c:v>82.5</c:v>
                </c:pt>
                <c:pt idx="176">
                  <c:v>77.63</c:v>
                </c:pt>
                <c:pt idx="177">
                  <c:v>82.5</c:v>
                </c:pt>
                <c:pt idx="178">
                  <c:v>82.5</c:v>
                </c:pt>
                <c:pt idx="179">
                  <c:v>77.010000000000005</c:v>
                </c:pt>
                <c:pt idx="180">
                  <c:v>45.43</c:v>
                </c:pt>
                <c:pt idx="181">
                  <c:v>55.24</c:v>
                </c:pt>
                <c:pt idx="182">
                  <c:v>82.5</c:v>
                </c:pt>
                <c:pt idx="183">
                  <c:v>82.5</c:v>
                </c:pt>
                <c:pt idx="184">
                  <c:v>41.9</c:v>
                </c:pt>
                <c:pt idx="185">
                  <c:v>66.83</c:v>
                </c:pt>
                <c:pt idx="186">
                  <c:v>82.5</c:v>
                </c:pt>
                <c:pt idx="187">
                  <c:v>52.54</c:v>
                </c:pt>
                <c:pt idx="188">
                  <c:v>82.5</c:v>
                </c:pt>
                <c:pt idx="189">
                  <c:v>53.81</c:v>
                </c:pt>
                <c:pt idx="190">
                  <c:v>57.79</c:v>
                </c:pt>
                <c:pt idx="191">
                  <c:v>48.8</c:v>
                </c:pt>
                <c:pt idx="192">
                  <c:v>82.5</c:v>
                </c:pt>
                <c:pt idx="193">
                  <c:v>82.5</c:v>
                </c:pt>
                <c:pt idx="194">
                  <c:v>82.5</c:v>
                </c:pt>
                <c:pt idx="195">
                  <c:v>82.5</c:v>
                </c:pt>
                <c:pt idx="196">
                  <c:v>82.5</c:v>
                </c:pt>
                <c:pt idx="197">
                  <c:v>82.5</c:v>
                </c:pt>
                <c:pt idx="198">
                  <c:v>82.5</c:v>
                </c:pt>
                <c:pt idx="199">
                  <c:v>82.5</c:v>
                </c:pt>
                <c:pt idx="200">
                  <c:v>20</c:v>
                </c:pt>
                <c:pt idx="201">
                  <c:v>69.180000000000007</c:v>
                </c:pt>
                <c:pt idx="202">
                  <c:v>82.5</c:v>
                </c:pt>
                <c:pt idx="203">
                  <c:v>82.5</c:v>
                </c:pt>
                <c:pt idx="204">
                  <c:v>82.5</c:v>
                </c:pt>
                <c:pt idx="205">
                  <c:v>68.709999999999994</c:v>
                </c:pt>
                <c:pt idx="206">
                  <c:v>82.5</c:v>
                </c:pt>
                <c:pt idx="207">
                  <c:v>82.5</c:v>
                </c:pt>
                <c:pt idx="208">
                  <c:v>27.61</c:v>
                </c:pt>
                <c:pt idx="209">
                  <c:v>82.5</c:v>
                </c:pt>
                <c:pt idx="210">
                  <c:v>82.5</c:v>
                </c:pt>
                <c:pt idx="211">
                  <c:v>74.48</c:v>
                </c:pt>
                <c:pt idx="212">
                  <c:v>82.5</c:v>
                </c:pt>
                <c:pt idx="213">
                  <c:v>61.33</c:v>
                </c:pt>
                <c:pt idx="214">
                  <c:v>48.64</c:v>
                </c:pt>
                <c:pt idx="215">
                  <c:v>82.5</c:v>
                </c:pt>
                <c:pt idx="216">
                  <c:v>82.5</c:v>
                </c:pt>
                <c:pt idx="217">
                  <c:v>79.61</c:v>
                </c:pt>
                <c:pt idx="218">
                  <c:v>82.5</c:v>
                </c:pt>
                <c:pt idx="219">
                  <c:v>82.5</c:v>
                </c:pt>
                <c:pt idx="220">
                  <c:v>82.5</c:v>
                </c:pt>
                <c:pt idx="221">
                  <c:v>60.35</c:v>
                </c:pt>
                <c:pt idx="222">
                  <c:v>28.82</c:v>
                </c:pt>
                <c:pt idx="223">
                  <c:v>82.5</c:v>
                </c:pt>
                <c:pt idx="224">
                  <c:v>82.5</c:v>
                </c:pt>
                <c:pt idx="225">
                  <c:v>51.31</c:v>
                </c:pt>
                <c:pt idx="226">
                  <c:v>41.82</c:v>
                </c:pt>
                <c:pt idx="227">
                  <c:v>69.239999999999995</c:v>
                </c:pt>
                <c:pt idx="228">
                  <c:v>67.290000000000006</c:v>
                </c:pt>
                <c:pt idx="229">
                  <c:v>82.5</c:v>
                </c:pt>
                <c:pt idx="230">
                  <c:v>81.69</c:v>
                </c:pt>
                <c:pt idx="231">
                  <c:v>64.67</c:v>
                </c:pt>
                <c:pt idx="232">
                  <c:v>50.52</c:v>
                </c:pt>
                <c:pt idx="233">
                  <c:v>64.78</c:v>
                </c:pt>
                <c:pt idx="234">
                  <c:v>56.25</c:v>
                </c:pt>
                <c:pt idx="235">
                  <c:v>36.89</c:v>
                </c:pt>
                <c:pt idx="236">
                  <c:v>75.17</c:v>
                </c:pt>
                <c:pt idx="237">
                  <c:v>81.239999999999995</c:v>
                </c:pt>
                <c:pt idx="238">
                  <c:v>82.5</c:v>
                </c:pt>
                <c:pt idx="239">
                  <c:v>74.69</c:v>
                </c:pt>
                <c:pt idx="240">
                  <c:v>82.5</c:v>
                </c:pt>
                <c:pt idx="241">
                  <c:v>82.5</c:v>
                </c:pt>
                <c:pt idx="242">
                  <c:v>82.5</c:v>
                </c:pt>
                <c:pt idx="243">
                  <c:v>59.18</c:v>
                </c:pt>
                <c:pt idx="244">
                  <c:v>64.22</c:v>
                </c:pt>
                <c:pt idx="245">
                  <c:v>82.5</c:v>
                </c:pt>
                <c:pt idx="246">
                  <c:v>82.5</c:v>
                </c:pt>
                <c:pt idx="247">
                  <c:v>39.4</c:v>
                </c:pt>
                <c:pt idx="248">
                  <c:v>82.5</c:v>
                </c:pt>
                <c:pt idx="249">
                  <c:v>73.64</c:v>
                </c:pt>
                <c:pt idx="250">
                  <c:v>50.64</c:v>
                </c:pt>
                <c:pt idx="251">
                  <c:v>82.5</c:v>
                </c:pt>
                <c:pt idx="252">
                  <c:v>82.5</c:v>
                </c:pt>
                <c:pt idx="253">
                  <c:v>82.5</c:v>
                </c:pt>
                <c:pt idx="254">
                  <c:v>57.65</c:v>
                </c:pt>
                <c:pt idx="255">
                  <c:v>45.73</c:v>
                </c:pt>
                <c:pt idx="256">
                  <c:v>49.73</c:v>
                </c:pt>
                <c:pt idx="257">
                  <c:v>70.89</c:v>
                </c:pt>
                <c:pt idx="258">
                  <c:v>82.5</c:v>
                </c:pt>
                <c:pt idx="259">
                  <c:v>82.5</c:v>
                </c:pt>
                <c:pt idx="260">
                  <c:v>82.5</c:v>
                </c:pt>
                <c:pt idx="261">
                  <c:v>82.5</c:v>
                </c:pt>
                <c:pt idx="262">
                  <c:v>72.91</c:v>
                </c:pt>
                <c:pt idx="263">
                  <c:v>82.5</c:v>
                </c:pt>
                <c:pt idx="264">
                  <c:v>77.8</c:v>
                </c:pt>
                <c:pt idx="265">
                  <c:v>82.5</c:v>
                </c:pt>
                <c:pt idx="266">
                  <c:v>82.5</c:v>
                </c:pt>
                <c:pt idx="267">
                  <c:v>80.400000000000006</c:v>
                </c:pt>
                <c:pt idx="268">
                  <c:v>82.5</c:v>
                </c:pt>
                <c:pt idx="269">
                  <c:v>63.3</c:v>
                </c:pt>
                <c:pt idx="270">
                  <c:v>82.5</c:v>
                </c:pt>
                <c:pt idx="271">
                  <c:v>67.72</c:v>
                </c:pt>
                <c:pt idx="272">
                  <c:v>60.03</c:v>
                </c:pt>
                <c:pt idx="273">
                  <c:v>82.5</c:v>
                </c:pt>
                <c:pt idx="274">
                  <c:v>81.06</c:v>
                </c:pt>
                <c:pt idx="275">
                  <c:v>82.5</c:v>
                </c:pt>
                <c:pt idx="276">
                  <c:v>25.46</c:v>
                </c:pt>
                <c:pt idx="277">
                  <c:v>67.12</c:v>
                </c:pt>
                <c:pt idx="278">
                  <c:v>71.63</c:v>
                </c:pt>
                <c:pt idx="279">
                  <c:v>49.46</c:v>
                </c:pt>
                <c:pt idx="280">
                  <c:v>15.57</c:v>
                </c:pt>
                <c:pt idx="281">
                  <c:v>82.5</c:v>
                </c:pt>
                <c:pt idx="282">
                  <c:v>82.5</c:v>
                </c:pt>
                <c:pt idx="283">
                  <c:v>82.5</c:v>
                </c:pt>
                <c:pt idx="284">
                  <c:v>59.32</c:v>
                </c:pt>
                <c:pt idx="285">
                  <c:v>82.5</c:v>
                </c:pt>
                <c:pt idx="286">
                  <c:v>58.78</c:v>
                </c:pt>
                <c:pt idx="287">
                  <c:v>82.5</c:v>
                </c:pt>
                <c:pt idx="288">
                  <c:v>82.5</c:v>
                </c:pt>
                <c:pt idx="289">
                  <c:v>82.5</c:v>
                </c:pt>
                <c:pt idx="290">
                  <c:v>82.5</c:v>
                </c:pt>
                <c:pt idx="291">
                  <c:v>65.459999999999994</c:v>
                </c:pt>
                <c:pt idx="292">
                  <c:v>36.229999999999997</c:v>
                </c:pt>
                <c:pt idx="293">
                  <c:v>41.24</c:v>
                </c:pt>
                <c:pt idx="294">
                  <c:v>82.5</c:v>
                </c:pt>
                <c:pt idx="295">
                  <c:v>82.5</c:v>
                </c:pt>
                <c:pt idx="296">
                  <c:v>82.5</c:v>
                </c:pt>
                <c:pt idx="297">
                  <c:v>82.5</c:v>
                </c:pt>
                <c:pt idx="298">
                  <c:v>53.94</c:v>
                </c:pt>
                <c:pt idx="299">
                  <c:v>82.5</c:v>
                </c:pt>
                <c:pt idx="300">
                  <c:v>77.97</c:v>
                </c:pt>
                <c:pt idx="301">
                  <c:v>82.5</c:v>
                </c:pt>
                <c:pt idx="302">
                  <c:v>82.5</c:v>
                </c:pt>
                <c:pt idx="303">
                  <c:v>73.28</c:v>
                </c:pt>
                <c:pt idx="304">
                  <c:v>82.5</c:v>
                </c:pt>
                <c:pt idx="305">
                  <c:v>41.04</c:v>
                </c:pt>
                <c:pt idx="306">
                  <c:v>82.5</c:v>
                </c:pt>
                <c:pt idx="307">
                  <c:v>82.5</c:v>
                </c:pt>
                <c:pt idx="308">
                  <c:v>33.28</c:v>
                </c:pt>
                <c:pt idx="309">
                  <c:v>66.430000000000007</c:v>
                </c:pt>
                <c:pt idx="310">
                  <c:v>34.39</c:v>
                </c:pt>
                <c:pt idx="311">
                  <c:v>82.5</c:v>
                </c:pt>
                <c:pt idx="312">
                  <c:v>65.510000000000005</c:v>
                </c:pt>
                <c:pt idx="313">
                  <c:v>82.5</c:v>
                </c:pt>
                <c:pt idx="314">
                  <c:v>82.5</c:v>
                </c:pt>
                <c:pt idx="315">
                  <c:v>46.11</c:v>
                </c:pt>
                <c:pt idx="316">
                  <c:v>82.5</c:v>
                </c:pt>
                <c:pt idx="317">
                  <c:v>82.5</c:v>
                </c:pt>
                <c:pt idx="318">
                  <c:v>42.41</c:v>
                </c:pt>
                <c:pt idx="319">
                  <c:v>82.5</c:v>
                </c:pt>
                <c:pt idx="320">
                  <c:v>82.5</c:v>
                </c:pt>
                <c:pt idx="321">
                  <c:v>82.5</c:v>
                </c:pt>
                <c:pt idx="322">
                  <c:v>59.87</c:v>
                </c:pt>
                <c:pt idx="323">
                  <c:v>64.349999999999994</c:v>
                </c:pt>
                <c:pt idx="324">
                  <c:v>45.6</c:v>
                </c:pt>
                <c:pt idx="325">
                  <c:v>82.5</c:v>
                </c:pt>
                <c:pt idx="326">
                  <c:v>82.5</c:v>
                </c:pt>
                <c:pt idx="327">
                  <c:v>60.71</c:v>
                </c:pt>
                <c:pt idx="328">
                  <c:v>82.5</c:v>
                </c:pt>
                <c:pt idx="329">
                  <c:v>82.5</c:v>
                </c:pt>
                <c:pt idx="330">
                  <c:v>82.5</c:v>
                </c:pt>
                <c:pt idx="331">
                  <c:v>40.58</c:v>
                </c:pt>
                <c:pt idx="332">
                  <c:v>82.5</c:v>
                </c:pt>
                <c:pt idx="333">
                  <c:v>82.5</c:v>
                </c:pt>
                <c:pt idx="334">
                  <c:v>82.5</c:v>
                </c:pt>
                <c:pt idx="335">
                  <c:v>82.5</c:v>
                </c:pt>
                <c:pt idx="336">
                  <c:v>82.5</c:v>
                </c:pt>
                <c:pt idx="337">
                  <c:v>49.38</c:v>
                </c:pt>
                <c:pt idx="338">
                  <c:v>66.28</c:v>
                </c:pt>
                <c:pt idx="339">
                  <c:v>73.03</c:v>
                </c:pt>
                <c:pt idx="340">
                  <c:v>82.5</c:v>
                </c:pt>
                <c:pt idx="341">
                  <c:v>82.5</c:v>
                </c:pt>
                <c:pt idx="342">
                  <c:v>35.24</c:v>
                </c:pt>
                <c:pt idx="343">
                  <c:v>82.5</c:v>
                </c:pt>
                <c:pt idx="344">
                  <c:v>82.5</c:v>
                </c:pt>
                <c:pt idx="345">
                  <c:v>76.62</c:v>
                </c:pt>
                <c:pt idx="346">
                  <c:v>82.5</c:v>
                </c:pt>
                <c:pt idx="347">
                  <c:v>29.29</c:v>
                </c:pt>
                <c:pt idx="348">
                  <c:v>82.5</c:v>
                </c:pt>
                <c:pt idx="349">
                  <c:v>82.5</c:v>
                </c:pt>
                <c:pt idx="350">
                  <c:v>82.5</c:v>
                </c:pt>
              </c:numCache>
            </c:numRef>
          </c:xVal>
          <c:yVal>
            <c:numRef>
              <c:f>'Townwide Contributions'!$Y$7:$Y$357</c:f>
              <c:numCache>
                <c:formatCode>#,##0.00</c:formatCode>
                <c:ptCount val="351"/>
                <c:pt idx="0">
                  <c:v>55.074744772398148</c:v>
                </c:pt>
                <c:pt idx="1">
                  <c:v>80.48263966226034</c:v>
                </c:pt>
                <c:pt idx="2">
                  <c:v>56.666232204085645</c:v>
                </c:pt>
                <c:pt idx="3">
                  <c:v>29.93745768307102</c:v>
                </c:pt>
                <c:pt idx="4">
                  <c:v>50.771197012831671</c:v>
                </c:pt>
                <c:pt idx="5">
                  <c:v>82.499918004768674</c:v>
                </c:pt>
                <c:pt idx="6">
                  <c:v>72.313289996770621</c:v>
                </c:pt>
                <c:pt idx="7">
                  <c:v>82.500001770646946</c:v>
                </c:pt>
                <c:pt idx="8">
                  <c:v>82.500000203684365</c:v>
                </c:pt>
                <c:pt idx="9">
                  <c:v>76.041471951393333</c:v>
                </c:pt>
                <c:pt idx="10">
                  <c:v>45.877630906103093</c:v>
                </c:pt>
                <c:pt idx="11">
                  <c:v>51.956805710347915</c:v>
                </c:pt>
                <c:pt idx="12">
                  <c:v>73.167760221421062</c:v>
                </c:pt>
                <c:pt idx="13">
                  <c:v>70.94116034830968</c:v>
                </c:pt>
                <c:pt idx="14">
                  <c:v>15.05306297161618</c:v>
                </c:pt>
                <c:pt idx="15">
                  <c:v>45.124243504438404</c:v>
                </c:pt>
                <c:pt idx="16">
                  <c:v>54.691885477357268</c:v>
                </c:pt>
                <c:pt idx="17">
                  <c:v>59.642464041328623</c:v>
                </c:pt>
                <c:pt idx="18">
                  <c:v>71.316679581195629</c:v>
                </c:pt>
                <c:pt idx="19">
                  <c:v>71.90693699485584</c:v>
                </c:pt>
                <c:pt idx="20">
                  <c:v>38.2888672973653</c:v>
                </c:pt>
                <c:pt idx="21">
                  <c:v>79.318775893012628</c:v>
                </c:pt>
                <c:pt idx="22">
                  <c:v>82.50000038358607</c:v>
                </c:pt>
                <c:pt idx="23">
                  <c:v>51.08334225760084</c:v>
                </c:pt>
                <c:pt idx="24">
                  <c:v>69.202893856920909</c:v>
                </c:pt>
                <c:pt idx="25">
                  <c:v>80.440901254583821</c:v>
                </c:pt>
                <c:pt idx="26">
                  <c:v>56.406993724594635</c:v>
                </c:pt>
                <c:pt idx="27">
                  <c:v>70.560380011088313</c:v>
                </c:pt>
                <c:pt idx="28">
                  <c:v>53.839302388336456</c:v>
                </c:pt>
                <c:pt idx="29">
                  <c:v>78.409028992992916</c:v>
                </c:pt>
                <c:pt idx="30">
                  <c:v>80.467102010456287</c:v>
                </c:pt>
                <c:pt idx="31">
                  <c:v>51.409447910676363</c:v>
                </c:pt>
                <c:pt idx="32">
                  <c:v>69.029797477556016</c:v>
                </c:pt>
                <c:pt idx="33">
                  <c:v>80.751163132709877</c:v>
                </c:pt>
                <c:pt idx="34">
                  <c:v>82.49999998604666</c:v>
                </c:pt>
                <c:pt idx="35">
                  <c:v>80.13373557391958</c:v>
                </c:pt>
                <c:pt idx="36">
                  <c:v>76.247765062511405</c:v>
                </c:pt>
                <c:pt idx="37">
                  <c:v>79.118631452062729</c:v>
                </c:pt>
                <c:pt idx="38">
                  <c:v>82.500000137698592</c:v>
                </c:pt>
                <c:pt idx="39">
                  <c:v>75.037060063367377</c:v>
                </c:pt>
                <c:pt idx="40">
                  <c:v>82.499998536664521</c:v>
                </c:pt>
                <c:pt idx="41">
                  <c:v>58.355618468499706</c:v>
                </c:pt>
                <c:pt idx="42">
                  <c:v>52.298881922228716</c:v>
                </c:pt>
                <c:pt idx="43">
                  <c:v>18.553430627291768</c:v>
                </c:pt>
                <c:pt idx="44">
                  <c:v>43.521100442880169</c:v>
                </c:pt>
                <c:pt idx="45">
                  <c:v>82.499999961609348</c:v>
                </c:pt>
                <c:pt idx="46">
                  <c:v>53.092679962298043</c:v>
                </c:pt>
                <c:pt idx="47">
                  <c:v>79.656515172701475</c:v>
                </c:pt>
                <c:pt idx="48">
                  <c:v>82.499999919709794</c:v>
                </c:pt>
                <c:pt idx="49">
                  <c:v>81.30873672780784</c:v>
                </c:pt>
                <c:pt idx="50">
                  <c:v>82.500001642625861</c:v>
                </c:pt>
                <c:pt idx="51">
                  <c:v>54.462134434327162</c:v>
                </c:pt>
                <c:pt idx="52">
                  <c:v>56.150733845066448</c:v>
                </c:pt>
                <c:pt idx="53">
                  <c:v>56.07544036066021</c:v>
                </c:pt>
                <c:pt idx="54">
                  <c:v>82.499992029638491</c:v>
                </c:pt>
                <c:pt idx="55">
                  <c:v>78.435091381040465</c:v>
                </c:pt>
                <c:pt idx="56">
                  <c:v>16.14908662370118</c:v>
                </c:pt>
                <c:pt idx="57">
                  <c:v>50.225916199991133</c:v>
                </c:pt>
                <c:pt idx="58">
                  <c:v>50.596315661550136</c:v>
                </c:pt>
                <c:pt idx="59">
                  <c:v>76.61800014218872</c:v>
                </c:pt>
                <c:pt idx="60">
                  <c:v>27.201044219280071</c:v>
                </c:pt>
                <c:pt idx="61">
                  <c:v>82.499999862801175</c:v>
                </c:pt>
                <c:pt idx="62">
                  <c:v>27.920062513862842</c:v>
                </c:pt>
                <c:pt idx="63">
                  <c:v>40.724852264643388</c:v>
                </c:pt>
                <c:pt idx="64">
                  <c:v>82.499998936513421</c:v>
                </c:pt>
                <c:pt idx="65">
                  <c:v>57.851904975852506</c:v>
                </c:pt>
                <c:pt idx="66">
                  <c:v>82.500001148181013</c:v>
                </c:pt>
                <c:pt idx="67">
                  <c:v>82.499994255544749</c:v>
                </c:pt>
                <c:pt idx="68">
                  <c:v>82.499994398179595</c:v>
                </c:pt>
                <c:pt idx="69">
                  <c:v>45.477351971191702</c:v>
                </c:pt>
                <c:pt idx="70">
                  <c:v>78.773367223677852</c:v>
                </c:pt>
                <c:pt idx="71">
                  <c:v>80.947536169914528</c:v>
                </c:pt>
                <c:pt idx="72">
                  <c:v>75.065816643065986</c:v>
                </c:pt>
                <c:pt idx="73">
                  <c:v>82.500001105658384</c:v>
                </c:pt>
                <c:pt idx="74">
                  <c:v>82.499998097139354</c:v>
                </c:pt>
                <c:pt idx="75">
                  <c:v>51.047553829657325</c:v>
                </c:pt>
                <c:pt idx="76">
                  <c:v>62.16511724212446</c:v>
                </c:pt>
                <c:pt idx="77">
                  <c:v>82.499999706569199</c:v>
                </c:pt>
                <c:pt idx="78">
                  <c:v>51.251253092925545</c:v>
                </c:pt>
                <c:pt idx="79">
                  <c:v>37.294058832721504</c:v>
                </c:pt>
                <c:pt idx="80">
                  <c:v>81.021293813921034</c:v>
                </c:pt>
                <c:pt idx="81">
                  <c:v>82.500001178181364</c:v>
                </c:pt>
                <c:pt idx="82">
                  <c:v>55.195050157686069</c:v>
                </c:pt>
                <c:pt idx="83">
                  <c:v>53.055739733442486</c:v>
                </c:pt>
                <c:pt idx="84">
                  <c:v>82.500003754974443</c:v>
                </c:pt>
                <c:pt idx="85">
                  <c:v>64.667056811216483</c:v>
                </c:pt>
                <c:pt idx="86">
                  <c:v>57.134809727449429</c:v>
                </c:pt>
                <c:pt idx="87">
                  <c:v>78.295835945702493</c:v>
                </c:pt>
                <c:pt idx="88">
                  <c:v>82.499997993804939</c:v>
                </c:pt>
                <c:pt idx="89">
                  <c:v>82.500008575395199</c:v>
                </c:pt>
                <c:pt idx="90">
                  <c:v>80.571135945805182</c:v>
                </c:pt>
                <c:pt idx="91">
                  <c:v>80.360286105218137</c:v>
                </c:pt>
                <c:pt idx="92">
                  <c:v>27.030424790513546</c:v>
                </c:pt>
                <c:pt idx="93">
                  <c:v>63.096007730732389</c:v>
                </c:pt>
                <c:pt idx="94">
                  <c:v>16.754174040453645</c:v>
                </c:pt>
                <c:pt idx="95">
                  <c:v>82.500000267170762</c:v>
                </c:pt>
                <c:pt idx="96">
                  <c:v>22.873579391270663</c:v>
                </c:pt>
                <c:pt idx="97">
                  <c:v>50.856484717404051</c:v>
                </c:pt>
                <c:pt idx="98">
                  <c:v>80.281828256534951</c:v>
                </c:pt>
                <c:pt idx="99">
                  <c:v>47.556622003417196</c:v>
                </c:pt>
                <c:pt idx="100">
                  <c:v>74.948990233166469</c:v>
                </c:pt>
                <c:pt idx="101">
                  <c:v>72.891205889501649</c:v>
                </c:pt>
                <c:pt idx="102">
                  <c:v>28.63740742043035</c:v>
                </c:pt>
                <c:pt idx="103">
                  <c:v>82.499997349036718</c:v>
                </c:pt>
                <c:pt idx="104">
                  <c:v>79.097929439441728</c:v>
                </c:pt>
                <c:pt idx="105">
                  <c:v>66.796026968044757</c:v>
                </c:pt>
                <c:pt idx="106">
                  <c:v>76.28320759135903</c:v>
                </c:pt>
                <c:pt idx="107">
                  <c:v>65.870661699029867</c:v>
                </c:pt>
                <c:pt idx="108">
                  <c:v>0</c:v>
                </c:pt>
                <c:pt idx="109">
                  <c:v>69.572217064723674</c:v>
                </c:pt>
                <c:pt idx="110">
                  <c:v>61.259214253086881</c:v>
                </c:pt>
                <c:pt idx="111">
                  <c:v>74.271978417952141</c:v>
                </c:pt>
                <c:pt idx="112">
                  <c:v>75.952385350046853</c:v>
                </c:pt>
                <c:pt idx="113">
                  <c:v>41.006429051651708</c:v>
                </c:pt>
                <c:pt idx="114">
                  <c:v>82.359729439142697</c:v>
                </c:pt>
                <c:pt idx="115">
                  <c:v>72.711300586699437</c:v>
                </c:pt>
                <c:pt idx="116">
                  <c:v>82.500002592278989</c:v>
                </c:pt>
                <c:pt idx="117">
                  <c:v>53.921794424340391</c:v>
                </c:pt>
                <c:pt idx="118">
                  <c:v>81.164658578044424</c:v>
                </c:pt>
                <c:pt idx="119">
                  <c:v>82.500002041508239</c:v>
                </c:pt>
                <c:pt idx="120">
                  <c:v>64.565841194946898</c:v>
                </c:pt>
                <c:pt idx="121">
                  <c:v>76.451394059290536</c:v>
                </c:pt>
                <c:pt idx="122">
                  <c:v>60.489326974323738</c:v>
                </c:pt>
                <c:pt idx="123">
                  <c:v>39.612795088307585</c:v>
                </c:pt>
                <c:pt idx="124">
                  <c:v>79.223521682069062</c:v>
                </c:pt>
                <c:pt idx="125">
                  <c:v>82.50000221311636</c:v>
                </c:pt>
                <c:pt idx="126">
                  <c:v>82.499998362474017</c:v>
                </c:pt>
                <c:pt idx="127">
                  <c:v>37.576646363729296</c:v>
                </c:pt>
                <c:pt idx="128">
                  <c:v>82.499977772073422</c:v>
                </c:pt>
                <c:pt idx="129">
                  <c:v>35.931904017200949</c:v>
                </c:pt>
                <c:pt idx="130">
                  <c:v>82.49999903914798</c:v>
                </c:pt>
                <c:pt idx="131">
                  <c:v>72.376164232635929</c:v>
                </c:pt>
                <c:pt idx="132">
                  <c:v>47.036660676147726</c:v>
                </c:pt>
                <c:pt idx="133">
                  <c:v>56.939424062884974</c:v>
                </c:pt>
                <c:pt idx="134">
                  <c:v>63.886825054011247</c:v>
                </c:pt>
                <c:pt idx="135">
                  <c:v>76.117174356690711</c:v>
                </c:pt>
                <c:pt idx="136">
                  <c:v>11.526786495834555</c:v>
                </c:pt>
                <c:pt idx="137">
                  <c:v>58.694940495184404</c:v>
                </c:pt>
                <c:pt idx="138">
                  <c:v>82.499999238690307</c:v>
                </c:pt>
                <c:pt idx="139">
                  <c:v>52.489473428125827</c:v>
                </c:pt>
                <c:pt idx="140">
                  <c:v>63.394608842830486</c:v>
                </c:pt>
                <c:pt idx="141">
                  <c:v>82.500004394652791</c:v>
                </c:pt>
                <c:pt idx="142">
                  <c:v>38.647862174605592</c:v>
                </c:pt>
                <c:pt idx="143">
                  <c:v>81.735250461670176</c:v>
                </c:pt>
                <c:pt idx="144">
                  <c:v>63.207868751457035</c:v>
                </c:pt>
                <c:pt idx="145">
                  <c:v>68.556655696709072</c:v>
                </c:pt>
                <c:pt idx="146">
                  <c:v>65.542750804975668</c:v>
                </c:pt>
                <c:pt idx="147">
                  <c:v>53.837932054486842</c:v>
                </c:pt>
                <c:pt idx="148">
                  <c:v>5.0433331816196096</c:v>
                </c:pt>
                <c:pt idx="149">
                  <c:v>82.499995155474394</c:v>
                </c:pt>
                <c:pt idx="150">
                  <c:v>49.626833643038786</c:v>
                </c:pt>
                <c:pt idx="151">
                  <c:v>82.499995489924004</c:v>
                </c:pt>
                <c:pt idx="152">
                  <c:v>35.633444766715435</c:v>
                </c:pt>
                <c:pt idx="153">
                  <c:v>77.031109118967535</c:v>
                </c:pt>
                <c:pt idx="154">
                  <c:v>82.499999585195511</c:v>
                </c:pt>
                <c:pt idx="155">
                  <c:v>56.072401487206982</c:v>
                </c:pt>
                <c:pt idx="156">
                  <c:v>82.500002721647249</c:v>
                </c:pt>
                <c:pt idx="157">
                  <c:v>78.980929551844426</c:v>
                </c:pt>
                <c:pt idx="158">
                  <c:v>79.862685240474278</c:v>
                </c:pt>
                <c:pt idx="159">
                  <c:v>21.097719458740659</c:v>
                </c:pt>
                <c:pt idx="160">
                  <c:v>56.640453717405691</c:v>
                </c:pt>
                <c:pt idx="161">
                  <c:v>58.441202075342979</c:v>
                </c:pt>
                <c:pt idx="162">
                  <c:v>18.296851656289448</c:v>
                </c:pt>
                <c:pt idx="163">
                  <c:v>80.099070106638436</c:v>
                </c:pt>
                <c:pt idx="164">
                  <c:v>47.435330409914002</c:v>
                </c:pt>
                <c:pt idx="165">
                  <c:v>82.499994221162552</c:v>
                </c:pt>
                <c:pt idx="166">
                  <c:v>75.854921556112743</c:v>
                </c:pt>
                <c:pt idx="167">
                  <c:v>82.500000455022061</c:v>
                </c:pt>
                <c:pt idx="168">
                  <c:v>77.416210596432023</c:v>
                </c:pt>
                <c:pt idx="169">
                  <c:v>47.613409566693299</c:v>
                </c:pt>
                <c:pt idx="170">
                  <c:v>81.258619140319951</c:v>
                </c:pt>
                <c:pt idx="171">
                  <c:v>80.899775156885227</c:v>
                </c:pt>
                <c:pt idx="172">
                  <c:v>82.499995895764769</c:v>
                </c:pt>
                <c:pt idx="173">
                  <c:v>71.410420695866804</c:v>
                </c:pt>
                <c:pt idx="174">
                  <c:v>82.499999097765794</c:v>
                </c:pt>
                <c:pt idx="175">
                  <c:v>77.712051163463556</c:v>
                </c:pt>
                <c:pt idx="176">
                  <c:v>72.047756224663772</c:v>
                </c:pt>
                <c:pt idx="177">
                  <c:v>76.751825449788555</c:v>
                </c:pt>
                <c:pt idx="178">
                  <c:v>80.376003283612974</c:v>
                </c:pt>
                <c:pt idx="179">
                  <c:v>72.068507066260537</c:v>
                </c:pt>
                <c:pt idx="180">
                  <c:v>40.654597293219311</c:v>
                </c:pt>
                <c:pt idx="181">
                  <c:v>50.864449287167226</c:v>
                </c:pt>
                <c:pt idx="182">
                  <c:v>67.99713212443767</c:v>
                </c:pt>
                <c:pt idx="183">
                  <c:v>82.500000524721514</c:v>
                </c:pt>
                <c:pt idx="184">
                  <c:v>38.427593420406012</c:v>
                </c:pt>
                <c:pt idx="185">
                  <c:v>61.404820728712451</c:v>
                </c:pt>
                <c:pt idx="186">
                  <c:v>82.499999907656246</c:v>
                </c:pt>
                <c:pt idx="187">
                  <c:v>48.269346621336311</c:v>
                </c:pt>
                <c:pt idx="188">
                  <c:v>80.382476434100965</c:v>
                </c:pt>
                <c:pt idx="189">
                  <c:v>45.883183845796097</c:v>
                </c:pt>
                <c:pt idx="190">
                  <c:v>55.748450753398686</c:v>
                </c:pt>
                <c:pt idx="191">
                  <c:v>46.346320091112801</c:v>
                </c:pt>
                <c:pt idx="192">
                  <c:v>82.499963307597938</c:v>
                </c:pt>
                <c:pt idx="193">
                  <c:v>77.519643966809355</c:v>
                </c:pt>
                <c:pt idx="194">
                  <c:v>82.499541816550447</c:v>
                </c:pt>
                <c:pt idx="195">
                  <c:v>82.499998254307656</c:v>
                </c:pt>
                <c:pt idx="196">
                  <c:v>82.500000408261201</c:v>
                </c:pt>
                <c:pt idx="197">
                  <c:v>80.70837389805699</c:v>
                </c:pt>
                <c:pt idx="198">
                  <c:v>82.499999355209866</c:v>
                </c:pt>
                <c:pt idx="199">
                  <c:v>82.499895203012613</c:v>
                </c:pt>
                <c:pt idx="200">
                  <c:v>13.883472480194868</c:v>
                </c:pt>
                <c:pt idx="201">
                  <c:v>65.925300935752631</c:v>
                </c:pt>
                <c:pt idx="202">
                  <c:v>82.499994948220461</c:v>
                </c:pt>
                <c:pt idx="203">
                  <c:v>82.374132867003198</c:v>
                </c:pt>
                <c:pt idx="204">
                  <c:v>82.499969194143205</c:v>
                </c:pt>
                <c:pt idx="205">
                  <c:v>64.037656006877697</c:v>
                </c:pt>
                <c:pt idx="206">
                  <c:v>82.500000278545045</c:v>
                </c:pt>
                <c:pt idx="207">
                  <c:v>77.90555939318439</c:v>
                </c:pt>
                <c:pt idx="208">
                  <c:v>25.957891954817057</c:v>
                </c:pt>
                <c:pt idx="209">
                  <c:v>80.806946910527188</c:v>
                </c:pt>
                <c:pt idx="210">
                  <c:v>80.544432831970411</c:v>
                </c:pt>
                <c:pt idx="211">
                  <c:v>65.461424180439408</c:v>
                </c:pt>
                <c:pt idx="212">
                  <c:v>80.003282518327609</c:v>
                </c:pt>
                <c:pt idx="213">
                  <c:v>54.75926078540833</c:v>
                </c:pt>
                <c:pt idx="214">
                  <c:v>43.170360188057394</c:v>
                </c:pt>
                <c:pt idx="215">
                  <c:v>78.041738223560372</c:v>
                </c:pt>
                <c:pt idx="216">
                  <c:v>81.034268440584938</c:v>
                </c:pt>
                <c:pt idx="217">
                  <c:v>75.810057093826629</c:v>
                </c:pt>
                <c:pt idx="218">
                  <c:v>82.499999997493177</c:v>
                </c:pt>
                <c:pt idx="219">
                  <c:v>69.193439796381142</c:v>
                </c:pt>
                <c:pt idx="220">
                  <c:v>82.499999755705943</c:v>
                </c:pt>
                <c:pt idx="221">
                  <c:v>55.093495615846457</c:v>
                </c:pt>
                <c:pt idx="222">
                  <c:v>25.981101189555499</c:v>
                </c:pt>
                <c:pt idx="223">
                  <c:v>82.499992388240443</c:v>
                </c:pt>
                <c:pt idx="224">
                  <c:v>82.500009666983729</c:v>
                </c:pt>
                <c:pt idx="225">
                  <c:v>48.800587870571896</c:v>
                </c:pt>
                <c:pt idx="226">
                  <c:v>39.694919781187664</c:v>
                </c:pt>
                <c:pt idx="227">
                  <c:v>63.7783459665309</c:v>
                </c:pt>
                <c:pt idx="228">
                  <c:v>61.111030776588642</c:v>
                </c:pt>
                <c:pt idx="229">
                  <c:v>72.718504295679267</c:v>
                </c:pt>
                <c:pt idx="230">
                  <c:v>76.339233811655404</c:v>
                </c:pt>
                <c:pt idx="231">
                  <c:v>58.091064499977342</c:v>
                </c:pt>
                <c:pt idx="232">
                  <c:v>44.903584999813397</c:v>
                </c:pt>
                <c:pt idx="233">
                  <c:v>55.339791026004313</c:v>
                </c:pt>
                <c:pt idx="234">
                  <c:v>50.372399588220546</c:v>
                </c:pt>
                <c:pt idx="235">
                  <c:v>34.610725993209471</c:v>
                </c:pt>
                <c:pt idx="236">
                  <c:v>68.893052938573504</c:v>
                </c:pt>
                <c:pt idx="237">
                  <c:v>76.18746869050706</c:v>
                </c:pt>
                <c:pt idx="238">
                  <c:v>78.900882161170742</c:v>
                </c:pt>
                <c:pt idx="239">
                  <c:v>67.871536219093429</c:v>
                </c:pt>
                <c:pt idx="240">
                  <c:v>78.620334702171732</c:v>
                </c:pt>
                <c:pt idx="241">
                  <c:v>82.499979627149969</c:v>
                </c:pt>
                <c:pt idx="242">
                  <c:v>75.935388082325431</c:v>
                </c:pt>
                <c:pt idx="243">
                  <c:v>51.699330215165823</c:v>
                </c:pt>
                <c:pt idx="244">
                  <c:v>59.488744370870371</c:v>
                </c:pt>
                <c:pt idx="245">
                  <c:v>82.500000420943536</c:v>
                </c:pt>
                <c:pt idx="246">
                  <c:v>82.500000694062592</c:v>
                </c:pt>
                <c:pt idx="247">
                  <c:v>32.194665934849645</c:v>
                </c:pt>
                <c:pt idx="248">
                  <c:v>82.499994173257136</c:v>
                </c:pt>
                <c:pt idx="249">
                  <c:v>66.130596477144138</c:v>
                </c:pt>
                <c:pt idx="250">
                  <c:v>47.952584963612054</c:v>
                </c:pt>
                <c:pt idx="251">
                  <c:v>82.499998127934163</c:v>
                </c:pt>
                <c:pt idx="252">
                  <c:v>82.500037488367127</c:v>
                </c:pt>
                <c:pt idx="253">
                  <c:v>78.105710835157822</c:v>
                </c:pt>
                <c:pt idx="254">
                  <c:v>35.886945145651907</c:v>
                </c:pt>
                <c:pt idx="255">
                  <c:v>39.702754063798707</c:v>
                </c:pt>
                <c:pt idx="256">
                  <c:v>43.938441657216707</c:v>
                </c:pt>
                <c:pt idx="257">
                  <c:v>60.577292029214149</c:v>
                </c:pt>
                <c:pt idx="258">
                  <c:v>80.180230726341065</c:v>
                </c:pt>
                <c:pt idx="259">
                  <c:v>70.278664236315194</c:v>
                </c:pt>
                <c:pt idx="260">
                  <c:v>82.499999282272782</c:v>
                </c:pt>
                <c:pt idx="261">
                  <c:v>69.633156955907182</c:v>
                </c:pt>
                <c:pt idx="262">
                  <c:v>68.363476822589178</c:v>
                </c:pt>
                <c:pt idx="263">
                  <c:v>82.500001046408372</c:v>
                </c:pt>
                <c:pt idx="264">
                  <c:v>71.95605273109922</c:v>
                </c:pt>
                <c:pt idx="265">
                  <c:v>77.572784883419516</c:v>
                </c:pt>
                <c:pt idx="266">
                  <c:v>82.500001174866043</c:v>
                </c:pt>
                <c:pt idx="267">
                  <c:v>75.964854334722389</c:v>
                </c:pt>
                <c:pt idx="268">
                  <c:v>82.499999228540744</c:v>
                </c:pt>
                <c:pt idx="269">
                  <c:v>58.006227452540017</c:v>
                </c:pt>
                <c:pt idx="270">
                  <c:v>78.270512304758526</c:v>
                </c:pt>
                <c:pt idx="271">
                  <c:v>61.816833170021305</c:v>
                </c:pt>
                <c:pt idx="272">
                  <c:v>52.029954178108134</c:v>
                </c:pt>
                <c:pt idx="273">
                  <c:v>82.499999736409194</c:v>
                </c:pt>
                <c:pt idx="274">
                  <c:v>72.601697357097592</c:v>
                </c:pt>
                <c:pt idx="275">
                  <c:v>80.940398292289316</c:v>
                </c:pt>
                <c:pt idx="276">
                  <c:v>23.124831921308424</c:v>
                </c:pt>
                <c:pt idx="277">
                  <c:v>61.103194069865758</c:v>
                </c:pt>
                <c:pt idx="278">
                  <c:v>66.866467097035283</c:v>
                </c:pt>
                <c:pt idx="279">
                  <c:v>44.498189953959191</c:v>
                </c:pt>
                <c:pt idx="280">
                  <c:v>9.2362057301214104</c:v>
                </c:pt>
                <c:pt idx="281">
                  <c:v>82.16217694181293</c:v>
                </c:pt>
                <c:pt idx="282">
                  <c:v>82.500012616665373</c:v>
                </c:pt>
                <c:pt idx="283">
                  <c:v>78.562087835577017</c:v>
                </c:pt>
                <c:pt idx="284">
                  <c:v>52.762978050003888</c:v>
                </c:pt>
                <c:pt idx="285">
                  <c:v>82.187551722395582</c:v>
                </c:pt>
                <c:pt idx="286">
                  <c:v>55.151347099103234</c:v>
                </c:pt>
                <c:pt idx="287">
                  <c:v>80.99806259178753</c:v>
                </c:pt>
                <c:pt idx="288">
                  <c:v>80.802159963331462</c:v>
                </c:pt>
                <c:pt idx="289">
                  <c:v>79.808747942390539</c:v>
                </c:pt>
                <c:pt idx="290">
                  <c:v>80.166301140296596</c:v>
                </c:pt>
                <c:pt idx="291">
                  <c:v>60.80422558190908</c:v>
                </c:pt>
                <c:pt idx="292">
                  <c:v>32.17917798374841</c:v>
                </c:pt>
                <c:pt idx="293">
                  <c:v>34.297623607368493</c:v>
                </c:pt>
                <c:pt idx="294">
                  <c:v>80.240435345782089</c:v>
                </c:pt>
                <c:pt idx="295">
                  <c:v>82.500002437279392</c:v>
                </c:pt>
                <c:pt idx="296">
                  <c:v>82.499925824271955</c:v>
                </c:pt>
                <c:pt idx="297">
                  <c:v>78.242869128660246</c:v>
                </c:pt>
                <c:pt idx="298">
                  <c:v>48.929655931237214</c:v>
                </c:pt>
                <c:pt idx="299">
                  <c:v>82.500007785234956</c:v>
                </c:pt>
                <c:pt idx="300">
                  <c:v>69.680400574944187</c:v>
                </c:pt>
                <c:pt idx="301">
                  <c:v>82.499903519933525</c:v>
                </c:pt>
                <c:pt idx="302">
                  <c:v>77.695795719497724</c:v>
                </c:pt>
                <c:pt idx="303">
                  <c:v>69.714260603181245</c:v>
                </c:pt>
                <c:pt idx="304">
                  <c:v>80.939609831214298</c:v>
                </c:pt>
                <c:pt idx="305">
                  <c:v>36.878620354640077</c:v>
                </c:pt>
                <c:pt idx="306">
                  <c:v>82.047276659563082</c:v>
                </c:pt>
                <c:pt idx="307">
                  <c:v>76.525223979791207</c:v>
                </c:pt>
                <c:pt idx="308">
                  <c:v>30.53583175867762</c:v>
                </c:pt>
                <c:pt idx="309">
                  <c:v>60.007324222018518</c:v>
                </c:pt>
                <c:pt idx="310">
                  <c:v>32.056936692245515</c:v>
                </c:pt>
                <c:pt idx="311">
                  <c:v>71.547012114244495</c:v>
                </c:pt>
                <c:pt idx="312">
                  <c:v>63.194574951065306</c:v>
                </c:pt>
                <c:pt idx="313">
                  <c:v>82.499999894932856</c:v>
                </c:pt>
                <c:pt idx="314">
                  <c:v>82.499999593219357</c:v>
                </c:pt>
                <c:pt idx="315">
                  <c:v>40.342661371752122</c:v>
                </c:pt>
                <c:pt idx="316">
                  <c:v>82.500000066249811</c:v>
                </c:pt>
                <c:pt idx="317">
                  <c:v>82.499988364643599</c:v>
                </c:pt>
                <c:pt idx="318">
                  <c:v>37.581954395957268</c:v>
                </c:pt>
                <c:pt idx="319">
                  <c:v>79.543192140442969</c:v>
                </c:pt>
                <c:pt idx="320">
                  <c:v>76.481942698405732</c:v>
                </c:pt>
                <c:pt idx="321">
                  <c:v>75.996270438423068</c:v>
                </c:pt>
                <c:pt idx="322">
                  <c:v>56.658254869763724</c:v>
                </c:pt>
                <c:pt idx="323">
                  <c:v>56.717319641043559</c:v>
                </c:pt>
                <c:pt idx="324">
                  <c:v>43.396952684038368</c:v>
                </c:pt>
                <c:pt idx="325">
                  <c:v>77.541783105457952</c:v>
                </c:pt>
                <c:pt idx="326">
                  <c:v>81.116035753793156</c:v>
                </c:pt>
                <c:pt idx="327">
                  <c:v>53.348754300635619</c:v>
                </c:pt>
                <c:pt idx="328">
                  <c:v>80.499936678940969</c:v>
                </c:pt>
                <c:pt idx="329">
                  <c:v>82.499999924285234</c:v>
                </c:pt>
                <c:pt idx="330">
                  <c:v>74.757959752201231</c:v>
                </c:pt>
                <c:pt idx="331">
                  <c:v>35.120392491015906</c:v>
                </c:pt>
                <c:pt idx="332">
                  <c:v>82.499980702015321</c:v>
                </c:pt>
                <c:pt idx="333">
                  <c:v>82.500000410435817</c:v>
                </c:pt>
                <c:pt idx="334">
                  <c:v>81.675410337325232</c:v>
                </c:pt>
                <c:pt idx="335">
                  <c:v>75.456318326980124</c:v>
                </c:pt>
                <c:pt idx="336">
                  <c:v>76.420044150905852</c:v>
                </c:pt>
                <c:pt idx="337">
                  <c:v>44.061072501887196</c:v>
                </c:pt>
                <c:pt idx="338">
                  <c:v>64.099141469916106</c:v>
                </c:pt>
                <c:pt idx="339">
                  <c:v>67.457073704548918</c:v>
                </c:pt>
                <c:pt idx="340">
                  <c:v>73.641493629299532</c:v>
                </c:pt>
                <c:pt idx="341">
                  <c:v>80.908391224856942</c:v>
                </c:pt>
                <c:pt idx="342">
                  <c:v>31.550450747513512</c:v>
                </c:pt>
                <c:pt idx="343">
                  <c:v>82.500000584402514</c:v>
                </c:pt>
                <c:pt idx="344">
                  <c:v>80.697594165024668</c:v>
                </c:pt>
                <c:pt idx="345">
                  <c:v>66.598224670279009</c:v>
                </c:pt>
                <c:pt idx="346">
                  <c:v>79.173414831679935</c:v>
                </c:pt>
                <c:pt idx="347">
                  <c:v>25.275846395053083</c:v>
                </c:pt>
                <c:pt idx="348">
                  <c:v>73.457020597448107</c:v>
                </c:pt>
                <c:pt idx="349">
                  <c:v>78.578868405605647</c:v>
                </c:pt>
                <c:pt idx="350">
                  <c:v>73.704304452581354</c:v>
                </c:pt>
              </c:numCache>
            </c:numRef>
          </c:yVal>
          <c:smooth val="0"/>
          <c:extLst>
            <c:ext xmlns:c16="http://schemas.microsoft.com/office/drawing/2014/chart" uri="{C3380CC4-5D6E-409C-BE32-E72D297353CC}">
              <c16:uniqueId val="{00000000-C179-4859-B9EF-26185B7F2109}"/>
            </c:ext>
          </c:extLst>
        </c:ser>
        <c:ser>
          <c:idx val="1"/>
          <c:order val="1"/>
          <c:tx>
            <c:v>Target Contribution %</c:v>
          </c:tx>
          <c:spPr>
            <a:ln w="28575">
              <a:noFill/>
            </a:ln>
          </c:spPr>
          <c:marker>
            <c:symbol val="circle"/>
            <c:size val="6"/>
            <c:spPr>
              <a:noFill/>
              <a:ln w="12700">
                <a:solidFill>
                  <a:schemeClr val="accent5">
                    <a:lumMod val="40000"/>
                    <a:lumOff val="60000"/>
                  </a:schemeClr>
                </a:solidFill>
              </a:ln>
            </c:spPr>
          </c:marker>
          <c:xVal>
            <c:numRef>
              <c:f>'Townwide Contributions'!$L$7:$L$357</c:f>
              <c:numCache>
                <c:formatCode>#,##0.00</c:formatCode>
                <c:ptCount val="351"/>
                <c:pt idx="0">
                  <c:v>60.4</c:v>
                </c:pt>
                <c:pt idx="1">
                  <c:v>82.5</c:v>
                </c:pt>
                <c:pt idx="2">
                  <c:v>63.18</c:v>
                </c:pt>
                <c:pt idx="3">
                  <c:v>32.229999999999997</c:v>
                </c:pt>
                <c:pt idx="4">
                  <c:v>53.76</c:v>
                </c:pt>
                <c:pt idx="5">
                  <c:v>82.5</c:v>
                </c:pt>
                <c:pt idx="6">
                  <c:v>80.64</c:v>
                </c:pt>
                <c:pt idx="7">
                  <c:v>82.5</c:v>
                </c:pt>
                <c:pt idx="8">
                  <c:v>82.5</c:v>
                </c:pt>
                <c:pt idx="9">
                  <c:v>82.5</c:v>
                </c:pt>
                <c:pt idx="10">
                  <c:v>48.48</c:v>
                </c:pt>
                <c:pt idx="11">
                  <c:v>55.29</c:v>
                </c:pt>
                <c:pt idx="12">
                  <c:v>82.5</c:v>
                </c:pt>
                <c:pt idx="13">
                  <c:v>81.55</c:v>
                </c:pt>
                <c:pt idx="14">
                  <c:v>29.06</c:v>
                </c:pt>
                <c:pt idx="15">
                  <c:v>48.72</c:v>
                </c:pt>
                <c:pt idx="16">
                  <c:v>59.33</c:v>
                </c:pt>
                <c:pt idx="17">
                  <c:v>68.8</c:v>
                </c:pt>
                <c:pt idx="18">
                  <c:v>75.8</c:v>
                </c:pt>
                <c:pt idx="19">
                  <c:v>82.5</c:v>
                </c:pt>
                <c:pt idx="20">
                  <c:v>43.09</c:v>
                </c:pt>
                <c:pt idx="21">
                  <c:v>82.5</c:v>
                </c:pt>
                <c:pt idx="22">
                  <c:v>82.5</c:v>
                </c:pt>
                <c:pt idx="23">
                  <c:v>54.51</c:v>
                </c:pt>
                <c:pt idx="24">
                  <c:v>74.16</c:v>
                </c:pt>
                <c:pt idx="25">
                  <c:v>82.5</c:v>
                </c:pt>
                <c:pt idx="26">
                  <c:v>59.65</c:v>
                </c:pt>
                <c:pt idx="27">
                  <c:v>82.5</c:v>
                </c:pt>
                <c:pt idx="28">
                  <c:v>60.55</c:v>
                </c:pt>
                <c:pt idx="29">
                  <c:v>82.5</c:v>
                </c:pt>
                <c:pt idx="30">
                  <c:v>82.5</c:v>
                </c:pt>
                <c:pt idx="31">
                  <c:v>55</c:v>
                </c:pt>
                <c:pt idx="32">
                  <c:v>82.5</c:v>
                </c:pt>
                <c:pt idx="33">
                  <c:v>82.5</c:v>
                </c:pt>
                <c:pt idx="34">
                  <c:v>82.5</c:v>
                </c:pt>
                <c:pt idx="35">
                  <c:v>82.5</c:v>
                </c:pt>
                <c:pt idx="36">
                  <c:v>82.5</c:v>
                </c:pt>
                <c:pt idx="37">
                  <c:v>82.5</c:v>
                </c:pt>
                <c:pt idx="38">
                  <c:v>82.5</c:v>
                </c:pt>
                <c:pt idx="39">
                  <c:v>82.5</c:v>
                </c:pt>
                <c:pt idx="40">
                  <c:v>82.5</c:v>
                </c:pt>
                <c:pt idx="41">
                  <c:v>64.05</c:v>
                </c:pt>
                <c:pt idx="42">
                  <c:v>57.06</c:v>
                </c:pt>
                <c:pt idx="43">
                  <c:v>23.23</c:v>
                </c:pt>
                <c:pt idx="44">
                  <c:v>48.57</c:v>
                </c:pt>
                <c:pt idx="45">
                  <c:v>82.5</c:v>
                </c:pt>
                <c:pt idx="46">
                  <c:v>57.44</c:v>
                </c:pt>
                <c:pt idx="47">
                  <c:v>82.5</c:v>
                </c:pt>
                <c:pt idx="48">
                  <c:v>82.5</c:v>
                </c:pt>
                <c:pt idx="49">
                  <c:v>82.5</c:v>
                </c:pt>
                <c:pt idx="50">
                  <c:v>82.5</c:v>
                </c:pt>
                <c:pt idx="51">
                  <c:v>58.4</c:v>
                </c:pt>
                <c:pt idx="52">
                  <c:v>59.7</c:v>
                </c:pt>
                <c:pt idx="53">
                  <c:v>61</c:v>
                </c:pt>
                <c:pt idx="54">
                  <c:v>82.5</c:v>
                </c:pt>
                <c:pt idx="55">
                  <c:v>82.5</c:v>
                </c:pt>
                <c:pt idx="56">
                  <c:v>22.05</c:v>
                </c:pt>
                <c:pt idx="57">
                  <c:v>55.22</c:v>
                </c:pt>
                <c:pt idx="58">
                  <c:v>56.38</c:v>
                </c:pt>
                <c:pt idx="59">
                  <c:v>81.75</c:v>
                </c:pt>
                <c:pt idx="60">
                  <c:v>29.06</c:v>
                </c:pt>
                <c:pt idx="61">
                  <c:v>82.5</c:v>
                </c:pt>
                <c:pt idx="62">
                  <c:v>31.7</c:v>
                </c:pt>
                <c:pt idx="63">
                  <c:v>43.53</c:v>
                </c:pt>
                <c:pt idx="64">
                  <c:v>82.5</c:v>
                </c:pt>
                <c:pt idx="65">
                  <c:v>60.22</c:v>
                </c:pt>
                <c:pt idx="66">
                  <c:v>82.5</c:v>
                </c:pt>
                <c:pt idx="67">
                  <c:v>82.5</c:v>
                </c:pt>
                <c:pt idx="68">
                  <c:v>82.5</c:v>
                </c:pt>
                <c:pt idx="69">
                  <c:v>47.83</c:v>
                </c:pt>
                <c:pt idx="70">
                  <c:v>82.5</c:v>
                </c:pt>
                <c:pt idx="71">
                  <c:v>82.5</c:v>
                </c:pt>
                <c:pt idx="72">
                  <c:v>82.5</c:v>
                </c:pt>
                <c:pt idx="73">
                  <c:v>82.5</c:v>
                </c:pt>
                <c:pt idx="74">
                  <c:v>82.5</c:v>
                </c:pt>
                <c:pt idx="75">
                  <c:v>56.12</c:v>
                </c:pt>
                <c:pt idx="76">
                  <c:v>68.150000000000006</c:v>
                </c:pt>
                <c:pt idx="77">
                  <c:v>82.5</c:v>
                </c:pt>
                <c:pt idx="78">
                  <c:v>58.02</c:v>
                </c:pt>
                <c:pt idx="79">
                  <c:v>44.69</c:v>
                </c:pt>
                <c:pt idx="80">
                  <c:v>82.5</c:v>
                </c:pt>
                <c:pt idx="81">
                  <c:v>82.5</c:v>
                </c:pt>
                <c:pt idx="82">
                  <c:v>60.23</c:v>
                </c:pt>
                <c:pt idx="83">
                  <c:v>58.32</c:v>
                </c:pt>
                <c:pt idx="84">
                  <c:v>82.5</c:v>
                </c:pt>
                <c:pt idx="85">
                  <c:v>68.3</c:v>
                </c:pt>
                <c:pt idx="86">
                  <c:v>61.74</c:v>
                </c:pt>
                <c:pt idx="87">
                  <c:v>82.5</c:v>
                </c:pt>
                <c:pt idx="88">
                  <c:v>82.5</c:v>
                </c:pt>
                <c:pt idx="89">
                  <c:v>82.5</c:v>
                </c:pt>
                <c:pt idx="90">
                  <c:v>82.5</c:v>
                </c:pt>
                <c:pt idx="91">
                  <c:v>82.5</c:v>
                </c:pt>
                <c:pt idx="92">
                  <c:v>34.08</c:v>
                </c:pt>
                <c:pt idx="93">
                  <c:v>73.48</c:v>
                </c:pt>
                <c:pt idx="94">
                  <c:v>22.28</c:v>
                </c:pt>
                <c:pt idx="95">
                  <c:v>82.5</c:v>
                </c:pt>
                <c:pt idx="96">
                  <c:v>27.09</c:v>
                </c:pt>
                <c:pt idx="97">
                  <c:v>61.42</c:v>
                </c:pt>
                <c:pt idx="98">
                  <c:v>82.5</c:v>
                </c:pt>
                <c:pt idx="99">
                  <c:v>54.6</c:v>
                </c:pt>
                <c:pt idx="100">
                  <c:v>81.150000000000006</c:v>
                </c:pt>
                <c:pt idx="101">
                  <c:v>78.680000000000007</c:v>
                </c:pt>
                <c:pt idx="102">
                  <c:v>32.119999999999997</c:v>
                </c:pt>
                <c:pt idx="103">
                  <c:v>82.5</c:v>
                </c:pt>
                <c:pt idx="104">
                  <c:v>82.5</c:v>
                </c:pt>
                <c:pt idx="105">
                  <c:v>70.84</c:v>
                </c:pt>
                <c:pt idx="106">
                  <c:v>82.5</c:v>
                </c:pt>
                <c:pt idx="107">
                  <c:v>69.5</c:v>
                </c:pt>
                <c:pt idx="108">
                  <c:v>0</c:v>
                </c:pt>
                <c:pt idx="109">
                  <c:v>76.75</c:v>
                </c:pt>
                <c:pt idx="110">
                  <c:v>65.180000000000007</c:v>
                </c:pt>
                <c:pt idx="111">
                  <c:v>78.14</c:v>
                </c:pt>
                <c:pt idx="112">
                  <c:v>82.5</c:v>
                </c:pt>
                <c:pt idx="113">
                  <c:v>44.41</c:v>
                </c:pt>
                <c:pt idx="114">
                  <c:v>82.5</c:v>
                </c:pt>
                <c:pt idx="115">
                  <c:v>81.19</c:v>
                </c:pt>
                <c:pt idx="116">
                  <c:v>82.5</c:v>
                </c:pt>
                <c:pt idx="117">
                  <c:v>58.15</c:v>
                </c:pt>
                <c:pt idx="118">
                  <c:v>82.5</c:v>
                </c:pt>
                <c:pt idx="119">
                  <c:v>82.5</c:v>
                </c:pt>
                <c:pt idx="120">
                  <c:v>82.5</c:v>
                </c:pt>
                <c:pt idx="121">
                  <c:v>82.5</c:v>
                </c:pt>
                <c:pt idx="122">
                  <c:v>66.86</c:v>
                </c:pt>
                <c:pt idx="123">
                  <c:v>44.21</c:v>
                </c:pt>
                <c:pt idx="124">
                  <c:v>82.5</c:v>
                </c:pt>
                <c:pt idx="125">
                  <c:v>82.5</c:v>
                </c:pt>
                <c:pt idx="126">
                  <c:v>82.5</c:v>
                </c:pt>
                <c:pt idx="127">
                  <c:v>42.68</c:v>
                </c:pt>
                <c:pt idx="128">
                  <c:v>82.5</c:v>
                </c:pt>
                <c:pt idx="129">
                  <c:v>42.21</c:v>
                </c:pt>
                <c:pt idx="130">
                  <c:v>82.5</c:v>
                </c:pt>
                <c:pt idx="131">
                  <c:v>82.5</c:v>
                </c:pt>
                <c:pt idx="132">
                  <c:v>52.5</c:v>
                </c:pt>
                <c:pt idx="133">
                  <c:v>63.29</c:v>
                </c:pt>
                <c:pt idx="134">
                  <c:v>67.91</c:v>
                </c:pt>
                <c:pt idx="135">
                  <c:v>82.5</c:v>
                </c:pt>
                <c:pt idx="136">
                  <c:v>19.34</c:v>
                </c:pt>
                <c:pt idx="137">
                  <c:v>60.25</c:v>
                </c:pt>
                <c:pt idx="138">
                  <c:v>82.5</c:v>
                </c:pt>
                <c:pt idx="139">
                  <c:v>58.42</c:v>
                </c:pt>
                <c:pt idx="140">
                  <c:v>69.819999999999993</c:v>
                </c:pt>
                <c:pt idx="141">
                  <c:v>82.5</c:v>
                </c:pt>
                <c:pt idx="142">
                  <c:v>42.82</c:v>
                </c:pt>
                <c:pt idx="143">
                  <c:v>82.5</c:v>
                </c:pt>
                <c:pt idx="144">
                  <c:v>68.78</c:v>
                </c:pt>
                <c:pt idx="145">
                  <c:v>76.849999999999994</c:v>
                </c:pt>
                <c:pt idx="146">
                  <c:v>71.86</c:v>
                </c:pt>
                <c:pt idx="147">
                  <c:v>60.48</c:v>
                </c:pt>
                <c:pt idx="148">
                  <c:v>15.45</c:v>
                </c:pt>
                <c:pt idx="149">
                  <c:v>82.5</c:v>
                </c:pt>
                <c:pt idx="150">
                  <c:v>52.49</c:v>
                </c:pt>
                <c:pt idx="151">
                  <c:v>82.5</c:v>
                </c:pt>
                <c:pt idx="152">
                  <c:v>40.28</c:v>
                </c:pt>
                <c:pt idx="153">
                  <c:v>82.5</c:v>
                </c:pt>
                <c:pt idx="154">
                  <c:v>82.5</c:v>
                </c:pt>
                <c:pt idx="155">
                  <c:v>82.5</c:v>
                </c:pt>
                <c:pt idx="156">
                  <c:v>82.5</c:v>
                </c:pt>
                <c:pt idx="157">
                  <c:v>82.5</c:v>
                </c:pt>
                <c:pt idx="158">
                  <c:v>82.5</c:v>
                </c:pt>
                <c:pt idx="159">
                  <c:v>25.29</c:v>
                </c:pt>
                <c:pt idx="160">
                  <c:v>60.44</c:v>
                </c:pt>
                <c:pt idx="161">
                  <c:v>65.77</c:v>
                </c:pt>
                <c:pt idx="162">
                  <c:v>23.3</c:v>
                </c:pt>
                <c:pt idx="163">
                  <c:v>82.5</c:v>
                </c:pt>
                <c:pt idx="164">
                  <c:v>56.26</c:v>
                </c:pt>
                <c:pt idx="165">
                  <c:v>82.5</c:v>
                </c:pt>
                <c:pt idx="166">
                  <c:v>82.13</c:v>
                </c:pt>
                <c:pt idx="167">
                  <c:v>82.5</c:v>
                </c:pt>
                <c:pt idx="168">
                  <c:v>82.5</c:v>
                </c:pt>
                <c:pt idx="169">
                  <c:v>52.09</c:v>
                </c:pt>
                <c:pt idx="170">
                  <c:v>82.5</c:v>
                </c:pt>
                <c:pt idx="171">
                  <c:v>82.5</c:v>
                </c:pt>
                <c:pt idx="172">
                  <c:v>82.5</c:v>
                </c:pt>
                <c:pt idx="173">
                  <c:v>76.94</c:v>
                </c:pt>
                <c:pt idx="174">
                  <c:v>82.5</c:v>
                </c:pt>
                <c:pt idx="175">
                  <c:v>82.5</c:v>
                </c:pt>
                <c:pt idx="176">
                  <c:v>77.63</c:v>
                </c:pt>
                <c:pt idx="177">
                  <c:v>82.5</c:v>
                </c:pt>
                <c:pt idx="178">
                  <c:v>82.5</c:v>
                </c:pt>
                <c:pt idx="179">
                  <c:v>77.010000000000005</c:v>
                </c:pt>
                <c:pt idx="180">
                  <c:v>45.43</c:v>
                </c:pt>
                <c:pt idx="181">
                  <c:v>55.24</c:v>
                </c:pt>
                <c:pt idx="182">
                  <c:v>82.5</c:v>
                </c:pt>
                <c:pt idx="183">
                  <c:v>82.5</c:v>
                </c:pt>
                <c:pt idx="184">
                  <c:v>41.9</c:v>
                </c:pt>
                <c:pt idx="185">
                  <c:v>66.83</c:v>
                </c:pt>
                <c:pt idx="186">
                  <c:v>82.5</c:v>
                </c:pt>
                <c:pt idx="187">
                  <c:v>52.54</c:v>
                </c:pt>
                <c:pt idx="188">
                  <c:v>82.5</c:v>
                </c:pt>
                <c:pt idx="189">
                  <c:v>53.81</c:v>
                </c:pt>
                <c:pt idx="190">
                  <c:v>57.79</c:v>
                </c:pt>
                <c:pt idx="191">
                  <c:v>48.8</c:v>
                </c:pt>
                <c:pt idx="192">
                  <c:v>82.5</c:v>
                </c:pt>
                <c:pt idx="193">
                  <c:v>82.5</c:v>
                </c:pt>
                <c:pt idx="194">
                  <c:v>82.5</c:v>
                </c:pt>
                <c:pt idx="195">
                  <c:v>82.5</c:v>
                </c:pt>
                <c:pt idx="196">
                  <c:v>82.5</c:v>
                </c:pt>
                <c:pt idx="197">
                  <c:v>82.5</c:v>
                </c:pt>
                <c:pt idx="198">
                  <c:v>82.5</c:v>
                </c:pt>
                <c:pt idx="199">
                  <c:v>82.5</c:v>
                </c:pt>
                <c:pt idx="200">
                  <c:v>20</c:v>
                </c:pt>
                <c:pt idx="201">
                  <c:v>69.180000000000007</c:v>
                </c:pt>
                <c:pt idx="202">
                  <c:v>82.5</c:v>
                </c:pt>
                <c:pt idx="203">
                  <c:v>82.5</c:v>
                </c:pt>
                <c:pt idx="204">
                  <c:v>82.5</c:v>
                </c:pt>
                <c:pt idx="205">
                  <c:v>68.709999999999994</c:v>
                </c:pt>
                <c:pt idx="206">
                  <c:v>82.5</c:v>
                </c:pt>
                <c:pt idx="207">
                  <c:v>82.5</c:v>
                </c:pt>
                <c:pt idx="208">
                  <c:v>27.61</c:v>
                </c:pt>
                <c:pt idx="209">
                  <c:v>82.5</c:v>
                </c:pt>
                <c:pt idx="210">
                  <c:v>82.5</c:v>
                </c:pt>
                <c:pt idx="211">
                  <c:v>74.48</c:v>
                </c:pt>
                <c:pt idx="212">
                  <c:v>82.5</c:v>
                </c:pt>
                <c:pt idx="213">
                  <c:v>61.33</c:v>
                </c:pt>
                <c:pt idx="214">
                  <c:v>48.64</c:v>
                </c:pt>
                <c:pt idx="215">
                  <c:v>82.5</c:v>
                </c:pt>
                <c:pt idx="216">
                  <c:v>82.5</c:v>
                </c:pt>
                <c:pt idx="217">
                  <c:v>79.61</c:v>
                </c:pt>
                <c:pt idx="218">
                  <c:v>82.5</c:v>
                </c:pt>
                <c:pt idx="219">
                  <c:v>82.5</c:v>
                </c:pt>
                <c:pt idx="220">
                  <c:v>82.5</c:v>
                </c:pt>
                <c:pt idx="221">
                  <c:v>60.35</c:v>
                </c:pt>
                <c:pt idx="222">
                  <c:v>28.82</c:v>
                </c:pt>
                <c:pt idx="223">
                  <c:v>82.5</c:v>
                </c:pt>
                <c:pt idx="224">
                  <c:v>82.5</c:v>
                </c:pt>
                <c:pt idx="225">
                  <c:v>51.31</c:v>
                </c:pt>
                <c:pt idx="226">
                  <c:v>41.82</c:v>
                </c:pt>
                <c:pt idx="227">
                  <c:v>69.239999999999995</c:v>
                </c:pt>
                <c:pt idx="228">
                  <c:v>67.290000000000006</c:v>
                </c:pt>
                <c:pt idx="229">
                  <c:v>82.5</c:v>
                </c:pt>
                <c:pt idx="230">
                  <c:v>81.69</c:v>
                </c:pt>
                <c:pt idx="231">
                  <c:v>64.67</c:v>
                </c:pt>
                <c:pt idx="232">
                  <c:v>50.52</c:v>
                </c:pt>
                <c:pt idx="233">
                  <c:v>64.78</c:v>
                </c:pt>
                <c:pt idx="234">
                  <c:v>56.25</c:v>
                </c:pt>
                <c:pt idx="235">
                  <c:v>36.89</c:v>
                </c:pt>
                <c:pt idx="236">
                  <c:v>75.17</c:v>
                </c:pt>
                <c:pt idx="237">
                  <c:v>81.239999999999995</c:v>
                </c:pt>
                <c:pt idx="238">
                  <c:v>82.5</c:v>
                </c:pt>
                <c:pt idx="239">
                  <c:v>74.69</c:v>
                </c:pt>
                <c:pt idx="240">
                  <c:v>82.5</c:v>
                </c:pt>
                <c:pt idx="241">
                  <c:v>82.5</c:v>
                </c:pt>
                <c:pt idx="242">
                  <c:v>82.5</c:v>
                </c:pt>
                <c:pt idx="243">
                  <c:v>59.18</c:v>
                </c:pt>
                <c:pt idx="244">
                  <c:v>64.22</c:v>
                </c:pt>
                <c:pt idx="245">
                  <c:v>82.5</c:v>
                </c:pt>
                <c:pt idx="246">
                  <c:v>82.5</c:v>
                </c:pt>
                <c:pt idx="247">
                  <c:v>39.4</c:v>
                </c:pt>
                <c:pt idx="248">
                  <c:v>82.5</c:v>
                </c:pt>
                <c:pt idx="249">
                  <c:v>73.64</c:v>
                </c:pt>
                <c:pt idx="250">
                  <c:v>50.64</c:v>
                </c:pt>
                <c:pt idx="251">
                  <c:v>82.5</c:v>
                </c:pt>
                <c:pt idx="252">
                  <c:v>82.5</c:v>
                </c:pt>
                <c:pt idx="253">
                  <c:v>82.5</c:v>
                </c:pt>
                <c:pt idx="254">
                  <c:v>57.65</c:v>
                </c:pt>
                <c:pt idx="255">
                  <c:v>45.73</c:v>
                </c:pt>
                <c:pt idx="256">
                  <c:v>49.73</c:v>
                </c:pt>
                <c:pt idx="257">
                  <c:v>70.89</c:v>
                </c:pt>
                <c:pt idx="258">
                  <c:v>82.5</c:v>
                </c:pt>
                <c:pt idx="259">
                  <c:v>82.5</c:v>
                </c:pt>
                <c:pt idx="260">
                  <c:v>82.5</c:v>
                </c:pt>
                <c:pt idx="261">
                  <c:v>82.5</c:v>
                </c:pt>
                <c:pt idx="262">
                  <c:v>72.91</c:v>
                </c:pt>
                <c:pt idx="263">
                  <c:v>82.5</c:v>
                </c:pt>
                <c:pt idx="264">
                  <c:v>77.8</c:v>
                </c:pt>
                <c:pt idx="265">
                  <c:v>82.5</c:v>
                </c:pt>
                <c:pt idx="266">
                  <c:v>82.5</c:v>
                </c:pt>
                <c:pt idx="267">
                  <c:v>80.400000000000006</c:v>
                </c:pt>
                <c:pt idx="268">
                  <c:v>82.5</c:v>
                </c:pt>
                <c:pt idx="269">
                  <c:v>63.3</c:v>
                </c:pt>
                <c:pt idx="270">
                  <c:v>82.5</c:v>
                </c:pt>
                <c:pt idx="271">
                  <c:v>67.72</c:v>
                </c:pt>
                <c:pt idx="272">
                  <c:v>60.03</c:v>
                </c:pt>
                <c:pt idx="273">
                  <c:v>82.5</c:v>
                </c:pt>
                <c:pt idx="274">
                  <c:v>81.06</c:v>
                </c:pt>
                <c:pt idx="275">
                  <c:v>82.5</c:v>
                </c:pt>
                <c:pt idx="276">
                  <c:v>25.46</c:v>
                </c:pt>
                <c:pt idx="277">
                  <c:v>67.12</c:v>
                </c:pt>
                <c:pt idx="278">
                  <c:v>71.63</c:v>
                </c:pt>
                <c:pt idx="279">
                  <c:v>49.46</c:v>
                </c:pt>
                <c:pt idx="280">
                  <c:v>15.57</c:v>
                </c:pt>
                <c:pt idx="281">
                  <c:v>82.5</c:v>
                </c:pt>
                <c:pt idx="282">
                  <c:v>82.5</c:v>
                </c:pt>
                <c:pt idx="283">
                  <c:v>82.5</c:v>
                </c:pt>
                <c:pt idx="284">
                  <c:v>59.32</c:v>
                </c:pt>
                <c:pt idx="285">
                  <c:v>82.5</c:v>
                </c:pt>
                <c:pt idx="286">
                  <c:v>58.78</c:v>
                </c:pt>
                <c:pt idx="287">
                  <c:v>82.5</c:v>
                </c:pt>
                <c:pt idx="288">
                  <c:v>82.5</c:v>
                </c:pt>
                <c:pt idx="289">
                  <c:v>82.5</c:v>
                </c:pt>
                <c:pt idx="290">
                  <c:v>82.5</c:v>
                </c:pt>
                <c:pt idx="291">
                  <c:v>65.459999999999994</c:v>
                </c:pt>
                <c:pt idx="292">
                  <c:v>36.229999999999997</c:v>
                </c:pt>
                <c:pt idx="293">
                  <c:v>41.24</c:v>
                </c:pt>
                <c:pt idx="294">
                  <c:v>82.5</c:v>
                </c:pt>
                <c:pt idx="295">
                  <c:v>82.5</c:v>
                </c:pt>
                <c:pt idx="296">
                  <c:v>82.5</c:v>
                </c:pt>
                <c:pt idx="297">
                  <c:v>82.5</c:v>
                </c:pt>
                <c:pt idx="298">
                  <c:v>53.94</c:v>
                </c:pt>
                <c:pt idx="299">
                  <c:v>82.5</c:v>
                </c:pt>
                <c:pt idx="300">
                  <c:v>77.97</c:v>
                </c:pt>
                <c:pt idx="301">
                  <c:v>82.5</c:v>
                </c:pt>
                <c:pt idx="302">
                  <c:v>82.5</c:v>
                </c:pt>
                <c:pt idx="303">
                  <c:v>73.28</c:v>
                </c:pt>
                <c:pt idx="304">
                  <c:v>82.5</c:v>
                </c:pt>
                <c:pt idx="305">
                  <c:v>41.04</c:v>
                </c:pt>
                <c:pt idx="306">
                  <c:v>82.5</c:v>
                </c:pt>
                <c:pt idx="307">
                  <c:v>82.5</c:v>
                </c:pt>
                <c:pt idx="308">
                  <c:v>33.28</c:v>
                </c:pt>
                <c:pt idx="309">
                  <c:v>66.430000000000007</c:v>
                </c:pt>
                <c:pt idx="310">
                  <c:v>34.39</c:v>
                </c:pt>
                <c:pt idx="311">
                  <c:v>82.5</c:v>
                </c:pt>
                <c:pt idx="312">
                  <c:v>65.510000000000005</c:v>
                </c:pt>
                <c:pt idx="313">
                  <c:v>82.5</c:v>
                </c:pt>
                <c:pt idx="314">
                  <c:v>82.5</c:v>
                </c:pt>
                <c:pt idx="315">
                  <c:v>46.11</c:v>
                </c:pt>
                <c:pt idx="316">
                  <c:v>82.5</c:v>
                </c:pt>
                <c:pt idx="317">
                  <c:v>82.5</c:v>
                </c:pt>
                <c:pt idx="318">
                  <c:v>42.41</c:v>
                </c:pt>
                <c:pt idx="319">
                  <c:v>82.5</c:v>
                </c:pt>
                <c:pt idx="320">
                  <c:v>82.5</c:v>
                </c:pt>
                <c:pt idx="321">
                  <c:v>82.5</c:v>
                </c:pt>
                <c:pt idx="322">
                  <c:v>59.87</c:v>
                </c:pt>
                <c:pt idx="323">
                  <c:v>64.349999999999994</c:v>
                </c:pt>
                <c:pt idx="324">
                  <c:v>45.6</c:v>
                </c:pt>
                <c:pt idx="325">
                  <c:v>82.5</c:v>
                </c:pt>
                <c:pt idx="326">
                  <c:v>82.5</c:v>
                </c:pt>
                <c:pt idx="327">
                  <c:v>60.71</c:v>
                </c:pt>
                <c:pt idx="328">
                  <c:v>82.5</c:v>
                </c:pt>
                <c:pt idx="329">
                  <c:v>82.5</c:v>
                </c:pt>
                <c:pt idx="330">
                  <c:v>82.5</c:v>
                </c:pt>
                <c:pt idx="331">
                  <c:v>40.58</c:v>
                </c:pt>
                <c:pt idx="332">
                  <c:v>82.5</c:v>
                </c:pt>
                <c:pt idx="333">
                  <c:v>82.5</c:v>
                </c:pt>
                <c:pt idx="334">
                  <c:v>82.5</c:v>
                </c:pt>
                <c:pt idx="335">
                  <c:v>82.5</c:v>
                </c:pt>
                <c:pt idx="336">
                  <c:v>82.5</c:v>
                </c:pt>
                <c:pt idx="337">
                  <c:v>49.38</c:v>
                </c:pt>
                <c:pt idx="338">
                  <c:v>66.28</c:v>
                </c:pt>
                <c:pt idx="339">
                  <c:v>73.03</c:v>
                </c:pt>
                <c:pt idx="340">
                  <c:v>82.5</c:v>
                </c:pt>
                <c:pt idx="341">
                  <c:v>82.5</c:v>
                </c:pt>
                <c:pt idx="342">
                  <c:v>35.24</c:v>
                </c:pt>
                <c:pt idx="343">
                  <c:v>82.5</c:v>
                </c:pt>
                <c:pt idx="344">
                  <c:v>82.5</c:v>
                </c:pt>
                <c:pt idx="345">
                  <c:v>76.62</c:v>
                </c:pt>
                <c:pt idx="346">
                  <c:v>82.5</c:v>
                </c:pt>
                <c:pt idx="347">
                  <c:v>29.29</c:v>
                </c:pt>
                <c:pt idx="348">
                  <c:v>82.5</c:v>
                </c:pt>
                <c:pt idx="349">
                  <c:v>82.5</c:v>
                </c:pt>
                <c:pt idx="350">
                  <c:v>82.5</c:v>
                </c:pt>
              </c:numCache>
            </c:numRef>
          </c:xVal>
          <c:yVal>
            <c:numRef>
              <c:f>'Townwide Contributions'!$L$7:$L$357</c:f>
              <c:numCache>
                <c:formatCode>#,##0.00</c:formatCode>
                <c:ptCount val="351"/>
                <c:pt idx="0">
                  <c:v>60.4</c:v>
                </c:pt>
                <c:pt idx="1">
                  <c:v>82.5</c:v>
                </c:pt>
                <c:pt idx="2">
                  <c:v>63.18</c:v>
                </c:pt>
                <c:pt idx="3">
                  <c:v>32.229999999999997</c:v>
                </c:pt>
                <c:pt idx="4">
                  <c:v>53.76</c:v>
                </c:pt>
                <c:pt idx="5">
                  <c:v>82.5</c:v>
                </c:pt>
                <c:pt idx="6">
                  <c:v>80.64</c:v>
                </c:pt>
                <c:pt idx="7">
                  <c:v>82.5</c:v>
                </c:pt>
                <c:pt idx="8">
                  <c:v>82.5</c:v>
                </c:pt>
                <c:pt idx="9">
                  <c:v>82.5</c:v>
                </c:pt>
                <c:pt idx="10">
                  <c:v>48.48</c:v>
                </c:pt>
                <c:pt idx="11">
                  <c:v>55.29</c:v>
                </c:pt>
                <c:pt idx="12">
                  <c:v>82.5</c:v>
                </c:pt>
                <c:pt idx="13">
                  <c:v>81.55</c:v>
                </c:pt>
                <c:pt idx="14">
                  <c:v>29.06</c:v>
                </c:pt>
                <c:pt idx="15">
                  <c:v>48.72</c:v>
                </c:pt>
                <c:pt idx="16">
                  <c:v>59.33</c:v>
                </c:pt>
                <c:pt idx="17">
                  <c:v>68.8</c:v>
                </c:pt>
                <c:pt idx="18">
                  <c:v>75.8</c:v>
                </c:pt>
                <c:pt idx="19">
                  <c:v>82.5</c:v>
                </c:pt>
                <c:pt idx="20">
                  <c:v>43.09</c:v>
                </c:pt>
                <c:pt idx="21">
                  <c:v>82.5</c:v>
                </c:pt>
                <c:pt idx="22">
                  <c:v>82.5</c:v>
                </c:pt>
                <c:pt idx="23">
                  <c:v>54.51</c:v>
                </c:pt>
                <c:pt idx="24">
                  <c:v>74.16</c:v>
                </c:pt>
                <c:pt idx="25">
                  <c:v>82.5</c:v>
                </c:pt>
                <c:pt idx="26">
                  <c:v>59.65</c:v>
                </c:pt>
                <c:pt idx="27">
                  <c:v>82.5</c:v>
                </c:pt>
                <c:pt idx="28">
                  <c:v>60.55</c:v>
                </c:pt>
                <c:pt idx="29">
                  <c:v>82.5</c:v>
                </c:pt>
                <c:pt idx="30">
                  <c:v>82.5</c:v>
                </c:pt>
                <c:pt idx="31">
                  <c:v>55</c:v>
                </c:pt>
                <c:pt idx="32">
                  <c:v>82.5</c:v>
                </c:pt>
                <c:pt idx="33">
                  <c:v>82.5</c:v>
                </c:pt>
                <c:pt idx="34">
                  <c:v>82.5</c:v>
                </c:pt>
                <c:pt idx="35">
                  <c:v>82.5</c:v>
                </c:pt>
                <c:pt idx="36">
                  <c:v>82.5</c:v>
                </c:pt>
                <c:pt idx="37">
                  <c:v>82.5</c:v>
                </c:pt>
                <c:pt idx="38">
                  <c:v>82.5</c:v>
                </c:pt>
                <c:pt idx="39">
                  <c:v>82.5</c:v>
                </c:pt>
                <c:pt idx="40">
                  <c:v>82.5</c:v>
                </c:pt>
                <c:pt idx="41">
                  <c:v>64.05</c:v>
                </c:pt>
                <c:pt idx="42">
                  <c:v>57.06</c:v>
                </c:pt>
                <c:pt idx="43">
                  <c:v>23.23</c:v>
                </c:pt>
                <c:pt idx="44">
                  <c:v>48.57</c:v>
                </c:pt>
                <c:pt idx="45">
                  <c:v>82.5</c:v>
                </c:pt>
                <c:pt idx="46">
                  <c:v>57.44</c:v>
                </c:pt>
                <c:pt idx="47">
                  <c:v>82.5</c:v>
                </c:pt>
                <c:pt idx="48">
                  <c:v>82.5</c:v>
                </c:pt>
                <c:pt idx="49">
                  <c:v>82.5</c:v>
                </c:pt>
                <c:pt idx="50">
                  <c:v>82.5</c:v>
                </c:pt>
                <c:pt idx="51">
                  <c:v>58.4</c:v>
                </c:pt>
                <c:pt idx="52">
                  <c:v>59.7</c:v>
                </c:pt>
                <c:pt idx="53">
                  <c:v>61</c:v>
                </c:pt>
                <c:pt idx="54">
                  <c:v>82.5</c:v>
                </c:pt>
                <c:pt idx="55">
                  <c:v>82.5</c:v>
                </c:pt>
                <c:pt idx="56">
                  <c:v>22.05</c:v>
                </c:pt>
                <c:pt idx="57">
                  <c:v>55.22</c:v>
                </c:pt>
                <c:pt idx="58">
                  <c:v>56.38</c:v>
                </c:pt>
                <c:pt idx="59">
                  <c:v>81.75</c:v>
                </c:pt>
                <c:pt idx="60">
                  <c:v>29.06</c:v>
                </c:pt>
                <c:pt idx="61">
                  <c:v>82.5</c:v>
                </c:pt>
                <c:pt idx="62">
                  <c:v>31.7</c:v>
                </c:pt>
                <c:pt idx="63">
                  <c:v>43.53</c:v>
                </c:pt>
                <c:pt idx="64">
                  <c:v>82.5</c:v>
                </c:pt>
                <c:pt idx="65">
                  <c:v>60.22</c:v>
                </c:pt>
                <c:pt idx="66">
                  <c:v>82.5</c:v>
                </c:pt>
                <c:pt idx="67">
                  <c:v>82.5</c:v>
                </c:pt>
                <c:pt idx="68">
                  <c:v>82.5</c:v>
                </c:pt>
                <c:pt idx="69">
                  <c:v>47.83</c:v>
                </c:pt>
                <c:pt idx="70">
                  <c:v>82.5</c:v>
                </c:pt>
                <c:pt idx="71">
                  <c:v>82.5</c:v>
                </c:pt>
                <c:pt idx="72">
                  <c:v>82.5</c:v>
                </c:pt>
                <c:pt idx="73">
                  <c:v>82.5</c:v>
                </c:pt>
                <c:pt idx="74">
                  <c:v>82.5</c:v>
                </c:pt>
                <c:pt idx="75">
                  <c:v>56.12</c:v>
                </c:pt>
                <c:pt idx="76">
                  <c:v>68.150000000000006</c:v>
                </c:pt>
                <c:pt idx="77">
                  <c:v>82.5</c:v>
                </c:pt>
                <c:pt idx="78">
                  <c:v>58.02</c:v>
                </c:pt>
                <c:pt idx="79">
                  <c:v>44.69</c:v>
                </c:pt>
                <c:pt idx="80">
                  <c:v>82.5</c:v>
                </c:pt>
                <c:pt idx="81">
                  <c:v>82.5</c:v>
                </c:pt>
                <c:pt idx="82">
                  <c:v>60.23</c:v>
                </c:pt>
                <c:pt idx="83">
                  <c:v>58.32</c:v>
                </c:pt>
                <c:pt idx="84">
                  <c:v>82.5</c:v>
                </c:pt>
                <c:pt idx="85">
                  <c:v>68.3</c:v>
                </c:pt>
                <c:pt idx="86">
                  <c:v>61.74</c:v>
                </c:pt>
                <c:pt idx="87">
                  <c:v>82.5</c:v>
                </c:pt>
                <c:pt idx="88">
                  <c:v>82.5</c:v>
                </c:pt>
                <c:pt idx="89">
                  <c:v>82.5</c:v>
                </c:pt>
                <c:pt idx="90">
                  <c:v>82.5</c:v>
                </c:pt>
                <c:pt idx="91">
                  <c:v>82.5</c:v>
                </c:pt>
                <c:pt idx="92">
                  <c:v>34.08</c:v>
                </c:pt>
                <c:pt idx="93">
                  <c:v>73.48</c:v>
                </c:pt>
                <c:pt idx="94">
                  <c:v>22.28</c:v>
                </c:pt>
                <c:pt idx="95">
                  <c:v>82.5</c:v>
                </c:pt>
                <c:pt idx="96">
                  <c:v>27.09</c:v>
                </c:pt>
                <c:pt idx="97">
                  <c:v>61.42</c:v>
                </c:pt>
                <c:pt idx="98">
                  <c:v>82.5</c:v>
                </c:pt>
                <c:pt idx="99">
                  <c:v>54.6</c:v>
                </c:pt>
                <c:pt idx="100">
                  <c:v>81.150000000000006</c:v>
                </c:pt>
                <c:pt idx="101">
                  <c:v>78.680000000000007</c:v>
                </c:pt>
                <c:pt idx="102">
                  <c:v>32.119999999999997</c:v>
                </c:pt>
                <c:pt idx="103">
                  <c:v>82.5</c:v>
                </c:pt>
                <c:pt idx="104">
                  <c:v>82.5</c:v>
                </c:pt>
                <c:pt idx="105">
                  <c:v>70.84</c:v>
                </c:pt>
                <c:pt idx="106">
                  <c:v>82.5</c:v>
                </c:pt>
                <c:pt idx="107">
                  <c:v>69.5</c:v>
                </c:pt>
                <c:pt idx="108">
                  <c:v>0</c:v>
                </c:pt>
                <c:pt idx="109">
                  <c:v>76.75</c:v>
                </c:pt>
                <c:pt idx="110">
                  <c:v>65.180000000000007</c:v>
                </c:pt>
                <c:pt idx="111">
                  <c:v>78.14</c:v>
                </c:pt>
                <c:pt idx="112">
                  <c:v>82.5</c:v>
                </c:pt>
                <c:pt idx="113">
                  <c:v>44.41</c:v>
                </c:pt>
                <c:pt idx="114">
                  <c:v>82.5</c:v>
                </c:pt>
                <c:pt idx="115">
                  <c:v>81.19</c:v>
                </c:pt>
                <c:pt idx="116">
                  <c:v>82.5</c:v>
                </c:pt>
                <c:pt idx="117">
                  <c:v>58.15</c:v>
                </c:pt>
                <c:pt idx="118">
                  <c:v>82.5</c:v>
                </c:pt>
                <c:pt idx="119">
                  <c:v>82.5</c:v>
                </c:pt>
                <c:pt idx="120">
                  <c:v>82.5</c:v>
                </c:pt>
                <c:pt idx="121">
                  <c:v>82.5</c:v>
                </c:pt>
                <c:pt idx="122">
                  <c:v>66.86</c:v>
                </c:pt>
                <c:pt idx="123">
                  <c:v>44.21</c:v>
                </c:pt>
                <c:pt idx="124">
                  <c:v>82.5</c:v>
                </c:pt>
                <c:pt idx="125">
                  <c:v>82.5</c:v>
                </c:pt>
                <c:pt idx="126">
                  <c:v>82.5</c:v>
                </c:pt>
                <c:pt idx="127">
                  <c:v>42.68</c:v>
                </c:pt>
                <c:pt idx="128">
                  <c:v>82.5</c:v>
                </c:pt>
                <c:pt idx="129">
                  <c:v>42.21</c:v>
                </c:pt>
                <c:pt idx="130">
                  <c:v>82.5</c:v>
                </c:pt>
                <c:pt idx="131">
                  <c:v>82.5</c:v>
                </c:pt>
                <c:pt idx="132">
                  <c:v>52.5</c:v>
                </c:pt>
                <c:pt idx="133">
                  <c:v>63.29</c:v>
                </c:pt>
                <c:pt idx="134">
                  <c:v>67.91</c:v>
                </c:pt>
                <c:pt idx="135">
                  <c:v>82.5</c:v>
                </c:pt>
                <c:pt idx="136">
                  <c:v>19.34</c:v>
                </c:pt>
                <c:pt idx="137">
                  <c:v>60.25</c:v>
                </c:pt>
                <c:pt idx="138">
                  <c:v>82.5</c:v>
                </c:pt>
                <c:pt idx="139">
                  <c:v>58.42</c:v>
                </c:pt>
                <c:pt idx="140">
                  <c:v>69.819999999999993</c:v>
                </c:pt>
                <c:pt idx="141">
                  <c:v>82.5</c:v>
                </c:pt>
                <c:pt idx="142">
                  <c:v>42.82</c:v>
                </c:pt>
                <c:pt idx="143">
                  <c:v>82.5</c:v>
                </c:pt>
                <c:pt idx="144">
                  <c:v>68.78</c:v>
                </c:pt>
                <c:pt idx="145">
                  <c:v>76.849999999999994</c:v>
                </c:pt>
                <c:pt idx="146">
                  <c:v>71.86</c:v>
                </c:pt>
                <c:pt idx="147">
                  <c:v>60.48</c:v>
                </c:pt>
                <c:pt idx="148">
                  <c:v>15.45</c:v>
                </c:pt>
                <c:pt idx="149">
                  <c:v>82.5</c:v>
                </c:pt>
                <c:pt idx="150">
                  <c:v>52.49</c:v>
                </c:pt>
                <c:pt idx="151">
                  <c:v>82.5</c:v>
                </c:pt>
                <c:pt idx="152">
                  <c:v>40.28</c:v>
                </c:pt>
                <c:pt idx="153">
                  <c:v>82.5</c:v>
                </c:pt>
                <c:pt idx="154">
                  <c:v>82.5</c:v>
                </c:pt>
                <c:pt idx="155">
                  <c:v>82.5</c:v>
                </c:pt>
                <c:pt idx="156">
                  <c:v>82.5</c:v>
                </c:pt>
                <c:pt idx="157">
                  <c:v>82.5</c:v>
                </c:pt>
                <c:pt idx="158">
                  <c:v>82.5</c:v>
                </c:pt>
                <c:pt idx="159">
                  <c:v>25.29</c:v>
                </c:pt>
                <c:pt idx="160">
                  <c:v>60.44</c:v>
                </c:pt>
                <c:pt idx="161">
                  <c:v>65.77</c:v>
                </c:pt>
                <c:pt idx="162">
                  <c:v>23.3</c:v>
                </c:pt>
                <c:pt idx="163">
                  <c:v>82.5</c:v>
                </c:pt>
                <c:pt idx="164">
                  <c:v>56.26</c:v>
                </c:pt>
                <c:pt idx="165">
                  <c:v>82.5</c:v>
                </c:pt>
                <c:pt idx="166">
                  <c:v>82.13</c:v>
                </c:pt>
                <c:pt idx="167">
                  <c:v>82.5</c:v>
                </c:pt>
                <c:pt idx="168">
                  <c:v>82.5</c:v>
                </c:pt>
                <c:pt idx="169">
                  <c:v>52.09</c:v>
                </c:pt>
                <c:pt idx="170">
                  <c:v>82.5</c:v>
                </c:pt>
                <c:pt idx="171">
                  <c:v>82.5</c:v>
                </c:pt>
                <c:pt idx="172">
                  <c:v>82.5</c:v>
                </c:pt>
                <c:pt idx="173">
                  <c:v>76.94</c:v>
                </c:pt>
                <c:pt idx="174">
                  <c:v>82.5</c:v>
                </c:pt>
                <c:pt idx="175">
                  <c:v>82.5</c:v>
                </c:pt>
                <c:pt idx="176">
                  <c:v>77.63</c:v>
                </c:pt>
                <c:pt idx="177">
                  <c:v>82.5</c:v>
                </c:pt>
                <c:pt idx="178">
                  <c:v>82.5</c:v>
                </c:pt>
                <c:pt idx="179">
                  <c:v>77.010000000000005</c:v>
                </c:pt>
                <c:pt idx="180">
                  <c:v>45.43</c:v>
                </c:pt>
                <c:pt idx="181">
                  <c:v>55.24</c:v>
                </c:pt>
                <c:pt idx="182">
                  <c:v>82.5</c:v>
                </c:pt>
                <c:pt idx="183">
                  <c:v>82.5</c:v>
                </c:pt>
                <c:pt idx="184">
                  <c:v>41.9</c:v>
                </c:pt>
                <c:pt idx="185">
                  <c:v>66.83</c:v>
                </c:pt>
                <c:pt idx="186">
                  <c:v>82.5</c:v>
                </c:pt>
                <c:pt idx="187">
                  <c:v>52.54</c:v>
                </c:pt>
                <c:pt idx="188">
                  <c:v>82.5</c:v>
                </c:pt>
                <c:pt idx="189">
                  <c:v>53.81</c:v>
                </c:pt>
                <c:pt idx="190">
                  <c:v>57.79</c:v>
                </c:pt>
                <c:pt idx="191">
                  <c:v>48.8</c:v>
                </c:pt>
                <c:pt idx="192">
                  <c:v>82.5</c:v>
                </c:pt>
                <c:pt idx="193">
                  <c:v>82.5</c:v>
                </c:pt>
                <c:pt idx="194">
                  <c:v>82.5</c:v>
                </c:pt>
                <c:pt idx="195">
                  <c:v>82.5</c:v>
                </c:pt>
                <c:pt idx="196">
                  <c:v>82.5</c:v>
                </c:pt>
                <c:pt idx="197">
                  <c:v>82.5</c:v>
                </c:pt>
                <c:pt idx="198">
                  <c:v>82.5</c:v>
                </c:pt>
                <c:pt idx="199">
                  <c:v>82.5</c:v>
                </c:pt>
                <c:pt idx="200">
                  <c:v>20</c:v>
                </c:pt>
                <c:pt idx="201">
                  <c:v>69.180000000000007</c:v>
                </c:pt>
                <c:pt idx="202">
                  <c:v>82.5</c:v>
                </c:pt>
                <c:pt idx="203">
                  <c:v>82.5</c:v>
                </c:pt>
                <c:pt idx="204">
                  <c:v>82.5</c:v>
                </c:pt>
                <c:pt idx="205">
                  <c:v>68.709999999999994</c:v>
                </c:pt>
                <c:pt idx="206">
                  <c:v>82.5</c:v>
                </c:pt>
                <c:pt idx="207">
                  <c:v>82.5</c:v>
                </c:pt>
                <c:pt idx="208">
                  <c:v>27.61</c:v>
                </c:pt>
                <c:pt idx="209">
                  <c:v>82.5</c:v>
                </c:pt>
                <c:pt idx="210">
                  <c:v>82.5</c:v>
                </c:pt>
                <c:pt idx="211">
                  <c:v>74.48</c:v>
                </c:pt>
                <c:pt idx="212">
                  <c:v>82.5</c:v>
                </c:pt>
                <c:pt idx="213">
                  <c:v>61.33</c:v>
                </c:pt>
                <c:pt idx="214">
                  <c:v>48.64</c:v>
                </c:pt>
                <c:pt idx="215">
                  <c:v>82.5</c:v>
                </c:pt>
                <c:pt idx="216">
                  <c:v>82.5</c:v>
                </c:pt>
                <c:pt idx="217">
                  <c:v>79.61</c:v>
                </c:pt>
                <c:pt idx="218">
                  <c:v>82.5</c:v>
                </c:pt>
                <c:pt idx="219">
                  <c:v>82.5</c:v>
                </c:pt>
                <c:pt idx="220">
                  <c:v>82.5</c:v>
                </c:pt>
                <c:pt idx="221">
                  <c:v>60.35</c:v>
                </c:pt>
                <c:pt idx="222">
                  <c:v>28.82</c:v>
                </c:pt>
                <c:pt idx="223">
                  <c:v>82.5</c:v>
                </c:pt>
                <c:pt idx="224">
                  <c:v>82.5</c:v>
                </c:pt>
                <c:pt idx="225">
                  <c:v>51.31</c:v>
                </c:pt>
                <c:pt idx="226">
                  <c:v>41.82</c:v>
                </c:pt>
                <c:pt idx="227">
                  <c:v>69.239999999999995</c:v>
                </c:pt>
                <c:pt idx="228">
                  <c:v>67.290000000000006</c:v>
                </c:pt>
                <c:pt idx="229">
                  <c:v>82.5</c:v>
                </c:pt>
                <c:pt idx="230">
                  <c:v>81.69</c:v>
                </c:pt>
                <c:pt idx="231">
                  <c:v>64.67</c:v>
                </c:pt>
                <c:pt idx="232">
                  <c:v>50.52</c:v>
                </c:pt>
                <c:pt idx="233">
                  <c:v>64.78</c:v>
                </c:pt>
                <c:pt idx="234">
                  <c:v>56.25</c:v>
                </c:pt>
                <c:pt idx="235">
                  <c:v>36.89</c:v>
                </c:pt>
                <c:pt idx="236">
                  <c:v>75.17</c:v>
                </c:pt>
                <c:pt idx="237">
                  <c:v>81.239999999999995</c:v>
                </c:pt>
                <c:pt idx="238">
                  <c:v>82.5</c:v>
                </c:pt>
                <c:pt idx="239">
                  <c:v>74.69</c:v>
                </c:pt>
                <c:pt idx="240">
                  <c:v>82.5</c:v>
                </c:pt>
                <c:pt idx="241">
                  <c:v>82.5</c:v>
                </c:pt>
                <c:pt idx="242">
                  <c:v>82.5</c:v>
                </c:pt>
                <c:pt idx="243">
                  <c:v>59.18</c:v>
                </c:pt>
                <c:pt idx="244">
                  <c:v>64.22</c:v>
                </c:pt>
                <c:pt idx="245">
                  <c:v>82.5</c:v>
                </c:pt>
                <c:pt idx="246">
                  <c:v>82.5</c:v>
                </c:pt>
                <c:pt idx="247">
                  <c:v>39.4</c:v>
                </c:pt>
                <c:pt idx="248">
                  <c:v>82.5</c:v>
                </c:pt>
                <c:pt idx="249">
                  <c:v>73.64</c:v>
                </c:pt>
                <c:pt idx="250">
                  <c:v>50.64</c:v>
                </c:pt>
                <c:pt idx="251">
                  <c:v>82.5</c:v>
                </c:pt>
                <c:pt idx="252">
                  <c:v>82.5</c:v>
                </c:pt>
                <c:pt idx="253">
                  <c:v>82.5</c:v>
                </c:pt>
                <c:pt idx="254">
                  <c:v>57.65</c:v>
                </c:pt>
                <c:pt idx="255">
                  <c:v>45.73</c:v>
                </c:pt>
                <c:pt idx="256">
                  <c:v>49.73</c:v>
                </c:pt>
                <c:pt idx="257">
                  <c:v>70.89</c:v>
                </c:pt>
                <c:pt idx="258">
                  <c:v>82.5</c:v>
                </c:pt>
                <c:pt idx="259">
                  <c:v>82.5</c:v>
                </c:pt>
                <c:pt idx="260">
                  <c:v>82.5</c:v>
                </c:pt>
                <c:pt idx="261">
                  <c:v>82.5</c:v>
                </c:pt>
                <c:pt idx="262">
                  <c:v>72.91</c:v>
                </c:pt>
                <c:pt idx="263">
                  <c:v>82.5</c:v>
                </c:pt>
                <c:pt idx="264">
                  <c:v>77.8</c:v>
                </c:pt>
                <c:pt idx="265">
                  <c:v>82.5</c:v>
                </c:pt>
                <c:pt idx="266">
                  <c:v>82.5</c:v>
                </c:pt>
                <c:pt idx="267">
                  <c:v>80.400000000000006</c:v>
                </c:pt>
                <c:pt idx="268">
                  <c:v>82.5</c:v>
                </c:pt>
                <c:pt idx="269">
                  <c:v>63.3</c:v>
                </c:pt>
                <c:pt idx="270">
                  <c:v>82.5</c:v>
                </c:pt>
                <c:pt idx="271">
                  <c:v>67.72</c:v>
                </c:pt>
                <c:pt idx="272">
                  <c:v>60.03</c:v>
                </c:pt>
                <c:pt idx="273">
                  <c:v>82.5</c:v>
                </c:pt>
                <c:pt idx="274">
                  <c:v>81.06</c:v>
                </c:pt>
                <c:pt idx="275">
                  <c:v>82.5</c:v>
                </c:pt>
                <c:pt idx="276">
                  <c:v>25.46</c:v>
                </c:pt>
                <c:pt idx="277">
                  <c:v>67.12</c:v>
                </c:pt>
                <c:pt idx="278">
                  <c:v>71.63</c:v>
                </c:pt>
                <c:pt idx="279">
                  <c:v>49.46</c:v>
                </c:pt>
                <c:pt idx="280">
                  <c:v>15.57</c:v>
                </c:pt>
                <c:pt idx="281">
                  <c:v>82.5</c:v>
                </c:pt>
                <c:pt idx="282">
                  <c:v>82.5</c:v>
                </c:pt>
                <c:pt idx="283">
                  <c:v>82.5</c:v>
                </c:pt>
                <c:pt idx="284">
                  <c:v>59.32</c:v>
                </c:pt>
                <c:pt idx="285">
                  <c:v>82.5</c:v>
                </c:pt>
                <c:pt idx="286">
                  <c:v>58.78</c:v>
                </c:pt>
                <c:pt idx="287">
                  <c:v>82.5</c:v>
                </c:pt>
                <c:pt idx="288">
                  <c:v>82.5</c:v>
                </c:pt>
                <c:pt idx="289">
                  <c:v>82.5</c:v>
                </c:pt>
                <c:pt idx="290">
                  <c:v>82.5</c:v>
                </c:pt>
                <c:pt idx="291">
                  <c:v>65.459999999999994</c:v>
                </c:pt>
                <c:pt idx="292">
                  <c:v>36.229999999999997</c:v>
                </c:pt>
                <c:pt idx="293">
                  <c:v>41.24</c:v>
                </c:pt>
                <c:pt idx="294">
                  <c:v>82.5</c:v>
                </c:pt>
                <c:pt idx="295">
                  <c:v>82.5</c:v>
                </c:pt>
                <c:pt idx="296">
                  <c:v>82.5</c:v>
                </c:pt>
                <c:pt idx="297">
                  <c:v>82.5</c:v>
                </c:pt>
                <c:pt idx="298">
                  <c:v>53.94</c:v>
                </c:pt>
                <c:pt idx="299">
                  <c:v>82.5</c:v>
                </c:pt>
                <c:pt idx="300">
                  <c:v>77.97</c:v>
                </c:pt>
                <c:pt idx="301">
                  <c:v>82.5</c:v>
                </c:pt>
                <c:pt idx="302">
                  <c:v>82.5</c:v>
                </c:pt>
                <c:pt idx="303">
                  <c:v>73.28</c:v>
                </c:pt>
                <c:pt idx="304">
                  <c:v>82.5</c:v>
                </c:pt>
                <c:pt idx="305">
                  <c:v>41.04</c:v>
                </c:pt>
                <c:pt idx="306">
                  <c:v>82.5</c:v>
                </c:pt>
                <c:pt idx="307">
                  <c:v>82.5</c:v>
                </c:pt>
                <c:pt idx="308">
                  <c:v>33.28</c:v>
                </c:pt>
                <c:pt idx="309">
                  <c:v>66.430000000000007</c:v>
                </c:pt>
                <c:pt idx="310">
                  <c:v>34.39</c:v>
                </c:pt>
                <c:pt idx="311">
                  <c:v>82.5</c:v>
                </c:pt>
                <c:pt idx="312">
                  <c:v>65.510000000000005</c:v>
                </c:pt>
                <c:pt idx="313">
                  <c:v>82.5</c:v>
                </c:pt>
                <c:pt idx="314">
                  <c:v>82.5</c:v>
                </c:pt>
                <c:pt idx="315">
                  <c:v>46.11</c:v>
                </c:pt>
                <c:pt idx="316">
                  <c:v>82.5</c:v>
                </c:pt>
                <c:pt idx="317">
                  <c:v>82.5</c:v>
                </c:pt>
                <c:pt idx="318">
                  <c:v>42.41</c:v>
                </c:pt>
                <c:pt idx="319">
                  <c:v>82.5</c:v>
                </c:pt>
                <c:pt idx="320">
                  <c:v>82.5</c:v>
                </c:pt>
                <c:pt idx="321">
                  <c:v>82.5</c:v>
                </c:pt>
                <c:pt idx="322">
                  <c:v>59.87</c:v>
                </c:pt>
                <c:pt idx="323">
                  <c:v>64.349999999999994</c:v>
                </c:pt>
                <c:pt idx="324">
                  <c:v>45.6</c:v>
                </c:pt>
                <c:pt idx="325">
                  <c:v>82.5</c:v>
                </c:pt>
                <c:pt idx="326">
                  <c:v>82.5</c:v>
                </c:pt>
                <c:pt idx="327">
                  <c:v>60.71</c:v>
                </c:pt>
                <c:pt idx="328">
                  <c:v>82.5</c:v>
                </c:pt>
                <c:pt idx="329">
                  <c:v>82.5</c:v>
                </c:pt>
                <c:pt idx="330">
                  <c:v>82.5</c:v>
                </c:pt>
                <c:pt idx="331">
                  <c:v>40.58</c:v>
                </c:pt>
                <c:pt idx="332">
                  <c:v>82.5</c:v>
                </c:pt>
                <c:pt idx="333">
                  <c:v>82.5</c:v>
                </c:pt>
                <c:pt idx="334">
                  <c:v>82.5</c:v>
                </c:pt>
                <c:pt idx="335">
                  <c:v>82.5</c:v>
                </c:pt>
                <c:pt idx="336">
                  <c:v>82.5</c:v>
                </c:pt>
                <c:pt idx="337">
                  <c:v>49.38</c:v>
                </c:pt>
                <c:pt idx="338">
                  <c:v>66.28</c:v>
                </c:pt>
                <c:pt idx="339">
                  <c:v>73.03</c:v>
                </c:pt>
                <c:pt idx="340">
                  <c:v>82.5</c:v>
                </c:pt>
                <c:pt idx="341">
                  <c:v>82.5</c:v>
                </c:pt>
                <c:pt idx="342">
                  <c:v>35.24</c:v>
                </c:pt>
                <c:pt idx="343">
                  <c:v>82.5</c:v>
                </c:pt>
                <c:pt idx="344">
                  <c:v>82.5</c:v>
                </c:pt>
                <c:pt idx="345">
                  <c:v>76.62</c:v>
                </c:pt>
                <c:pt idx="346">
                  <c:v>82.5</c:v>
                </c:pt>
                <c:pt idx="347">
                  <c:v>29.29</c:v>
                </c:pt>
                <c:pt idx="348">
                  <c:v>82.5</c:v>
                </c:pt>
                <c:pt idx="349">
                  <c:v>82.5</c:v>
                </c:pt>
                <c:pt idx="350">
                  <c:v>82.5</c:v>
                </c:pt>
              </c:numCache>
            </c:numRef>
          </c:yVal>
          <c:smooth val="0"/>
          <c:extLst>
            <c:ext xmlns:c16="http://schemas.microsoft.com/office/drawing/2014/chart" uri="{C3380CC4-5D6E-409C-BE32-E72D297353CC}">
              <c16:uniqueId val="{00000001-C179-4859-B9EF-26185B7F2109}"/>
            </c:ext>
          </c:extLst>
        </c:ser>
        <c:dLbls>
          <c:showLegendKey val="0"/>
          <c:showVal val="0"/>
          <c:showCatName val="0"/>
          <c:showSerName val="0"/>
          <c:showPercent val="0"/>
          <c:showBubbleSize val="0"/>
        </c:dLbls>
        <c:axId val="98636928"/>
        <c:axId val="98639232"/>
      </c:scatterChart>
      <c:valAx>
        <c:axId val="98636928"/>
        <c:scaling>
          <c:orientation val="minMax"/>
        </c:scaling>
        <c:delete val="0"/>
        <c:axPos val="b"/>
        <c:title>
          <c:tx>
            <c:rich>
              <a:bodyPr/>
              <a:lstStyle/>
              <a:p>
                <a:pPr>
                  <a:defRPr/>
                </a:pPr>
                <a:r>
                  <a:rPr lang="en-US"/>
                  <a:t>Target Contribution</a:t>
                </a:r>
                <a:r>
                  <a:rPr lang="en-US" baseline="0"/>
                  <a:t> %</a:t>
                </a:r>
                <a:endParaRPr lang="en-US"/>
              </a:p>
            </c:rich>
          </c:tx>
          <c:overlay val="0"/>
        </c:title>
        <c:numFmt formatCode="#,##0" sourceLinked="0"/>
        <c:majorTickMark val="out"/>
        <c:minorTickMark val="none"/>
        <c:tickLblPos val="nextTo"/>
        <c:crossAx val="98639232"/>
        <c:crosses val="autoZero"/>
        <c:crossBetween val="midCat"/>
      </c:valAx>
      <c:valAx>
        <c:axId val="98639232"/>
        <c:scaling>
          <c:orientation val="minMax"/>
          <c:max val="100"/>
        </c:scaling>
        <c:delete val="0"/>
        <c:axPos val="l"/>
        <c:title>
          <c:tx>
            <c:rich>
              <a:bodyPr rot="-5400000" vert="horz"/>
              <a:lstStyle/>
              <a:p>
                <a:pPr>
                  <a:defRPr/>
                </a:pPr>
                <a:r>
                  <a:rPr lang="en-US"/>
                  <a:t>Required Contribution %</a:t>
                </a:r>
              </a:p>
            </c:rich>
          </c:tx>
          <c:overlay val="0"/>
        </c:title>
        <c:numFmt formatCode="#,##0" sourceLinked="0"/>
        <c:majorTickMark val="out"/>
        <c:minorTickMark val="none"/>
        <c:tickLblPos val="nextTo"/>
        <c:crossAx val="98636928"/>
        <c:crosses val="autoZero"/>
        <c:crossBetween val="midCat"/>
      </c:valAx>
    </c:plotArea>
    <c:legend>
      <c:legendPos val="b"/>
      <c:overlay val="0"/>
    </c:legend>
    <c:plotVisOnly val="1"/>
    <c:dispBlanksAs val="gap"/>
    <c:showDLblsOverMax val="0"/>
  </c:chart>
  <c:spPr>
    <a:ln>
      <a:noFill/>
    </a:ln>
  </c:spPr>
  <c:txPr>
    <a:bodyPr/>
    <a:lstStyle/>
    <a:p>
      <a:pPr>
        <a:defRPr sz="900"/>
      </a:pPr>
      <a:endParaRPr lang="en-US"/>
    </a:p>
  </c:tx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Target</a:t>
            </a:r>
            <a:r>
              <a:rPr lang="en-US" baseline="0"/>
              <a:t> v. Chapter 70 Aid, FY2025</a:t>
            </a:r>
            <a:endParaRPr lang="en-US"/>
          </a:p>
        </c:rich>
      </c:tx>
      <c:overlay val="0"/>
    </c:title>
    <c:autoTitleDeleted val="0"/>
    <c:plotArea>
      <c:layout>
        <c:manualLayout>
          <c:layoutTarget val="inner"/>
          <c:xMode val="edge"/>
          <c:yMode val="edge"/>
          <c:x val="0.14482955029622951"/>
          <c:y val="6.9566193091014181E-2"/>
          <c:w val="0.79037454441417665"/>
          <c:h val="0.77757096501635936"/>
        </c:manualLayout>
      </c:layout>
      <c:scatterChart>
        <c:scatterStyle val="lineMarker"/>
        <c:varyColors val="0"/>
        <c:ser>
          <c:idx val="1"/>
          <c:order val="0"/>
          <c:tx>
            <c:v>Target Aid %</c:v>
          </c:tx>
          <c:spPr>
            <a:ln w="28575">
              <a:noFill/>
            </a:ln>
          </c:spPr>
          <c:marker>
            <c:symbol val="circle"/>
            <c:size val="6"/>
            <c:spPr>
              <a:noFill/>
              <a:ln w="12700">
                <a:solidFill>
                  <a:schemeClr val="accent6">
                    <a:lumMod val="60000"/>
                    <a:lumOff val="40000"/>
                  </a:schemeClr>
                </a:solidFill>
              </a:ln>
            </c:spPr>
          </c:marker>
          <c:xVal>
            <c:numRef>
              <c:f>'Aid436'!$M$8:$M$445</c:f>
              <c:numCache>
                <c:formatCode>0.00</c:formatCode>
                <c:ptCount val="438"/>
                <c:pt idx="0">
                  <c:v>39.6</c:v>
                </c:pt>
                <c:pt idx="1">
                  <c:v>17.5</c:v>
                </c:pt>
                <c:pt idx="2">
                  <c:v>36.82</c:v>
                </c:pt>
                <c:pt idx="3">
                  <c:v>67.77</c:v>
                </c:pt>
                <c:pt idx="4">
                  <c:v>46.24</c:v>
                </c:pt>
                <c:pt idx="5">
                  <c:v>17.5</c:v>
                </c:pt>
                <c:pt idx="6">
                  <c:v>19.36</c:v>
                </c:pt>
                <c:pt idx="7">
                  <c:v>17.5</c:v>
                </c:pt>
                <c:pt idx="8">
                  <c:v>17.5</c:v>
                </c:pt>
                <c:pt idx="9">
                  <c:v>17.5</c:v>
                </c:pt>
                <c:pt idx="10">
                  <c:v>51.52</c:v>
                </c:pt>
                <c:pt idx="11">
                  <c:v>44.71</c:v>
                </c:pt>
                <c:pt idx="12">
                  <c:v>17.5</c:v>
                </c:pt>
                <c:pt idx="13">
                  <c:v>18.45</c:v>
                </c:pt>
                <c:pt idx="14">
                  <c:v>70.94</c:v>
                </c:pt>
                <c:pt idx="15">
                  <c:v>51.28</c:v>
                </c:pt>
                <c:pt idx="16">
                  <c:v>40.67</c:v>
                </c:pt>
                <c:pt idx="17">
                  <c:v>31.2</c:v>
                </c:pt>
                <c:pt idx="18">
                  <c:v>24.2</c:v>
                </c:pt>
                <c:pt idx="19">
                  <c:v>17.5</c:v>
                </c:pt>
                <c:pt idx="20">
                  <c:v>56.91</c:v>
                </c:pt>
                <c:pt idx="21">
                  <c:v>17.5</c:v>
                </c:pt>
                <c:pt idx="22">
                  <c:v>17.5</c:v>
                </c:pt>
                <c:pt idx="23">
                  <c:v>45.49</c:v>
                </c:pt>
                <c:pt idx="24">
                  <c:v>25.84</c:v>
                </c:pt>
                <c:pt idx="25">
                  <c:v>17.5</c:v>
                </c:pt>
                <c:pt idx="26">
                  <c:v>40.35</c:v>
                </c:pt>
                <c:pt idx="27">
                  <c:v>17.5</c:v>
                </c:pt>
                <c:pt idx="28">
                  <c:v>39.450000000000003</c:v>
                </c:pt>
                <c:pt idx="29">
                  <c:v>17.5</c:v>
                </c:pt>
                <c:pt idx="30">
                  <c:v>17.5</c:v>
                </c:pt>
                <c:pt idx="31">
                  <c:v>45</c:v>
                </c:pt>
                <c:pt idx="32">
                  <c:v>17.5</c:v>
                </c:pt>
                <c:pt idx="33">
                  <c:v>17.5</c:v>
                </c:pt>
                <c:pt idx="34">
                  <c:v>17.5</c:v>
                </c:pt>
                <c:pt idx="35">
                  <c:v>17.5</c:v>
                </c:pt>
                <c:pt idx="36">
                  <c:v>17.5</c:v>
                </c:pt>
                <c:pt idx="37">
                  <c:v>17.5</c:v>
                </c:pt>
                <c:pt idx="38">
                  <c:v>17.5</c:v>
                </c:pt>
                <c:pt idx="39">
                  <c:v>17.5</c:v>
                </c:pt>
                <c:pt idx="40">
                  <c:v>17.5</c:v>
                </c:pt>
                <c:pt idx="41">
                  <c:v>35.950000000000003</c:v>
                </c:pt>
                <c:pt idx="42">
                  <c:v>42.94</c:v>
                </c:pt>
                <c:pt idx="43">
                  <c:v>76.77</c:v>
                </c:pt>
                <c:pt idx="44">
                  <c:v>51.43</c:v>
                </c:pt>
                <c:pt idx="45">
                  <c:v>17.5</c:v>
                </c:pt>
                <c:pt idx="46">
                  <c:v>42.56</c:v>
                </c:pt>
                <c:pt idx="47">
                  <c:v>17.5</c:v>
                </c:pt>
                <c:pt idx="48">
                  <c:v>17.5</c:v>
                </c:pt>
                <c:pt idx="49">
                  <c:v>17.5</c:v>
                </c:pt>
                <c:pt idx="50">
                  <c:v>17.5</c:v>
                </c:pt>
                <c:pt idx="51">
                  <c:v>41.6</c:v>
                </c:pt>
                <c:pt idx="52">
                  <c:v>40.299999999999997</c:v>
                </c:pt>
                <c:pt idx="53">
                  <c:v>39</c:v>
                </c:pt>
                <c:pt idx="54">
                  <c:v>17.5</c:v>
                </c:pt>
                <c:pt idx="55">
                  <c:v>17.5</c:v>
                </c:pt>
                <c:pt idx="56">
                  <c:v>77.95</c:v>
                </c:pt>
                <c:pt idx="57">
                  <c:v>44.78</c:v>
                </c:pt>
                <c:pt idx="58">
                  <c:v>43.62</c:v>
                </c:pt>
                <c:pt idx="59">
                  <c:v>18.25</c:v>
                </c:pt>
                <c:pt idx="60">
                  <c:v>70.94</c:v>
                </c:pt>
                <c:pt idx="61">
                  <c:v>17.5</c:v>
                </c:pt>
                <c:pt idx="62">
                  <c:v>68.3</c:v>
                </c:pt>
                <c:pt idx="63">
                  <c:v>56.47</c:v>
                </c:pt>
                <c:pt idx="64">
                  <c:v>17.5</c:v>
                </c:pt>
                <c:pt idx="65">
                  <c:v>39.78</c:v>
                </c:pt>
                <c:pt idx="66">
                  <c:v>17.5</c:v>
                </c:pt>
                <c:pt idx="67">
                  <c:v>17.5</c:v>
                </c:pt>
                <c:pt idx="68">
                  <c:v>17.5</c:v>
                </c:pt>
                <c:pt idx="69">
                  <c:v>52.17</c:v>
                </c:pt>
                <c:pt idx="70">
                  <c:v>17.5</c:v>
                </c:pt>
                <c:pt idx="71">
                  <c:v>17.5</c:v>
                </c:pt>
                <c:pt idx="72">
                  <c:v>17.5</c:v>
                </c:pt>
                <c:pt idx="73">
                  <c:v>17.5</c:v>
                </c:pt>
                <c:pt idx="74">
                  <c:v>17.5</c:v>
                </c:pt>
                <c:pt idx="75">
                  <c:v>43.88</c:v>
                </c:pt>
                <c:pt idx="76">
                  <c:v>31.85</c:v>
                </c:pt>
                <c:pt idx="77">
                  <c:v>17.5</c:v>
                </c:pt>
                <c:pt idx="78">
                  <c:v>41.98</c:v>
                </c:pt>
                <c:pt idx="79">
                  <c:v>55.31</c:v>
                </c:pt>
                <c:pt idx="80">
                  <c:v>17.5</c:v>
                </c:pt>
                <c:pt idx="81">
                  <c:v>17.5</c:v>
                </c:pt>
                <c:pt idx="82">
                  <c:v>39.770000000000003</c:v>
                </c:pt>
                <c:pt idx="83">
                  <c:v>41.68</c:v>
                </c:pt>
                <c:pt idx="84">
                  <c:v>17.5</c:v>
                </c:pt>
                <c:pt idx="85">
                  <c:v>31.7</c:v>
                </c:pt>
                <c:pt idx="86">
                  <c:v>38.26</c:v>
                </c:pt>
                <c:pt idx="87">
                  <c:v>17.5</c:v>
                </c:pt>
                <c:pt idx="88">
                  <c:v>17.5</c:v>
                </c:pt>
                <c:pt idx="89">
                  <c:v>17.5</c:v>
                </c:pt>
                <c:pt idx="90">
                  <c:v>17.5</c:v>
                </c:pt>
                <c:pt idx="91">
                  <c:v>17.5</c:v>
                </c:pt>
                <c:pt idx="92">
                  <c:v>65.92</c:v>
                </c:pt>
                <c:pt idx="93">
                  <c:v>26.52</c:v>
                </c:pt>
                <c:pt idx="94">
                  <c:v>77.72</c:v>
                </c:pt>
                <c:pt idx="95">
                  <c:v>17.5</c:v>
                </c:pt>
                <c:pt idx="96">
                  <c:v>72.91</c:v>
                </c:pt>
                <c:pt idx="97">
                  <c:v>38.58</c:v>
                </c:pt>
                <c:pt idx="98">
                  <c:v>17.5</c:v>
                </c:pt>
                <c:pt idx="99">
                  <c:v>45.4</c:v>
                </c:pt>
                <c:pt idx="100">
                  <c:v>18.850000000000001</c:v>
                </c:pt>
                <c:pt idx="101">
                  <c:v>21.32</c:v>
                </c:pt>
                <c:pt idx="102">
                  <c:v>67.88</c:v>
                </c:pt>
                <c:pt idx="103">
                  <c:v>17.5</c:v>
                </c:pt>
                <c:pt idx="104">
                  <c:v>17.5</c:v>
                </c:pt>
                <c:pt idx="105">
                  <c:v>29.16</c:v>
                </c:pt>
                <c:pt idx="106">
                  <c:v>17.5</c:v>
                </c:pt>
                <c:pt idx="107">
                  <c:v>30.5</c:v>
                </c:pt>
                <c:pt idx="108">
                  <c:v>100</c:v>
                </c:pt>
                <c:pt idx="109">
                  <c:v>23.25</c:v>
                </c:pt>
                <c:pt idx="110">
                  <c:v>34.82</c:v>
                </c:pt>
                <c:pt idx="111">
                  <c:v>21.86</c:v>
                </c:pt>
                <c:pt idx="112">
                  <c:v>17.5</c:v>
                </c:pt>
                <c:pt idx="113">
                  <c:v>55.59</c:v>
                </c:pt>
                <c:pt idx="114">
                  <c:v>17.5</c:v>
                </c:pt>
                <c:pt idx="115">
                  <c:v>18.809999999999999</c:v>
                </c:pt>
                <c:pt idx="116">
                  <c:v>17.5</c:v>
                </c:pt>
                <c:pt idx="117">
                  <c:v>41.85</c:v>
                </c:pt>
                <c:pt idx="118">
                  <c:v>17.5</c:v>
                </c:pt>
                <c:pt idx="119">
                  <c:v>17.5</c:v>
                </c:pt>
                <c:pt idx="120">
                  <c:v>17.5</c:v>
                </c:pt>
                <c:pt idx="121">
                  <c:v>17.5</c:v>
                </c:pt>
                <c:pt idx="122">
                  <c:v>33.14</c:v>
                </c:pt>
                <c:pt idx="123">
                  <c:v>55.79</c:v>
                </c:pt>
                <c:pt idx="124">
                  <c:v>17.5</c:v>
                </c:pt>
                <c:pt idx="125">
                  <c:v>17.5</c:v>
                </c:pt>
                <c:pt idx="126">
                  <c:v>17.5</c:v>
                </c:pt>
                <c:pt idx="127">
                  <c:v>57.32</c:v>
                </c:pt>
                <c:pt idx="128">
                  <c:v>17.5</c:v>
                </c:pt>
                <c:pt idx="129">
                  <c:v>57.79</c:v>
                </c:pt>
                <c:pt idx="130">
                  <c:v>17.5</c:v>
                </c:pt>
                <c:pt idx="131">
                  <c:v>17.5</c:v>
                </c:pt>
                <c:pt idx="132">
                  <c:v>47.5</c:v>
                </c:pt>
                <c:pt idx="133">
                  <c:v>36.71</c:v>
                </c:pt>
                <c:pt idx="134">
                  <c:v>32.090000000000003</c:v>
                </c:pt>
                <c:pt idx="135">
                  <c:v>17.5</c:v>
                </c:pt>
                <c:pt idx="136">
                  <c:v>80.66</c:v>
                </c:pt>
                <c:pt idx="137">
                  <c:v>39.75</c:v>
                </c:pt>
                <c:pt idx="138">
                  <c:v>17.5</c:v>
                </c:pt>
                <c:pt idx="139">
                  <c:v>41.58</c:v>
                </c:pt>
                <c:pt idx="140">
                  <c:v>30.18</c:v>
                </c:pt>
                <c:pt idx="141">
                  <c:v>17.5</c:v>
                </c:pt>
                <c:pt idx="142">
                  <c:v>57.18</c:v>
                </c:pt>
                <c:pt idx="143">
                  <c:v>17.5</c:v>
                </c:pt>
                <c:pt idx="144">
                  <c:v>31.22</c:v>
                </c:pt>
                <c:pt idx="145">
                  <c:v>23.15</c:v>
                </c:pt>
                <c:pt idx="146">
                  <c:v>28.14</c:v>
                </c:pt>
                <c:pt idx="147">
                  <c:v>39.520000000000003</c:v>
                </c:pt>
                <c:pt idx="148">
                  <c:v>84.55</c:v>
                </c:pt>
                <c:pt idx="149">
                  <c:v>17.5</c:v>
                </c:pt>
                <c:pt idx="150">
                  <c:v>47.51</c:v>
                </c:pt>
                <c:pt idx="151">
                  <c:v>17.5</c:v>
                </c:pt>
                <c:pt idx="152">
                  <c:v>59.72</c:v>
                </c:pt>
                <c:pt idx="153">
                  <c:v>17.5</c:v>
                </c:pt>
                <c:pt idx="154">
                  <c:v>17.5</c:v>
                </c:pt>
                <c:pt idx="155">
                  <c:v>17.5</c:v>
                </c:pt>
                <c:pt idx="156">
                  <c:v>17.5</c:v>
                </c:pt>
                <c:pt idx="157">
                  <c:v>17.5</c:v>
                </c:pt>
                <c:pt idx="158">
                  <c:v>17.5</c:v>
                </c:pt>
                <c:pt idx="159">
                  <c:v>74.709999999999994</c:v>
                </c:pt>
                <c:pt idx="160">
                  <c:v>39.56</c:v>
                </c:pt>
                <c:pt idx="161">
                  <c:v>34.229999999999997</c:v>
                </c:pt>
                <c:pt idx="162">
                  <c:v>76.7</c:v>
                </c:pt>
                <c:pt idx="163">
                  <c:v>17.5</c:v>
                </c:pt>
                <c:pt idx="164">
                  <c:v>43.74</c:v>
                </c:pt>
                <c:pt idx="165">
                  <c:v>17.5</c:v>
                </c:pt>
                <c:pt idx="166">
                  <c:v>17.87</c:v>
                </c:pt>
                <c:pt idx="167">
                  <c:v>17.5</c:v>
                </c:pt>
                <c:pt idx="168">
                  <c:v>17.5</c:v>
                </c:pt>
                <c:pt idx="169">
                  <c:v>47.91</c:v>
                </c:pt>
                <c:pt idx="170">
                  <c:v>17.5</c:v>
                </c:pt>
                <c:pt idx="171">
                  <c:v>17.5</c:v>
                </c:pt>
                <c:pt idx="172">
                  <c:v>17.5</c:v>
                </c:pt>
                <c:pt idx="173">
                  <c:v>23.06</c:v>
                </c:pt>
                <c:pt idx="174">
                  <c:v>17.5</c:v>
                </c:pt>
                <c:pt idx="175">
                  <c:v>17.5</c:v>
                </c:pt>
                <c:pt idx="176">
                  <c:v>22.37</c:v>
                </c:pt>
                <c:pt idx="177">
                  <c:v>17.5</c:v>
                </c:pt>
                <c:pt idx="178">
                  <c:v>17.5</c:v>
                </c:pt>
                <c:pt idx="179">
                  <c:v>22.99</c:v>
                </c:pt>
                <c:pt idx="180">
                  <c:v>54.57</c:v>
                </c:pt>
                <c:pt idx="181">
                  <c:v>44.76</c:v>
                </c:pt>
                <c:pt idx="182">
                  <c:v>17.5</c:v>
                </c:pt>
                <c:pt idx="183">
                  <c:v>17.5</c:v>
                </c:pt>
                <c:pt idx="184">
                  <c:v>58.1</c:v>
                </c:pt>
                <c:pt idx="185">
                  <c:v>33.17</c:v>
                </c:pt>
                <c:pt idx="186">
                  <c:v>17.5</c:v>
                </c:pt>
                <c:pt idx="187">
                  <c:v>47.46</c:v>
                </c:pt>
                <c:pt idx="188">
                  <c:v>17.5</c:v>
                </c:pt>
                <c:pt idx="189">
                  <c:v>46.19</c:v>
                </c:pt>
                <c:pt idx="190">
                  <c:v>42.21</c:v>
                </c:pt>
                <c:pt idx="191">
                  <c:v>51.2</c:v>
                </c:pt>
                <c:pt idx="192">
                  <c:v>17.5</c:v>
                </c:pt>
                <c:pt idx="193">
                  <c:v>17.5</c:v>
                </c:pt>
                <c:pt idx="194">
                  <c:v>17.5</c:v>
                </c:pt>
                <c:pt idx="195">
                  <c:v>17.5</c:v>
                </c:pt>
                <c:pt idx="196">
                  <c:v>17.5</c:v>
                </c:pt>
                <c:pt idx="197">
                  <c:v>17.5</c:v>
                </c:pt>
                <c:pt idx="198">
                  <c:v>17.5</c:v>
                </c:pt>
                <c:pt idx="199">
                  <c:v>17.5</c:v>
                </c:pt>
                <c:pt idx="200">
                  <c:v>80</c:v>
                </c:pt>
                <c:pt idx="201">
                  <c:v>30.82</c:v>
                </c:pt>
                <c:pt idx="202">
                  <c:v>17.5</c:v>
                </c:pt>
                <c:pt idx="203">
                  <c:v>17.5</c:v>
                </c:pt>
                <c:pt idx="204">
                  <c:v>17.5</c:v>
                </c:pt>
                <c:pt idx="205">
                  <c:v>31.29</c:v>
                </c:pt>
                <c:pt idx="206">
                  <c:v>17.5</c:v>
                </c:pt>
                <c:pt idx="207">
                  <c:v>17.5</c:v>
                </c:pt>
                <c:pt idx="208">
                  <c:v>72.39</c:v>
                </c:pt>
                <c:pt idx="209">
                  <c:v>17.5</c:v>
                </c:pt>
                <c:pt idx="210">
                  <c:v>17.5</c:v>
                </c:pt>
                <c:pt idx="211">
                  <c:v>25.52</c:v>
                </c:pt>
                <c:pt idx="212">
                  <c:v>17.5</c:v>
                </c:pt>
                <c:pt idx="213">
                  <c:v>38.67</c:v>
                </c:pt>
                <c:pt idx="214">
                  <c:v>51.36</c:v>
                </c:pt>
                <c:pt idx="215">
                  <c:v>17.5</c:v>
                </c:pt>
                <c:pt idx="216">
                  <c:v>17.5</c:v>
                </c:pt>
                <c:pt idx="217">
                  <c:v>20.39</c:v>
                </c:pt>
                <c:pt idx="218">
                  <c:v>17.5</c:v>
                </c:pt>
                <c:pt idx="219">
                  <c:v>17.5</c:v>
                </c:pt>
                <c:pt idx="220">
                  <c:v>17.5</c:v>
                </c:pt>
                <c:pt idx="221">
                  <c:v>39.65</c:v>
                </c:pt>
                <c:pt idx="222">
                  <c:v>71.180000000000007</c:v>
                </c:pt>
                <c:pt idx="223">
                  <c:v>17.5</c:v>
                </c:pt>
                <c:pt idx="224">
                  <c:v>17.5</c:v>
                </c:pt>
                <c:pt idx="225">
                  <c:v>48.69</c:v>
                </c:pt>
                <c:pt idx="226">
                  <c:v>58.18</c:v>
                </c:pt>
                <c:pt idx="227">
                  <c:v>30.76</c:v>
                </c:pt>
                <c:pt idx="228">
                  <c:v>32.71</c:v>
                </c:pt>
                <c:pt idx="229">
                  <c:v>17.5</c:v>
                </c:pt>
                <c:pt idx="230">
                  <c:v>18.309999999999999</c:v>
                </c:pt>
                <c:pt idx="231">
                  <c:v>35.33</c:v>
                </c:pt>
                <c:pt idx="232">
                  <c:v>49.48</c:v>
                </c:pt>
                <c:pt idx="233">
                  <c:v>35.22</c:v>
                </c:pt>
                <c:pt idx="234">
                  <c:v>43.75</c:v>
                </c:pt>
                <c:pt idx="235">
                  <c:v>63.11</c:v>
                </c:pt>
                <c:pt idx="236">
                  <c:v>24.83</c:v>
                </c:pt>
                <c:pt idx="237">
                  <c:v>18.760000000000002</c:v>
                </c:pt>
                <c:pt idx="238">
                  <c:v>17.5</c:v>
                </c:pt>
                <c:pt idx="239">
                  <c:v>25.31</c:v>
                </c:pt>
                <c:pt idx="240">
                  <c:v>17.5</c:v>
                </c:pt>
                <c:pt idx="241">
                  <c:v>17.5</c:v>
                </c:pt>
                <c:pt idx="242">
                  <c:v>17.5</c:v>
                </c:pt>
                <c:pt idx="243">
                  <c:v>40.82</c:v>
                </c:pt>
                <c:pt idx="244">
                  <c:v>35.78</c:v>
                </c:pt>
                <c:pt idx="245">
                  <c:v>17.5</c:v>
                </c:pt>
                <c:pt idx="246">
                  <c:v>17.5</c:v>
                </c:pt>
                <c:pt idx="247">
                  <c:v>60.6</c:v>
                </c:pt>
                <c:pt idx="248">
                  <c:v>17.5</c:v>
                </c:pt>
                <c:pt idx="249">
                  <c:v>26.36</c:v>
                </c:pt>
                <c:pt idx="250">
                  <c:v>49.36</c:v>
                </c:pt>
                <c:pt idx="251">
                  <c:v>17.5</c:v>
                </c:pt>
                <c:pt idx="252">
                  <c:v>17.5</c:v>
                </c:pt>
                <c:pt idx="253">
                  <c:v>17.5</c:v>
                </c:pt>
                <c:pt idx="254">
                  <c:v>42.35</c:v>
                </c:pt>
                <c:pt idx="255">
                  <c:v>54.27</c:v>
                </c:pt>
                <c:pt idx="256">
                  <c:v>50.27</c:v>
                </c:pt>
                <c:pt idx="257">
                  <c:v>29.11</c:v>
                </c:pt>
                <c:pt idx="258">
                  <c:v>17.5</c:v>
                </c:pt>
                <c:pt idx="259">
                  <c:v>17.5</c:v>
                </c:pt>
                <c:pt idx="260">
                  <c:v>17.5</c:v>
                </c:pt>
                <c:pt idx="261">
                  <c:v>17.5</c:v>
                </c:pt>
                <c:pt idx="262">
                  <c:v>27.09</c:v>
                </c:pt>
                <c:pt idx="263">
                  <c:v>17.5</c:v>
                </c:pt>
                <c:pt idx="264">
                  <c:v>22.2</c:v>
                </c:pt>
                <c:pt idx="265">
                  <c:v>17.5</c:v>
                </c:pt>
                <c:pt idx="266">
                  <c:v>17.5</c:v>
                </c:pt>
                <c:pt idx="267">
                  <c:v>19.600000000000001</c:v>
                </c:pt>
                <c:pt idx="268">
                  <c:v>17.5</c:v>
                </c:pt>
                <c:pt idx="269">
                  <c:v>36.700000000000003</c:v>
                </c:pt>
                <c:pt idx="270">
                  <c:v>17.5</c:v>
                </c:pt>
                <c:pt idx="271">
                  <c:v>32.28</c:v>
                </c:pt>
                <c:pt idx="272">
                  <c:v>39.97</c:v>
                </c:pt>
                <c:pt idx="273">
                  <c:v>17.5</c:v>
                </c:pt>
                <c:pt idx="274">
                  <c:v>18.940000000000001</c:v>
                </c:pt>
                <c:pt idx="275">
                  <c:v>17.5</c:v>
                </c:pt>
                <c:pt idx="276">
                  <c:v>74.540000000000006</c:v>
                </c:pt>
                <c:pt idx="277">
                  <c:v>32.880000000000003</c:v>
                </c:pt>
                <c:pt idx="278">
                  <c:v>28.37</c:v>
                </c:pt>
                <c:pt idx="279">
                  <c:v>50.54</c:v>
                </c:pt>
                <c:pt idx="280">
                  <c:v>84.43</c:v>
                </c:pt>
                <c:pt idx="281">
                  <c:v>17.5</c:v>
                </c:pt>
                <c:pt idx="282">
                  <c:v>17.5</c:v>
                </c:pt>
                <c:pt idx="283">
                  <c:v>17.5</c:v>
                </c:pt>
                <c:pt idx="284">
                  <c:v>40.68</c:v>
                </c:pt>
                <c:pt idx="285">
                  <c:v>17.5</c:v>
                </c:pt>
                <c:pt idx="286">
                  <c:v>41.22</c:v>
                </c:pt>
                <c:pt idx="287">
                  <c:v>17.5</c:v>
                </c:pt>
                <c:pt idx="288">
                  <c:v>17.5</c:v>
                </c:pt>
                <c:pt idx="289">
                  <c:v>17.5</c:v>
                </c:pt>
                <c:pt idx="290">
                  <c:v>17.5</c:v>
                </c:pt>
                <c:pt idx="291">
                  <c:v>34.54</c:v>
                </c:pt>
                <c:pt idx="292">
                  <c:v>63.77</c:v>
                </c:pt>
                <c:pt idx="293">
                  <c:v>58.76</c:v>
                </c:pt>
                <c:pt idx="294">
                  <c:v>17.5</c:v>
                </c:pt>
                <c:pt idx="295">
                  <c:v>17.5</c:v>
                </c:pt>
                <c:pt idx="296">
                  <c:v>17.5</c:v>
                </c:pt>
                <c:pt idx="297">
                  <c:v>17.5</c:v>
                </c:pt>
                <c:pt idx="298">
                  <c:v>46.06</c:v>
                </c:pt>
                <c:pt idx="299">
                  <c:v>17.5</c:v>
                </c:pt>
                <c:pt idx="300">
                  <c:v>22.03</c:v>
                </c:pt>
                <c:pt idx="301">
                  <c:v>17.5</c:v>
                </c:pt>
                <c:pt idx="302">
                  <c:v>17.5</c:v>
                </c:pt>
                <c:pt idx="303">
                  <c:v>26.72</c:v>
                </c:pt>
                <c:pt idx="304">
                  <c:v>17.5</c:v>
                </c:pt>
                <c:pt idx="305">
                  <c:v>58.96</c:v>
                </c:pt>
                <c:pt idx="306">
                  <c:v>17.5</c:v>
                </c:pt>
                <c:pt idx="307">
                  <c:v>17.5</c:v>
                </c:pt>
                <c:pt idx="308">
                  <c:v>66.72</c:v>
                </c:pt>
                <c:pt idx="309">
                  <c:v>33.57</c:v>
                </c:pt>
                <c:pt idx="310">
                  <c:v>65.61</c:v>
                </c:pt>
                <c:pt idx="311">
                  <c:v>17.5</c:v>
                </c:pt>
                <c:pt idx="312">
                  <c:v>34.49</c:v>
                </c:pt>
                <c:pt idx="313">
                  <c:v>17.5</c:v>
                </c:pt>
                <c:pt idx="314">
                  <c:v>17.5</c:v>
                </c:pt>
                <c:pt idx="315">
                  <c:v>53.89</c:v>
                </c:pt>
                <c:pt idx="316">
                  <c:v>17.5</c:v>
                </c:pt>
                <c:pt idx="317">
                  <c:v>17.5</c:v>
                </c:pt>
                <c:pt idx="318">
                  <c:v>57.59</c:v>
                </c:pt>
                <c:pt idx="319">
                  <c:v>17.5</c:v>
                </c:pt>
                <c:pt idx="320">
                  <c:v>17.5</c:v>
                </c:pt>
                <c:pt idx="321">
                  <c:v>17.5</c:v>
                </c:pt>
                <c:pt idx="322">
                  <c:v>40.130000000000003</c:v>
                </c:pt>
                <c:pt idx="323">
                  <c:v>35.65</c:v>
                </c:pt>
                <c:pt idx="324">
                  <c:v>54.4</c:v>
                </c:pt>
                <c:pt idx="325">
                  <c:v>17.5</c:v>
                </c:pt>
                <c:pt idx="326">
                  <c:v>17.5</c:v>
                </c:pt>
                <c:pt idx="327">
                  <c:v>39.29</c:v>
                </c:pt>
                <c:pt idx="328">
                  <c:v>17.5</c:v>
                </c:pt>
                <c:pt idx="329">
                  <c:v>17.5</c:v>
                </c:pt>
                <c:pt idx="330">
                  <c:v>17.5</c:v>
                </c:pt>
                <c:pt idx="331">
                  <c:v>59.42</c:v>
                </c:pt>
                <c:pt idx="332">
                  <c:v>17.5</c:v>
                </c:pt>
                <c:pt idx="333">
                  <c:v>17.5</c:v>
                </c:pt>
                <c:pt idx="334">
                  <c:v>17.5</c:v>
                </c:pt>
                <c:pt idx="335">
                  <c:v>17.5</c:v>
                </c:pt>
                <c:pt idx="336">
                  <c:v>17.5</c:v>
                </c:pt>
                <c:pt idx="337">
                  <c:v>50.62</c:v>
                </c:pt>
                <c:pt idx="338">
                  <c:v>33.72</c:v>
                </c:pt>
                <c:pt idx="339">
                  <c:v>26.97</c:v>
                </c:pt>
                <c:pt idx="340">
                  <c:v>17.5</c:v>
                </c:pt>
                <c:pt idx="341">
                  <c:v>17.5</c:v>
                </c:pt>
                <c:pt idx="342">
                  <c:v>64.760000000000005</c:v>
                </c:pt>
                <c:pt idx="343">
                  <c:v>17.5</c:v>
                </c:pt>
                <c:pt idx="344">
                  <c:v>17.5</c:v>
                </c:pt>
                <c:pt idx="345">
                  <c:v>23.38</c:v>
                </c:pt>
                <c:pt idx="346">
                  <c:v>17.5</c:v>
                </c:pt>
                <c:pt idx="347">
                  <c:v>70.709999999999994</c:v>
                </c:pt>
                <c:pt idx="348">
                  <c:v>17.5</c:v>
                </c:pt>
                <c:pt idx="349">
                  <c:v>17.5</c:v>
                </c:pt>
                <c:pt idx="350">
                  <c:v>17.5</c:v>
                </c:pt>
                <c:pt idx="351">
                  <c:v>17.5</c:v>
                </c:pt>
                <c:pt idx="352">
                  <c:v>17.5</c:v>
                </c:pt>
                <c:pt idx="353">
                  <c:v>61.87</c:v>
                </c:pt>
                <c:pt idx="354">
                  <c:v>18.739999999999998</c:v>
                </c:pt>
                <c:pt idx="355">
                  <c:v>44.65</c:v>
                </c:pt>
                <c:pt idx="356">
                  <c:v>69.06</c:v>
                </c:pt>
                <c:pt idx="357">
                  <c:v>29.55</c:v>
                </c:pt>
                <c:pt idx="358">
                  <c:v>17.5</c:v>
                </c:pt>
                <c:pt idx="359">
                  <c:v>17.5</c:v>
                </c:pt>
                <c:pt idx="360">
                  <c:v>45.62</c:v>
                </c:pt>
                <c:pt idx="361">
                  <c:v>35.880000000000003</c:v>
                </c:pt>
                <c:pt idx="362">
                  <c:v>24.11</c:v>
                </c:pt>
                <c:pt idx="363">
                  <c:v>40.28</c:v>
                </c:pt>
                <c:pt idx="364">
                  <c:v>17.5</c:v>
                </c:pt>
                <c:pt idx="365">
                  <c:v>17.5</c:v>
                </c:pt>
                <c:pt idx="366">
                  <c:v>29.08</c:v>
                </c:pt>
                <c:pt idx="367">
                  <c:v>17.5</c:v>
                </c:pt>
                <c:pt idx="368">
                  <c:v>46.59</c:v>
                </c:pt>
                <c:pt idx="369">
                  <c:v>17.5</c:v>
                </c:pt>
                <c:pt idx="370">
                  <c:v>17.5</c:v>
                </c:pt>
                <c:pt idx="371">
                  <c:v>22.37</c:v>
                </c:pt>
                <c:pt idx="372">
                  <c:v>17.5</c:v>
                </c:pt>
                <c:pt idx="373">
                  <c:v>44.95</c:v>
                </c:pt>
                <c:pt idx="374">
                  <c:v>17.5</c:v>
                </c:pt>
                <c:pt idx="375">
                  <c:v>48.85</c:v>
                </c:pt>
                <c:pt idx="376">
                  <c:v>17.5</c:v>
                </c:pt>
                <c:pt idx="377">
                  <c:v>30.55</c:v>
                </c:pt>
                <c:pt idx="378">
                  <c:v>20.89</c:v>
                </c:pt>
                <c:pt idx="379">
                  <c:v>37.450000000000003</c:v>
                </c:pt>
                <c:pt idx="380">
                  <c:v>17.84</c:v>
                </c:pt>
                <c:pt idx="381">
                  <c:v>17.5</c:v>
                </c:pt>
                <c:pt idx="382">
                  <c:v>17.5</c:v>
                </c:pt>
                <c:pt idx="383">
                  <c:v>17.5</c:v>
                </c:pt>
                <c:pt idx="384">
                  <c:v>17.5</c:v>
                </c:pt>
                <c:pt idx="385">
                  <c:v>17.5</c:v>
                </c:pt>
                <c:pt idx="386">
                  <c:v>17.5</c:v>
                </c:pt>
                <c:pt idx="387">
                  <c:v>25</c:v>
                </c:pt>
                <c:pt idx="388">
                  <c:v>33.06</c:v>
                </c:pt>
                <c:pt idx="389">
                  <c:v>56.41</c:v>
                </c:pt>
                <c:pt idx="390">
                  <c:v>21.02</c:v>
                </c:pt>
                <c:pt idx="391">
                  <c:v>46.72</c:v>
                </c:pt>
                <c:pt idx="392">
                  <c:v>17.5</c:v>
                </c:pt>
                <c:pt idx="393">
                  <c:v>40.71</c:v>
                </c:pt>
                <c:pt idx="394">
                  <c:v>20.41</c:v>
                </c:pt>
                <c:pt idx="395">
                  <c:v>19.989999999999998</c:v>
                </c:pt>
                <c:pt idx="396">
                  <c:v>26.33</c:v>
                </c:pt>
                <c:pt idx="397">
                  <c:v>48.84</c:v>
                </c:pt>
                <c:pt idx="398">
                  <c:v>64.63</c:v>
                </c:pt>
                <c:pt idx="399">
                  <c:v>33.94</c:v>
                </c:pt>
                <c:pt idx="400">
                  <c:v>40.06</c:v>
                </c:pt>
                <c:pt idx="401">
                  <c:v>17.5</c:v>
                </c:pt>
                <c:pt idx="402">
                  <c:v>27.29</c:v>
                </c:pt>
                <c:pt idx="403">
                  <c:v>49.09</c:v>
                </c:pt>
                <c:pt idx="404">
                  <c:v>43.73</c:v>
                </c:pt>
                <c:pt idx="405">
                  <c:v>17.5</c:v>
                </c:pt>
                <c:pt idx="406">
                  <c:v>17.5</c:v>
                </c:pt>
                <c:pt idx="407">
                  <c:v>35.65</c:v>
                </c:pt>
                <c:pt idx="408">
                  <c:v>53.29</c:v>
                </c:pt>
                <c:pt idx="409">
                  <c:v>43.89</c:v>
                </c:pt>
                <c:pt idx="410">
                  <c:v>37.119999999999997</c:v>
                </c:pt>
                <c:pt idx="411">
                  <c:v>32.909999999999997</c:v>
                </c:pt>
                <c:pt idx="412">
                  <c:v>28.96</c:v>
                </c:pt>
                <c:pt idx="413">
                  <c:v>47.69</c:v>
                </c:pt>
                <c:pt idx="414">
                  <c:v>17.5</c:v>
                </c:pt>
                <c:pt idx="415">
                  <c:v>23.36</c:v>
                </c:pt>
                <c:pt idx="416">
                  <c:v>44.23</c:v>
                </c:pt>
                <c:pt idx="417">
                  <c:v>65.14</c:v>
                </c:pt>
                <c:pt idx="418">
                  <c:v>74.180000000000007</c:v>
                </c:pt>
                <c:pt idx="419">
                  <c:v>66.41</c:v>
                </c:pt>
                <c:pt idx="420">
                  <c:v>65.38</c:v>
                </c:pt>
                <c:pt idx="421">
                  <c:v>37.99</c:v>
                </c:pt>
                <c:pt idx="422">
                  <c:v>18.440000000000001</c:v>
                </c:pt>
                <c:pt idx="423">
                  <c:v>55.55</c:v>
                </c:pt>
                <c:pt idx="424">
                  <c:v>60.69</c:v>
                </c:pt>
                <c:pt idx="425">
                  <c:v>26.76</c:v>
                </c:pt>
                <c:pt idx="426">
                  <c:v>41.43</c:v>
                </c:pt>
                <c:pt idx="427">
                  <c:v>30.66</c:v>
                </c:pt>
                <c:pt idx="428">
                  <c:v>53.88</c:v>
                </c:pt>
                <c:pt idx="429">
                  <c:v>17.5</c:v>
                </c:pt>
                <c:pt idx="430">
                  <c:v>58.48</c:v>
                </c:pt>
                <c:pt idx="431">
                  <c:v>38.04</c:v>
                </c:pt>
                <c:pt idx="432">
                  <c:v>51.67</c:v>
                </c:pt>
                <c:pt idx="433">
                  <c:v>20.81</c:v>
                </c:pt>
                <c:pt idx="434">
                  <c:v>22.44</c:v>
                </c:pt>
                <c:pt idx="435">
                  <c:v>44.46</c:v>
                </c:pt>
                <c:pt idx="436">
                  <c:v>43.02</c:v>
                </c:pt>
                <c:pt idx="437">
                  <c:v>20.47</c:v>
                </c:pt>
              </c:numCache>
            </c:numRef>
          </c:xVal>
          <c:yVal>
            <c:numRef>
              <c:f>'Aid436'!$M$8:$M$445</c:f>
              <c:numCache>
                <c:formatCode>0.00</c:formatCode>
                <c:ptCount val="438"/>
                <c:pt idx="0">
                  <c:v>39.6</c:v>
                </c:pt>
                <c:pt idx="1">
                  <c:v>17.5</c:v>
                </c:pt>
                <c:pt idx="2">
                  <c:v>36.82</c:v>
                </c:pt>
                <c:pt idx="3">
                  <c:v>67.77</c:v>
                </c:pt>
                <c:pt idx="4">
                  <c:v>46.24</c:v>
                </c:pt>
                <c:pt idx="5">
                  <c:v>17.5</c:v>
                </c:pt>
                <c:pt idx="6">
                  <c:v>19.36</c:v>
                </c:pt>
                <c:pt idx="7">
                  <c:v>17.5</c:v>
                </c:pt>
                <c:pt idx="8">
                  <c:v>17.5</c:v>
                </c:pt>
                <c:pt idx="9">
                  <c:v>17.5</c:v>
                </c:pt>
                <c:pt idx="10">
                  <c:v>51.52</c:v>
                </c:pt>
                <c:pt idx="11">
                  <c:v>44.71</c:v>
                </c:pt>
                <c:pt idx="12">
                  <c:v>17.5</c:v>
                </c:pt>
                <c:pt idx="13">
                  <c:v>18.45</c:v>
                </c:pt>
                <c:pt idx="14">
                  <c:v>70.94</c:v>
                </c:pt>
                <c:pt idx="15">
                  <c:v>51.28</c:v>
                </c:pt>
                <c:pt idx="16">
                  <c:v>40.67</c:v>
                </c:pt>
                <c:pt idx="17">
                  <c:v>31.2</c:v>
                </c:pt>
                <c:pt idx="18">
                  <c:v>24.2</c:v>
                </c:pt>
                <c:pt idx="19">
                  <c:v>17.5</c:v>
                </c:pt>
                <c:pt idx="20">
                  <c:v>56.91</c:v>
                </c:pt>
                <c:pt idx="21">
                  <c:v>17.5</c:v>
                </c:pt>
                <c:pt idx="22">
                  <c:v>17.5</c:v>
                </c:pt>
                <c:pt idx="23">
                  <c:v>45.49</c:v>
                </c:pt>
                <c:pt idx="24">
                  <c:v>25.84</c:v>
                </c:pt>
                <c:pt idx="25">
                  <c:v>17.5</c:v>
                </c:pt>
                <c:pt idx="26">
                  <c:v>40.35</c:v>
                </c:pt>
                <c:pt idx="27">
                  <c:v>17.5</c:v>
                </c:pt>
                <c:pt idx="28">
                  <c:v>39.450000000000003</c:v>
                </c:pt>
                <c:pt idx="29">
                  <c:v>17.5</c:v>
                </c:pt>
                <c:pt idx="30">
                  <c:v>17.5</c:v>
                </c:pt>
                <c:pt idx="31">
                  <c:v>45</c:v>
                </c:pt>
                <c:pt idx="32">
                  <c:v>17.5</c:v>
                </c:pt>
                <c:pt idx="33">
                  <c:v>17.5</c:v>
                </c:pt>
                <c:pt idx="34">
                  <c:v>17.5</c:v>
                </c:pt>
                <c:pt idx="35">
                  <c:v>17.5</c:v>
                </c:pt>
                <c:pt idx="36">
                  <c:v>17.5</c:v>
                </c:pt>
                <c:pt idx="37">
                  <c:v>17.5</c:v>
                </c:pt>
                <c:pt idx="38">
                  <c:v>17.5</c:v>
                </c:pt>
                <c:pt idx="39">
                  <c:v>17.5</c:v>
                </c:pt>
                <c:pt idx="40">
                  <c:v>17.5</c:v>
                </c:pt>
                <c:pt idx="41">
                  <c:v>35.950000000000003</c:v>
                </c:pt>
                <c:pt idx="42">
                  <c:v>42.94</c:v>
                </c:pt>
                <c:pt idx="43">
                  <c:v>76.77</c:v>
                </c:pt>
                <c:pt idx="44">
                  <c:v>51.43</c:v>
                </c:pt>
                <c:pt idx="45">
                  <c:v>17.5</c:v>
                </c:pt>
                <c:pt idx="46">
                  <c:v>42.56</c:v>
                </c:pt>
                <c:pt idx="47">
                  <c:v>17.5</c:v>
                </c:pt>
                <c:pt idx="48">
                  <c:v>17.5</c:v>
                </c:pt>
                <c:pt idx="49">
                  <c:v>17.5</c:v>
                </c:pt>
                <c:pt idx="50">
                  <c:v>17.5</c:v>
                </c:pt>
                <c:pt idx="51">
                  <c:v>41.6</c:v>
                </c:pt>
                <c:pt idx="52">
                  <c:v>40.299999999999997</c:v>
                </c:pt>
                <c:pt idx="53">
                  <c:v>39</c:v>
                </c:pt>
                <c:pt idx="54">
                  <c:v>17.5</c:v>
                </c:pt>
                <c:pt idx="55">
                  <c:v>17.5</c:v>
                </c:pt>
                <c:pt idx="56">
                  <c:v>77.95</c:v>
                </c:pt>
                <c:pt idx="57">
                  <c:v>44.78</c:v>
                </c:pt>
                <c:pt idx="58">
                  <c:v>43.62</c:v>
                </c:pt>
                <c:pt idx="59">
                  <c:v>18.25</c:v>
                </c:pt>
                <c:pt idx="60">
                  <c:v>70.94</c:v>
                </c:pt>
                <c:pt idx="61">
                  <c:v>17.5</c:v>
                </c:pt>
                <c:pt idx="62">
                  <c:v>68.3</c:v>
                </c:pt>
                <c:pt idx="63">
                  <c:v>56.47</c:v>
                </c:pt>
                <c:pt idx="64">
                  <c:v>17.5</c:v>
                </c:pt>
                <c:pt idx="65">
                  <c:v>39.78</c:v>
                </c:pt>
                <c:pt idx="66">
                  <c:v>17.5</c:v>
                </c:pt>
                <c:pt idx="67">
                  <c:v>17.5</c:v>
                </c:pt>
                <c:pt idx="68">
                  <c:v>17.5</c:v>
                </c:pt>
                <c:pt idx="69">
                  <c:v>52.17</c:v>
                </c:pt>
                <c:pt idx="70">
                  <c:v>17.5</c:v>
                </c:pt>
                <c:pt idx="71">
                  <c:v>17.5</c:v>
                </c:pt>
                <c:pt idx="72">
                  <c:v>17.5</c:v>
                </c:pt>
                <c:pt idx="73">
                  <c:v>17.5</c:v>
                </c:pt>
                <c:pt idx="74">
                  <c:v>17.5</c:v>
                </c:pt>
                <c:pt idx="75">
                  <c:v>43.88</c:v>
                </c:pt>
                <c:pt idx="76">
                  <c:v>31.85</c:v>
                </c:pt>
                <c:pt idx="77">
                  <c:v>17.5</c:v>
                </c:pt>
                <c:pt idx="78">
                  <c:v>41.98</c:v>
                </c:pt>
                <c:pt idx="79">
                  <c:v>55.31</c:v>
                </c:pt>
                <c:pt idx="80">
                  <c:v>17.5</c:v>
                </c:pt>
                <c:pt idx="81">
                  <c:v>17.5</c:v>
                </c:pt>
                <c:pt idx="82">
                  <c:v>39.770000000000003</c:v>
                </c:pt>
                <c:pt idx="83">
                  <c:v>41.68</c:v>
                </c:pt>
                <c:pt idx="84">
                  <c:v>17.5</c:v>
                </c:pt>
                <c:pt idx="85">
                  <c:v>31.7</c:v>
                </c:pt>
                <c:pt idx="86">
                  <c:v>38.26</c:v>
                </c:pt>
                <c:pt idx="87">
                  <c:v>17.5</c:v>
                </c:pt>
                <c:pt idx="88">
                  <c:v>17.5</c:v>
                </c:pt>
                <c:pt idx="89">
                  <c:v>17.5</c:v>
                </c:pt>
                <c:pt idx="90">
                  <c:v>17.5</c:v>
                </c:pt>
                <c:pt idx="91">
                  <c:v>17.5</c:v>
                </c:pt>
                <c:pt idx="92">
                  <c:v>65.92</c:v>
                </c:pt>
                <c:pt idx="93">
                  <c:v>26.52</c:v>
                </c:pt>
                <c:pt idx="94">
                  <c:v>77.72</c:v>
                </c:pt>
                <c:pt idx="95">
                  <c:v>17.5</c:v>
                </c:pt>
                <c:pt idx="96">
                  <c:v>72.91</c:v>
                </c:pt>
                <c:pt idx="97">
                  <c:v>38.58</c:v>
                </c:pt>
                <c:pt idx="98">
                  <c:v>17.5</c:v>
                </c:pt>
                <c:pt idx="99">
                  <c:v>45.4</c:v>
                </c:pt>
                <c:pt idx="100">
                  <c:v>18.850000000000001</c:v>
                </c:pt>
                <c:pt idx="101">
                  <c:v>21.32</c:v>
                </c:pt>
                <c:pt idx="102">
                  <c:v>67.88</c:v>
                </c:pt>
                <c:pt idx="103">
                  <c:v>17.5</c:v>
                </c:pt>
                <c:pt idx="104">
                  <c:v>17.5</c:v>
                </c:pt>
                <c:pt idx="105">
                  <c:v>29.16</c:v>
                </c:pt>
                <c:pt idx="106">
                  <c:v>17.5</c:v>
                </c:pt>
                <c:pt idx="107">
                  <c:v>30.5</c:v>
                </c:pt>
                <c:pt idx="108">
                  <c:v>100</c:v>
                </c:pt>
                <c:pt idx="109">
                  <c:v>23.25</c:v>
                </c:pt>
                <c:pt idx="110">
                  <c:v>34.82</c:v>
                </c:pt>
                <c:pt idx="111">
                  <c:v>21.86</c:v>
                </c:pt>
                <c:pt idx="112">
                  <c:v>17.5</c:v>
                </c:pt>
                <c:pt idx="113">
                  <c:v>55.59</c:v>
                </c:pt>
                <c:pt idx="114">
                  <c:v>17.5</c:v>
                </c:pt>
                <c:pt idx="115">
                  <c:v>18.809999999999999</c:v>
                </c:pt>
                <c:pt idx="116">
                  <c:v>17.5</c:v>
                </c:pt>
                <c:pt idx="117">
                  <c:v>41.85</c:v>
                </c:pt>
                <c:pt idx="118">
                  <c:v>17.5</c:v>
                </c:pt>
                <c:pt idx="119">
                  <c:v>17.5</c:v>
                </c:pt>
                <c:pt idx="120">
                  <c:v>17.5</c:v>
                </c:pt>
                <c:pt idx="121">
                  <c:v>17.5</c:v>
                </c:pt>
                <c:pt idx="122">
                  <c:v>33.14</c:v>
                </c:pt>
                <c:pt idx="123">
                  <c:v>55.79</c:v>
                </c:pt>
                <c:pt idx="124">
                  <c:v>17.5</c:v>
                </c:pt>
                <c:pt idx="125">
                  <c:v>17.5</c:v>
                </c:pt>
                <c:pt idx="126">
                  <c:v>17.5</c:v>
                </c:pt>
                <c:pt idx="127">
                  <c:v>57.32</c:v>
                </c:pt>
                <c:pt idx="128">
                  <c:v>17.5</c:v>
                </c:pt>
                <c:pt idx="129">
                  <c:v>57.79</c:v>
                </c:pt>
                <c:pt idx="130">
                  <c:v>17.5</c:v>
                </c:pt>
                <c:pt idx="131">
                  <c:v>17.5</c:v>
                </c:pt>
                <c:pt idx="132">
                  <c:v>47.5</c:v>
                </c:pt>
                <c:pt idx="133">
                  <c:v>36.71</c:v>
                </c:pt>
                <c:pt idx="134">
                  <c:v>32.090000000000003</c:v>
                </c:pt>
                <c:pt idx="135">
                  <c:v>17.5</c:v>
                </c:pt>
                <c:pt idx="136">
                  <c:v>80.66</c:v>
                </c:pt>
                <c:pt idx="137">
                  <c:v>39.75</c:v>
                </c:pt>
                <c:pt idx="138">
                  <c:v>17.5</c:v>
                </c:pt>
                <c:pt idx="139">
                  <c:v>41.58</c:v>
                </c:pt>
                <c:pt idx="140">
                  <c:v>30.18</c:v>
                </c:pt>
                <c:pt idx="141">
                  <c:v>17.5</c:v>
                </c:pt>
                <c:pt idx="142">
                  <c:v>57.18</c:v>
                </c:pt>
                <c:pt idx="143">
                  <c:v>17.5</c:v>
                </c:pt>
                <c:pt idx="144">
                  <c:v>31.22</c:v>
                </c:pt>
                <c:pt idx="145">
                  <c:v>23.15</c:v>
                </c:pt>
                <c:pt idx="146">
                  <c:v>28.14</c:v>
                </c:pt>
                <c:pt idx="147">
                  <c:v>39.520000000000003</c:v>
                </c:pt>
                <c:pt idx="148">
                  <c:v>84.55</c:v>
                </c:pt>
                <c:pt idx="149">
                  <c:v>17.5</c:v>
                </c:pt>
                <c:pt idx="150">
                  <c:v>47.51</c:v>
                </c:pt>
                <c:pt idx="151">
                  <c:v>17.5</c:v>
                </c:pt>
                <c:pt idx="152">
                  <c:v>59.72</c:v>
                </c:pt>
                <c:pt idx="153">
                  <c:v>17.5</c:v>
                </c:pt>
                <c:pt idx="154">
                  <c:v>17.5</c:v>
                </c:pt>
                <c:pt idx="155">
                  <c:v>17.5</c:v>
                </c:pt>
                <c:pt idx="156">
                  <c:v>17.5</c:v>
                </c:pt>
                <c:pt idx="157">
                  <c:v>17.5</c:v>
                </c:pt>
                <c:pt idx="158">
                  <c:v>17.5</c:v>
                </c:pt>
                <c:pt idx="159">
                  <c:v>74.709999999999994</c:v>
                </c:pt>
                <c:pt idx="160">
                  <c:v>39.56</c:v>
                </c:pt>
                <c:pt idx="161">
                  <c:v>34.229999999999997</c:v>
                </c:pt>
                <c:pt idx="162">
                  <c:v>76.7</c:v>
                </c:pt>
                <c:pt idx="163">
                  <c:v>17.5</c:v>
                </c:pt>
                <c:pt idx="164">
                  <c:v>43.74</c:v>
                </c:pt>
                <c:pt idx="165">
                  <c:v>17.5</c:v>
                </c:pt>
                <c:pt idx="166">
                  <c:v>17.87</c:v>
                </c:pt>
                <c:pt idx="167">
                  <c:v>17.5</c:v>
                </c:pt>
                <c:pt idx="168">
                  <c:v>17.5</c:v>
                </c:pt>
                <c:pt idx="169">
                  <c:v>47.91</c:v>
                </c:pt>
                <c:pt idx="170">
                  <c:v>17.5</c:v>
                </c:pt>
                <c:pt idx="171">
                  <c:v>17.5</c:v>
                </c:pt>
                <c:pt idx="172">
                  <c:v>17.5</c:v>
                </c:pt>
                <c:pt idx="173">
                  <c:v>23.06</c:v>
                </c:pt>
                <c:pt idx="174">
                  <c:v>17.5</c:v>
                </c:pt>
                <c:pt idx="175">
                  <c:v>17.5</c:v>
                </c:pt>
                <c:pt idx="176">
                  <c:v>22.37</c:v>
                </c:pt>
                <c:pt idx="177">
                  <c:v>17.5</c:v>
                </c:pt>
                <c:pt idx="178">
                  <c:v>17.5</c:v>
                </c:pt>
                <c:pt idx="179">
                  <c:v>22.99</c:v>
                </c:pt>
                <c:pt idx="180">
                  <c:v>54.57</c:v>
                </c:pt>
                <c:pt idx="181">
                  <c:v>44.76</c:v>
                </c:pt>
                <c:pt idx="182">
                  <c:v>17.5</c:v>
                </c:pt>
                <c:pt idx="183">
                  <c:v>17.5</c:v>
                </c:pt>
                <c:pt idx="184">
                  <c:v>58.1</c:v>
                </c:pt>
                <c:pt idx="185">
                  <c:v>33.17</c:v>
                </c:pt>
                <c:pt idx="186">
                  <c:v>17.5</c:v>
                </c:pt>
                <c:pt idx="187">
                  <c:v>47.46</c:v>
                </c:pt>
                <c:pt idx="188">
                  <c:v>17.5</c:v>
                </c:pt>
                <c:pt idx="189">
                  <c:v>46.19</c:v>
                </c:pt>
                <c:pt idx="190">
                  <c:v>42.21</c:v>
                </c:pt>
                <c:pt idx="191">
                  <c:v>51.2</c:v>
                </c:pt>
                <c:pt idx="192">
                  <c:v>17.5</c:v>
                </c:pt>
                <c:pt idx="193">
                  <c:v>17.5</c:v>
                </c:pt>
                <c:pt idx="194">
                  <c:v>17.5</c:v>
                </c:pt>
                <c:pt idx="195">
                  <c:v>17.5</c:v>
                </c:pt>
                <c:pt idx="196">
                  <c:v>17.5</c:v>
                </c:pt>
                <c:pt idx="197">
                  <c:v>17.5</c:v>
                </c:pt>
                <c:pt idx="198">
                  <c:v>17.5</c:v>
                </c:pt>
                <c:pt idx="199">
                  <c:v>17.5</c:v>
                </c:pt>
                <c:pt idx="200">
                  <c:v>80</c:v>
                </c:pt>
                <c:pt idx="201">
                  <c:v>30.82</c:v>
                </c:pt>
                <c:pt idx="202">
                  <c:v>17.5</c:v>
                </c:pt>
                <c:pt idx="203">
                  <c:v>17.5</c:v>
                </c:pt>
                <c:pt idx="204">
                  <c:v>17.5</c:v>
                </c:pt>
                <c:pt idx="205">
                  <c:v>31.29</c:v>
                </c:pt>
                <c:pt idx="206">
                  <c:v>17.5</c:v>
                </c:pt>
                <c:pt idx="207">
                  <c:v>17.5</c:v>
                </c:pt>
                <c:pt idx="208">
                  <c:v>72.39</c:v>
                </c:pt>
                <c:pt idx="209">
                  <c:v>17.5</c:v>
                </c:pt>
                <c:pt idx="210">
                  <c:v>17.5</c:v>
                </c:pt>
                <c:pt idx="211">
                  <c:v>25.52</c:v>
                </c:pt>
                <c:pt idx="212">
                  <c:v>17.5</c:v>
                </c:pt>
                <c:pt idx="213">
                  <c:v>38.67</c:v>
                </c:pt>
                <c:pt idx="214">
                  <c:v>51.36</c:v>
                </c:pt>
                <c:pt idx="215">
                  <c:v>17.5</c:v>
                </c:pt>
                <c:pt idx="216">
                  <c:v>17.5</c:v>
                </c:pt>
                <c:pt idx="217">
                  <c:v>20.39</c:v>
                </c:pt>
                <c:pt idx="218">
                  <c:v>17.5</c:v>
                </c:pt>
                <c:pt idx="219">
                  <c:v>17.5</c:v>
                </c:pt>
                <c:pt idx="220">
                  <c:v>17.5</c:v>
                </c:pt>
                <c:pt idx="221">
                  <c:v>39.65</c:v>
                </c:pt>
                <c:pt idx="222">
                  <c:v>71.180000000000007</c:v>
                </c:pt>
                <c:pt idx="223">
                  <c:v>17.5</c:v>
                </c:pt>
                <c:pt idx="224">
                  <c:v>17.5</c:v>
                </c:pt>
                <c:pt idx="225">
                  <c:v>48.69</c:v>
                </c:pt>
                <c:pt idx="226">
                  <c:v>58.18</c:v>
                </c:pt>
                <c:pt idx="227">
                  <c:v>30.76</c:v>
                </c:pt>
                <c:pt idx="228">
                  <c:v>32.71</c:v>
                </c:pt>
                <c:pt idx="229">
                  <c:v>17.5</c:v>
                </c:pt>
                <c:pt idx="230">
                  <c:v>18.309999999999999</c:v>
                </c:pt>
                <c:pt idx="231">
                  <c:v>35.33</c:v>
                </c:pt>
                <c:pt idx="232">
                  <c:v>49.48</c:v>
                </c:pt>
                <c:pt idx="233">
                  <c:v>35.22</c:v>
                </c:pt>
                <c:pt idx="234">
                  <c:v>43.75</c:v>
                </c:pt>
                <c:pt idx="235">
                  <c:v>63.11</c:v>
                </c:pt>
                <c:pt idx="236">
                  <c:v>24.83</c:v>
                </c:pt>
                <c:pt idx="237">
                  <c:v>18.760000000000002</c:v>
                </c:pt>
                <c:pt idx="238">
                  <c:v>17.5</c:v>
                </c:pt>
                <c:pt idx="239">
                  <c:v>25.31</c:v>
                </c:pt>
                <c:pt idx="240">
                  <c:v>17.5</c:v>
                </c:pt>
                <c:pt idx="241">
                  <c:v>17.5</c:v>
                </c:pt>
                <c:pt idx="242">
                  <c:v>17.5</c:v>
                </c:pt>
                <c:pt idx="243">
                  <c:v>40.82</c:v>
                </c:pt>
                <c:pt idx="244">
                  <c:v>35.78</c:v>
                </c:pt>
                <c:pt idx="245">
                  <c:v>17.5</c:v>
                </c:pt>
                <c:pt idx="246">
                  <c:v>17.5</c:v>
                </c:pt>
                <c:pt idx="247">
                  <c:v>60.6</c:v>
                </c:pt>
                <c:pt idx="248">
                  <c:v>17.5</c:v>
                </c:pt>
                <c:pt idx="249">
                  <c:v>26.36</c:v>
                </c:pt>
                <c:pt idx="250">
                  <c:v>49.36</c:v>
                </c:pt>
                <c:pt idx="251">
                  <c:v>17.5</c:v>
                </c:pt>
                <c:pt idx="252">
                  <c:v>17.5</c:v>
                </c:pt>
                <c:pt idx="253">
                  <c:v>17.5</c:v>
                </c:pt>
                <c:pt idx="254">
                  <c:v>42.35</c:v>
                </c:pt>
                <c:pt idx="255">
                  <c:v>54.27</c:v>
                </c:pt>
                <c:pt idx="256">
                  <c:v>50.27</c:v>
                </c:pt>
                <c:pt idx="257">
                  <c:v>29.11</c:v>
                </c:pt>
                <c:pt idx="258">
                  <c:v>17.5</c:v>
                </c:pt>
                <c:pt idx="259">
                  <c:v>17.5</c:v>
                </c:pt>
                <c:pt idx="260">
                  <c:v>17.5</c:v>
                </c:pt>
                <c:pt idx="261">
                  <c:v>17.5</c:v>
                </c:pt>
                <c:pt idx="262">
                  <c:v>27.09</c:v>
                </c:pt>
                <c:pt idx="263">
                  <c:v>17.5</c:v>
                </c:pt>
                <c:pt idx="264">
                  <c:v>22.2</c:v>
                </c:pt>
                <c:pt idx="265">
                  <c:v>17.5</c:v>
                </c:pt>
                <c:pt idx="266">
                  <c:v>17.5</c:v>
                </c:pt>
                <c:pt idx="267">
                  <c:v>19.600000000000001</c:v>
                </c:pt>
                <c:pt idx="268">
                  <c:v>17.5</c:v>
                </c:pt>
                <c:pt idx="269">
                  <c:v>36.700000000000003</c:v>
                </c:pt>
                <c:pt idx="270">
                  <c:v>17.5</c:v>
                </c:pt>
                <c:pt idx="271">
                  <c:v>32.28</c:v>
                </c:pt>
                <c:pt idx="272">
                  <c:v>39.97</c:v>
                </c:pt>
                <c:pt idx="273">
                  <c:v>17.5</c:v>
                </c:pt>
                <c:pt idx="274">
                  <c:v>18.940000000000001</c:v>
                </c:pt>
                <c:pt idx="275">
                  <c:v>17.5</c:v>
                </c:pt>
                <c:pt idx="276">
                  <c:v>74.540000000000006</c:v>
                </c:pt>
                <c:pt idx="277">
                  <c:v>32.880000000000003</c:v>
                </c:pt>
                <c:pt idx="278">
                  <c:v>28.37</c:v>
                </c:pt>
                <c:pt idx="279">
                  <c:v>50.54</c:v>
                </c:pt>
                <c:pt idx="280">
                  <c:v>84.43</c:v>
                </c:pt>
                <c:pt idx="281">
                  <c:v>17.5</c:v>
                </c:pt>
                <c:pt idx="282">
                  <c:v>17.5</c:v>
                </c:pt>
                <c:pt idx="283">
                  <c:v>17.5</c:v>
                </c:pt>
                <c:pt idx="284">
                  <c:v>40.68</c:v>
                </c:pt>
                <c:pt idx="285">
                  <c:v>17.5</c:v>
                </c:pt>
                <c:pt idx="286">
                  <c:v>41.22</c:v>
                </c:pt>
                <c:pt idx="287">
                  <c:v>17.5</c:v>
                </c:pt>
                <c:pt idx="288">
                  <c:v>17.5</c:v>
                </c:pt>
                <c:pt idx="289">
                  <c:v>17.5</c:v>
                </c:pt>
                <c:pt idx="290">
                  <c:v>17.5</c:v>
                </c:pt>
                <c:pt idx="291">
                  <c:v>34.54</c:v>
                </c:pt>
                <c:pt idx="292">
                  <c:v>63.77</c:v>
                </c:pt>
                <c:pt idx="293">
                  <c:v>58.76</c:v>
                </c:pt>
                <c:pt idx="294">
                  <c:v>17.5</c:v>
                </c:pt>
                <c:pt idx="295">
                  <c:v>17.5</c:v>
                </c:pt>
                <c:pt idx="296">
                  <c:v>17.5</c:v>
                </c:pt>
                <c:pt idx="297">
                  <c:v>17.5</c:v>
                </c:pt>
                <c:pt idx="298">
                  <c:v>46.06</c:v>
                </c:pt>
                <c:pt idx="299">
                  <c:v>17.5</c:v>
                </c:pt>
                <c:pt idx="300">
                  <c:v>22.03</c:v>
                </c:pt>
                <c:pt idx="301">
                  <c:v>17.5</c:v>
                </c:pt>
                <c:pt idx="302">
                  <c:v>17.5</c:v>
                </c:pt>
                <c:pt idx="303">
                  <c:v>26.72</c:v>
                </c:pt>
                <c:pt idx="304">
                  <c:v>17.5</c:v>
                </c:pt>
                <c:pt idx="305">
                  <c:v>58.96</c:v>
                </c:pt>
                <c:pt idx="306">
                  <c:v>17.5</c:v>
                </c:pt>
                <c:pt idx="307">
                  <c:v>17.5</c:v>
                </c:pt>
                <c:pt idx="308">
                  <c:v>66.72</c:v>
                </c:pt>
                <c:pt idx="309">
                  <c:v>33.57</c:v>
                </c:pt>
                <c:pt idx="310">
                  <c:v>65.61</c:v>
                </c:pt>
                <c:pt idx="311">
                  <c:v>17.5</c:v>
                </c:pt>
                <c:pt idx="312">
                  <c:v>34.49</c:v>
                </c:pt>
                <c:pt idx="313">
                  <c:v>17.5</c:v>
                </c:pt>
                <c:pt idx="314">
                  <c:v>17.5</c:v>
                </c:pt>
                <c:pt idx="315">
                  <c:v>53.89</c:v>
                </c:pt>
                <c:pt idx="316">
                  <c:v>17.5</c:v>
                </c:pt>
                <c:pt idx="317">
                  <c:v>17.5</c:v>
                </c:pt>
                <c:pt idx="318">
                  <c:v>57.59</c:v>
                </c:pt>
                <c:pt idx="319">
                  <c:v>17.5</c:v>
                </c:pt>
                <c:pt idx="320">
                  <c:v>17.5</c:v>
                </c:pt>
                <c:pt idx="321">
                  <c:v>17.5</c:v>
                </c:pt>
                <c:pt idx="322">
                  <c:v>40.130000000000003</c:v>
                </c:pt>
                <c:pt idx="323">
                  <c:v>35.65</c:v>
                </c:pt>
                <c:pt idx="324">
                  <c:v>54.4</c:v>
                </c:pt>
                <c:pt idx="325">
                  <c:v>17.5</c:v>
                </c:pt>
                <c:pt idx="326">
                  <c:v>17.5</c:v>
                </c:pt>
                <c:pt idx="327">
                  <c:v>39.29</c:v>
                </c:pt>
                <c:pt idx="328">
                  <c:v>17.5</c:v>
                </c:pt>
                <c:pt idx="329">
                  <c:v>17.5</c:v>
                </c:pt>
                <c:pt idx="330">
                  <c:v>17.5</c:v>
                </c:pt>
                <c:pt idx="331">
                  <c:v>59.42</c:v>
                </c:pt>
                <c:pt idx="332">
                  <c:v>17.5</c:v>
                </c:pt>
                <c:pt idx="333">
                  <c:v>17.5</c:v>
                </c:pt>
                <c:pt idx="334">
                  <c:v>17.5</c:v>
                </c:pt>
                <c:pt idx="335">
                  <c:v>17.5</c:v>
                </c:pt>
                <c:pt idx="336">
                  <c:v>17.5</c:v>
                </c:pt>
                <c:pt idx="337">
                  <c:v>50.62</c:v>
                </c:pt>
                <c:pt idx="338">
                  <c:v>33.72</c:v>
                </c:pt>
                <c:pt idx="339">
                  <c:v>26.97</c:v>
                </c:pt>
                <c:pt idx="340">
                  <c:v>17.5</c:v>
                </c:pt>
                <c:pt idx="341">
                  <c:v>17.5</c:v>
                </c:pt>
                <c:pt idx="342">
                  <c:v>64.760000000000005</c:v>
                </c:pt>
                <c:pt idx="343">
                  <c:v>17.5</c:v>
                </c:pt>
                <c:pt idx="344">
                  <c:v>17.5</c:v>
                </c:pt>
                <c:pt idx="345">
                  <c:v>23.38</c:v>
                </c:pt>
                <c:pt idx="346">
                  <c:v>17.5</c:v>
                </c:pt>
                <c:pt idx="347">
                  <c:v>70.709999999999994</c:v>
                </c:pt>
                <c:pt idx="348">
                  <c:v>17.5</c:v>
                </c:pt>
                <c:pt idx="349">
                  <c:v>17.5</c:v>
                </c:pt>
                <c:pt idx="350">
                  <c:v>17.5</c:v>
                </c:pt>
                <c:pt idx="351">
                  <c:v>17.5</c:v>
                </c:pt>
                <c:pt idx="352">
                  <c:v>17.5</c:v>
                </c:pt>
                <c:pt idx="353">
                  <c:v>61.87</c:v>
                </c:pt>
                <c:pt idx="354">
                  <c:v>18.739999999999998</c:v>
                </c:pt>
                <c:pt idx="355">
                  <c:v>44.65</c:v>
                </c:pt>
                <c:pt idx="356">
                  <c:v>69.06</c:v>
                </c:pt>
                <c:pt idx="357">
                  <c:v>29.55</c:v>
                </c:pt>
                <c:pt idx="358">
                  <c:v>17.5</c:v>
                </c:pt>
                <c:pt idx="359">
                  <c:v>17.5</c:v>
                </c:pt>
                <c:pt idx="360">
                  <c:v>45.62</c:v>
                </c:pt>
                <c:pt idx="361">
                  <c:v>35.880000000000003</c:v>
                </c:pt>
                <c:pt idx="362">
                  <c:v>24.11</c:v>
                </c:pt>
                <c:pt idx="363">
                  <c:v>40.28</c:v>
                </c:pt>
                <c:pt idx="364">
                  <c:v>17.5</c:v>
                </c:pt>
                <c:pt idx="365">
                  <c:v>17.5</c:v>
                </c:pt>
                <c:pt idx="366">
                  <c:v>29.08</c:v>
                </c:pt>
                <c:pt idx="367">
                  <c:v>17.5</c:v>
                </c:pt>
                <c:pt idx="368">
                  <c:v>46.59</c:v>
                </c:pt>
                <c:pt idx="369">
                  <c:v>17.5</c:v>
                </c:pt>
                <c:pt idx="370">
                  <c:v>17.5</c:v>
                </c:pt>
                <c:pt idx="371">
                  <c:v>22.37</c:v>
                </c:pt>
                <c:pt idx="372">
                  <c:v>17.5</c:v>
                </c:pt>
                <c:pt idx="373">
                  <c:v>44.95</c:v>
                </c:pt>
                <c:pt idx="374">
                  <c:v>17.5</c:v>
                </c:pt>
                <c:pt idx="375">
                  <c:v>48.85</c:v>
                </c:pt>
                <c:pt idx="376">
                  <c:v>17.5</c:v>
                </c:pt>
                <c:pt idx="377">
                  <c:v>30.55</c:v>
                </c:pt>
                <c:pt idx="378">
                  <c:v>20.89</c:v>
                </c:pt>
                <c:pt idx="379">
                  <c:v>37.450000000000003</c:v>
                </c:pt>
                <c:pt idx="380">
                  <c:v>17.84</c:v>
                </c:pt>
                <c:pt idx="381">
                  <c:v>17.5</c:v>
                </c:pt>
                <c:pt idx="382">
                  <c:v>17.5</c:v>
                </c:pt>
                <c:pt idx="383">
                  <c:v>17.5</c:v>
                </c:pt>
                <c:pt idx="384">
                  <c:v>17.5</c:v>
                </c:pt>
                <c:pt idx="385">
                  <c:v>17.5</c:v>
                </c:pt>
                <c:pt idx="386">
                  <c:v>17.5</c:v>
                </c:pt>
                <c:pt idx="387">
                  <c:v>25</c:v>
                </c:pt>
                <c:pt idx="388">
                  <c:v>33.06</c:v>
                </c:pt>
                <c:pt idx="389">
                  <c:v>56.41</c:v>
                </c:pt>
                <c:pt idx="390">
                  <c:v>21.02</c:v>
                </c:pt>
                <c:pt idx="391">
                  <c:v>46.72</c:v>
                </c:pt>
                <c:pt idx="392">
                  <c:v>17.5</c:v>
                </c:pt>
                <c:pt idx="393">
                  <c:v>40.71</c:v>
                </c:pt>
                <c:pt idx="394">
                  <c:v>20.41</c:v>
                </c:pt>
                <c:pt idx="395">
                  <c:v>19.989999999999998</c:v>
                </c:pt>
                <c:pt idx="396">
                  <c:v>26.33</c:v>
                </c:pt>
                <c:pt idx="397">
                  <c:v>48.84</c:v>
                </c:pt>
                <c:pt idx="398">
                  <c:v>64.63</c:v>
                </c:pt>
                <c:pt idx="399">
                  <c:v>33.94</c:v>
                </c:pt>
                <c:pt idx="400">
                  <c:v>40.06</c:v>
                </c:pt>
                <c:pt idx="401">
                  <c:v>17.5</c:v>
                </c:pt>
                <c:pt idx="402">
                  <c:v>27.29</c:v>
                </c:pt>
                <c:pt idx="403">
                  <c:v>49.09</c:v>
                </c:pt>
                <c:pt idx="404">
                  <c:v>43.73</c:v>
                </c:pt>
                <c:pt idx="405">
                  <c:v>17.5</c:v>
                </c:pt>
                <c:pt idx="406">
                  <c:v>17.5</c:v>
                </c:pt>
                <c:pt idx="407">
                  <c:v>35.65</c:v>
                </c:pt>
                <c:pt idx="408">
                  <c:v>53.29</c:v>
                </c:pt>
                <c:pt idx="409">
                  <c:v>43.89</c:v>
                </c:pt>
                <c:pt idx="410">
                  <c:v>37.119999999999997</c:v>
                </c:pt>
                <c:pt idx="411">
                  <c:v>32.909999999999997</c:v>
                </c:pt>
                <c:pt idx="412">
                  <c:v>28.96</c:v>
                </c:pt>
                <c:pt idx="413">
                  <c:v>47.69</c:v>
                </c:pt>
                <c:pt idx="414">
                  <c:v>17.5</c:v>
                </c:pt>
                <c:pt idx="415">
                  <c:v>23.36</c:v>
                </c:pt>
                <c:pt idx="416">
                  <c:v>44.23</c:v>
                </c:pt>
                <c:pt idx="417">
                  <c:v>65.14</c:v>
                </c:pt>
                <c:pt idx="418">
                  <c:v>74.180000000000007</c:v>
                </c:pt>
                <c:pt idx="419">
                  <c:v>66.41</c:v>
                </c:pt>
                <c:pt idx="420">
                  <c:v>65.38</c:v>
                </c:pt>
                <c:pt idx="421">
                  <c:v>37.99</c:v>
                </c:pt>
                <c:pt idx="422">
                  <c:v>18.440000000000001</c:v>
                </c:pt>
                <c:pt idx="423">
                  <c:v>55.55</c:v>
                </c:pt>
                <c:pt idx="424">
                  <c:v>60.69</c:v>
                </c:pt>
                <c:pt idx="425">
                  <c:v>26.76</c:v>
                </c:pt>
                <c:pt idx="426">
                  <c:v>41.43</c:v>
                </c:pt>
                <c:pt idx="427">
                  <c:v>30.66</c:v>
                </c:pt>
                <c:pt idx="428">
                  <c:v>53.88</c:v>
                </c:pt>
                <c:pt idx="429">
                  <c:v>17.5</c:v>
                </c:pt>
                <c:pt idx="430">
                  <c:v>58.48</c:v>
                </c:pt>
                <c:pt idx="431">
                  <c:v>38.04</c:v>
                </c:pt>
                <c:pt idx="432">
                  <c:v>51.67</c:v>
                </c:pt>
                <c:pt idx="433">
                  <c:v>20.81</c:v>
                </c:pt>
                <c:pt idx="434">
                  <c:v>22.44</c:v>
                </c:pt>
                <c:pt idx="435">
                  <c:v>44.46</c:v>
                </c:pt>
                <c:pt idx="436">
                  <c:v>43.02</c:v>
                </c:pt>
                <c:pt idx="437">
                  <c:v>20.47</c:v>
                </c:pt>
              </c:numCache>
            </c:numRef>
          </c:yVal>
          <c:smooth val="0"/>
          <c:extLst>
            <c:ext xmlns:c16="http://schemas.microsoft.com/office/drawing/2014/chart" uri="{C3380CC4-5D6E-409C-BE32-E72D297353CC}">
              <c16:uniqueId val="{00000001-C46B-4BAE-8B98-E32D25804726}"/>
            </c:ext>
          </c:extLst>
        </c:ser>
        <c:ser>
          <c:idx val="3"/>
          <c:order val="1"/>
          <c:tx>
            <c:v>Ch 70 aid %</c:v>
          </c:tx>
          <c:spPr>
            <a:ln w="28575">
              <a:noFill/>
            </a:ln>
          </c:spPr>
          <c:marker>
            <c:symbol val="circle"/>
            <c:size val="6"/>
            <c:spPr>
              <a:noFill/>
              <a:ln>
                <a:solidFill>
                  <a:srgbClr val="984807"/>
                </a:solidFill>
              </a:ln>
            </c:spPr>
          </c:marker>
          <c:xVal>
            <c:numRef>
              <c:f>'Aid436'!$M$8:$M$445</c:f>
              <c:numCache>
                <c:formatCode>0.00</c:formatCode>
                <c:ptCount val="438"/>
                <c:pt idx="0">
                  <c:v>39.6</c:v>
                </c:pt>
                <c:pt idx="1">
                  <c:v>17.5</c:v>
                </c:pt>
                <c:pt idx="2">
                  <c:v>36.82</c:v>
                </c:pt>
                <c:pt idx="3">
                  <c:v>67.77</c:v>
                </c:pt>
                <c:pt idx="4">
                  <c:v>46.24</c:v>
                </c:pt>
                <c:pt idx="5">
                  <c:v>17.5</c:v>
                </c:pt>
                <c:pt idx="6">
                  <c:v>19.36</c:v>
                </c:pt>
                <c:pt idx="7">
                  <c:v>17.5</c:v>
                </c:pt>
                <c:pt idx="8">
                  <c:v>17.5</c:v>
                </c:pt>
                <c:pt idx="9">
                  <c:v>17.5</c:v>
                </c:pt>
                <c:pt idx="10">
                  <c:v>51.52</c:v>
                </c:pt>
                <c:pt idx="11">
                  <c:v>44.71</c:v>
                </c:pt>
                <c:pt idx="12">
                  <c:v>17.5</c:v>
                </c:pt>
                <c:pt idx="13">
                  <c:v>18.45</c:v>
                </c:pt>
                <c:pt idx="14">
                  <c:v>70.94</c:v>
                </c:pt>
                <c:pt idx="15">
                  <c:v>51.28</c:v>
                </c:pt>
                <c:pt idx="16">
                  <c:v>40.67</c:v>
                </c:pt>
                <c:pt idx="17">
                  <c:v>31.2</c:v>
                </c:pt>
                <c:pt idx="18">
                  <c:v>24.2</c:v>
                </c:pt>
                <c:pt idx="19">
                  <c:v>17.5</c:v>
                </c:pt>
                <c:pt idx="20">
                  <c:v>56.91</c:v>
                </c:pt>
                <c:pt idx="21">
                  <c:v>17.5</c:v>
                </c:pt>
                <c:pt idx="22">
                  <c:v>17.5</c:v>
                </c:pt>
                <c:pt idx="23">
                  <c:v>45.49</c:v>
                </c:pt>
                <c:pt idx="24">
                  <c:v>25.84</c:v>
                </c:pt>
                <c:pt idx="25">
                  <c:v>17.5</c:v>
                </c:pt>
                <c:pt idx="26">
                  <c:v>40.35</c:v>
                </c:pt>
                <c:pt idx="27">
                  <c:v>17.5</c:v>
                </c:pt>
                <c:pt idx="28">
                  <c:v>39.450000000000003</c:v>
                </c:pt>
                <c:pt idx="29">
                  <c:v>17.5</c:v>
                </c:pt>
                <c:pt idx="30">
                  <c:v>17.5</c:v>
                </c:pt>
                <c:pt idx="31">
                  <c:v>45</c:v>
                </c:pt>
                <c:pt idx="32">
                  <c:v>17.5</c:v>
                </c:pt>
                <c:pt idx="33">
                  <c:v>17.5</c:v>
                </c:pt>
                <c:pt idx="34">
                  <c:v>17.5</c:v>
                </c:pt>
                <c:pt idx="35">
                  <c:v>17.5</c:v>
                </c:pt>
                <c:pt idx="36">
                  <c:v>17.5</c:v>
                </c:pt>
                <c:pt idx="37">
                  <c:v>17.5</c:v>
                </c:pt>
                <c:pt idx="38">
                  <c:v>17.5</c:v>
                </c:pt>
                <c:pt idx="39">
                  <c:v>17.5</c:v>
                </c:pt>
                <c:pt idx="40">
                  <c:v>17.5</c:v>
                </c:pt>
                <c:pt idx="41">
                  <c:v>35.950000000000003</c:v>
                </c:pt>
                <c:pt idx="42">
                  <c:v>42.94</c:v>
                </c:pt>
                <c:pt idx="43">
                  <c:v>76.77</c:v>
                </c:pt>
                <c:pt idx="44">
                  <c:v>51.43</c:v>
                </c:pt>
                <c:pt idx="45">
                  <c:v>17.5</c:v>
                </c:pt>
                <c:pt idx="46">
                  <c:v>42.56</c:v>
                </c:pt>
                <c:pt idx="47">
                  <c:v>17.5</c:v>
                </c:pt>
                <c:pt idx="48">
                  <c:v>17.5</c:v>
                </c:pt>
                <c:pt idx="49">
                  <c:v>17.5</c:v>
                </c:pt>
                <c:pt idx="50">
                  <c:v>17.5</c:v>
                </c:pt>
                <c:pt idx="51">
                  <c:v>41.6</c:v>
                </c:pt>
                <c:pt idx="52">
                  <c:v>40.299999999999997</c:v>
                </c:pt>
                <c:pt idx="53">
                  <c:v>39</c:v>
                </c:pt>
                <c:pt idx="54">
                  <c:v>17.5</c:v>
                </c:pt>
                <c:pt idx="55">
                  <c:v>17.5</c:v>
                </c:pt>
                <c:pt idx="56">
                  <c:v>77.95</c:v>
                </c:pt>
                <c:pt idx="57">
                  <c:v>44.78</c:v>
                </c:pt>
                <c:pt idx="58">
                  <c:v>43.62</c:v>
                </c:pt>
                <c:pt idx="59">
                  <c:v>18.25</c:v>
                </c:pt>
                <c:pt idx="60">
                  <c:v>70.94</c:v>
                </c:pt>
                <c:pt idx="61">
                  <c:v>17.5</c:v>
                </c:pt>
                <c:pt idx="62">
                  <c:v>68.3</c:v>
                </c:pt>
                <c:pt idx="63">
                  <c:v>56.47</c:v>
                </c:pt>
                <c:pt idx="64">
                  <c:v>17.5</c:v>
                </c:pt>
                <c:pt idx="65">
                  <c:v>39.78</c:v>
                </c:pt>
                <c:pt idx="66">
                  <c:v>17.5</c:v>
                </c:pt>
                <c:pt idx="67">
                  <c:v>17.5</c:v>
                </c:pt>
                <c:pt idx="68">
                  <c:v>17.5</c:v>
                </c:pt>
                <c:pt idx="69">
                  <c:v>52.17</c:v>
                </c:pt>
                <c:pt idx="70">
                  <c:v>17.5</c:v>
                </c:pt>
                <c:pt idx="71">
                  <c:v>17.5</c:v>
                </c:pt>
                <c:pt idx="72">
                  <c:v>17.5</c:v>
                </c:pt>
                <c:pt idx="73">
                  <c:v>17.5</c:v>
                </c:pt>
                <c:pt idx="74">
                  <c:v>17.5</c:v>
                </c:pt>
                <c:pt idx="75">
                  <c:v>43.88</c:v>
                </c:pt>
                <c:pt idx="76">
                  <c:v>31.85</c:v>
                </c:pt>
                <c:pt idx="77">
                  <c:v>17.5</c:v>
                </c:pt>
                <c:pt idx="78">
                  <c:v>41.98</c:v>
                </c:pt>
                <c:pt idx="79">
                  <c:v>55.31</c:v>
                </c:pt>
                <c:pt idx="80">
                  <c:v>17.5</c:v>
                </c:pt>
                <c:pt idx="81">
                  <c:v>17.5</c:v>
                </c:pt>
                <c:pt idx="82">
                  <c:v>39.770000000000003</c:v>
                </c:pt>
                <c:pt idx="83">
                  <c:v>41.68</c:v>
                </c:pt>
                <c:pt idx="84">
                  <c:v>17.5</c:v>
                </c:pt>
                <c:pt idx="85">
                  <c:v>31.7</c:v>
                </c:pt>
                <c:pt idx="86">
                  <c:v>38.26</c:v>
                </c:pt>
                <c:pt idx="87">
                  <c:v>17.5</c:v>
                </c:pt>
                <c:pt idx="88">
                  <c:v>17.5</c:v>
                </c:pt>
                <c:pt idx="89">
                  <c:v>17.5</c:v>
                </c:pt>
                <c:pt idx="90">
                  <c:v>17.5</c:v>
                </c:pt>
                <c:pt idx="91">
                  <c:v>17.5</c:v>
                </c:pt>
                <c:pt idx="92">
                  <c:v>65.92</c:v>
                </c:pt>
                <c:pt idx="93">
                  <c:v>26.52</c:v>
                </c:pt>
                <c:pt idx="94">
                  <c:v>77.72</c:v>
                </c:pt>
                <c:pt idx="95">
                  <c:v>17.5</c:v>
                </c:pt>
                <c:pt idx="96">
                  <c:v>72.91</c:v>
                </c:pt>
                <c:pt idx="97">
                  <c:v>38.58</c:v>
                </c:pt>
                <c:pt idx="98">
                  <c:v>17.5</c:v>
                </c:pt>
                <c:pt idx="99">
                  <c:v>45.4</c:v>
                </c:pt>
                <c:pt idx="100">
                  <c:v>18.850000000000001</c:v>
                </c:pt>
                <c:pt idx="101">
                  <c:v>21.32</c:v>
                </c:pt>
                <c:pt idx="102">
                  <c:v>67.88</c:v>
                </c:pt>
                <c:pt idx="103">
                  <c:v>17.5</c:v>
                </c:pt>
                <c:pt idx="104">
                  <c:v>17.5</c:v>
                </c:pt>
                <c:pt idx="105">
                  <c:v>29.16</c:v>
                </c:pt>
                <c:pt idx="106">
                  <c:v>17.5</c:v>
                </c:pt>
                <c:pt idx="107">
                  <c:v>30.5</c:v>
                </c:pt>
                <c:pt idx="108">
                  <c:v>100</c:v>
                </c:pt>
                <c:pt idx="109">
                  <c:v>23.25</c:v>
                </c:pt>
                <c:pt idx="110">
                  <c:v>34.82</c:v>
                </c:pt>
                <c:pt idx="111">
                  <c:v>21.86</c:v>
                </c:pt>
                <c:pt idx="112">
                  <c:v>17.5</c:v>
                </c:pt>
                <c:pt idx="113">
                  <c:v>55.59</c:v>
                </c:pt>
                <c:pt idx="114">
                  <c:v>17.5</c:v>
                </c:pt>
                <c:pt idx="115">
                  <c:v>18.809999999999999</c:v>
                </c:pt>
                <c:pt idx="116">
                  <c:v>17.5</c:v>
                </c:pt>
                <c:pt idx="117">
                  <c:v>41.85</c:v>
                </c:pt>
                <c:pt idx="118">
                  <c:v>17.5</c:v>
                </c:pt>
                <c:pt idx="119">
                  <c:v>17.5</c:v>
                </c:pt>
                <c:pt idx="120">
                  <c:v>17.5</c:v>
                </c:pt>
                <c:pt idx="121">
                  <c:v>17.5</c:v>
                </c:pt>
                <c:pt idx="122">
                  <c:v>33.14</c:v>
                </c:pt>
                <c:pt idx="123">
                  <c:v>55.79</c:v>
                </c:pt>
                <c:pt idx="124">
                  <c:v>17.5</c:v>
                </c:pt>
                <c:pt idx="125">
                  <c:v>17.5</c:v>
                </c:pt>
                <c:pt idx="126">
                  <c:v>17.5</c:v>
                </c:pt>
                <c:pt idx="127">
                  <c:v>57.32</c:v>
                </c:pt>
                <c:pt idx="128">
                  <c:v>17.5</c:v>
                </c:pt>
                <c:pt idx="129">
                  <c:v>57.79</c:v>
                </c:pt>
                <c:pt idx="130">
                  <c:v>17.5</c:v>
                </c:pt>
                <c:pt idx="131">
                  <c:v>17.5</c:v>
                </c:pt>
                <c:pt idx="132">
                  <c:v>47.5</c:v>
                </c:pt>
                <c:pt idx="133">
                  <c:v>36.71</c:v>
                </c:pt>
                <c:pt idx="134">
                  <c:v>32.090000000000003</c:v>
                </c:pt>
                <c:pt idx="135">
                  <c:v>17.5</c:v>
                </c:pt>
                <c:pt idx="136">
                  <c:v>80.66</c:v>
                </c:pt>
                <c:pt idx="137">
                  <c:v>39.75</c:v>
                </c:pt>
                <c:pt idx="138">
                  <c:v>17.5</c:v>
                </c:pt>
                <c:pt idx="139">
                  <c:v>41.58</c:v>
                </c:pt>
                <c:pt idx="140">
                  <c:v>30.18</c:v>
                </c:pt>
                <c:pt idx="141">
                  <c:v>17.5</c:v>
                </c:pt>
                <c:pt idx="142">
                  <c:v>57.18</c:v>
                </c:pt>
                <c:pt idx="143">
                  <c:v>17.5</c:v>
                </c:pt>
                <c:pt idx="144">
                  <c:v>31.22</c:v>
                </c:pt>
                <c:pt idx="145">
                  <c:v>23.15</c:v>
                </c:pt>
                <c:pt idx="146">
                  <c:v>28.14</c:v>
                </c:pt>
                <c:pt idx="147">
                  <c:v>39.520000000000003</c:v>
                </c:pt>
                <c:pt idx="148">
                  <c:v>84.55</c:v>
                </c:pt>
                <c:pt idx="149">
                  <c:v>17.5</c:v>
                </c:pt>
                <c:pt idx="150">
                  <c:v>47.51</c:v>
                </c:pt>
                <c:pt idx="151">
                  <c:v>17.5</c:v>
                </c:pt>
                <c:pt idx="152">
                  <c:v>59.72</c:v>
                </c:pt>
                <c:pt idx="153">
                  <c:v>17.5</c:v>
                </c:pt>
                <c:pt idx="154">
                  <c:v>17.5</c:v>
                </c:pt>
                <c:pt idx="155">
                  <c:v>17.5</c:v>
                </c:pt>
                <c:pt idx="156">
                  <c:v>17.5</c:v>
                </c:pt>
                <c:pt idx="157">
                  <c:v>17.5</c:v>
                </c:pt>
                <c:pt idx="158">
                  <c:v>17.5</c:v>
                </c:pt>
                <c:pt idx="159">
                  <c:v>74.709999999999994</c:v>
                </c:pt>
                <c:pt idx="160">
                  <c:v>39.56</c:v>
                </c:pt>
                <c:pt idx="161">
                  <c:v>34.229999999999997</c:v>
                </c:pt>
                <c:pt idx="162">
                  <c:v>76.7</c:v>
                </c:pt>
                <c:pt idx="163">
                  <c:v>17.5</c:v>
                </c:pt>
                <c:pt idx="164">
                  <c:v>43.74</c:v>
                </c:pt>
                <c:pt idx="165">
                  <c:v>17.5</c:v>
                </c:pt>
                <c:pt idx="166">
                  <c:v>17.87</c:v>
                </c:pt>
                <c:pt idx="167">
                  <c:v>17.5</c:v>
                </c:pt>
                <c:pt idx="168">
                  <c:v>17.5</c:v>
                </c:pt>
                <c:pt idx="169">
                  <c:v>47.91</c:v>
                </c:pt>
                <c:pt idx="170">
                  <c:v>17.5</c:v>
                </c:pt>
                <c:pt idx="171">
                  <c:v>17.5</c:v>
                </c:pt>
                <c:pt idx="172">
                  <c:v>17.5</c:v>
                </c:pt>
                <c:pt idx="173">
                  <c:v>23.06</c:v>
                </c:pt>
                <c:pt idx="174">
                  <c:v>17.5</c:v>
                </c:pt>
                <c:pt idx="175">
                  <c:v>17.5</c:v>
                </c:pt>
                <c:pt idx="176">
                  <c:v>22.37</c:v>
                </c:pt>
                <c:pt idx="177">
                  <c:v>17.5</c:v>
                </c:pt>
                <c:pt idx="178">
                  <c:v>17.5</c:v>
                </c:pt>
                <c:pt idx="179">
                  <c:v>22.99</c:v>
                </c:pt>
                <c:pt idx="180">
                  <c:v>54.57</c:v>
                </c:pt>
                <c:pt idx="181">
                  <c:v>44.76</c:v>
                </c:pt>
                <c:pt idx="182">
                  <c:v>17.5</c:v>
                </c:pt>
                <c:pt idx="183">
                  <c:v>17.5</c:v>
                </c:pt>
                <c:pt idx="184">
                  <c:v>58.1</c:v>
                </c:pt>
                <c:pt idx="185">
                  <c:v>33.17</c:v>
                </c:pt>
                <c:pt idx="186">
                  <c:v>17.5</c:v>
                </c:pt>
                <c:pt idx="187">
                  <c:v>47.46</c:v>
                </c:pt>
                <c:pt idx="188">
                  <c:v>17.5</c:v>
                </c:pt>
                <c:pt idx="189">
                  <c:v>46.19</c:v>
                </c:pt>
                <c:pt idx="190">
                  <c:v>42.21</c:v>
                </c:pt>
                <c:pt idx="191">
                  <c:v>51.2</c:v>
                </c:pt>
                <c:pt idx="192">
                  <c:v>17.5</c:v>
                </c:pt>
                <c:pt idx="193">
                  <c:v>17.5</c:v>
                </c:pt>
                <c:pt idx="194">
                  <c:v>17.5</c:v>
                </c:pt>
                <c:pt idx="195">
                  <c:v>17.5</c:v>
                </c:pt>
                <c:pt idx="196">
                  <c:v>17.5</c:v>
                </c:pt>
                <c:pt idx="197">
                  <c:v>17.5</c:v>
                </c:pt>
                <c:pt idx="198">
                  <c:v>17.5</c:v>
                </c:pt>
                <c:pt idx="199">
                  <c:v>17.5</c:v>
                </c:pt>
                <c:pt idx="200">
                  <c:v>80</c:v>
                </c:pt>
                <c:pt idx="201">
                  <c:v>30.82</c:v>
                </c:pt>
                <c:pt idx="202">
                  <c:v>17.5</c:v>
                </c:pt>
                <c:pt idx="203">
                  <c:v>17.5</c:v>
                </c:pt>
                <c:pt idx="204">
                  <c:v>17.5</c:v>
                </c:pt>
                <c:pt idx="205">
                  <c:v>31.29</c:v>
                </c:pt>
                <c:pt idx="206">
                  <c:v>17.5</c:v>
                </c:pt>
                <c:pt idx="207">
                  <c:v>17.5</c:v>
                </c:pt>
                <c:pt idx="208">
                  <c:v>72.39</c:v>
                </c:pt>
                <c:pt idx="209">
                  <c:v>17.5</c:v>
                </c:pt>
                <c:pt idx="210">
                  <c:v>17.5</c:v>
                </c:pt>
                <c:pt idx="211">
                  <c:v>25.52</c:v>
                </c:pt>
                <c:pt idx="212">
                  <c:v>17.5</c:v>
                </c:pt>
                <c:pt idx="213">
                  <c:v>38.67</c:v>
                </c:pt>
                <c:pt idx="214">
                  <c:v>51.36</c:v>
                </c:pt>
                <c:pt idx="215">
                  <c:v>17.5</c:v>
                </c:pt>
                <c:pt idx="216">
                  <c:v>17.5</c:v>
                </c:pt>
                <c:pt idx="217">
                  <c:v>20.39</c:v>
                </c:pt>
                <c:pt idx="218">
                  <c:v>17.5</c:v>
                </c:pt>
                <c:pt idx="219">
                  <c:v>17.5</c:v>
                </c:pt>
                <c:pt idx="220">
                  <c:v>17.5</c:v>
                </c:pt>
                <c:pt idx="221">
                  <c:v>39.65</c:v>
                </c:pt>
                <c:pt idx="222">
                  <c:v>71.180000000000007</c:v>
                </c:pt>
                <c:pt idx="223">
                  <c:v>17.5</c:v>
                </c:pt>
                <c:pt idx="224">
                  <c:v>17.5</c:v>
                </c:pt>
                <c:pt idx="225">
                  <c:v>48.69</c:v>
                </c:pt>
                <c:pt idx="226">
                  <c:v>58.18</c:v>
                </c:pt>
                <c:pt idx="227">
                  <c:v>30.76</c:v>
                </c:pt>
                <c:pt idx="228">
                  <c:v>32.71</c:v>
                </c:pt>
                <c:pt idx="229">
                  <c:v>17.5</c:v>
                </c:pt>
                <c:pt idx="230">
                  <c:v>18.309999999999999</c:v>
                </c:pt>
                <c:pt idx="231">
                  <c:v>35.33</c:v>
                </c:pt>
                <c:pt idx="232">
                  <c:v>49.48</c:v>
                </c:pt>
                <c:pt idx="233">
                  <c:v>35.22</c:v>
                </c:pt>
                <c:pt idx="234">
                  <c:v>43.75</c:v>
                </c:pt>
                <c:pt idx="235">
                  <c:v>63.11</c:v>
                </c:pt>
                <c:pt idx="236">
                  <c:v>24.83</c:v>
                </c:pt>
                <c:pt idx="237">
                  <c:v>18.760000000000002</c:v>
                </c:pt>
                <c:pt idx="238">
                  <c:v>17.5</c:v>
                </c:pt>
                <c:pt idx="239">
                  <c:v>25.31</c:v>
                </c:pt>
                <c:pt idx="240">
                  <c:v>17.5</c:v>
                </c:pt>
                <c:pt idx="241">
                  <c:v>17.5</c:v>
                </c:pt>
                <c:pt idx="242">
                  <c:v>17.5</c:v>
                </c:pt>
                <c:pt idx="243">
                  <c:v>40.82</c:v>
                </c:pt>
                <c:pt idx="244">
                  <c:v>35.78</c:v>
                </c:pt>
                <c:pt idx="245">
                  <c:v>17.5</c:v>
                </c:pt>
                <c:pt idx="246">
                  <c:v>17.5</c:v>
                </c:pt>
                <c:pt idx="247">
                  <c:v>60.6</c:v>
                </c:pt>
                <c:pt idx="248">
                  <c:v>17.5</c:v>
                </c:pt>
                <c:pt idx="249">
                  <c:v>26.36</c:v>
                </c:pt>
                <c:pt idx="250">
                  <c:v>49.36</c:v>
                </c:pt>
                <c:pt idx="251">
                  <c:v>17.5</c:v>
                </c:pt>
                <c:pt idx="252">
                  <c:v>17.5</c:v>
                </c:pt>
                <c:pt idx="253">
                  <c:v>17.5</c:v>
                </c:pt>
                <c:pt idx="254">
                  <c:v>42.35</c:v>
                </c:pt>
                <c:pt idx="255">
                  <c:v>54.27</c:v>
                </c:pt>
                <c:pt idx="256">
                  <c:v>50.27</c:v>
                </c:pt>
                <c:pt idx="257">
                  <c:v>29.11</c:v>
                </c:pt>
                <c:pt idx="258">
                  <c:v>17.5</c:v>
                </c:pt>
                <c:pt idx="259">
                  <c:v>17.5</c:v>
                </c:pt>
                <c:pt idx="260">
                  <c:v>17.5</c:v>
                </c:pt>
                <c:pt idx="261">
                  <c:v>17.5</c:v>
                </c:pt>
                <c:pt idx="262">
                  <c:v>27.09</c:v>
                </c:pt>
                <c:pt idx="263">
                  <c:v>17.5</c:v>
                </c:pt>
                <c:pt idx="264">
                  <c:v>22.2</c:v>
                </c:pt>
                <c:pt idx="265">
                  <c:v>17.5</c:v>
                </c:pt>
                <c:pt idx="266">
                  <c:v>17.5</c:v>
                </c:pt>
                <c:pt idx="267">
                  <c:v>19.600000000000001</c:v>
                </c:pt>
                <c:pt idx="268">
                  <c:v>17.5</c:v>
                </c:pt>
                <c:pt idx="269">
                  <c:v>36.700000000000003</c:v>
                </c:pt>
                <c:pt idx="270">
                  <c:v>17.5</c:v>
                </c:pt>
                <c:pt idx="271">
                  <c:v>32.28</c:v>
                </c:pt>
                <c:pt idx="272">
                  <c:v>39.97</c:v>
                </c:pt>
                <c:pt idx="273">
                  <c:v>17.5</c:v>
                </c:pt>
                <c:pt idx="274">
                  <c:v>18.940000000000001</c:v>
                </c:pt>
                <c:pt idx="275">
                  <c:v>17.5</c:v>
                </c:pt>
                <c:pt idx="276">
                  <c:v>74.540000000000006</c:v>
                </c:pt>
                <c:pt idx="277">
                  <c:v>32.880000000000003</c:v>
                </c:pt>
                <c:pt idx="278">
                  <c:v>28.37</c:v>
                </c:pt>
                <c:pt idx="279">
                  <c:v>50.54</c:v>
                </c:pt>
                <c:pt idx="280">
                  <c:v>84.43</c:v>
                </c:pt>
                <c:pt idx="281">
                  <c:v>17.5</c:v>
                </c:pt>
                <c:pt idx="282">
                  <c:v>17.5</c:v>
                </c:pt>
                <c:pt idx="283">
                  <c:v>17.5</c:v>
                </c:pt>
                <c:pt idx="284">
                  <c:v>40.68</c:v>
                </c:pt>
                <c:pt idx="285">
                  <c:v>17.5</c:v>
                </c:pt>
                <c:pt idx="286">
                  <c:v>41.22</c:v>
                </c:pt>
                <c:pt idx="287">
                  <c:v>17.5</c:v>
                </c:pt>
                <c:pt idx="288">
                  <c:v>17.5</c:v>
                </c:pt>
                <c:pt idx="289">
                  <c:v>17.5</c:v>
                </c:pt>
                <c:pt idx="290">
                  <c:v>17.5</c:v>
                </c:pt>
                <c:pt idx="291">
                  <c:v>34.54</c:v>
                </c:pt>
                <c:pt idx="292">
                  <c:v>63.77</c:v>
                </c:pt>
                <c:pt idx="293">
                  <c:v>58.76</c:v>
                </c:pt>
                <c:pt idx="294">
                  <c:v>17.5</c:v>
                </c:pt>
                <c:pt idx="295">
                  <c:v>17.5</c:v>
                </c:pt>
                <c:pt idx="296">
                  <c:v>17.5</c:v>
                </c:pt>
                <c:pt idx="297">
                  <c:v>17.5</c:v>
                </c:pt>
                <c:pt idx="298">
                  <c:v>46.06</c:v>
                </c:pt>
                <c:pt idx="299">
                  <c:v>17.5</c:v>
                </c:pt>
                <c:pt idx="300">
                  <c:v>22.03</c:v>
                </c:pt>
                <c:pt idx="301">
                  <c:v>17.5</c:v>
                </c:pt>
                <c:pt idx="302">
                  <c:v>17.5</c:v>
                </c:pt>
                <c:pt idx="303">
                  <c:v>26.72</c:v>
                </c:pt>
                <c:pt idx="304">
                  <c:v>17.5</c:v>
                </c:pt>
                <c:pt idx="305">
                  <c:v>58.96</c:v>
                </c:pt>
                <c:pt idx="306">
                  <c:v>17.5</c:v>
                </c:pt>
                <c:pt idx="307">
                  <c:v>17.5</c:v>
                </c:pt>
                <c:pt idx="308">
                  <c:v>66.72</c:v>
                </c:pt>
                <c:pt idx="309">
                  <c:v>33.57</c:v>
                </c:pt>
                <c:pt idx="310">
                  <c:v>65.61</c:v>
                </c:pt>
                <c:pt idx="311">
                  <c:v>17.5</c:v>
                </c:pt>
                <c:pt idx="312">
                  <c:v>34.49</c:v>
                </c:pt>
                <c:pt idx="313">
                  <c:v>17.5</c:v>
                </c:pt>
                <c:pt idx="314">
                  <c:v>17.5</c:v>
                </c:pt>
                <c:pt idx="315">
                  <c:v>53.89</c:v>
                </c:pt>
                <c:pt idx="316">
                  <c:v>17.5</c:v>
                </c:pt>
                <c:pt idx="317">
                  <c:v>17.5</c:v>
                </c:pt>
                <c:pt idx="318">
                  <c:v>57.59</c:v>
                </c:pt>
                <c:pt idx="319">
                  <c:v>17.5</c:v>
                </c:pt>
                <c:pt idx="320">
                  <c:v>17.5</c:v>
                </c:pt>
                <c:pt idx="321">
                  <c:v>17.5</c:v>
                </c:pt>
                <c:pt idx="322">
                  <c:v>40.130000000000003</c:v>
                </c:pt>
                <c:pt idx="323">
                  <c:v>35.65</c:v>
                </c:pt>
                <c:pt idx="324">
                  <c:v>54.4</c:v>
                </c:pt>
                <c:pt idx="325">
                  <c:v>17.5</c:v>
                </c:pt>
                <c:pt idx="326">
                  <c:v>17.5</c:v>
                </c:pt>
                <c:pt idx="327">
                  <c:v>39.29</c:v>
                </c:pt>
                <c:pt idx="328">
                  <c:v>17.5</c:v>
                </c:pt>
                <c:pt idx="329">
                  <c:v>17.5</c:v>
                </c:pt>
                <c:pt idx="330">
                  <c:v>17.5</c:v>
                </c:pt>
                <c:pt idx="331">
                  <c:v>59.42</c:v>
                </c:pt>
                <c:pt idx="332">
                  <c:v>17.5</c:v>
                </c:pt>
                <c:pt idx="333">
                  <c:v>17.5</c:v>
                </c:pt>
                <c:pt idx="334">
                  <c:v>17.5</c:v>
                </c:pt>
                <c:pt idx="335">
                  <c:v>17.5</c:v>
                </c:pt>
                <c:pt idx="336">
                  <c:v>17.5</c:v>
                </c:pt>
                <c:pt idx="337">
                  <c:v>50.62</c:v>
                </c:pt>
                <c:pt idx="338">
                  <c:v>33.72</c:v>
                </c:pt>
                <c:pt idx="339">
                  <c:v>26.97</c:v>
                </c:pt>
                <c:pt idx="340">
                  <c:v>17.5</c:v>
                </c:pt>
                <c:pt idx="341">
                  <c:v>17.5</c:v>
                </c:pt>
                <c:pt idx="342">
                  <c:v>64.760000000000005</c:v>
                </c:pt>
                <c:pt idx="343">
                  <c:v>17.5</c:v>
                </c:pt>
                <c:pt idx="344">
                  <c:v>17.5</c:v>
                </c:pt>
                <c:pt idx="345">
                  <c:v>23.38</c:v>
                </c:pt>
                <c:pt idx="346">
                  <c:v>17.5</c:v>
                </c:pt>
                <c:pt idx="347">
                  <c:v>70.709999999999994</c:v>
                </c:pt>
                <c:pt idx="348">
                  <c:v>17.5</c:v>
                </c:pt>
                <c:pt idx="349">
                  <c:v>17.5</c:v>
                </c:pt>
                <c:pt idx="350">
                  <c:v>17.5</c:v>
                </c:pt>
                <c:pt idx="351">
                  <c:v>17.5</c:v>
                </c:pt>
                <c:pt idx="352">
                  <c:v>17.5</c:v>
                </c:pt>
                <c:pt idx="353">
                  <c:v>61.87</c:v>
                </c:pt>
                <c:pt idx="354">
                  <c:v>18.739999999999998</c:v>
                </c:pt>
                <c:pt idx="355">
                  <c:v>44.65</c:v>
                </c:pt>
                <c:pt idx="356">
                  <c:v>69.06</c:v>
                </c:pt>
                <c:pt idx="357">
                  <c:v>29.55</c:v>
                </c:pt>
                <c:pt idx="358">
                  <c:v>17.5</c:v>
                </c:pt>
                <c:pt idx="359">
                  <c:v>17.5</c:v>
                </c:pt>
                <c:pt idx="360">
                  <c:v>45.62</c:v>
                </c:pt>
                <c:pt idx="361">
                  <c:v>35.880000000000003</c:v>
                </c:pt>
                <c:pt idx="362">
                  <c:v>24.11</c:v>
                </c:pt>
                <c:pt idx="363">
                  <c:v>40.28</c:v>
                </c:pt>
                <c:pt idx="364">
                  <c:v>17.5</c:v>
                </c:pt>
                <c:pt idx="365">
                  <c:v>17.5</c:v>
                </c:pt>
                <c:pt idx="366">
                  <c:v>29.08</c:v>
                </c:pt>
                <c:pt idx="367">
                  <c:v>17.5</c:v>
                </c:pt>
                <c:pt idx="368">
                  <c:v>46.59</c:v>
                </c:pt>
                <c:pt idx="369">
                  <c:v>17.5</c:v>
                </c:pt>
                <c:pt idx="370">
                  <c:v>17.5</c:v>
                </c:pt>
                <c:pt idx="371">
                  <c:v>22.37</c:v>
                </c:pt>
                <c:pt idx="372">
                  <c:v>17.5</c:v>
                </c:pt>
                <c:pt idx="373">
                  <c:v>44.95</c:v>
                </c:pt>
                <c:pt idx="374">
                  <c:v>17.5</c:v>
                </c:pt>
                <c:pt idx="375">
                  <c:v>48.85</c:v>
                </c:pt>
                <c:pt idx="376">
                  <c:v>17.5</c:v>
                </c:pt>
                <c:pt idx="377">
                  <c:v>30.55</c:v>
                </c:pt>
                <c:pt idx="378">
                  <c:v>20.89</c:v>
                </c:pt>
                <c:pt idx="379">
                  <c:v>37.450000000000003</c:v>
                </c:pt>
                <c:pt idx="380">
                  <c:v>17.84</c:v>
                </c:pt>
                <c:pt idx="381">
                  <c:v>17.5</c:v>
                </c:pt>
                <c:pt idx="382">
                  <c:v>17.5</c:v>
                </c:pt>
                <c:pt idx="383">
                  <c:v>17.5</c:v>
                </c:pt>
                <c:pt idx="384">
                  <c:v>17.5</c:v>
                </c:pt>
                <c:pt idx="385">
                  <c:v>17.5</c:v>
                </c:pt>
                <c:pt idx="386">
                  <c:v>17.5</c:v>
                </c:pt>
                <c:pt idx="387">
                  <c:v>25</c:v>
                </c:pt>
                <c:pt idx="388">
                  <c:v>33.06</c:v>
                </c:pt>
                <c:pt idx="389">
                  <c:v>56.41</c:v>
                </c:pt>
                <c:pt idx="390">
                  <c:v>21.02</c:v>
                </c:pt>
                <c:pt idx="391">
                  <c:v>46.72</c:v>
                </c:pt>
                <c:pt idx="392">
                  <c:v>17.5</c:v>
                </c:pt>
                <c:pt idx="393">
                  <c:v>40.71</c:v>
                </c:pt>
                <c:pt idx="394">
                  <c:v>20.41</c:v>
                </c:pt>
                <c:pt idx="395">
                  <c:v>19.989999999999998</c:v>
                </c:pt>
                <c:pt idx="396">
                  <c:v>26.33</c:v>
                </c:pt>
                <c:pt idx="397">
                  <c:v>48.84</c:v>
                </c:pt>
                <c:pt idx="398">
                  <c:v>64.63</c:v>
                </c:pt>
                <c:pt idx="399">
                  <c:v>33.94</c:v>
                </c:pt>
                <c:pt idx="400">
                  <c:v>40.06</c:v>
                </c:pt>
                <c:pt idx="401">
                  <c:v>17.5</c:v>
                </c:pt>
                <c:pt idx="402">
                  <c:v>27.29</c:v>
                </c:pt>
                <c:pt idx="403">
                  <c:v>49.09</c:v>
                </c:pt>
                <c:pt idx="404">
                  <c:v>43.73</c:v>
                </c:pt>
                <c:pt idx="405">
                  <c:v>17.5</c:v>
                </c:pt>
                <c:pt idx="406">
                  <c:v>17.5</c:v>
                </c:pt>
                <c:pt idx="407">
                  <c:v>35.65</c:v>
                </c:pt>
                <c:pt idx="408">
                  <c:v>53.29</c:v>
                </c:pt>
                <c:pt idx="409">
                  <c:v>43.89</c:v>
                </c:pt>
                <c:pt idx="410">
                  <c:v>37.119999999999997</c:v>
                </c:pt>
                <c:pt idx="411">
                  <c:v>32.909999999999997</c:v>
                </c:pt>
                <c:pt idx="412">
                  <c:v>28.96</c:v>
                </c:pt>
                <c:pt idx="413">
                  <c:v>47.69</c:v>
                </c:pt>
                <c:pt idx="414">
                  <c:v>17.5</c:v>
                </c:pt>
                <c:pt idx="415">
                  <c:v>23.36</c:v>
                </c:pt>
                <c:pt idx="416">
                  <c:v>44.23</c:v>
                </c:pt>
                <c:pt idx="417">
                  <c:v>65.14</c:v>
                </c:pt>
                <c:pt idx="418">
                  <c:v>74.180000000000007</c:v>
                </c:pt>
                <c:pt idx="419">
                  <c:v>66.41</c:v>
                </c:pt>
                <c:pt idx="420">
                  <c:v>65.38</c:v>
                </c:pt>
                <c:pt idx="421">
                  <c:v>37.99</c:v>
                </c:pt>
                <c:pt idx="422">
                  <c:v>18.440000000000001</c:v>
                </c:pt>
                <c:pt idx="423">
                  <c:v>55.55</c:v>
                </c:pt>
                <c:pt idx="424">
                  <c:v>60.69</c:v>
                </c:pt>
                <c:pt idx="425">
                  <c:v>26.76</c:v>
                </c:pt>
                <c:pt idx="426">
                  <c:v>41.43</c:v>
                </c:pt>
                <c:pt idx="427">
                  <c:v>30.66</c:v>
                </c:pt>
                <c:pt idx="428">
                  <c:v>53.88</c:v>
                </c:pt>
                <c:pt idx="429">
                  <c:v>17.5</c:v>
                </c:pt>
                <c:pt idx="430">
                  <c:v>58.48</c:v>
                </c:pt>
                <c:pt idx="431">
                  <c:v>38.04</c:v>
                </c:pt>
                <c:pt idx="432">
                  <c:v>51.67</c:v>
                </c:pt>
                <c:pt idx="433">
                  <c:v>20.81</c:v>
                </c:pt>
                <c:pt idx="434">
                  <c:v>22.44</c:v>
                </c:pt>
                <c:pt idx="435">
                  <c:v>44.46</c:v>
                </c:pt>
                <c:pt idx="436">
                  <c:v>43.02</c:v>
                </c:pt>
                <c:pt idx="437">
                  <c:v>20.47</c:v>
                </c:pt>
              </c:numCache>
            </c:numRef>
          </c:xVal>
          <c:yVal>
            <c:numRef>
              <c:f>'Aid436'!$Z$8:$Z$445</c:f>
              <c:numCache>
                <c:formatCode>_(* #,##0.00_);_(* \(#,##0.00\);_(* "-"??_);_(@_)</c:formatCode>
                <c:ptCount val="438"/>
                <c:pt idx="0">
                  <c:v>44.925255143345666</c:v>
                </c:pt>
                <c:pt idx="1">
                  <c:v>0</c:v>
                </c:pt>
                <c:pt idx="2">
                  <c:v>46.677367819251856</c:v>
                </c:pt>
                <c:pt idx="3">
                  <c:v>0</c:v>
                </c:pt>
                <c:pt idx="4">
                  <c:v>49.228802515370312</c:v>
                </c:pt>
                <c:pt idx="5">
                  <c:v>0</c:v>
                </c:pt>
                <c:pt idx="6">
                  <c:v>36.495031057709873</c:v>
                </c:pt>
                <c:pt idx="7">
                  <c:v>47.365969505151959</c:v>
                </c:pt>
                <c:pt idx="8">
                  <c:v>20.000199607495482</c:v>
                </c:pt>
                <c:pt idx="9">
                  <c:v>24.957698701461641</c:v>
                </c:pt>
                <c:pt idx="10">
                  <c:v>0</c:v>
                </c:pt>
                <c:pt idx="11">
                  <c:v>0</c:v>
                </c:pt>
                <c:pt idx="12">
                  <c:v>0</c:v>
                </c:pt>
                <c:pt idx="13">
                  <c:v>30.638216417046714</c:v>
                </c:pt>
                <c:pt idx="14">
                  <c:v>0</c:v>
                </c:pt>
                <c:pt idx="15">
                  <c:v>54.875756630969505</c:v>
                </c:pt>
                <c:pt idx="16">
                  <c:v>47.367570567402787</c:v>
                </c:pt>
                <c:pt idx="17">
                  <c:v>44.200551862869304</c:v>
                </c:pt>
                <c:pt idx="18">
                  <c:v>0</c:v>
                </c:pt>
                <c:pt idx="19">
                  <c:v>28.469923705864819</c:v>
                </c:pt>
                <c:pt idx="20">
                  <c:v>0</c:v>
                </c:pt>
                <c:pt idx="21">
                  <c:v>0</c:v>
                </c:pt>
                <c:pt idx="22">
                  <c:v>18.056368630124233</c:v>
                </c:pt>
                <c:pt idx="23">
                  <c:v>51.720120344774003</c:v>
                </c:pt>
                <c:pt idx="24">
                  <c:v>33.902154537843998</c:v>
                </c:pt>
                <c:pt idx="25">
                  <c:v>20.584498928557089</c:v>
                </c:pt>
                <c:pt idx="26">
                  <c:v>47.472855906139991</c:v>
                </c:pt>
                <c:pt idx="27">
                  <c:v>0</c:v>
                </c:pt>
                <c:pt idx="28">
                  <c:v>0</c:v>
                </c:pt>
                <c:pt idx="29">
                  <c:v>23.935004751899655</c:v>
                </c:pt>
                <c:pt idx="30">
                  <c:v>31.552027356010313</c:v>
                </c:pt>
                <c:pt idx="31">
                  <c:v>0</c:v>
                </c:pt>
                <c:pt idx="32">
                  <c:v>0</c:v>
                </c:pt>
                <c:pt idx="33">
                  <c:v>0</c:v>
                </c:pt>
                <c:pt idx="34">
                  <c:v>20.652493833292144</c:v>
                </c:pt>
                <c:pt idx="35">
                  <c:v>23.431370761542293</c:v>
                </c:pt>
                <c:pt idx="36">
                  <c:v>0</c:v>
                </c:pt>
                <c:pt idx="37">
                  <c:v>21.415397098959517</c:v>
                </c:pt>
                <c:pt idx="38">
                  <c:v>0</c:v>
                </c:pt>
                <c:pt idx="39">
                  <c:v>28.819050954221424</c:v>
                </c:pt>
                <c:pt idx="40">
                  <c:v>23.749100613947427</c:v>
                </c:pt>
                <c:pt idx="41">
                  <c:v>0</c:v>
                </c:pt>
                <c:pt idx="42">
                  <c:v>47.701118127417317</c:v>
                </c:pt>
                <c:pt idx="43">
                  <c:v>81.446569278577812</c:v>
                </c:pt>
                <c:pt idx="44">
                  <c:v>59.865696186640626</c:v>
                </c:pt>
                <c:pt idx="45">
                  <c:v>18.210740095152065</c:v>
                </c:pt>
                <c:pt idx="46">
                  <c:v>0</c:v>
                </c:pt>
                <c:pt idx="47">
                  <c:v>20.343483082019684</c:v>
                </c:pt>
                <c:pt idx="48">
                  <c:v>17.49999995749619</c:v>
                </c:pt>
                <c:pt idx="49">
                  <c:v>20.016691979341982</c:v>
                </c:pt>
                <c:pt idx="50">
                  <c:v>21.118824382091905</c:v>
                </c:pt>
                <c:pt idx="51">
                  <c:v>50.668229582437917</c:v>
                </c:pt>
                <c:pt idx="52">
                  <c:v>0</c:v>
                </c:pt>
                <c:pt idx="53">
                  <c:v>0</c:v>
                </c:pt>
                <c:pt idx="54">
                  <c:v>0</c:v>
                </c:pt>
                <c:pt idx="55">
                  <c:v>21.948232197712876</c:v>
                </c:pt>
                <c:pt idx="56">
                  <c:v>83.85091324765564</c:v>
                </c:pt>
                <c:pt idx="57">
                  <c:v>0</c:v>
                </c:pt>
                <c:pt idx="58">
                  <c:v>0</c:v>
                </c:pt>
                <c:pt idx="59">
                  <c:v>0</c:v>
                </c:pt>
                <c:pt idx="60">
                  <c:v>72.798955687810647</c:v>
                </c:pt>
                <c:pt idx="61">
                  <c:v>0</c:v>
                </c:pt>
                <c:pt idx="62">
                  <c:v>72.079934742149149</c:v>
                </c:pt>
                <c:pt idx="63">
                  <c:v>59.275148983976578</c:v>
                </c:pt>
                <c:pt idx="64">
                  <c:v>17.499999697164494</c:v>
                </c:pt>
                <c:pt idx="65">
                  <c:v>0</c:v>
                </c:pt>
                <c:pt idx="66">
                  <c:v>17.549919744285923</c:v>
                </c:pt>
                <c:pt idx="67">
                  <c:v>66.496711687691899</c:v>
                </c:pt>
                <c:pt idx="68">
                  <c:v>0</c:v>
                </c:pt>
                <c:pt idx="69">
                  <c:v>0</c:v>
                </c:pt>
                <c:pt idx="70">
                  <c:v>21.747692924609815</c:v>
                </c:pt>
                <c:pt idx="71">
                  <c:v>24.152233249817375</c:v>
                </c:pt>
                <c:pt idx="72">
                  <c:v>24.934182149181165</c:v>
                </c:pt>
                <c:pt idx="73">
                  <c:v>33.434355403085966</c:v>
                </c:pt>
                <c:pt idx="74">
                  <c:v>0</c:v>
                </c:pt>
                <c:pt idx="75">
                  <c:v>0</c:v>
                </c:pt>
                <c:pt idx="76">
                  <c:v>63.48573155038094</c:v>
                </c:pt>
                <c:pt idx="77">
                  <c:v>18.186513653706417</c:v>
                </c:pt>
                <c:pt idx="78">
                  <c:v>50.510659870611832</c:v>
                </c:pt>
                <c:pt idx="79">
                  <c:v>0</c:v>
                </c:pt>
                <c:pt idx="80">
                  <c:v>0</c:v>
                </c:pt>
                <c:pt idx="81">
                  <c:v>20.646002315700791</c:v>
                </c:pt>
                <c:pt idx="82">
                  <c:v>48.954546463398941</c:v>
                </c:pt>
                <c:pt idx="83">
                  <c:v>0</c:v>
                </c:pt>
                <c:pt idx="84">
                  <c:v>18.227007011952534</c:v>
                </c:pt>
                <c:pt idx="85">
                  <c:v>38.223607277383969</c:v>
                </c:pt>
                <c:pt idx="86">
                  <c:v>44.455092129593318</c:v>
                </c:pt>
                <c:pt idx="87">
                  <c:v>24.847013493037156</c:v>
                </c:pt>
                <c:pt idx="88">
                  <c:v>18.031230769524257</c:v>
                </c:pt>
                <c:pt idx="89">
                  <c:v>0</c:v>
                </c:pt>
                <c:pt idx="90">
                  <c:v>20.94282347883912</c:v>
                </c:pt>
                <c:pt idx="91">
                  <c:v>0</c:v>
                </c:pt>
                <c:pt idx="92">
                  <c:v>72.969575300308378</c:v>
                </c:pt>
                <c:pt idx="93">
                  <c:v>41.51860497255408</c:v>
                </c:pt>
                <c:pt idx="94">
                  <c:v>83.245825940320216</c:v>
                </c:pt>
                <c:pt idx="95">
                  <c:v>22.262219336015406</c:v>
                </c:pt>
                <c:pt idx="96">
                  <c:v>77.126420106671418</c:v>
                </c:pt>
                <c:pt idx="97">
                  <c:v>65.363426347163156</c:v>
                </c:pt>
                <c:pt idx="98">
                  <c:v>27.231479291902268</c:v>
                </c:pt>
                <c:pt idx="99">
                  <c:v>52.403913421418949</c:v>
                </c:pt>
                <c:pt idx="100">
                  <c:v>44.631948896259736</c:v>
                </c:pt>
                <c:pt idx="101">
                  <c:v>0</c:v>
                </c:pt>
                <c:pt idx="102">
                  <c:v>71.362591582045837</c:v>
                </c:pt>
                <c:pt idx="103">
                  <c:v>0</c:v>
                </c:pt>
                <c:pt idx="104">
                  <c:v>38.667002371208788</c:v>
                </c:pt>
                <c:pt idx="105">
                  <c:v>0</c:v>
                </c:pt>
                <c:pt idx="106">
                  <c:v>23.716792799047308</c:v>
                </c:pt>
                <c:pt idx="107">
                  <c:v>0</c:v>
                </c:pt>
                <c:pt idx="108">
                  <c:v>0</c:v>
                </c:pt>
                <c:pt idx="109">
                  <c:v>35.292727915773504</c:v>
                </c:pt>
                <c:pt idx="110">
                  <c:v>50.046029342513343</c:v>
                </c:pt>
                <c:pt idx="111">
                  <c:v>0</c:v>
                </c:pt>
                <c:pt idx="112">
                  <c:v>0</c:v>
                </c:pt>
                <c:pt idx="113">
                  <c:v>58.99357370203284</c:v>
                </c:pt>
                <c:pt idx="114">
                  <c:v>0</c:v>
                </c:pt>
                <c:pt idx="115">
                  <c:v>0</c:v>
                </c:pt>
                <c:pt idx="116">
                  <c:v>22.489968250733316</c:v>
                </c:pt>
                <c:pt idx="117">
                  <c:v>47.495297183578387</c:v>
                </c:pt>
                <c:pt idx="118">
                  <c:v>0</c:v>
                </c:pt>
                <c:pt idx="119">
                  <c:v>0</c:v>
                </c:pt>
                <c:pt idx="120">
                  <c:v>35.434179266494169</c:v>
                </c:pt>
                <c:pt idx="121">
                  <c:v>24.223953270506815</c:v>
                </c:pt>
                <c:pt idx="122">
                  <c:v>0</c:v>
                </c:pt>
                <c:pt idx="123">
                  <c:v>0</c:v>
                </c:pt>
                <c:pt idx="124">
                  <c:v>20.844539936282168</c:v>
                </c:pt>
                <c:pt idx="125">
                  <c:v>0</c:v>
                </c:pt>
                <c:pt idx="126">
                  <c:v>22.251062886921446</c:v>
                </c:pt>
                <c:pt idx="127">
                  <c:v>62.423353209117927</c:v>
                </c:pt>
                <c:pt idx="128">
                  <c:v>0</c:v>
                </c:pt>
                <c:pt idx="129">
                  <c:v>0</c:v>
                </c:pt>
                <c:pt idx="130">
                  <c:v>19.418724769938983</c:v>
                </c:pt>
                <c:pt idx="131">
                  <c:v>0</c:v>
                </c:pt>
                <c:pt idx="132">
                  <c:v>52.963337109134315</c:v>
                </c:pt>
                <c:pt idx="133">
                  <c:v>0</c:v>
                </c:pt>
                <c:pt idx="134">
                  <c:v>43.396390781952562</c:v>
                </c:pt>
                <c:pt idx="135">
                  <c:v>27.510660995452657</c:v>
                </c:pt>
                <c:pt idx="136">
                  <c:v>88.473213442963171</c:v>
                </c:pt>
                <c:pt idx="137">
                  <c:v>54.137985111803189</c:v>
                </c:pt>
                <c:pt idx="138">
                  <c:v>19.428631949704105</c:v>
                </c:pt>
                <c:pt idx="139">
                  <c:v>0</c:v>
                </c:pt>
                <c:pt idx="140">
                  <c:v>37.43927487946663</c:v>
                </c:pt>
                <c:pt idx="141">
                  <c:v>37.685928518962385</c:v>
                </c:pt>
                <c:pt idx="142">
                  <c:v>0</c:v>
                </c:pt>
                <c:pt idx="143">
                  <c:v>20.481387611767151</c:v>
                </c:pt>
                <c:pt idx="144">
                  <c:v>37.337368048610884</c:v>
                </c:pt>
                <c:pt idx="145">
                  <c:v>0</c:v>
                </c:pt>
                <c:pt idx="146">
                  <c:v>0</c:v>
                </c:pt>
                <c:pt idx="147">
                  <c:v>0</c:v>
                </c:pt>
                <c:pt idx="148">
                  <c:v>94.956666710448445</c:v>
                </c:pt>
                <c:pt idx="149">
                  <c:v>26.000919269167245</c:v>
                </c:pt>
                <c:pt idx="150">
                  <c:v>52.590851587136399</c:v>
                </c:pt>
                <c:pt idx="151">
                  <c:v>20.449190174783833</c:v>
                </c:pt>
                <c:pt idx="152">
                  <c:v>64.36655556104354</c:v>
                </c:pt>
                <c:pt idx="153">
                  <c:v>28.987169172333772</c:v>
                </c:pt>
                <c:pt idx="154">
                  <c:v>20.032639152220451</c:v>
                </c:pt>
                <c:pt idx="155">
                  <c:v>0</c:v>
                </c:pt>
                <c:pt idx="156">
                  <c:v>17.93683337072876</c:v>
                </c:pt>
                <c:pt idx="157">
                  <c:v>24.864756267775721</c:v>
                </c:pt>
                <c:pt idx="158">
                  <c:v>21.574975865436326</c:v>
                </c:pt>
                <c:pt idx="159">
                  <c:v>78.902280503672202</c:v>
                </c:pt>
                <c:pt idx="160">
                  <c:v>44.076536942280882</c:v>
                </c:pt>
                <c:pt idx="161">
                  <c:v>41.705821221476</c:v>
                </c:pt>
                <c:pt idx="162">
                  <c:v>81.703148377804609</c:v>
                </c:pt>
                <c:pt idx="163">
                  <c:v>22.067136193235935</c:v>
                </c:pt>
                <c:pt idx="164">
                  <c:v>52.589411399175269</c:v>
                </c:pt>
                <c:pt idx="165">
                  <c:v>0</c:v>
                </c:pt>
                <c:pt idx="166">
                  <c:v>43.020449259725204</c:v>
                </c:pt>
                <c:pt idx="167">
                  <c:v>20.116146683496126</c:v>
                </c:pt>
                <c:pt idx="168">
                  <c:v>23.406560563370345</c:v>
                </c:pt>
                <c:pt idx="169">
                  <c:v>52.386591227834515</c:v>
                </c:pt>
                <c:pt idx="170">
                  <c:v>31.351031714272764</c:v>
                </c:pt>
                <c:pt idx="171">
                  <c:v>23.53924180226916</c:v>
                </c:pt>
                <c:pt idx="172">
                  <c:v>21.477004182118986</c:v>
                </c:pt>
                <c:pt idx="173">
                  <c:v>32.290698941411442</c:v>
                </c:pt>
                <c:pt idx="174">
                  <c:v>23.020642611672582</c:v>
                </c:pt>
                <c:pt idx="175">
                  <c:v>24.263580940604026</c:v>
                </c:pt>
                <c:pt idx="176">
                  <c:v>39.045041020395431</c:v>
                </c:pt>
                <c:pt idx="177">
                  <c:v>23.721195472447899</c:v>
                </c:pt>
                <c:pt idx="178">
                  <c:v>0</c:v>
                </c:pt>
                <c:pt idx="179">
                  <c:v>0</c:v>
                </c:pt>
                <c:pt idx="180">
                  <c:v>59.34540256409062</c:v>
                </c:pt>
                <c:pt idx="181">
                  <c:v>50.052783270954016</c:v>
                </c:pt>
                <c:pt idx="182">
                  <c:v>0</c:v>
                </c:pt>
                <c:pt idx="183">
                  <c:v>21.170101949384733</c:v>
                </c:pt>
                <c:pt idx="184">
                  <c:v>61.572406672881627</c:v>
                </c:pt>
                <c:pt idx="185">
                  <c:v>38.660377912122392</c:v>
                </c:pt>
                <c:pt idx="186">
                  <c:v>35.452864591770144</c:v>
                </c:pt>
                <c:pt idx="187">
                  <c:v>0</c:v>
                </c:pt>
                <c:pt idx="188">
                  <c:v>21.774340223571897</c:v>
                </c:pt>
                <c:pt idx="189">
                  <c:v>0</c:v>
                </c:pt>
                <c:pt idx="190">
                  <c:v>66.029729472075658</c:v>
                </c:pt>
                <c:pt idx="191">
                  <c:v>0</c:v>
                </c:pt>
                <c:pt idx="192">
                  <c:v>0</c:v>
                </c:pt>
                <c:pt idx="193">
                  <c:v>0</c:v>
                </c:pt>
                <c:pt idx="194">
                  <c:v>0</c:v>
                </c:pt>
                <c:pt idx="195">
                  <c:v>20.180661636154763</c:v>
                </c:pt>
                <c:pt idx="196">
                  <c:v>17.950674874178436</c:v>
                </c:pt>
                <c:pt idx="197">
                  <c:v>20.256048128063263</c:v>
                </c:pt>
                <c:pt idx="198">
                  <c:v>19.081274567966041</c:v>
                </c:pt>
                <c:pt idx="199">
                  <c:v>0</c:v>
                </c:pt>
                <c:pt idx="200">
                  <c:v>86.116527411144972</c:v>
                </c:pt>
                <c:pt idx="201">
                  <c:v>0</c:v>
                </c:pt>
                <c:pt idx="202">
                  <c:v>0</c:v>
                </c:pt>
                <c:pt idx="203">
                  <c:v>21.398272629872494</c:v>
                </c:pt>
                <c:pt idx="204">
                  <c:v>0</c:v>
                </c:pt>
                <c:pt idx="205">
                  <c:v>0</c:v>
                </c:pt>
                <c:pt idx="206">
                  <c:v>17.954127191076523</c:v>
                </c:pt>
                <c:pt idx="207">
                  <c:v>29.567926369438375</c:v>
                </c:pt>
                <c:pt idx="208">
                  <c:v>74.04210889210249</c:v>
                </c:pt>
                <c:pt idx="209">
                  <c:v>22.895571231906747</c:v>
                </c:pt>
                <c:pt idx="210">
                  <c:v>21.049366435539334</c:v>
                </c:pt>
                <c:pt idx="211">
                  <c:v>41.30621837990752</c:v>
                </c:pt>
                <c:pt idx="212">
                  <c:v>21.137624861440958</c:v>
                </c:pt>
                <c:pt idx="213">
                  <c:v>57.987455822169245</c:v>
                </c:pt>
                <c:pt idx="214">
                  <c:v>60.826552886855175</c:v>
                </c:pt>
                <c:pt idx="215">
                  <c:v>0</c:v>
                </c:pt>
                <c:pt idx="216">
                  <c:v>26.038883192036504</c:v>
                </c:pt>
                <c:pt idx="217">
                  <c:v>45.552723672506787</c:v>
                </c:pt>
                <c:pt idx="218">
                  <c:v>19.597563418186834</c:v>
                </c:pt>
                <c:pt idx="219">
                  <c:v>30.806559779205877</c:v>
                </c:pt>
                <c:pt idx="220">
                  <c:v>32.008294200412927</c:v>
                </c:pt>
                <c:pt idx="221">
                  <c:v>0</c:v>
                </c:pt>
                <c:pt idx="222">
                  <c:v>74.018901910444981</c:v>
                </c:pt>
                <c:pt idx="223">
                  <c:v>22.879831726538576</c:v>
                </c:pt>
                <c:pt idx="224">
                  <c:v>0</c:v>
                </c:pt>
                <c:pt idx="225">
                  <c:v>51.199409856693258</c:v>
                </c:pt>
                <c:pt idx="226">
                  <c:v>61.993427426600057</c:v>
                </c:pt>
                <c:pt idx="227">
                  <c:v>0</c:v>
                </c:pt>
                <c:pt idx="228">
                  <c:v>38.888969933975865</c:v>
                </c:pt>
                <c:pt idx="229">
                  <c:v>27.999296103091119</c:v>
                </c:pt>
                <c:pt idx="230">
                  <c:v>43.117043898020881</c:v>
                </c:pt>
                <c:pt idx="231">
                  <c:v>0</c:v>
                </c:pt>
                <c:pt idx="232">
                  <c:v>0</c:v>
                </c:pt>
                <c:pt idx="233">
                  <c:v>44.660224266330296</c:v>
                </c:pt>
                <c:pt idx="234">
                  <c:v>0</c:v>
                </c:pt>
                <c:pt idx="235">
                  <c:v>65.389273730761147</c:v>
                </c:pt>
                <c:pt idx="236">
                  <c:v>0</c:v>
                </c:pt>
                <c:pt idx="237">
                  <c:v>36.964022271641092</c:v>
                </c:pt>
                <c:pt idx="238">
                  <c:v>25.903126557051547</c:v>
                </c:pt>
                <c:pt idx="239">
                  <c:v>32.128468456260819</c:v>
                </c:pt>
                <c:pt idx="240">
                  <c:v>0</c:v>
                </c:pt>
                <c:pt idx="241">
                  <c:v>19.893561453981199</c:v>
                </c:pt>
                <c:pt idx="242">
                  <c:v>27.476590993101734</c:v>
                </c:pt>
                <c:pt idx="243">
                  <c:v>48.300669556348424</c:v>
                </c:pt>
                <c:pt idx="244">
                  <c:v>0</c:v>
                </c:pt>
                <c:pt idx="245">
                  <c:v>25.034743344910094</c:v>
                </c:pt>
                <c:pt idx="246">
                  <c:v>0</c:v>
                </c:pt>
                <c:pt idx="247">
                  <c:v>67.805334524975407</c:v>
                </c:pt>
                <c:pt idx="248">
                  <c:v>32.228844058708788</c:v>
                </c:pt>
                <c:pt idx="249">
                  <c:v>39.191211191300397</c:v>
                </c:pt>
                <c:pt idx="250">
                  <c:v>52.612957803264251</c:v>
                </c:pt>
                <c:pt idx="251">
                  <c:v>21.540678836061478</c:v>
                </c:pt>
                <c:pt idx="252">
                  <c:v>19.234465101186458</c:v>
                </c:pt>
                <c:pt idx="253">
                  <c:v>0</c:v>
                </c:pt>
                <c:pt idx="254">
                  <c:v>0</c:v>
                </c:pt>
                <c:pt idx="255">
                  <c:v>0</c:v>
                </c:pt>
                <c:pt idx="256">
                  <c:v>0</c:v>
                </c:pt>
                <c:pt idx="257">
                  <c:v>39.422708123924821</c:v>
                </c:pt>
                <c:pt idx="258">
                  <c:v>0</c:v>
                </c:pt>
                <c:pt idx="259">
                  <c:v>0</c:v>
                </c:pt>
                <c:pt idx="260">
                  <c:v>26.259838150008562</c:v>
                </c:pt>
                <c:pt idx="261">
                  <c:v>30.366843771404007</c:v>
                </c:pt>
                <c:pt idx="262">
                  <c:v>84.516220929556127</c:v>
                </c:pt>
                <c:pt idx="263">
                  <c:v>19.477078019886335</c:v>
                </c:pt>
                <c:pt idx="264">
                  <c:v>29.716824153208186</c:v>
                </c:pt>
                <c:pt idx="265">
                  <c:v>23.824198753851018</c:v>
                </c:pt>
                <c:pt idx="266">
                  <c:v>0</c:v>
                </c:pt>
                <c:pt idx="267">
                  <c:v>0</c:v>
                </c:pt>
                <c:pt idx="268">
                  <c:v>18.252185157114408</c:v>
                </c:pt>
                <c:pt idx="269">
                  <c:v>0</c:v>
                </c:pt>
                <c:pt idx="270">
                  <c:v>27.773699703036186</c:v>
                </c:pt>
                <c:pt idx="271">
                  <c:v>49.333070086114233</c:v>
                </c:pt>
                <c:pt idx="272">
                  <c:v>51.517919307227643</c:v>
                </c:pt>
                <c:pt idx="273">
                  <c:v>23.60394294500891</c:v>
                </c:pt>
                <c:pt idx="274">
                  <c:v>43.863626585688777</c:v>
                </c:pt>
                <c:pt idx="275">
                  <c:v>22.172497429489361</c:v>
                </c:pt>
                <c:pt idx="276">
                  <c:v>76.875168106765656</c:v>
                </c:pt>
                <c:pt idx="277">
                  <c:v>41.671733400846009</c:v>
                </c:pt>
                <c:pt idx="278">
                  <c:v>0</c:v>
                </c:pt>
                <c:pt idx="279">
                  <c:v>0</c:v>
                </c:pt>
                <c:pt idx="280">
                  <c:v>90.763794354164986</c:v>
                </c:pt>
                <c:pt idx="281">
                  <c:v>0</c:v>
                </c:pt>
                <c:pt idx="282">
                  <c:v>0</c:v>
                </c:pt>
                <c:pt idx="283">
                  <c:v>22.642280282247789</c:v>
                </c:pt>
                <c:pt idx="284">
                  <c:v>47.237022118008319</c:v>
                </c:pt>
                <c:pt idx="285">
                  <c:v>0</c:v>
                </c:pt>
                <c:pt idx="286">
                  <c:v>44.848649569382346</c:v>
                </c:pt>
                <c:pt idx="287">
                  <c:v>19.662832546743754</c:v>
                </c:pt>
                <c:pt idx="288">
                  <c:v>43.822995799490641</c:v>
                </c:pt>
                <c:pt idx="289">
                  <c:v>34.370378440623554</c:v>
                </c:pt>
                <c:pt idx="290">
                  <c:v>19.833698648938924</c:v>
                </c:pt>
                <c:pt idx="291">
                  <c:v>39.195775663364017</c:v>
                </c:pt>
                <c:pt idx="292">
                  <c:v>67.820822165145643</c:v>
                </c:pt>
                <c:pt idx="293">
                  <c:v>0</c:v>
                </c:pt>
                <c:pt idx="294">
                  <c:v>33.237144172725323</c:v>
                </c:pt>
                <c:pt idx="295">
                  <c:v>30.4983826183005</c:v>
                </c:pt>
                <c:pt idx="296">
                  <c:v>0</c:v>
                </c:pt>
                <c:pt idx="297">
                  <c:v>21.757133732550802</c:v>
                </c:pt>
                <c:pt idx="298">
                  <c:v>0</c:v>
                </c:pt>
                <c:pt idx="299">
                  <c:v>19.53135108348911</c:v>
                </c:pt>
                <c:pt idx="300">
                  <c:v>36.572088148430765</c:v>
                </c:pt>
                <c:pt idx="301">
                  <c:v>0</c:v>
                </c:pt>
                <c:pt idx="302">
                  <c:v>0</c:v>
                </c:pt>
                <c:pt idx="303">
                  <c:v>44.02831451082951</c:v>
                </c:pt>
                <c:pt idx="304">
                  <c:v>19.876460153164675</c:v>
                </c:pt>
                <c:pt idx="305">
                  <c:v>73.109165068512951</c:v>
                </c:pt>
                <c:pt idx="306">
                  <c:v>21.501534470362653</c:v>
                </c:pt>
                <c:pt idx="307">
                  <c:v>23.474775719145374</c:v>
                </c:pt>
                <c:pt idx="308">
                  <c:v>69.46416632831415</c:v>
                </c:pt>
                <c:pt idx="309">
                  <c:v>43.41873179457022</c:v>
                </c:pt>
                <c:pt idx="310">
                  <c:v>0</c:v>
                </c:pt>
                <c:pt idx="311">
                  <c:v>55.042106174589897</c:v>
                </c:pt>
                <c:pt idx="312">
                  <c:v>0</c:v>
                </c:pt>
                <c:pt idx="313">
                  <c:v>19.131988985142822</c:v>
                </c:pt>
                <c:pt idx="314">
                  <c:v>22.25273588761118</c:v>
                </c:pt>
                <c:pt idx="315">
                  <c:v>59.657338290908747</c:v>
                </c:pt>
                <c:pt idx="316">
                  <c:v>19.312302739525038</c:v>
                </c:pt>
                <c:pt idx="317">
                  <c:v>21.659373781797186</c:v>
                </c:pt>
                <c:pt idx="318">
                  <c:v>0</c:v>
                </c:pt>
                <c:pt idx="319">
                  <c:v>0</c:v>
                </c:pt>
                <c:pt idx="320">
                  <c:v>24.713575005093418</c:v>
                </c:pt>
                <c:pt idx="321">
                  <c:v>27.483274825652838</c:v>
                </c:pt>
                <c:pt idx="322">
                  <c:v>43.341742002534986</c:v>
                </c:pt>
                <c:pt idx="323">
                  <c:v>0</c:v>
                </c:pt>
                <c:pt idx="324">
                  <c:v>56.603047341673296</c:v>
                </c:pt>
                <c:pt idx="325">
                  <c:v>32.395712625006333</c:v>
                </c:pt>
                <c:pt idx="326">
                  <c:v>37.924186977702327</c:v>
                </c:pt>
                <c:pt idx="327">
                  <c:v>0</c:v>
                </c:pt>
                <c:pt idx="328">
                  <c:v>0</c:v>
                </c:pt>
                <c:pt idx="329">
                  <c:v>17.648113309767702</c:v>
                </c:pt>
                <c:pt idx="330">
                  <c:v>25.242040152444208</c:v>
                </c:pt>
                <c:pt idx="331">
                  <c:v>64.87960765525392</c:v>
                </c:pt>
                <c:pt idx="332">
                  <c:v>0</c:v>
                </c:pt>
                <c:pt idx="333">
                  <c:v>0</c:v>
                </c:pt>
                <c:pt idx="334">
                  <c:v>19.961745927022527</c:v>
                </c:pt>
                <c:pt idx="335">
                  <c:v>32.337699141365192</c:v>
                </c:pt>
                <c:pt idx="336">
                  <c:v>30.077052976561703</c:v>
                </c:pt>
                <c:pt idx="337">
                  <c:v>0</c:v>
                </c:pt>
                <c:pt idx="338">
                  <c:v>0</c:v>
                </c:pt>
                <c:pt idx="339">
                  <c:v>42.747283209398354</c:v>
                </c:pt>
                <c:pt idx="340">
                  <c:v>0</c:v>
                </c:pt>
                <c:pt idx="341">
                  <c:v>33.110212378444729</c:v>
                </c:pt>
                <c:pt idx="342">
                  <c:v>69.00636104505233</c:v>
                </c:pt>
                <c:pt idx="343">
                  <c:v>19.383696449565594</c:v>
                </c:pt>
                <c:pt idx="344">
                  <c:v>0</c:v>
                </c:pt>
                <c:pt idx="345">
                  <c:v>33.401773623337114</c:v>
                </c:pt>
                <c:pt idx="346">
                  <c:v>20.826584626209051</c:v>
                </c:pt>
                <c:pt idx="347">
                  <c:v>74.724153654441011</c:v>
                </c:pt>
                <c:pt idx="348">
                  <c:v>29.841297276665141</c:v>
                </c:pt>
                <c:pt idx="349">
                  <c:v>33.472631648224407</c:v>
                </c:pt>
                <c:pt idx="350">
                  <c:v>0</c:v>
                </c:pt>
                <c:pt idx="351">
                  <c:v>24.614866260260406</c:v>
                </c:pt>
                <c:pt idx="352">
                  <c:v>25.085309760165046</c:v>
                </c:pt>
                <c:pt idx="353">
                  <c:v>64.857742182797182</c:v>
                </c:pt>
                <c:pt idx="354">
                  <c:v>55.107532052262329</c:v>
                </c:pt>
                <c:pt idx="355">
                  <c:v>53.694803041826347</c:v>
                </c:pt>
                <c:pt idx="356">
                  <c:v>86.318300397314303</c:v>
                </c:pt>
                <c:pt idx="357">
                  <c:v>36.597564731630051</c:v>
                </c:pt>
                <c:pt idx="358">
                  <c:v>22.378613993005555</c:v>
                </c:pt>
                <c:pt idx="359">
                  <c:v>22.212711798056748</c:v>
                </c:pt>
                <c:pt idx="360">
                  <c:v>51.440389687406466</c:v>
                </c:pt>
                <c:pt idx="361">
                  <c:v>41.213463591206377</c:v>
                </c:pt>
                <c:pt idx="362">
                  <c:v>49.639627725227783</c:v>
                </c:pt>
                <c:pt idx="363">
                  <c:v>43.837183413985983</c:v>
                </c:pt>
                <c:pt idx="364">
                  <c:v>19.312027605871123</c:v>
                </c:pt>
                <c:pt idx="365">
                  <c:v>23.644462887735575</c:v>
                </c:pt>
                <c:pt idx="366">
                  <c:v>39.301041055629085</c:v>
                </c:pt>
                <c:pt idx="367">
                  <c:v>18.451592648109958</c:v>
                </c:pt>
                <c:pt idx="368">
                  <c:v>54.415103733113071</c:v>
                </c:pt>
                <c:pt idx="369">
                  <c:v>22.212982182130354</c:v>
                </c:pt>
                <c:pt idx="370">
                  <c:v>22.670571582284122</c:v>
                </c:pt>
                <c:pt idx="371">
                  <c:v>33.64020534657157</c:v>
                </c:pt>
                <c:pt idx="372">
                  <c:v>43.236161208999583</c:v>
                </c:pt>
                <c:pt idx="373">
                  <c:v>51.385738172661313</c:v>
                </c:pt>
                <c:pt idx="374">
                  <c:v>41.347052456244988</c:v>
                </c:pt>
                <c:pt idx="375">
                  <c:v>52.284244316923967</c:v>
                </c:pt>
                <c:pt idx="376">
                  <c:v>20.422234146553663</c:v>
                </c:pt>
                <c:pt idx="377">
                  <c:v>34.485303044473646</c:v>
                </c:pt>
                <c:pt idx="378">
                  <c:v>42.897101201627272</c:v>
                </c:pt>
                <c:pt idx="379">
                  <c:v>56.225277393405648</c:v>
                </c:pt>
                <c:pt idx="380">
                  <c:v>30.758916600180559</c:v>
                </c:pt>
                <c:pt idx="381">
                  <c:v>19.588558792092375</c:v>
                </c:pt>
                <c:pt idx="382">
                  <c:v>22.713717580634107</c:v>
                </c:pt>
                <c:pt idx="383">
                  <c:v>25.886075522352158</c:v>
                </c:pt>
                <c:pt idx="384">
                  <c:v>26.708786926369253</c:v>
                </c:pt>
                <c:pt idx="385">
                  <c:v>51.650747201792178</c:v>
                </c:pt>
                <c:pt idx="386">
                  <c:v>18.254556990051896</c:v>
                </c:pt>
                <c:pt idx="387">
                  <c:v>33.101064981565102</c:v>
                </c:pt>
                <c:pt idx="388">
                  <c:v>53.227723535543234</c:v>
                </c:pt>
                <c:pt idx="389">
                  <c:v>65.48398176606824</c:v>
                </c:pt>
                <c:pt idx="390">
                  <c:v>25.551457039586932</c:v>
                </c:pt>
                <c:pt idx="391">
                  <c:v>57.534735630087461</c:v>
                </c:pt>
                <c:pt idx="392">
                  <c:v>20.786512081959991</c:v>
                </c:pt>
                <c:pt idx="393">
                  <c:v>50.88151358456242</c:v>
                </c:pt>
                <c:pt idx="394">
                  <c:v>26.80595785005201</c:v>
                </c:pt>
                <c:pt idx="395">
                  <c:v>47.822812661858229</c:v>
                </c:pt>
                <c:pt idx="396">
                  <c:v>53.23130952728328</c:v>
                </c:pt>
                <c:pt idx="397">
                  <c:v>61.869873261637522</c:v>
                </c:pt>
                <c:pt idx="398">
                  <c:v>68.375499757777575</c:v>
                </c:pt>
                <c:pt idx="399">
                  <c:v>39.2266810407327</c:v>
                </c:pt>
                <c:pt idx="400">
                  <c:v>49.977802802124216</c:v>
                </c:pt>
                <c:pt idx="401">
                  <c:v>23.595471076491325</c:v>
                </c:pt>
                <c:pt idx="402">
                  <c:v>55.025991933775842</c:v>
                </c:pt>
                <c:pt idx="403">
                  <c:v>58.464918870081092</c:v>
                </c:pt>
                <c:pt idx="404">
                  <c:v>47.822215597688341</c:v>
                </c:pt>
                <c:pt idx="405">
                  <c:v>30.973820727253049</c:v>
                </c:pt>
                <c:pt idx="406">
                  <c:v>19.561184934104691</c:v>
                </c:pt>
                <c:pt idx="407">
                  <c:v>42.267988745331181</c:v>
                </c:pt>
                <c:pt idx="408">
                  <c:v>66.5649482213814</c:v>
                </c:pt>
                <c:pt idx="409">
                  <c:v>52.392146602867506</c:v>
                </c:pt>
                <c:pt idx="410">
                  <c:v>42.201012804422703</c:v>
                </c:pt>
                <c:pt idx="411">
                  <c:v>38.511849591781449</c:v>
                </c:pt>
                <c:pt idx="412">
                  <c:v>36.217658336222556</c:v>
                </c:pt>
                <c:pt idx="413">
                  <c:v>52.402774198966576</c:v>
                </c:pt>
                <c:pt idx="414">
                  <c:v>23.917664422388231</c:v>
                </c:pt>
                <c:pt idx="415">
                  <c:v>28.383150255419487</c:v>
                </c:pt>
                <c:pt idx="416">
                  <c:v>48.212568111777273</c:v>
                </c:pt>
                <c:pt idx="417">
                  <c:v>71.014632322104802</c:v>
                </c:pt>
                <c:pt idx="418">
                  <c:v>82.793881976222508</c:v>
                </c:pt>
                <c:pt idx="419">
                  <c:v>72.202248197422918</c:v>
                </c:pt>
                <c:pt idx="420">
                  <c:v>70.306643634755943</c:v>
                </c:pt>
                <c:pt idx="421">
                  <c:v>44.404391398115436</c:v>
                </c:pt>
                <c:pt idx="422">
                  <c:v>22.307224466372546</c:v>
                </c:pt>
                <c:pt idx="423">
                  <c:v>61.768191000713159</c:v>
                </c:pt>
                <c:pt idx="424">
                  <c:v>64.301064397945083</c:v>
                </c:pt>
                <c:pt idx="425">
                  <c:v>31.326076168730822</c:v>
                </c:pt>
                <c:pt idx="426">
                  <c:v>47.842904002891032</c:v>
                </c:pt>
                <c:pt idx="427">
                  <c:v>38.774854101125058</c:v>
                </c:pt>
                <c:pt idx="428">
                  <c:v>56.604290713825812</c:v>
                </c:pt>
                <c:pt idx="429">
                  <c:v>26.322560357429474</c:v>
                </c:pt>
                <c:pt idx="430">
                  <c:v>63.197090714783101</c:v>
                </c:pt>
                <c:pt idx="431">
                  <c:v>42.361715666659798</c:v>
                </c:pt>
                <c:pt idx="432">
                  <c:v>56.305801033499151</c:v>
                </c:pt>
                <c:pt idx="433">
                  <c:v>30.214780827762784</c:v>
                </c:pt>
                <c:pt idx="434">
                  <c:v>25.313745697712285</c:v>
                </c:pt>
                <c:pt idx="435">
                  <c:v>49.717263018521074</c:v>
                </c:pt>
                <c:pt idx="436">
                  <c:v>48.330631233756478</c:v>
                </c:pt>
                <c:pt idx="437">
                  <c:v>27.316367937771457</c:v>
                </c:pt>
              </c:numCache>
            </c:numRef>
          </c:yVal>
          <c:smooth val="0"/>
          <c:extLst>
            <c:ext xmlns:c16="http://schemas.microsoft.com/office/drawing/2014/chart" uri="{C3380CC4-5D6E-409C-BE32-E72D297353CC}">
              <c16:uniqueId val="{00000002-E05C-4E54-BF30-B88BE595197B}"/>
            </c:ext>
          </c:extLst>
        </c:ser>
        <c:dLbls>
          <c:showLegendKey val="0"/>
          <c:showVal val="0"/>
          <c:showCatName val="0"/>
          <c:showSerName val="0"/>
          <c:showPercent val="0"/>
          <c:showBubbleSize val="0"/>
        </c:dLbls>
        <c:axId val="98678656"/>
        <c:axId val="102371712"/>
      </c:scatterChart>
      <c:valAx>
        <c:axId val="98678656"/>
        <c:scaling>
          <c:orientation val="minMax"/>
        </c:scaling>
        <c:delete val="0"/>
        <c:axPos val="b"/>
        <c:title>
          <c:tx>
            <c:rich>
              <a:bodyPr/>
              <a:lstStyle/>
              <a:p>
                <a:pPr>
                  <a:defRPr/>
                </a:pPr>
                <a:r>
                  <a:rPr lang="en-US"/>
                  <a:t>Target Aid %</a:t>
                </a:r>
              </a:p>
            </c:rich>
          </c:tx>
          <c:overlay val="0"/>
        </c:title>
        <c:numFmt formatCode="#,##0" sourceLinked="0"/>
        <c:majorTickMark val="out"/>
        <c:minorTickMark val="none"/>
        <c:tickLblPos val="nextTo"/>
        <c:crossAx val="102371712"/>
        <c:crosses val="autoZero"/>
        <c:crossBetween val="midCat"/>
      </c:valAx>
      <c:valAx>
        <c:axId val="102371712"/>
        <c:scaling>
          <c:orientation val="minMax"/>
          <c:max val="100.0001"/>
          <c:min val="1.0000000000000221E-4"/>
        </c:scaling>
        <c:delete val="0"/>
        <c:axPos val="l"/>
        <c:title>
          <c:tx>
            <c:rich>
              <a:bodyPr rot="-5400000" vert="horz"/>
              <a:lstStyle/>
              <a:p>
                <a:pPr>
                  <a:defRPr/>
                </a:pPr>
                <a:r>
                  <a:rPr lang="en-US"/>
                  <a:t>Chapter 70 Aid %</a:t>
                </a:r>
              </a:p>
            </c:rich>
          </c:tx>
          <c:layout>
            <c:manualLayout>
              <c:xMode val="edge"/>
              <c:yMode val="edge"/>
              <c:x val="3.6954915003696979E-3"/>
              <c:y val="0.27175776685632419"/>
            </c:manualLayout>
          </c:layout>
          <c:overlay val="0"/>
        </c:title>
        <c:numFmt formatCode="#,##0" sourceLinked="0"/>
        <c:majorTickMark val="out"/>
        <c:minorTickMark val="none"/>
        <c:tickLblPos val="nextTo"/>
        <c:crossAx val="98678656"/>
        <c:crosses val="autoZero"/>
        <c:crossBetween val="midCat"/>
      </c:valAx>
    </c:plotArea>
    <c:legend>
      <c:legendPos val="b"/>
      <c:layout>
        <c:manualLayout>
          <c:xMode val="edge"/>
          <c:yMode val="edge"/>
          <c:x val="0.26650199239013755"/>
          <c:y val="0.94485541227753733"/>
          <c:w val="0.46197761796482917"/>
          <c:h val="5.1273352613215084E-2"/>
        </c:manualLayout>
      </c:layout>
      <c:overlay val="0"/>
    </c:legend>
    <c:plotVisOnly val="1"/>
    <c:dispBlanksAs val="gap"/>
    <c:showDLblsOverMax val="0"/>
  </c:chart>
  <c:spPr>
    <a:ln>
      <a:noFill/>
    </a:ln>
  </c:spPr>
  <c:txPr>
    <a:bodyPr/>
    <a:lstStyle/>
    <a:p>
      <a:pPr>
        <a:defRPr sz="900"/>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Rates!$B$9:$B$32</c:f>
              <c:strCache>
                <c:ptCount val="24"/>
                <c:pt idx="0">
                  <c:v>Pre-school</c:v>
                </c:pt>
                <c:pt idx="1">
                  <c:v>Kindergarten half-day</c:v>
                </c:pt>
                <c:pt idx="2">
                  <c:v>Kindergarten full-day</c:v>
                </c:pt>
                <c:pt idx="3">
                  <c:v>Elementary</c:v>
                </c:pt>
                <c:pt idx="4">
                  <c:v>Junior/Middle</c:v>
                </c:pt>
                <c:pt idx="5">
                  <c:v>High School</c:v>
                </c:pt>
                <c:pt idx="6">
                  <c:v>Vocational</c:v>
                </c:pt>
                <c:pt idx="7">
                  <c:v>Special Education in-district</c:v>
                </c:pt>
                <c:pt idx="8">
                  <c:v>Special Education tuitioned-out</c:v>
                </c:pt>
                <c:pt idx="9">
                  <c:v>English learners PK-5</c:v>
                </c:pt>
                <c:pt idx="10">
                  <c:v>English learners 6-8</c:v>
                </c:pt>
                <c:pt idx="11">
                  <c:v>English learners high school/voc</c:v>
                </c:pt>
                <c:pt idx="12">
                  <c:v>Low-income group 1 (0-5.99%)</c:v>
                </c:pt>
                <c:pt idx="13">
                  <c:v>Low-income group 2 (6-11.99%)</c:v>
                </c:pt>
                <c:pt idx="14">
                  <c:v>Low-income group 3 (12-17.99%)</c:v>
                </c:pt>
                <c:pt idx="15">
                  <c:v>Low-income group 4 (18-23.99%)</c:v>
                </c:pt>
                <c:pt idx="16">
                  <c:v>Low-income group 5 (24-29.99%)</c:v>
                </c:pt>
                <c:pt idx="17">
                  <c:v>Low-income group 6 (30-35.99%)</c:v>
                </c:pt>
                <c:pt idx="18">
                  <c:v>Low-income group 7 (36-41.99%)</c:v>
                </c:pt>
                <c:pt idx="19">
                  <c:v>Low-income group 8 (42-47.99%)</c:v>
                </c:pt>
                <c:pt idx="20">
                  <c:v>Low-income group 9 (48-53.99%)</c:v>
                </c:pt>
                <c:pt idx="21">
                  <c:v>Low-income group 10 (54-69.99%)</c:v>
                </c:pt>
                <c:pt idx="22">
                  <c:v>Low-income group 11 (70-79.99%)</c:v>
                </c:pt>
                <c:pt idx="23">
                  <c:v>Low-income group 12 (80%+)</c:v>
                </c:pt>
              </c:strCache>
            </c:strRef>
          </c:cat>
          <c:val>
            <c:numRef>
              <c:f>Rates!$N$9:$N$32</c:f>
              <c:numCache>
                <c:formatCode>#,##0.00</c:formatCode>
                <c:ptCount val="24"/>
                <c:pt idx="0">
                  <c:v>4875.7899999999991</c:v>
                </c:pt>
                <c:pt idx="1">
                  <c:v>4875.7899999999991</c:v>
                </c:pt>
                <c:pt idx="2">
                  <c:v>9751.7500000000018</c:v>
                </c:pt>
                <c:pt idx="3">
                  <c:v>9805.5</c:v>
                </c:pt>
                <c:pt idx="4">
                  <c:v>9432.8799999999992</c:v>
                </c:pt>
                <c:pt idx="5">
                  <c:v>11333.93</c:v>
                </c:pt>
                <c:pt idx="6">
                  <c:v>16860.330000000002</c:v>
                </c:pt>
                <c:pt idx="7">
                  <c:v>31333.620000000003</c:v>
                </c:pt>
                <c:pt idx="8">
                  <c:v>38915.06</c:v>
                </c:pt>
                <c:pt idx="9">
                  <c:v>2822.28</c:v>
                </c:pt>
                <c:pt idx="10">
                  <c:v>3003.7099999999996</c:v>
                </c:pt>
                <c:pt idx="11">
                  <c:v>3221.08</c:v>
                </c:pt>
                <c:pt idx="12">
                  <c:v>4142.3200000000006</c:v>
                </c:pt>
                <c:pt idx="13">
                  <c:v>4327.09</c:v>
                </c:pt>
                <c:pt idx="14">
                  <c:v>4511.84</c:v>
                </c:pt>
                <c:pt idx="15">
                  <c:v>4696.5700000000006</c:v>
                </c:pt>
                <c:pt idx="16">
                  <c:v>4881.3199999999988</c:v>
                </c:pt>
                <c:pt idx="17">
                  <c:v>5389.79</c:v>
                </c:pt>
                <c:pt idx="18">
                  <c:v>5833.22</c:v>
                </c:pt>
                <c:pt idx="19">
                  <c:v>6276.6799999999994</c:v>
                </c:pt>
                <c:pt idx="20">
                  <c:v>6720.130000000001</c:v>
                </c:pt>
                <c:pt idx="21">
                  <c:v>7163.59</c:v>
                </c:pt>
                <c:pt idx="22">
                  <c:v>7838.869999999999</c:v>
                </c:pt>
                <c:pt idx="23">
                  <c:v>8514.1700000000019</c:v>
                </c:pt>
              </c:numCache>
            </c:numRef>
          </c:val>
          <c:extLst>
            <c:ext xmlns:c16="http://schemas.microsoft.com/office/drawing/2014/chart" uri="{C3380CC4-5D6E-409C-BE32-E72D297353CC}">
              <c16:uniqueId val="{00000000-4893-454A-B138-51979F908566}"/>
            </c:ext>
          </c:extLst>
        </c:ser>
        <c:dLbls>
          <c:showLegendKey val="0"/>
          <c:showVal val="0"/>
          <c:showCatName val="0"/>
          <c:showSerName val="0"/>
          <c:showPercent val="0"/>
          <c:showBubbleSize val="0"/>
        </c:dLbls>
        <c:gapWidth val="150"/>
        <c:axId val="211776640"/>
        <c:axId val="211778176"/>
      </c:barChart>
      <c:catAx>
        <c:axId val="211776640"/>
        <c:scaling>
          <c:orientation val="maxMin"/>
        </c:scaling>
        <c:delete val="0"/>
        <c:axPos val="l"/>
        <c:numFmt formatCode="General" sourceLinked="0"/>
        <c:majorTickMark val="out"/>
        <c:minorTickMark val="none"/>
        <c:tickLblPos val="nextTo"/>
        <c:crossAx val="211778176"/>
        <c:crosses val="autoZero"/>
        <c:auto val="1"/>
        <c:lblAlgn val="ctr"/>
        <c:lblOffset val="100"/>
        <c:noMultiLvlLbl val="0"/>
      </c:catAx>
      <c:valAx>
        <c:axId val="211778176"/>
        <c:scaling>
          <c:orientation val="minMax"/>
        </c:scaling>
        <c:delete val="0"/>
        <c:axPos val="b"/>
        <c:numFmt formatCode="#,##0_);\(#,##0\)" sourceLinked="0"/>
        <c:majorTickMark val="out"/>
        <c:minorTickMark val="none"/>
        <c:tickLblPos val="nextTo"/>
        <c:crossAx val="211776640"/>
        <c:crosses val="max"/>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43</xdr:row>
      <xdr:rowOff>101498</xdr:rowOff>
    </xdr:from>
    <xdr:to>
      <xdr:col>2</xdr:col>
      <xdr:colOff>1966233</xdr:colOff>
      <xdr:row>57</xdr:row>
      <xdr:rowOff>157922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1028034"/>
          <a:ext cx="7769679" cy="2342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151308</xdr:colOff>
      <xdr:row>0</xdr:row>
      <xdr:rowOff>109821</xdr:rowOff>
    </xdr:from>
    <xdr:to>
      <xdr:col>7</xdr:col>
      <xdr:colOff>586737</xdr:colOff>
      <xdr:row>1</xdr:row>
      <xdr:rowOff>117276</xdr:rowOff>
    </xdr:to>
    <xdr:pic>
      <xdr:nvPicPr>
        <xdr:cNvPr id="2" name="irc_mi" descr="DESE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5313858" y="109821"/>
          <a:ext cx="1828800" cy="38210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39160</xdr:colOff>
      <xdr:row>0</xdr:row>
      <xdr:rowOff>192221</xdr:rowOff>
    </xdr:from>
    <xdr:to>
      <xdr:col>1</xdr:col>
      <xdr:colOff>1060</xdr:colOff>
      <xdr:row>1</xdr:row>
      <xdr:rowOff>217656</xdr:rowOff>
    </xdr:to>
    <xdr:pic>
      <xdr:nvPicPr>
        <xdr:cNvPr id="2" name="irc_mi" descr="DESE 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9160" y="192221"/>
          <a:ext cx="1371600" cy="292135"/>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1527721</xdr:colOff>
      <xdr:row>2</xdr:row>
      <xdr:rowOff>9150</xdr:rowOff>
    </xdr:from>
    <xdr:to>
      <xdr:col>17</xdr:col>
      <xdr:colOff>416641</xdr:colOff>
      <xdr:row>3</xdr:row>
      <xdr:rowOff>149205</xdr:rowOff>
    </xdr:to>
    <xdr:pic>
      <xdr:nvPicPr>
        <xdr:cNvPr id="34818" name="irc_mi" descr="DESE Logo">
          <a:extLst>
            <a:ext uri="{FF2B5EF4-FFF2-40B4-BE49-F238E27FC236}">
              <a16:creationId xmlns:a16="http://schemas.microsoft.com/office/drawing/2014/main" id="{00000000-0008-0000-0400-0000028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7561471" y="485400"/>
          <a:ext cx="1918048" cy="409930"/>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1243852</xdr:colOff>
      <xdr:row>1</xdr:row>
      <xdr:rowOff>123265</xdr:rowOff>
    </xdr:from>
    <xdr:to>
      <xdr:col>5</xdr:col>
      <xdr:colOff>3157365</xdr:colOff>
      <xdr:row>3</xdr:row>
      <xdr:rowOff>76022</xdr:rowOff>
    </xdr:to>
    <xdr:pic>
      <xdr:nvPicPr>
        <xdr:cNvPr id="4" name="irc_mi" descr="DESE Logo">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7933764" y="123265"/>
          <a:ext cx="1913513" cy="412198"/>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449012</xdr:colOff>
      <xdr:row>2</xdr:row>
      <xdr:rowOff>231554</xdr:rowOff>
    </xdr:from>
    <xdr:to>
      <xdr:col>10</xdr:col>
      <xdr:colOff>2377</xdr:colOff>
      <xdr:row>4</xdr:row>
      <xdr:rowOff>123775</xdr:rowOff>
    </xdr:to>
    <xdr:pic>
      <xdr:nvPicPr>
        <xdr:cNvPr id="2" name="irc_mi" descr="DESE 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929188" y="634966"/>
          <a:ext cx="1828800" cy="385280"/>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4939</xdr:colOff>
      <xdr:row>30</xdr:row>
      <xdr:rowOff>4938</xdr:rowOff>
    </xdr:from>
    <xdr:to>
      <xdr:col>10</xdr:col>
      <xdr:colOff>1205089</xdr:colOff>
      <xdr:row>40</xdr:row>
      <xdr:rowOff>126999</xdr:rowOff>
    </xdr:to>
    <xdr:graphicFrame macro="">
      <xdr:nvGraphicFramePr>
        <xdr:cNvPr id="3" name="Chart 6" descr="Fire Year Trend of Foundation Budget, Required District Contribution, and C70 Aid">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349251</xdr:colOff>
      <xdr:row>3</xdr:row>
      <xdr:rowOff>21167</xdr:rowOff>
    </xdr:from>
    <xdr:to>
      <xdr:col>10</xdr:col>
      <xdr:colOff>766234</xdr:colOff>
      <xdr:row>5</xdr:row>
      <xdr:rowOff>67780</xdr:rowOff>
    </xdr:to>
    <xdr:pic>
      <xdr:nvPicPr>
        <xdr:cNvPr id="4" name="irc_mi" descr="DESE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0075334" y="666750"/>
          <a:ext cx="1828800" cy="378930"/>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xdr:from>
      <xdr:col>9</xdr:col>
      <xdr:colOff>722538</xdr:colOff>
      <xdr:row>17</xdr:row>
      <xdr:rowOff>57150</xdr:rowOff>
    </xdr:from>
    <xdr:to>
      <xdr:col>27</xdr:col>
      <xdr:colOff>313764</xdr:colOff>
      <xdr:row>40</xdr:row>
      <xdr:rowOff>104775</xdr:rowOff>
    </xdr:to>
    <xdr:graphicFrame macro="">
      <xdr:nvGraphicFramePr>
        <xdr:cNvPr id="4" name="Chart 3" descr="A bar graph that shows how effort reductions for above effort communities and additional increments for below efforrt communities have brought cities and towns down to and up to their contribution targets over time. This graph displays data from FY07 to FY20.">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1904</xdr:colOff>
      <xdr:row>46</xdr:row>
      <xdr:rowOff>38101</xdr:rowOff>
    </xdr:from>
    <xdr:to>
      <xdr:col>27</xdr:col>
      <xdr:colOff>352185</xdr:colOff>
      <xdr:row>63</xdr:row>
      <xdr:rowOff>56029</xdr:rowOff>
    </xdr:to>
    <xdr:graphicFrame macro="">
      <xdr:nvGraphicFramePr>
        <xdr:cNvPr id="5" name="Chart 4" descr="This is a bar graph that shows total aid above target and below target from FY07 to FY20.">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657412</xdr:colOff>
      <xdr:row>11</xdr:row>
      <xdr:rowOff>7472</xdr:rowOff>
    </xdr:from>
    <xdr:to>
      <xdr:col>34</xdr:col>
      <xdr:colOff>385707</xdr:colOff>
      <xdr:row>37</xdr:row>
      <xdr:rowOff>38101</xdr:rowOff>
    </xdr:to>
    <xdr:graphicFrame macro="">
      <xdr:nvGraphicFramePr>
        <xdr:cNvPr id="6" name="Chart 5" descr="This is a scatterplot that compares FY20 required contribution percentages with target contribution percentages. While some communities are still below target, there are no communities with required contributions above target.">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664883</xdr:colOff>
      <xdr:row>41</xdr:row>
      <xdr:rowOff>119530</xdr:rowOff>
    </xdr:from>
    <xdr:to>
      <xdr:col>34</xdr:col>
      <xdr:colOff>481852</xdr:colOff>
      <xdr:row>68</xdr:row>
      <xdr:rowOff>89647</xdr:rowOff>
    </xdr:to>
    <xdr:graphicFrame macro="">
      <xdr:nvGraphicFramePr>
        <xdr:cNvPr id="7" name="Chart 6" descr="This is a scatterplot that compares FY20 Chapter 70 aid as a percent of foundation with target aid percentages. There are no districts with aid below target, but there are a number of districts that receive aid above target.">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4</xdr:col>
          <xdr:colOff>114300</xdr:colOff>
          <xdr:row>24</xdr:row>
          <xdr:rowOff>142875</xdr:rowOff>
        </xdr:from>
        <xdr:to>
          <xdr:col>7</xdr:col>
          <xdr:colOff>200025</xdr:colOff>
          <xdr:row>30</xdr:row>
          <xdr:rowOff>104775</xdr:rowOff>
        </xdr:to>
        <xdr:sp macro="" textlink="">
          <xdr:nvSpPr>
            <xdr:cNvPr id="14350" name="Button 14" descr="Recalibrate eqv and income percentages, if foundation or statewide target changes." hidden="1">
              <a:extLst>
                <a:ext uri="{63B3BB69-23CF-44E3-9099-C40C66FF867C}">
                  <a14:compatExt spid="_x0000_s14350"/>
                </a:ext>
                <a:ext uri="{FF2B5EF4-FFF2-40B4-BE49-F238E27FC236}">
                  <a16:creationId xmlns:a16="http://schemas.microsoft.com/office/drawing/2014/main" id="{00000000-0008-0000-0800-00000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Recalibrate eqv and income percentages, if foundation or statewide target changes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7</xdr:col>
      <xdr:colOff>760880</xdr:colOff>
      <xdr:row>1</xdr:row>
      <xdr:rowOff>21341</xdr:rowOff>
    </xdr:from>
    <xdr:to>
      <xdr:col>9</xdr:col>
      <xdr:colOff>475764</xdr:colOff>
      <xdr:row>2</xdr:row>
      <xdr:rowOff>209402</xdr:rowOff>
    </xdr:to>
    <xdr:pic>
      <xdr:nvPicPr>
        <xdr:cNvPr id="2" name="irc_mi" descr="DESE Logo">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5529730" y="84841"/>
          <a:ext cx="1834324" cy="384911"/>
        </a:xfrm>
        <a:prstGeom prst="rect">
          <a:avLst/>
        </a:prstGeom>
        <a:noFill/>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529034</xdr:colOff>
      <xdr:row>0</xdr:row>
      <xdr:rowOff>110161</xdr:rowOff>
    </xdr:from>
    <xdr:to>
      <xdr:col>13</xdr:col>
      <xdr:colOff>555946</xdr:colOff>
      <xdr:row>2</xdr:row>
      <xdr:rowOff>47624</xdr:rowOff>
    </xdr:to>
    <xdr:pic>
      <xdr:nvPicPr>
        <xdr:cNvPr id="2" name="irc_mi" descr="DESE Logo">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2124134" y="110161"/>
          <a:ext cx="1614412" cy="337513"/>
        </a:xfrm>
        <a:prstGeom prst="rect">
          <a:avLst/>
        </a:prstGeom>
        <a:noFill/>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106137</xdr:colOff>
      <xdr:row>35</xdr:row>
      <xdr:rowOff>138790</xdr:rowOff>
    </xdr:from>
    <xdr:to>
      <xdr:col>14</xdr:col>
      <xdr:colOff>106135</xdr:colOff>
      <xdr:row>64</xdr:row>
      <xdr:rowOff>13606</xdr:rowOff>
    </xdr:to>
    <xdr:graphicFrame macro="">
      <xdr:nvGraphicFramePr>
        <xdr:cNvPr id="3" name="Chart 2" descr="FY19 Foundation Buddget Rates (Inflation set at 2.64%)">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122464</xdr:colOff>
      <xdr:row>1</xdr:row>
      <xdr:rowOff>104323</xdr:rowOff>
    </xdr:from>
    <xdr:to>
      <xdr:col>13</xdr:col>
      <xdr:colOff>802965</xdr:colOff>
      <xdr:row>3</xdr:row>
      <xdr:rowOff>119743</xdr:rowOff>
    </xdr:to>
    <xdr:pic>
      <xdr:nvPicPr>
        <xdr:cNvPr id="5" name="irc_mi" descr="DESE Logo">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2709071" y="362859"/>
          <a:ext cx="2183637" cy="467178"/>
        </a:xfrm>
        <a:prstGeom prst="rect">
          <a:avLst/>
        </a:prstGeom>
        <a:noFill/>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yan, Meghan (DESE)" refreshedDate="45497.701889814816" createdVersion="8" refreshedVersion="8" minRefreshableVersion="3" recordCount="1756" xr:uid="{0EB8C2BE-5551-48A4-BA22-97F466FB5CC0}">
  <cacheSource type="worksheet">
    <worksheetSource ref="E9:S1765" sheet="localcont"/>
  </cacheSource>
  <cacheFields count="15">
    <cacheField name="Town" numFmtId="0">
      <sharedItems containsSemiMixedTypes="0" containsString="0" containsNumber="1" containsInteger="1" minValue="1" maxValue="999" count="35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999"/>
      </sharedItems>
    </cacheField>
    <cacheField name="City or Town" numFmtId="0">
      <sharedItems containsBlank="1" count="356">
        <s v="Abington                     "/>
        <s v=""/>
        <s v="Acton                        "/>
        <s v="Acushnet                     "/>
        <s v="Adams                        "/>
        <s v="Agawam                       "/>
        <s v="Alford                       "/>
        <s v="Amesbury                     "/>
        <s v="Amherst                      "/>
        <s v="Andover                      "/>
        <s v="Arlington                    "/>
        <s v="Ashburnham                   "/>
        <s v="Ashby                        "/>
        <s v="Ashfield                     "/>
        <s v="Ashland                      "/>
        <s v="Athol                        "/>
        <s v="Attleboro                    "/>
        <s v="Auburn                       "/>
        <s v="Avon                         "/>
        <s v="Ayer                         "/>
        <s v="Barnstable                   "/>
        <s v="Barre                        "/>
        <s v="Becket                       "/>
        <s v="Bedford                      "/>
        <s v="Belchertown                  "/>
        <s v="Bellingham                   "/>
        <s v="Belmont                      "/>
        <m/>
        <s v="Berkley                      "/>
        <s v="Berlin                       "/>
        <s v="Bernardston                  "/>
        <s v="Beverly                      "/>
        <s v="Billerica                    "/>
        <s v="Blackstone                   "/>
        <s v="Blandford                    "/>
        <s v="Bolton                       "/>
        <s v="Boston                       "/>
        <s v="Bourne                       "/>
        <s v="Boxborough                   "/>
        <s v="Boxborough"/>
        <s v="Boxford"/>
        <s v="Boxford                      "/>
        <s v="Boylston                     "/>
        <s v="Braintree                    "/>
        <s v="Brewster                     "/>
        <s v="Bridgewater                  "/>
        <s v="Brimfield                    "/>
        <s v="Brockton                     "/>
        <s v="Brookfield                   "/>
        <s v="Brookline                    "/>
        <s v="Buckland                     "/>
        <s v="Burlington                   "/>
        <s v="Cambridge                    "/>
        <s v="Canton                       "/>
        <s v="Carlisle                     "/>
        <s v="Carver                       "/>
        <s v="Charlemont                   "/>
        <s v="Charlton                     "/>
        <s v="Chatham                      "/>
        <s v="Chelmsford                   "/>
        <s v="Chelsea                      "/>
        <s v="Cheshire                     "/>
        <s v="Chester                      "/>
        <s v="Chesterfield                 "/>
        <s v="Chicopee                     "/>
        <s v="Chilmark                     "/>
        <s v="Clarksburg                   "/>
        <s v="Clinton                      "/>
        <s v="Cohasset                     "/>
        <s v="Colrain                      "/>
        <s v="Concord                      "/>
        <s v="Conway                       "/>
        <s v="Cummington                   "/>
        <s v="Dalton                       "/>
        <s v="Danvers                      "/>
        <s v="Dartmouth                    "/>
        <s v="Dedham                       "/>
        <s v="Deerfield                    "/>
        <s v="Dennis                       "/>
        <s v="Dighton                      "/>
        <s v="Douglas                      "/>
        <s v="Dover                        "/>
        <s v="Dracut                       "/>
        <s v="Dudley                       "/>
        <s v="Dunstable                    "/>
        <s v="Duxbury                      "/>
        <s v="East Bridgewater             "/>
        <s v="East Brookfield              "/>
        <s v="Eastham                      "/>
        <s v="Easthampton                  "/>
        <s v="East Longmeadow              "/>
        <s v="Easton                       "/>
        <s v="Edgartown                    "/>
        <s v="Egremont                     "/>
        <s v="Erving                       "/>
        <s v="Essex                        "/>
        <s v="Everett                      "/>
        <s v="Fairhaven                    "/>
        <s v="Fall River                   "/>
        <s v="Falmouth                     "/>
        <s v="Fitchburg                    "/>
        <s v="Florida                      "/>
        <s v="Foxborough                   "/>
        <s v="Framingham                   "/>
        <s v="Franklin                     "/>
        <s v="Freetown                     "/>
        <s v="Gardner                      "/>
        <s v="Aquinnah"/>
        <s v="Georgetown                   "/>
        <s v="Gill                         "/>
        <s v="Gloucester                   "/>
        <s v="Goshen                       "/>
        <s v="Gosnold                      "/>
        <s v="Grafton                      "/>
        <s v="Granby                       "/>
        <s v="Granville                    "/>
        <s v="Great Barrington             "/>
        <s v="Greenfield                   "/>
        <s v="Groton                       "/>
        <s v="Groveland                    "/>
        <s v="Hadley                       "/>
        <s v="Halifax                      "/>
        <s v="Hamilton                     "/>
        <s v="Hampden                      "/>
        <s v="Hancock                      "/>
        <s v="Hanover                      "/>
        <s v="Hanson                       "/>
        <s v="Hardwick                     "/>
        <s v="Harvard                      "/>
        <s v="Harwich                      "/>
        <s v="Hatfield                     "/>
        <s v="Haverhill                    "/>
        <s v="Hawley                       "/>
        <s v="Heath                        "/>
        <s v="Hingham                      "/>
        <s v="Hinsdale                     "/>
        <s v="Holbrook                     "/>
        <s v="Holden                       "/>
        <s v="Holland                      "/>
        <s v="Holliston                    "/>
        <s v="Holyoke                      "/>
        <s v="Hopedale                     "/>
        <s v="Hopkinton                    "/>
        <s v="Hubbardston                  "/>
        <s v="Hudson                       "/>
        <s v="Hull                         "/>
        <s v="Huntington                   "/>
        <s v="Ipswich                      "/>
        <s v="Kingston                     "/>
        <s v="Lakeville                    "/>
        <s v="Lancaster                    "/>
        <s v="Lanesborough                 "/>
        <s v="Lawrence                     "/>
        <s v="Lee                          "/>
        <s v="Leicester                    "/>
        <s v="Lenox                        "/>
        <s v="Leominster                   "/>
        <s v="Leverett                     "/>
        <s v="Lexington                    "/>
        <s v="Leyden                       "/>
        <s v="Lincoln                      "/>
        <s v="Littleton                    "/>
        <s v="Longmeadow                   "/>
        <s v="Lowell                       "/>
        <s v="Ludlow                       "/>
        <s v="Lunenburg                    "/>
        <s v="Lynn                         "/>
        <s v="Lynnfield                    "/>
        <s v="Malden                       "/>
        <s v="Manchester                   "/>
        <s v="Mansfield                    "/>
        <s v="Marblehead                   "/>
        <s v="Marion                       "/>
        <s v="Marlborough                  "/>
        <s v="Marshfield                   "/>
        <s v="Mashpee                      "/>
        <s v="Mattapoisett                 "/>
        <s v="Maynard                      "/>
        <s v="Medfield                     "/>
        <s v="Medford                      "/>
        <s v="Medway                       "/>
        <s v="Melrose                      "/>
        <s v="Mendon                       "/>
        <s v="Merrimac                     "/>
        <s v="Methuen                      "/>
        <s v="Middleborough                "/>
        <s v="Middlefield                  "/>
        <s v="Middleton                    "/>
        <s v="Milford                      "/>
        <s v="Millbury                     "/>
        <s v="Millis                       "/>
        <s v="Millville                    "/>
        <s v="Milton                       "/>
        <s v="Monroe                       "/>
        <s v="Monson                       "/>
        <s v="Montague                     "/>
        <s v="Monterey                     "/>
        <s v="Montgomery                   "/>
        <s v="Mount Washington             "/>
        <s v="Nahant                       "/>
        <s v="Nantucket                    "/>
        <s v="Natick                       "/>
        <s v="Needham                      "/>
        <s v="New Ashford                  "/>
        <s v="New Bedford                  "/>
        <s v="New Braintree                "/>
        <s v="Newbury                      "/>
        <s v="Newburyport                  "/>
        <s v="New Marlborough              "/>
        <s v="New Salem                    "/>
        <s v="Newton                       "/>
        <s v="Norfolk                      "/>
        <s v="North Adams                  "/>
        <s v="Northampton                  "/>
        <s v="North Andover                "/>
        <s v="North Attleborough           "/>
        <s v="Northborough                 "/>
        <s v="Northbridge                  "/>
        <s v="North Brookfield             "/>
        <s v="Northfield                   "/>
        <s v="North Reading                "/>
        <s v="Norton                       "/>
        <s v="Norwell                      "/>
        <s v="Norwood                      "/>
        <s v="Oak Bluffs                   "/>
        <s v="Oakham                       "/>
        <s v="Orange                       "/>
        <s v="Orleans                      "/>
        <s v="Otis                         "/>
        <s v="Oxford                       "/>
        <s v="Palmer                       "/>
        <s v="Paxton                       "/>
        <s v="Peabody                      "/>
        <s v="Pelham                       "/>
        <s v="Pembroke                     "/>
        <s v="Pepperell                    "/>
        <s v="Peru                         "/>
        <s v="Petersham                    "/>
        <s v="Phillipston                  "/>
        <s v="Pittsfield                   "/>
        <s v="Plainfield                   "/>
        <s v="Plainville                   "/>
        <s v="Plymouth                     "/>
        <s v="Plympton                     "/>
        <s v="Princeton                    "/>
        <s v="Provincetown                 "/>
        <s v="Quincy                       "/>
        <s v="Randolph                     "/>
        <s v="Raynham                      "/>
        <s v="Reading                      "/>
        <s v="Rehoboth                     "/>
        <s v="Revere                       "/>
        <s v="Richmond                     "/>
        <s v="Rochester                    "/>
        <s v="Rockland                     "/>
        <s v="Rockport                     "/>
        <s v="Rowe                         "/>
        <s v="Rowley                       "/>
        <s v="Royalston                    "/>
        <s v="Russell                      "/>
        <s v="Rutland                      "/>
        <s v="Salem                        "/>
        <s v="Salisbury                    "/>
        <s v="Sandisfield                  "/>
        <s v="Sandwich                     "/>
        <s v="Saugus                       "/>
        <s v="Savoy                        "/>
        <s v="Scituate                     "/>
        <s v="Seekonk                      "/>
        <s v="Sharon                       "/>
        <s v="Sheffield                    "/>
        <s v="Shelburne                    "/>
        <s v="Sherborn                     "/>
        <s v="Shirley                      "/>
        <s v="Shrewsbury                   "/>
        <s v="Shutesbury                   "/>
        <s v="Somerset                     "/>
        <s v="Somerville                   "/>
        <s v="Southampton                  "/>
        <s v="Southborough                 "/>
        <s v="Southbridge                  "/>
        <s v="South Hadley                 "/>
        <s v="Southwick                    "/>
        <s v="Spencer                      "/>
        <s v="Springfield                  "/>
        <s v="Sterling                     "/>
        <s v="Stockbridge                  "/>
        <s v="Stoneham                     "/>
        <s v="Stoughton                    "/>
        <s v="Stow                         "/>
        <s v="Sturbridge                   "/>
        <s v="Sudbury                      "/>
        <s v="Sunderland                   "/>
        <s v="Sutton                       "/>
        <s v="Swampscott                   "/>
        <s v="Swansea                      "/>
        <s v="Taunton                      "/>
        <s v="Templeton                    "/>
        <s v="Tewksbury                    "/>
        <s v="Tisbury                      "/>
        <s v="Tolland                      "/>
        <s v="Topsfield                    "/>
        <s v="Townsend                     "/>
        <s v="Truro                        "/>
        <s v="Tyngsborough                 "/>
        <s v="Tyringham                    "/>
        <s v="Upton                        "/>
        <s v="Uxbridge                     "/>
        <s v="Wakefield                    "/>
        <s v="Wales                        "/>
        <s v="Walpole                      "/>
        <s v="Waltham                      "/>
        <s v="Ware                         "/>
        <s v="Wareham                      "/>
        <s v="Warren                       "/>
        <s v="Warwick                      "/>
        <s v="Washington                   "/>
        <s v="Watertown                    "/>
        <s v="Wayland                      "/>
        <s v="Webster                      "/>
        <s v="Wellesley                    "/>
        <s v="Wellfleet                    "/>
        <s v="Wendell                      "/>
        <s v="Wenham                       "/>
        <s v="Westborough                  "/>
        <s v="West Boylston                "/>
        <s v="West Bridgewater             "/>
        <s v="West Brookfield              "/>
        <s v="Westfield                    "/>
        <s v="Westford                     "/>
        <s v="Westhampton                  "/>
        <s v="Westminster                  "/>
        <s v="West Newbury                 "/>
        <s v="Weston                       "/>
        <s v="Westport                     "/>
        <s v="West Springfield             "/>
        <s v="West Stockbridge             "/>
        <s v="West Tisbury                 "/>
        <s v="Westwood                     "/>
        <s v="Weymouth                     "/>
        <s v="Whately                      "/>
        <s v="Whitman                      "/>
        <s v="Wilbraham                    "/>
        <s v="Williamsburg                 "/>
        <s v="Williamstown                 "/>
        <s v="Wilmington                   "/>
        <s v="Winchendon                   "/>
        <s v="Winchester                   "/>
        <s v="Windsor                      "/>
        <s v="Winthrop                     "/>
        <s v="Woburn"/>
        <s v="Worcester                    "/>
        <s v="Worthington                  "/>
        <s v="Wrentham                     "/>
        <s v="Yarmouth                     "/>
        <s v="State Total"/>
      </sharedItems>
    </cacheField>
    <cacheField name="LEA" numFmtId="0">
      <sharedItems containsSemiMixedTypes="0" containsString="0" containsNumber="1" containsInteger="1" minValue="1" maxValue="999" count="440">
        <n v="1"/>
        <n v="873"/>
        <n v="998"/>
        <n v="999"/>
        <n v="2"/>
        <n v="600"/>
        <n v="830"/>
        <n v="3"/>
        <n v="855"/>
        <n v="910"/>
        <n v="4"/>
        <n v="603"/>
        <n v="851"/>
        <n v="5"/>
        <n v="6"/>
        <n v="765"/>
        <n v="7"/>
        <n v="885"/>
        <n v="8"/>
        <n v="605"/>
        <n v="9"/>
        <n v="823"/>
        <n v="10"/>
        <n v="11"/>
        <n v="610"/>
        <n v="832"/>
        <n v="12"/>
        <n v="735"/>
        <n v="13"/>
        <n v="717"/>
        <n v="14"/>
        <n v="829"/>
        <n v="15"/>
        <n v="615"/>
        <n v="16"/>
        <n v="17"/>
        <n v="876"/>
        <n v="18"/>
        <n v="806"/>
        <n v="915"/>
        <n v="19"/>
        <n v="616"/>
        <n v="852"/>
        <n v="20"/>
        <n v="815"/>
        <n v="21"/>
        <n v="753"/>
        <n v="22"/>
        <n v="635"/>
        <n v="23"/>
        <n v="871"/>
        <n v="24"/>
        <n v="860"/>
        <n v="25"/>
        <n v="805"/>
        <n v="26"/>
        <n v="27"/>
        <n v="763"/>
        <n v="810"/>
        <n v="28"/>
        <n v="620"/>
        <n v="801"/>
        <n v="29"/>
        <n v="750"/>
        <n v="818"/>
        <n v="30"/>
        <n v="817"/>
        <n v="31"/>
        <n v="32"/>
        <n v="622"/>
        <n v="33"/>
        <n v="672"/>
        <n v="34"/>
        <n v="725"/>
        <n v="35"/>
        <n v="36"/>
        <n v="879"/>
        <n v="37"/>
        <n v="38"/>
        <n v="705"/>
        <n v="39"/>
        <n v="40"/>
        <n v="41"/>
        <n v="660"/>
        <n v="42"/>
        <n v="625"/>
        <n v="43"/>
        <n v="770"/>
        <n v="44"/>
        <n v="872"/>
        <n v="45"/>
        <n v="46"/>
        <n v="47"/>
        <n v="48"/>
        <n v="49"/>
        <n v="50"/>
        <n v="51"/>
        <n v="640"/>
        <n v="52"/>
        <n v="53"/>
        <n v="685"/>
        <n v="54"/>
        <n v="658"/>
        <n v="55"/>
        <n v="712"/>
        <n v="56"/>
        <n v="57"/>
        <n v="853"/>
        <n v="58"/>
        <n v="59"/>
        <n v="60"/>
        <n v="632"/>
        <n v="683"/>
        <n v="61"/>
        <n v="62"/>
        <n v="700"/>
        <n v="774"/>
        <n v="63"/>
        <n v="64"/>
        <n v="65"/>
        <n v="66"/>
        <n v="67"/>
        <n v="68"/>
        <n v="670"/>
        <n v="69"/>
        <n v="70"/>
        <n v="71"/>
        <n v="72"/>
        <n v="825"/>
        <n v="73"/>
        <n v="74"/>
        <n v="75"/>
        <n v="645"/>
        <n v="76"/>
        <n v="650"/>
        <n v="77"/>
        <n v="78"/>
        <n v="655"/>
        <n v="79"/>
        <n v="828"/>
        <n v="80"/>
        <n v="81"/>
        <n v="673"/>
        <n v="82"/>
        <n v="83"/>
        <n v="84"/>
        <n v="767"/>
        <n v="85"/>
        <n v="86"/>
        <n v="87"/>
        <n v="88"/>
        <n v="89"/>
        <n v="90"/>
        <n v="91"/>
        <n v="92"/>
        <n v="698"/>
        <n v="93"/>
        <n v="94"/>
        <n v="95"/>
        <n v="821"/>
        <n v="96"/>
        <n v="97"/>
        <n v="98"/>
        <n v="99"/>
        <n v="100"/>
        <n v="101"/>
        <n v="878"/>
        <n v="102"/>
        <n v="665"/>
        <n v="103"/>
        <n v="104"/>
        <n v="105"/>
        <n v="106"/>
        <n v="674"/>
        <n v="107"/>
        <n v="108"/>
        <n v="109"/>
        <n v="110"/>
        <n v="111"/>
        <n v="112"/>
        <n v="766"/>
        <n v="113"/>
        <n v="618"/>
        <n v="114"/>
        <n v="115"/>
        <n v="116"/>
        <n v="745"/>
        <n v="117"/>
        <n v="118"/>
        <n v="760"/>
        <n v="119"/>
        <n v="675"/>
        <n v="120"/>
        <n v="680"/>
        <n v="121"/>
        <n v="122"/>
        <n v="123"/>
        <n v="780"/>
        <n v="124"/>
        <n v="125"/>
        <n v="126"/>
        <n v="127"/>
        <n v="128"/>
        <n v="129"/>
        <n v="130"/>
        <n v="131"/>
        <n v="132"/>
        <n v="133"/>
        <n v="134"/>
        <n v="775"/>
        <n v="135"/>
        <n v="136"/>
        <n v="137"/>
        <n v="138"/>
        <n v="139"/>
        <n v="140"/>
        <n v="141"/>
        <n v="142"/>
        <n v="143"/>
        <n v="144"/>
        <n v="145"/>
        <n v="146"/>
        <n v="147"/>
        <n v="148"/>
        <n v="715"/>
        <n v="149"/>
        <n v="150"/>
        <n v="151"/>
        <n v="152"/>
        <n v="153"/>
        <n v="154"/>
        <n v="155"/>
        <n v="156"/>
        <n v="157"/>
        <n v="695"/>
        <n v="158"/>
        <n v="159"/>
        <n v="160"/>
        <n v="161"/>
        <n v="162"/>
        <n v="163"/>
        <n v="164"/>
        <n v="165"/>
        <n v="166"/>
        <n v="167"/>
        <n v="168"/>
        <n v="169"/>
        <n v="740"/>
        <n v="170"/>
        <n v="171"/>
        <n v="172"/>
        <n v="173"/>
        <n v="174"/>
        <n v="175"/>
        <n v="176"/>
        <n v="177"/>
        <n v="178"/>
        <n v="179"/>
        <n v="710"/>
        <n v="180"/>
        <n v="181"/>
        <n v="182"/>
        <n v="183"/>
        <n v="184"/>
        <n v="185"/>
        <n v="186"/>
        <n v="187"/>
        <n v="188"/>
        <n v="189"/>
        <n v="190"/>
        <n v="191"/>
        <n v="192"/>
        <n v="193"/>
        <n v="194"/>
        <n v="195"/>
        <n v="196"/>
        <n v="197"/>
        <n v="198"/>
        <n v="199"/>
        <n v="200"/>
        <n v="201"/>
        <n v="202"/>
        <n v="203"/>
        <n v="773"/>
        <n v="204"/>
        <n v="205"/>
        <n v="206"/>
        <n v="728"/>
        <n v="755"/>
        <n v="207"/>
        <n v="208"/>
        <n v="690"/>
        <n v="209"/>
        <n v="210"/>
        <n v="406"/>
        <n v="211"/>
        <n v="212"/>
        <n v="213"/>
        <n v="730"/>
        <n v="214"/>
        <n v="215"/>
        <n v="216"/>
        <n v="217"/>
        <n v="218"/>
        <n v="219"/>
        <n v="220"/>
        <n v="221"/>
        <n v="222"/>
        <n v="223"/>
        <n v="224"/>
        <n v="225"/>
        <n v="662"/>
        <n v="226"/>
        <n v="227"/>
        <n v="228"/>
        <n v="229"/>
        <n v="230"/>
        <n v="231"/>
        <n v="232"/>
        <n v="233"/>
        <n v="234"/>
        <n v="235"/>
        <n v="720"/>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778"/>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sharedItems>
    </cacheField>
    <cacheField name="School District" numFmtId="0">
      <sharedItems containsBlank="1" count="443">
        <s v="Abington"/>
        <s v="South Shore"/>
        <s v=""/>
        <s v="Total"/>
        <s v="Acton"/>
        <s v="Acton Boxborough"/>
        <s v="Minuteman"/>
        <s v="Acushnet"/>
        <s v="Old Colony"/>
        <s v="Bristol County"/>
        <s v="Adams"/>
        <s v="Hoosac Valley"/>
        <s v="Northern Berkshire"/>
        <s v="Agawam"/>
        <s v="Alford"/>
        <s v="Southern Berkshire"/>
        <s v="Amesbury"/>
        <s v="Whittier"/>
        <m/>
        <s v="Amherst"/>
        <s v="Amherst Pelham"/>
        <s v="Andover"/>
        <s v="Greater Lawrence"/>
        <s v="Arlington"/>
        <s v="Ashburnham"/>
        <s v="Ashburnham Westminster"/>
        <s v="Montachusett"/>
        <s v="Ashby"/>
        <s v="North Middlesex"/>
        <s v="Ashfield"/>
        <s v="Mohawk Trail"/>
        <s v="Ashland"/>
        <s v="South Middlesex"/>
        <s v="Athol"/>
        <s v="Athol Royalston"/>
        <s v="Attleboro"/>
        <s v="Auburn"/>
        <s v="Southern Worcester"/>
        <s v="Avon"/>
        <s v="Blue Hills"/>
        <s v="Norfolk County"/>
        <s v="Ayer"/>
        <s v="Ayer Shirley"/>
        <s v="Nashoba Valley"/>
        <s v="Barnstable"/>
        <s v="Cape Cod"/>
        <s v="Barre"/>
        <s v="Quabbin"/>
        <s v="Becket"/>
        <s v="Central Berkshire"/>
        <s v="Bedford"/>
        <s v="Shawsheen Valley"/>
        <s v="Belchertown"/>
        <s v="Pathfinder"/>
        <s v="Bellingham"/>
        <s v="Blackstone Valley"/>
        <s v="Belmont"/>
        <s v="Berkley"/>
        <s v="Somerset Berkley"/>
        <s v="Bristol Plymouth"/>
        <s v="Berlin"/>
        <s v="Berlin Boylston"/>
        <s v="Assabet Valley"/>
        <s v="Bernardston"/>
        <s v="Pioneer"/>
        <s v="Franklin County"/>
        <s v="Beverly"/>
        <s v="Essex North Shore"/>
        <s v="Billerica"/>
        <s v="Blackstone"/>
        <s v="Blackstone Millville"/>
        <s v="Blandford"/>
        <s v="Gateway"/>
        <s v="Bolton"/>
        <s v="Nashoba"/>
        <s v="Boston"/>
        <s v="Bourne"/>
        <s v="Upper Cape Cod"/>
        <s v="Boxborough"/>
        <s v="Boxford"/>
        <s v="Masconomet"/>
        <s v="Boylston"/>
        <s v="Braintree"/>
        <s v="Brewster"/>
        <s v="Nauset"/>
        <s v="Bridgewater"/>
        <s v="Bridgewater Raynham"/>
        <s v="Brimfield"/>
        <s v="Tantasqua"/>
        <s v="Brockton"/>
        <s v="Southeastern"/>
        <s v="Brookfield"/>
        <s v="Brookline"/>
        <s v="Buckland"/>
        <s v="Burlington"/>
        <s v="Cambridge"/>
        <s v="Canton"/>
        <s v="Carlisle"/>
        <s v="Concord Carlisle"/>
        <s v="Carver"/>
        <s v="Charlemont"/>
        <s v="Hawlemont"/>
        <s v="Charlton"/>
        <s v="Dudley Charlton"/>
        <s v="Chatham"/>
        <s v="Monomoy"/>
        <s v="Chelmsford"/>
        <s v="Chelsea"/>
        <s v="Northeast Metropolitan"/>
        <s v="Cheshire"/>
        <s v="Chester"/>
        <s v="Chesterfield"/>
        <s v="Chesterfield Goshen"/>
        <s v="Hampshire"/>
        <s v="Chicopee"/>
        <s v="Chilmark"/>
        <s v="Marthas Vineyard"/>
        <s v="Upisland"/>
        <s v="Clarksburg"/>
        <s v="Clinton"/>
        <s v="Cohasset"/>
        <s v="Colrain"/>
        <s v="Concord"/>
        <s v="Conway"/>
        <s v="Frontier"/>
        <s v="Cummington"/>
        <s v="Dalton"/>
        <s v="Danvers"/>
        <s v="Dartmouth"/>
        <s v="Greater New Bedford"/>
        <s v="Dedham"/>
        <s v="Deerfield"/>
        <s v="Dennis"/>
        <s v="Dennis Yarmouth"/>
        <s v="Dighton"/>
        <s v="Dighton Rehoboth"/>
        <s v="Douglas"/>
        <s v="Dover"/>
        <s v="Dover Sherborn"/>
        <s v="Dracut"/>
        <s v="Greater Lowell"/>
        <s v="Dudley"/>
        <s v="Dunstable"/>
        <s v="Groton Dunstable"/>
        <s v="Duxbury"/>
        <s v="East Bridgewater"/>
        <s v="East Brookfield"/>
        <s v="Spencer East Brookfield"/>
        <s v="Eastham"/>
        <s v="Easthampton"/>
        <s v="East Longmeadow"/>
        <s v="Easton"/>
        <s v="Edgartown"/>
        <s v="Egremont"/>
        <s v="Erving"/>
        <s v="Essex"/>
        <s v="Manchester Essex"/>
        <s v="Everett"/>
        <s v="Fairhaven"/>
        <s v="Fall River"/>
        <s v="Greater Fall River"/>
        <s v="Falmouth"/>
        <s v="Fitchburg"/>
        <s v="Florida"/>
        <s v="Foxborough"/>
        <s v="Framingham"/>
        <s v="Franklin"/>
        <s v="Tri County"/>
        <s v="Freetown"/>
        <s v="Freetown Lakeville"/>
        <s v="Gardner"/>
        <s v="Aquinnah"/>
        <s v="Georgetown"/>
        <s v="Gill"/>
        <s v="Gill Montague"/>
        <s v="Gloucester"/>
        <s v="Goshen"/>
        <s v="Gosnold"/>
        <s v="Grafton"/>
        <s v="Granby"/>
        <s v="Granville"/>
        <s v="Southwick Tolland Granville"/>
        <s v="Great Barrington"/>
        <s v="Berkshire Hills"/>
        <s v="Greenfield"/>
        <s v="Groton"/>
        <s v="Groveland"/>
        <s v="Pentucket"/>
        <s v="Hadley"/>
        <s v="Halifax"/>
        <s v="Silver Lake"/>
        <s v="Hamilton"/>
        <s v="Hamilton Wenham"/>
        <s v="Hampden"/>
        <s v="Hampden Wilbraham"/>
        <s v="Hancock"/>
        <s v="Hanover"/>
        <s v="Hanson"/>
        <s v="Whitman Hanson"/>
        <s v="Hardwick"/>
        <s v="Harvard"/>
        <s v="Harwich"/>
        <s v="Hatfield"/>
        <s v="Haverhill"/>
        <s v="Hawley"/>
        <s v="Heath"/>
        <s v="Hingham"/>
        <s v="Hinsdale"/>
        <s v="Holbrook"/>
        <s v="Holden"/>
        <s v="Wachusett"/>
        <s v="Holland"/>
        <s v="Holliston"/>
        <s v="Holyoke"/>
        <s v="Hopedale"/>
        <s v="Hopkinton"/>
        <s v="Hubbardston"/>
        <s v="Hudson"/>
        <s v="Hull"/>
        <s v="Huntington"/>
        <s v="Ipswich"/>
        <s v="Kingston"/>
        <s v="Lakeville"/>
        <s v="Lancaster"/>
        <s v="Lanesborough"/>
        <s v="Mount Greylock"/>
        <s v="Lawrence"/>
        <s v="Lee"/>
        <s v="Leicester"/>
        <s v="Lenox"/>
        <s v="Leominster"/>
        <s v="Leverett"/>
        <s v="Lexington"/>
        <s v="Leyden"/>
        <s v="Lincoln"/>
        <s v="Lincoln Sudbury"/>
        <s v="Littleton"/>
        <s v="Longmeadow"/>
        <s v="Lowell"/>
        <s v="Ludlow"/>
        <s v="Lunenburg"/>
        <s v="Lynn"/>
        <s v="Lynnfield"/>
        <s v="Malden"/>
        <s v="Manchester"/>
        <s v="Mansfield"/>
        <s v="Marblehead"/>
        <s v="Marion"/>
        <s v="Old Rochester"/>
        <s v="Marlborough"/>
        <s v="Marshfield"/>
        <s v="Mashpee"/>
        <s v="Mattapoisett"/>
        <s v="Maynard"/>
        <s v="Medfield"/>
        <s v="Medford"/>
        <s v="Medway"/>
        <s v="Melrose"/>
        <s v="Mendon"/>
        <s v="Mendon Upton"/>
        <s v="Merrimac"/>
        <s v="Methuen"/>
        <s v="Middleborough"/>
        <s v="Middlefield"/>
        <s v="Middleton"/>
        <s v="Milford"/>
        <s v="Millbury"/>
        <s v="Millis"/>
        <s v="Millville"/>
        <s v="Milton"/>
        <s v="Monroe"/>
        <s v="Monson"/>
        <s v="Montague"/>
        <s v="Monterey"/>
        <s v="Montgomery"/>
        <s v="Mount Washington"/>
        <s v="Nahant"/>
        <s v="Nantucket"/>
        <s v="Natick"/>
        <s v="Needham"/>
        <s v="New Ashford"/>
        <s v="New Bedford"/>
        <s v="New Braintree"/>
        <s v="Newbury"/>
        <s v="Triton"/>
        <s v="Newburyport"/>
        <s v="New Marlborough"/>
        <s v="New Salem"/>
        <s v="New Salem Wendell"/>
        <s v="Ralph C Mahar"/>
        <s v="Newton"/>
        <s v="Norfolk"/>
        <s v="King Philip"/>
        <s v="North Adams"/>
        <s v="Northampton"/>
        <s v="Northampton Smith"/>
        <s v="North Andover"/>
        <s v="North Attleborough"/>
        <s v="Northborough"/>
        <s v="Northboro Southboro"/>
        <s v="Northbridge"/>
        <s v="North Brookfield"/>
        <s v="Northfield"/>
        <s v="North Reading"/>
        <s v="Norton"/>
        <s v="Norwell"/>
        <s v="Norwood"/>
        <s v="Oak Bluffs"/>
        <s v="Oakham"/>
        <s v="Orange"/>
        <s v="Orleans"/>
        <s v="Otis"/>
        <s v="Farmington River"/>
        <s v="Oxford"/>
        <s v="Palmer"/>
        <s v="Paxton"/>
        <s v="Peabody"/>
        <s v="Pelham"/>
        <s v="Pembroke"/>
        <s v="Pepperell"/>
        <s v="Peru"/>
        <s v="Petersham"/>
        <s v="Phillipston"/>
        <s v="Narragansett"/>
        <s v="Pittsfield"/>
        <s v="Plainfield"/>
        <s v="Plainville"/>
        <s v="Plymouth"/>
        <s v="Plympton"/>
        <s v="Princeton"/>
        <s v="Provincetown"/>
        <s v="Quincy"/>
        <s v="Randolph"/>
        <s v="Raynham"/>
        <s v="Reading"/>
        <s v="Rehoboth"/>
        <s v="Revere"/>
        <s v="Richmond"/>
        <s v="Rochester"/>
        <s v="Rockland"/>
        <s v="Rockport"/>
        <s v="Rowe"/>
        <s v="Rowley"/>
        <s v="Royalston"/>
        <s v="Russell"/>
        <s v="Rutland"/>
        <s v="Salem"/>
        <s v="Salisbury"/>
        <s v="Sandisfield"/>
        <s v="Sandwich"/>
        <s v="Saugus"/>
        <s v="Savoy"/>
        <s v="Scituate"/>
        <s v="Seekonk"/>
        <s v="Sharon"/>
        <s v="Sheffield"/>
        <s v="Shelburne"/>
        <s v="Sherborn"/>
        <s v="Shirley"/>
        <s v="Shrewsbury"/>
        <s v="Shutesbury"/>
        <s v="Somerset"/>
        <s v="Somerville"/>
        <s v="Southampton"/>
        <s v="Southborough"/>
        <s v="Southbridge"/>
        <s v="South Hadley"/>
        <s v="Southwick"/>
        <s v="Southwick Tolland"/>
        <s v="Spencer"/>
        <s v="Springfield"/>
        <s v="Sterling"/>
        <s v="Stockbridge"/>
        <s v="Stoneham"/>
        <s v="Stoughton"/>
        <s v="Stow"/>
        <s v="Sturbridge"/>
        <s v="Sudbury"/>
        <s v="Sunderland"/>
        <s v="Sutton"/>
        <s v="Swampscott"/>
        <s v="Swansea"/>
        <s v="Taunton"/>
        <s v="Templeton"/>
        <s v="Tewksbury"/>
        <s v="Tisbury"/>
        <s v="Tolland"/>
        <s v="Topsfield"/>
        <s v="Townsend"/>
        <s v="Truro"/>
        <s v="Tyngsborough"/>
        <s v="Tyringham"/>
        <s v="Upton"/>
        <s v="Uxbridge"/>
        <s v="Wakefield"/>
        <s v="Wales"/>
        <s v="Walpole"/>
        <s v="Waltham"/>
        <s v="Ware"/>
        <s v="Wareham"/>
        <s v="Warren"/>
        <s v="Quaboag"/>
        <s v="Warwick"/>
        <s v="Washington"/>
        <s v="Watertown"/>
        <s v="Wayland"/>
        <s v="Webster"/>
        <s v="Wellesley"/>
        <s v="Wellfleet"/>
        <s v="Wendell"/>
        <s v="Wenham"/>
        <s v="Westborough"/>
        <s v="West Boylston"/>
        <s v="West Bridgewater"/>
        <s v="West Brookfield"/>
        <s v="Westfield"/>
        <s v="Westford"/>
        <s v="Westhampton"/>
        <s v="Westminster"/>
        <s v="West Newbury"/>
        <s v="Weston"/>
        <s v="Westport"/>
        <s v="West Springfield"/>
        <s v="West Stockbridge"/>
        <s v="West Tisbury"/>
        <s v="Westwood"/>
        <s v="Weymouth"/>
        <s v="Whately"/>
        <s v="Whitman"/>
        <s v="Wilbraham"/>
        <s v="Williamsburg"/>
        <s v="Williamstown"/>
        <s v="Wilmington"/>
        <s v="Winchendon"/>
        <s v="Winchester"/>
        <s v="Windsor"/>
        <s v="Winthrop"/>
        <s v="Woburn"/>
        <s v="Worcester"/>
        <s v="Worthington"/>
        <s v="Wrentham"/>
        <s v="Yarmouth"/>
        <s v="STATE TOTAL"/>
      </sharedItems>
    </cacheField>
    <cacheField name="Budget24" numFmtId="3">
      <sharedItems containsSemiMixedTypes="0" containsString="0" containsNumber="1" minValue="0" maxValue="13963389872.29413"/>
    </cacheField>
    <cacheField name="Foundation24" numFmtId="0">
      <sharedItems containsString="0" containsBlank="1" containsNumber="1" minValue="0" maxValue="1.0000000000000002"/>
    </cacheField>
    <cacheField name="Budget25" numFmtId="3">
      <sharedItems containsSemiMixedTypes="0" containsString="0" containsNumber="1" minValue="0" maxValue="14535103399.717712"/>
    </cacheField>
    <cacheField name="Foundation25" numFmtId="0">
      <sharedItems containsString="0" containsBlank="1" containsNumber="1" minValue="0" maxValue="1.0000000000000002"/>
    </cacheField>
    <cacheField name="Contribution25" numFmtId="0">
      <sharedItems containsString="0" containsBlank="1" containsNumber="1" containsInteger="1" minValue="0" maxValue="7972055326"/>
    </cacheField>
    <cacheField name="Contribution252" numFmtId="3">
      <sharedItems containsSemiMixedTypes="0" containsString="0" containsNumber="1" containsInteger="1" minValue="0" maxValue="7972055321"/>
    </cacheField>
    <cacheField name="Contribution24" numFmtId="3">
      <sharedItems containsSemiMixedTypes="0" containsString="0" containsNumber="1" containsInteger="1" minValue="0" maxValue="7566302116"/>
    </cacheField>
    <cacheField name="Change" numFmtId="3">
      <sharedItems containsString="0" containsBlank="1" containsNumber="1" minValue="-967729" maxValue="405962051.5"/>
    </cacheField>
    <cacheField name="Change2" numFmtId="168">
      <sharedItems containsSemiMixedTypes="0" containsString="0" containsNumber="1" minValue="-100" maxValue="307.91511497310398"/>
    </cacheField>
    <cacheField name="Enrollment24" numFmtId="3">
      <sharedItems containsSemiMixedTypes="0" containsString="0" containsNumber="1" minValue="0" maxValue="905105.99999993341"/>
    </cacheField>
    <cacheField name="Enrollment25" numFmtId="3">
      <sharedItems containsSemiMixedTypes="0" containsString="0" containsNumber="1" minValue="0" maxValue="905572.000000078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6">
  <r>
    <x v="0"/>
    <x v="0"/>
    <x v="0"/>
    <x v="0"/>
    <n v="31287579.078960005"/>
    <n v="0.93586395244784271"/>
    <n v="32236384.532019995"/>
    <n v="0.93127136372731067"/>
    <m/>
    <n v="17754107"/>
    <n v="17104459"/>
    <n v="649648"/>
    <n v="3.7981207122657312"/>
    <n v="2206"/>
    <n v="2202"/>
  </r>
  <r>
    <x v="0"/>
    <x v="0"/>
    <x v="1"/>
    <x v="1"/>
    <n v="2144180.9510361422"/>
    <n v="6.4136047552157224E-2"/>
    <n v="2379073.2041627523"/>
    <n v="6.872863627268927E-2"/>
    <m/>
    <n v="1310268"/>
    <n v="1172192"/>
    <n v="138076"/>
    <n v="11.779298954437499"/>
    <n v="103.00000000120001"/>
    <n v="114.00000000168001"/>
  </r>
  <r>
    <x v="0"/>
    <x v="1"/>
    <x v="2"/>
    <x v="2"/>
    <n v="0"/>
    <n v="0"/>
    <n v="0"/>
    <n v="0"/>
    <m/>
    <n v="0"/>
    <n v="0"/>
    <n v="0"/>
    <n v="0"/>
    <n v="0"/>
    <n v="0"/>
  </r>
  <r>
    <x v="0"/>
    <x v="1"/>
    <x v="2"/>
    <x v="2"/>
    <n v="0"/>
    <n v="0"/>
    <n v="0"/>
    <n v="0"/>
    <m/>
    <n v="0"/>
    <n v="0"/>
    <n v="0"/>
    <n v="0"/>
    <n v="0"/>
    <n v="0"/>
  </r>
  <r>
    <x v="0"/>
    <x v="0"/>
    <x v="3"/>
    <x v="3"/>
    <n v="33431760.029996149"/>
    <n v="0.99999999999999989"/>
    <n v="34615457.736182749"/>
    <n v="1"/>
    <n v="19064375"/>
    <n v="19064375"/>
    <n v="18276651"/>
    <n v="787724"/>
    <n v="4.3100018706928314"/>
    <n v="2309.0000000012001"/>
    <n v="2316.0000000016798"/>
  </r>
  <r>
    <x v="1"/>
    <x v="2"/>
    <x v="4"/>
    <x v="4"/>
    <n v="0"/>
    <n v="0"/>
    <n v="0"/>
    <n v="0"/>
    <m/>
    <n v="0"/>
    <n v="0"/>
    <n v="0"/>
    <n v="0"/>
    <n v="0"/>
    <n v="0"/>
  </r>
  <r>
    <x v="1"/>
    <x v="2"/>
    <x v="5"/>
    <x v="5"/>
    <n v="53374954.457589768"/>
    <n v="0.96674512149895697"/>
    <n v="54000661.217694253"/>
    <n v="0.96384266033791588"/>
    <m/>
    <n v="43461158"/>
    <n v="41971918"/>
    <n v="1489240"/>
    <n v="3.5481819058161697"/>
    <n v="4160.1883460620002"/>
    <n v="4082.2802850480002"/>
  </r>
  <r>
    <x v="1"/>
    <x v="2"/>
    <x v="6"/>
    <x v="6"/>
    <n v="1836034.7376087203"/>
    <n v="3.3254878501042938E-2"/>
    <n v="2025766.5799320068"/>
    <n v="3.6157339662084169E-2"/>
    <m/>
    <n v="1630390"/>
    <n v="1443784"/>
    <n v="186606"/>
    <n v="12.924786533165626"/>
    <n v="88.000000002180002"/>
    <n v="96.999999997739991"/>
  </r>
  <r>
    <x v="1"/>
    <x v="1"/>
    <x v="2"/>
    <x v="2"/>
    <n v="0"/>
    <n v="0"/>
    <n v="0"/>
    <n v="0"/>
    <m/>
    <n v="0"/>
    <n v="0"/>
    <n v="0"/>
    <n v="0"/>
    <n v="0"/>
    <n v="0"/>
  </r>
  <r>
    <x v="1"/>
    <x v="2"/>
    <x v="3"/>
    <x v="3"/>
    <n v="55210989.195198491"/>
    <n v="0.99999999999999989"/>
    <n v="56026427.797626257"/>
    <n v="1"/>
    <n v="45091548"/>
    <n v="45091548"/>
    <n v="43415702"/>
    <n v="1675846"/>
    <n v="3.8599997761178662"/>
    <n v="4248.1883460641802"/>
    <n v="4179.2802850457401"/>
  </r>
  <r>
    <x v="2"/>
    <x v="3"/>
    <x v="7"/>
    <x v="7"/>
    <n v="15911255.389999999"/>
    <n v="0.81846525705829687"/>
    <n v="15622821.810000001"/>
    <n v="0.79037639148818972"/>
    <m/>
    <n v="8852864"/>
    <n v="8740925"/>
    <n v="111939"/>
    <n v="1.2806310544936605"/>
    <n v="1221"/>
    <n v="1173"/>
  </r>
  <r>
    <x v="2"/>
    <x v="3"/>
    <x v="8"/>
    <x v="8"/>
    <n v="3264388.4537164452"/>
    <n v="0.16791814784070078"/>
    <n v="3747380.4963533846"/>
    <n v="0.18958425758560254"/>
    <m/>
    <n v="2123499"/>
    <n v="1793308"/>
    <n v="330191"/>
    <n v="18.412397647253009"/>
    <n v="167.99999999946002"/>
    <n v="189.99999999847998"/>
  </r>
  <r>
    <x v="2"/>
    <x v="3"/>
    <x v="9"/>
    <x v="9"/>
    <n v="264711.44660797651"/>
    <n v="1.3616595101002344E-2"/>
    <n v="396103.94753659435"/>
    <n v="2.0039350926207653E-2"/>
    <m/>
    <n v="224457"/>
    <n v="145421"/>
    <n v="79036"/>
    <n v="54.349784419031636"/>
    <n v="12.999999997790001"/>
    <n v="19.000000001990003"/>
  </r>
  <r>
    <x v="2"/>
    <x v="1"/>
    <x v="2"/>
    <x v="2"/>
    <n v="0"/>
    <n v="0"/>
    <n v="0"/>
    <n v="0"/>
    <m/>
    <n v="0"/>
    <n v="0"/>
    <n v="0"/>
    <n v="0"/>
    <n v="0"/>
    <n v="0"/>
  </r>
  <r>
    <x v="2"/>
    <x v="3"/>
    <x v="3"/>
    <x v="3"/>
    <n v="19440355.29032442"/>
    <n v="1"/>
    <n v="19766306.253889982"/>
    <n v="0.99999999999999989"/>
    <n v="11200821"/>
    <n v="11200820"/>
    <n v="10679654"/>
    <n v="521166"/>
    <n v="4.8799895577141355"/>
    <n v="1401.9999999972499"/>
    <n v="1382.00000000047"/>
  </r>
  <r>
    <x v="3"/>
    <x v="4"/>
    <x v="10"/>
    <x v="10"/>
    <n v="0"/>
    <n v="0"/>
    <n v="0"/>
    <n v="0"/>
    <m/>
    <n v="0"/>
    <n v="0"/>
    <n v="0"/>
    <n v="0"/>
    <n v="0"/>
    <n v="0"/>
  </r>
  <r>
    <x v="3"/>
    <x v="4"/>
    <x v="11"/>
    <x v="11"/>
    <n v="12998538.142637189"/>
    <n v="0.81549770499619512"/>
    <n v="13561431.972144121"/>
    <n v="0.81222854921500109"/>
    <m/>
    <n v="4059948"/>
    <n v="3947597"/>
    <n v="112351"/>
    <n v="2.846060527455057"/>
    <n v="856.0834752950999"/>
    <n v="860.18312236076997"/>
  </r>
  <r>
    <x v="3"/>
    <x v="4"/>
    <x v="12"/>
    <x v="12"/>
    <n v="2940854.5288576209"/>
    <n v="0.18450229500380488"/>
    <n v="3135139.4365448644"/>
    <n v="0.18777145078499896"/>
    <m/>
    <n v="938581"/>
    <n v="893124"/>
    <n v="45457"/>
    <n v="5.0896628015818628"/>
    <n v="138.99999999977999"/>
    <n v="142.99999999871002"/>
  </r>
  <r>
    <x v="3"/>
    <x v="1"/>
    <x v="2"/>
    <x v="2"/>
    <n v="0"/>
    <n v="0"/>
    <n v="0"/>
    <n v="0"/>
    <m/>
    <n v="0"/>
    <n v="0"/>
    <n v="0"/>
    <n v="0"/>
    <n v="0"/>
    <n v="0"/>
  </r>
  <r>
    <x v="3"/>
    <x v="4"/>
    <x v="3"/>
    <x v="3"/>
    <n v="15939392.67149481"/>
    <n v="1"/>
    <n v="16696571.408688985"/>
    <n v="1"/>
    <n v="4998529"/>
    <n v="4998529"/>
    <n v="4840721"/>
    <n v="157808"/>
    <n v="3.2600102340126607"/>
    <n v="995.08347529487992"/>
    <n v="1003.18312235948"/>
  </r>
  <r>
    <x v="4"/>
    <x v="5"/>
    <x v="13"/>
    <x v="13"/>
    <n v="50397491.299999997"/>
    <n v="1"/>
    <n v="52988778.250000007"/>
    <n v="1"/>
    <m/>
    <n v="26903037"/>
    <n v="25373043"/>
    <n v="1529994"/>
    <n v="6.0299980573871252"/>
    <n v="3421"/>
    <n v="3486"/>
  </r>
  <r>
    <x v="4"/>
    <x v="1"/>
    <x v="2"/>
    <x v="2"/>
    <n v="0"/>
    <n v="0"/>
    <n v="0"/>
    <n v="0"/>
    <m/>
    <n v="0"/>
    <n v="0"/>
    <n v="0"/>
    <n v="0"/>
    <n v="0"/>
    <n v="0"/>
  </r>
  <r>
    <x v="4"/>
    <x v="1"/>
    <x v="2"/>
    <x v="2"/>
    <n v="0"/>
    <n v="0"/>
    <n v="0"/>
    <n v="0"/>
    <m/>
    <n v="0"/>
    <n v="0"/>
    <n v="0"/>
    <n v="0"/>
    <n v="0"/>
    <n v="0"/>
  </r>
  <r>
    <x v="4"/>
    <x v="1"/>
    <x v="2"/>
    <x v="2"/>
    <n v="0"/>
    <n v="0"/>
    <n v="0"/>
    <n v="0"/>
    <m/>
    <n v="0"/>
    <n v="0"/>
    <n v="0"/>
    <n v="0"/>
    <n v="0"/>
    <n v="0"/>
  </r>
  <r>
    <x v="4"/>
    <x v="5"/>
    <x v="3"/>
    <x v="3"/>
    <n v="50397491.299999997"/>
    <n v="1"/>
    <n v="52988778.250000007"/>
    <n v="1"/>
    <n v="26903037"/>
    <n v="26903037"/>
    <n v="25373043"/>
    <n v="1529994"/>
    <n v="6.0299980573871252"/>
    <n v="3421"/>
    <n v="3486"/>
  </r>
  <r>
    <x v="5"/>
    <x v="6"/>
    <x v="14"/>
    <x v="14"/>
    <n v="0"/>
    <n v="0"/>
    <n v="0"/>
    <n v="0"/>
    <m/>
    <n v="0"/>
    <n v="0"/>
    <n v="0"/>
    <n v="0"/>
    <n v="0"/>
    <n v="0"/>
  </r>
  <r>
    <x v="5"/>
    <x v="6"/>
    <x v="15"/>
    <x v="15"/>
    <n v="278259.71248189872"/>
    <n v="1"/>
    <n v="279039.06521057821"/>
    <n v="1"/>
    <m/>
    <n v="230207"/>
    <n v="229564"/>
    <n v="643"/>
    <n v="0.28009618232823963"/>
    <n v="19.398496240650001"/>
    <n v="19.17304747136"/>
  </r>
  <r>
    <x v="5"/>
    <x v="1"/>
    <x v="2"/>
    <x v="2"/>
    <n v="0"/>
    <n v="0"/>
    <n v="0"/>
    <n v="0"/>
    <m/>
    <n v="0"/>
    <n v="0"/>
    <n v="0"/>
    <n v="0"/>
    <n v="0"/>
    <n v="0"/>
  </r>
  <r>
    <x v="5"/>
    <x v="1"/>
    <x v="2"/>
    <x v="2"/>
    <n v="0"/>
    <n v="0"/>
    <n v="0"/>
    <n v="0"/>
    <m/>
    <n v="0"/>
    <n v="0"/>
    <n v="0"/>
    <n v="0"/>
    <n v="0"/>
    <n v="0"/>
  </r>
  <r>
    <x v="5"/>
    <x v="6"/>
    <x v="3"/>
    <x v="3"/>
    <n v="278259.71248189872"/>
    <n v="1"/>
    <n v="279039.06521057821"/>
    <n v="1"/>
    <n v="230207"/>
    <n v="230207"/>
    <n v="229564"/>
    <n v="643"/>
    <n v="0.28009618232823963"/>
    <n v="19.398496240650001"/>
    <n v="19.17304747136"/>
  </r>
  <r>
    <x v="6"/>
    <x v="7"/>
    <x v="16"/>
    <x v="16"/>
    <n v="24965747.029999997"/>
    <n v="0.91118219970739744"/>
    <n v="26495878.260000002"/>
    <n v="0.90984164389155453"/>
    <m/>
    <n v="19160041"/>
    <n v="18234602"/>
    <n v="925439"/>
    <n v="5.075180692180723"/>
    <n v="1847"/>
    <n v="1898"/>
  </r>
  <r>
    <x v="6"/>
    <x v="7"/>
    <x v="17"/>
    <x v="17"/>
    <n v="2433544.8328317194"/>
    <n v="8.8817800292602625E-2"/>
    <n v="2625539.1183829177"/>
    <n v="9.01583561084454E-2"/>
    <m/>
    <n v="1898614"/>
    <n v="1777424"/>
    <n v="121190"/>
    <n v="6.8182943405737744"/>
    <n v="116.999999997"/>
    <n v="123.28963892991"/>
  </r>
  <r>
    <x v="6"/>
    <x v="1"/>
    <x v="2"/>
    <x v="18"/>
    <n v="0"/>
    <n v="0"/>
    <n v="0"/>
    <n v="0"/>
    <m/>
    <n v="0"/>
    <n v="0"/>
    <n v="0"/>
    <n v="0"/>
    <n v="0"/>
    <n v="0"/>
  </r>
  <r>
    <x v="6"/>
    <x v="1"/>
    <x v="2"/>
    <x v="2"/>
    <n v="0"/>
    <n v="0"/>
    <n v="0"/>
    <n v="0"/>
    <m/>
    <n v="0"/>
    <n v="0"/>
    <n v="0"/>
    <n v="0"/>
    <n v="0"/>
    <n v="0"/>
  </r>
  <r>
    <x v="6"/>
    <x v="7"/>
    <x v="3"/>
    <x v="3"/>
    <n v="27399291.862831715"/>
    <n v="1"/>
    <n v="29121417.378382921"/>
    <n v="0.99999999999999989"/>
    <n v="21058655"/>
    <n v="21058655"/>
    <n v="20012026"/>
    <n v="1046629"/>
    <n v="5.2300002008792115"/>
    <n v="1963.999999997"/>
    <n v="2021.2896389299101"/>
  </r>
  <r>
    <x v="7"/>
    <x v="8"/>
    <x v="18"/>
    <x v="19"/>
    <n v="14207190.940000001"/>
    <n v="0.50104736599661925"/>
    <n v="13476149.789999999"/>
    <n v="0.49163929392107136"/>
    <m/>
    <n v="11117824"/>
    <n v="11168148"/>
    <n v="-50324"/>
    <n v="-0.45060291106457401"/>
    <n v="1055"/>
    <n v="984"/>
  </r>
  <r>
    <x v="7"/>
    <x v="8"/>
    <x v="19"/>
    <x v="20"/>
    <n v="14147794.844110202"/>
    <n v="0.49895263400338075"/>
    <n v="13934494.47018699"/>
    <n v="0.50836070607892858"/>
    <m/>
    <n v="11495958"/>
    <n v="11121458"/>
    <n v="374500"/>
    <n v="3.3673642430695687"/>
    <n v="997.00000000146008"/>
    <n v="963.99999999453996"/>
  </r>
  <r>
    <x v="7"/>
    <x v="1"/>
    <x v="2"/>
    <x v="2"/>
    <n v="0"/>
    <n v="0"/>
    <n v="0"/>
    <n v="0"/>
    <m/>
    <n v="0"/>
    <n v="0"/>
    <n v="0"/>
    <n v="0"/>
    <n v="0"/>
    <n v="0"/>
  </r>
  <r>
    <x v="7"/>
    <x v="1"/>
    <x v="2"/>
    <x v="2"/>
    <n v="0"/>
    <n v="0"/>
    <n v="0"/>
    <n v="0"/>
    <m/>
    <n v="0"/>
    <n v="0"/>
    <n v="0"/>
    <n v="0"/>
    <n v="0"/>
    <n v="0"/>
  </r>
  <r>
    <x v="7"/>
    <x v="8"/>
    <x v="3"/>
    <x v="3"/>
    <n v="28354985.784110203"/>
    <n v="1"/>
    <n v="27410644.260186989"/>
    <n v="1"/>
    <n v="22613782"/>
    <n v="22613782"/>
    <n v="22289606"/>
    <n v="324176"/>
    <n v="1.4543819213314044"/>
    <n v="2052.0000000014602"/>
    <n v="1947.9999999945398"/>
  </r>
  <r>
    <x v="8"/>
    <x v="9"/>
    <x v="20"/>
    <x v="21"/>
    <n v="72244408.493600011"/>
    <n v="0.98203971390325528"/>
    <n v="72595075.473940015"/>
    <n v="0.98275477644106901"/>
    <m/>
    <n v="59890937"/>
    <n v="58293608"/>
    <n v="1597329"/>
    <n v="2.7401443396675669"/>
    <n v="5554"/>
    <n v="5465"/>
  </r>
  <r>
    <x v="8"/>
    <x v="9"/>
    <x v="21"/>
    <x v="22"/>
    <n v="1321260.4613289325"/>
    <n v="1.7960286096744684E-2"/>
    <n v="1273886.7679272341"/>
    <n v="1.7245223558931006E-2"/>
    <m/>
    <n v="1050957"/>
    <n v="1066118"/>
    <n v="-15161"/>
    <n v="-1.4220752299464037"/>
    <n v="52.0000000056"/>
    <n v="49.00000000336"/>
  </r>
  <r>
    <x v="8"/>
    <x v="1"/>
    <x v="2"/>
    <x v="18"/>
    <n v="0"/>
    <n v="0"/>
    <n v="0"/>
    <n v="0"/>
    <m/>
    <n v="0"/>
    <n v="0"/>
    <n v="0"/>
    <n v="0"/>
    <n v="0"/>
    <n v="0"/>
  </r>
  <r>
    <x v="8"/>
    <x v="1"/>
    <x v="2"/>
    <x v="2"/>
    <n v="0"/>
    <n v="0"/>
    <n v="0"/>
    <n v="0"/>
    <m/>
    <n v="0"/>
    <n v="0"/>
    <n v="0"/>
    <n v="0"/>
    <n v="0"/>
    <n v="0"/>
  </r>
  <r>
    <x v="8"/>
    <x v="9"/>
    <x v="3"/>
    <x v="3"/>
    <n v="73565668.954928949"/>
    <n v="1"/>
    <n v="73868962.241867244"/>
    <n v="1"/>
    <n v="60941894"/>
    <n v="60941894"/>
    <n v="59359726"/>
    <n v="1582168"/>
    <n v="2.6653896616706083"/>
    <n v="5606.0000000055998"/>
    <n v="5514.0000000033597"/>
  </r>
  <r>
    <x v="9"/>
    <x v="10"/>
    <x v="22"/>
    <x v="23"/>
    <n v="74896748.635400012"/>
    <n v="0.94274840919034142"/>
    <n v="77449420.442229986"/>
    <n v="0.94496140753477254"/>
    <m/>
    <n v="58893679"/>
    <n v="56193340"/>
    <n v="2700339"/>
    <n v="4.8054431361438921"/>
    <n v="6002"/>
    <n v="6021"/>
  </r>
  <r>
    <x v="9"/>
    <x v="10"/>
    <x v="6"/>
    <x v="6"/>
    <n v="4548358.7816715501"/>
    <n v="5.725159080965854E-2"/>
    <n v="4510985.3740043854"/>
    <n v="5.5038592465227507E-2"/>
    <m/>
    <n v="3430220"/>
    <n v="3412531"/>
    <n v="17689"/>
    <n v="0.51835426549971264"/>
    <n v="217.99999999907999"/>
    <n v="216.00000000143999"/>
  </r>
  <r>
    <x v="9"/>
    <x v="1"/>
    <x v="2"/>
    <x v="2"/>
    <n v="0"/>
    <n v="0"/>
    <n v="0"/>
    <n v="0"/>
    <m/>
    <n v="0"/>
    <n v="0"/>
    <n v="0"/>
    <n v="0"/>
    <n v="0"/>
    <n v="0"/>
  </r>
  <r>
    <x v="9"/>
    <x v="1"/>
    <x v="2"/>
    <x v="2"/>
    <n v="0"/>
    <n v="0"/>
    <n v="0"/>
    <n v="0"/>
    <m/>
    <n v="0"/>
    <n v="0"/>
    <n v="0"/>
    <n v="0"/>
    <n v="0"/>
    <n v="0"/>
  </r>
  <r>
    <x v="9"/>
    <x v="10"/>
    <x v="3"/>
    <x v="3"/>
    <n v="79445107.417071566"/>
    <n v="1"/>
    <n v="81960405.816234365"/>
    <n v="1"/>
    <n v="62323899"/>
    <n v="62323899"/>
    <n v="59605871"/>
    <n v="2718028"/>
    <n v="4.5600004737788327"/>
    <n v="6219.9999999990796"/>
    <n v="6237.0000000014397"/>
  </r>
  <r>
    <x v="10"/>
    <x v="11"/>
    <x v="23"/>
    <x v="24"/>
    <n v="0"/>
    <n v="0"/>
    <n v="0"/>
    <n v="0"/>
    <m/>
    <n v="0"/>
    <n v="0"/>
    <n v="0"/>
    <n v="0"/>
    <n v="0"/>
    <n v="0"/>
  </r>
  <r>
    <x v="10"/>
    <x v="11"/>
    <x v="24"/>
    <x v="25"/>
    <n v="13603235.593604924"/>
    <n v="0.90360775886285738"/>
    <n v="13011229.302688826"/>
    <n v="0.90937040680580283"/>
    <m/>
    <n v="5969244"/>
    <n v="5653276"/>
    <n v="315968"/>
    <n v="5.5891132858187005"/>
    <n v="1047.1046962601399"/>
    <n v="982.89473684642996"/>
  </r>
  <r>
    <x v="10"/>
    <x v="11"/>
    <x v="25"/>
    <x v="26"/>
    <n v="1451123.4025195427"/>
    <n v="9.6392241137142676E-2"/>
    <n v="1296723.9859949888"/>
    <n v="9.0629593194197111E-2"/>
    <m/>
    <n v="594906"/>
    <n v="603063"/>
    <n v="-8157"/>
    <n v="-1.3525950025121753"/>
    <n v="72.098427886750002"/>
    <n v="63.999999993599999"/>
  </r>
  <r>
    <x v="10"/>
    <x v="1"/>
    <x v="2"/>
    <x v="2"/>
    <n v="0"/>
    <n v="0"/>
    <n v="0"/>
    <n v="0"/>
    <m/>
    <n v="0"/>
    <n v="0"/>
    <n v="0"/>
    <n v="0"/>
    <n v="0"/>
    <n v="0"/>
  </r>
  <r>
    <x v="10"/>
    <x v="11"/>
    <x v="3"/>
    <x v="3"/>
    <n v="15054358.996124467"/>
    <n v="1"/>
    <n v="14307953.288683815"/>
    <n v="1"/>
    <n v="6564150"/>
    <n v="6564150"/>
    <n v="6256339"/>
    <n v="307811"/>
    <n v="4.9199859534465764"/>
    <n v="1119.2031241468899"/>
    <n v="1046.89473684003"/>
  </r>
  <r>
    <x v="11"/>
    <x v="12"/>
    <x v="26"/>
    <x v="27"/>
    <n v="0"/>
    <n v="0"/>
    <n v="0"/>
    <n v="0"/>
    <m/>
    <n v="0"/>
    <n v="0"/>
    <n v="0"/>
    <n v="0"/>
    <n v="0"/>
    <n v="0"/>
  </r>
  <r>
    <x v="11"/>
    <x v="12"/>
    <x v="27"/>
    <x v="28"/>
    <n v="5218991.297808446"/>
    <n v="0.87497858126248218"/>
    <n v="5451782.323509953"/>
    <n v="0.89669197903745923"/>
    <m/>
    <n v="2832572"/>
    <n v="2618646"/>
    <n v="213926"/>
    <n v="8.1693363669621633"/>
    <n v="398.46575342808001"/>
    <n v="405.97392688316995"/>
  </r>
  <r>
    <x v="11"/>
    <x v="12"/>
    <x v="25"/>
    <x v="26"/>
    <n v="745716.19283447799"/>
    <n v="0.12502141873751779"/>
    <n v="628100.68086585123"/>
    <n v="0.10330802096254081"/>
    <m/>
    <n v="326341"/>
    <n v="374166"/>
    <n v="-47825"/>
    <n v="-12.781759967501056"/>
    <n v="37.050580991049998"/>
    <n v="31.00000000428"/>
  </r>
  <r>
    <x v="11"/>
    <x v="1"/>
    <x v="2"/>
    <x v="2"/>
    <n v="0"/>
    <n v="0"/>
    <n v="0"/>
    <n v="0"/>
    <m/>
    <n v="0"/>
    <n v="0"/>
    <n v="0"/>
    <n v="0"/>
    <n v="0"/>
    <n v="0"/>
  </r>
  <r>
    <x v="11"/>
    <x v="12"/>
    <x v="3"/>
    <x v="3"/>
    <n v="5964707.4906429239"/>
    <n v="1"/>
    <n v="6079883.0043758042"/>
    <n v="1"/>
    <n v="3158913"/>
    <n v="3158913"/>
    <n v="2992812"/>
    <n v="166101"/>
    <n v="5.5499977947161403"/>
    <n v="435.51633441912998"/>
    <n v="436.97392688744998"/>
  </r>
  <r>
    <x v="12"/>
    <x v="13"/>
    <x v="28"/>
    <x v="29"/>
    <n v="245151"/>
    <n v="0.1113203452122954"/>
    <n v="216797.25000000006"/>
    <n v="9.2162458565063554E-2"/>
    <m/>
    <n v="158626"/>
    <n v="179015"/>
    <n v="-20389"/>
    <n v="-11.389548361869117"/>
    <n v="13"/>
    <n v="11"/>
  </r>
  <r>
    <x v="12"/>
    <x v="13"/>
    <x v="29"/>
    <x v="30"/>
    <n v="1957060.9993652601"/>
    <n v="0.88867965478770472"/>
    <n v="2135540.7125007357"/>
    <n v="0.90783754143493645"/>
    <m/>
    <n v="1562527"/>
    <n v="1429088"/>
    <n v="133439"/>
    <n v="9.3373536129335637"/>
    <n v="136.01341463240999"/>
    <n v="141.641791044"/>
  </r>
  <r>
    <x v="12"/>
    <x v="1"/>
    <x v="2"/>
    <x v="2"/>
    <n v="0"/>
    <n v="0"/>
    <n v="0"/>
    <n v="0"/>
    <m/>
    <n v="0"/>
    <n v="0"/>
    <n v="0"/>
    <n v="0"/>
    <n v="0"/>
    <n v="0"/>
  </r>
  <r>
    <x v="12"/>
    <x v="1"/>
    <x v="2"/>
    <x v="2"/>
    <n v="0"/>
    <n v="0"/>
    <n v="0"/>
    <n v="0"/>
    <m/>
    <n v="0"/>
    <n v="0"/>
    <n v="0"/>
    <n v="0"/>
    <n v="0"/>
    <n v="0"/>
  </r>
  <r>
    <x v="12"/>
    <x v="13"/>
    <x v="3"/>
    <x v="3"/>
    <n v="2202211.9993652599"/>
    <n v="1.0000000000000002"/>
    <n v="2352337.9625007357"/>
    <n v="1"/>
    <n v="1721153"/>
    <n v="1721153"/>
    <n v="1608103"/>
    <n v="113050"/>
    <n v="7.0300223306591683"/>
    <n v="149.01341463240999"/>
    <n v="152.641791044"/>
  </r>
  <r>
    <x v="13"/>
    <x v="14"/>
    <x v="30"/>
    <x v="31"/>
    <n v="36758230.609999992"/>
    <n v="0.96451883830644969"/>
    <n v="37765344.57"/>
    <n v="0.96274562764079952"/>
    <m/>
    <n v="26791174"/>
    <n v="25484731"/>
    <n v="1306443"/>
    <n v="5.1263754755739823"/>
    <n v="2839"/>
    <n v="2857"/>
  </r>
  <r>
    <x v="13"/>
    <x v="14"/>
    <x v="31"/>
    <x v="32"/>
    <n v="1352202.4371574153"/>
    <n v="3.5481161693550312E-2"/>
    <n v="1461366.5006528683"/>
    <n v="3.7254372359200337E-2"/>
    <m/>
    <n v="1036710"/>
    <n v="937491"/>
    <n v="99219"/>
    <n v="10.583461601231372"/>
    <n v="59.211217180719999"/>
    <n v="62.214780602810002"/>
  </r>
  <r>
    <x v="13"/>
    <x v="1"/>
    <x v="2"/>
    <x v="2"/>
    <n v="0"/>
    <n v="0"/>
    <n v="0"/>
    <n v="0"/>
    <m/>
    <n v="0"/>
    <n v="0"/>
    <n v="0"/>
    <n v="0"/>
    <n v="0"/>
    <n v="0"/>
  </r>
  <r>
    <x v="13"/>
    <x v="1"/>
    <x v="2"/>
    <x v="2"/>
    <n v="0"/>
    <n v="0"/>
    <n v="0"/>
    <n v="0"/>
    <m/>
    <n v="0"/>
    <n v="0"/>
    <n v="0"/>
    <n v="0"/>
    <n v="0"/>
    <n v="0"/>
  </r>
  <r>
    <x v="13"/>
    <x v="14"/>
    <x v="3"/>
    <x v="3"/>
    <n v="38110433.047157407"/>
    <n v="1"/>
    <n v="39226711.070652872"/>
    <n v="0.99999999999999989"/>
    <n v="27827884"/>
    <n v="27827884"/>
    <n v="26422222"/>
    <n v="1405662"/>
    <n v="5.3199992037005819"/>
    <n v="2898.2112171807198"/>
    <n v="2919.2147806028102"/>
  </r>
  <r>
    <x v="14"/>
    <x v="15"/>
    <x v="32"/>
    <x v="33"/>
    <n v="0"/>
    <n v="0"/>
    <n v="0"/>
    <n v="0"/>
    <m/>
    <n v="0"/>
    <n v="0"/>
    <n v="0"/>
    <n v="0"/>
    <n v="0"/>
    <n v="0"/>
  </r>
  <r>
    <x v="14"/>
    <x v="15"/>
    <x v="33"/>
    <x v="34"/>
    <n v="25947947.695697732"/>
    <n v="0.92062654116875831"/>
    <n v="26801046.441643428"/>
    <n v="0.92710805906569471"/>
    <m/>
    <n v="4034378"/>
    <n v="3730491"/>
    <n v="303887"/>
    <n v="8.1460322515186334"/>
    <n v="1632.08773903158"/>
    <n v="1656.3036504438901"/>
  </r>
  <r>
    <x v="14"/>
    <x v="15"/>
    <x v="25"/>
    <x v="26"/>
    <n v="2237148.5787982941"/>
    <n v="7.9373458831241694E-2"/>
    <n v="2107176.4775409135"/>
    <n v="7.2891940934305219E-2"/>
    <m/>
    <n v="317195"/>
    <n v="321631"/>
    <n v="-4436"/>
    <n v="-1.3792202866017269"/>
    <n v="111.15174298780001"/>
    <n v="104.00000000435999"/>
  </r>
  <r>
    <x v="14"/>
    <x v="1"/>
    <x v="2"/>
    <x v="2"/>
    <n v="0"/>
    <n v="0"/>
    <n v="0"/>
    <n v="0"/>
    <m/>
    <n v="0"/>
    <n v="0"/>
    <n v="0"/>
    <n v="0"/>
    <n v="0"/>
    <n v="0"/>
  </r>
  <r>
    <x v="14"/>
    <x v="15"/>
    <x v="3"/>
    <x v="3"/>
    <n v="28185096.274496026"/>
    <n v="1"/>
    <n v="28908222.919184342"/>
    <n v="0.99999999999999989"/>
    <n v="4351573"/>
    <n v="4351573"/>
    <n v="4052122"/>
    <n v="299451"/>
    <n v="7.3899798673386439"/>
    <n v="1743.2394820193799"/>
    <n v="1760.30365044825"/>
  </r>
  <r>
    <x v="15"/>
    <x v="16"/>
    <x v="34"/>
    <x v="35"/>
    <n v="97105120.719999999"/>
    <n v="0.99603161352710678"/>
    <n v="102004503.33000001"/>
    <n v="0.99572638363773025"/>
    <m/>
    <n v="46028760"/>
    <n v="43712969"/>
    <n v="2315791"/>
    <n v="5.2977206833056796"/>
    <n v="6238"/>
    <n v="6313"/>
  </r>
  <r>
    <x v="15"/>
    <x v="16"/>
    <x v="9"/>
    <x v="9"/>
    <n v="386885.96052620758"/>
    <n v="3.9683864728931369E-3"/>
    <n v="437799.09985279839"/>
    <n v="4.2736163622696839E-3"/>
    <m/>
    <n v="197554"/>
    <n v="174161"/>
    <n v="23393"/>
    <n v="13.431824576110611"/>
    <n v="19.00000000164"/>
    <n v="20.999999999510003"/>
  </r>
  <r>
    <x v="15"/>
    <x v="1"/>
    <x v="2"/>
    <x v="2"/>
    <n v="0"/>
    <n v="0"/>
    <n v="0"/>
    <n v="0"/>
    <m/>
    <n v="0"/>
    <n v="0"/>
    <n v="0"/>
    <n v="0"/>
    <n v="0"/>
    <n v="0"/>
  </r>
  <r>
    <x v="15"/>
    <x v="1"/>
    <x v="2"/>
    <x v="2"/>
    <n v="0"/>
    <n v="0"/>
    <n v="0"/>
    <n v="0"/>
    <m/>
    <n v="0"/>
    <n v="0"/>
    <n v="0"/>
    <n v="0"/>
    <n v="0"/>
    <n v="0"/>
  </r>
  <r>
    <x v="15"/>
    <x v="16"/>
    <x v="3"/>
    <x v="3"/>
    <n v="97492006.680526212"/>
    <n v="0.99999999999999989"/>
    <n v="102442302.42985281"/>
    <n v="0.99999999999999989"/>
    <n v="46226314"/>
    <n v="46226314"/>
    <n v="43887130"/>
    <n v="2339184"/>
    <n v="5.3299999339214024"/>
    <n v="6257.0000000016398"/>
    <n v="6333.9999999995098"/>
  </r>
  <r>
    <x v="16"/>
    <x v="17"/>
    <x v="35"/>
    <x v="36"/>
    <n v="32176028.359999999"/>
    <n v="0.9315018493685584"/>
    <n v="32470504.220000003"/>
    <n v="0.92306431545954526"/>
    <m/>
    <n v="17758731"/>
    <n v="17041707"/>
    <n v="717024"/>
    <n v="4.2074658366089732"/>
    <n v="2422"/>
    <n v="2367"/>
  </r>
  <r>
    <x v="16"/>
    <x v="17"/>
    <x v="36"/>
    <x v="37"/>
    <n v="2366069.8460436207"/>
    <n v="6.8498150631441476E-2"/>
    <n v="2706355.8060910753"/>
    <n v="7.6935684540454727E-2"/>
    <m/>
    <n v="1480157"/>
    <n v="1253165"/>
    <n v="226992"/>
    <n v="18.113496626541597"/>
    <n v="117.00000000304"/>
    <n v="131.00000000471999"/>
  </r>
  <r>
    <x v="16"/>
    <x v="1"/>
    <x v="2"/>
    <x v="2"/>
    <n v="0"/>
    <n v="0"/>
    <n v="0"/>
    <n v="0"/>
    <m/>
    <n v="0"/>
    <n v="0"/>
    <n v="0"/>
    <n v="0"/>
    <n v="0"/>
    <n v="0"/>
  </r>
  <r>
    <x v="16"/>
    <x v="1"/>
    <x v="2"/>
    <x v="2"/>
    <n v="0"/>
    <n v="0"/>
    <n v="0"/>
    <n v="0"/>
    <m/>
    <n v="0"/>
    <n v="0"/>
    <n v="0"/>
    <n v="0"/>
    <n v="0"/>
    <n v="0"/>
  </r>
  <r>
    <x v="16"/>
    <x v="17"/>
    <x v="3"/>
    <x v="3"/>
    <n v="34542098.206043623"/>
    <n v="0.99999999999999989"/>
    <n v="35176860.026091076"/>
    <n v="1"/>
    <n v="19238888"/>
    <n v="19238888"/>
    <n v="18294872"/>
    <n v="944016"/>
    <n v="5.1600033058443922"/>
    <n v="2539.00000000304"/>
    <n v="2498.0000000047198"/>
  </r>
  <r>
    <x v="17"/>
    <x v="18"/>
    <x v="37"/>
    <x v="38"/>
    <n v="9536788.9200000018"/>
    <n v="0.89554374588398411"/>
    <n v="9514711.5199999996"/>
    <n v="0.89913024582213574"/>
    <m/>
    <n v="5674808"/>
    <n v="5390722"/>
    <n v="284086"/>
    <n v="5.269906331656502"/>
    <n v="586"/>
    <n v="572"/>
  </r>
  <r>
    <x v="17"/>
    <x v="18"/>
    <x v="38"/>
    <x v="39"/>
    <n v="1090844.7131462945"/>
    <n v="0.10243480995370216"/>
    <n v="1045392.6972575741"/>
    <n v="9.8788511968029499E-2"/>
    <m/>
    <n v="623498"/>
    <n v="616606"/>
    <n v="6892"/>
    <n v="1.117731582242145"/>
    <n v="49.999999996250004"/>
    <n v="46.99999999616"/>
  </r>
  <r>
    <x v="17"/>
    <x v="18"/>
    <x v="39"/>
    <x v="40"/>
    <n v="21526.682954523571"/>
    <n v="2.0214441623135921E-3"/>
    <n v="22023.971857067027"/>
    <n v="2.0812422098347E-3"/>
    <m/>
    <n v="13136"/>
    <n v="12168"/>
    <n v="968"/>
    <n v="7.9552925706771864"/>
    <n v="1.00000000001"/>
    <n v="0.99999999888000002"/>
  </r>
  <r>
    <x v="17"/>
    <x v="1"/>
    <x v="2"/>
    <x v="2"/>
    <n v="0"/>
    <n v="0"/>
    <n v="0"/>
    <n v="0"/>
    <m/>
    <n v="0"/>
    <n v="0"/>
    <n v="0"/>
    <n v="0"/>
    <n v="0"/>
    <n v="0"/>
  </r>
  <r>
    <x v="17"/>
    <x v="18"/>
    <x v="3"/>
    <x v="3"/>
    <n v="10649160.316100821"/>
    <n v="0.99999999999999989"/>
    <n v="10582128.189114641"/>
    <n v="1"/>
    <n v="6311442"/>
    <n v="6311442"/>
    <n v="6019496"/>
    <n v="291946"/>
    <n v="4.8500073760328108"/>
    <n v="636.99999999626004"/>
    <n v="619.99999999503996"/>
  </r>
  <r>
    <x v="18"/>
    <x v="19"/>
    <x v="40"/>
    <x v="41"/>
    <n v="0"/>
    <n v="0"/>
    <n v="0"/>
    <n v="0"/>
    <m/>
    <n v="0"/>
    <n v="0"/>
    <n v="0"/>
    <n v="0"/>
    <n v="0"/>
    <n v="0"/>
  </r>
  <r>
    <x v="18"/>
    <x v="19"/>
    <x v="41"/>
    <x v="42"/>
    <n v="13108566.86880208"/>
    <n v="0.90325983596775994"/>
    <n v="13652034.545237966"/>
    <n v="0.9131570085482632"/>
    <m/>
    <n v="9736178"/>
    <n v="9087237"/>
    <n v="648941"/>
    <n v="7.1412355592794601"/>
    <n v="970.69120184128008"/>
    <n v="971.84885765088006"/>
  </r>
  <r>
    <x v="18"/>
    <x v="19"/>
    <x v="42"/>
    <x v="43"/>
    <n v="1403942.5408047966"/>
    <n v="9.6740164032240061E-2"/>
    <n v="1298334.7969871652"/>
    <n v="8.6842991451736823E-2"/>
    <m/>
    <n v="925929"/>
    <n v="973253"/>
    <n v="-47324"/>
    <n v="-4.8624561136723958"/>
    <n v="68.999999997499998"/>
    <n v="63.000000000189999"/>
  </r>
  <r>
    <x v="18"/>
    <x v="1"/>
    <x v="2"/>
    <x v="2"/>
    <n v="0"/>
    <n v="0"/>
    <n v="0"/>
    <n v="0"/>
    <m/>
    <n v="0"/>
    <n v="0"/>
    <n v="0"/>
    <n v="0"/>
    <n v="0"/>
    <n v="0"/>
  </r>
  <r>
    <x v="18"/>
    <x v="19"/>
    <x v="3"/>
    <x v="3"/>
    <n v="14512509.409606876"/>
    <n v="1"/>
    <n v="14950369.342225131"/>
    <n v="1"/>
    <n v="10662107"/>
    <n v="10662107"/>
    <n v="10060490"/>
    <n v="601617"/>
    <n v="5.9799969981581418"/>
    <n v="1039.69120183878"/>
    <n v="1034.8488576510701"/>
  </r>
  <r>
    <x v="19"/>
    <x v="20"/>
    <x v="43"/>
    <x v="44"/>
    <n v="84542110.140000001"/>
    <n v="0.95241611188952036"/>
    <n v="88879328.449999988"/>
    <n v="0.95744427045786751"/>
    <m/>
    <n v="63910403"/>
    <n v="59790057"/>
    <n v="4120346"/>
    <n v="6.8913565344150784"/>
    <n v="5302"/>
    <n v="5306"/>
  </r>
  <r>
    <x v="19"/>
    <x v="20"/>
    <x v="44"/>
    <x v="45"/>
    <n v="4223828.4918811265"/>
    <n v="4.7583888110479554E-2"/>
    <n v="3950438.4538180893"/>
    <n v="4.2555729542132555E-2"/>
    <m/>
    <n v="2840639"/>
    <n v="2987185"/>
    <n v="-146546"/>
    <n v="-4.9058227059924313"/>
    <n v="194.58170914298998"/>
    <n v="181.27177177058999"/>
  </r>
  <r>
    <x v="19"/>
    <x v="1"/>
    <x v="2"/>
    <x v="2"/>
    <n v="0"/>
    <n v="0"/>
    <n v="0"/>
    <n v="0"/>
    <m/>
    <n v="0"/>
    <n v="0"/>
    <n v="0"/>
    <n v="0"/>
    <n v="0"/>
    <n v="0"/>
  </r>
  <r>
    <x v="19"/>
    <x v="1"/>
    <x v="2"/>
    <x v="2"/>
    <n v="0"/>
    <n v="0"/>
    <n v="0"/>
    <n v="0"/>
    <m/>
    <n v="0"/>
    <n v="0"/>
    <n v="0"/>
    <n v="0"/>
    <n v="0"/>
    <n v="0"/>
  </r>
  <r>
    <x v="19"/>
    <x v="20"/>
    <x v="3"/>
    <x v="3"/>
    <n v="88765938.631881133"/>
    <n v="0.99999999999999989"/>
    <n v="92829766.903818071"/>
    <n v="1"/>
    <n v="66751042"/>
    <n v="66751042"/>
    <n v="62777242"/>
    <n v="3973800"/>
    <n v="6.330000926131798"/>
    <n v="5496.5817091429899"/>
    <n v="5487.27177177059"/>
  </r>
  <r>
    <x v="20"/>
    <x v="21"/>
    <x v="45"/>
    <x v="46"/>
    <n v="0"/>
    <n v="0"/>
    <n v="0"/>
    <n v="0"/>
    <m/>
    <n v="0"/>
    <n v="0"/>
    <n v="0"/>
    <n v="0"/>
    <n v="0"/>
    <n v="0"/>
  </r>
  <r>
    <x v="20"/>
    <x v="21"/>
    <x v="46"/>
    <x v="47"/>
    <n v="10294721.162142074"/>
    <n v="0.92402183734006804"/>
    <n v="10417949.309446694"/>
    <n v="0.91952493182964234"/>
    <m/>
    <n v="3988915"/>
    <n v="3851659"/>
    <n v="137256"/>
    <n v="3.5635553406986444"/>
    <n v="742.77634195727001"/>
    <n v="726.18803419117"/>
  </r>
  <r>
    <x v="20"/>
    <x v="21"/>
    <x v="25"/>
    <x v="26"/>
    <n v="846488.65144516155"/>
    <n v="7.5978162659931986E-2"/>
    <n v="911759.05280225503"/>
    <n v="8.0475068170357628E-2"/>
    <m/>
    <n v="349102"/>
    <n v="316705"/>
    <n v="32397"/>
    <n v="10.229393283970888"/>
    <n v="42.057416266049998"/>
    <n v="45.00000000288"/>
  </r>
  <r>
    <x v="20"/>
    <x v="1"/>
    <x v="2"/>
    <x v="2"/>
    <n v="0"/>
    <n v="0"/>
    <n v="0"/>
    <n v="0"/>
    <m/>
    <n v="0"/>
    <n v="0"/>
    <n v="0"/>
    <n v="0"/>
    <n v="0"/>
    <n v="0"/>
  </r>
  <r>
    <x v="20"/>
    <x v="21"/>
    <x v="3"/>
    <x v="3"/>
    <n v="11141209.813587235"/>
    <n v="1"/>
    <n v="11329708.36224895"/>
    <n v="1"/>
    <n v="4338017"/>
    <n v="4338017"/>
    <n v="4168364"/>
    <n v="169653"/>
    <n v="4.0700140390810402"/>
    <n v="784.83375822332005"/>
    <n v="771.18803419405003"/>
  </r>
  <r>
    <x v="21"/>
    <x v="22"/>
    <x v="47"/>
    <x v="48"/>
    <n v="261641.76000000004"/>
    <n v="8.3916606743312486E-2"/>
    <n v="250517.91"/>
    <n v="8.4639467633270696E-2"/>
    <m/>
    <n v="198708"/>
    <n v="189361"/>
    <n v="9347"/>
    <n v="4.9360744820739226"/>
    <n v="14"/>
    <n v="13"/>
  </r>
  <r>
    <x v="21"/>
    <x v="22"/>
    <x v="48"/>
    <x v="49"/>
    <n v="2856236.454503125"/>
    <n v="0.91608339325668742"/>
    <n v="2709305.8814899717"/>
    <n v="0.91536053236672921"/>
    <m/>
    <n v="2148988"/>
    <n v="2067171"/>
    <n v="81817"/>
    <n v="3.9579212363176532"/>
    <n v="199.70668396823999"/>
    <n v="184.10824742016001"/>
  </r>
  <r>
    <x v="21"/>
    <x v="1"/>
    <x v="2"/>
    <x v="2"/>
    <n v="0"/>
    <n v="0"/>
    <n v="0"/>
    <n v="0"/>
    <m/>
    <n v="0"/>
    <n v="0"/>
    <n v="0"/>
    <n v="0"/>
    <n v="0"/>
    <n v="0"/>
  </r>
  <r>
    <x v="21"/>
    <x v="1"/>
    <x v="2"/>
    <x v="2"/>
    <n v="0"/>
    <n v="0"/>
    <n v="0"/>
    <n v="0"/>
    <m/>
    <n v="0"/>
    <n v="0"/>
    <n v="0"/>
    <n v="0"/>
    <n v="0"/>
    <n v="0"/>
  </r>
  <r>
    <x v="21"/>
    <x v="22"/>
    <x v="3"/>
    <x v="3"/>
    <n v="3117878.2145031253"/>
    <n v="0.99999999999999989"/>
    <n v="2959823.7914899718"/>
    <n v="0.99999999999999989"/>
    <n v="2347696"/>
    <n v="2347696"/>
    <n v="2256532"/>
    <n v="91164"/>
    <n v="4.0400047506527716"/>
    <n v="213.70668396823999"/>
    <n v="197.10824742016001"/>
  </r>
  <r>
    <x v="22"/>
    <x v="23"/>
    <x v="49"/>
    <x v="50"/>
    <n v="33265363.043120004"/>
    <n v="0.97844643397163145"/>
    <n v="34828204.54556001"/>
    <n v="0.97835296871772304"/>
    <m/>
    <n v="28733269"/>
    <n v="27443924"/>
    <n v="1289345"/>
    <n v="4.6981073114763037"/>
    <n v="2549"/>
    <n v="2579"/>
  </r>
  <r>
    <x v="22"/>
    <x v="23"/>
    <x v="50"/>
    <x v="51"/>
    <n v="732781.24781670235"/>
    <n v="2.1553566028368453E-2"/>
    <n v="770608.62225564034"/>
    <n v="2.1647031282277018E-2"/>
    <m/>
    <n v="635752"/>
    <n v="604545"/>
    <n v="31207"/>
    <n v="5.1620640316270912"/>
    <n v="37.999999995300001"/>
    <n v="38.99999999808"/>
  </r>
  <r>
    <x v="22"/>
    <x v="1"/>
    <x v="2"/>
    <x v="18"/>
    <n v="0"/>
    <n v="0"/>
    <n v="0"/>
    <n v="0"/>
    <m/>
    <n v="0"/>
    <n v="0"/>
    <n v="0"/>
    <n v="0"/>
    <n v="0"/>
    <n v="0"/>
  </r>
  <r>
    <x v="22"/>
    <x v="1"/>
    <x v="2"/>
    <x v="2"/>
    <n v="0"/>
    <n v="0"/>
    <n v="0"/>
    <n v="0"/>
    <m/>
    <n v="0"/>
    <n v="0"/>
    <n v="0"/>
    <n v="0"/>
    <n v="0"/>
    <n v="0"/>
  </r>
  <r>
    <x v="22"/>
    <x v="23"/>
    <x v="3"/>
    <x v="3"/>
    <n v="33998144.290936708"/>
    <n v="0.99999999999999989"/>
    <n v="35598813.167815648"/>
    <n v="1"/>
    <n v="29369021"/>
    <n v="29369021"/>
    <n v="28048469"/>
    <n v="1320552"/>
    <n v="4.7081072410761529"/>
    <n v="2586.9999999953002"/>
    <n v="2617.9999999980801"/>
  </r>
  <r>
    <x v="23"/>
    <x v="24"/>
    <x v="51"/>
    <x v="52"/>
    <n v="27713334.379999995"/>
    <n v="0.92483591537650744"/>
    <n v="27898291.619999997"/>
    <n v="0.91692603782234705"/>
    <m/>
    <n v="14251380"/>
    <n v="13763232"/>
    <n v="488148"/>
    <n v="3.546754134493991"/>
    <n v="2152"/>
    <n v="2106"/>
  </r>
  <r>
    <x v="23"/>
    <x v="24"/>
    <x v="52"/>
    <x v="53"/>
    <n v="2252342.6868532035"/>
    <n v="7.5164084623492541E-2"/>
    <n v="2527599.3125522411"/>
    <n v="8.3073962177653046E-2"/>
    <m/>
    <n v="1291182"/>
    <n v="1118578"/>
    <n v="172604"/>
    <n v="15.43066285945191"/>
    <n v="106.00000000044"/>
    <n v="116.00000000295"/>
  </r>
  <r>
    <x v="23"/>
    <x v="1"/>
    <x v="2"/>
    <x v="2"/>
    <n v="0"/>
    <n v="0"/>
    <n v="0"/>
    <n v="0"/>
    <m/>
    <n v="0"/>
    <n v="0"/>
    <n v="0"/>
    <n v="0"/>
    <n v="0"/>
    <n v="0"/>
  </r>
  <r>
    <x v="23"/>
    <x v="1"/>
    <x v="2"/>
    <x v="2"/>
    <n v="0"/>
    <n v="0"/>
    <n v="0"/>
    <n v="0"/>
    <m/>
    <n v="0"/>
    <n v="0"/>
    <n v="0"/>
    <n v="0"/>
    <n v="0"/>
    <n v="0"/>
  </r>
  <r>
    <x v="23"/>
    <x v="24"/>
    <x v="3"/>
    <x v="3"/>
    <n v="29965677.066853199"/>
    <n v="1"/>
    <n v="30425890.932552237"/>
    <n v="1"/>
    <n v="15542562"/>
    <n v="15542562"/>
    <n v="14881810"/>
    <n v="660752"/>
    <n v="4.4399975540609642"/>
    <n v="2258.0000000004402"/>
    <n v="2222.0000000029499"/>
  </r>
  <r>
    <x v="24"/>
    <x v="25"/>
    <x v="53"/>
    <x v="54"/>
    <n v="29660512.23"/>
    <n v="0.94332109623550786"/>
    <n v="30088447.590000004"/>
    <n v="0.94412941104229153"/>
    <m/>
    <n v="20822076"/>
    <n v="19686080"/>
    <n v="1135996"/>
    <n v="5.7705546254002824"/>
    <n v="2175"/>
    <n v="2175"/>
  </r>
  <r>
    <x v="24"/>
    <x v="25"/>
    <x v="54"/>
    <x v="55"/>
    <n v="1416181.1527912768"/>
    <n v="4.5040137781839393E-2"/>
    <n v="1472203.4469166964"/>
    <n v="4.6195489784386444E-2"/>
    <m/>
    <n v="1018807"/>
    <n v="939938"/>
    <n v="78869"/>
    <n v="8.3908725894686675"/>
    <n v="75.000000003080004"/>
    <n v="76.000000000080007"/>
  </r>
  <r>
    <x v="24"/>
    <x v="25"/>
    <x v="39"/>
    <x v="40"/>
    <n v="365953.61022690072"/>
    <n v="1.1638765982652814E-2"/>
    <n v="308335.60632665508"/>
    <n v="9.6750991733220455E-3"/>
    <m/>
    <n v="213377"/>
    <n v="242888"/>
    <n v="-29511"/>
    <n v="-12.150044464938572"/>
    <n v="17.000000000170001"/>
    <n v="13.9999999992"/>
  </r>
  <r>
    <x v="24"/>
    <x v="1"/>
    <x v="2"/>
    <x v="2"/>
    <n v="0"/>
    <n v="0"/>
    <n v="0"/>
    <n v="0"/>
    <m/>
    <n v="0"/>
    <n v="0"/>
    <n v="0"/>
    <n v="0"/>
    <n v="0"/>
    <n v="0"/>
  </r>
  <r>
    <x v="24"/>
    <x v="25"/>
    <x v="3"/>
    <x v="3"/>
    <n v="31442646.993018176"/>
    <n v="1"/>
    <n v="31868986.643243354"/>
    <n v="1"/>
    <n v="22054261"/>
    <n v="22054260"/>
    <n v="20868906"/>
    <n v="1185354"/>
    <n v="5.6800006670210692"/>
    <n v="2267.0000000032501"/>
    <n v="2264.9999999992801"/>
  </r>
  <r>
    <x v="25"/>
    <x v="26"/>
    <x v="55"/>
    <x v="56"/>
    <n v="57423975.883839987"/>
    <n v="1"/>
    <n v="59533725.074059986"/>
    <n v="1"/>
    <m/>
    <n v="47889465"/>
    <n v="45639441"/>
    <n v="2250024"/>
    <n v="4.9299990330731704"/>
    <n v="4505"/>
    <n v="4521"/>
  </r>
  <r>
    <x v="25"/>
    <x v="27"/>
    <x v="2"/>
    <x v="18"/>
    <n v="0"/>
    <n v="0"/>
    <n v="0"/>
    <n v="0"/>
    <m/>
    <n v="0"/>
    <n v="0"/>
    <n v="0"/>
    <n v="0"/>
    <n v="0"/>
    <n v="0"/>
  </r>
  <r>
    <x v="25"/>
    <x v="1"/>
    <x v="2"/>
    <x v="2"/>
    <n v="0"/>
    <n v="0"/>
    <n v="0"/>
    <n v="0"/>
    <m/>
    <n v="0"/>
    <n v="0"/>
    <n v="0"/>
    <n v="0"/>
    <n v="0"/>
    <n v="0"/>
  </r>
  <r>
    <x v="25"/>
    <x v="1"/>
    <x v="2"/>
    <x v="2"/>
    <n v="0"/>
    <n v="0"/>
    <n v="0"/>
    <n v="0"/>
    <m/>
    <n v="0"/>
    <n v="0"/>
    <n v="0"/>
    <n v="0"/>
    <n v="0"/>
    <n v="0"/>
  </r>
  <r>
    <x v="25"/>
    <x v="26"/>
    <x v="3"/>
    <x v="3"/>
    <n v="57423975.883839987"/>
    <n v="1"/>
    <n v="59533725.074059986"/>
    <n v="1"/>
    <n v="47889465"/>
    <n v="47889465"/>
    <n v="45639441"/>
    <n v="2250024"/>
    <n v="4.9299990330731704"/>
    <n v="4505"/>
    <n v="4521"/>
  </r>
  <r>
    <x v="26"/>
    <x v="28"/>
    <x v="56"/>
    <x v="57"/>
    <n v="8929788.1399999987"/>
    <n v="0.6046882924687379"/>
    <n v="8895289.5700000003"/>
    <n v="0.59783887544303205"/>
    <m/>
    <n v="5017565"/>
    <n v="4777868"/>
    <n v="239697"/>
    <n v="5.0168192172743158"/>
    <n v="698"/>
    <n v="682"/>
  </r>
  <r>
    <x v="26"/>
    <x v="28"/>
    <x v="57"/>
    <x v="58"/>
    <n v="3647366.8512679655"/>
    <n v="0.24698458672506687"/>
    <n v="3436437.9041282879"/>
    <n v="0.2309577620792243"/>
    <m/>
    <n v="1938391"/>
    <n v="1951517"/>
    <n v="-13126"/>
    <n v="-0.67260495296735823"/>
    <n v="257.51606425298002"/>
    <n v="231.99999999734999"/>
  </r>
  <r>
    <x v="26"/>
    <x v="28"/>
    <x v="58"/>
    <x v="59"/>
    <n v="1864635.2451007736"/>
    <n v="0.12626538107734028"/>
    <n v="2255481.6339132669"/>
    <n v="0.15158748829816002"/>
    <m/>
    <n v="1272249"/>
    <n v="997670"/>
    <n v="274579"/>
    <n v="27.522026321328696"/>
    <n v="92.49047982239999"/>
    <n v="111.32695140036"/>
  </r>
  <r>
    <x v="26"/>
    <x v="28"/>
    <x v="9"/>
    <x v="9"/>
    <n v="325798.70361667447"/>
    <n v="2.2061739728854904E-2"/>
    <n v="291866.06653302186"/>
    <n v="1.9615874179583673E-2"/>
    <m/>
    <n v="164633"/>
    <n v="174318"/>
    <n v="-9685"/>
    <n v="-5.5559379983707933"/>
    <n v="16.000000002149999"/>
    <n v="13.999999997970001"/>
  </r>
  <r>
    <x v="26"/>
    <x v="28"/>
    <x v="3"/>
    <x v="3"/>
    <n v="14767588.939985413"/>
    <n v="1"/>
    <n v="14879075.174574576"/>
    <n v="1.0000000000000002"/>
    <n v="8392839"/>
    <n v="8392838"/>
    <n v="7901373"/>
    <n v="491465"/>
    <n v="6.2199949299950781"/>
    <n v="1064.00654407753"/>
    <n v="1039.32695139568"/>
  </r>
  <r>
    <x v="27"/>
    <x v="29"/>
    <x v="59"/>
    <x v="60"/>
    <n v="0"/>
    <n v="0"/>
    <n v="0"/>
    <n v="0"/>
    <m/>
    <n v="0"/>
    <n v="0"/>
    <n v="0"/>
    <n v="0"/>
    <n v="0"/>
    <n v="0"/>
  </r>
  <r>
    <x v="27"/>
    <x v="29"/>
    <x v="60"/>
    <x v="61"/>
    <n v="4843565.8674703222"/>
    <n v="0.83298218680157909"/>
    <n v="5315826.4740521973"/>
    <n v="0.8625110515743436"/>
    <m/>
    <n v="3750867"/>
    <n v="3383257"/>
    <n v="367610"/>
    <n v="10.86556534132642"/>
    <n v="389.67128712752003"/>
    <n v="415.63172804984998"/>
  </r>
  <r>
    <x v="27"/>
    <x v="29"/>
    <x v="61"/>
    <x v="62"/>
    <n v="971163.35989559989"/>
    <n v="0.16701781319842091"/>
    <n v="847371.62566977821"/>
    <n v="0.1374889484256564"/>
    <m/>
    <n v="597909"/>
    <n v="678363"/>
    <n v="-80454"/>
    <n v="-11.86002184671039"/>
    <n v="44.000000004069996"/>
    <n v="37.000000001050005"/>
  </r>
  <r>
    <x v="27"/>
    <x v="1"/>
    <x v="2"/>
    <x v="2"/>
    <n v="0"/>
    <n v="0"/>
    <n v="0"/>
    <n v="0"/>
    <m/>
    <n v="0"/>
    <n v="0"/>
    <n v="0"/>
    <n v="0"/>
    <n v="0"/>
    <n v="0"/>
  </r>
  <r>
    <x v="27"/>
    <x v="29"/>
    <x v="3"/>
    <x v="3"/>
    <n v="5814729.2273659222"/>
    <n v="1"/>
    <n v="6163198.0997219756"/>
    <n v="1"/>
    <n v="4348776"/>
    <n v="4348776"/>
    <n v="4061620"/>
    <n v="287156"/>
    <n v="7.0699868525366725"/>
    <n v="433.67128713159002"/>
    <n v="452.63172805089999"/>
  </r>
  <r>
    <x v="28"/>
    <x v="30"/>
    <x v="62"/>
    <x v="63"/>
    <n v="0"/>
    <n v="0"/>
    <n v="0"/>
    <n v="0"/>
    <m/>
    <n v="0"/>
    <n v="0"/>
    <n v="0"/>
    <n v="0"/>
    <n v="0"/>
    <n v="0"/>
  </r>
  <r>
    <x v="28"/>
    <x v="30"/>
    <x v="63"/>
    <x v="64"/>
    <n v="3105454.8823304903"/>
    <n v="0.85328256448704143"/>
    <n v="3076751.2574521811"/>
    <n v="0.82432280843611394"/>
    <m/>
    <n v="1656501"/>
    <n v="1622998"/>
    <n v="33503"/>
    <n v="2.0642662529467071"/>
    <n v="224.86254295736001"/>
    <n v="219.20664206630002"/>
  </r>
  <r>
    <x v="28"/>
    <x v="30"/>
    <x v="64"/>
    <x v="65"/>
    <n v="533966.58434082626"/>
    <n v="0.14671743551295865"/>
    <n v="655707.95144599548"/>
    <n v="0.17567719156388603"/>
    <m/>
    <n v="353029"/>
    <n v="279066"/>
    <n v="73963"/>
    <n v="26.503766134176146"/>
    <n v="24.9999999984"/>
    <n v="29.999999998050001"/>
  </r>
  <r>
    <x v="28"/>
    <x v="1"/>
    <x v="2"/>
    <x v="2"/>
    <n v="0"/>
    <n v="0"/>
    <n v="0"/>
    <n v="0"/>
    <m/>
    <n v="0"/>
    <n v="0"/>
    <n v="0"/>
    <n v="0"/>
    <n v="0"/>
    <n v="0"/>
  </r>
  <r>
    <x v="28"/>
    <x v="30"/>
    <x v="3"/>
    <x v="3"/>
    <n v="3639421.4666713164"/>
    <n v="1"/>
    <n v="3732459.2088981764"/>
    <n v="1"/>
    <n v="2009530"/>
    <n v="2009530"/>
    <n v="1902064"/>
    <n v="107466"/>
    <n v="5.6499676141286521"/>
    <n v="249.86254295576001"/>
    <n v="249.20664206435004"/>
  </r>
  <r>
    <x v="29"/>
    <x v="31"/>
    <x v="65"/>
    <x v="66"/>
    <n v="61798815.259999998"/>
    <n v="0.94797095007330001"/>
    <n v="62707090.120000005"/>
    <n v="0.94010815776282886"/>
    <m/>
    <n v="49168020"/>
    <n v="47254334"/>
    <n v="1913686"/>
    <n v="4.0497576370455244"/>
    <n v="4541"/>
    <n v="4466"/>
  </r>
  <r>
    <x v="29"/>
    <x v="31"/>
    <x v="66"/>
    <x v="67"/>
    <n v="3391806.0931348493"/>
    <n v="5.2029049926700016E-2"/>
    <n v="3994905.3921161601"/>
    <n v="5.9891842237171158E-2"/>
    <m/>
    <n v="3132367"/>
    <n v="2593537"/>
    <n v="538830"/>
    <n v="20.775874799549804"/>
    <n v="172.00000000473"/>
    <n v="198.00000000702002"/>
  </r>
  <r>
    <x v="29"/>
    <x v="1"/>
    <x v="2"/>
    <x v="18"/>
    <n v="0"/>
    <n v="0"/>
    <n v="0"/>
    <n v="0"/>
    <m/>
    <n v="0"/>
    <n v="0"/>
    <n v="0"/>
    <n v="0"/>
    <n v="0"/>
    <n v="0"/>
  </r>
  <r>
    <x v="29"/>
    <x v="1"/>
    <x v="2"/>
    <x v="2"/>
    <n v="0"/>
    <n v="0"/>
    <n v="0"/>
    <n v="0"/>
    <m/>
    <n v="0"/>
    <n v="0"/>
    <n v="0"/>
    <n v="0"/>
    <n v="0"/>
    <n v="0"/>
  </r>
  <r>
    <x v="29"/>
    <x v="31"/>
    <x v="3"/>
    <x v="3"/>
    <n v="65190621.353134848"/>
    <n v="1"/>
    <n v="66701995.512116164"/>
    <n v="1"/>
    <n v="52300387"/>
    <n v="52300387"/>
    <n v="49847871"/>
    <n v="2452516"/>
    <n v="4.9200014981582667"/>
    <n v="4713.0000000047303"/>
    <n v="4664.0000000070204"/>
  </r>
  <r>
    <x v="30"/>
    <x v="32"/>
    <x v="67"/>
    <x v="68"/>
    <n v="63590856.680000007"/>
    <n v="0.87618386508407153"/>
    <n v="65232366.109999992"/>
    <n v="0.87537677057818808"/>
    <m/>
    <n v="52490595"/>
    <n v="49635324"/>
    <n v="2855271"/>
    <n v="5.7524979589132936"/>
    <n v="4879"/>
    <n v="4925"/>
  </r>
  <r>
    <x v="30"/>
    <x v="32"/>
    <x v="50"/>
    <x v="51"/>
    <n v="8986212.1455008425"/>
    <n v="0.12381613491592852"/>
    <n v="9286821.8585291319"/>
    <n v="0.12462322942181193"/>
    <m/>
    <n v="7472836"/>
    <n v="7014115"/>
    <n v="458721"/>
    <n v="6.5399697609748344"/>
    <n v="466.00000000575"/>
    <n v="470.00000000604001"/>
  </r>
  <r>
    <x v="30"/>
    <x v="1"/>
    <x v="2"/>
    <x v="18"/>
    <n v="0"/>
    <n v="0"/>
    <n v="0"/>
    <n v="0"/>
    <m/>
    <n v="0"/>
    <n v="0"/>
    <n v="0"/>
    <n v="0"/>
    <n v="0"/>
    <n v="0"/>
  </r>
  <r>
    <x v="30"/>
    <x v="1"/>
    <x v="2"/>
    <x v="2"/>
    <n v="0"/>
    <n v="0"/>
    <n v="0"/>
    <n v="0"/>
    <m/>
    <n v="0"/>
    <n v="0"/>
    <n v="0"/>
    <n v="0"/>
    <n v="0"/>
    <n v="0"/>
  </r>
  <r>
    <x v="30"/>
    <x v="32"/>
    <x v="3"/>
    <x v="3"/>
    <n v="72577068.825500846"/>
    <n v="1"/>
    <n v="74519187.96852912"/>
    <n v="1"/>
    <n v="59963431"/>
    <n v="59963431"/>
    <n v="56649439"/>
    <n v="3313992"/>
    <n v="5.8499996796084774"/>
    <n v="5345.0000000057498"/>
    <n v="5395.00000000604"/>
  </r>
  <r>
    <x v="31"/>
    <x v="33"/>
    <x v="68"/>
    <x v="69"/>
    <n v="393567.83999999997"/>
    <n v="2.2649642950160569E-2"/>
    <n v="317959.23"/>
    <n v="1.769945288892304E-2"/>
    <m/>
    <n v="163461"/>
    <n v="197879"/>
    <n v="-34418"/>
    <n v="-17.393457618039307"/>
    <n v="22"/>
    <n v="17"/>
  </r>
  <r>
    <x v="31"/>
    <x v="33"/>
    <x v="69"/>
    <x v="70"/>
    <n v="15849824.730998944"/>
    <n v="0.91214991290891778"/>
    <n v="16561612.870151637"/>
    <n v="0.9219153246780426"/>
    <m/>
    <n v="8514234"/>
    <n v="7969016"/>
    <n v="545218"/>
    <n v="6.8417229931524792"/>
    <n v="1179.64669548954"/>
    <n v="1194.07366482934"/>
  </r>
  <r>
    <x v="31"/>
    <x v="33"/>
    <x v="54"/>
    <x v="55"/>
    <n v="1132944.9220920831"/>
    <n v="6.520044414092159E-2"/>
    <n v="1084781.4872403452"/>
    <n v="6.0385222433034458E-2"/>
    <m/>
    <n v="557680"/>
    <n v="569625"/>
    <n v="-11945"/>
    <n v="-2.096993636164143"/>
    <n v="59.999999994999996"/>
    <n v="56.000000002050001"/>
  </r>
  <r>
    <x v="31"/>
    <x v="1"/>
    <x v="2"/>
    <x v="2"/>
    <n v="0"/>
    <n v="0"/>
    <n v="0"/>
    <n v="0"/>
    <m/>
    <n v="0"/>
    <n v="0"/>
    <n v="0"/>
    <n v="0"/>
    <n v="0"/>
    <n v="0"/>
  </r>
  <r>
    <x v="31"/>
    <x v="33"/>
    <x v="3"/>
    <x v="3"/>
    <n v="17376337.493091028"/>
    <n v="1"/>
    <n v="17964353.58739198"/>
    <n v="1"/>
    <n v="9235375"/>
    <n v="9235375"/>
    <n v="8736520"/>
    <n v="498855"/>
    <n v="5.7099966577081034"/>
    <n v="1261.64669548454"/>
    <n v="1267.07366483139"/>
  </r>
  <r>
    <x v="32"/>
    <x v="34"/>
    <x v="70"/>
    <x v="71"/>
    <n v="245151"/>
    <n v="0.16331458685841688"/>
    <n v="250517.91"/>
    <n v="0.1464015552756234"/>
    <m/>
    <n v="172932"/>
    <n v="186549"/>
    <n v="-13617"/>
    <n v="-7.2994226717913255"/>
    <n v="13"/>
    <n v="13"/>
  </r>
  <r>
    <x v="32"/>
    <x v="34"/>
    <x v="71"/>
    <x v="72"/>
    <n v="1255945.7771821262"/>
    <n v="0.83668541314158307"/>
    <n v="1460651.8212802559"/>
    <n v="0.85359844472437663"/>
    <m/>
    <n v="1008285"/>
    <n v="955717"/>
    <n v="52568"/>
    <n v="5.5003730183725938"/>
    <n v="85.309756100819996"/>
    <n v="93.38509316775"/>
  </r>
  <r>
    <x v="32"/>
    <x v="1"/>
    <x v="2"/>
    <x v="2"/>
    <n v="0"/>
    <n v="0"/>
    <n v="0"/>
    <n v="0"/>
    <m/>
    <n v="0"/>
    <n v="0"/>
    <n v="0"/>
    <n v="0"/>
    <n v="0"/>
    <n v="0"/>
  </r>
  <r>
    <x v="32"/>
    <x v="1"/>
    <x v="2"/>
    <x v="2"/>
    <n v="0"/>
    <n v="0"/>
    <n v="0"/>
    <n v="0"/>
    <m/>
    <n v="0"/>
    <n v="0"/>
    <n v="0"/>
    <n v="0"/>
    <n v="0"/>
    <n v="0"/>
  </r>
  <r>
    <x v="32"/>
    <x v="34"/>
    <x v="3"/>
    <x v="3"/>
    <n v="1501096.7771821262"/>
    <n v="1"/>
    <n v="1711169.7312802558"/>
    <n v="1"/>
    <n v="1181217"/>
    <n v="1181217"/>
    <n v="1142266"/>
    <n v="38951"/>
    <n v="3.4099763102464751"/>
    <n v="98.309756100819996"/>
    <n v="106.38509316775"/>
  </r>
  <r>
    <x v="33"/>
    <x v="35"/>
    <x v="72"/>
    <x v="73"/>
    <n v="0"/>
    <n v="0"/>
    <n v="0"/>
    <n v="0"/>
    <m/>
    <n v="0"/>
    <n v="0"/>
    <n v="0"/>
    <n v="0"/>
    <n v="0"/>
    <n v="0"/>
  </r>
  <r>
    <x v="33"/>
    <x v="35"/>
    <x v="73"/>
    <x v="74"/>
    <n v="12637109.936949397"/>
    <n v="0.94833164434859141"/>
    <n v="12919235.342545351"/>
    <n v="0.94500568700589616"/>
    <m/>
    <n v="10432433"/>
    <n v="10037536"/>
    <n v="394897"/>
    <n v="3.9342025772061988"/>
    <n v="1010.6155315213099"/>
    <n v="1006.2881844373801"/>
  </r>
  <r>
    <x v="33"/>
    <x v="35"/>
    <x v="6"/>
    <x v="6"/>
    <n v="688513.02655491768"/>
    <n v="5.1668355651408551E-2"/>
    <n v="751830.89566739765"/>
    <n v="5.4994312994103837E-2"/>
    <m/>
    <n v="607112"/>
    <n v="546879"/>
    <n v="60233"/>
    <n v="11.013953726509886"/>
    <n v="32.999999998500002"/>
    <n v="36.00000000024"/>
  </r>
  <r>
    <x v="33"/>
    <x v="1"/>
    <x v="2"/>
    <x v="2"/>
    <n v="0"/>
    <n v="0"/>
    <n v="0"/>
    <n v="0"/>
    <m/>
    <n v="0"/>
    <n v="0"/>
    <n v="0"/>
    <n v="0"/>
    <n v="0"/>
    <n v="0"/>
  </r>
  <r>
    <x v="33"/>
    <x v="35"/>
    <x v="3"/>
    <x v="3"/>
    <n v="13325622.963504314"/>
    <n v="1"/>
    <n v="13671066.238212749"/>
    <n v="1"/>
    <n v="11039545"/>
    <n v="11039545"/>
    <n v="10584415"/>
    <n v="455130"/>
    <n v="4.3000014644172584"/>
    <n v="1043.6155315198098"/>
    <n v="1042.2881844376202"/>
  </r>
  <r>
    <x v="34"/>
    <x v="36"/>
    <x v="74"/>
    <x v="75"/>
    <n v="1095713386.0691998"/>
    <n v="1"/>
    <n v="1145949554.1332099"/>
    <n v="1"/>
    <m/>
    <n v="945408382"/>
    <n v="880485066"/>
    <n v="64923316"/>
    <n v="7.3735851415337921"/>
    <n v="57738"/>
    <n v="57369"/>
  </r>
  <r>
    <x v="34"/>
    <x v="1"/>
    <x v="2"/>
    <x v="18"/>
    <n v="0"/>
    <n v="0"/>
    <n v="0"/>
    <n v="0"/>
    <m/>
    <n v="0"/>
    <n v="0"/>
    <n v="0"/>
    <n v="0"/>
    <n v="0"/>
    <n v="0"/>
  </r>
  <r>
    <x v="34"/>
    <x v="1"/>
    <x v="2"/>
    <x v="2"/>
    <n v="0"/>
    <n v="0"/>
    <n v="0"/>
    <n v="0"/>
    <m/>
    <n v="0"/>
    <n v="0"/>
    <n v="0"/>
    <n v="0"/>
    <n v="0"/>
    <n v="0"/>
  </r>
  <r>
    <x v="34"/>
    <x v="1"/>
    <x v="2"/>
    <x v="2"/>
    <n v="0"/>
    <n v="0"/>
    <n v="0"/>
    <n v="0"/>
    <m/>
    <n v="0"/>
    <n v="0"/>
    <n v="0"/>
    <n v="0"/>
    <n v="0"/>
    <n v="0"/>
  </r>
  <r>
    <x v="34"/>
    <x v="36"/>
    <x v="3"/>
    <x v="3"/>
    <n v="1095713386.0691998"/>
    <n v="1"/>
    <n v="1145949554.1332099"/>
    <n v="1"/>
    <n v="945408382"/>
    <n v="945408382"/>
    <n v="880485066"/>
    <n v="64923316"/>
    <n v="7.3735851415337921"/>
    <n v="57738"/>
    <n v="57369"/>
  </r>
  <r>
    <x v="35"/>
    <x v="37"/>
    <x v="75"/>
    <x v="76"/>
    <n v="22858350.509999994"/>
    <n v="0.84980756347126463"/>
    <n v="24109451.629999992"/>
    <n v="0.85074445374634478"/>
    <m/>
    <n v="19319804"/>
    <n v="18409357"/>
    <n v="910447"/>
    <n v="4.9455665398851245"/>
    <n v="1678"/>
    <n v="1698"/>
  </r>
  <r>
    <x v="35"/>
    <x v="37"/>
    <x v="76"/>
    <x v="77"/>
    <n v="4039916.2183272927"/>
    <n v="0.15019243652873546"/>
    <n v="4229788.8126869136"/>
    <n v="0.14925554625365528"/>
    <m/>
    <n v="3389488"/>
    <n v="3253614"/>
    <n v="135874"/>
    <n v="4.1760946442940066"/>
    <n v="192.97338402680001"/>
    <n v="199.69988276792"/>
  </r>
  <r>
    <x v="35"/>
    <x v="1"/>
    <x v="2"/>
    <x v="2"/>
    <n v="0"/>
    <n v="0"/>
    <n v="0"/>
    <n v="0"/>
    <m/>
    <n v="0"/>
    <n v="0"/>
    <n v="0"/>
    <n v="0"/>
    <n v="0"/>
    <n v="0"/>
  </r>
  <r>
    <x v="35"/>
    <x v="1"/>
    <x v="2"/>
    <x v="2"/>
    <n v="0"/>
    <n v="0"/>
    <n v="0"/>
    <n v="0"/>
    <m/>
    <n v="0"/>
    <n v="0"/>
    <n v="0"/>
    <n v="0"/>
    <n v="0"/>
    <n v="0"/>
  </r>
  <r>
    <x v="35"/>
    <x v="37"/>
    <x v="3"/>
    <x v="3"/>
    <n v="26898266.728327285"/>
    <n v="1"/>
    <n v="28339240.442686904"/>
    <n v="1"/>
    <n v="22709292"/>
    <n v="22709292"/>
    <n v="21662971"/>
    <n v="1046321"/>
    <n v="4.8299976951453241"/>
    <n v="1870.9733840268"/>
    <n v="1897.6998827679199"/>
  </r>
  <r>
    <x v="36"/>
    <x v="38"/>
    <x v="77"/>
    <x v="78"/>
    <n v="107478.84312000001"/>
    <n v="9.6490433356762832E-3"/>
    <n v="90908.905050000016"/>
    <n v="7.7690352429230485E-3"/>
    <m/>
    <n v="69316"/>
    <n v="82107"/>
    <n v="-12791"/>
    <n v="-15.578452507094401"/>
    <n v="6"/>
    <n v="5"/>
  </r>
  <r>
    <x v="36"/>
    <x v="38"/>
    <x v="5"/>
    <x v="5"/>
    <n v="11031329.366250223"/>
    <n v="0.99035095666432382"/>
    <n v="11610531.776765743"/>
    <n v="0.99223096475707695"/>
    <m/>
    <n v="8852771"/>
    <n v="8427275"/>
    <n v="425496"/>
    <n v="5.0490342370457828"/>
    <n v="859.81165393799995"/>
    <n v="877.719714952"/>
  </r>
  <r>
    <x v="36"/>
    <x v="27"/>
    <x v="2"/>
    <x v="18"/>
    <n v="0"/>
    <n v="0"/>
    <n v="0"/>
    <n v="0"/>
    <m/>
    <n v="0"/>
    <n v="0"/>
    <n v="0"/>
    <n v="0"/>
    <n v="0"/>
    <n v="0"/>
  </r>
  <r>
    <x v="36"/>
    <x v="1"/>
    <x v="2"/>
    <x v="2"/>
    <n v="0"/>
    <n v="0"/>
    <n v="0"/>
    <n v="0"/>
    <m/>
    <n v="0"/>
    <n v="0"/>
    <n v="0"/>
    <n v="0"/>
    <n v="0"/>
    <n v="0"/>
  </r>
  <r>
    <x v="36"/>
    <x v="39"/>
    <x v="3"/>
    <x v="3"/>
    <n v="11138808.209370222"/>
    <n v="1"/>
    <n v="11701440.681815743"/>
    <n v="1"/>
    <n v="8922087"/>
    <n v="8922087"/>
    <n v="8509382"/>
    <n v="412705"/>
    <n v="4.849999682703162"/>
    <n v="865.81165393799995"/>
    <n v="882.719714952"/>
  </r>
  <r>
    <x v="37"/>
    <x v="40"/>
    <x v="78"/>
    <x v="79"/>
    <n v="8528050.2678800002"/>
    <n v="0.50843132196794627"/>
    <n v="9024222.1102399994"/>
    <n v="0.51700259787398173"/>
    <m/>
    <n v="7139841"/>
    <n v="6718468"/>
    <n v="421373"/>
    <n v="6.2718613826842669"/>
    <n v="721"/>
    <n v="745"/>
  </r>
  <r>
    <x v="37"/>
    <x v="40"/>
    <x v="79"/>
    <x v="80"/>
    <n v="7811373.1100884592"/>
    <n v="0.46570395717595076"/>
    <n v="7926258.0023105806"/>
    <n v="0.45409963635137335"/>
    <m/>
    <n v="6271147"/>
    <n v="6153864"/>
    <n v="117283"/>
    <n v="1.9058432230546531"/>
    <n v="605.75108628783005"/>
    <n v="594.13095994295998"/>
  </r>
  <r>
    <x v="37"/>
    <x v="40"/>
    <x v="66"/>
    <x v="67"/>
    <n v="433835.66294020851"/>
    <n v="2.5864720856102991E-2"/>
    <n v="504407.24652538839"/>
    <n v="2.8897765774644958E-2"/>
    <m/>
    <n v="399080"/>
    <n v="341779"/>
    <n v="57301"/>
    <n v="16.765512216958911"/>
    <n v="21.999999993749999"/>
    <n v="25.000000003169998"/>
  </r>
  <r>
    <x v="37"/>
    <x v="1"/>
    <x v="2"/>
    <x v="18"/>
    <n v="0"/>
    <n v="0"/>
    <n v="0"/>
    <n v="0"/>
    <m/>
    <n v="0"/>
    <n v="0"/>
    <n v="0"/>
    <n v="0"/>
    <n v="0"/>
    <n v="0"/>
  </r>
  <r>
    <x v="37"/>
    <x v="41"/>
    <x v="3"/>
    <x v="3"/>
    <n v="16773259.040908668"/>
    <n v="1"/>
    <n v="17454887.359075967"/>
    <n v="1"/>
    <n v="13810068"/>
    <n v="13810068"/>
    <n v="13214111"/>
    <n v="595957"/>
    <n v="4.5100044944378022"/>
    <n v="1348.75108628158"/>
    <n v="1364.1309599461301"/>
  </r>
  <r>
    <x v="38"/>
    <x v="42"/>
    <x v="80"/>
    <x v="81"/>
    <n v="377077.07999999996"/>
    <n v="4.7057537445139783E-2"/>
    <n v="267378.24"/>
    <n v="3.1758303731758752E-2"/>
    <m/>
    <n v="220587"/>
    <n v="311089"/>
    <n v="-90502"/>
    <n v="-29.09199618115716"/>
    <n v="21"/>
    <n v="14"/>
  </r>
  <r>
    <x v="38"/>
    <x v="42"/>
    <x v="60"/>
    <x v="61"/>
    <n v="7636029.8625296801"/>
    <n v="0.95294246255486026"/>
    <n v="8151781.7459478015"/>
    <n v="0.9682416962682413"/>
    <m/>
    <n v="6725220"/>
    <n v="6299724"/>
    <n v="425496"/>
    <n v="6.7542006602194"/>
    <n v="614.32871287248008"/>
    <n v="637.36827195014996"/>
  </r>
  <r>
    <x v="38"/>
    <x v="1"/>
    <x v="2"/>
    <x v="2"/>
    <n v="0"/>
    <n v="0"/>
    <n v="0"/>
    <n v="0"/>
    <m/>
    <n v="0"/>
    <n v="0"/>
    <n v="0"/>
    <n v="0"/>
    <n v="0"/>
    <n v="0"/>
  </r>
  <r>
    <x v="38"/>
    <x v="1"/>
    <x v="2"/>
    <x v="2"/>
    <n v="0"/>
    <n v="0"/>
    <n v="0"/>
    <n v="0"/>
    <m/>
    <n v="0"/>
    <n v="0"/>
    <n v="0"/>
    <n v="0"/>
    <n v="0"/>
    <n v="0"/>
  </r>
  <r>
    <x v="38"/>
    <x v="42"/>
    <x v="3"/>
    <x v="3"/>
    <n v="8013106.9425296802"/>
    <n v="1"/>
    <n v="8419159.9859478008"/>
    <n v="1"/>
    <n v="6945807"/>
    <n v="6945807"/>
    <n v="6610813"/>
    <n v="334994"/>
    <n v="5.0673646342741812"/>
    <n v="635.32871287248008"/>
    <n v="651.36827195014996"/>
  </r>
  <r>
    <x v="39"/>
    <x v="43"/>
    <x v="81"/>
    <x v="82"/>
    <n v="72501248.639650002"/>
    <n v="0.94896812918245022"/>
    <n v="73532608.806799993"/>
    <n v="0.94895694648984907"/>
    <m/>
    <n v="55176708"/>
    <n v="51848673"/>
    <n v="3328035"/>
    <n v="6.4187467247233112"/>
    <n v="5244"/>
    <n v="5181"/>
  </r>
  <r>
    <x v="39"/>
    <x v="43"/>
    <x v="38"/>
    <x v="39"/>
    <n v="3425252.3995417133"/>
    <n v="4.4833094912977343E-2"/>
    <n v="3558783.6504581342"/>
    <n v="4.5927004644019186E-2"/>
    <m/>
    <n v="2670407"/>
    <n v="2449541"/>
    <n v="220866"/>
    <n v="9.0166280131665477"/>
    <n v="157.00000000025"/>
    <n v="159.9999999968"/>
  </r>
  <r>
    <x v="39"/>
    <x v="43"/>
    <x v="39"/>
    <x v="40"/>
    <n v="473587.02499951859"/>
    <n v="6.1987759045724067E-3"/>
    <n v="396431.49386416201"/>
    <n v="5.1160488661318301E-3"/>
    <m/>
    <n v="297471"/>
    <n v="338682"/>
    <n v="-41211"/>
    <n v="-12.168051446489628"/>
    <n v="22.000000000220002"/>
    <n v="17.99999999968"/>
  </r>
  <r>
    <x v="39"/>
    <x v="1"/>
    <x v="2"/>
    <x v="2"/>
    <n v="0"/>
    <n v="0"/>
    <n v="0"/>
    <n v="0"/>
    <m/>
    <n v="0"/>
    <n v="0"/>
    <n v="0"/>
    <n v="0"/>
    <n v="0"/>
    <n v="0"/>
  </r>
  <r>
    <x v="39"/>
    <x v="43"/>
    <x v="3"/>
    <x v="3"/>
    <n v="76400088.064191237"/>
    <n v="1"/>
    <n v="77487823.951122284"/>
    <n v="1.0000000000000002"/>
    <n v="58144585"/>
    <n v="58144586"/>
    <n v="54636896"/>
    <n v="3507690"/>
    <n v="6.420002336882388"/>
    <n v="5423.0000000004702"/>
    <n v="5358.9999999964803"/>
  </r>
  <r>
    <x v="40"/>
    <x v="44"/>
    <x v="82"/>
    <x v="83"/>
    <n v="5743102.1100000003"/>
    <n v="0.38019142842181958"/>
    <n v="5984373.9899999993"/>
    <n v="0.39797671167365978"/>
    <m/>
    <n v="4937108"/>
    <n v="4394765"/>
    <n v="542343"/>
    <n v="12.340659853257227"/>
    <n v="418"/>
    <n v="421"/>
  </r>
  <r>
    <x v="40"/>
    <x v="44"/>
    <x v="83"/>
    <x v="84"/>
    <n v="8208782.277749504"/>
    <n v="0.54341862638087446"/>
    <n v="7939514.4605249316"/>
    <n v="0.52799872844932005"/>
    <m/>
    <n v="6550099"/>
    <n v="6281565"/>
    <n v="268534"/>
    <n v="4.2749537734625047"/>
    <n v="571.99999999997999"/>
    <n v="538.99999999559998"/>
  </r>
  <r>
    <x v="40"/>
    <x v="44"/>
    <x v="44"/>
    <x v="45"/>
    <n v="1153932.5262185577"/>
    <n v="7.6389945197305964E-2"/>
    <n v="1113106.96770742"/>
    <n v="7.4024559877020266E-2"/>
    <m/>
    <n v="918313"/>
    <n v="883018"/>
    <n v="35295"/>
    <n v="3.9970872620943174"/>
    <n v="53.15892054303"/>
    <n v="51.076576578859999"/>
  </r>
  <r>
    <x v="40"/>
    <x v="1"/>
    <x v="2"/>
    <x v="2"/>
    <n v="0"/>
    <n v="0"/>
    <n v="0"/>
    <n v="0"/>
    <m/>
    <n v="0"/>
    <n v="0"/>
    <n v="0"/>
    <n v="0"/>
    <n v="0"/>
    <n v="0"/>
  </r>
  <r>
    <x v="40"/>
    <x v="44"/>
    <x v="3"/>
    <x v="3"/>
    <n v="15105816.913968062"/>
    <n v="1"/>
    <n v="15036995.41823235"/>
    <n v="1"/>
    <n v="12405521"/>
    <n v="12405520"/>
    <n v="11559348"/>
    <n v="846172"/>
    <n v="7.3202398612793731"/>
    <n v="1043.15892054301"/>
    <n v="1011.07657657446"/>
  </r>
  <r>
    <x v="41"/>
    <x v="45"/>
    <x v="84"/>
    <x v="85"/>
    <n v="228660.24000000002"/>
    <n v="4.7710110570242442E-3"/>
    <n v="334819.56000000006"/>
    <n v="6.6610428418024002E-3"/>
    <m/>
    <n v="195386"/>
    <n v="131975"/>
    <n v="63411"/>
    <n v="48.047736313695779"/>
    <n v="12"/>
    <n v="18"/>
  </r>
  <r>
    <x v="41"/>
    <x v="45"/>
    <x v="85"/>
    <x v="86"/>
    <n v="44698707.696071327"/>
    <n v="0.93264149750149372"/>
    <n v="46882568.803371251"/>
    <n v="0.93270177922999642"/>
    <m/>
    <n v="27358613"/>
    <n v="25798609"/>
    <n v="1560004"/>
    <n v="6.0468531462297053"/>
    <n v="3422.8421608447402"/>
    <n v="3489.4886383242601"/>
  </r>
  <r>
    <x v="41"/>
    <x v="45"/>
    <x v="58"/>
    <x v="59"/>
    <n v="2999630.611406167"/>
    <n v="6.2587491441481971E-2"/>
    <n v="3047948.1540263421"/>
    <n v="6.0637177928201093E-2"/>
    <m/>
    <n v="1778649"/>
    <n v="1731287"/>
    <n v="47362"/>
    <n v="2.7356527254002367"/>
    <n v="148.789032744"/>
    <n v="150.44182622112001"/>
  </r>
  <r>
    <x v="41"/>
    <x v="1"/>
    <x v="2"/>
    <x v="2"/>
    <n v="0"/>
    <n v="0"/>
    <n v="0"/>
    <n v="0"/>
    <m/>
    <n v="0"/>
    <n v="0"/>
    <n v="0"/>
    <n v="0"/>
    <n v="0"/>
    <n v="0"/>
  </r>
  <r>
    <x v="41"/>
    <x v="45"/>
    <x v="3"/>
    <x v="3"/>
    <n v="47926998.547477499"/>
    <n v="1"/>
    <n v="50265336.517397597"/>
    <n v="0.99999999999999989"/>
    <n v="29332648"/>
    <n v="29332648"/>
    <n v="27661871"/>
    <n v="1670777"/>
    <n v="6.0399999696332909"/>
    <n v="3583.6311935887402"/>
    <n v="3657.9304645453803"/>
  </r>
  <r>
    <x v="42"/>
    <x v="46"/>
    <x v="86"/>
    <x v="87"/>
    <n v="3511281.75"/>
    <n v="0.49328910650079311"/>
    <n v="3675840.4599999995"/>
    <n v="0.47598370667661716"/>
    <m/>
    <n v="1922423"/>
    <n v="1913482"/>
    <n v="8941"/>
    <n v="0.46726334504322486"/>
    <n v="264"/>
    <n v="270"/>
  </r>
  <r>
    <x v="42"/>
    <x v="46"/>
    <x v="87"/>
    <x v="88"/>
    <n v="3606819.387297981"/>
    <n v="0.50671089349920695"/>
    <n v="4046777.7902447754"/>
    <n v="0.52401629332338284"/>
    <m/>
    <n v="2116420"/>
    <n v="1965545"/>
    <n v="150875"/>
    <n v="7.6759880847296804"/>
    <n v="239.99999999975998"/>
    <n v="257.33771353283998"/>
  </r>
  <r>
    <x v="42"/>
    <x v="1"/>
    <x v="2"/>
    <x v="2"/>
    <n v="0"/>
    <n v="0"/>
    <n v="0"/>
    <n v="0"/>
    <m/>
    <n v="0"/>
    <n v="0"/>
    <n v="0"/>
    <n v="0"/>
    <n v="0"/>
    <n v="0"/>
  </r>
  <r>
    <x v="42"/>
    <x v="1"/>
    <x v="2"/>
    <x v="2"/>
    <n v="0"/>
    <n v="0"/>
    <n v="0"/>
    <n v="0"/>
    <m/>
    <n v="0"/>
    <n v="0"/>
    <n v="0"/>
    <n v="0"/>
    <n v="0"/>
    <n v="0"/>
  </r>
  <r>
    <x v="42"/>
    <x v="46"/>
    <x v="3"/>
    <x v="3"/>
    <n v="7118101.1372979805"/>
    <n v="1"/>
    <n v="7722618.2502447749"/>
    <n v="1"/>
    <n v="4038843"/>
    <n v="4038843"/>
    <n v="3879027"/>
    <n v="159816"/>
    <n v="4.1200022582982792"/>
    <n v="503.99999999976001"/>
    <n v="527.33771353283998"/>
  </r>
  <r>
    <x v="43"/>
    <x v="47"/>
    <x v="88"/>
    <x v="89"/>
    <n v="295646847.72000003"/>
    <n v="0.93267417034262068"/>
    <n v="314919037.44"/>
    <n v="0.93269301235777702"/>
    <m/>
    <n v="58428285"/>
    <n v="54579267"/>
    <n v="3849018"/>
    <n v="7.0521614004086937"/>
    <n v="16619"/>
    <n v="16775"/>
  </r>
  <r>
    <x v="43"/>
    <x v="47"/>
    <x v="89"/>
    <x v="90"/>
    <n v="21341503.754763428"/>
    <n v="6.7325829657379377E-2"/>
    <n v="22725861.007248588"/>
    <n v="6.7306987642222968E-2"/>
    <m/>
    <n v="4216427"/>
    <n v="3939848"/>
    <n v="276579"/>
    <n v="7.0200423975747288"/>
    <n v="1004.29447853524"/>
    <n v="1039.86021505743"/>
  </r>
  <r>
    <x v="43"/>
    <x v="1"/>
    <x v="2"/>
    <x v="2"/>
    <n v="0"/>
    <n v="0"/>
    <n v="0"/>
    <n v="0"/>
    <m/>
    <n v="0"/>
    <n v="0"/>
    <n v="0"/>
    <n v="0"/>
    <n v="0"/>
    <n v="0"/>
  </r>
  <r>
    <x v="43"/>
    <x v="1"/>
    <x v="2"/>
    <x v="2"/>
    <n v="0"/>
    <n v="0"/>
    <n v="0"/>
    <n v="0"/>
    <m/>
    <n v="0"/>
    <n v="0"/>
    <n v="0"/>
    <n v="0"/>
    <n v="0"/>
    <n v="0"/>
  </r>
  <r>
    <x v="43"/>
    <x v="47"/>
    <x v="3"/>
    <x v="3"/>
    <n v="316988351.47476345"/>
    <n v="1"/>
    <n v="337644898.44724858"/>
    <n v="1"/>
    <n v="62644712"/>
    <n v="62644712"/>
    <n v="58519115"/>
    <n v="4125597"/>
    <n v="7.0499989618776704"/>
    <n v="17623.294478535241"/>
    <n v="17814.86021505743"/>
  </r>
  <r>
    <x v="44"/>
    <x v="48"/>
    <x v="90"/>
    <x v="91"/>
    <n v="3240938.5500000003"/>
    <n v="0.49501216870074938"/>
    <n v="3232462.2"/>
    <n v="0.49792013009324976"/>
    <m/>
    <n v="1406803"/>
    <n v="1329203"/>
    <n v="77600"/>
    <n v="5.8380849275844247"/>
    <n v="223"/>
    <n v="225"/>
  </r>
  <r>
    <x v="44"/>
    <x v="48"/>
    <x v="87"/>
    <x v="88"/>
    <n v="3306251.104966342"/>
    <n v="0.50498783129925062"/>
    <n v="3259466.9360938333"/>
    <n v="0.50207986990675024"/>
    <m/>
    <n v="1418556"/>
    <n v="1355989"/>
    <n v="62567"/>
    <n v="4.6141229759238458"/>
    <n v="219.99999999599999"/>
    <n v="207.27201050976001"/>
  </r>
  <r>
    <x v="44"/>
    <x v="1"/>
    <x v="2"/>
    <x v="2"/>
    <n v="0"/>
    <n v="0"/>
    <n v="0"/>
    <n v="0"/>
    <m/>
    <n v="0"/>
    <n v="0"/>
    <n v="0"/>
    <n v="0"/>
    <n v="0"/>
    <n v="0"/>
  </r>
  <r>
    <x v="44"/>
    <x v="1"/>
    <x v="2"/>
    <x v="2"/>
    <n v="0"/>
    <n v="0"/>
    <n v="0"/>
    <n v="0"/>
    <m/>
    <n v="0"/>
    <n v="0"/>
    <n v="0"/>
    <n v="0"/>
    <n v="0"/>
    <n v="0"/>
  </r>
  <r>
    <x v="44"/>
    <x v="48"/>
    <x v="3"/>
    <x v="3"/>
    <n v="6547189.6549663423"/>
    <n v="1"/>
    <n v="6491929.1360938335"/>
    <n v="1"/>
    <n v="2825359"/>
    <n v="2825359"/>
    <n v="2685192"/>
    <n v="140167"/>
    <n v="5.2199991657952207"/>
    <n v="442.99999999599999"/>
    <n v="432.27201050975998"/>
  </r>
  <r>
    <x v="45"/>
    <x v="49"/>
    <x v="91"/>
    <x v="92"/>
    <n v="89394640.063260004"/>
    <n v="1"/>
    <n v="91993751.557960004"/>
    <n v="1"/>
    <m/>
    <n v="75894845"/>
    <n v="73750578"/>
    <n v="2144267"/>
    <n v="2.9074578913808646"/>
    <n v="6913"/>
    <n v="6899"/>
  </r>
  <r>
    <x v="45"/>
    <x v="49"/>
    <x v="39"/>
    <x v="40"/>
    <n v="0"/>
    <n v="0"/>
    <n v="0"/>
    <n v="0"/>
    <m/>
    <n v="0"/>
    <n v="0"/>
    <n v="0"/>
    <n v="0"/>
    <n v="0"/>
    <n v="0"/>
  </r>
  <r>
    <x v="45"/>
    <x v="1"/>
    <x v="2"/>
    <x v="2"/>
    <n v="0"/>
    <n v="0"/>
    <n v="0"/>
    <n v="0"/>
    <m/>
    <n v="0"/>
    <n v="0"/>
    <n v="0"/>
    <n v="0"/>
    <n v="0"/>
    <n v="0"/>
  </r>
  <r>
    <x v="45"/>
    <x v="1"/>
    <x v="2"/>
    <x v="2"/>
    <n v="0"/>
    <n v="0"/>
    <n v="0"/>
    <n v="0"/>
    <m/>
    <n v="0"/>
    <n v="0"/>
    <n v="0"/>
    <n v="0"/>
    <n v="0"/>
    <n v="0"/>
  </r>
  <r>
    <x v="45"/>
    <x v="49"/>
    <x v="3"/>
    <x v="3"/>
    <n v="89394640.063260004"/>
    <n v="1"/>
    <n v="91993751.557960004"/>
    <n v="1"/>
    <n v="75894845"/>
    <n v="75894845"/>
    <n v="73750578"/>
    <n v="2144267"/>
    <n v="2.9074578913808646"/>
    <n v="6913"/>
    <n v="6899"/>
  </r>
  <r>
    <x v="46"/>
    <x v="50"/>
    <x v="92"/>
    <x v="93"/>
    <n v="16490.760000000002"/>
    <n v="5.6215627082629215E-3"/>
    <n v="16860.330000000002"/>
    <n v="5.6490414738946271E-3"/>
    <m/>
    <n v="8952"/>
    <n v="8510"/>
    <n v="442"/>
    <n v="5.1938895417156283"/>
    <n v="1"/>
    <n v="1"/>
  </r>
  <r>
    <x v="46"/>
    <x v="50"/>
    <x v="29"/>
    <x v="30"/>
    <n v="2553895.204850289"/>
    <n v="0.87060160019294919"/>
    <n v="2574350.4479976436"/>
    <n v="0.86253427121995252"/>
    <m/>
    <n v="1366792"/>
    <n v="1317898"/>
    <n v="48894"/>
    <n v="3.7099988011211793"/>
    <n v="177.49268292490001"/>
    <n v="170.74626865919998"/>
  </r>
  <r>
    <x v="46"/>
    <x v="50"/>
    <x v="64"/>
    <x v="65"/>
    <n v="363097.2774091739"/>
    <n v="0.12377683709878796"/>
    <n v="393424.77086759731"/>
    <n v="0.13181668730615284"/>
    <m/>
    <n v="208880"/>
    <n v="187371"/>
    <n v="21509"/>
    <n v="11.479364469421629"/>
    <n v="17.0000000016"/>
    <n v="17.999999998830003"/>
  </r>
  <r>
    <x v="46"/>
    <x v="1"/>
    <x v="2"/>
    <x v="2"/>
    <n v="0"/>
    <n v="0"/>
    <n v="0"/>
    <n v="0"/>
    <m/>
    <n v="0"/>
    <n v="0"/>
    <n v="0"/>
    <n v="0"/>
    <n v="0"/>
    <n v="0"/>
  </r>
  <r>
    <x v="46"/>
    <x v="50"/>
    <x v="3"/>
    <x v="3"/>
    <n v="2933483.2422594628"/>
    <n v="1.0000000000000002"/>
    <n v="2984635.548865241"/>
    <n v="1"/>
    <n v="1584623"/>
    <n v="1584624"/>
    <n v="1513779"/>
    <n v="70845"/>
    <n v="4.6800094333452904"/>
    <n v="195.49268292650001"/>
    <n v="189.74626865802998"/>
  </r>
  <r>
    <x v="47"/>
    <x v="51"/>
    <x v="93"/>
    <x v="94"/>
    <n v="46103747.98904001"/>
    <n v="0.9491823984667801"/>
    <n v="49033422.446800001"/>
    <n v="0.95460752026655027"/>
    <m/>
    <n v="39058316"/>
    <n v="36818680"/>
    <n v="2239636"/>
    <n v="6.0828796686899151"/>
    <n v="3424"/>
    <n v="3523"/>
  </r>
  <r>
    <x v="47"/>
    <x v="51"/>
    <x v="50"/>
    <x v="51"/>
    <n v="2468315.7823822862"/>
    <n v="5.0817601533219937E-2"/>
    <n v="2331585.06236842"/>
    <n v="4.539247973344971E-2"/>
    <m/>
    <n v="1857259"/>
    <n v="1971209"/>
    <n v="-113950"/>
    <n v="-5.7807163015185097"/>
    <n v="127.9999999978"/>
    <n v="118.00000000224"/>
  </r>
  <r>
    <x v="47"/>
    <x v="1"/>
    <x v="2"/>
    <x v="2"/>
    <n v="0"/>
    <n v="0"/>
    <n v="0"/>
    <n v="0"/>
    <m/>
    <n v="0"/>
    <n v="0"/>
    <n v="0"/>
    <n v="0"/>
    <n v="0"/>
    <n v="0"/>
  </r>
  <r>
    <x v="47"/>
    <x v="1"/>
    <x v="2"/>
    <x v="2"/>
    <n v="0"/>
    <n v="0"/>
    <n v="0"/>
    <n v="0"/>
    <m/>
    <n v="0"/>
    <n v="0"/>
    <n v="0"/>
    <n v="0"/>
    <n v="0"/>
    <n v="0"/>
  </r>
  <r>
    <x v="47"/>
    <x v="51"/>
    <x v="3"/>
    <x v="3"/>
    <n v="48572063.771422297"/>
    <n v="1"/>
    <n v="51365007.509168424"/>
    <n v="1"/>
    <n v="40915575"/>
    <n v="40915575"/>
    <n v="38789889"/>
    <n v="2125686"/>
    <n v="5.4800002134576875"/>
    <n v="3551.9999999977999"/>
    <n v="3641.0000000022401"/>
  </r>
  <r>
    <x v="48"/>
    <x v="52"/>
    <x v="94"/>
    <x v="95"/>
    <n v="112732473.50964999"/>
    <n v="1"/>
    <n v="118963463.14608002"/>
    <n v="1"/>
    <m/>
    <n v="98144857"/>
    <n v="93004291"/>
    <n v="5140566"/>
    <n v="5.5272352971326884"/>
    <n v="7030"/>
    <n v="7297"/>
  </r>
  <r>
    <x v="48"/>
    <x v="1"/>
    <x v="2"/>
    <x v="2"/>
    <n v="0"/>
    <n v="0"/>
    <n v="0"/>
    <n v="0"/>
    <m/>
    <n v="0"/>
    <n v="0"/>
    <n v="0"/>
    <n v="0"/>
    <n v="0"/>
    <n v="0"/>
  </r>
  <r>
    <x v="48"/>
    <x v="1"/>
    <x v="2"/>
    <x v="2"/>
    <n v="0"/>
    <n v="0"/>
    <n v="0"/>
    <n v="0"/>
    <m/>
    <n v="0"/>
    <n v="0"/>
    <n v="0"/>
    <n v="0"/>
    <n v="0"/>
    <n v="0"/>
  </r>
  <r>
    <x v="48"/>
    <x v="1"/>
    <x v="2"/>
    <x v="2"/>
    <n v="0"/>
    <n v="0"/>
    <n v="0"/>
    <n v="0"/>
    <m/>
    <n v="0"/>
    <n v="0"/>
    <n v="0"/>
    <n v="0"/>
    <n v="0"/>
    <n v="0"/>
  </r>
  <r>
    <x v="48"/>
    <x v="52"/>
    <x v="3"/>
    <x v="3"/>
    <n v="112732473.50964999"/>
    <n v="1"/>
    <n v="118963463.14608002"/>
    <n v="1"/>
    <n v="98144857"/>
    <n v="98144857"/>
    <n v="93004291"/>
    <n v="5140566"/>
    <n v="5.5272352971326884"/>
    <n v="7030"/>
    <n v="7297"/>
  </r>
  <r>
    <x v="49"/>
    <x v="53"/>
    <x v="95"/>
    <x v="96"/>
    <n v="43350134.769279994"/>
    <n v="0.95626295218147261"/>
    <n v="44999693.302450001"/>
    <n v="0.96107927799070325"/>
    <m/>
    <n v="36588682"/>
    <n v="34684949"/>
    <n v="1903733"/>
    <n v="5.4886429269364072"/>
    <n v="3260"/>
    <n v="3291"/>
  </r>
  <r>
    <x v="49"/>
    <x v="53"/>
    <x v="38"/>
    <x v="39"/>
    <n v="1788985.3297213679"/>
    <n v="3.946332351476365E-2"/>
    <n v="1668179.8362425545"/>
    <n v="3.5628088880493659E-2"/>
    <m/>
    <n v="1356376"/>
    <n v="1431388"/>
    <n v="-75012"/>
    <n v="-5.2405078147923554"/>
    <n v="82.000000001250001"/>
    <n v="75.00000000256"/>
  </r>
  <r>
    <x v="49"/>
    <x v="53"/>
    <x v="39"/>
    <x v="40"/>
    <n v="193740.14659071216"/>
    <n v="4.2737243037637455E-3"/>
    <n v="154167.80316332754"/>
    <n v="3.2926331288030521E-3"/>
    <m/>
    <n v="125352"/>
    <n v="155014"/>
    <n v="-29662"/>
    <n v="-19.135045866824932"/>
    <n v="9.0000000000900009"/>
    <n v="6.9999999996"/>
  </r>
  <r>
    <x v="49"/>
    <x v="1"/>
    <x v="2"/>
    <x v="2"/>
    <n v="0"/>
    <n v="0"/>
    <n v="0"/>
    <n v="0"/>
    <m/>
    <n v="0"/>
    <n v="0"/>
    <n v="0"/>
    <n v="0"/>
    <n v="0"/>
    <n v="0"/>
  </r>
  <r>
    <x v="49"/>
    <x v="53"/>
    <x v="3"/>
    <x v="3"/>
    <n v="45332860.245592073"/>
    <n v="1"/>
    <n v="46822040.941855885"/>
    <n v="0.99999999999999989"/>
    <n v="38070410"/>
    <n v="38070410"/>
    <n v="36271351"/>
    <n v="1799059"/>
    <n v="4.9599999735328302"/>
    <n v="3351.0000000013401"/>
    <n v="3373.00000000216"/>
  </r>
  <r>
    <x v="50"/>
    <x v="54"/>
    <x v="96"/>
    <x v="97"/>
    <n v="6639945.1630799994"/>
    <n v="0.60475471867337616"/>
    <n v="6853478.0810400005"/>
    <n v="0.62076875869239079"/>
    <m/>
    <n v="5654120"/>
    <n v="5477955"/>
    <n v="176165"/>
    <n v="3.2158898713114659"/>
    <n v="567"/>
    <n v="571"/>
  </r>
  <r>
    <x v="50"/>
    <x v="54"/>
    <x v="97"/>
    <x v="98"/>
    <n v="4339622.1855564127"/>
    <n v="0.3952452813266239"/>
    <n v="4186829.5779285468"/>
    <n v="0.37923124130760916"/>
    <m/>
    <n v="3454134"/>
    <n v="3580188"/>
    <n v="-126054"/>
    <n v="-3.5208765573204537"/>
    <n v="318.20836622460001"/>
    <n v="298.81401167531999"/>
  </r>
  <r>
    <x v="50"/>
    <x v="27"/>
    <x v="2"/>
    <x v="18"/>
    <n v="0"/>
    <n v="0"/>
    <n v="0"/>
    <n v="0"/>
    <m/>
    <n v="0"/>
    <n v="0"/>
    <n v="0"/>
    <n v="0"/>
    <n v="0"/>
    <n v="0"/>
  </r>
  <r>
    <x v="50"/>
    <x v="1"/>
    <x v="2"/>
    <x v="2"/>
    <n v="0"/>
    <n v="0"/>
    <n v="0"/>
    <n v="0"/>
    <m/>
    <n v="0"/>
    <n v="0"/>
    <n v="0"/>
    <n v="0"/>
    <n v="0"/>
    <n v="0"/>
  </r>
  <r>
    <x v="50"/>
    <x v="54"/>
    <x v="3"/>
    <x v="3"/>
    <n v="10979567.348636411"/>
    <n v="1"/>
    <n v="11040307.658968547"/>
    <n v="1"/>
    <n v="9108254"/>
    <n v="9108254"/>
    <n v="9058143"/>
    <n v="50111"/>
    <n v="0.55321493599736726"/>
    <n v="885.20836622460001"/>
    <n v="869.81401167531999"/>
  </r>
  <r>
    <x v="51"/>
    <x v="55"/>
    <x v="98"/>
    <x v="99"/>
    <n v="21283331.499319997"/>
    <n v="0.92407211276979428"/>
    <n v="20958681.776560001"/>
    <n v="0.93161786760076493"/>
    <m/>
    <n v="11414545"/>
    <n v="10820042"/>
    <n v="594503"/>
    <n v="5.4944611120733171"/>
    <n v="1535"/>
    <n v="1501"/>
  </r>
  <r>
    <x v="51"/>
    <x v="55"/>
    <x v="8"/>
    <x v="8"/>
    <n v="1748779.5288180409"/>
    <n v="7.5927887230205646E-2"/>
    <n v="1538398.3090074707"/>
    <n v="6.8382132399235129E-2"/>
    <m/>
    <n v="837845"/>
    <n v="889046"/>
    <n v="-51201"/>
    <n v="-5.7590945800329791"/>
    <n v="90.000000001840007"/>
    <n v="77.999999998269999"/>
  </r>
  <r>
    <x v="51"/>
    <x v="1"/>
    <x v="2"/>
    <x v="2"/>
    <n v="0"/>
    <n v="0"/>
    <n v="0"/>
    <n v="0"/>
    <m/>
    <n v="0"/>
    <n v="0"/>
    <n v="0"/>
    <n v="0"/>
    <n v="0"/>
    <n v="0"/>
  </r>
  <r>
    <x v="51"/>
    <x v="1"/>
    <x v="2"/>
    <x v="2"/>
    <n v="0"/>
    <n v="0"/>
    <n v="0"/>
    <n v="0"/>
    <m/>
    <n v="0"/>
    <n v="0"/>
    <n v="0"/>
    <n v="0"/>
    <n v="0"/>
    <n v="0"/>
  </r>
  <r>
    <x v="51"/>
    <x v="55"/>
    <x v="3"/>
    <x v="3"/>
    <n v="23032111.028138038"/>
    <n v="0.99999999999999989"/>
    <n v="22497080.085567471"/>
    <n v="1"/>
    <n v="12252390"/>
    <n v="12252390"/>
    <n v="11709088"/>
    <n v="543302"/>
    <n v="4.6400027055907342"/>
    <n v="1625.0000000018399"/>
    <n v="1578.9999999982699"/>
  </r>
  <r>
    <x v="52"/>
    <x v="56"/>
    <x v="99"/>
    <x v="100"/>
    <n v="131926.08000000002"/>
    <n v="6.9146702891909342E-2"/>
    <n v="216797.25000000006"/>
    <n v="0.11786971336620586"/>
    <m/>
    <n v="121733"/>
    <n v="67011"/>
    <n v="54722"/>
    <n v="81.661219799734369"/>
    <n v="8"/>
    <n v="11"/>
  </r>
  <r>
    <x v="52"/>
    <x v="56"/>
    <x v="100"/>
    <x v="101"/>
    <n v="1179155.413781614"/>
    <n v="0.61803328849112837"/>
    <n v="1022791.7525000001"/>
    <n v="0.55607795163681428"/>
    <m/>
    <n v="574305"/>
    <n v="598941"/>
    <n v="-24636"/>
    <n v="-4.1132599037300839"/>
    <n v="79.795918367759995"/>
    <n v="70.875"/>
  </r>
  <r>
    <x v="52"/>
    <x v="56"/>
    <x v="29"/>
    <x v="30"/>
    <n v="596834.20548502891"/>
    <n v="0.3128200086169623"/>
    <n v="599706.63849676063"/>
    <n v="0.32605233499697989"/>
    <m/>
    <n v="336740"/>
    <n v="303156"/>
    <n v="33584"/>
    <n v="11.078124793835517"/>
    <n v="41.479268292489998"/>
    <n v="39.776119406399999"/>
  </r>
  <r>
    <x v="52"/>
    <x v="1"/>
    <x v="2"/>
    <x v="2"/>
    <n v="0"/>
    <n v="0"/>
    <n v="0"/>
    <n v="0"/>
    <m/>
    <n v="0"/>
    <n v="0"/>
    <n v="0"/>
    <n v="0"/>
    <n v="0"/>
    <n v="0"/>
  </r>
  <r>
    <x v="52"/>
    <x v="56"/>
    <x v="3"/>
    <x v="3"/>
    <n v="1907915.699266643"/>
    <n v="1"/>
    <n v="1839295.6409967607"/>
    <n v="1"/>
    <n v="1032778"/>
    <n v="1032778"/>
    <n v="969108"/>
    <n v="63670"/>
    <n v="6.569959178956319"/>
    <n v="129.27518666025"/>
    <n v="121.6511194064"/>
  </r>
  <r>
    <x v="53"/>
    <x v="57"/>
    <x v="101"/>
    <x v="102"/>
    <n v="0"/>
    <n v="0"/>
    <n v="0"/>
    <n v="0"/>
    <m/>
    <n v="0"/>
    <n v="0"/>
    <n v="0"/>
    <n v="0"/>
    <n v="0"/>
    <n v="0"/>
  </r>
  <r>
    <x v="53"/>
    <x v="57"/>
    <x v="102"/>
    <x v="103"/>
    <n v="24022479.694616977"/>
    <n v="0.84916609790503617"/>
    <n v="24885416.639302433"/>
    <n v="0.86005677619785448"/>
    <m/>
    <n v="13954607"/>
    <n v="12737269"/>
    <n v="1217338"/>
    <n v="9.5572920694381196"/>
    <n v="1757.39017692275"/>
    <n v="1764.8418674802199"/>
  </r>
  <r>
    <x v="53"/>
    <x v="57"/>
    <x v="36"/>
    <x v="37"/>
    <n v="4267014.8505402626"/>
    <n v="0.15083390209496392"/>
    <n v="4049204.1066860701"/>
    <n v="0.13994322380214547"/>
    <m/>
    <n v="2270609"/>
    <n v="2262469"/>
    <n v="8140"/>
    <n v="0.35978393516110058"/>
    <n v="211.00000000463999"/>
    <n v="196.00000000041999"/>
  </r>
  <r>
    <x v="53"/>
    <x v="1"/>
    <x v="2"/>
    <x v="2"/>
    <n v="0"/>
    <n v="0"/>
    <n v="0"/>
    <n v="0"/>
    <m/>
    <n v="0"/>
    <n v="0"/>
    <n v="0"/>
    <n v="0"/>
    <n v="0"/>
    <n v="0"/>
  </r>
  <r>
    <x v="53"/>
    <x v="57"/>
    <x v="3"/>
    <x v="3"/>
    <n v="28289494.545157239"/>
    <n v="1"/>
    <n v="28934620.745988503"/>
    <n v="1"/>
    <n v="16225216"/>
    <n v="16225216"/>
    <n v="14999738"/>
    <n v="1225478"/>
    <n v="8.1699960359307617"/>
    <n v="1968.39017692739"/>
    <n v="1960.8418674806398"/>
  </r>
  <r>
    <x v="54"/>
    <x v="58"/>
    <x v="103"/>
    <x v="104"/>
    <n v="0"/>
    <n v="0"/>
    <n v="0"/>
    <n v="0"/>
    <m/>
    <n v="0"/>
    <n v="0"/>
    <n v="0"/>
    <n v="0"/>
    <n v="0"/>
    <n v="0"/>
  </r>
  <r>
    <x v="54"/>
    <x v="58"/>
    <x v="104"/>
    <x v="105"/>
    <n v="5535348.1678401707"/>
    <n v="0.95135421653274488"/>
    <n v="5426498.939183143"/>
    <n v="0.92554806720768767"/>
    <m/>
    <n v="4476861"/>
    <n v="4566662"/>
    <n v="-89801"/>
    <n v="-1.9664472649826066"/>
    <n v="386.19807923344001"/>
    <n v="364.99392465994998"/>
  </r>
  <r>
    <x v="54"/>
    <x v="58"/>
    <x v="44"/>
    <x v="45"/>
    <n v="283040.0535459778"/>
    <n v="4.8645783467255045E-2"/>
    <n v="436512.53633589984"/>
    <n v="7.4451932792312353E-2"/>
    <m/>
    <n v="360123"/>
    <n v="233508"/>
    <n v="126615"/>
    <n v="54.222981653733491"/>
    <n v="13.038980508030001"/>
    <n v="20.03003003001"/>
  </r>
  <r>
    <x v="54"/>
    <x v="1"/>
    <x v="2"/>
    <x v="2"/>
    <n v="0"/>
    <n v="0"/>
    <n v="0"/>
    <n v="0"/>
    <m/>
    <n v="0"/>
    <n v="0"/>
    <n v="0"/>
    <n v="0"/>
    <n v="0"/>
    <n v="0"/>
  </r>
  <r>
    <x v="54"/>
    <x v="58"/>
    <x v="3"/>
    <x v="3"/>
    <n v="5818388.2213861486"/>
    <n v="0.99999999999999989"/>
    <n v="5863011.4755190425"/>
    <n v="1"/>
    <n v="4836984"/>
    <n v="4836984"/>
    <n v="4800170"/>
    <n v="36814"/>
    <n v="0.76693117118768706"/>
    <n v="399.23705974147003"/>
    <n v="385.02395468995996"/>
  </r>
  <r>
    <x v="55"/>
    <x v="59"/>
    <x v="105"/>
    <x v="106"/>
    <n v="63812307.760000005"/>
    <n v="0.93668245899639191"/>
    <n v="66887500.860000007"/>
    <n v="0.93706022644177267"/>
    <m/>
    <n v="52463272"/>
    <n v="49670508"/>
    <n v="2792764"/>
    <n v="5.6225799019410072"/>
    <n v="5108"/>
    <n v="5181"/>
  </r>
  <r>
    <x v="55"/>
    <x v="59"/>
    <x v="42"/>
    <x v="43"/>
    <n v="4313562.5892447969"/>
    <n v="6.3317541003608091E-2"/>
    <n v="4492650.5673920335"/>
    <n v="6.2939773558227344E-2"/>
    <m/>
    <n v="3523815"/>
    <n v="3357610"/>
    <n v="166205"/>
    <n v="4.9500984331116475"/>
    <n v="211.99999999750003"/>
    <n v="218.00000000258001"/>
  </r>
  <r>
    <x v="55"/>
    <x v="1"/>
    <x v="2"/>
    <x v="2"/>
    <n v="0"/>
    <n v="0"/>
    <n v="0"/>
    <n v="0"/>
    <m/>
    <n v="0"/>
    <n v="0"/>
    <n v="0"/>
    <n v="0"/>
    <n v="0"/>
    <n v="0"/>
  </r>
  <r>
    <x v="55"/>
    <x v="1"/>
    <x v="2"/>
    <x v="2"/>
    <n v="0"/>
    <n v="0"/>
    <n v="0"/>
    <n v="0"/>
    <m/>
    <n v="0"/>
    <n v="0"/>
    <n v="0"/>
    <n v="0"/>
    <n v="0"/>
    <n v="0"/>
  </r>
  <r>
    <x v="55"/>
    <x v="59"/>
    <x v="3"/>
    <x v="3"/>
    <n v="68125870.349244803"/>
    <n v="1"/>
    <n v="71380151.427392036"/>
    <n v="1"/>
    <n v="55987087"/>
    <n v="55987087"/>
    <n v="53028118"/>
    <n v="2958969"/>
    <n v="5.5800000294183549"/>
    <n v="5319.9999999974998"/>
    <n v="5399.0000000025802"/>
  </r>
  <r>
    <x v="56"/>
    <x v="60"/>
    <x v="106"/>
    <x v="107"/>
    <n v="138863180.45907998"/>
    <n v="0.96299432736958424"/>
    <n v="146924932.87000003"/>
    <n v="0.96085964318013239"/>
    <m/>
    <n v="23727035"/>
    <n v="22081668"/>
    <n v="1645367"/>
    <n v="7.4512804014624257"/>
    <n v="7110"/>
    <n v="7095"/>
  </r>
  <r>
    <x v="56"/>
    <x v="60"/>
    <x v="107"/>
    <x v="108"/>
    <n v="5336194.8772050263"/>
    <n v="3.7005672630415869E-2"/>
    <n v="5984947.2699612621"/>
    <n v="3.9140356819867536E-2"/>
    <m/>
    <n v="966514"/>
    <n v="848548"/>
    <n v="117966"/>
    <n v="13.902101000768372"/>
    <n v="232.00000000632002"/>
    <n v="252.00000000599999"/>
  </r>
  <r>
    <x v="56"/>
    <x v="1"/>
    <x v="2"/>
    <x v="2"/>
    <n v="0"/>
    <n v="0"/>
    <n v="0"/>
    <n v="0"/>
    <m/>
    <n v="0"/>
    <n v="0"/>
    <n v="0"/>
    <n v="0"/>
    <n v="0"/>
    <n v="0"/>
  </r>
  <r>
    <x v="56"/>
    <x v="1"/>
    <x v="2"/>
    <x v="2"/>
    <n v="0"/>
    <n v="0"/>
    <n v="0"/>
    <n v="0"/>
    <m/>
    <n v="0"/>
    <n v="0"/>
    <n v="0"/>
    <n v="0"/>
    <n v="0"/>
    <n v="0"/>
  </r>
  <r>
    <x v="56"/>
    <x v="60"/>
    <x v="3"/>
    <x v="3"/>
    <n v="144199375.336285"/>
    <n v="1"/>
    <n v="152909880.1399613"/>
    <n v="0.99999999999999989"/>
    <n v="24693549"/>
    <n v="24693549"/>
    <n v="22930216"/>
    <n v="1763333"/>
    <n v="7.6899973380102482"/>
    <n v="7342.0000000063201"/>
    <n v="7347.0000000059999"/>
  </r>
  <r>
    <x v="57"/>
    <x v="61"/>
    <x v="108"/>
    <x v="109"/>
    <n v="32981.520000000004"/>
    <n v="6.0044388395532004E-3"/>
    <n v="16860.330000000002"/>
    <n v="2.9554081910089496E-3"/>
    <m/>
    <n v="8468"/>
    <n v="16631"/>
    <n v="-8163"/>
    <n v="-49.083037700679455"/>
    <n v="2"/>
    <n v="1"/>
  </r>
  <r>
    <x v="57"/>
    <x v="61"/>
    <x v="11"/>
    <x v="11"/>
    <n v="4402013.4873628132"/>
    <n v="0.8014069926358246"/>
    <n v="4679540.6578558804"/>
    <n v="0.82026584238782263"/>
    <m/>
    <n v="2350342"/>
    <n v="2219724"/>
    <n v="130618"/>
    <n v="5.8844252708895342"/>
    <n v="289.91652470489998"/>
    <n v="296.81687763922997"/>
  </r>
  <r>
    <x v="57"/>
    <x v="61"/>
    <x v="12"/>
    <x v="12"/>
    <n v="1057861.3413004396"/>
    <n v="0.19258856852462233"/>
    <n v="1008506.3922119929"/>
    <n v="0.17677874942116839"/>
    <m/>
    <n v="506532"/>
    <n v="533429"/>
    <n v="-26897"/>
    <n v="-5.0422830404796137"/>
    <n v="49.9999999992"/>
    <n v="46.000000001259998"/>
  </r>
  <r>
    <x v="57"/>
    <x v="1"/>
    <x v="2"/>
    <x v="2"/>
    <n v="0"/>
    <n v="0"/>
    <n v="0"/>
    <n v="0"/>
    <m/>
    <n v="0"/>
    <n v="0"/>
    <n v="0"/>
    <n v="0"/>
    <n v="0"/>
    <n v="0"/>
  </r>
  <r>
    <x v="57"/>
    <x v="61"/>
    <x v="3"/>
    <x v="3"/>
    <n v="5492856.3486632518"/>
    <n v="1"/>
    <n v="5704907.3800678737"/>
    <n v="1"/>
    <n v="2865342"/>
    <n v="2865342"/>
    <n v="2769784"/>
    <n v="95558"/>
    <n v="3.4500163189620561"/>
    <n v="341.91652470409997"/>
    <n v="343.81687764048996"/>
  </r>
  <r>
    <x v="58"/>
    <x v="62"/>
    <x v="109"/>
    <x v="110"/>
    <n v="98944.56"/>
    <n v="4.9722905798255113E-2"/>
    <n v="118022.31000000001"/>
    <n v="5.9449676064055441E-2"/>
    <m/>
    <n v="59715"/>
    <n v="48005"/>
    <n v="11710"/>
    <n v="24.393292365378606"/>
    <n v="6"/>
    <n v="7"/>
  </r>
  <r>
    <x v="58"/>
    <x v="62"/>
    <x v="71"/>
    <x v="72"/>
    <n v="1890974.5408959936"/>
    <n v="0.95027709420174489"/>
    <n v="1867225.0086369277"/>
    <n v="0.94055032393594451"/>
    <m/>
    <n v="944747"/>
    <n v="917452"/>
    <n v="27295"/>
    <n v="2.9750875250149327"/>
    <n v="128.44390244189998"/>
    <n v="119.37888198700001"/>
  </r>
  <r>
    <x v="58"/>
    <x v="1"/>
    <x v="2"/>
    <x v="2"/>
    <n v="0"/>
    <n v="0"/>
    <n v="0"/>
    <n v="0"/>
    <m/>
    <n v="0"/>
    <n v="0"/>
    <n v="0"/>
    <n v="0"/>
    <n v="0"/>
    <n v="0"/>
  </r>
  <r>
    <x v="58"/>
    <x v="1"/>
    <x v="2"/>
    <x v="2"/>
    <n v="0"/>
    <n v="0"/>
    <n v="0"/>
    <n v="0"/>
    <m/>
    <n v="0"/>
    <n v="0"/>
    <n v="0"/>
    <n v="0"/>
    <n v="0"/>
    <n v="0"/>
  </r>
  <r>
    <x v="58"/>
    <x v="62"/>
    <x v="3"/>
    <x v="3"/>
    <n v="1989919.1008959936"/>
    <n v="1"/>
    <n v="1985247.3186369278"/>
    <n v="1"/>
    <n v="1004462"/>
    <n v="1004462"/>
    <n v="965457"/>
    <n v="39005"/>
    <n v="4.0400556420430949"/>
    <n v="134.44390244189998"/>
    <n v="126.37888198700001"/>
  </r>
  <r>
    <x v="59"/>
    <x v="63"/>
    <x v="110"/>
    <x v="111"/>
    <n v="294623.28000000003"/>
    <n v="0.2077992049650268"/>
    <n v="267378.24"/>
    <n v="0.18744543006831496"/>
    <m/>
    <n v="204860"/>
    <n v="216744"/>
    <n v="-11884"/>
    <n v="-5.4829660797992101"/>
    <n v="16"/>
    <n v="14"/>
  </r>
  <r>
    <x v="59"/>
    <x v="63"/>
    <x v="111"/>
    <x v="112"/>
    <n v="791623.18395320256"/>
    <n v="0.55833560829734374"/>
    <n v="820896.04173160542"/>
    <n v="0.57548890883475867"/>
    <m/>
    <n v="628954"/>
    <n v="582370"/>
    <n v="46584"/>
    <n v="7.9990384120061133"/>
    <n v="58.00840336161"/>
    <n v="58.956521738589998"/>
  </r>
  <r>
    <x v="59"/>
    <x v="63"/>
    <x v="112"/>
    <x v="113"/>
    <n v="331580.32729744731"/>
    <n v="0.23386518673762954"/>
    <n v="338158.14664263267"/>
    <n v="0.23706566109692623"/>
    <m/>
    <n v="259090"/>
    <n v="243932"/>
    <n v="15158"/>
    <n v="6.2140268599445747"/>
    <n v="25.043177893600003"/>
    <n v="25.042372883760002"/>
  </r>
  <r>
    <x v="59"/>
    <x v="1"/>
    <x v="2"/>
    <x v="2"/>
    <n v="0"/>
    <n v="0"/>
    <n v="0"/>
    <n v="0"/>
    <m/>
    <n v="0"/>
    <n v="0"/>
    <n v="0"/>
    <n v="0"/>
    <n v="0"/>
    <n v="0"/>
  </r>
  <r>
    <x v="59"/>
    <x v="63"/>
    <x v="3"/>
    <x v="3"/>
    <n v="1417826.7912506498"/>
    <n v="1"/>
    <n v="1426432.4283742383"/>
    <n v="0.99999999999999978"/>
    <n v="1092904"/>
    <n v="1092904"/>
    <n v="1043046"/>
    <n v="49858"/>
    <n v="4.7800384642671556"/>
    <n v="99.051581255209996"/>
    <n v="97.998894622350008"/>
  </r>
  <r>
    <x v="60"/>
    <x v="64"/>
    <x v="113"/>
    <x v="114"/>
    <n v="122693363.2"/>
    <n v="1"/>
    <n v="129158251.12"/>
    <n v="1"/>
    <m/>
    <n v="35132393"/>
    <n v="33865812"/>
    <n v="1266581"/>
    <n v="3.7399989109961398"/>
    <n v="7166"/>
    <n v="7202"/>
  </r>
  <r>
    <x v="60"/>
    <x v="1"/>
    <x v="2"/>
    <x v="2"/>
    <n v="0"/>
    <n v="0"/>
    <n v="0"/>
    <n v="0"/>
    <m/>
    <n v="0"/>
    <n v="0"/>
    <n v="0"/>
    <n v="0"/>
    <n v="0"/>
    <n v="0"/>
  </r>
  <r>
    <x v="60"/>
    <x v="1"/>
    <x v="2"/>
    <x v="2"/>
    <n v="0"/>
    <n v="0"/>
    <n v="0"/>
    <n v="0"/>
    <m/>
    <n v="0"/>
    <n v="0"/>
    <n v="0"/>
    <n v="0"/>
    <n v="0"/>
    <n v="0"/>
  </r>
  <r>
    <x v="60"/>
    <x v="1"/>
    <x v="2"/>
    <x v="2"/>
    <n v="0"/>
    <n v="0"/>
    <n v="0"/>
    <n v="0"/>
    <m/>
    <n v="0"/>
    <n v="0"/>
    <n v="0"/>
    <n v="0"/>
    <n v="0"/>
    <n v="0"/>
  </r>
  <r>
    <x v="60"/>
    <x v="64"/>
    <x v="3"/>
    <x v="3"/>
    <n v="122693363.2"/>
    <n v="1"/>
    <n v="129158251.12"/>
    <n v="1"/>
    <n v="35132393"/>
    <n v="35132393"/>
    <n v="33865812"/>
    <n v="1266581"/>
    <n v="3.7399989109961398"/>
    <n v="7166"/>
    <n v="7202"/>
  </r>
  <r>
    <x v="61"/>
    <x v="65"/>
    <x v="114"/>
    <x v="115"/>
    <n v="0"/>
    <n v="0"/>
    <n v="0"/>
    <n v="0"/>
    <m/>
    <n v="0"/>
    <n v="0"/>
    <n v="0"/>
    <n v="0"/>
    <n v="0"/>
    <n v="0"/>
  </r>
  <r>
    <x v="61"/>
    <x v="65"/>
    <x v="115"/>
    <x v="116"/>
    <n v="627821.16202091111"/>
    <n v="0.39284202283166897"/>
    <n v="548298.68375797267"/>
    <n v="0.38731007943029228"/>
    <m/>
    <n v="452346"/>
    <n v="517952"/>
    <n v="-65606"/>
    <n v="-12.666424688001976"/>
    <n v="34.99999999744"/>
    <n v="31.000000003570001"/>
  </r>
  <r>
    <x v="61"/>
    <x v="65"/>
    <x v="116"/>
    <x v="117"/>
    <n v="970330.57718324638"/>
    <n v="0.60715797716833098"/>
    <n v="867359.50041447137"/>
    <n v="0.61268992056970772"/>
    <m/>
    <n v="715572"/>
    <n v="800523"/>
    <n v="-84951"/>
    <n v="-10.611937445894746"/>
    <n v="72.298076922760004"/>
    <n v="64.8214285719"/>
  </r>
  <r>
    <x v="61"/>
    <x v="1"/>
    <x v="2"/>
    <x v="2"/>
    <n v="0"/>
    <n v="0"/>
    <n v="0"/>
    <n v="0"/>
    <m/>
    <n v="0"/>
    <n v="0"/>
    <n v="0"/>
    <n v="0"/>
    <n v="0"/>
    <n v="0"/>
  </r>
  <r>
    <x v="61"/>
    <x v="65"/>
    <x v="3"/>
    <x v="3"/>
    <n v="1598151.7392041576"/>
    <n v="1"/>
    <n v="1415658.184172444"/>
    <n v="1"/>
    <n v="1167918"/>
    <n v="1167918"/>
    <n v="1318475"/>
    <n v="-150557"/>
    <n v="-11.419025768406682"/>
    <n v="107.2980769202"/>
    <n v="95.821428575470009"/>
  </r>
  <r>
    <x v="62"/>
    <x v="66"/>
    <x v="117"/>
    <x v="118"/>
    <n v="2395286.75"/>
    <n v="0.67705984603216862"/>
    <n v="2889718.2099999995"/>
    <n v="0.71709278411474586"/>
    <m/>
    <n v="806811"/>
    <n v="736864"/>
    <n v="69947"/>
    <n v="9.4925250792547882"/>
    <n v="171"/>
    <n v="204"/>
  </r>
  <r>
    <x v="62"/>
    <x v="66"/>
    <x v="12"/>
    <x v="12"/>
    <n v="1142490.2486468737"/>
    <n v="0.32294015396783132"/>
    <n v="1140050.7041682957"/>
    <n v="0.28290721588525403"/>
    <m/>
    <n v="318303"/>
    <n v="351465"/>
    <n v="-33162"/>
    <n v="-9.4353634074516659"/>
    <n v="54.000000001140002"/>
    <n v="51.999999998169997"/>
  </r>
  <r>
    <x v="62"/>
    <x v="1"/>
    <x v="2"/>
    <x v="2"/>
    <n v="0"/>
    <n v="0"/>
    <n v="0"/>
    <n v="0"/>
    <m/>
    <n v="0"/>
    <n v="0"/>
    <n v="0"/>
    <n v="0"/>
    <n v="0"/>
    <n v="0"/>
  </r>
  <r>
    <x v="62"/>
    <x v="1"/>
    <x v="2"/>
    <x v="2"/>
    <n v="0"/>
    <n v="0"/>
    <n v="0"/>
    <n v="0"/>
    <m/>
    <n v="0"/>
    <n v="0"/>
    <n v="0"/>
    <n v="0"/>
    <n v="0"/>
    <n v="0"/>
  </r>
  <r>
    <x v="62"/>
    <x v="66"/>
    <x v="3"/>
    <x v="3"/>
    <n v="3537776.998646874"/>
    <n v="1"/>
    <n v="4029768.9141682955"/>
    <n v="0.99999999999999989"/>
    <n v="1125114"/>
    <n v="1125114"/>
    <n v="1088329"/>
    <n v="36785"/>
    <n v="3.3799522019536372"/>
    <n v="225.00000000113999"/>
    <n v="255.99999999816998"/>
  </r>
  <r>
    <x v="63"/>
    <x v="67"/>
    <x v="118"/>
    <x v="119"/>
    <n v="32534279.410000004"/>
    <n v="1"/>
    <n v="34438020.57"/>
    <n v="1"/>
    <m/>
    <n v="14024833"/>
    <n v="13217258"/>
    <n v="807575"/>
    <n v="6.1100040568172309"/>
    <n v="2062"/>
    <n v="2095"/>
  </r>
  <r>
    <x v="63"/>
    <x v="1"/>
    <x v="2"/>
    <x v="2"/>
    <n v="0"/>
    <n v="0"/>
    <n v="0"/>
    <n v="0"/>
    <m/>
    <n v="0"/>
    <n v="0"/>
    <n v="0"/>
    <n v="0"/>
    <n v="0"/>
    <n v="0"/>
  </r>
  <r>
    <x v="63"/>
    <x v="1"/>
    <x v="2"/>
    <x v="2"/>
    <n v="0"/>
    <n v="0"/>
    <n v="0"/>
    <n v="0"/>
    <m/>
    <n v="0"/>
    <n v="0"/>
    <n v="0"/>
    <n v="0"/>
    <n v="0"/>
    <n v="0"/>
  </r>
  <r>
    <x v="63"/>
    <x v="1"/>
    <x v="2"/>
    <x v="2"/>
    <n v="0"/>
    <n v="0"/>
    <n v="0"/>
    <n v="0"/>
    <m/>
    <n v="0"/>
    <n v="0"/>
    <n v="0"/>
    <n v="0"/>
    <n v="0"/>
    <n v="0"/>
  </r>
  <r>
    <x v="63"/>
    <x v="67"/>
    <x v="3"/>
    <x v="3"/>
    <n v="32534279.410000004"/>
    <n v="1"/>
    <n v="34438020.57"/>
    <n v="1"/>
    <n v="14024833"/>
    <n v="14024833"/>
    <n v="13217258"/>
    <n v="807575"/>
    <n v="6.1100040568172309"/>
    <n v="2062"/>
    <n v="2095"/>
  </r>
  <r>
    <x v="64"/>
    <x v="68"/>
    <x v="119"/>
    <x v="120"/>
    <n v="16687439.717179999"/>
    <n v="0.98646344413438647"/>
    <n v="17839057.451559998"/>
    <n v="0.98958102683844273"/>
    <m/>
    <n v="14717222"/>
    <n v="13767138"/>
    <n v="950084"/>
    <n v="6.90110028678437"/>
    <n v="1367"/>
    <n v="1433"/>
  </r>
  <r>
    <x v="64"/>
    <x v="68"/>
    <x v="1"/>
    <x v="1"/>
    <n v="228990.19860171591"/>
    <n v="1.3536555865613574E-2"/>
    <n v="187821.56869871556"/>
    <n v="1.0418973161557281E-2"/>
    <m/>
    <n v="154953"/>
    <n v="188917"/>
    <n v="-33964"/>
    <n v="-17.978265587533148"/>
    <n v="10.9999999976"/>
    <n v="8.9999999976900007"/>
  </r>
  <r>
    <x v="64"/>
    <x v="68"/>
    <x v="39"/>
    <x v="40"/>
    <n v="0"/>
    <n v="0"/>
    <n v="0"/>
    <n v="0"/>
    <m/>
    <n v="0"/>
    <n v="0"/>
    <n v="0"/>
    <n v="0"/>
    <n v="0"/>
    <n v="0"/>
  </r>
  <r>
    <x v="64"/>
    <x v="1"/>
    <x v="2"/>
    <x v="2"/>
    <n v="0"/>
    <n v="0"/>
    <n v="0"/>
    <n v="0"/>
    <m/>
    <n v="0"/>
    <n v="0"/>
    <n v="0"/>
    <n v="0"/>
    <n v="0"/>
    <n v="0"/>
  </r>
  <r>
    <x v="64"/>
    <x v="68"/>
    <x v="3"/>
    <x v="3"/>
    <n v="16916429.915781714"/>
    <n v="1"/>
    <n v="18026879.020258714"/>
    <n v="1"/>
    <n v="14872175"/>
    <n v="14872175"/>
    <n v="13956055"/>
    <n v="916120"/>
    <n v="6.5643192148497551"/>
    <n v="1377.9999999976001"/>
    <n v="1441.9999999976901"/>
  </r>
  <r>
    <x v="65"/>
    <x v="69"/>
    <x v="120"/>
    <x v="121"/>
    <n v="0"/>
    <n v="0"/>
    <n v="0"/>
    <n v="0"/>
    <m/>
    <n v="0"/>
    <n v="0"/>
    <n v="0"/>
    <n v="0"/>
    <n v="0"/>
    <n v="0"/>
  </r>
  <r>
    <x v="65"/>
    <x v="69"/>
    <x v="29"/>
    <x v="30"/>
    <n v="1998700.5951497108"/>
    <n v="0.81671871139944507"/>
    <n v="2062405.756623785"/>
    <n v="0.80402071913848816"/>
    <m/>
    <n v="1193141"/>
    <n v="1157136"/>
    <n v="36005"/>
    <n v="3.1115616487603877"/>
    <n v="138.9073170751"/>
    <n v="136.7910447774"/>
  </r>
  <r>
    <x v="65"/>
    <x v="69"/>
    <x v="64"/>
    <x v="65"/>
    <n v="448531.93087500008"/>
    <n v="0.18328128860055493"/>
    <n v="502709.42950433143"/>
    <n v="0.1959792808615119"/>
    <m/>
    <n v="290827"/>
    <n v="259675"/>
    <n v="31152"/>
    <n v="11.996534129199961"/>
    <n v="21"/>
    <n v="23.00000000136"/>
  </r>
  <r>
    <x v="65"/>
    <x v="1"/>
    <x v="2"/>
    <x v="2"/>
    <n v="0"/>
    <n v="0"/>
    <n v="0"/>
    <n v="0"/>
    <m/>
    <n v="0"/>
    <n v="0"/>
    <n v="0"/>
    <n v="0"/>
    <n v="0"/>
    <n v="0"/>
  </r>
  <r>
    <x v="65"/>
    <x v="69"/>
    <x v="3"/>
    <x v="3"/>
    <n v="2447232.5260247109"/>
    <n v="1"/>
    <n v="2565115.1861281162"/>
    <n v="1"/>
    <n v="1483968"/>
    <n v="1483968"/>
    <n v="1416811"/>
    <n v="67157"/>
    <n v="4.7400111941536309"/>
    <n v="159.9073170751"/>
    <n v="159.79104477876001"/>
  </r>
  <r>
    <x v="66"/>
    <x v="70"/>
    <x v="121"/>
    <x v="122"/>
    <n v="23075622.333200004"/>
    <n v="0.61219263121600742"/>
    <n v="24161392.54073"/>
    <n v="0.62610103182671939"/>
    <m/>
    <n v="19933149"/>
    <n v="19037389"/>
    <n v="895760"/>
    <n v="4.7052670930871878"/>
    <n v="1925"/>
    <n v="1943"/>
  </r>
  <r>
    <x v="66"/>
    <x v="70"/>
    <x v="97"/>
    <x v="98"/>
    <n v="13866673.539643588"/>
    <n v="0.36788066808643144"/>
    <n v="13551716.937811457"/>
    <n v="0.35116949254825647"/>
    <m/>
    <n v="11180167"/>
    <n v="11440006"/>
    <n v="-259839"/>
    <n v="-2.2713187388188434"/>
    <n v="1016.7916337754"/>
    <n v="967.18598832468001"/>
  </r>
  <r>
    <x v="66"/>
    <x v="70"/>
    <x v="6"/>
    <x v="6"/>
    <n v="751105.11985464836"/>
    <n v="1.9926700697561046E-2"/>
    <n v="877136.04499082477"/>
    <n v="2.2729475625024163E-2"/>
    <m/>
    <n v="723637"/>
    <n v="619662"/>
    <n v="103975"/>
    <n v="16.779308719915051"/>
    <n v="35.999999997239996"/>
    <n v="42.000000002459998"/>
  </r>
  <r>
    <x v="66"/>
    <x v="1"/>
    <x v="2"/>
    <x v="2"/>
    <n v="0"/>
    <n v="0"/>
    <n v="0"/>
    <n v="0"/>
    <m/>
    <n v="0"/>
    <n v="0"/>
    <n v="0"/>
    <n v="0"/>
    <n v="0"/>
    <n v="0"/>
  </r>
  <r>
    <x v="66"/>
    <x v="70"/>
    <x v="3"/>
    <x v="3"/>
    <n v="37693400.992698245"/>
    <n v="0.99999999999999989"/>
    <n v="38590245.523532279"/>
    <n v="1"/>
    <n v="31836953"/>
    <n v="31836953"/>
    <n v="31097057"/>
    <n v="739896"/>
    <n v="2.3793119715476614"/>
    <n v="2977.7916337726401"/>
    <n v="2952.18598832714"/>
  </r>
  <r>
    <x v="67"/>
    <x v="71"/>
    <x v="122"/>
    <x v="123"/>
    <n v="941811.15000000014"/>
    <n v="0.40399129109575599"/>
    <n v="969244.91999999993"/>
    <n v="0.4096861177260418"/>
    <m/>
    <n v="799627"/>
    <n v="776994"/>
    <n v="22633"/>
    <n v="2.9128925062484394"/>
    <n v="66"/>
    <n v="68"/>
  </r>
  <r>
    <x v="67"/>
    <x v="71"/>
    <x v="123"/>
    <x v="124"/>
    <n v="1197226.8518503029"/>
    <n v="0.51355223561911667"/>
    <n v="1243579.7529682661"/>
    <n v="0.52564357115875215"/>
    <m/>
    <n v="1025953"/>
    <n v="987712"/>
    <n v="38241"/>
    <n v="3.8716751441715802"/>
    <n v="85.174537987839997"/>
    <n v="86.180293501899996"/>
  </r>
  <r>
    <x v="67"/>
    <x v="71"/>
    <x v="64"/>
    <x v="65"/>
    <n v="192227.97035791312"/>
    <n v="8.2456473285127299E-2"/>
    <n v="152998.52206646712"/>
    <n v="6.4670311115206103E-2"/>
    <m/>
    <n v="126224"/>
    <n v="158588"/>
    <n v="-32364"/>
    <n v="-20.407597043912528"/>
    <n v="8.9999999991999999"/>
    <n v="7.0000000023999993"/>
  </r>
  <r>
    <x v="67"/>
    <x v="1"/>
    <x v="2"/>
    <x v="2"/>
    <n v="0"/>
    <n v="0"/>
    <n v="0"/>
    <n v="0"/>
    <m/>
    <n v="0"/>
    <n v="0"/>
    <n v="0"/>
    <n v="0"/>
    <n v="0"/>
    <n v="0"/>
  </r>
  <r>
    <x v="67"/>
    <x v="71"/>
    <x v="3"/>
    <x v="3"/>
    <n v="2331265.9722082163"/>
    <n v="0.99999999999999989"/>
    <n v="2365823.195034733"/>
    <n v="1"/>
    <n v="1951804"/>
    <n v="1951804"/>
    <n v="1923294"/>
    <n v="28510"/>
    <n v="1.4823526720303812"/>
    <n v="160.17453798703997"/>
    <n v="161.18029350429998"/>
  </r>
  <r>
    <x v="68"/>
    <x v="72"/>
    <x v="124"/>
    <x v="125"/>
    <n v="98944.56"/>
    <n v="0.12550348984374107"/>
    <n v="84301.650000000009"/>
    <n v="0.10614305438730257"/>
    <m/>
    <n v="69549"/>
    <n v="81629"/>
    <n v="-12080"/>
    <n v="-14.798662240135245"/>
    <n v="6"/>
    <n v="5"/>
  </r>
  <r>
    <x v="68"/>
    <x v="72"/>
    <x v="48"/>
    <x v="49"/>
    <n v="689436.38560710277"/>
    <n v="0.87449651015625895"/>
    <n v="709925.07059533882"/>
    <n v="0.89385694561269746"/>
    <m/>
    <n v="585688"/>
    <n v="568785"/>
    <n v="16903"/>
    <n v="2.9717731656073911"/>
    <n v="48.205061650120001"/>
    <n v="48.242268043600006"/>
  </r>
  <r>
    <x v="68"/>
    <x v="1"/>
    <x v="2"/>
    <x v="2"/>
    <n v="0"/>
    <n v="0"/>
    <n v="0"/>
    <n v="0"/>
    <m/>
    <n v="0"/>
    <n v="0"/>
    <n v="0"/>
    <n v="0"/>
    <n v="0"/>
    <n v="0"/>
  </r>
  <r>
    <x v="68"/>
    <x v="1"/>
    <x v="2"/>
    <x v="2"/>
    <n v="0"/>
    <n v="0"/>
    <n v="0"/>
    <n v="0"/>
    <m/>
    <n v="0"/>
    <n v="0"/>
    <n v="0"/>
    <n v="0"/>
    <n v="0"/>
    <n v="0"/>
  </r>
  <r>
    <x v="68"/>
    <x v="72"/>
    <x v="3"/>
    <x v="3"/>
    <n v="788380.94560710271"/>
    <n v="1"/>
    <n v="794226.72059533885"/>
    <n v="1"/>
    <n v="655237"/>
    <n v="655237"/>
    <n v="650414"/>
    <n v="4823"/>
    <n v="0.74152770389321265"/>
    <n v="54.205061650120001"/>
    <n v="53.242268043600006"/>
  </r>
  <r>
    <x v="69"/>
    <x v="73"/>
    <x v="125"/>
    <x v="126"/>
    <n v="212169.47999999998"/>
    <n v="1.6642498375335629E-2"/>
    <n v="267378.24"/>
    <n v="1.9984531811920104E-2"/>
    <m/>
    <n v="121597"/>
    <n v="97790"/>
    <n v="23807"/>
    <n v="24.34502505368647"/>
    <n v="11"/>
    <n v="14"/>
  </r>
  <r>
    <x v="69"/>
    <x v="73"/>
    <x v="48"/>
    <x v="49"/>
    <n v="12536486.113347543"/>
    <n v="0.98335750162466429"/>
    <n v="13111881.405228106"/>
    <n v="0.98001546818807983"/>
    <m/>
    <n v="5962936"/>
    <n v="5778147"/>
    <n v="184789"/>
    <n v="3.1980667850783306"/>
    <n v="876.54510058623998"/>
    <n v="891.00515463760007"/>
  </r>
  <r>
    <x v="69"/>
    <x v="1"/>
    <x v="2"/>
    <x v="2"/>
    <n v="0"/>
    <n v="0"/>
    <n v="0"/>
    <n v="0"/>
    <m/>
    <n v="0"/>
    <n v="0"/>
    <n v="0"/>
    <n v="0"/>
    <n v="0"/>
    <n v="0"/>
  </r>
  <r>
    <x v="69"/>
    <x v="1"/>
    <x v="2"/>
    <x v="2"/>
    <n v="0"/>
    <n v="0"/>
    <n v="0"/>
    <n v="0"/>
    <m/>
    <n v="0"/>
    <n v="0"/>
    <n v="0"/>
    <n v="0"/>
    <n v="0"/>
    <n v="0"/>
  </r>
  <r>
    <x v="69"/>
    <x v="73"/>
    <x v="3"/>
    <x v="3"/>
    <n v="12748655.593347544"/>
    <n v="0.99999999999999989"/>
    <n v="13379259.645228107"/>
    <n v="0.99999999999999989"/>
    <n v="6084533"/>
    <n v="6084533"/>
    <n v="5875937"/>
    <n v="208596"/>
    <n v="3.5500040248899878"/>
    <n v="887.54510058623998"/>
    <n v="905.00515463760007"/>
  </r>
  <r>
    <x v="70"/>
    <x v="74"/>
    <x v="126"/>
    <x v="127"/>
    <n v="42331707.480000004"/>
    <n v="0.89718554927237626"/>
    <n v="44328380.18"/>
    <n v="0.90152040593741278"/>
    <m/>
    <n v="34918958"/>
    <n v="33039603"/>
    <n v="1879355"/>
    <n v="5.6881888078376726"/>
    <n v="3315"/>
    <n v="3349"/>
  </r>
  <r>
    <x v="70"/>
    <x v="74"/>
    <x v="66"/>
    <x v="67"/>
    <n v="4851071.5051623378"/>
    <n v="0.10281445072762381"/>
    <n v="4842309.5659595104"/>
    <n v="9.8479594062587175E-2"/>
    <m/>
    <n v="3814450"/>
    <n v="3786227"/>
    <n v="28223"/>
    <n v="0.74541225341216999"/>
    <n v="245.99999999990999"/>
    <n v="239.99999999651999"/>
  </r>
  <r>
    <x v="70"/>
    <x v="1"/>
    <x v="2"/>
    <x v="18"/>
    <n v="0"/>
    <n v="0"/>
    <n v="0"/>
    <n v="0"/>
    <m/>
    <n v="0"/>
    <n v="0"/>
    <n v="0"/>
    <n v="0"/>
    <n v="0"/>
    <n v="0"/>
  </r>
  <r>
    <x v="70"/>
    <x v="1"/>
    <x v="2"/>
    <x v="2"/>
    <n v="0"/>
    <n v="0"/>
    <n v="0"/>
    <n v="0"/>
    <m/>
    <n v="0"/>
    <n v="0"/>
    <n v="0"/>
    <n v="0"/>
    <n v="0"/>
    <n v="0"/>
  </r>
  <r>
    <x v="70"/>
    <x v="74"/>
    <x v="3"/>
    <x v="3"/>
    <n v="47182778.98516234"/>
    <n v="1"/>
    <n v="49170689.745959513"/>
    <n v="1"/>
    <n v="38733408"/>
    <n v="38733408"/>
    <n v="36825830"/>
    <n v="1907578"/>
    <n v="5.1800000162929116"/>
    <n v="3560.99999999991"/>
    <n v="3588.9999999965198"/>
  </r>
  <r>
    <x v="71"/>
    <x v="75"/>
    <x v="127"/>
    <x v="128"/>
    <n v="43916766.759999998"/>
    <n v="0.85126874424979726"/>
    <n v="44678547.479999989"/>
    <n v="0.8525186790493342"/>
    <m/>
    <n v="36166183"/>
    <n v="34831363"/>
    <n v="1334820"/>
    <n v="3.8322359076215307"/>
    <n v="3303"/>
    <n v="3284"/>
  </r>
  <r>
    <x v="71"/>
    <x v="75"/>
    <x v="128"/>
    <x v="129"/>
    <n v="7265764.3004888985"/>
    <n v="0.14083728171277132"/>
    <n v="7249663.3162780199"/>
    <n v="0.13833201262221864"/>
    <m/>
    <n v="5868424"/>
    <n v="5762639"/>
    <n v="105785"/>
    <n v="1.835704093211461"/>
    <n v="328.99999999415996"/>
    <n v="319.00000001040002"/>
  </r>
  <r>
    <x v="71"/>
    <x v="75"/>
    <x v="9"/>
    <x v="9"/>
    <n v="407248.37949605187"/>
    <n v="7.8939740374313703E-3"/>
    <n v="479494.25227553357"/>
    <n v="9.1493083284471671E-3"/>
    <m/>
    <n v="388139"/>
    <n v="322998"/>
    <n v="65141"/>
    <n v="20.167617136948216"/>
    <n v="20.000000001469999"/>
    <n v="23.000000002140002"/>
  </r>
  <r>
    <x v="71"/>
    <x v="1"/>
    <x v="2"/>
    <x v="2"/>
    <n v="0"/>
    <n v="0"/>
    <n v="0"/>
    <n v="0"/>
    <m/>
    <n v="0"/>
    <n v="0"/>
    <n v="0"/>
    <n v="0"/>
    <n v="0"/>
    <n v="0"/>
  </r>
  <r>
    <x v="71"/>
    <x v="75"/>
    <x v="3"/>
    <x v="3"/>
    <n v="51589779.439984947"/>
    <n v="1"/>
    <n v="52407705.048553541"/>
    <n v="1"/>
    <n v="42422746"/>
    <n v="42422746"/>
    <n v="40917000"/>
    <n v="1505746"/>
    <n v="3.6800009775887772"/>
    <n v="3651.9999999956303"/>
    <n v="3626.0000000125401"/>
  </r>
  <r>
    <x v="72"/>
    <x v="76"/>
    <x v="129"/>
    <x v="130"/>
    <n v="34648058.12985"/>
    <n v="0.93366116495180129"/>
    <n v="39060888.148359999"/>
    <n v="0.93910135341800394"/>
    <m/>
    <n v="29321375"/>
    <n v="27655361"/>
    <n v="1666014"/>
    <n v="6.0241990693956229"/>
    <n v="2529"/>
    <n v="2748"/>
  </r>
  <r>
    <x v="72"/>
    <x v="76"/>
    <x v="38"/>
    <x v="39"/>
    <n v="2203506.3207371407"/>
    <n v="5.9377881169786734E-2"/>
    <n v="2268724.5771412598"/>
    <n v="5.4544646113365423E-2"/>
    <m/>
    <n v="1703037"/>
    <n v="1758793"/>
    <n v="-55756"/>
    <n v="-3.1701286052423452"/>
    <n v="101.00000000074999"/>
    <n v="101.9999999968"/>
  </r>
  <r>
    <x v="72"/>
    <x v="76"/>
    <x v="39"/>
    <x v="40"/>
    <n v="258320.19545428283"/>
    <n v="6.9609538784119688E-3"/>
    <n v="264287.66255790152"/>
    <n v="6.3540004686305791E-3"/>
    <m/>
    <n v="198390"/>
    <n v="206186"/>
    <n v="-7796"/>
    <n v="-3.7810520597906745"/>
    <n v="12.00000000012"/>
    <n v="11.99999999896"/>
  </r>
  <r>
    <x v="72"/>
    <x v="1"/>
    <x v="2"/>
    <x v="2"/>
    <n v="0"/>
    <n v="0"/>
    <n v="0"/>
    <n v="0"/>
    <m/>
    <n v="0"/>
    <n v="0"/>
    <n v="0"/>
    <n v="0"/>
    <n v="0"/>
    <n v="0"/>
  </r>
  <r>
    <x v="72"/>
    <x v="76"/>
    <x v="3"/>
    <x v="3"/>
    <n v="37109884.646041423"/>
    <n v="1"/>
    <n v="41593900.388059162"/>
    <n v="0.99999999999999989"/>
    <n v="31222801"/>
    <n v="31222802"/>
    <n v="29620340"/>
    <n v="1602462"/>
    <n v="5.4100054219499167"/>
    <n v="2642.0000000008699"/>
    <n v="2861.9999999957599"/>
  </r>
  <r>
    <x v="73"/>
    <x v="77"/>
    <x v="130"/>
    <x v="131"/>
    <n v="3505682.31"/>
    <n v="0.48630737730481977"/>
    <n v="3547455.8600000003"/>
    <n v="0.47707417500468141"/>
    <m/>
    <n v="2926651"/>
    <n v="2863682"/>
    <n v="62969"/>
    <n v="2.1988824178103576"/>
    <n v="281"/>
    <n v="279"/>
  </r>
  <r>
    <x v="73"/>
    <x v="77"/>
    <x v="123"/>
    <x v="124"/>
    <n v="3169129.9019607189"/>
    <n v="0.43962091104621448"/>
    <n v="3123409.6120806779"/>
    <n v="0.42004696399099983"/>
    <m/>
    <n v="2576813"/>
    <n v="2588763"/>
    <n v="-11950"/>
    <n v="-0.46161042938268199"/>
    <n v="225.46201232103999"/>
    <n v="216.45283018904001"/>
  </r>
  <r>
    <x v="73"/>
    <x v="77"/>
    <x v="64"/>
    <x v="65"/>
    <n v="533966.58434082626"/>
    <n v="7.4071711648965713E-2"/>
    <n v="764992.6100827296"/>
    <n v="0.10287886100431878"/>
    <m/>
    <n v="631119"/>
    <n v="436181"/>
    <n v="194938"/>
    <n v="44.691997129631964"/>
    <n v="24.9999999984"/>
    <n v="35.000000000580002"/>
  </r>
  <r>
    <x v="73"/>
    <x v="1"/>
    <x v="2"/>
    <x v="2"/>
    <n v="0"/>
    <n v="0"/>
    <n v="0"/>
    <n v="0"/>
    <m/>
    <n v="0"/>
    <n v="0"/>
    <n v="0"/>
    <n v="0"/>
    <n v="0"/>
    <n v="0"/>
  </r>
  <r>
    <x v="73"/>
    <x v="77"/>
    <x v="3"/>
    <x v="3"/>
    <n v="7208778.7963015456"/>
    <n v="1"/>
    <n v="7435858.0821634075"/>
    <n v="1"/>
    <n v="6134583"/>
    <n v="6134583"/>
    <n v="5888626"/>
    <n v="245957"/>
    <n v="4.1768147612023583"/>
    <n v="531.46201231943996"/>
    <n v="530.45283018962004"/>
  </r>
  <r>
    <x v="74"/>
    <x v="78"/>
    <x v="131"/>
    <x v="132"/>
    <n v="0"/>
    <n v="0"/>
    <n v="0"/>
    <n v="0"/>
    <m/>
    <n v="0"/>
    <n v="0"/>
    <n v="0"/>
    <n v="0"/>
    <n v="0"/>
    <n v="0"/>
  </r>
  <r>
    <x v="74"/>
    <x v="78"/>
    <x v="132"/>
    <x v="133"/>
    <n v="15222380.63594093"/>
    <n v="0.91136165606478103"/>
    <n v="16028933.790816883"/>
    <n v="0.92099410620771405"/>
    <m/>
    <n v="13223870"/>
    <n v="12558464"/>
    <n v="665406"/>
    <n v="5.29846643665977"/>
    <n v="979.76441567316999"/>
    <n v="982.94304757316991"/>
  </r>
  <r>
    <x v="74"/>
    <x v="78"/>
    <x v="44"/>
    <x v="45"/>
    <n v="1480517.2033981644"/>
    <n v="8.8638343935218966E-2"/>
    <n v="1375014.4893926729"/>
    <n v="7.9005893792285897E-2"/>
    <m/>
    <n v="1134387"/>
    <n v="1221427"/>
    <n v="-87040"/>
    <n v="-7.126091039415372"/>
    <n v="68.203898052810004"/>
    <n v="63.094594591529997"/>
  </r>
  <r>
    <x v="74"/>
    <x v="1"/>
    <x v="2"/>
    <x v="2"/>
    <n v="0"/>
    <n v="0"/>
    <n v="0"/>
    <n v="0"/>
    <m/>
    <n v="0"/>
    <n v="0"/>
    <n v="0"/>
    <n v="0"/>
    <n v="0"/>
    <n v="0"/>
  </r>
  <r>
    <x v="74"/>
    <x v="78"/>
    <x v="3"/>
    <x v="3"/>
    <n v="16702897.839339094"/>
    <n v="1"/>
    <n v="17403948.280209556"/>
    <n v="1"/>
    <n v="14358257"/>
    <n v="14358257"/>
    <n v="13779891"/>
    <n v="578366"/>
    <n v="4.197173983451683"/>
    <n v="1047.9683137259799"/>
    <n v="1046.0376421646999"/>
  </r>
  <r>
    <x v="75"/>
    <x v="79"/>
    <x v="133"/>
    <x v="134"/>
    <n v="0"/>
    <n v="0"/>
    <n v="16860.330000000002"/>
    <n v="9.3398564191789484E-4"/>
    <m/>
    <n v="8607"/>
    <n v="0"/>
    <n v="8607"/>
    <n v="100"/>
    <n v="0"/>
    <n v="1"/>
  </r>
  <r>
    <x v="75"/>
    <x v="79"/>
    <x v="134"/>
    <x v="135"/>
    <n v="14602231.109717995"/>
    <n v="0.84109319037043451"/>
    <n v="15216268.247371864"/>
    <n v="0.84291209404658685"/>
    <m/>
    <n v="7767533"/>
    <n v="7355766"/>
    <n v="411767"/>
    <n v="5.5978806286116223"/>
    <n v="1129.91538461142"/>
    <n v="1143.0220700121699"/>
  </r>
  <r>
    <x v="75"/>
    <x v="79"/>
    <x v="58"/>
    <x v="59"/>
    <n v="2249722.9585546255"/>
    <n v="0.12958476320793325"/>
    <n v="2235161.9794169609"/>
    <n v="0.12381781353841963"/>
    <m/>
    <n v="1140996"/>
    <n v="1133281"/>
    <n v="7715"/>
    <n v="0.68076672952251027"/>
    <n v="111.591774558"/>
    <n v="110.3240058855"/>
  </r>
  <r>
    <x v="75"/>
    <x v="79"/>
    <x v="9"/>
    <x v="9"/>
    <n v="509060.47434527357"/>
    <n v="2.9322046421632195E-2"/>
    <n v="583732.13317257492"/>
    <n v="3.2336106773075579E-2"/>
    <m/>
    <n v="297981"/>
    <n v="256435"/>
    <n v="41546"/>
    <n v="16.201376567161269"/>
    <n v="25.000000000619998"/>
    <n v="28.000000001050001"/>
  </r>
  <r>
    <x v="75"/>
    <x v="79"/>
    <x v="3"/>
    <x v="3"/>
    <n v="17361014.542617895"/>
    <n v="0.99999999999999989"/>
    <n v="18052022.6899614"/>
    <n v="1"/>
    <n v="9215116"/>
    <n v="9215117"/>
    <n v="8745482"/>
    <n v="469635"/>
    <n v="5.3700299194486938"/>
    <n v="1266.50715917004"/>
    <n v="1282.3460758987198"/>
  </r>
  <r>
    <x v="76"/>
    <x v="80"/>
    <x v="135"/>
    <x v="136"/>
    <n v="14574247.939999998"/>
    <n v="0.87032644596130404"/>
    <n v="14237865.390000002"/>
    <n v="0.85365948744752629"/>
    <m/>
    <n v="8850986"/>
    <n v="8454786"/>
    <n v="396200"/>
    <n v="4.686103231944605"/>
    <n v="1132"/>
    <n v="1072"/>
  </r>
  <r>
    <x v="76"/>
    <x v="80"/>
    <x v="54"/>
    <x v="55"/>
    <n v="2171477.7674410334"/>
    <n v="0.12967355403869588"/>
    <n v="2440758.3462297092"/>
    <n v="0.14634051255247366"/>
    <m/>
    <n v="1517300"/>
    <n v="1259714"/>
    <n v="257586"/>
    <n v="20.447974699018985"/>
    <n v="114.99999999559999"/>
    <n v="126.00000000146001"/>
  </r>
  <r>
    <x v="76"/>
    <x v="1"/>
    <x v="2"/>
    <x v="2"/>
    <n v="0"/>
    <n v="0"/>
    <n v="0"/>
    <n v="0"/>
    <m/>
    <n v="0"/>
    <n v="0"/>
    <n v="0"/>
    <n v="0"/>
    <n v="0"/>
    <n v="0"/>
  </r>
  <r>
    <x v="76"/>
    <x v="1"/>
    <x v="2"/>
    <x v="2"/>
    <n v="0"/>
    <n v="0"/>
    <n v="0"/>
    <n v="0"/>
    <m/>
    <n v="0"/>
    <n v="0"/>
    <n v="0"/>
    <n v="0"/>
    <n v="0"/>
    <n v="0"/>
  </r>
  <r>
    <x v="76"/>
    <x v="80"/>
    <x v="3"/>
    <x v="3"/>
    <n v="16745725.707441032"/>
    <n v="0.99999999999999989"/>
    <n v="16678623.736229712"/>
    <n v="1"/>
    <n v="10368286"/>
    <n v="10368286"/>
    <n v="9714500"/>
    <n v="653786"/>
    <n v="6.7300015440835868"/>
    <n v="1246.9999999956001"/>
    <n v="1198.00000000146"/>
  </r>
  <r>
    <x v="77"/>
    <x v="81"/>
    <x v="136"/>
    <x v="137"/>
    <n v="5901407.9242000002"/>
    <n v="0.4189649530905164"/>
    <n v="5959421.4737200011"/>
    <n v="0.42141571354631391"/>
    <m/>
    <n v="4916523"/>
    <n v="4868661"/>
    <n v="47862"/>
    <n v="0.98306289963503313"/>
    <n v="500"/>
    <n v="491"/>
  </r>
  <r>
    <x v="77"/>
    <x v="81"/>
    <x v="137"/>
    <x v="138"/>
    <n v="8079293.2395034535"/>
    <n v="0.57358189038456553"/>
    <n v="8033541.1902133534"/>
    <n v="0.56808542706817244"/>
    <m/>
    <n v="6627671"/>
    <n v="6665417"/>
    <n v="-37746"/>
    <n v="-0.56629615221373242"/>
    <n v="637.80119965936001"/>
    <n v="613.35707925183999"/>
  </r>
  <r>
    <x v="77"/>
    <x v="81"/>
    <x v="6"/>
    <x v="6"/>
    <n v="83456.124442620901"/>
    <n v="5.9248897400968727E-3"/>
    <n v="104420.95774675885"/>
    <n v="7.3840443425746199E-3"/>
    <m/>
    <n v="86147"/>
    <n v="68851"/>
    <n v="17296"/>
    <n v="25.120913276495621"/>
    <n v="4.00000000038"/>
    <n v="5.0000000007600001"/>
  </r>
  <r>
    <x v="77"/>
    <x v="81"/>
    <x v="39"/>
    <x v="40"/>
    <n v="21526.682954523571"/>
    <n v="1.5282667848213526E-3"/>
    <n v="44047.943768753496"/>
    <n v="3.1148150429390672E-3"/>
    <m/>
    <n v="36340"/>
    <n v="17760"/>
    <n v="18580"/>
    <n v="104.61711711711712"/>
    <n v="1.00000000001"/>
    <n v="2.00000000024"/>
  </r>
  <r>
    <x v="77"/>
    <x v="81"/>
    <x v="3"/>
    <x v="3"/>
    <n v="14085683.971100597"/>
    <n v="1.0000000000000002"/>
    <n v="14141431.565448867"/>
    <n v="1"/>
    <n v="11666681"/>
    <n v="11666681"/>
    <n v="11620689"/>
    <n v="45992"/>
    <n v="0.39577687691323638"/>
    <n v="1142.80119965975"/>
    <n v="1111.3570792528401"/>
  </r>
  <r>
    <x v="78"/>
    <x v="82"/>
    <x v="138"/>
    <x v="139"/>
    <n v="54539267.460000008"/>
    <n v="0.84380884676411161"/>
    <n v="54583406.889999993"/>
    <n v="0.82771454974713832"/>
    <m/>
    <n v="27974680"/>
    <n v="27369124"/>
    <n v="605556"/>
    <n v="2.2125516330007495"/>
    <n v="3900"/>
    <n v="3837"/>
  </r>
  <r>
    <x v="78"/>
    <x v="82"/>
    <x v="139"/>
    <x v="140"/>
    <n v="10095356.44700267"/>
    <n v="0.15619115323588836"/>
    <n v="11361316.332123971"/>
    <n v="0.17228545025286168"/>
    <m/>
    <n v="5822817"/>
    <n v="5066094"/>
    <n v="756723"/>
    <n v="14.937010643703019"/>
    <n v="457.00000000104001"/>
    <n v="503.00000000019003"/>
  </r>
  <r>
    <x v="78"/>
    <x v="1"/>
    <x v="2"/>
    <x v="18"/>
    <n v="0"/>
    <n v="0"/>
    <n v="0"/>
    <n v="0"/>
    <m/>
    <n v="0"/>
    <n v="0"/>
    <n v="0"/>
    <n v="0"/>
    <n v="0"/>
    <n v="0"/>
  </r>
  <r>
    <x v="78"/>
    <x v="1"/>
    <x v="2"/>
    <x v="2"/>
    <n v="0"/>
    <n v="0"/>
    <n v="0"/>
    <n v="0"/>
    <m/>
    <n v="0"/>
    <n v="0"/>
    <n v="0"/>
    <n v="0"/>
    <n v="0"/>
    <n v="0"/>
  </r>
  <r>
    <x v="78"/>
    <x v="82"/>
    <x v="3"/>
    <x v="3"/>
    <n v="64634623.90700268"/>
    <n v="1"/>
    <n v="65944723.222123966"/>
    <n v="1"/>
    <n v="33797497"/>
    <n v="33797497"/>
    <n v="32435218"/>
    <n v="1362279"/>
    <n v="4.1999995190413086"/>
    <n v="4357.0000000010405"/>
    <n v="4340.0000000001901"/>
  </r>
  <r>
    <x v="79"/>
    <x v="83"/>
    <x v="140"/>
    <x v="141"/>
    <n v="16490.760000000002"/>
    <n v="7.0380912970601081E-4"/>
    <n v="0"/>
    <n v="0"/>
    <m/>
    <n v="0"/>
    <n v="5890"/>
    <n v="-5890"/>
    <n v="-100"/>
    <n v="1"/>
    <n v="0"/>
  </r>
  <r>
    <x v="79"/>
    <x v="83"/>
    <x v="102"/>
    <x v="103"/>
    <n v="20744824.705383021"/>
    <n v="0.88536835305342965"/>
    <n v="21660827.440697566"/>
    <n v="0.88968870476960948"/>
    <m/>
    <n v="8078202"/>
    <n v="7409875"/>
    <n v="668327"/>
    <n v="9.0194099090740405"/>
    <n v="1517.60982307725"/>
    <n v="1536.1581325197799"/>
  </r>
  <r>
    <x v="79"/>
    <x v="83"/>
    <x v="36"/>
    <x v="37"/>
    <n v="2669412.1338573876"/>
    <n v="0.11392783781686429"/>
    <n v="2685696.6014467832"/>
    <n v="0.11031129523039039"/>
    <m/>
    <n v="1001605"/>
    <n v="953491"/>
    <n v="48114"/>
    <n v="5.0460885315120958"/>
    <n v="131.99999999648"/>
    <n v="130.00000000383"/>
  </r>
  <r>
    <x v="79"/>
    <x v="1"/>
    <x v="2"/>
    <x v="2"/>
    <n v="0"/>
    <n v="0"/>
    <n v="0"/>
    <n v="0"/>
    <m/>
    <n v="0"/>
    <n v="0"/>
    <n v="0"/>
    <n v="0"/>
    <n v="0"/>
    <n v="0"/>
  </r>
  <r>
    <x v="79"/>
    <x v="83"/>
    <x v="3"/>
    <x v="3"/>
    <n v="23430727.599240411"/>
    <n v="1"/>
    <n v="24346524.042144351"/>
    <n v="0.99999999999999989"/>
    <n v="9079807"/>
    <n v="9079807"/>
    <n v="8369256"/>
    <n v="710551"/>
    <n v="8.4900139271638952"/>
    <n v="1650.60982307373"/>
    <n v="1666.1581325236098"/>
  </r>
  <r>
    <x v="80"/>
    <x v="84"/>
    <x v="141"/>
    <x v="142"/>
    <n v="0"/>
    <n v="0"/>
    <n v="0"/>
    <n v="0"/>
    <m/>
    <n v="0"/>
    <n v="0"/>
    <n v="0"/>
    <n v="0"/>
    <n v="0"/>
    <n v="0"/>
  </r>
  <r>
    <x v="80"/>
    <x v="84"/>
    <x v="142"/>
    <x v="143"/>
    <n v="6297868.3222599598"/>
    <n v="0.96284963895580844"/>
    <n v="6570196.3018176313"/>
    <n v="0.97323363364695492"/>
    <m/>
    <n v="5323258"/>
    <n v="5070243"/>
    <n v="253015"/>
    <n v="4.9901947500346626"/>
    <n v="524.17293869361004"/>
    <n v="531.69469598249998"/>
  </r>
  <r>
    <x v="80"/>
    <x v="84"/>
    <x v="139"/>
    <x v="140"/>
    <n v="242995.45070657946"/>
    <n v="3.7150361044191484E-2"/>
    <n v="180696.88011796252"/>
    <n v="2.676636635304511E-2"/>
    <m/>
    <n v="146403"/>
    <n v="195629"/>
    <n v="-49226"/>
    <n v="-25.162935965526582"/>
    <n v="11.00000000556"/>
    <n v="8.0000000037299994"/>
  </r>
  <r>
    <x v="80"/>
    <x v="1"/>
    <x v="2"/>
    <x v="2"/>
    <n v="0"/>
    <n v="0"/>
    <n v="0"/>
    <n v="0"/>
    <m/>
    <n v="0"/>
    <n v="0"/>
    <n v="0"/>
    <n v="0"/>
    <n v="0"/>
    <n v="0"/>
  </r>
  <r>
    <x v="80"/>
    <x v="84"/>
    <x v="3"/>
    <x v="3"/>
    <n v="6540863.7729665395"/>
    <n v="0.99999999999999989"/>
    <n v="6750893.1819355935"/>
    <n v="1"/>
    <n v="5469661"/>
    <n v="5469661"/>
    <n v="5265872"/>
    <n v="203789"/>
    <n v="3.8699953208129632"/>
    <n v="535.17293869917"/>
    <n v="539.69469598622993"/>
  </r>
  <r>
    <x v="81"/>
    <x v="85"/>
    <x v="143"/>
    <x v="144"/>
    <n v="33659011.201460004"/>
    <n v="1"/>
    <n v="33652713.458800003"/>
    <n v="1"/>
    <m/>
    <n v="27763489"/>
    <n v="26987503"/>
    <n v="775986"/>
    <n v="2.8753530847222137"/>
    <n v="2729"/>
    <n v="2658"/>
  </r>
  <r>
    <x v="81"/>
    <x v="1"/>
    <x v="2"/>
    <x v="2"/>
    <n v="0"/>
    <n v="0"/>
    <n v="0"/>
    <n v="0"/>
    <m/>
    <n v="0"/>
    <n v="0"/>
    <n v="0"/>
    <n v="0"/>
    <n v="0"/>
    <n v="0"/>
  </r>
  <r>
    <x v="81"/>
    <x v="1"/>
    <x v="2"/>
    <x v="2"/>
    <n v="0"/>
    <n v="0"/>
    <n v="0"/>
    <n v="0"/>
    <m/>
    <n v="0"/>
    <n v="0"/>
    <n v="0"/>
    <n v="0"/>
    <n v="0"/>
    <n v="0"/>
  </r>
  <r>
    <x v="81"/>
    <x v="1"/>
    <x v="2"/>
    <x v="2"/>
    <n v="0"/>
    <n v="0"/>
    <n v="0"/>
    <n v="0"/>
    <m/>
    <n v="0"/>
    <n v="0"/>
    <n v="0"/>
    <n v="0"/>
    <n v="0"/>
    <n v="0"/>
  </r>
  <r>
    <x v="81"/>
    <x v="85"/>
    <x v="3"/>
    <x v="3"/>
    <n v="33659011.201460004"/>
    <n v="1"/>
    <n v="33652713.458800003"/>
    <n v="1"/>
    <n v="27763489"/>
    <n v="27763489"/>
    <n v="26987503"/>
    <n v="775986"/>
    <n v="2.8753530847222137"/>
    <n v="2729"/>
    <n v="2658"/>
  </r>
  <r>
    <x v="82"/>
    <x v="86"/>
    <x v="144"/>
    <x v="145"/>
    <n v="26867274.059999999"/>
    <n v="0.92641222226308084"/>
    <n v="26713492.300000004"/>
    <n v="0.92425013752022245"/>
    <m/>
    <n v="14744525"/>
    <n v="13993957"/>
    <n v="750568"/>
    <n v="5.363515122992017"/>
    <n v="2022"/>
    <n v="1963"/>
  </r>
  <r>
    <x v="82"/>
    <x v="86"/>
    <x v="89"/>
    <x v="90"/>
    <n v="2134150.3754067691"/>
    <n v="7.3587777736919144E-2"/>
    <n v="2189389.3069995041"/>
    <n v="7.5749862479777524E-2"/>
    <m/>
    <n v="1208435"/>
    <n v="1111583"/>
    <n v="96852"/>
    <n v="8.7129795975649138"/>
    <n v="100.42944785025"/>
    <n v="100.17921146726999"/>
  </r>
  <r>
    <x v="82"/>
    <x v="1"/>
    <x v="2"/>
    <x v="2"/>
    <n v="0"/>
    <n v="0"/>
    <n v="0"/>
    <n v="0"/>
    <m/>
    <n v="0"/>
    <n v="0"/>
    <n v="0"/>
    <n v="0"/>
    <n v="0"/>
    <n v="0"/>
  </r>
  <r>
    <x v="82"/>
    <x v="1"/>
    <x v="2"/>
    <x v="2"/>
    <n v="0"/>
    <n v="0"/>
    <n v="0"/>
    <n v="0"/>
    <m/>
    <n v="0"/>
    <n v="0"/>
    <n v="0"/>
    <n v="0"/>
    <n v="0"/>
    <n v="0"/>
  </r>
  <r>
    <x v="82"/>
    <x v="86"/>
    <x v="3"/>
    <x v="3"/>
    <n v="29001424.435406767"/>
    <n v="1"/>
    <n v="28902881.606999509"/>
    <n v="1"/>
    <n v="15952960"/>
    <n v="15952960"/>
    <n v="15105540"/>
    <n v="847420"/>
    <n v="5.6099947436503426"/>
    <n v="2122.4294478502502"/>
    <n v="2063.1792114672699"/>
  </r>
  <r>
    <x v="83"/>
    <x v="87"/>
    <x v="145"/>
    <x v="146"/>
    <n v="278132.51999999996"/>
    <n v="6.7836763371227529E-2"/>
    <n v="267378.24"/>
    <n v="6.3543687498996276E-2"/>
    <m/>
    <n v="141860"/>
    <n v="144480"/>
    <n v="-2620"/>
    <n v="-1.8133997785160576"/>
    <n v="15"/>
    <n v="14"/>
  </r>
  <r>
    <x v="83"/>
    <x v="87"/>
    <x v="146"/>
    <x v="147"/>
    <n v="3821893.869495579"/>
    <n v="0.93216323662877243"/>
    <n v="3940407.7812979217"/>
    <n v="0.93645631250100381"/>
    <m/>
    <n v="2090612"/>
    <n v="1985335"/>
    <n v="105277"/>
    <n v="5.3027322844759199"/>
    <n v="253.29317268527998"/>
    <n v="249.36375488592"/>
  </r>
  <r>
    <x v="83"/>
    <x v="1"/>
    <x v="2"/>
    <x v="2"/>
    <n v="0"/>
    <n v="0"/>
    <n v="0"/>
    <n v="0"/>
    <m/>
    <n v="0"/>
    <n v="0"/>
    <n v="0"/>
    <n v="0"/>
    <n v="0"/>
    <n v="0"/>
  </r>
  <r>
    <x v="83"/>
    <x v="1"/>
    <x v="2"/>
    <x v="2"/>
    <n v="0"/>
    <n v="0"/>
    <n v="0"/>
    <n v="0"/>
    <m/>
    <n v="0"/>
    <n v="0"/>
    <n v="0"/>
    <n v="0"/>
    <n v="0"/>
    <n v="0"/>
  </r>
  <r>
    <x v="83"/>
    <x v="87"/>
    <x v="3"/>
    <x v="3"/>
    <n v="4100026.3894955791"/>
    <n v="1"/>
    <n v="4207786.0212979214"/>
    <n v="1"/>
    <n v="2232472"/>
    <n v="2232472"/>
    <n v="2129815"/>
    <n v="102657"/>
    <n v="4.8199961029479086"/>
    <n v="268.29317268527996"/>
    <n v="263.36375488592"/>
  </r>
  <r>
    <x v="84"/>
    <x v="88"/>
    <x v="147"/>
    <x v="148"/>
    <n v="2896212.01"/>
    <n v="0.43664445697882981"/>
    <n v="2893667.62"/>
    <n v="0.40931917275927587"/>
    <m/>
    <n v="2387276"/>
    <n v="2389375"/>
    <n v="-2099"/>
    <n v="-8.7847240387130529E-2"/>
    <n v="197"/>
    <n v="198"/>
  </r>
  <r>
    <x v="84"/>
    <x v="88"/>
    <x v="83"/>
    <x v="84"/>
    <n v="3257681.0787673928"/>
    <n v="0.49114097336009488"/>
    <n v="3564679.9619386801"/>
    <n v="0.5042361614331875"/>
    <m/>
    <n v="2940861"/>
    <n v="2687587"/>
    <n v="253274"/>
    <n v="9.4238437676622198"/>
    <n v="227.0000000007"/>
    <n v="242.00000000279999"/>
  </r>
  <r>
    <x v="84"/>
    <x v="88"/>
    <x v="44"/>
    <x v="45"/>
    <n v="478990.85996991891"/>
    <n v="7.2214569661075326E-2"/>
    <n v="611117.55084118794"/>
    <n v="8.6444665807536583E-2"/>
    <m/>
    <n v="504172"/>
    <n v="395167"/>
    <n v="109005"/>
    <n v="27.584540207051703"/>
    <n v="22.065967019249999"/>
    <n v="28.042042040679998"/>
  </r>
  <r>
    <x v="84"/>
    <x v="1"/>
    <x v="2"/>
    <x v="2"/>
    <n v="0"/>
    <n v="0"/>
    <n v="0"/>
    <n v="0"/>
    <m/>
    <n v="0"/>
    <n v="0"/>
    <n v="0"/>
    <n v="0"/>
    <n v="0"/>
    <n v="0"/>
  </r>
  <r>
    <x v="84"/>
    <x v="88"/>
    <x v="3"/>
    <x v="3"/>
    <n v="6632883.9487373112"/>
    <n v="1"/>
    <n v="7069465.1327798683"/>
    <n v="1"/>
    <n v="5832309"/>
    <n v="5832309"/>
    <n v="5472129"/>
    <n v="360180"/>
    <n v="6.5820816724167139"/>
    <n v="446.06596701994999"/>
    <n v="468.04204204347997"/>
  </r>
  <r>
    <x v="85"/>
    <x v="89"/>
    <x v="148"/>
    <x v="149"/>
    <n v="22559015.459999997"/>
    <n v="1"/>
    <n v="23097746.730000004"/>
    <n v="1"/>
    <m/>
    <n v="14936633"/>
    <n v="13894543"/>
    <n v="1042090"/>
    <n v="7.4999947821241761"/>
    <n v="1591"/>
    <n v="1580"/>
  </r>
  <r>
    <x v="85"/>
    <x v="1"/>
    <x v="2"/>
    <x v="2"/>
    <n v="0"/>
    <n v="0"/>
    <n v="0"/>
    <n v="0"/>
    <m/>
    <n v="0"/>
    <n v="0"/>
    <n v="0"/>
    <n v="0"/>
    <n v="0"/>
    <n v="0"/>
  </r>
  <r>
    <x v="85"/>
    <x v="1"/>
    <x v="2"/>
    <x v="2"/>
    <n v="0"/>
    <n v="0"/>
    <n v="0"/>
    <n v="0"/>
    <m/>
    <n v="0"/>
    <n v="0"/>
    <n v="0"/>
    <n v="0"/>
    <n v="0"/>
    <n v="0"/>
  </r>
  <r>
    <x v="85"/>
    <x v="1"/>
    <x v="2"/>
    <x v="2"/>
    <n v="0"/>
    <n v="0"/>
    <n v="0"/>
    <n v="0"/>
    <m/>
    <n v="0"/>
    <n v="0"/>
    <n v="0"/>
    <n v="0"/>
    <n v="0"/>
    <n v="0"/>
  </r>
  <r>
    <x v="85"/>
    <x v="89"/>
    <x v="3"/>
    <x v="3"/>
    <n v="22559015.459999997"/>
    <n v="1"/>
    <n v="23097746.730000004"/>
    <n v="1"/>
    <n v="14936633"/>
    <n v="14936633"/>
    <n v="13894543"/>
    <n v="1042090"/>
    <n v="7.4999947821241761"/>
    <n v="1591"/>
    <n v="1580"/>
  </r>
  <r>
    <x v="86"/>
    <x v="90"/>
    <x v="149"/>
    <x v="150"/>
    <n v="33881345.879999995"/>
    <n v="1"/>
    <n v="34416160.82"/>
    <n v="1"/>
    <m/>
    <n v="19663608"/>
    <n v="18843898"/>
    <n v="819710"/>
    <n v="4.3500023190530959"/>
    <n v="2552"/>
    <n v="2522"/>
  </r>
  <r>
    <x v="86"/>
    <x v="1"/>
    <x v="2"/>
    <x v="2"/>
    <n v="0"/>
    <n v="0"/>
    <n v="0"/>
    <n v="0"/>
    <m/>
    <n v="0"/>
    <n v="0"/>
    <n v="0"/>
    <n v="0"/>
    <n v="0"/>
    <n v="0"/>
  </r>
  <r>
    <x v="86"/>
    <x v="1"/>
    <x v="2"/>
    <x v="2"/>
    <n v="0"/>
    <n v="0"/>
    <n v="0"/>
    <n v="0"/>
    <m/>
    <n v="0"/>
    <n v="0"/>
    <n v="0"/>
    <n v="0"/>
    <n v="0"/>
    <n v="0"/>
  </r>
  <r>
    <x v="86"/>
    <x v="1"/>
    <x v="2"/>
    <x v="2"/>
    <n v="0"/>
    <n v="0"/>
    <n v="0"/>
    <n v="0"/>
    <m/>
    <n v="0"/>
    <n v="0"/>
    <n v="0"/>
    <n v="0"/>
    <n v="0"/>
    <n v="0"/>
  </r>
  <r>
    <x v="86"/>
    <x v="90"/>
    <x v="3"/>
    <x v="3"/>
    <n v="33881345.879999995"/>
    <n v="1"/>
    <n v="34416160.82"/>
    <n v="1"/>
    <n v="19663608"/>
    <n v="19663608"/>
    <n v="18843898"/>
    <n v="819710"/>
    <n v="4.3500023190530959"/>
    <n v="2552"/>
    <n v="2522"/>
  </r>
  <r>
    <x v="87"/>
    <x v="91"/>
    <x v="150"/>
    <x v="151"/>
    <n v="43192301.489999995"/>
    <n v="0.96077232305984028"/>
    <n v="44308894.519999996"/>
    <n v="0.95445614594591355"/>
    <m/>
    <n v="34692019"/>
    <n v="33376275"/>
    <n v="1315744"/>
    <n v="3.9421535207269236"/>
    <n v="3418"/>
    <n v="3404"/>
  </r>
  <r>
    <x v="87"/>
    <x v="91"/>
    <x v="89"/>
    <x v="90"/>
    <n v="1600612.7816420437"/>
    <n v="3.5604133317451048E-2"/>
    <n v="1926662.5902035444"/>
    <n v="4.1502162721613438E-2"/>
    <m/>
    <n v="1508497"/>
    <n v="1236852"/>
    <n v="271645"/>
    <n v="21.962611533150287"/>
    <n v="75.322085891780006"/>
    <n v="88.15770609321001"/>
  </r>
  <r>
    <x v="87"/>
    <x v="91"/>
    <x v="9"/>
    <x v="9"/>
    <n v="162899.35175875475"/>
    <n v="3.6235436227086983E-3"/>
    <n v="187628.18563598057"/>
    <n v="4.0416913324729555E-3"/>
    <m/>
    <n v="146905"/>
    <n v="125878"/>
    <n v="21027"/>
    <n v="16.704269213047553"/>
    <n v="7.999999998639999"/>
    <n v="8.9999999990599999"/>
  </r>
  <r>
    <x v="87"/>
    <x v="1"/>
    <x v="2"/>
    <x v="2"/>
    <n v="0"/>
    <n v="0"/>
    <n v="0"/>
    <n v="0"/>
    <m/>
    <n v="0"/>
    <n v="0"/>
    <n v="0"/>
    <n v="0"/>
    <n v="0"/>
    <n v="0"/>
  </r>
  <r>
    <x v="87"/>
    <x v="91"/>
    <x v="3"/>
    <x v="3"/>
    <n v="44955813.623400792"/>
    <n v="1"/>
    <n v="46423185.295839526"/>
    <n v="1"/>
    <n v="36347421"/>
    <n v="36347421"/>
    <n v="34739005"/>
    <n v="1608416"/>
    <n v="4.6300001971846916"/>
    <n v="3501.3220858904197"/>
    <n v="3501.15770609227"/>
  </r>
  <r>
    <x v="88"/>
    <x v="92"/>
    <x v="151"/>
    <x v="152"/>
    <n v="6660865.3400000008"/>
    <n v="0.66388496745276215"/>
    <n v="6714943.7300000014"/>
    <n v="0.62892590688873784"/>
    <m/>
    <n v="5539828"/>
    <n v="5495214"/>
    <n v="44614"/>
    <n v="0.81187011097293027"/>
    <n v="438"/>
    <n v="434"/>
  </r>
  <r>
    <x v="88"/>
    <x v="92"/>
    <x v="115"/>
    <x v="116"/>
    <n v="3372296.5277206232"/>
    <n v="0.33611503254723785"/>
    <n v="3961900.1659979569"/>
    <n v="0.3710740931112621"/>
    <m/>
    <n v="3268568"/>
    <n v="2782145"/>
    <n v="486423"/>
    <n v="17.483740063871583"/>
    <n v="188.00000000263998"/>
    <n v="223.99999999688998"/>
  </r>
  <r>
    <x v="88"/>
    <x v="1"/>
    <x v="2"/>
    <x v="2"/>
    <n v="0"/>
    <n v="0"/>
    <n v="0"/>
    <n v="0"/>
    <m/>
    <n v="0"/>
    <n v="0"/>
    <n v="0"/>
    <n v="0"/>
    <n v="0"/>
    <n v="0"/>
  </r>
  <r>
    <x v="88"/>
    <x v="1"/>
    <x v="2"/>
    <x v="2"/>
    <n v="0"/>
    <n v="0"/>
    <n v="0"/>
    <n v="0"/>
    <m/>
    <n v="0"/>
    <n v="0"/>
    <n v="0"/>
    <n v="0"/>
    <n v="0"/>
    <n v="0"/>
  </r>
  <r>
    <x v="88"/>
    <x v="92"/>
    <x v="3"/>
    <x v="3"/>
    <n v="10033161.867720624"/>
    <n v="1"/>
    <n v="10676843.895997958"/>
    <n v="1"/>
    <n v="8808396"/>
    <n v="8808396"/>
    <n v="8277359"/>
    <n v="531037"/>
    <n v="6.4155366464110113"/>
    <n v="626.00000000264004"/>
    <n v="657.99999999688998"/>
  </r>
  <r>
    <x v="89"/>
    <x v="93"/>
    <x v="152"/>
    <x v="153"/>
    <n v="0"/>
    <n v="0"/>
    <n v="0"/>
    <n v="0"/>
    <m/>
    <n v="0"/>
    <n v="0"/>
    <n v="0"/>
    <n v="0"/>
    <n v="0"/>
    <n v="0"/>
  </r>
  <r>
    <x v="89"/>
    <x v="93"/>
    <x v="15"/>
    <x v="15"/>
    <n v="1293907.663036203"/>
    <n v="1"/>
    <n v="1269627.7468174584"/>
    <n v="1"/>
    <m/>
    <n v="1047443"/>
    <n v="1067474"/>
    <n v="-20031"/>
    <n v="-1.8764859846703525"/>
    <n v="90.203007518700005"/>
    <n v="87.237366002200005"/>
  </r>
  <r>
    <x v="89"/>
    <x v="1"/>
    <x v="2"/>
    <x v="2"/>
    <n v="0"/>
    <n v="0"/>
    <n v="0"/>
    <n v="0"/>
    <m/>
    <n v="0"/>
    <n v="0"/>
    <n v="0"/>
    <n v="0"/>
    <n v="0"/>
    <n v="0"/>
  </r>
  <r>
    <x v="89"/>
    <x v="1"/>
    <x v="2"/>
    <x v="2"/>
    <n v="0"/>
    <n v="0"/>
    <n v="0"/>
    <n v="0"/>
    <m/>
    <n v="0"/>
    <n v="0"/>
    <n v="0"/>
    <n v="0"/>
    <n v="0"/>
    <n v="0"/>
  </r>
  <r>
    <x v="89"/>
    <x v="93"/>
    <x v="3"/>
    <x v="3"/>
    <n v="1293907.663036203"/>
    <n v="1"/>
    <n v="1269627.7468174584"/>
    <n v="1"/>
    <n v="1047443"/>
    <n v="1047443"/>
    <n v="1067474"/>
    <n v="-20031"/>
    <n v="-1.8764859846703525"/>
    <n v="90.203007518700005"/>
    <n v="87.237366002200005"/>
  </r>
  <r>
    <x v="90"/>
    <x v="94"/>
    <x v="153"/>
    <x v="154"/>
    <n v="2671388.7799999998"/>
    <n v="0.81708055326597928"/>
    <n v="2756151.77"/>
    <n v="0.8236442909294559"/>
    <m/>
    <n v="2220663"/>
    <n v="2115389"/>
    <n v="105274"/>
    <n v="4.9765787758185374"/>
    <n v="203"/>
    <n v="204"/>
  </r>
  <r>
    <x v="90"/>
    <x v="94"/>
    <x v="64"/>
    <x v="65"/>
    <n v="598042.5745000001"/>
    <n v="0.18291944673402077"/>
    <n v="590137.15636379749"/>
    <n v="0.17635570907054418"/>
    <m/>
    <n v="475480"/>
    <n v="473571"/>
    <n v="1909"/>
    <n v="0.40310745379256752"/>
    <n v="28"/>
    <n v="27.000000001100002"/>
  </r>
  <r>
    <x v="90"/>
    <x v="1"/>
    <x v="2"/>
    <x v="2"/>
    <n v="0"/>
    <n v="0"/>
    <n v="0"/>
    <n v="0"/>
    <m/>
    <n v="0"/>
    <n v="0"/>
    <n v="0"/>
    <n v="0"/>
    <n v="0"/>
    <n v="0"/>
  </r>
  <r>
    <x v="90"/>
    <x v="1"/>
    <x v="2"/>
    <x v="2"/>
    <n v="0"/>
    <n v="0"/>
    <n v="0"/>
    <n v="0"/>
    <m/>
    <n v="0"/>
    <n v="0"/>
    <n v="0"/>
    <n v="0"/>
    <n v="0"/>
    <n v="0"/>
  </r>
  <r>
    <x v="90"/>
    <x v="94"/>
    <x v="3"/>
    <x v="3"/>
    <n v="3269431.3544999999"/>
    <n v="1"/>
    <n v="3346288.9263637974"/>
    <n v="1"/>
    <n v="2696143"/>
    <n v="2696143"/>
    <n v="2588960"/>
    <n v="107183"/>
    <n v="4.1400021630307151"/>
    <n v="231"/>
    <n v="231.00000000110001"/>
  </r>
  <r>
    <x v="91"/>
    <x v="95"/>
    <x v="154"/>
    <x v="155"/>
    <n v="0"/>
    <n v="0"/>
    <n v="0"/>
    <n v="0"/>
    <m/>
    <n v="0"/>
    <n v="0"/>
    <n v="0"/>
    <n v="0"/>
    <n v="0"/>
    <n v="0"/>
  </r>
  <r>
    <x v="91"/>
    <x v="95"/>
    <x v="155"/>
    <x v="156"/>
    <n v="6338341.5474519432"/>
    <n v="0.93593852472223082"/>
    <n v="6379142.5933382753"/>
    <n v="0.94331239109872234"/>
    <m/>
    <n v="5126297"/>
    <n v="4838954"/>
    <n v="287343"/>
    <n v="5.9381221644181776"/>
    <n v="496.23697478962004"/>
    <n v="489.83641160920001"/>
  </r>
  <r>
    <x v="91"/>
    <x v="95"/>
    <x v="66"/>
    <x v="67"/>
    <n v="433835.66294020851"/>
    <n v="6.4061475277769148E-2"/>
    <n v="383349.50740490976"/>
    <n v="5.668760890127774E-2"/>
    <m/>
    <n v="308061"/>
    <n v="331208"/>
    <n v="-23147"/>
    <n v="-6.988659694210285"/>
    <n v="21.999999993749999"/>
    <n v="19.000000004669999"/>
  </r>
  <r>
    <x v="91"/>
    <x v="1"/>
    <x v="2"/>
    <x v="2"/>
    <n v="0"/>
    <n v="0"/>
    <n v="0"/>
    <n v="0"/>
    <m/>
    <n v="0"/>
    <n v="0"/>
    <n v="0"/>
    <n v="0"/>
    <n v="0"/>
    <n v="0"/>
  </r>
  <r>
    <x v="91"/>
    <x v="95"/>
    <x v="3"/>
    <x v="3"/>
    <n v="6772177.210392152"/>
    <n v="1"/>
    <n v="6762492.1007431848"/>
    <n v="1"/>
    <n v="5434358"/>
    <n v="5434358"/>
    <n v="5170162"/>
    <n v="264196"/>
    <n v="5.1100139608778212"/>
    <n v="518.23697478336999"/>
    <n v="508.83641161387004"/>
  </r>
  <r>
    <x v="92"/>
    <x v="96"/>
    <x v="156"/>
    <x v="157"/>
    <n v="152643280.48403001"/>
    <n v="1"/>
    <n v="161811104.85304004"/>
    <n v="1"/>
    <m/>
    <n v="43738229"/>
    <n v="40961068"/>
    <n v="2777161"/>
    <n v="6.7800014394155932"/>
    <n v="7937"/>
    <n v="8020"/>
  </r>
  <r>
    <x v="92"/>
    <x v="1"/>
    <x v="2"/>
    <x v="2"/>
    <n v="0"/>
    <n v="0"/>
    <n v="0"/>
    <n v="0"/>
    <m/>
    <n v="0"/>
    <n v="0"/>
    <n v="0"/>
    <n v="0"/>
    <n v="0"/>
    <n v="0"/>
  </r>
  <r>
    <x v="92"/>
    <x v="1"/>
    <x v="2"/>
    <x v="2"/>
    <n v="0"/>
    <n v="0"/>
    <n v="0"/>
    <n v="0"/>
    <m/>
    <n v="0"/>
    <n v="0"/>
    <n v="0"/>
    <n v="0"/>
    <n v="0"/>
    <n v="0"/>
  </r>
  <r>
    <x v="92"/>
    <x v="1"/>
    <x v="2"/>
    <x v="2"/>
    <n v="0"/>
    <n v="0"/>
    <n v="0"/>
    <n v="0"/>
    <m/>
    <n v="0"/>
    <n v="0"/>
    <n v="0"/>
    <n v="0"/>
    <n v="0"/>
    <n v="0"/>
  </r>
  <r>
    <x v="92"/>
    <x v="96"/>
    <x v="3"/>
    <x v="3"/>
    <n v="152643280.48403001"/>
    <n v="1"/>
    <n v="161811104.85304004"/>
    <n v="1"/>
    <n v="43738229"/>
    <n v="43738229"/>
    <n v="40961068"/>
    <n v="2777161"/>
    <n v="6.7800014394155932"/>
    <n v="7937"/>
    <n v="8020"/>
  </r>
  <r>
    <x v="93"/>
    <x v="97"/>
    <x v="157"/>
    <x v="158"/>
    <n v="23768492.649999999"/>
    <n v="0.8452968673112673"/>
    <n v="23598054.430000003"/>
    <n v="0.83611972409212754"/>
    <m/>
    <n v="14889430"/>
    <n v="14136790"/>
    <n v="752640"/>
    <n v="5.323980903727084"/>
    <n v="1659"/>
    <n v="1595"/>
  </r>
  <r>
    <x v="93"/>
    <x v="97"/>
    <x v="128"/>
    <x v="129"/>
    <n v="3820599.4650312057"/>
    <n v="0.13587486621882949"/>
    <n v="3999814.2432606099"/>
    <n v="0.14172030967278446"/>
    <m/>
    <n v="2523723"/>
    <n v="2272379"/>
    <n v="251344"/>
    <n v="11.060830961736576"/>
    <n v="172.9999999984"/>
    <n v="175.9999999968"/>
  </r>
  <r>
    <x v="93"/>
    <x v="97"/>
    <x v="9"/>
    <x v="9"/>
    <n v="529422.89331511792"/>
    <n v="1.8828266469903234E-2"/>
    <n v="625427.28548877896"/>
    <n v="2.2159966235087886E-2"/>
    <m/>
    <n v="394620"/>
    <n v="314885"/>
    <n v="79735"/>
    <n v="25.321942931546438"/>
    <n v="26.000000000450001"/>
    <n v="29.999999998570001"/>
  </r>
  <r>
    <x v="93"/>
    <x v="1"/>
    <x v="2"/>
    <x v="2"/>
    <n v="0"/>
    <n v="0"/>
    <n v="0"/>
    <n v="0"/>
    <m/>
    <n v="0"/>
    <n v="0"/>
    <n v="0"/>
    <n v="0"/>
    <n v="0"/>
    <n v="0"/>
  </r>
  <r>
    <x v="93"/>
    <x v="97"/>
    <x v="3"/>
    <x v="3"/>
    <n v="28118515.008346323"/>
    <n v="1"/>
    <n v="28223295.958749395"/>
    <n v="0.99999999999999989"/>
    <n v="17807773"/>
    <n v="17807773"/>
    <n v="16724054"/>
    <n v="1083719"/>
    <n v="6.4800017986069642"/>
    <n v="1857.9999999988499"/>
    <n v="1800.99999999537"/>
  </r>
  <r>
    <x v="94"/>
    <x v="98"/>
    <x v="158"/>
    <x v="159"/>
    <n v="226544925.61000004"/>
    <n v="0.90556743182564459"/>
    <n v="243053149.76999998"/>
    <n v="0.90792156255545275"/>
    <m/>
    <n v="40721548"/>
    <n v="38520449"/>
    <n v="2201099"/>
    <n v="5.7141052535498744"/>
    <n v="12238"/>
    <n v="12433"/>
  </r>
  <r>
    <x v="94"/>
    <x v="98"/>
    <x v="159"/>
    <x v="160"/>
    <n v="22524533.313323878"/>
    <n v="9.0037257425630485E-2"/>
    <n v="23586429.675041087"/>
    <n v="8.8106770498272341E-2"/>
    <m/>
    <n v="3951711"/>
    <n v="3829947"/>
    <n v="121764"/>
    <n v="3.179260705174249"/>
    <n v="1059.0000000054999"/>
    <n v="1074.99999999648"/>
  </r>
  <r>
    <x v="94"/>
    <x v="98"/>
    <x v="9"/>
    <x v="9"/>
    <n v="1099570.6245699245"/>
    <n v="4.3953107487248585E-3"/>
    <n v="1063226.3853415775"/>
    <n v="3.9716669462748965E-3"/>
    <m/>
    <n v="178135"/>
    <n v="186965"/>
    <n v="-8830"/>
    <n v="-4.7228090819137272"/>
    <n v="54.00000000056"/>
    <n v="50.99999999808"/>
  </r>
  <r>
    <x v="94"/>
    <x v="1"/>
    <x v="2"/>
    <x v="2"/>
    <n v="0"/>
    <n v="0"/>
    <n v="0"/>
    <n v="0"/>
    <m/>
    <n v="0"/>
    <n v="0"/>
    <n v="0"/>
    <n v="0"/>
    <n v="0"/>
    <n v="0"/>
  </r>
  <r>
    <x v="94"/>
    <x v="98"/>
    <x v="3"/>
    <x v="3"/>
    <n v="250169029.54789385"/>
    <n v="1"/>
    <n v="267702805.83038265"/>
    <n v="1"/>
    <n v="44851394"/>
    <n v="44851394"/>
    <n v="42537361"/>
    <n v="2314033"/>
    <n v="5.440001320251155"/>
    <n v="13351.000000006061"/>
    <n v="13558.999999994559"/>
  </r>
  <r>
    <x v="95"/>
    <x v="99"/>
    <x v="160"/>
    <x v="161"/>
    <n v="42847018.859999999"/>
    <n v="0.91589216223637149"/>
    <n v="43218462.880000003"/>
    <n v="0.90922548649091983"/>
    <m/>
    <n v="35655232"/>
    <n v="33524110"/>
    <n v="2131122"/>
    <n v="6.356983078745416"/>
    <n v="2959"/>
    <n v="2870"/>
  </r>
  <r>
    <x v="95"/>
    <x v="99"/>
    <x v="76"/>
    <x v="77"/>
    <n v="3934710.0668844432"/>
    <n v="8.4107837763628499E-2"/>
    <n v="4314809.6933393814"/>
    <n v="9.0774513509080071E-2"/>
    <m/>
    <n v="3559718"/>
    <n v="3078572"/>
    <n v="481146"/>
    <n v="15.62886948884093"/>
    <n v="187.94803548807002"/>
    <n v="203.71395076304"/>
  </r>
  <r>
    <x v="95"/>
    <x v="1"/>
    <x v="2"/>
    <x v="2"/>
    <n v="0"/>
    <n v="0"/>
    <n v="0"/>
    <n v="0"/>
    <m/>
    <n v="0"/>
    <n v="0"/>
    <n v="0"/>
    <n v="0"/>
    <n v="0"/>
    <n v="0"/>
  </r>
  <r>
    <x v="95"/>
    <x v="1"/>
    <x v="2"/>
    <x v="2"/>
    <n v="0"/>
    <n v="0"/>
    <n v="0"/>
    <n v="0"/>
    <m/>
    <n v="0"/>
    <n v="0"/>
    <n v="0"/>
    <n v="0"/>
    <n v="0"/>
    <n v="0"/>
  </r>
  <r>
    <x v="95"/>
    <x v="99"/>
    <x v="3"/>
    <x v="3"/>
    <n v="46781728.926884443"/>
    <n v="1"/>
    <n v="47533272.573339388"/>
    <n v="0.99999999999999989"/>
    <n v="39214950"/>
    <n v="39214950"/>
    <n v="36602682"/>
    <n v="2612268"/>
    <n v="7.1368212853910542"/>
    <n v="3146.9480354880702"/>
    <n v="3073.71395076304"/>
  </r>
  <r>
    <x v="96"/>
    <x v="100"/>
    <x v="161"/>
    <x v="162"/>
    <n v="96678430.429999992"/>
    <n v="0.92964935915175884"/>
    <n v="101071841.39"/>
    <n v="0.92817823442911984"/>
    <m/>
    <n v="23118748"/>
    <n v="21950317"/>
    <n v="1168431"/>
    <n v="5.3230711884479849"/>
    <n v="5661"/>
    <n v="5623"/>
  </r>
  <r>
    <x v="96"/>
    <x v="100"/>
    <x v="25"/>
    <x v="26"/>
    <n v="7316080.4877641238"/>
    <n v="7.0350640848241219E-2"/>
    <n v="7820866.541429447"/>
    <n v="7.1821765570880144E-2"/>
    <m/>
    <n v="1788912"/>
    <n v="1661077"/>
    <n v="127835"/>
    <n v="7.6959105447851002"/>
    <n v="363.49624059874998"/>
    <n v="386.00000000568002"/>
  </r>
  <r>
    <x v="96"/>
    <x v="1"/>
    <x v="2"/>
    <x v="2"/>
    <n v="0"/>
    <n v="0"/>
    <n v="0"/>
    <n v="0"/>
    <m/>
    <n v="0"/>
    <n v="0"/>
    <n v="0"/>
    <n v="0"/>
    <n v="0"/>
    <n v="0"/>
  </r>
  <r>
    <x v="96"/>
    <x v="1"/>
    <x v="2"/>
    <x v="2"/>
    <n v="0"/>
    <n v="0"/>
    <n v="0"/>
    <n v="0"/>
    <m/>
    <n v="0"/>
    <n v="0"/>
    <n v="0"/>
    <n v="0"/>
    <n v="0"/>
    <n v="0"/>
  </r>
  <r>
    <x v="96"/>
    <x v="100"/>
    <x v="3"/>
    <x v="3"/>
    <n v="103994510.91776411"/>
    <n v="1"/>
    <n v="108892707.93142945"/>
    <n v="1"/>
    <n v="24907660"/>
    <n v="24907660"/>
    <n v="23611394"/>
    <n v="1296266"/>
    <n v="5.4900019880232396"/>
    <n v="6024.4962405987499"/>
    <n v="6009.0000000056798"/>
  </r>
  <r>
    <x v="97"/>
    <x v="101"/>
    <x v="162"/>
    <x v="163"/>
    <n v="917915.93000000017"/>
    <n v="0.56798058426524212"/>
    <n v="865066.34"/>
    <n v="0.55218081145763032"/>
    <m/>
    <n v="439942"/>
    <n v="425391"/>
    <n v="14551"/>
    <n v="3.4206177375637941"/>
    <n v="57"/>
    <n v="55"/>
  </r>
  <r>
    <x v="97"/>
    <x v="101"/>
    <x v="12"/>
    <x v="12"/>
    <n v="698188.4852370905"/>
    <n v="0.43201941573475794"/>
    <n v="701569.66409515112"/>
    <n v="0.44781918854236968"/>
    <m/>
    <n v="356794"/>
    <n v="323562"/>
    <n v="33232"/>
    <n v="10.27067455387221"/>
    <n v="32.999999998469995"/>
    <n v="31.999999998489997"/>
  </r>
  <r>
    <x v="97"/>
    <x v="1"/>
    <x v="2"/>
    <x v="2"/>
    <n v="0"/>
    <n v="0"/>
    <n v="0"/>
    <n v="0"/>
    <m/>
    <n v="0"/>
    <n v="0"/>
    <n v="0"/>
    <n v="0"/>
    <n v="0"/>
    <n v="0"/>
  </r>
  <r>
    <x v="97"/>
    <x v="1"/>
    <x v="2"/>
    <x v="2"/>
    <n v="0"/>
    <n v="0"/>
    <n v="0"/>
    <n v="0"/>
    <m/>
    <n v="0"/>
    <n v="0"/>
    <n v="0"/>
    <n v="0"/>
    <n v="0"/>
    <n v="0"/>
  </r>
  <r>
    <x v="97"/>
    <x v="101"/>
    <x v="3"/>
    <x v="3"/>
    <n v="1616104.4152370906"/>
    <n v="1"/>
    <n v="1566636.0040951511"/>
    <n v="1"/>
    <n v="796736"/>
    <n v="796736"/>
    <n v="748953"/>
    <n v="47783"/>
    <n v="6.3799731091270075"/>
    <n v="89.999999998470003"/>
    <n v="86.999999998489997"/>
  </r>
  <r>
    <x v="98"/>
    <x v="102"/>
    <x v="163"/>
    <x v="164"/>
    <n v="34005786.001159996"/>
    <n v="0.96657347939709748"/>
    <n v="35604499.836640008"/>
    <n v="0.96783415935339712"/>
    <m/>
    <n v="28583943"/>
    <n v="27296530"/>
    <n v="1287413"/>
    <n v="4.7163980183561796"/>
    <n v="2537"/>
    <n v="2573"/>
  </r>
  <r>
    <x v="98"/>
    <x v="102"/>
    <x v="89"/>
    <x v="90"/>
    <n v="917684.66151187732"/>
    <n v="2.608408040433547E-2"/>
    <n v="1007119.081417684"/>
    <n v="2.7376434271085503E-2"/>
    <m/>
    <n v="808534"/>
    <n v="736628"/>
    <n v="71906"/>
    <n v="9.7615078438506266"/>
    <n v="43.184662579699996"/>
    <n v="46.082437284000001"/>
  </r>
  <r>
    <x v="98"/>
    <x v="102"/>
    <x v="39"/>
    <x v="40"/>
    <n v="258320.19545428283"/>
    <n v="7.3424401985670096E-3"/>
    <n v="176191.77507501398"/>
    <n v="4.789406375517319E-3"/>
    <m/>
    <n v="141450"/>
    <n v="207354"/>
    <n v="-65904"/>
    <n v="-31.783327063861801"/>
    <n v="12.00000000012"/>
    <n v="8.0000000009600001"/>
  </r>
  <r>
    <x v="98"/>
    <x v="1"/>
    <x v="2"/>
    <x v="2"/>
    <n v="0"/>
    <n v="0"/>
    <n v="0"/>
    <n v="0"/>
    <m/>
    <n v="0"/>
    <n v="0"/>
    <n v="0"/>
    <n v="0"/>
    <n v="0"/>
    <n v="0"/>
  </r>
  <r>
    <x v="98"/>
    <x v="102"/>
    <x v="3"/>
    <x v="3"/>
    <n v="35181790.858126156"/>
    <n v="1"/>
    <n v="36787810.693132706"/>
    <n v="0.99999999999999989"/>
    <n v="29533927"/>
    <n v="29533927"/>
    <n v="28240512"/>
    <n v="1293415"/>
    <n v="4.5799984079608755"/>
    <n v="2592.1846625798203"/>
    <n v="2627.0824372849602"/>
  </r>
  <r>
    <x v="99"/>
    <x v="103"/>
    <x v="164"/>
    <x v="165"/>
    <n v="159351946.7809"/>
    <n v="0.91595229430405023"/>
    <n v="164084535.65007001"/>
    <n v="0.91652906019730673"/>
    <m/>
    <n v="78033062"/>
    <n v="74355413"/>
    <n v="3677649"/>
    <n v="4.9460407139423728"/>
    <n v="9759"/>
    <n v="9521"/>
  </r>
  <r>
    <x v="99"/>
    <x v="103"/>
    <x v="31"/>
    <x v="32"/>
    <n v="14622121.270293891"/>
    <n v="8.4047705695949826E-2"/>
    <n v="14943650.990020309"/>
    <n v="8.3470939802693239E-2"/>
    <m/>
    <n v="7106696"/>
    <n v="6822846"/>
    <n v="283850"/>
    <n v="4.1602873639534002"/>
    <n v="640.28400954390997"/>
    <n v="636.1963048514699"/>
  </r>
  <r>
    <x v="99"/>
    <x v="1"/>
    <x v="2"/>
    <x v="2"/>
    <n v="0"/>
    <n v="0"/>
    <n v="0"/>
    <n v="0"/>
    <m/>
    <n v="0"/>
    <n v="0"/>
    <n v="0"/>
    <n v="0"/>
    <n v="0"/>
    <n v="0"/>
  </r>
  <r>
    <x v="99"/>
    <x v="1"/>
    <x v="2"/>
    <x v="2"/>
    <n v="0"/>
    <n v="0"/>
    <n v="0"/>
    <n v="0"/>
    <m/>
    <n v="0"/>
    <n v="0"/>
    <n v="0"/>
    <n v="0"/>
    <n v="0"/>
    <n v="0"/>
  </r>
  <r>
    <x v="99"/>
    <x v="103"/>
    <x v="3"/>
    <x v="3"/>
    <n v="173974068.05119389"/>
    <n v="1"/>
    <n v="179028186.64009032"/>
    <n v="1"/>
    <n v="85139758"/>
    <n v="85139758"/>
    <n v="81178259"/>
    <n v="3961499"/>
    <n v="4.8799999517112091"/>
    <n v="10399.28400954391"/>
    <n v="10157.19630485147"/>
  </r>
  <r>
    <x v="100"/>
    <x v="104"/>
    <x v="165"/>
    <x v="166"/>
    <n v="65275976.234380007"/>
    <n v="0.94625658674600399"/>
    <n v="66584573.909320004"/>
    <n v="0.94402587897811974"/>
    <m/>
    <n v="49904466"/>
    <n v="47235495"/>
    <n v="2668971"/>
    <n v="5.6503504409131313"/>
    <n v="5104"/>
    <n v="5058"/>
  </r>
  <r>
    <x v="100"/>
    <x v="104"/>
    <x v="166"/>
    <x v="167"/>
    <n v="3362975.2884270456"/>
    <n v="4.8750515906678872E-2"/>
    <n v="3617639.1802543737"/>
    <n v="5.1290333578109651E-2"/>
    <m/>
    <n v="2711384"/>
    <n v="2433542"/>
    <n v="277842"/>
    <n v="11.417185320820433"/>
    <n v="164.00000000120002"/>
    <n v="172.99999999913999"/>
  </r>
  <r>
    <x v="100"/>
    <x v="104"/>
    <x v="39"/>
    <x v="40"/>
    <n v="344426.92727237713"/>
    <n v="4.9928973473171573E-3"/>
    <n v="330359.57823834149"/>
    <n v="4.6837874437706409E-3"/>
    <m/>
    <n v="247601"/>
    <n v="249237"/>
    <n v="-1636"/>
    <n v="-0.65640334300284464"/>
    <n v="16.00000000016"/>
    <n v="15.00000000056"/>
  </r>
  <r>
    <x v="100"/>
    <x v="1"/>
    <x v="2"/>
    <x v="2"/>
    <n v="0"/>
    <n v="0"/>
    <n v="0"/>
    <n v="0"/>
    <m/>
    <n v="0"/>
    <n v="0"/>
    <n v="0"/>
    <n v="0"/>
    <n v="0"/>
    <n v="0"/>
  </r>
  <r>
    <x v="100"/>
    <x v="104"/>
    <x v="3"/>
    <x v="3"/>
    <n v="68983378.450079426"/>
    <n v="1"/>
    <n v="70532572.66781272"/>
    <n v="1"/>
    <n v="52863451"/>
    <n v="52863451"/>
    <n v="49918274"/>
    <n v="2945177"/>
    <n v="5.8999976641820586"/>
    <n v="5284.0000000013597"/>
    <n v="5245.9999999996999"/>
  </r>
  <r>
    <x v="101"/>
    <x v="105"/>
    <x v="167"/>
    <x v="168"/>
    <n v="966323.64"/>
    <n v="5.8024526046887966E-2"/>
    <n v="16860.330000000002"/>
    <n v="1.0086210788234522E-3"/>
    <m/>
    <n v="12290"/>
    <n v="674176"/>
    <n v="-661886"/>
    <n v="-98.177033890260105"/>
    <n v="53"/>
    <n v="1"/>
  </r>
  <r>
    <x v="101"/>
    <x v="105"/>
    <x v="168"/>
    <x v="169"/>
    <n v="15320862.996431844"/>
    <n v="0.91996695227000913"/>
    <n v="15204408.787140638"/>
    <n v="0.90956032258909314"/>
    <m/>
    <n v="11082677"/>
    <n v="10688928"/>
    <n v="393749"/>
    <n v="3.6837089743704889"/>
    <n v="1200.6825510483"/>
    <n v="1165.146198832"/>
  </r>
  <r>
    <x v="101"/>
    <x v="105"/>
    <x v="58"/>
    <x v="59"/>
    <n v="0"/>
    <n v="0"/>
    <n v="1036302.3724131067"/>
    <n v="6.199382911548057E-2"/>
    <m/>
    <n v="755373"/>
    <n v="0"/>
    <n v="755373"/>
    <n v="100"/>
    <n v="0"/>
    <n v="51.150220917359995"/>
  </r>
  <r>
    <x v="101"/>
    <x v="105"/>
    <x v="9"/>
    <x v="9"/>
    <n v="366523.54155636317"/>
    <n v="2.2008521683102793E-2"/>
    <n v="458646.67601090041"/>
    <n v="2.74372272166028E-2"/>
    <m/>
    <n v="334313"/>
    <n v="255713"/>
    <n v="78600"/>
    <n v="30.737584714113087"/>
    <n v="18"/>
    <n v="21.999999998270003"/>
  </r>
  <r>
    <x v="101"/>
    <x v="105"/>
    <x v="3"/>
    <x v="3"/>
    <n v="16653710.177988209"/>
    <n v="0.99999999999999989"/>
    <n v="16716218.165564645"/>
    <n v="1"/>
    <n v="12184653"/>
    <n v="12184653"/>
    <n v="11618817"/>
    <n v="565836"/>
    <n v="4.8699966614501289"/>
    <n v="1271.6825510501099"/>
    <n v="1239.2964197476299"/>
  </r>
  <r>
    <x v="102"/>
    <x v="106"/>
    <x v="169"/>
    <x v="170"/>
    <n v="38690363.829999998"/>
    <n v="0.91733125755112255"/>
    <n v="41586508.200000003"/>
    <n v="0.92517494179946613"/>
    <m/>
    <n v="11909298"/>
    <n v="11262118"/>
    <n v="647180"/>
    <n v="5.7465212138604835"/>
    <n v="2397"/>
    <n v="2453"/>
  </r>
  <r>
    <x v="102"/>
    <x v="106"/>
    <x v="25"/>
    <x v="26"/>
    <n v="3486727.0643913299"/>
    <n v="8.2668742448877425E-2"/>
    <n v="3363377.8389735594"/>
    <n v="7.4825058200533826E-2"/>
    <m/>
    <n v="963184"/>
    <n v="1014928"/>
    <n v="-51744"/>
    <n v="-5.0982926867718694"/>
    <n v="173.23650033920001"/>
    <n v="165.99999999816001"/>
  </r>
  <r>
    <x v="102"/>
    <x v="1"/>
    <x v="2"/>
    <x v="2"/>
    <n v="0"/>
    <n v="0"/>
    <n v="0"/>
    <n v="0"/>
    <m/>
    <n v="0"/>
    <n v="0"/>
    <n v="0"/>
    <n v="0"/>
    <n v="0"/>
    <n v="0"/>
  </r>
  <r>
    <x v="102"/>
    <x v="1"/>
    <x v="2"/>
    <x v="2"/>
    <n v="0"/>
    <n v="0"/>
    <n v="0"/>
    <n v="0"/>
    <m/>
    <n v="0"/>
    <n v="0"/>
    <n v="0"/>
    <n v="0"/>
    <n v="0"/>
    <n v="0"/>
  </r>
  <r>
    <x v="102"/>
    <x v="106"/>
    <x v="3"/>
    <x v="3"/>
    <n v="42177090.894391328"/>
    <n v="1"/>
    <n v="44949886.038973562"/>
    <n v="1"/>
    <n v="12872482"/>
    <n v="12872482"/>
    <n v="12277046"/>
    <n v="595436"/>
    <n v="4.8499940457989652"/>
    <n v="2570.2365003392001"/>
    <n v="2618.9999999981601"/>
  </r>
  <r>
    <x v="103"/>
    <x v="107"/>
    <x v="170"/>
    <x v="171"/>
    <n v="0"/>
    <n v="0"/>
    <n v="0"/>
    <n v="0"/>
    <m/>
    <n v="0"/>
    <n v="0"/>
    <n v="0"/>
    <n v="0"/>
    <n v="0"/>
    <n v="0"/>
  </r>
  <r>
    <x v="103"/>
    <x v="107"/>
    <x v="115"/>
    <x v="116"/>
    <n v="287003.95983068057"/>
    <n v="0.32424222413576298"/>
    <n v="265305.8147080263"/>
    <n v="0.31451275654842403"/>
    <m/>
    <n v="218877"/>
    <n v="236778"/>
    <n v="-17901"/>
    <n v="-7.5602463066670049"/>
    <n v="16.0000000016"/>
    <n v="15.00000000096"/>
  </r>
  <r>
    <x v="103"/>
    <x v="107"/>
    <x v="116"/>
    <x v="117"/>
    <n v="598148.98592048592"/>
    <n v="0.67575777586423702"/>
    <n v="578239.66694298096"/>
    <n v="0.68548724345157608"/>
    <m/>
    <n v="477048"/>
    <n v="493473"/>
    <n v="-16425"/>
    <n v="-3.3284495808281305"/>
    <n v="44.56730769104"/>
    <n v="43.214285714600003"/>
  </r>
  <r>
    <x v="103"/>
    <x v="1"/>
    <x v="2"/>
    <x v="2"/>
    <n v="0"/>
    <n v="0"/>
    <n v="0"/>
    <n v="0"/>
    <m/>
    <n v="0"/>
    <n v="0"/>
    <n v="0"/>
    <n v="0"/>
    <n v="0"/>
    <n v="0"/>
  </r>
  <r>
    <x v="103"/>
    <x v="107"/>
    <x v="3"/>
    <x v="3"/>
    <n v="885152.94575116644"/>
    <n v="1"/>
    <n v="843545.4816510072"/>
    <n v="1"/>
    <n v="695925"/>
    <n v="695925"/>
    <n v="730251"/>
    <n v="-34326"/>
    <n v="-4.7005755555281681"/>
    <n v="60.56730769264"/>
    <n v="58.214285715560003"/>
  </r>
  <r>
    <x v="104"/>
    <x v="108"/>
    <x v="171"/>
    <x v="172"/>
    <n v="15011687.49"/>
    <n v="0.92919051549336495"/>
    <n v="15097839.610000001"/>
    <n v="0.92060355500788882"/>
    <m/>
    <n v="11942079"/>
    <n v="11377637"/>
    <n v="564442"/>
    <n v="4.9609773980308915"/>
    <n v="1229"/>
    <n v="1196"/>
  </r>
  <r>
    <x v="104"/>
    <x v="108"/>
    <x v="17"/>
    <x v="17"/>
    <n v="1143974.0666930992"/>
    <n v="7.0809484506635031E-2"/>
    <n v="1302096.6360322267"/>
    <n v="7.9396444992111098E-2"/>
    <m/>
    <n v="1029931"/>
    <n v="867039"/>
    <n v="162892"/>
    <n v="18.78715951646927"/>
    <n v="54.999999997499998"/>
    <n v="61.143642074980001"/>
  </r>
  <r>
    <x v="104"/>
    <x v="1"/>
    <x v="2"/>
    <x v="18"/>
    <n v="0"/>
    <n v="0"/>
    <n v="0"/>
    <n v="0"/>
    <m/>
    <n v="0"/>
    <n v="0"/>
    <n v="0"/>
    <n v="0"/>
    <n v="0"/>
    <n v="0"/>
  </r>
  <r>
    <x v="104"/>
    <x v="1"/>
    <x v="2"/>
    <x v="2"/>
    <n v="0"/>
    <n v="0"/>
    <n v="0"/>
    <n v="0"/>
    <m/>
    <n v="0"/>
    <n v="0"/>
    <n v="0"/>
    <n v="0"/>
    <n v="0"/>
    <n v="0"/>
  </r>
  <r>
    <x v="104"/>
    <x v="108"/>
    <x v="3"/>
    <x v="3"/>
    <n v="16155661.556693099"/>
    <n v="1"/>
    <n v="16399936.246032229"/>
    <n v="0.99999999999999989"/>
    <n v="12972010"/>
    <n v="12972010"/>
    <n v="12244676"/>
    <n v="727334"/>
    <n v="5.9400020057696912"/>
    <n v="1283.9999999975"/>
    <n v="1257.1436420749801"/>
  </r>
  <r>
    <x v="105"/>
    <x v="109"/>
    <x v="172"/>
    <x v="173"/>
    <n v="0"/>
    <n v="0"/>
    <n v="0"/>
    <n v="0"/>
    <m/>
    <n v="0"/>
    <n v="0"/>
    <n v="0"/>
    <n v="0"/>
    <n v="0"/>
    <n v="0"/>
  </r>
  <r>
    <x v="105"/>
    <x v="109"/>
    <x v="173"/>
    <x v="174"/>
    <n v="1608964.2348228607"/>
    <n v="0.83394359954837272"/>
    <n v="1617049.3110924226"/>
    <n v="0.85054613240992261"/>
    <m/>
    <n v="1080125"/>
    <n v="1013921"/>
    <n v="66204"/>
    <n v="6.5295027916376132"/>
    <n v="104.89544513585"/>
    <n v="99.974921629799994"/>
  </r>
  <r>
    <x v="105"/>
    <x v="109"/>
    <x v="64"/>
    <x v="65"/>
    <n v="320379.95067626081"/>
    <n v="0.16605640045162728"/>
    <n v="284140.11235566624"/>
    <n v="0.14945386759007739"/>
    <m/>
    <n v="189794"/>
    <n v="201894"/>
    <n v="-12100"/>
    <n v="-5.993243979514002"/>
    <n v="15.000000002399998"/>
    <n v="13.000000002009999"/>
  </r>
  <r>
    <x v="105"/>
    <x v="1"/>
    <x v="2"/>
    <x v="2"/>
    <n v="0"/>
    <n v="0"/>
    <n v="0"/>
    <n v="0"/>
    <m/>
    <n v="0"/>
    <n v="0"/>
    <n v="0"/>
    <n v="0"/>
    <n v="0"/>
    <n v="0"/>
  </r>
  <r>
    <x v="105"/>
    <x v="109"/>
    <x v="3"/>
    <x v="3"/>
    <n v="1929344.1854991214"/>
    <n v="1"/>
    <n v="1901189.4234480888"/>
    <n v="1"/>
    <n v="1269919"/>
    <n v="1269919"/>
    <n v="1215815"/>
    <n v="54104"/>
    <n v="4.4500191229751236"/>
    <n v="119.89544513825"/>
    <n v="112.97492163180999"/>
  </r>
  <r>
    <x v="106"/>
    <x v="110"/>
    <x v="174"/>
    <x v="175"/>
    <n v="47045109.888499998"/>
    <n v="0.95707428790130167"/>
    <n v="49375946.820559993"/>
    <n v="0.96111893090874878"/>
    <m/>
    <n v="37665556"/>
    <n v="35714197"/>
    <n v="1951359"/>
    <n v="5.4638187721258298"/>
    <n v="3035"/>
    <n v="3064"/>
  </r>
  <r>
    <x v="106"/>
    <x v="110"/>
    <x v="66"/>
    <x v="67"/>
    <n v="2110018.9068433391"/>
    <n v="4.2925712098698228E-2"/>
    <n v="1997452.6960580801"/>
    <n v="3.8881069091251233E-2"/>
    <m/>
    <n v="1523721"/>
    <n v="1601816"/>
    <n v="-78095"/>
    <n v="-4.8754039165547107"/>
    <n v="107.00000000636999"/>
    <n v="99.00000000351001"/>
  </r>
  <r>
    <x v="106"/>
    <x v="1"/>
    <x v="2"/>
    <x v="18"/>
    <n v="0"/>
    <n v="0"/>
    <n v="0"/>
    <n v="0"/>
    <m/>
    <n v="0"/>
    <n v="0"/>
    <n v="0"/>
    <n v="0"/>
    <n v="0"/>
    <n v="0"/>
  </r>
  <r>
    <x v="106"/>
    <x v="1"/>
    <x v="2"/>
    <x v="2"/>
    <n v="0"/>
    <n v="0"/>
    <n v="0"/>
    <n v="0"/>
    <m/>
    <n v="0"/>
    <n v="0"/>
    <n v="0"/>
    <n v="0"/>
    <n v="0"/>
    <n v="0"/>
  </r>
  <r>
    <x v="106"/>
    <x v="110"/>
    <x v="3"/>
    <x v="3"/>
    <n v="49155128.795343339"/>
    <n v="0.99999999999999989"/>
    <n v="51373399.516618073"/>
    <n v="1"/>
    <n v="39189277"/>
    <n v="39189277"/>
    <n v="37316013"/>
    <n v="1873264"/>
    <n v="5.0200003950046863"/>
    <n v="3142.0000000063701"/>
    <n v="3163.0000000035102"/>
  </r>
  <r>
    <x v="107"/>
    <x v="111"/>
    <x v="175"/>
    <x v="176"/>
    <n v="148416.84"/>
    <n v="0.10469069557541419"/>
    <n v="151742.96999999997"/>
    <n v="0.11235228547523839"/>
    <m/>
    <n v="99954"/>
    <n v="89000"/>
    <n v="10954"/>
    <n v="12.307865168539326"/>
    <n v="9"/>
    <n v="9"/>
  </r>
  <r>
    <x v="107"/>
    <x v="111"/>
    <x v="111"/>
    <x v="112"/>
    <n v="805040.52604679752"/>
    <n v="0.56786179141286519"/>
    <n v="752488.03826839442"/>
    <n v="0.55715102249700776"/>
    <m/>
    <n v="495669"/>
    <n v="482750"/>
    <n v="12919"/>
    <n v="2.6761263593992748"/>
    <n v="58.991596638390007"/>
    <n v="54.043478261410002"/>
  </r>
  <r>
    <x v="107"/>
    <x v="111"/>
    <x v="112"/>
    <x v="113"/>
    <n v="464212.45823178499"/>
    <n v="0.32744751301172076"/>
    <n v="446368.75352677627"/>
    <n v="0.33049669202775389"/>
    <m/>
    <n v="294026"/>
    <n v="278369"/>
    <n v="15657"/>
    <n v="5.62454871052452"/>
    <n v="35.060449052199999"/>
    <n v="33.055932203489995"/>
  </r>
  <r>
    <x v="107"/>
    <x v="1"/>
    <x v="2"/>
    <x v="2"/>
    <n v="0"/>
    <n v="0"/>
    <n v="0"/>
    <n v="0"/>
    <m/>
    <n v="0"/>
    <n v="0"/>
    <n v="0"/>
    <n v="0"/>
    <n v="0"/>
    <n v="0"/>
  </r>
  <r>
    <x v="107"/>
    <x v="111"/>
    <x v="3"/>
    <x v="3"/>
    <n v="1417669.8242785824"/>
    <n v="1.0000000000000002"/>
    <n v="1350599.7617951706"/>
    <n v="1"/>
    <n v="889649"/>
    <n v="889649"/>
    <n v="850119"/>
    <n v="39530"/>
    <n v="4.649937244079946"/>
    <n v="103.05204569059001"/>
    <n v="96.099410464899989"/>
  </r>
  <r>
    <x v="108"/>
    <x v="112"/>
    <x v="176"/>
    <x v="177"/>
    <n v="0"/>
    <n v="0"/>
    <n v="0"/>
    <n v="0"/>
    <m/>
    <n v="0"/>
    <n v="0"/>
    <n v="0"/>
    <n v="0"/>
    <n v="0"/>
    <n v="0"/>
  </r>
  <r>
    <x v="108"/>
    <x v="1"/>
    <x v="2"/>
    <x v="2"/>
    <n v="0"/>
    <n v="0"/>
    <n v="0"/>
    <n v="0"/>
    <m/>
    <n v="0"/>
    <n v="0"/>
    <n v="0"/>
    <n v="0"/>
    <n v="0"/>
    <n v="0"/>
  </r>
  <r>
    <x v="108"/>
    <x v="1"/>
    <x v="2"/>
    <x v="2"/>
    <n v="0"/>
    <n v="0"/>
    <n v="0"/>
    <n v="0"/>
    <m/>
    <n v="0"/>
    <n v="0"/>
    <n v="0"/>
    <n v="0"/>
    <n v="0"/>
    <n v="0"/>
  </r>
  <r>
    <x v="108"/>
    <x v="1"/>
    <x v="2"/>
    <x v="2"/>
    <n v="0"/>
    <n v="0"/>
    <n v="0"/>
    <n v="0"/>
    <m/>
    <n v="0"/>
    <n v="0"/>
    <n v="0"/>
    <n v="0"/>
    <n v="0"/>
    <n v="0"/>
  </r>
  <r>
    <x v="108"/>
    <x v="112"/>
    <x v="3"/>
    <x v="3"/>
    <n v="0"/>
    <n v="0"/>
    <n v="0"/>
    <n v="0"/>
    <n v="0"/>
    <n v="0"/>
    <n v="0"/>
    <n v="0"/>
    <n v="0"/>
    <n v="0"/>
    <n v="0"/>
  </r>
  <r>
    <x v="109"/>
    <x v="113"/>
    <x v="177"/>
    <x v="178"/>
    <n v="36858149.159999996"/>
    <n v="0.95265943561363176"/>
    <n v="37107723.809999995"/>
    <n v="0.94850524474563658"/>
    <m/>
    <n v="25816666"/>
    <n v="24436656"/>
    <n v="1380010"/>
    <n v="5.6472947853421518"/>
    <n v="2950"/>
    <n v="2902"/>
  </r>
  <r>
    <x v="109"/>
    <x v="113"/>
    <x v="54"/>
    <x v="55"/>
    <n v="1831594.290930857"/>
    <n v="4.7340564386368134E-2"/>
    <n v="2014594.190414734"/>
    <n v="5.1494755254363443E-2"/>
    <m/>
    <n v="1401598"/>
    <n v="1214332"/>
    <n v="187266"/>
    <n v="15.421318057994025"/>
    <n v="97.000000003319997"/>
    <n v="103.99999999479999"/>
  </r>
  <r>
    <x v="109"/>
    <x v="1"/>
    <x v="2"/>
    <x v="2"/>
    <n v="0"/>
    <n v="0"/>
    <n v="0"/>
    <n v="0"/>
    <m/>
    <n v="0"/>
    <n v="0"/>
    <n v="0"/>
    <n v="0"/>
    <n v="0"/>
    <n v="0"/>
  </r>
  <r>
    <x v="109"/>
    <x v="1"/>
    <x v="2"/>
    <x v="2"/>
    <n v="0"/>
    <n v="0"/>
    <n v="0"/>
    <n v="0"/>
    <m/>
    <n v="0"/>
    <n v="0"/>
    <n v="0"/>
    <n v="0"/>
    <n v="0"/>
    <n v="0"/>
  </r>
  <r>
    <x v="109"/>
    <x v="113"/>
    <x v="3"/>
    <x v="3"/>
    <n v="38689743.450930856"/>
    <n v="0.99999999999999989"/>
    <n v="39122318.000414729"/>
    <n v="1"/>
    <n v="27218264"/>
    <n v="27218264"/>
    <n v="25650988"/>
    <n v="1567276"/>
    <n v="6.1100024685209009"/>
    <n v="3047.0000000033201"/>
    <n v="3005.9999999948"/>
  </r>
  <r>
    <x v="110"/>
    <x v="114"/>
    <x v="178"/>
    <x v="179"/>
    <n v="9588488.8899999987"/>
    <n v="0.96369495817839523"/>
    <n v="9658208.7799999993"/>
    <n v="0.95889648361527346"/>
    <m/>
    <n v="5916543"/>
    <n v="5667319"/>
    <n v="249224"/>
    <n v="4.3975643509744202"/>
    <n v="672"/>
    <n v="655"/>
  </r>
  <r>
    <x v="110"/>
    <x v="114"/>
    <x v="52"/>
    <x v="53"/>
    <n v="361224.77055960952"/>
    <n v="3.6305041821604836E-2"/>
    <n v="414003.33572932164"/>
    <n v="4.110351638472657E-2"/>
    <m/>
    <n v="253615"/>
    <n v="213503"/>
    <n v="40112"/>
    <n v="18.787558020262011"/>
    <n v="17.00000000132"/>
    <n v="19.000000002900002"/>
  </r>
  <r>
    <x v="110"/>
    <x v="1"/>
    <x v="2"/>
    <x v="2"/>
    <n v="0"/>
    <n v="0"/>
    <n v="0"/>
    <n v="0"/>
    <m/>
    <n v="0"/>
    <n v="0"/>
    <n v="0"/>
    <n v="0"/>
    <n v="0"/>
    <n v="0"/>
  </r>
  <r>
    <x v="110"/>
    <x v="1"/>
    <x v="2"/>
    <x v="2"/>
    <n v="0"/>
    <n v="0"/>
    <n v="0"/>
    <n v="0"/>
    <m/>
    <n v="0"/>
    <n v="0"/>
    <n v="0"/>
    <n v="0"/>
    <n v="0"/>
    <n v="0"/>
  </r>
  <r>
    <x v="110"/>
    <x v="114"/>
    <x v="3"/>
    <x v="3"/>
    <n v="9949713.6605596077"/>
    <n v="1"/>
    <n v="10072212.115729321"/>
    <n v="1"/>
    <n v="6170158"/>
    <n v="6170158"/>
    <n v="5880822"/>
    <n v="289336"/>
    <n v="4.9199924772421273"/>
    <n v="689.00000000132002"/>
    <n v="674.00000000290004"/>
  </r>
  <r>
    <x v="111"/>
    <x v="115"/>
    <x v="179"/>
    <x v="180"/>
    <n v="0"/>
    <n v="0"/>
    <n v="0"/>
    <n v="0"/>
    <m/>
    <n v="0"/>
    <n v="0"/>
    <n v="0"/>
    <n v="0"/>
    <n v="0"/>
    <n v="0"/>
  </r>
  <r>
    <x v="111"/>
    <x v="115"/>
    <x v="180"/>
    <x v="181"/>
    <n v="2332677.3568332344"/>
    <n v="1"/>
    <n v="2355149.3271885165"/>
    <n v="1"/>
    <m/>
    <n v="1749216"/>
    <n v="1631275"/>
    <n v="117941"/>
    <n v="7.2299888124319933"/>
    <n v="165.03063629493002"/>
    <n v="160.2740384567"/>
  </r>
  <r>
    <x v="111"/>
    <x v="1"/>
    <x v="2"/>
    <x v="2"/>
    <n v="0"/>
    <n v="0"/>
    <n v="0"/>
    <n v="0"/>
    <m/>
    <n v="0"/>
    <n v="0"/>
    <n v="0"/>
    <n v="0"/>
    <n v="0"/>
    <n v="0"/>
  </r>
  <r>
    <x v="111"/>
    <x v="1"/>
    <x v="2"/>
    <x v="2"/>
    <n v="0"/>
    <n v="0"/>
    <n v="0"/>
    <n v="0"/>
    <m/>
    <n v="0"/>
    <n v="0"/>
    <n v="0"/>
    <n v="0"/>
    <n v="0"/>
    <n v="0"/>
  </r>
  <r>
    <x v="111"/>
    <x v="115"/>
    <x v="3"/>
    <x v="3"/>
    <n v="2332677.3568332344"/>
    <n v="1"/>
    <n v="2355149.3271885165"/>
    <n v="1"/>
    <n v="1749216"/>
    <n v="1749216"/>
    <n v="1631275"/>
    <n v="117941"/>
    <n v="7.2299888124319933"/>
    <n v="165.03063629493002"/>
    <n v="160.2740384567"/>
  </r>
  <r>
    <x v="112"/>
    <x v="116"/>
    <x v="181"/>
    <x v="182"/>
    <n v="0"/>
    <n v="0"/>
    <n v="0"/>
    <n v="0"/>
    <m/>
    <n v="0"/>
    <n v="0"/>
    <n v="0"/>
    <n v="0"/>
    <n v="0"/>
    <n v="0"/>
  </r>
  <r>
    <x v="112"/>
    <x v="116"/>
    <x v="182"/>
    <x v="183"/>
    <n v="10476266.953148777"/>
    <n v="1"/>
    <n v="11314564.987516483"/>
    <n v="1"/>
    <m/>
    <n v="8593682"/>
    <n v="8090456"/>
    <n v="503226"/>
    <n v="6.2199955107598388"/>
    <n v="685.58262712019996"/>
    <n v="704.8627451021199"/>
  </r>
  <r>
    <x v="112"/>
    <x v="1"/>
    <x v="2"/>
    <x v="2"/>
    <n v="0"/>
    <n v="0"/>
    <n v="0"/>
    <n v="0"/>
    <m/>
    <n v="0"/>
    <n v="0"/>
    <n v="0"/>
    <n v="0"/>
    <n v="0"/>
    <n v="0"/>
  </r>
  <r>
    <x v="112"/>
    <x v="1"/>
    <x v="2"/>
    <x v="2"/>
    <n v="0"/>
    <n v="0"/>
    <n v="0"/>
    <n v="0"/>
    <m/>
    <n v="0"/>
    <n v="0"/>
    <n v="0"/>
    <n v="0"/>
    <n v="0"/>
    <n v="0"/>
  </r>
  <r>
    <x v="112"/>
    <x v="116"/>
    <x v="3"/>
    <x v="3"/>
    <n v="10476266.953148777"/>
    <n v="1"/>
    <n v="11314564.987516483"/>
    <n v="1"/>
    <n v="8593682"/>
    <n v="8593682"/>
    <n v="8090456"/>
    <n v="503226"/>
    <n v="6.2199955107598388"/>
    <n v="685.58262712019996"/>
    <n v="704.8627451021199"/>
  </r>
  <r>
    <x v="113"/>
    <x v="117"/>
    <x v="183"/>
    <x v="184"/>
    <n v="27294290.690000001"/>
    <n v="0.91612317374534824"/>
    <n v="27960950.600000009"/>
    <n v="0.9064673263268882"/>
    <m/>
    <n v="11465787"/>
    <n v="11091044"/>
    <n v="374743"/>
    <n v="3.378789228498237"/>
    <n v="1791"/>
    <n v="1759"/>
  </r>
  <r>
    <x v="113"/>
    <x v="117"/>
    <x v="64"/>
    <x v="65"/>
    <n v="2498963.6148920874"/>
    <n v="8.387682625465169E-2"/>
    <n v="2885114.9866119861"/>
    <n v="9.3532673673111882E-2"/>
    <m/>
    <n v="1183083"/>
    <n v="1015455"/>
    <n v="167628"/>
    <n v="16.507673899877396"/>
    <n v="117.00000000079999"/>
    <n v="132.00000000283998"/>
  </r>
  <r>
    <x v="113"/>
    <x v="1"/>
    <x v="2"/>
    <x v="2"/>
    <n v="0"/>
    <n v="0"/>
    <n v="0"/>
    <n v="0"/>
    <m/>
    <n v="0"/>
    <n v="0"/>
    <n v="0"/>
    <n v="0"/>
    <n v="0"/>
    <n v="0"/>
  </r>
  <r>
    <x v="113"/>
    <x v="1"/>
    <x v="2"/>
    <x v="2"/>
    <n v="0"/>
    <n v="0"/>
    <n v="0"/>
    <n v="0"/>
    <m/>
    <n v="0"/>
    <n v="0"/>
    <n v="0"/>
    <n v="0"/>
    <n v="0"/>
    <n v="0"/>
  </r>
  <r>
    <x v="113"/>
    <x v="117"/>
    <x v="3"/>
    <x v="3"/>
    <n v="29793254.304892089"/>
    <n v="0.99999999999999989"/>
    <n v="30846065.586611994"/>
    <n v="1"/>
    <n v="12648870"/>
    <n v="12648870"/>
    <n v="12106499"/>
    <n v="542371"/>
    <n v="4.4799987180439205"/>
    <n v="1908.0000000007999"/>
    <n v="1891.0000000028399"/>
  </r>
  <r>
    <x v="114"/>
    <x v="118"/>
    <x v="184"/>
    <x v="185"/>
    <n v="0"/>
    <n v="0"/>
    <n v="0"/>
    <n v="0"/>
    <m/>
    <n v="0"/>
    <n v="0"/>
    <n v="0"/>
    <n v="0"/>
    <n v="0"/>
    <n v="0"/>
  </r>
  <r>
    <x v="114"/>
    <x v="118"/>
    <x v="142"/>
    <x v="143"/>
    <n v="21132073.817740038"/>
    <n v="0.96202242951961148"/>
    <n v="21233243.888182364"/>
    <n v="0.95371722095580691"/>
    <m/>
    <n v="17487642"/>
    <n v="16859341"/>
    <n v="628301"/>
    <n v="3.726723363623762"/>
    <n v="1758.8270613063901"/>
    <n v="1718.3053040174998"/>
  </r>
  <r>
    <x v="114"/>
    <x v="118"/>
    <x v="42"/>
    <x v="43"/>
    <n v="834226.72713644546"/>
    <n v="3.7977570480388613E-2"/>
    <n v="1030424.4420409243"/>
    <n v="4.6282779044193118E-2"/>
    <m/>
    <n v="848655"/>
    <n v="665553"/>
    <n v="183102"/>
    <n v="27.511257555746877"/>
    <n v="40.999999998100002"/>
    <n v="49.999999999549999"/>
  </r>
  <r>
    <x v="114"/>
    <x v="1"/>
    <x v="2"/>
    <x v="2"/>
    <n v="0"/>
    <n v="0"/>
    <n v="0"/>
    <n v="0"/>
    <m/>
    <n v="0"/>
    <n v="0"/>
    <n v="0"/>
    <n v="0"/>
    <n v="0"/>
    <n v="0"/>
  </r>
  <r>
    <x v="114"/>
    <x v="118"/>
    <x v="3"/>
    <x v="3"/>
    <n v="21966300.544876482"/>
    <n v="1"/>
    <n v="22263668.330223288"/>
    <n v="1"/>
    <n v="18336297"/>
    <n v="18336297"/>
    <n v="17524894"/>
    <n v="811403"/>
    <n v="4.6300023269755579"/>
    <n v="1799.8270613044901"/>
    <n v="1768.3053040170498"/>
  </r>
  <r>
    <x v="115"/>
    <x v="119"/>
    <x v="185"/>
    <x v="186"/>
    <n v="148416.84"/>
    <n v="1.25589689004184E-2"/>
    <n v="168603.30000000002"/>
    <n v="1.3843128485687105E-2"/>
    <m/>
    <n v="122594"/>
    <n v="106462"/>
    <n v="16132"/>
    <n v="15.15282448197479"/>
    <n v="9"/>
    <n v="10"/>
  </r>
  <r>
    <x v="115"/>
    <x v="119"/>
    <x v="186"/>
    <x v="187"/>
    <n v="10941197.204429345"/>
    <n v="0.92583938199851779"/>
    <n v="11221166.593665866"/>
    <n v="0.92131085758948061"/>
    <m/>
    <n v="8159056"/>
    <n v="7848340"/>
    <n v="310716"/>
    <n v="3.959002795495608"/>
    <n v="894.62269806623999"/>
    <n v="891.89083903577"/>
  </r>
  <r>
    <x v="115"/>
    <x v="119"/>
    <x v="17"/>
    <x v="17"/>
    <n v="727983.49696240912"/>
    <n v="6.1601649101063798E-2"/>
    <n v="789796.32030988939"/>
    <n v="6.4846013924832344E-2"/>
    <m/>
    <n v="574271"/>
    <n v="522197"/>
    <n v="52074"/>
    <n v="9.9720986524242772"/>
    <n v="34.999999997250001"/>
    <n v="37.087127164629997"/>
  </r>
  <r>
    <x v="115"/>
    <x v="1"/>
    <x v="2"/>
    <x v="18"/>
    <n v="0"/>
    <n v="0"/>
    <n v="0"/>
    <n v="0"/>
    <m/>
    <n v="0"/>
    <n v="0"/>
    <n v="0"/>
    <n v="0"/>
    <n v="0"/>
    <n v="0"/>
  </r>
  <r>
    <x v="115"/>
    <x v="119"/>
    <x v="3"/>
    <x v="3"/>
    <n v="11817597.541391755"/>
    <n v="1"/>
    <n v="12179566.213975755"/>
    <n v="1"/>
    <n v="8855921"/>
    <n v="8855921"/>
    <n v="8476999"/>
    <n v="378922"/>
    <n v="4.470001706972007"/>
    <n v="938.62269806349002"/>
    <n v="938.97796620040003"/>
  </r>
  <r>
    <x v="116"/>
    <x v="120"/>
    <x v="187"/>
    <x v="188"/>
    <n v="6277106.5899999999"/>
    <n v="1"/>
    <n v="6210751.3199999984"/>
    <n v="1"/>
    <m/>
    <n v="5123870"/>
    <n v="5178613"/>
    <n v="-54743"/>
    <n v="-1.0570977209534675"/>
    <n v="456"/>
    <n v="449"/>
  </r>
  <r>
    <x v="116"/>
    <x v="1"/>
    <x v="2"/>
    <x v="2"/>
    <n v="0"/>
    <n v="0"/>
    <n v="0"/>
    <n v="0"/>
    <m/>
    <n v="0"/>
    <n v="0"/>
    <n v="0"/>
    <n v="0"/>
    <n v="0"/>
    <n v="0"/>
  </r>
  <r>
    <x v="116"/>
    <x v="1"/>
    <x v="2"/>
    <x v="2"/>
    <n v="0"/>
    <n v="0"/>
    <n v="0"/>
    <n v="0"/>
    <m/>
    <n v="0"/>
    <n v="0"/>
    <n v="0"/>
    <n v="0"/>
    <n v="0"/>
    <n v="0"/>
  </r>
  <r>
    <x v="116"/>
    <x v="1"/>
    <x v="2"/>
    <x v="2"/>
    <n v="0"/>
    <n v="0"/>
    <n v="0"/>
    <n v="0"/>
    <m/>
    <n v="0"/>
    <n v="0"/>
    <n v="0"/>
    <n v="0"/>
    <n v="0"/>
    <n v="0"/>
  </r>
  <r>
    <x v="116"/>
    <x v="120"/>
    <x v="3"/>
    <x v="3"/>
    <n v="6277106.5899999999"/>
    <n v="1"/>
    <n v="6210751.3199999984"/>
    <n v="1"/>
    <n v="5123870"/>
    <n v="5123870"/>
    <n v="5178613"/>
    <n v="-54743"/>
    <n v="-1.0570977209534675"/>
    <n v="456"/>
    <n v="449"/>
  </r>
  <r>
    <x v="117"/>
    <x v="121"/>
    <x v="188"/>
    <x v="189"/>
    <n v="7849455.0234599989"/>
    <n v="0.51963717642375629"/>
    <n v="7511760.5564400004"/>
    <n v="0.46857640025606312"/>
    <m/>
    <n v="4050476"/>
    <n v="4340378"/>
    <n v="-289902"/>
    <n v="-6.679187849537529"/>
    <n v="613"/>
    <n v="564"/>
  </r>
  <r>
    <x v="117"/>
    <x v="121"/>
    <x v="189"/>
    <x v="190"/>
    <n v="7256190.5684921956"/>
    <n v="0.48036282357624377"/>
    <n v="8519265.6589968987"/>
    <n v="0.53142359974393694"/>
    <m/>
    <n v="4593741"/>
    <n v="4012330"/>
    <n v="581411"/>
    <n v="14.490607701759327"/>
    <n v="485.94427619958003"/>
    <n v="549.63092551192995"/>
  </r>
  <r>
    <x v="117"/>
    <x v="1"/>
    <x v="2"/>
    <x v="2"/>
    <n v="0"/>
    <n v="0"/>
    <n v="0"/>
    <n v="0"/>
    <m/>
    <n v="0"/>
    <n v="0"/>
    <n v="0"/>
    <n v="0"/>
    <n v="0"/>
    <n v="0"/>
  </r>
  <r>
    <x v="117"/>
    <x v="1"/>
    <x v="2"/>
    <x v="2"/>
    <n v="0"/>
    <n v="0"/>
    <n v="0"/>
    <n v="0"/>
    <m/>
    <n v="0"/>
    <n v="0"/>
    <n v="0"/>
    <n v="0"/>
    <n v="0"/>
    <n v="0"/>
  </r>
  <r>
    <x v="117"/>
    <x v="121"/>
    <x v="3"/>
    <x v="3"/>
    <n v="15105645.591952194"/>
    <n v="1"/>
    <n v="16031026.215436898"/>
    <n v="1"/>
    <n v="8644217"/>
    <n v="8644217"/>
    <n v="8352708"/>
    <n v="291509"/>
    <n v="3.4899939037734828"/>
    <n v="1098.9442761995801"/>
    <n v="1113.6309255119299"/>
  </r>
  <r>
    <x v="118"/>
    <x v="122"/>
    <x v="190"/>
    <x v="191"/>
    <n v="0"/>
    <n v="0"/>
    <n v="0"/>
    <n v="0"/>
    <m/>
    <n v="0"/>
    <n v="0"/>
    <n v="0"/>
    <n v="0"/>
    <n v="0"/>
    <n v="0"/>
  </r>
  <r>
    <x v="118"/>
    <x v="122"/>
    <x v="191"/>
    <x v="192"/>
    <n v="13208580.790168677"/>
    <n v="0.97383009718274482"/>
    <n v="13486130.259501532"/>
    <n v="0.96394654270373126"/>
    <m/>
    <n v="10945972"/>
    <n v="10584038"/>
    <n v="361934"/>
    <n v="3.41962113136782"/>
    <n v="1073.349753687"/>
    <n v="1072.39743589881"/>
  </r>
  <r>
    <x v="118"/>
    <x v="122"/>
    <x v="66"/>
    <x v="67"/>
    <n v="354956.45147195621"/>
    <n v="2.616990281725514E-2"/>
    <n v="504407.24652538839"/>
    <n v="3.6053457296268784E-2"/>
    <m/>
    <n v="409400"/>
    <n v="284427"/>
    <n v="124973"/>
    <n v="43.93851497923896"/>
    <n v="17.999999993639999"/>
    <n v="25.000000003169998"/>
  </r>
  <r>
    <x v="118"/>
    <x v="1"/>
    <x v="2"/>
    <x v="18"/>
    <n v="0"/>
    <n v="0"/>
    <n v="0"/>
    <n v="0"/>
    <m/>
    <n v="0"/>
    <n v="0"/>
    <n v="0"/>
    <n v="0"/>
    <n v="0"/>
    <n v="0"/>
  </r>
  <r>
    <x v="118"/>
    <x v="122"/>
    <x v="3"/>
    <x v="3"/>
    <n v="13563537.241640633"/>
    <n v="1"/>
    <n v="13990537.50602692"/>
    <n v="1"/>
    <n v="11355372"/>
    <n v="11355372"/>
    <n v="10868465"/>
    <n v="486907"/>
    <n v="4.4799978653839343"/>
    <n v="1091.3497536806399"/>
    <n v="1097.3974359019801"/>
  </r>
  <r>
    <x v="119"/>
    <x v="123"/>
    <x v="192"/>
    <x v="193"/>
    <n v="0"/>
    <n v="0"/>
    <n v="0"/>
    <n v="0"/>
    <m/>
    <n v="0"/>
    <n v="0"/>
    <n v="0"/>
    <n v="0"/>
    <n v="0"/>
    <n v="0"/>
  </r>
  <r>
    <x v="119"/>
    <x v="123"/>
    <x v="193"/>
    <x v="194"/>
    <n v="7147465.3910503788"/>
    <n v="1"/>
    <n v="7149072.5503649637"/>
    <n v="1"/>
    <m/>
    <n v="5897985"/>
    <n v="5737268"/>
    <n v="160717"/>
    <n v="2.801281027834154"/>
    <n v="556.02971347991991"/>
    <n v="539.53438396547995"/>
  </r>
  <r>
    <x v="119"/>
    <x v="1"/>
    <x v="2"/>
    <x v="2"/>
    <n v="0"/>
    <n v="0"/>
    <n v="0"/>
    <n v="0"/>
    <m/>
    <n v="0"/>
    <n v="0"/>
    <n v="0"/>
    <n v="0"/>
    <n v="0"/>
    <n v="0"/>
  </r>
  <r>
    <x v="119"/>
    <x v="1"/>
    <x v="2"/>
    <x v="2"/>
    <n v="0"/>
    <n v="0"/>
    <n v="0"/>
    <n v="0"/>
    <m/>
    <n v="0"/>
    <n v="0"/>
    <n v="0"/>
    <n v="0"/>
    <n v="0"/>
    <n v="0"/>
  </r>
  <r>
    <x v="119"/>
    <x v="123"/>
    <x v="3"/>
    <x v="3"/>
    <n v="7147465.3910503788"/>
    <n v="1"/>
    <n v="7149072.5503649637"/>
    <n v="1"/>
    <n v="5897985"/>
    <n v="5897985"/>
    <n v="5737268"/>
    <n v="160717"/>
    <n v="2.801281027834154"/>
    <n v="556.02971347991991"/>
    <n v="539.53438396547995"/>
  </r>
  <r>
    <x v="120"/>
    <x v="124"/>
    <x v="194"/>
    <x v="195"/>
    <n v="1216494.7500000002"/>
    <n v="1"/>
    <n v="1270682.74"/>
    <n v="1"/>
    <m/>
    <n v="820427"/>
    <n v="780690"/>
    <n v="39737"/>
    <n v="5.089984500890238"/>
    <n v="86"/>
    <n v="85"/>
  </r>
  <r>
    <x v="120"/>
    <x v="1"/>
    <x v="2"/>
    <x v="2"/>
    <n v="0"/>
    <n v="0"/>
    <n v="0"/>
    <n v="0"/>
    <m/>
    <n v="0"/>
    <n v="0"/>
    <n v="0"/>
    <n v="0"/>
    <n v="0"/>
    <n v="0"/>
  </r>
  <r>
    <x v="120"/>
    <x v="1"/>
    <x v="2"/>
    <x v="2"/>
    <n v="0"/>
    <n v="0"/>
    <n v="0"/>
    <n v="0"/>
    <m/>
    <n v="0"/>
    <n v="0"/>
    <n v="0"/>
    <n v="0"/>
    <n v="0"/>
    <n v="0"/>
  </r>
  <r>
    <x v="120"/>
    <x v="1"/>
    <x v="2"/>
    <x v="2"/>
    <n v="0"/>
    <n v="0"/>
    <n v="0"/>
    <n v="0"/>
    <m/>
    <n v="0"/>
    <n v="0"/>
    <n v="0"/>
    <n v="0"/>
    <n v="0"/>
    <n v="0"/>
  </r>
  <r>
    <x v="120"/>
    <x v="124"/>
    <x v="3"/>
    <x v="3"/>
    <n v="1216494.7500000002"/>
    <n v="1"/>
    <n v="1270682.74"/>
    <n v="1"/>
    <n v="820427"/>
    <n v="820427"/>
    <n v="780690"/>
    <n v="39737"/>
    <n v="5.089984500890238"/>
    <n v="86"/>
    <n v="85"/>
  </r>
  <r>
    <x v="121"/>
    <x v="125"/>
    <x v="195"/>
    <x v="196"/>
    <n v="30800181.273539998"/>
    <n v="0.9566777110543172"/>
    <n v="31861566.581689995"/>
    <n v="0.95020964203457725"/>
    <m/>
    <n v="24358612"/>
    <n v="23372172"/>
    <n v="986440"/>
    <n v="4.2205747929631876"/>
    <n v="2481"/>
    <n v="2497"/>
  </r>
  <r>
    <x v="121"/>
    <x v="125"/>
    <x v="1"/>
    <x v="1"/>
    <n v="1394758.4827090709"/>
    <n v="4.3322288945682741E-2"/>
    <n v="1669525.055591647"/>
    <n v="4.9790357965422777E-2"/>
    <m/>
    <n v="1276375"/>
    <n v="1058388"/>
    <n v="217987"/>
    <n v="20.59613298714649"/>
    <n v="67.000000000599996"/>
    <n v="80.00000000304"/>
  </r>
  <r>
    <x v="121"/>
    <x v="1"/>
    <x v="2"/>
    <x v="2"/>
    <n v="0"/>
    <n v="0"/>
    <n v="0"/>
    <n v="0"/>
    <m/>
    <n v="0"/>
    <n v="0"/>
    <n v="0"/>
    <n v="0"/>
    <n v="0"/>
    <n v="0"/>
  </r>
  <r>
    <x v="121"/>
    <x v="1"/>
    <x v="2"/>
    <x v="2"/>
    <n v="0"/>
    <n v="0"/>
    <n v="0"/>
    <n v="0"/>
    <m/>
    <n v="0"/>
    <n v="0"/>
    <n v="0"/>
    <n v="0"/>
    <n v="0"/>
    <n v="0"/>
  </r>
  <r>
    <x v="121"/>
    <x v="125"/>
    <x v="3"/>
    <x v="3"/>
    <n v="32194939.75624907"/>
    <n v="1"/>
    <n v="33531091.637281641"/>
    <n v="1"/>
    <n v="25634987"/>
    <n v="25634987"/>
    <n v="24430560"/>
    <n v="1204427"/>
    <n v="4.9300016045477468"/>
    <n v="2548.0000000005998"/>
    <n v="2577.00000000304"/>
  </r>
  <r>
    <x v="122"/>
    <x v="126"/>
    <x v="196"/>
    <x v="197"/>
    <n v="82453.8"/>
    <n v="4.0325334236334977E-3"/>
    <n v="101161.98000000001"/>
    <n v="4.91691688466705E-3"/>
    <m/>
    <n v="61192"/>
    <n v="47057"/>
    <n v="14135"/>
    <n v="30.038038974010242"/>
    <n v="5"/>
    <n v="6"/>
  </r>
  <r>
    <x v="122"/>
    <x v="126"/>
    <x v="197"/>
    <x v="198"/>
    <n v="18574405.27594291"/>
    <n v="0.90841065056254733"/>
    <n v="18866191.058510531"/>
    <n v="0.91697981163422215"/>
    <m/>
    <n v="11412032"/>
    <n v="10600456"/>
    <n v="811576"/>
    <n v="7.6560480039726597"/>
    <n v="1390.3067993493"/>
    <n v="1360.7477678672401"/>
  </r>
  <r>
    <x v="122"/>
    <x v="126"/>
    <x v="1"/>
    <x v="1"/>
    <n v="1790287.0076487141"/>
    <n v="8.7556816013819122E-2"/>
    <n v="1606917.8659792878"/>
    <n v="7.810327148111082E-2"/>
    <m/>
    <n v="972014"/>
    <n v="1021721"/>
    <n v="-49707"/>
    <n v="-4.8650267538789942"/>
    <n v="86.000000000400007"/>
    <n v="77.0000000016"/>
  </r>
  <r>
    <x v="122"/>
    <x v="1"/>
    <x v="2"/>
    <x v="2"/>
    <n v="0"/>
    <n v="0"/>
    <n v="0"/>
    <n v="0"/>
    <m/>
    <n v="0"/>
    <n v="0"/>
    <n v="0"/>
    <n v="0"/>
    <n v="0"/>
    <n v="0"/>
  </r>
  <r>
    <x v="122"/>
    <x v="126"/>
    <x v="3"/>
    <x v="3"/>
    <n v="20447146.083591625"/>
    <n v="1"/>
    <n v="20574270.904489819"/>
    <n v="1"/>
    <n v="12445238"/>
    <n v="12445238"/>
    <n v="11669234"/>
    <n v="776004"/>
    <n v="6.6499994772578903"/>
    <n v="1481.3067993497"/>
    <n v="1443.7477678688401"/>
  </r>
  <r>
    <x v="123"/>
    <x v="127"/>
    <x v="198"/>
    <x v="199"/>
    <n v="0"/>
    <n v="0"/>
    <n v="0"/>
    <n v="0"/>
    <m/>
    <n v="0"/>
    <n v="0"/>
    <n v="0"/>
    <n v="0"/>
    <n v="0"/>
    <n v="0"/>
  </r>
  <r>
    <x v="123"/>
    <x v="127"/>
    <x v="46"/>
    <x v="47"/>
    <n v="4381304.3064969378"/>
    <n v="0.91158010071719009"/>
    <n v="4484732.1892163064"/>
    <n v="0.89169020580260971"/>
    <m/>
    <n v="1776528"/>
    <n v="1746639"/>
    <n v="29889"/>
    <n v="1.7112293954274467"/>
    <n v="316.11630218300002"/>
    <n v="312.61035695458003"/>
  </r>
  <r>
    <x v="123"/>
    <x v="127"/>
    <x v="52"/>
    <x v="53"/>
    <n v="424970.3182452271"/>
    <n v="8.8419899282809883E-2"/>
    <n v="544741.23107275274"/>
    <n v="0.10830979419739031"/>
    <m/>
    <n v="215787"/>
    <n v="169417"/>
    <n v="46370"/>
    <n v="27.370334736183501"/>
    <n v="19.99999999872"/>
    <n v="24.999999996930001"/>
  </r>
  <r>
    <x v="123"/>
    <x v="1"/>
    <x v="2"/>
    <x v="2"/>
    <n v="0"/>
    <n v="0"/>
    <n v="0"/>
    <n v="0"/>
    <m/>
    <n v="0"/>
    <n v="0"/>
    <n v="0"/>
    <n v="0"/>
    <n v="0"/>
    <n v="0"/>
  </r>
  <r>
    <x v="123"/>
    <x v="127"/>
    <x v="3"/>
    <x v="3"/>
    <n v="4806274.6247421652"/>
    <n v="1"/>
    <n v="5029473.4202890592"/>
    <n v="1"/>
    <n v="1992315"/>
    <n v="1992315"/>
    <n v="1916056"/>
    <n v="76259"/>
    <n v="3.9799984969124074"/>
    <n v="336.11630218172002"/>
    <n v="337.61035695151003"/>
  </r>
  <r>
    <x v="124"/>
    <x v="128"/>
    <x v="199"/>
    <x v="200"/>
    <n v="10576374.949999999"/>
    <n v="0.98869556534353231"/>
    <n v="10978851.09"/>
    <n v="0.9836619930393915"/>
    <m/>
    <n v="8697832"/>
    <n v="8379508"/>
    <n v="318324"/>
    <n v="3.798838786239001"/>
    <n v="875"/>
    <n v="881"/>
  </r>
  <r>
    <x v="124"/>
    <x v="128"/>
    <x v="25"/>
    <x v="26"/>
    <n v="120926.95033282033"/>
    <n v="1.1304434656467721E-2"/>
    <n v="182351.81068007377"/>
    <n v="1.6338006960608404E-2"/>
    <m/>
    <n v="144466"/>
    <n v="95809"/>
    <n v="48657"/>
    <n v="50.785416818879227"/>
    <n v="6.0082023300000005"/>
    <n v="9.0000000064799988"/>
  </r>
  <r>
    <x v="124"/>
    <x v="1"/>
    <x v="2"/>
    <x v="2"/>
    <n v="0"/>
    <n v="0"/>
    <n v="0"/>
    <n v="0"/>
    <m/>
    <n v="0"/>
    <n v="0"/>
    <n v="0"/>
    <n v="0"/>
    <n v="0"/>
    <n v="0"/>
  </r>
  <r>
    <x v="124"/>
    <x v="1"/>
    <x v="2"/>
    <x v="2"/>
    <n v="0"/>
    <n v="0"/>
    <n v="0"/>
    <n v="0"/>
    <m/>
    <n v="0"/>
    <n v="0"/>
    <n v="0"/>
    <n v="0"/>
    <n v="0"/>
    <n v="0"/>
  </r>
  <r>
    <x v="124"/>
    <x v="128"/>
    <x v="3"/>
    <x v="3"/>
    <n v="10697301.90033282"/>
    <n v="1"/>
    <n v="11161202.900680074"/>
    <n v="0.99999999999999989"/>
    <n v="8842298"/>
    <n v="8842298"/>
    <n v="8475317"/>
    <n v="366981"/>
    <n v="4.3299973322531775"/>
    <n v="881.00820233000002"/>
    <n v="890.00000000648004"/>
  </r>
  <r>
    <x v="125"/>
    <x v="129"/>
    <x v="200"/>
    <x v="201"/>
    <n v="0"/>
    <n v="0"/>
    <n v="0"/>
    <n v="0"/>
    <m/>
    <n v="0"/>
    <n v="0"/>
    <n v="0"/>
    <n v="0"/>
    <n v="0"/>
    <n v="0"/>
  </r>
  <r>
    <x v="125"/>
    <x v="129"/>
    <x v="104"/>
    <x v="105"/>
    <n v="18171310.052159831"/>
    <n v="0.9226182761929983"/>
    <n v="18584300.130816855"/>
    <n v="0.91706963906771954"/>
    <m/>
    <n v="15332048"/>
    <n v="14991331"/>
    <n v="340717"/>
    <n v="2.2727601705278873"/>
    <n v="1267.80192076656"/>
    <n v="1250.0060753400501"/>
  </r>
  <r>
    <x v="125"/>
    <x v="129"/>
    <x v="44"/>
    <x v="45"/>
    <n v="1524061.8270317935"/>
    <n v="7.7381723807001659E-2"/>
    <n v="1680573.2649586257"/>
    <n v="8.2930360932280303E-2"/>
    <m/>
    <n v="1386473"/>
    <n v="1257351"/>
    <n v="129122"/>
    <n v="10.269367901246351"/>
    <n v="70.209895054560008"/>
    <n v="77.115615618540005"/>
  </r>
  <r>
    <x v="125"/>
    <x v="1"/>
    <x v="2"/>
    <x v="2"/>
    <n v="0"/>
    <n v="0"/>
    <n v="0"/>
    <n v="0"/>
    <m/>
    <n v="0"/>
    <n v="0"/>
    <n v="0"/>
    <n v="0"/>
    <n v="0"/>
    <n v="0"/>
  </r>
  <r>
    <x v="125"/>
    <x v="129"/>
    <x v="3"/>
    <x v="3"/>
    <n v="19695371.879191626"/>
    <n v="1"/>
    <n v="20264873.395775482"/>
    <n v="0.99999999999999989"/>
    <n v="16718521"/>
    <n v="16718521"/>
    <n v="16248682"/>
    <n v="469839"/>
    <n v="2.891551450142233"/>
    <n v="1338.0118158211201"/>
    <n v="1327.1216909585901"/>
  </r>
  <r>
    <x v="126"/>
    <x v="130"/>
    <x v="201"/>
    <x v="202"/>
    <n v="4215602.3500000006"/>
    <n v="1"/>
    <n v="4167872.81"/>
    <n v="1"/>
    <m/>
    <n v="3438495"/>
    <n v="3472030"/>
    <n v="-33535"/>
    <n v="-0.96586147009098422"/>
    <n v="317"/>
    <n v="310"/>
  </r>
  <r>
    <x v="126"/>
    <x v="1"/>
    <x v="2"/>
    <x v="2"/>
    <n v="0"/>
    <n v="0"/>
    <n v="0"/>
    <n v="0"/>
    <m/>
    <n v="0"/>
    <n v="0"/>
    <n v="0"/>
    <n v="0"/>
    <n v="0"/>
    <n v="0"/>
  </r>
  <r>
    <x v="126"/>
    <x v="1"/>
    <x v="2"/>
    <x v="2"/>
    <n v="0"/>
    <n v="0"/>
    <n v="0"/>
    <n v="0"/>
    <m/>
    <n v="0"/>
    <n v="0"/>
    <n v="0"/>
    <n v="0"/>
    <n v="0"/>
    <n v="0"/>
  </r>
  <r>
    <x v="126"/>
    <x v="1"/>
    <x v="2"/>
    <x v="2"/>
    <n v="0"/>
    <n v="0"/>
    <n v="0"/>
    <n v="0"/>
    <m/>
    <n v="0"/>
    <n v="0"/>
    <n v="0"/>
    <n v="0"/>
    <n v="0"/>
    <n v="0"/>
  </r>
  <r>
    <x v="126"/>
    <x v="130"/>
    <x v="3"/>
    <x v="3"/>
    <n v="4215602.3500000006"/>
    <n v="1"/>
    <n v="4167872.81"/>
    <n v="1"/>
    <n v="3438495"/>
    <n v="3438495"/>
    <n v="3472030"/>
    <n v="-33535"/>
    <n v="-0.96586147009098422"/>
    <n v="317"/>
    <n v="310"/>
  </r>
  <r>
    <x v="127"/>
    <x v="131"/>
    <x v="202"/>
    <x v="203"/>
    <n v="132551888.25"/>
    <n v="0.88024583004005308"/>
    <n v="140921702.34"/>
    <n v="0.88593409686915459"/>
    <m/>
    <n v="52953650"/>
    <n v="49918077"/>
    <n v="3035573"/>
    <n v="6.0811096549252088"/>
    <n v="8287"/>
    <n v="8401"/>
  </r>
  <r>
    <x v="127"/>
    <x v="131"/>
    <x v="17"/>
    <x v="17"/>
    <n v="18033191.197600003"/>
    <n v="0.11975416995994694"/>
    <n v="18143969.51754564"/>
    <n v="0.11406590313084539"/>
    <m/>
    <n v="6817895"/>
    <n v="6791169"/>
    <n v="26726"/>
    <n v="0.39354049354389503"/>
    <n v="867.00000000000011"/>
    <n v="852.00156985330011"/>
  </r>
  <r>
    <x v="127"/>
    <x v="1"/>
    <x v="2"/>
    <x v="18"/>
    <n v="0"/>
    <n v="0"/>
    <n v="0"/>
    <n v="0"/>
    <m/>
    <n v="0"/>
    <n v="0"/>
    <n v="0"/>
    <n v="0"/>
    <n v="0"/>
    <n v="0"/>
  </r>
  <r>
    <x v="127"/>
    <x v="1"/>
    <x v="2"/>
    <x v="2"/>
    <n v="0"/>
    <n v="0"/>
    <n v="0"/>
    <n v="0"/>
    <m/>
    <n v="0"/>
    <n v="0"/>
    <n v="0"/>
    <n v="0"/>
    <n v="0"/>
    <n v="0"/>
  </r>
  <r>
    <x v="127"/>
    <x v="131"/>
    <x v="3"/>
    <x v="3"/>
    <n v="150585079.44760001"/>
    <n v="1"/>
    <n v="159065671.85754564"/>
    <n v="1"/>
    <n v="59771545"/>
    <n v="59771545"/>
    <n v="56709246"/>
    <n v="3062299"/>
    <n v="5.399999499199831"/>
    <n v="9154"/>
    <n v="9253.0015698533007"/>
  </r>
  <r>
    <x v="128"/>
    <x v="132"/>
    <x v="203"/>
    <x v="204"/>
    <n v="65963.040000000008"/>
    <n v="0.18459287070024216"/>
    <n v="67441.320000000007"/>
    <n v="0.18742845500056565"/>
    <m/>
    <n v="55639"/>
    <n v="54419"/>
    <n v="1220"/>
    <n v="2.2418640548337896"/>
    <n v="4"/>
    <n v="4"/>
  </r>
  <r>
    <x v="128"/>
    <x v="132"/>
    <x v="100"/>
    <x v="101"/>
    <n v="180341.41621838592"/>
    <n v="0.50467261250996109"/>
    <n v="146113.10750000001"/>
    <n v="0.40606788233173013"/>
    <m/>
    <n v="120543"/>
    <n v="148782"/>
    <n v="-28239"/>
    <n v="-18.980118562729363"/>
    <n v="12.204081632240001"/>
    <n v="10.125"/>
  </r>
  <r>
    <x v="128"/>
    <x v="132"/>
    <x v="29"/>
    <x v="30"/>
    <n v="111038.92194011562"/>
    <n v="0.31073451678979686"/>
    <n v="146269.91187150293"/>
    <n v="0.4065036626677041"/>
    <m/>
    <n v="120673"/>
    <n v="91607"/>
    <n v="29066"/>
    <n v="31.72901634154595"/>
    <n v="7.7170731699599999"/>
    <n v="9.7014925410000004"/>
  </r>
  <r>
    <x v="128"/>
    <x v="1"/>
    <x v="2"/>
    <x v="2"/>
    <n v="0"/>
    <n v="0"/>
    <n v="0"/>
    <n v="0"/>
    <m/>
    <n v="0"/>
    <n v="0"/>
    <n v="0"/>
    <n v="0"/>
    <n v="0"/>
    <n v="0"/>
  </r>
  <r>
    <x v="128"/>
    <x v="132"/>
    <x v="3"/>
    <x v="3"/>
    <n v="357343.37815850152"/>
    <n v="1"/>
    <n v="359824.33937150298"/>
    <n v="0.99999999999999989"/>
    <n v="296855"/>
    <n v="296855"/>
    <n v="294808"/>
    <n v="2047"/>
    <n v="0.69435022116089118"/>
    <n v="23.9211548022"/>
    <n v="23.826492541"/>
  </r>
  <r>
    <x v="129"/>
    <x v="133"/>
    <x v="204"/>
    <x v="205"/>
    <n v="0"/>
    <n v="0"/>
    <n v="0"/>
    <n v="0"/>
    <m/>
    <n v="0"/>
    <n v="0"/>
    <n v="0"/>
    <n v="0"/>
    <n v="0"/>
    <n v="0"/>
  </r>
  <r>
    <x v="129"/>
    <x v="133"/>
    <x v="29"/>
    <x v="30"/>
    <n v="1138148.95"/>
    <n v="0.86946759059253553"/>
    <n v="1184786.2857475702"/>
    <n v="0.83130498569393263"/>
    <m/>
    <n v="425716"/>
    <n v="425801"/>
    <n v="-85"/>
    <n v="-1.9962376791036188E-2"/>
    <n v="79.100000000000009"/>
    <n v="78.582089554799992"/>
  </r>
  <r>
    <x v="129"/>
    <x v="133"/>
    <x v="64"/>
    <x v="65"/>
    <n v="170869.30705126081"/>
    <n v="0.13053240940746455"/>
    <n v="240426.24892593321"/>
    <n v="0.16869501430606737"/>
    <m/>
    <n v="86390"/>
    <n v="63925"/>
    <n v="22465"/>
    <n v="35.142745404771219"/>
    <n v="8.0000000024000002"/>
    <n v="11.00000000214"/>
  </r>
  <r>
    <x v="129"/>
    <x v="1"/>
    <x v="2"/>
    <x v="2"/>
    <n v="0"/>
    <n v="0"/>
    <n v="0"/>
    <n v="0"/>
    <m/>
    <n v="0"/>
    <n v="0"/>
    <n v="0"/>
    <n v="0"/>
    <n v="0"/>
    <n v="0"/>
  </r>
  <r>
    <x v="129"/>
    <x v="133"/>
    <x v="3"/>
    <x v="3"/>
    <n v="1309018.2570512607"/>
    <n v="1"/>
    <n v="1425212.5346735034"/>
    <n v="1"/>
    <n v="512106"/>
    <n v="512106"/>
    <n v="489726"/>
    <n v="22380"/>
    <n v="4.5699023535609706"/>
    <n v="87.100000002400009"/>
    <n v="89.582089556939991"/>
  </r>
  <r>
    <x v="130"/>
    <x v="134"/>
    <x v="205"/>
    <x v="206"/>
    <n v="47057670.467040002"/>
    <n v="1"/>
    <n v="45884665.988949992"/>
    <n v="1"/>
    <m/>
    <n v="37854849"/>
    <n v="38822578"/>
    <n v="-967729"/>
    <n v="-2.4926963891990894"/>
    <n v="3807"/>
    <n v="3606"/>
  </r>
  <r>
    <x v="130"/>
    <x v="1"/>
    <x v="2"/>
    <x v="2"/>
    <n v="0"/>
    <n v="0"/>
    <n v="0"/>
    <n v="0"/>
    <m/>
    <n v="0"/>
    <n v="0"/>
    <n v="0"/>
    <n v="0"/>
    <n v="0"/>
    <n v="0"/>
  </r>
  <r>
    <x v="130"/>
    <x v="1"/>
    <x v="2"/>
    <x v="2"/>
    <n v="0"/>
    <n v="0"/>
    <n v="0"/>
    <n v="0"/>
    <m/>
    <n v="0"/>
    <n v="0"/>
    <n v="0"/>
    <n v="0"/>
    <n v="0"/>
    <n v="0"/>
  </r>
  <r>
    <x v="130"/>
    <x v="1"/>
    <x v="2"/>
    <x v="2"/>
    <n v="0"/>
    <n v="0"/>
    <n v="0"/>
    <n v="0"/>
    <m/>
    <n v="0"/>
    <n v="0"/>
    <n v="0"/>
    <n v="0"/>
    <n v="0"/>
    <n v="0"/>
  </r>
  <r>
    <x v="130"/>
    <x v="134"/>
    <x v="3"/>
    <x v="3"/>
    <n v="47057670.467040002"/>
    <n v="1"/>
    <n v="45884665.988949992"/>
    <n v="1"/>
    <n v="37854849"/>
    <n v="37854849"/>
    <n v="38822578"/>
    <n v="-967729"/>
    <n v="-2.4926963891990894"/>
    <n v="3807"/>
    <n v="3606"/>
  </r>
  <r>
    <x v="131"/>
    <x v="135"/>
    <x v="206"/>
    <x v="207"/>
    <n v="131926.08000000002"/>
    <n v="4.7028265032246122E-2"/>
    <n v="168603.30000000002"/>
    <n v="5.4728094859071805E-2"/>
    <m/>
    <n v="122029"/>
    <n v="99112"/>
    <n v="22917"/>
    <n v="23.122326257163614"/>
    <n v="8"/>
    <n v="10"/>
  </r>
  <r>
    <x v="131"/>
    <x v="135"/>
    <x v="48"/>
    <x v="49"/>
    <n v="2673324.760309366"/>
    <n v="0.95297173496775389"/>
    <n v="2912141.6160100284"/>
    <n v="0.94527190514092829"/>
    <m/>
    <n v="2107696"/>
    <n v="2008378"/>
    <n v="99318"/>
    <n v="4.9451846216200339"/>
    <n v="186.91758597571999"/>
    <n v="197.89175257984002"/>
  </r>
  <r>
    <x v="131"/>
    <x v="1"/>
    <x v="2"/>
    <x v="2"/>
    <n v="0"/>
    <n v="0"/>
    <n v="0"/>
    <n v="0"/>
    <m/>
    <n v="0"/>
    <n v="0"/>
    <n v="0"/>
    <n v="0"/>
    <n v="0"/>
    <n v="0"/>
  </r>
  <r>
    <x v="131"/>
    <x v="1"/>
    <x v="2"/>
    <x v="2"/>
    <n v="0"/>
    <n v="0"/>
    <n v="0"/>
    <n v="0"/>
    <m/>
    <n v="0"/>
    <n v="0"/>
    <n v="0"/>
    <n v="0"/>
    <n v="0"/>
    <n v="0"/>
  </r>
  <r>
    <x v="131"/>
    <x v="135"/>
    <x v="3"/>
    <x v="3"/>
    <n v="2805250.8403093661"/>
    <n v="1"/>
    <n v="3080744.9160100282"/>
    <n v="1"/>
    <n v="2229725"/>
    <n v="2229725"/>
    <n v="2107490"/>
    <n v="122235"/>
    <n v="5.8000275208897785"/>
    <n v="194.91758597571999"/>
    <n v="207.89175257984002"/>
  </r>
  <r>
    <x v="132"/>
    <x v="136"/>
    <x v="207"/>
    <x v="208"/>
    <n v="20493828.679550003"/>
    <n v="0.8978316519163495"/>
    <n v="21278519.472400002"/>
    <n v="0.88944382405651734"/>
    <m/>
    <n v="10008705"/>
    <n v="9611922"/>
    <n v="396783"/>
    <n v="4.1280297530504306"/>
    <n v="1352"/>
    <n v="1355"/>
  </r>
  <r>
    <x v="132"/>
    <x v="136"/>
    <x v="38"/>
    <x v="39"/>
    <n v="2159872.53225165"/>
    <n v="9.4623701304544533E-2"/>
    <n v="2446663.7597673712"/>
    <n v="0.10227074179153578"/>
    <m/>
    <n v="1150829"/>
    <n v="1013014"/>
    <n v="137815"/>
    <n v="13.604451666018436"/>
    <n v="99.000000002749999"/>
    <n v="110.00000000128"/>
  </r>
  <r>
    <x v="132"/>
    <x v="136"/>
    <x v="39"/>
    <x v="40"/>
    <n v="172213.46363618856"/>
    <n v="7.5446467791059155E-3"/>
    <n v="198215.74693208101"/>
    <n v="8.2854341519468487E-3"/>
    <m/>
    <n v="93234"/>
    <n v="80771"/>
    <n v="12463"/>
    <n v="15.430042960963712"/>
    <n v="8.00000000008"/>
    <n v="8.99999999984"/>
  </r>
  <r>
    <x v="132"/>
    <x v="1"/>
    <x v="2"/>
    <x v="2"/>
    <n v="0"/>
    <n v="0"/>
    <n v="0"/>
    <n v="0"/>
    <m/>
    <n v="0"/>
    <n v="0"/>
    <n v="0"/>
    <n v="0"/>
    <n v="0"/>
    <n v="0"/>
  </r>
  <r>
    <x v="132"/>
    <x v="136"/>
    <x v="3"/>
    <x v="3"/>
    <n v="22825914.675437842"/>
    <n v="1"/>
    <n v="23923398.979099456"/>
    <n v="0.99999999999999989"/>
    <n v="11252768"/>
    <n v="11252768"/>
    <n v="10705707"/>
    <n v="547061"/>
    <n v="5.1099941367720971"/>
    <n v="1459.0000000028301"/>
    <n v="1474.00000000112"/>
  </r>
  <r>
    <x v="133"/>
    <x v="137"/>
    <x v="208"/>
    <x v="209"/>
    <n v="16490.760000000002"/>
    <n v="3.8590976316153476E-4"/>
    <n v="33720.660000000003"/>
    <n v="7.7218874499910845E-4"/>
    <m/>
    <n v="19200"/>
    <n v="9127"/>
    <n v="10073"/>
    <n v="110.36485153938862"/>
    <n v="1"/>
    <n v="2"/>
  </r>
  <r>
    <x v="133"/>
    <x v="137"/>
    <x v="209"/>
    <x v="210"/>
    <n v="40095591.162160635"/>
    <n v="0.93829999886064286"/>
    <n v="40636539.975623816"/>
    <n v="0.93055944945570612"/>
    <m/>
    <n v="23138212"/>
    <n v="22192218"/>
    <n v="945994"/>
    <n v="4.2627284933844827"/>
    <n v="3241.5368573825199"/>
    <n v="3198.0863656347897"/>
  </r>
  <r>
    <x v="133"/>
    <x v="137"/>
    <x v="25"/>
    <x v="26"/>
    <n v="2620083.9212240316"/>
    <n v="6.131409137619559E-2"/>
    <n v="2998674.2179124686"/>
    <n v="6.8668361799294905E-2"/>
    <m/>
    <n v="1707428"/>
    <n v="1450171"/>
    <n v="257257"/>
    <n v="17.739769999537984"/>
    <n v="130.17771701814999"/>
    <n v="147.99999999996001"/>
  </r>
  <r>
    <x v="133"/>
    <x v="1"/>
    <x v="2"/>
    <x v="2"/>
    <n v="0"/>
    <n v="0"/>
    <n v="0"/>
    <n v="0"/>
    <m/>
    <n v="0"/>
    <n v="0"/>
    <n v="0"/>
    <n v="0"/>
    <n v="0"/>
    <n v="0"/>
  </r>
  <r>
    <x v="133"/>
    <x v="137"/>
    <x v="3"/>
    <x v="3"/>
    <n v="42732165.843384668"/>
    <n v="1"/>
    <n v="43668934.853536278"/>
    <n v="1"/>
    <n v="24864840"/>
    <n v="24864840"/>
    <n v="23651516"/>
    <n v="1213324"/>
    <n v="5.1300051971298588"/>
    <n v="3372.7145744006698"/>
    <n v="3348.0863656347497"/>
  </r>
  <r>
    <x v="134"/>
    <x v="138"/>
    <x v="210"/>
    <x v="211"/>
    <n v="2529520.8899999997"/>
    <n v="0.56611804300197688"/>
    <n v="2372741.1"/>
    <n v="0.54070241587235113"/>
    <m/>
    <n v="1515869"/>
    <n v="1516165"/>
    <n v="-296"/>
    <n v="-1.9522941104695071E-2"/>
    <n v="175"/>
    <n v="157"/>
  </r>
  <r>
    <x v="134"/>
    <x v="138"/>
    <x v="87"/>
    <x v="88"/>
    <n v="1938665.4207323126"/>
    <n v="0.43388195699802307"/>
    <n v="2015515.7865017913"/>
    <n v="0.45929758412764898"/>
    <m/>
    <n v="1287649"/>
    <n v="1162014"/>
    <n v="125635"/>
    <n v="10.811831871216699"/>
    <n v="129.00000000384"/>
    <n v="128.16819973116"/>
  </r>
  <r>
    <x v="134"/>
    <x v="1"/>
    <x v="2"/>
    <x v="2"/>
    <n v="0"/>
    <n v="0"/>
    <n v="0"/>
    <n v="0"/>
    <m/>
    <n v="0"/>
    <n v="0"/>
    <n v="0"/>
    <n v="0"/>
    <n v="0"/>
    <n v="0"/>
  </r>
  <r>
    <x v="134"/>
    <x v="1"/>
    <x v="2"/>
    <x v="2"/>
    <n v="0"/>
    <n v="0"/>
    <n v="0"/>
    <n v="0"/>
    <m/>
    <n v="0"/>
    <n v="0"/>
    <n v="0"/>
    <n v="0"/>
    <n v="0"/>
    <n v="0"/>
  </r>
  <r>
    <x v="134"/>
    <x v="138"/>
    <x v="3"/>
    <x v="3"/>
    <n v="4468186.3107323125"/>
    <n v="1"/>
    <n v="4388256.886501791"/>
    <n v="1"/>
    <n v="2803518"/>
    <n v="2803518"/>
    <n v="2678179"/>
    <n v="125339"/>
    <n v="4.6800083190854682"/>
    <n v="304.00000000384"/>
    <n v="285.16819973116003"/>
  </r>
  <r>
    <x v="135"/>
    <x v="139"/>
    <x v="211"/>
    <x v="212"/>
    <n v="32828254.537319999"/>
    <n v="0.95277306817180929"/>
    <n v="33400106.240699988"/>
    <n v="0.9446679352258861"/>
    <m/>
    <n v="25423217"/>
    <n v="23937028"/>
    <n v="1486189"/>
    <n v="6.208744878436872"/>
    <n v="2686"/>
    <n v="2652"/>
  </r>
  <r>
    <x v="135"/>
    <x v="139"/>
    <x v="31"/>
    <x v="32"/>
    <n v="1627226.6616933055"/>
    <n v="4.7226931828190634E-2"/>
    <n v="1956345.4766047308"/>
    <n v="5.5332064774113766E-2"/>
    <m/>
    <n v="1489115"/>
    <n v="1186508"/>
    <n v="302607"/>
    <n v="25.503999973030101"/>
    <n v="71.254176608590001"/>
    <n v="83.287528868280006"/>
  </r>
  <r>
    <x v="135"/>
    <x v="1"/>
    <x v="2"/>
    <x v="2"/>
    <n v="0"/>
    <n v="0"/>
    <n v="0"/>
    <n v="0"/>
    <m/>
    <n v="0"/>
    <n v="0"/>
    <n v="0"/>
    <n v="0"/>
    <n v="0"/>
    <n v="0"/>
  </r>
  <r>
    <x v="135"/>
    <x v="1"/>
    <x v="2"/>
    <x v="2"/>
    <n v="0"/>
    <n v="0"/>
    <n v="0"/>
    <n v="0"/>
    <m/>
    <n v="0"/>
    <n v="0"/>
    <n v="0"/>
    <n v="0"/>
    <n v="0"/>
    <n v="0"/>
  </r>
  <r>
    <x v="135"/>
    <x v="139"/>
    <x v="3"/>
    <x v="3"/>
    <n v="34455481.199013308"/>
    <n v="0.99999999999999989"/>
    <n v="35356451.717304721"/>
    <n v="0.99999999999999989"/>
    <n v="26912332"/>
    <n v="26912332"/>
    <n v="25123536"/>
    <n v="1788796"/>
    <n v="7.1200009425424833"/>
    <n v="2757.2541766085901"/>
    <n v="2735.2875288682799"/>
  </r>
  <r>
    <x v="136"/>
    <x v="140"/>
    <x v="212"/>
    <x v="213"/>
    <n v="109412142.28999999"/>
    <n v="1"/>
    <n v="114374878.07000002"/>
    <n v="1"/>
    <m/>
    <n v="13183748"/>
    <n v="12452771"/>
    <n v="730977"/>
    <n v="5.8699947184445938"/>
    <n v="5926"/>
    <n v="5850"/>
  </r>
  <r>
    <x v="136"/>
    <x v="1"/>
    <x v="2"/>
    <x v="2"/>
    <n v="0"/>
    <n v="0"/>
    <n v="0"/>
    <n v="0"/>
    <m/>
    <n v="0"/>
    <n v="0"/>
    <n v="0"/>
    <n v="0"/>
    <n v="0"/>
    <n v="0"/>
  </r>
  <r>
    <x v="136"/>
    <x v="1"/>
    <x v="2"/>
    <x v="2"/>
    <n v="0"/>
    <n v="0"/>
    <n v="0"/>
    <n v="0"/>
    <m/>
    <n v="0"/>
    <n v="0"/>
    <n v="0"/>
    <n v="0"/>
    <n v="0"/>
    <n v="0"/>
  </r>
  <r>
    <x v="136"/>
    <x v="1"/>
    <x v="2"/>
    <x v="2"/>
    <n v="0"/>
    <n v="0"/>
    <n v="0"/>
    <n v="0"/>
    <m/>
    <n v="0"/>
    <n v="0"/>
    <n v="0"/>
    <n v="0"/>
    <n v="0"/>
    <n v="0"/>
  </r>
  <r>
    <x v="136"/>
    <x v="140"/>
    <x v="3"/>
    <x v="3"/>
    <n v="109412142.28999999"/>
    <n v="1"/>
    <n v="114374878.07000002"/>
    <n v="1"/>
    <n v="13183748"/>
    <n v="13183748"/>
    <n v="12452771"/>
    <n v="730977"/>
    <n v="5.8699947184445938"/>
    <n v="5926"/>
    <n v="5850"/>
  </r>
  <r>
    <x v="137"/>
    <x v="141"/>
    <x v="213"/>
    <x v="214"/>
    <n v="11489500.85"/>
    <n v="0.8928796087463694"/>
    <n v="11657637.4"/>
    <n v="0.89447176381545301"/>
    <m/>
    <n v="6842443"/>
    <n v="6489561"/>
    <n v="352882"/>
    <n v="5.4376867711082459"/>
    <n v="875"/>
    <n v="865"/>
  </r>
  <r>
    <x v="137"/>
    <x v="141"/>
    <x v="54"/>
    <x v="55"/>
    <n v="1378416.3220940237"/>
    <n v="0.10712039125363061"/>
    <n v="1375347.9569365412"/>
    <n v="0.10552823618454694"/>
    <m/>
    <n v="807260"/>
    <n v="778565"/>
    <n v="28695"/>
    <n v="3.6856267620558336"/>
    <n v="73.000000005320004"/>
    <n v="70.999999997420005"/>
  </r>
  <r>
    <x v="137"/>
    <x v="1"/>
    <x v="2"/>
    <x v="2"/>
    <n v="0"/>
    <n v="0"/>
    <n v="0"/>
    <n v="0"/>
    <m/>
    <n v="0"/>
    <n v="0"/>
    <n v="0"/>
    <n v="0"/>
    <n v="0"/>
    <n v="0"/>
  </r>
  <r>
    <x v="137"/>
    <x v="1"/>
    <x v="2"/>
    <x v="2"/>
    <n v="0"/>
    <n v="0"/>
    <n v="0"/>
    <n v="0"/>
    <m/>
    <n v="0"/>
    <n v="0"/>
    <n v="0"/>
    <n v="0"/>
    <n v="0"/>
    <n v="0"/>
  </r>
  <r>
    <x v="137"/>
    <x v="141"/>
    <x v="3"/>
    <x v="3"/>
    <n v="12867917.172094023"/>
    <n v="1"/>
    <n v="13032985.356936542"/>
    <n v="1"/>
    <n v="7649703"/>
    <n v="7649703"/>
    <n v="7268126"/>
    <n v="381577"/>
    <n v="5.2500052971013433"/>
    <n v="948.00000000531998"/>
    <n v="935.99999999741999"/>
  </r>
  <r>
    <x v="138"/>
    <x v="142"/>
    <x v="214"/>
    <x v="215"/>
    <n v="50873294.826880008"/>
    <n v="0.98930352610253147"/>
    <n v="52668757.257279992"/>
    <n v="0.98849825742939323"/>
    <m/>
    <n v="43451724"/>
    <n v="41073636"/>
    <n v="2378088"/>
    <n v="5.7898161243869426"/>
    <n v="4139"/>
    <n v="4165"/>
  </r>
  <r>
    <x v="138"/>
    <x v="142"/>
    <x v="31"/>
    <x v="32"/>
    <n v="550048.44907178008"/>
    <n v="1.069647389746849E-2"/>
    <n v="612831.11319017829"/>
    <n v="1.1501742570606674E-2"/>
    <m/>
    <n v="505586"/>
    <n v="444093"/>
    <n v="61493"/>
    <n v="13.846874415944407"/>
    <n v="24.085918855740001"/>
    <n v="26.090069285609999"/>
  </r>
  <r>
    <x v="138"/>
    <x v="1"/>
    <x v="2"/>
    <x v="2"/>
    <n v="0"/>
    <n v="0"/>
    <n v="0"/>
    <n v="0"/>
    <m/>
    <n v="0"/>
    <n v="0"/>
    <n v="0"/>
    <n v="0"/>
    <n v="0"/>
    <n v="0"/>
  </r>
  <r>
    <x v="138"/>
    <x v="1"/>
    <x v="2"/>
    <x v="2"/>
    <n v="0"/>
    <n v="0"/>
    <n v="0"/>
    <n v="0"/>
    <m/>
    <n v="0"/>
    <n v="0"/>
    <n v="0"/>
    <n v="0"/>
    <n v="0"/>
    <n v="0"/>
  </r>
  <r>
    <x v="138"/>
    <x v="142"/>
    <x v="3"/>
    <x v="3"/>
    <n v="51423343.275951788"/>
    <n v="1"/>
    <n v="53281588.370470174"/>
    <n v="0.99999999999999989"/>
    <n v="43957310"/>
    <n v="43957310"/>
    <n v="41517729"/>
    <n v="2439581"/>
    <n v="5.8759981789948093"/>
    <n v="4163.0859188557397"/>
    <n v="4191.0900692856103"/>
  </r>
  <r>
    <x v="139"/>
    <x v="143"/>
    <x v="215"/>
    <x v="216"/>
    <n v="0"/>
    <n v="0"/>
    <n v="0"/>
    <n v="0"/>
    <m/>
    <n v="0"/>
    <n v="0"/>
    <n v="0"/>
    <n v="0"/>
    <n v="0"/>
    <n v="0"/>
  </r>
  <r>
    <x v="139"/>
    <x v="143"/>
    <x v="46"/>
    <x v="47"/>
    <n v="7418650.2368706735"/>
    <n v="0.90198220786020289"/>
    <n v="8050233.5573123097"/>
    <n v="0.92546360050337073"/>
    <m/>
    <n v="4225525"/>
    <n v="3930063"/>
    <n v="295462"/>
    <n v="7.5179965308444165"/>
    <n v="535.26441351974006"/>
    <n v="561.14529914859997"/>
  </r>
  <r>
    <x v="139"/>
    <x v="143"/>
    <x v="25"/>
    <x v="26"/>
    <n v="806179.6680008882"/>
    <n v="9.8017792139797139E-2"/>
    <n v="648361.99299749441"/>
    <n v="7.4536399496629407E-2"/>
    <m/>
    <n v="340322"/>
    <n v="427077"/>
    <n v="-86755"/>
    <n v="-20.313667090477828"/>
    <n v="40.054682156049999"/>
    <n v="31.9999999968"/>
  </r>
  <r>
    <x v="139"/>
    <x v="1"/>
    <x v="2"/>
    <x v="2"/>
    <n v="0"/>
    <n v="0"/>
    <n v="0"/>
    <n v="0"/>
    <m/>
    <n v="0"/>
    <n v="0"/>
    <n v="0"/>
    <n v="0"/>
    <n v="0"/>
    <n v="0"/>
  </r>
  <r>
    <x v="139"/>
    <x v="143"/>
    <x v="3"/>
    <x v="3"/>
    <n v="8224829.9048715616"/>
    <n v="1"/>
    <n v="8698595.5503098033"/>
    <n v="1.0000000000000002"/>
    <n v="4565847"/>
    <n v="4565847"/>
    <n v="4357140"/>
    <n v="208707"/>
    <n v="4.7899998622949918"/>
    <n v="575.31909567579009"/>
    <n v="593.14529914540003"/>
  </r>
  <r>
    <x v="140"/>
    <x v="144"/>
    <x v="216"/>
    <x v="217"/>
    <n v="34207457.530000001"/>
    <n v="0.88317888323815019"/>
    <n v="35386035.233459994"/>
    <n v="0.88895991738902747"/>
    <m/>
    <n v="22432839"/>
    <n v="21209511"/>
    <n v="1223328"/>
    <n v="5.7678274619344121"/>
    <n v="2417"/>
    <n v="2407"/>
  </r>
  <r>
    <x v="140"/>
    <x v="144"/>
    <x v="61"/>
    <x v="62"/>
    <n v="4524738.3809567159"/>
    <n v="0.11682111676184979"/>
    <n v="4420073.6149486573"/>
    <n v="0.11104008261097242"/>
    <m/>
    <n v="2802088"/>
    <n v="2805455"/>
    <n v="-3367"/>
    <n v="-0.12001618275823352"/>
    <n v="205.00000000196999"/>
    <n v="193.0000000041"/>
  </r>
  <r>
    <x v="140"/>
    <x v="1"/>
    <x v="2"/>
    <x v="2"/>
    <n v="0"/>
    <n v="0"/>
    <n v="0"/>
    <n v="0"/>
    <m/>
    <n v="0"/>
    <n v="0"/>
    <n v="0"/>
    <n v="0"/>
    <n v="0"/>
    <n v="0"/>
  </r>
  <r>
    <x v="140"/>
    <x v="1"/>
    <x v="2"/>
    <x v="2"/>
    <n v="0"/>
    <n v="0"/>
    <n v="0"/>
    <n v="0"/>
    <m/>
    <n v="0"/>
    <n v="0"/>
    <n v="0"/>
    <n v="0"/>
    <n v="0"/>
    <n v="0"/>
  </r>
  <r>
    <x v="140"/>
    <x v="144"/>
    <x v="3"/>
    <x v="3"/>
    <n v="38732195.910956718"/>
    <n v="1"/>
    <n v="39806108.848408654"/>
    <n v="0.99999999999999989"/>
    <n v="25234927"/>
    <n v="25234927"/>
    <n v="24014966"/>
    <n v="1219961"/>
    <n v="5.0800030281117197"/>
    <n v="2622.00000000197"/>
    <n v="2600.0000000041"/>
  </r>
  <r>
    <x v="141"/>
    <x v="145"/>
    <x v="217"/>
    <x v="218"/>
    <n v="10986735.571280001"/>
    <n v="1"/>
    <n v="10813118.211879998"/>
    <n v="1"/>
    <m/>
    <n v="8920823"/>
    <n v="9052274"/>
    <n v="-131451"/>
    <n v="-1.4521323592281896"/>
    <n v="791"/>
    <n v="757"/>
  </r>
  <r>
    <x v="141"/>
    <x v="1"/>
    <x v="2"/>
    <x v="2"/>
    <n v="0"/>
    <n v="0"/>
    <n v="0"/>
    <n v="0"/>
    <m/>
    <n v="0"/>
    <n v="0"/>
    <n v="0"/>
    <n v="0"/>
    <n v="0"/>
    <n v="0"/>
  </r>
  <r>
    <x v="141"/>
    <x v="1"/>
    <x v="2"/>
    <x v="2"/>
    <n v="0"/>
    <n v="0"/>
    <n v="0"/>
    <n v="0"/>
    <m/>
    <n v="0"/>
    <n v="0"/>
    <n v="0"/>
    <n v="0"/>
    <n v="0"/>
    <n v="0"/>
  </r>
  <r>
    <x v="141"/>
    <x v="1"/>
    <x v="2"/>
    <x v="2"/>
    <n v="0"/>
    <n v="0"/>
    <n v="0"/>
    <n v="0"/>
    <m/>
    <n v="0"/>
    <n v="0"/>
    <n v="0"/>
    <n v="0"/>
    <n v="0"/>
    <n v="0"/>
  </r>
  <r>
    <x v="141"/>
    <x v="145"/>
    <x v="3"/>
    <x v="3"/>
    <n v="10986735.571280001"/>
    <n v="1"/>
    <n v="10813118.211879998"/>
    <n v="1"/>
    <n v="8920823"/>
    <n v="8920823"/>
    <n v="9052274"/>
    <n v="-131451"/>
    <n v="-1.4521323592281896"/>
    <n v="791"/>
    <n v="757"/>
  </r>
  <r>
    <x v="142"/>
    <x v="146"/>
    <x v="218"/>
    <x v="219"/>
    <n v="572755.80000000005"/>
    <n v="0.12166881902330988"/>
    <n v="686499.45000000007"/>
    <n v="0.14176313441419561"/>
    <m/>
    <n v="265317"/>
    <n v="217988"/>
    <n v="47329"/>
    <n v="21.711745600675268"/>
    <n v="31"/>
    <n v="37"/>
  </r>
  <r>
    <x v="142"/>
    <x v="146"/>
    <x v="71"/>
    <x v="72"/>
    <n v="4134742.8393208012"/>
    <n v="0.87833118097669016"/>
    <n v="4156081.470891777"/>
    <n v="0.85823686558580448"/>
    <m/>
    <n v="1606237"/>
    <n v="1573659"/>
    <n v="32578"/>
    <n v="2.0702070778993416"/>
    <n v="280.85121951162"/>
    <n v="265.7142857165"/>
  </r>
  <r>
    <x v="142"/>
    <x v="1"/>
    <x v="2"/>
    <x v="2"/>
    <n v="0"/>
    <n v="0"/>
    <n v="0"/>
    <n v="0"/>
    <m/>
    <n v="0"/>
    <n v="0"/>
    <n v="0"/>
    <n v="0"/>
    <n v="0"/>
    <n v="0"/>
  </r>
  <r>
    <x v="142"/>
    <x v="1"/>
    <x v="2"/>
    <x v="2"/>
    <n v="0"/>
    <n v="0"/>
    <n v="0"/>
    <n v="0"/>
    <m/>
    <n v="0"/>
    <n v="0"/>
    <n v="0"/>
    <n v="0"/>
    <n v="0"/>
    <n v="0"/>
  </r>
  <r>
    <x v="142"/>
    <x v="146"/>
    <x v="3"/>
    <x v="3"/>
    <n v="4707498.639320801"/>
    <n v="1"/>
    <n v="4842580.9208917767"/>
    <n v="1"/>
    <n v="1871554"/>
    <n v="1871554"/>
    <n v="1791647"/>
    <n v="79907"/>
    <n v="4.4599745373949222"/>
    <n v="311.85121951162"/>
    <n v="302.7142857165"/>
  </r>
  <r>
    <x v="143"/>
    <x v="147"/>
    <x v="219"/>
    <x v="220"/>
    <n v="20567036.155019999"/>
    <n v="0.97055423498761917"/>
    <n v="21036885.203640003"/>
    <n v="0.97333401623385751"/>
    <m/>
    <n v="17194551"/>
    <n v="16419694"/>
    <n v="774857"/>
    <n v="4.7190708913332973"/>
    <n v="1557"/>
    <n v="1551"/>
  </r>
  <r>
    <x v="143"/>
    <x v="147"/>
    <x v="17"/>
    <x v="17"/>
    <n v="623985.85446343815"/>
    <n v="2.9445765012380765E-2"/>
    <n v="576337.85522162274"/>
    <n v="2.6665983766142588E-2"/>
    <m/>
    <n v="471071"/>
    <n v="498159"/>
    <n v="-27088"/>
    <n v="-5.4376213217065237"/>
    <n v="29.999999994"/>
    <n v="27.06357927574"/>
  </r>
  <r>
    <x v="143"/>
    <x v="1"/>
    <x v="2"/>
    <x v="18"/>
    <n v="0"/>
    <n v="0"/>
    <n v="0"/>
    <n v="0"/>
    <m/>
    <n v="0"/>
    <n v="0"/>
    <n v="0"/>
    <n v="0"/>
    <n v="0"/>
    <n v="0"/>
  </r>
  <r>
    <x v="143"/>
    <x v="1"/>
    <x v="2"/>
    <x v="2"/>
    <n v="0"/>
    <n v="0"/>
    <n v="0"/>
    <n v="0"/>
    <m/>
    <n v="0"/>
    <n v="0"/>
    <n v="0"/>
    <n v="0"/>
    <n v="0"/>
    <n v="0"/>
  </r>
  <r>
    <x v="143"/>
    <x v="147"/>
    <x v="3"/>
    <x v="3"/>
    <n v="21191022.009483438"/>
    <n v="0.99999999999999989"/>
    <n v="21613223.058861624"/>
    <n v="1"/>
    <n v="17665622"/>
    <n v="17665622"/>
    <n v="16917853"/>
    <n v="747769"/>
    <n v="4.419999393540067"/>
    <n v="1586.9999999940001"/>
    <n v="1578.06357927574"/>
  </r>
  <r>
    <x v="144"/>
    <x v="148"/>
    <x v="220"/>
    <x v="221"/>
    <n v="14371240.407579998"/>
    <n v="0.50011559072381495"/>
    <n v="14866128.19836"/>
    <n v="0.4911580280550023"/>
    <m/>
    <n v="9396563"/>
    <n v="8940323"/>
    <n v="456240"/>
    <n v="5.1031713283737066"/>
    <n v="1125"/>
    <n v="1151"/>
  </r>
  <r>
    <x v="144"/>
    <x v="148"/>
    <x v="189"/>
    <x v="190"/>
    <n v="14364597.215039546"/>
    <n v="0.4998844092761851"/>
    <n v="15401377.06309369"/>
    <n v="0.50884197194499781"/>
    <m/>
    <n v="9734882"/>
    <n v="8936191"/>
    <n v="798691"/>
    <n v="8.937711828227485"/>
    <n v="961.99152029869992"/>
    <n v="993.63882618294997"/>
  </r>
  <r>
    <x v="144"/>
    <x v="1"/>
    <x v="2"/>
    <x v="2"/>
    <n v="0"/>
    <n v="0"/>
    <n v="0"/>
    <n v="0"/>
    <m/>
    <n v="0"/>
    <n v="0"/>
    <n v="0"/>
    <n v="0"/>
    <n v="0"/>
    <n v="0"/>
  </r>
  <r>
    <x v="144"/>
    <x v="1"/>
    <x v="2"/>
    <x v="2"/>
    <n v="0"/>
    <n v="0"/>
    <n v="0"/>
    <n v="0"/>
    <m/>
    <n v="0"/>
    <n v="0"/>
    <n v="0"/>
    <n v="0"/>
    <n v="0"/>
    <n v="0"/>
  </r>
  <r>
    <x v="144"/>
    <x v="148"/>
    <x v="3"/>
    <x v="3"/>
    <n v="28735837.622619543"/>
    <n v="1"/>
    <n v="30267505.261453688"/>
    <n v="1"/>
    <n v="19131445"/>
    <n v="19131445"/>
    <n v="17876514"/>
    <n v="1254931"/>
    <n v="7.0199984180360895"/>
    <n v="2086.9915202986999"/>
    <n v="2144.6388261829497"/>
  </r>
  <r>
    <x v="145"/>
    <x v="149"/>
    <x v="221"/>
    <x v="222"/>
    <n v="212169.47999999998"/>
    <n v="9.1243943854862914E-3"/>
    <n v="267378.24"/>
    <n v="1.1351170460454632E-2"/>
    <m/>
    <n v="183306"/>
    <n v="138249"/>
    <n v="45057"/>
    <n v="32.591194149686437"/>
    <n v="11"/>
    <n v="14"/>
  </r>
  <r>
    <x v="145"/>
    <x v="149"/>
    <x v="168"/>
    <x v="169"/>
    <n v="20165052.873568162"/>
    <n v="0.86720246108261922"/>
    <n v="20289842.442859355"/>
    <n v="0.86137697736608554"/>
    <m/>
    <n v="13910037"/>
    <n v="13139529"/>
    <n v="770508"/>
    <n v="5.8640458116877703"/>
    <n v="1580.3174489517"/>
    <n v="1554.853801168"/>
  </r>
  <r>
    <x v="145"/>
    <x v="149"/>
    <x v="8"/>
    <x v="8"/>
    <n v="2875770.780692576"/>
    <n v="0.12367314453189437"/>
    <n v="2997904.3971045213"/>
    <n v="0.12727185217345996"/>
    <m/>
    <n v="2055263"/>
    <n v="1873849"/>
    <n v="181414"/>
    <n v="9.6813563953125357"/>
    <n v="148.00000000145999"/>
    <n v="151.99999999988998"/>
  </r>
  <r>
    <x v="145"/>
    <x v="1"/>
    <x v="2"/>
    <x v="2"/>
    <n v="0"/>
    <n v="0"/>
    <n v="0"/>
    <n v="0"/>
    <m/>
    <n v="0"/>
    <n v="0"/>
    <n v="0"/>
    <n v="0"/>
    <n v="0"/>
    <n v="0"/>
  </r>
  <r>
    <x v="145"/>
    <x v="149"/>
    <x v="3"/>
    <x v="3"/>
    <n v="23252993.13426074"/>
    <n v="0.99999999999999989"/>
    <n v="23555125.079963874"/>
    <n v="1.0000000000000002"/>
    <n v="16148606"/>
    <n v="16148606"/>
    <n v="15151627"/>
    <n v="996979"/>
    <n v="6.5800128263453157"/>
    <n v="1739.31744895316"/>
    <n v="1720.85380116789"/>
  </r>
  <r>
    <x v="146"/>
    <x v="150"/>
    <x v="222"/>
    <x v="223"/>
    <n v="32981.520000000004"/>
    <n v="2.3698216482543337E-3"/>
    <n v="33720.660000000003"/>
    <n v="2.3575230087268619E-3"/>
    <m/>
    <n v="22101"/>
    <n v="21289"/>
    <n v="812"/>
    <n v="3.8141763351965805"/>
    <n v="2"/>
    <n v="2"/>
  </r>
  <r>
    <x v="146"/>
    <x v="150"/>
    <x v="73"/>
    <x v="74"/>
    <n v="12674205.171358863"/>
    <n v="0.91067985312694066"/>
    <n v="13058423.970026778"/>
    <n v="0.91295766355250751"/>
    <m/>
    <n v="8558850"/>
    <n v="8180813"/>
    <n v="378037"/>
    <n v="4.6210199401942083"/>
    <n v="1013.58211329726"/>
    <n v="1017.1296829880999"/>
  </r>
  <r>
    <x v="146"/>
    <x v="150"/>
    <x v="6"/>
    <x v="6"/>
    <n v="1210113.8043535333"/>
    <n v="8.6950325224805045E-2"/>
    <n v="1211283.1096711869"/>
    <n v="8.4684813438765605E-2"/>
    <m/>
    <n v="793908"/>
    <n v="781092"/>
    <n v="12816"/>
    <n v="1.6407798313130848"/>
    <n v="58.000000002420002"/>
    <n v="57.999999999659998"/>
  </r>
  <r>
    <x v="146"/>
    <x v="1"/>
    <x v="2"/>
    <x v="2"/>
    <n v="0"/>
    <n v="0"/>
    <n v="0"/>
    <n v="0"/>
    <m/>
    <n v="0"/>
    <n v="0"/>
    <n v="0"/>
    <n v="0"/>
    <n v="0"/>
    <n v="0"/>
  </r>
  <r>
    <x v="146"/>
    <x v="150"/>
    <x v="3"/>
    <x v="3"/>
    <n v="13917300.495712396"/>
    <n v="1"/>
    <n v="14303427.739697965"/>
    <n v="1"/>
    <n v="9374860"/>
    <n v="9374859"/>
    <n v="8983194"/>
    <n v="391665"/>
    <n v="4.3599748597213868"/>
    <n v="1073.58211329968"/>
    <n v="1077.1296829877599"/>
  </r>
  <r>
    <x v="147"/>
    <x v="151"/>
    <x v="223"/>
    <x v="224"/>
    <n v="0"/>
    <n v="0"/>
    <n v="0"/>
    <n v="0"/>
    <m/>
    <n v="0"/>
    <n v="0"/>
    <n v="0"/>
    <n v="0"/>
    <n v="0"/>
    <n v="0"/>
  </r>
  <r>
    <x v="147"/>
    <x v="151"/>
    <x v="224"/>
    <x v="225"/>
    <n v="4787305.4172518328"/>
    <n v="0.87950534467376884"/>
    <n v="5113312.7742155073"/>
    <n v="0.88267728389764843"/>
    <m/>
    <n v="2752902"/>
    <n v="2532086"/>
    <n v="220816"/>
    <n v="8.7207148572362865"/>
    <n v="362.97574123998004"/>
    <n v="376.80952380435002"/>
  </r>
  <r>
    <x v="147"/>
    <x v="151"/>
    <x v="12"/>
    <x v="12"/>
    <n v="655874.0315638734"/>
    <n v="0.12049465532623116"/>
    <n v="679645.61215713457"/>
    <n v="0.11732271610235165"/>
    <m/>
    <n v="365907"/>
    <n v="346903"/>
    <n v="19004"/>
    <n v="5.4781884273125341"/>
    <n v="30.999999997500002"/>
    <n v="31.000000001499998"/>
  </r>
  <r>
    <x v="147"/>
    <x v="1"/>
    <x v="2"/>
    <x v="2"/>
    <n v="0"/>
    <n v="0"/>
    <n v="0"/>
    <n v="0"/>
    <m/>
    <n v="0"/>
    <n v="0"/>
    <n v="0"/>
    <n v="0"/>
    <n v="0"/>
    <n v="0"/>
  </r>
  <r>
    <x v="147"/>
    <x v="151"/>
    <x v="3"/>
    <x v="3"/>
    <n v="5443179.4488157062"/>
    <n v="1"/>
    <n v="5792958.3863726417"/>
    <n v="1"/>
    <n v="3118809"/>
    <n v="3118809"/>
    <n v="2878989"/>
    <n v="239820"/>
    <n v="8.3300075130540616"/>
    <n v="393.97574123748007"/>
    <n v="407.80952380585001"/>
  </r>
  <r>
    <x v="148"/>
    <x v="152"/>
    <x v="225"/>
    <x v="226"/>
    <n v="279873222.13999999"/>
    <n v="0.90168462924556025"/>
    <n v="301454148.42000002"/>
    <n v="0.9011456912543262"/>
    <m/>
    <n v="15203337"/>
    <n v="13728391"/>
    <n v="1474946"/>
    <n v="10.743764509620975"/>
    <n v="14566"/>
    <n v="14816"/>
  </r>
  <r>
    <x v="148"/>
    <x v="152"/>
    <x v="21"/>
    <x v="22"/>
    <n v="30516034.882347174"/>
    <n v="9.8315370754439815E-2"/>
    <n v="33069060.585636783"/>
    <n v="9.8854308745673788E-2"/>
    <m/>
    <n v="1667783"/>
    <n v="1496878"/>
    <n v="170905"/>
    <n v="11.417430144607643"/>
    <n v="1200.9999999976499"/>
    <n v="1272.00000000304"/>
  </r>
  <r>
    <x v="148"/>
    <x v="1"/>
    <x v="2"/>
    <x v="18"/>
    <n v="0"/>
    <n v="0"/>
    <n v="0"/>
    <n v="0"/>
    <m/>
    <n v="0"/>
    <n v="0"/>
    <n v="0"/>
    <n v="0"/>
    <n v="0"/>
    <n v="0"/>
  </r>
  <r>
    <x v="148"/>
    <x v="1"/>
    <x v="2"/>
    <x v="2"/>
    <n v="0"/>
    <n v="0"/>
    <n v="0"/>
    <n v="0"/>
    <m/>
    <n v="0"/>
    <n v="0"/>
    <n v="0"/>
    <n v="0"/>
    <n v="0"/>
    <n v="0"/>
  </r>
  <r>
    <x v="148"/>
    <x v="152"/>
    <x v="3"/>
    <x v="3"/>
    <n v="310389257.02234715"/>
    <n v="1"/>
    <n v="334523209.00563681"/>
    <n v="1"/>
    <n v="16871120"/>
    <n v="16871120"/>
    <n v="15225269"/>
    <n v="1645851"/>
    <n v="10.809996197768328"/>
    <n v="15766.99999999765"/>
    <n v="16088.00000000304"/>
  </r>
  <r>
    <x v="149"/>
    <x v="153"/>
    <x v="226"/>
    <x v="227"/>
    <n v="8739704.6600000001"/>
    <n v="1"/>
    <n v="8566370.1999999974"/>
    <n v="1"/>
    <m/>
    <n v="7067255"/>
    <n v="6760874"/>
    <n v="306381"/>
    <n v="4.5316774133048483"/>
    <n v="570"/>
    <n v="549"/>
  </r>
  <r>
    <x v="149"/>
    <x v="1"/>
    <x v="2"/>
    <x v="2"/>
    <n v="0"/>
    <n v="0"/>
    <n v="0"/>
    <n v="0"/>
    <m/>
    <n v="0"/>
    <n v="0"/>
    <n v="0"/>
    <n v="0"/>
    <n v="0"/>
    <n v="0"/>
  </r>
  <r>
    <x v="149"/>
    <x v="1"/>
    <x v="2"/>
    <x v="2"/>
    <n v="0"/>
    <n v="0"/>
    <n v="0"/>
    <n v="0"/>
    <m/>
    <n v="0"/>
    <n v="0"/>
    <n v="0"/>
    <n v="0"/>
    <n v="0"/>
    <n v="0"/>
  </r>
  <r>
    <x v="149"/>
    <x v="1"/>
    <x v="2"/>
    <x v="2"/>
    <n v="0"/>
    <n v="0"/>
    <n v="0"/>
    <n v="0"/>
    <m/>
    <n v="0"/>
    <n v="0"/>
    <n v="0"/>
    <n v="0"/>
    <n v="0"/>
    <n v="0"/>
  </r>
  <r>
    <x v="149"/>
    <x v="153"/>
    <x v="3"/>
    <x v="3"/>
    <n v="8739704.6600000001"/>
    <n v="1"/>
    <n v="8566370.1999999974"/>
    <n v="1"/>
    <n v="7067255"/>
    <n v="7067255"/>
    <n v="6760874"/>
    <n v="306381"/>
    <n v="4.5316774133048483"/>
    <n v="570"/>
    <n v="549"/>
  </r>
  <r>
    <x v="150"/>
    <x v="154"/>
    <x v="227"/>
    <x v="228"/>
    <n v="20759208.559999999"/>
    <n v="1"/>
    <n v="21380842.219999999"/>
    <n v="1"/>
    <m/>
    <n v="10610635"/>
    <n v="9660962"/>
    <n v="949673"/>
    <n v="9.8300045067975628"/>
    <n v="1443"/>
    <n v="1405"/>
  </r>
  <r>
    <x v="150"/>
    <x v="1"/>
    <x v="2"/>
    <x v="2"/>
    <n v="0"/>
    <n v="0"/>
    <n v="0"/>
    <n v="0"/>
    <m/>
    <n v="0"/>
    <n v="0"/>
    <n v="0"/>
    <n v="0"/>
    <n v="0"/>
    <n v="0"/>
  </r>
  <r>
    <x v="150"/>
    <x v="1"/>
    <x v="2"/>
    <x v="2"/>
    <n v="0"/>
    <n v="0"/>
    <n v="0"/>
    <n v="0"/>
    <m/>
    <n v="0"/>
    <n v="0"/>
    <n v="0"/>
    <n v="0"/>
    <n v="0"/>
    <n v="0"/>
  </r>
  <r>
    <x v="150"/>
    <x v="1"/>
    <x v="2"/>
    <x v="2"/>
    <n v="0"/>
    <n v="0"/>
    <n v="0"/>
    <n v="0"/>
    <m/>
    <n v="0"/>
    <n v="0"/>
    <n v="0"/>
    <n v="0"/>
    <n v="0"/>
    <n v="0"/>
  </r>
  <r>
    <x v="150"/>
    <x v="154"/>
    <x v="3"/>
    <x v="3"/>
    <n v="20759208.559999999"/>
    <n v="1"/>
    <n v="21380842.219999999"/>
    <n v="1"/>
    <n v="10610635"/>
    <n v="10610635"/>
    <n v="9660962"/>
    <n v="949673"/>
    <n v="9.8300045067975628"/>
    <n v="1443"/>
    <n v="1405"/>
  </r>
  <r>
    <x v="151"/>
    <x v="155"/>
    <x v="228"/>
    <x v="229"/>
    <n v="6717817.4100000001"/>
    <n v="1"/>
    <n v="6823610.0699999994"/>
    <n v="1"/>
    <m/>
    <n v="5629478"/>
    <n v="5422289"/>
    <n v="207189"/>
    <n v="3.8210615479920014"/>
    <n v="489"/>
    <n v="482"/>
  </r>
  <r>
    <x v="151"/>
    <x v="1"/>
    <x v="2"/>
    <x v="2"/>
    <n v="0"/>
    <n v="0"/>
    <n v="0"/>
    <n v="0"/>
    <m/>
    <n v="0"/>
    <n v="0"/>
    <n v="0"/>
    <n v="0"/>
    <n v="0"/>
    <n v="0"/>
  </r>
  <r>
    <x v="151"/>
    <x v="1"/>
    <x v="2"/>
    <x v="2"/>
    <n v="0"/>
    <n v="0"/>
    <n v="0"/>
    <n v="0"/>
    <m/>
    <n v="0"/>
    <n v="0"/>
    <n v="0"/>
    <n v="0"/>
    <n v="0"/>
    <n v="0"/>
  </r>
  <r>
    <x v="151"/>
    <x v="1"/>
    <x v="2"/>
    <x v="2"/>
    <n v="0"/>
    <n v="0"/>
    <n v="0"/>
    <n v="0"/>
    <m/>
    <n v="0"/>
    <n v="0"/>
    <n v="0"/>
    <n v="0"/>
    <n v="0"/>
    <n v="0"/>
  </r>
  <r>
    <x v="151"/>
    <x v="155"/>
    <x v="3"/>
    <x v="3"/>
    <n v="6717817.4100000001"/>
    <n v="1"/>
    <n v="6823610.0699999994"/>
    <n v="1"/>
    <n v="5629478"/>
    <n v="5629478"/>
    <n v="5422289"/>
    <n v="207189"/>
    <n v="3.8210615479920014"/>
    <n v="489"/>
    <n v="482"/>
  </r>
  <r>
    <x v="152"/>
    <x v="156"/>
    <x v="229"/>
    <x v="230"/>
    <n v="99599000.579999998"/>
    <n v="1"/>
    <n v="103734761.66000001"/>
    <n v="1"/>
    <m/>
    <n v="36964269"/>
    <n v="35204065"/>
    <n v="1760204"/>
    <n v="5.0000021304357896"/>
    <n v="6020"/>
    <n v="6009"/>
  </r>
  <r>
    <x v="152"/>
    <x v="1"/>
    <x v="2"/>
    <x v="2"/>
    <n v="0"/>
    <n v="0"/>
    <n v="0"/>
    <n v="0"/>
    <m/>
    <n v="0"/>
    <n v="0"/>
    <n v="0"/>
    <n v="0"/>
    <n v="0"/>
    <n v="0"/>
  </r>
  <r>
    <x v="152"/>
    <x v="1"/>
    <x v="2"/>
    <x v="2"/>
    <n v="0"/>
    <n v="0"/>
    <n v="0"/>
    <n v="0"/>
    <m/>
    <n v="0"/>
    <n v="0"/>
    <n v="0"/>
    <n v="0"/>
    <n v="0"/>
    <n v="0"/>
  </r>
  <r>
    <x v="152"/>
    <x v="1"/>
    <x v="2"/>
    <x v="2"/>
    <n v="0"/>
    <n v="0"/>
    <n v="0"/>
    <n v="0"/>
    <m/>
    <n v="0"/>
    <n v="0"/>
    <n v="0"/>
    <n v="0"/>
    <n v="0"/>
    <n v="0"/>
  </r>
  <r>
    <x v="152"/>
    <x v="156"/>
    <x v="3"/>
    <x v="3"/>
    <n v="99599000.579999998"/>
    <n v="1"/>
    <n v="103734761.66000001"/>
    <n v="1"/>
    <n v="36964269"/>
    <n v="36964269"/>
    <n v="35204065"/>
    <n v="1760204"/>
    <n v="5.0000021304357896"/>
    <n v="6020"/>
    <n v="6009"/>
  </r>
  <r>
    <x v="153"/>
    <x v="157"/>
    <x v="230"/>
    <x v="231"/>
    <n v="1255147.3"/>
    <n v="0.46442822786820637"/>
    <n v="1407132.92"/>
    <n v="0.49578967604829877"/>
    <m/>
    <n v="1083930"/>
    <n v="954740"/>
    <n v="129190"/>
    <n v="13.531432641347383"/>
    <n v="101"/>
    <n v="105"/>
  </r>
  <r>
    <x v="153"/>
    <x v="157"/>
    <x v="19"/>
    <x v="20"/>
    <n v="1447417.326102315"/>
    <n v="0.53557177213179352"/>
    <n v="1431032.1083958715"/>
    <n v="0.50421032395170118"/>
    <m/>
    <n v="1102340"/>
    <n v="1100991"/>
    <n v="1349"/>
    <n v="0.1225259788681288"/>
    <n v="102.00000000189999"/>
    <n v="98.999999995499991"/>
  </r>
  <r>
    <x v="153"/>
    <x v="1"/>
    <x v="2"/>
    <x v="2"/>
    <n v="0"/>
    <n v="0"/>
    <n v="0"/>
    <n v="0"/>
    <m/>
    <n v="0"/>
    <n v="0"/>
    <n v="0"/>
    <n v="0"/>
    <n v="0"/>
    <n v="0"/>
  </r>
  <r>
    <x v="153"/>
    <x v="1"/>
    <x v="2"/>
    <x v="2"/>
    <n v="0"/>
    <n v="0"/>
    <n v="0"/>
    <n v="0"/>
    <m/>
    <n v="0"/>
    <n v="0"/>
    <n v="0"/>
    <n v="0"/>
    <n v="0"/>
    <n v="0"/>
  </r>
  <r>
    <x v="153"/>
    <x v="157"/>
    <x v="3"/>
    <x v="3"/>
    <n v="2702564.6261023153"/>
    <n v="0.99999999999999989"/>
    <n v="2838165.0283958716"/>
    <n v="1"/>
    <n v="2186270"/>
    <n v="2186270"/>
    <n v="2055731"/>
    <n v="130539"/>
    <n v="6.3500039645264872"/>
    <n v="203.00000000189999"/>
    <n v="203.99999999549999"/>
  </r>
  <r>
    <x v="154"/>
    <x v="158"/>
    <x v="231"/>
    <x v="232"/>
    <n v="90646899.40639998"/>
    <n v="0.98258568381820754"/>
    <n v="91458917.922800004"/>
    <n v="0.9818399382142412"/>
    <m/>
    <n v="75453607"/>
    <n v="73037768"/>
    <n v="2415839"/>
    <n v="3.3076572109925375"/>
    <n v="6893"/>
    <n v="6851"/>
  </r>
  <r>
    <x v="154"/>
    <x v="158"/>
    <x v="6"/>
    <x v="6"/>
    <n v="1606530.3954237476"/>
    <n v="1.7414316181792393E-2"/>
    <n v="1691619.5152516447"/>
    <n v="1.8160061785758675E-2"/>
    <m/>
    <n v="1395586"/>
    <n v="1294445"/>
    <n v="101141"/>
    <n v="7.8134644577405759"/>
    <n v="77.000000002679997"/>
    <n v="81.000000000539998"/>
  </r>
  <r>
    <x v="154"/>
    <x v="1"/>
    <x v="2"/>
    <x v="18"/>
    <n v="0"/>
    <n v="0"/>
    <n v="0"/>
    <n v="0"/>
    <m/>
    <n v="0"/>
    <n v="0"/>
    <n v="0"/>
    <n v="0"/>
    <n v="0"/>
    <n v="0"/>
  </r>
  <r>
    <x v="154"/>
    <x v="1"/>
    <x v="2"/>
    <x v="2"/>
    <n v="0"/>
    <n v="0"/>
    <n v="0"/>
    <n v="0"/>
    <m/>
    <n v="0"/>
    <n v="0"/>
    <n v="0"/>
    <n v="0"/>
    <n v="0"/>
    <n v="0"/>
  </r>
  <r>
    <x v="154"/>
    <x v="158"/>
    <x v="3"/>
    <x v="3"/>
    <n v="92253429.801823735"/>
    <n v="0.99999999999999989"/>
    <n v="93150537.438051656"/>
    <n v="0.99999999999999989"/>
    <n v="76849193"/>
    <n v="76849193"/>
    <n v="74332213"/>
    <n v="2516980"/>
    <n v="3.3861227836711927"/>
    <n v="6970.0000000026803"/>
    <n v="6932.0000000005402"/>
  </r>
  <r>
    <x v="155"/>
    <x v="159"/>
    <x v="232"/>
    <x v="233"/>
    <n v="0"/>
    <n v="0"/>
    <n v="0"/>
    <n v="0"/>
    <m/>
    <n v="0"/>
    <n v="0"/>
    <n v="0"/>
    <n v="0"/>
    <n v="0"/>
    <n v="0"/>
  </r>
  <r>
    <x v="155"/>
    <x v="159"/>
    <x v="63"/>
    <x v="64"/>
    <n v="823620.64266951056"/>
    <n v="0.97472285620230326"/>
    <n v="973834.113576898"/>
    <n v="0.91761907992139058"/>
    <m/>
    <n v="546052"/>
    <n v="551205"/>
    <n v="-5153"/>
    <n v="-0.93486089567402331"/>
    <n v="59.637457042639994"/>
    <n v="69.381918817699997"/>
  </r>
  <r>
    <x v="155"/>
    <x v="159"/>
    <x v="64"/>
    <x v="65"/>
    <n v="21358.663426260795"/>
    <n v="2.5277143797696706E-2"/>
    <n v="87427.726859466056"/>
    <n v="8.2380920078609421E-2"/>
    <m/>
    <n v="49023"/>
    <n v="14294"/>
    <n v="34729"/>
    <n v="242.96208199244438"/>
    <n v="1.0000000024"/>
    <n v="3.99999999974"/>
  </r>
  <r>
    <x v="155"/>
    <x v="1"/>
    <x v="2"/>
    <x v="2"/>
    <n v="0"/>
    <n v="0"/>
    <n v="0"/>
    <n v="0"/>
    <m/>
    <n v="0"/>
    <n v="0"/>
    <n v="0"/>
    <n v="0"/>
    <n v="0"/>
    <n v="0"/>
  </r>
  <r>
    <x v="155"/>
    <x v="159"/>
    <x v="3"/>
    <x v="3"/>
    <n v="844979.30609577138"/>
    <n v="1"/>
    <n v="1061261.8404363641"/>
    <n v="1"/>
    <n v="595075"/>
    <n v="595075"/>
    <n v="565499"/>
    <n v="29576"/>
    <n v="5.2300711407093559"/>
    <n v="60.637457045039994"/>
    <n v="73.381918817439995"/>
  </r>
  <r>
    <x v="156"/>
    <x v="160"/>
    <x v="233"/>
    <x v="234"/>
    <n v="7355301.9672800004"/>
    <n v="0.74579226041639202"/>
    <n v="7515362.2277600011"/>
    <n v="0.73693904822758061"/>
    <m/>
    <n v="6200174"/>
    <n v="6068124"/>
    <n v="132050"/>
    <n v="2.1761256032342122"/>
    <n v="586"/>
    <n v="585"/>
  </r>
  <r>
    <x v="156"/>
    <x v="160"/>
    <x v="234"/>
    <x v="235"/>
    <n v="2507098.539763846"/>
    <n v="0.25420773958360804"/>
    <n v="2682716.2236876092"/>
    <n v="0.26306095177241939"/>
    <m/>
    <n v="2213241"/>
    <n v="2068356"/>
    <n v="144885"/>
    <n v="7.00483862545906"/>
    <n v="192.13568904192002"/>
    <n v="200.02284083547002"/>
  </r>
  <r>
    <x v="156"/>
    <x v="27"/>
    <x v="2"/>
    <x v="18"/>
    <n v="0"/>
    <n v="0"/>
    <n v="0"/>
    <n v="0"/>
    <m/>
    <n v="0"/>
    <n v="0"/>
    <n v="0"/>
    <n v="0"/>
    <n v="0"/>
    <n v="0"/>
  </r>
  <r>
    <x v="156"/>
    <x v="1"/>
    <x v="2"/>
    <x v="2"/>
    <n v="0"/>
    <n v="0"/>
    <n v="0"/>
    <n v="0"/>
    <m/>
    <n v="0"/>
    <n v="0"/>
    <n v="0"/>
    <n v="0"/>
    <n v="0"/>
    <n v="0"/>
  </r>
  <r>
    <x v="156"/>
    <x v="160"/>
    <x v="3"/>
    <x v="3"/>
    <n v="9862400.507043846"/>
    <n v="1"/>
    <n v="10198078.45144761"/>
    <n v="1"/>
    <n v="8413415"/>
    <n v="8413415"/>
    <n v="8136480"/>
    <n v="276935"/>
    <n v="3.4036217135665545"/>
    <n v="778.13568904192005"/>
    <n v="785.02284083546999"/>
  </r>
  <r>
    <x v="157"/>
    <x v="161"/>
    <x v="235"/>
    <x v="236"/>
    <n v="20056951.579999998"/>
    <n v="0.95727098428278967"/>
    <n v="20185599.029999997"/>
    <n v="0.95328375423108058"/>
    <m/>
    <n v="15942774"/>
    <n v="15207996"/>
    <n v="734778"/>
    <n v="4.8315241534782096"/>
    <n v="1665"/>
    <n v="1636"/>
  </r>
  <r>
    <x v="157"/>
    <x v="161"/>
    <x v="42"/>
    <x v="43"/>
    <n v="895267.70723468927"/>
    <n v="4.2729015717210377E-2"/>
    <n v="989207.4642968846"/>
    <n v="4.6716245768919439E-2"/>
    <m/>
    <n v="781285"/>
    <n v="678828"/>
    <n v="102457"/>
    <n v="15.093219490062284"/>
    <n v="44.000000001099998"/>
    <n v="47.999999996539998"/>
  </r>
  <r>
    <x v="157"/>
    <x v="1"/>
    <x v="2"/>
    <x v="2"/>
    <n v="0"/>
    <n v="0"/>
    <n v="0"/>
    <n v="0"/>
    <m/>
    <n v="0"/>
    <n v="0"/>
    <n v="0"/>
    <n v="0"/>
    <n v="0"/>
    <n v="0"/>
  </r>
  <r>
    <x v="157"/>
    <x v="1"/>
    <x v="2"/>
    <x v="2"/>
    <n v="0"/>
    <n v="0"/>
    <n v="0"/>
    <n v="0"/>
    <m/>
    <n v="0"/>
    <n v="0"/>
    <n v="0"/>
    <n v="0"/>
    <n v="0"/>
    <n v="0"/>
  </r>
  <r>
    <x v="157"/>
    <x v="161"/>
    <x v="3"/>
    <x v="3"/>
    <n v="20952219.287234686"/>
    <n v="1"/>
    <n v="21174806.494296882"/>
    <n v="1"/>
    <n v="16724059"/>
    <n v="16724059"/>
    <n v="15886824"/>
    <n v="837235"/>
    <n v="5.2699960671812063"/>
    <n v="1709.0000000011"/>
    <n v="1683.9999999965401"/>
  </r>
  <r>
    <x v="158"/>
    <x v="162"/>
    <x v="236"/>
    <x v="237"/>
    <n v="33192700.990000002"/>
    <n v="1"/>
    <n v="34218165.739999995"/>
    <n v="1"/>
    <m/>
    <n v="27327546"/>
    <n v="26093332"/>
    <n v="1234214"/>
    <n v="4.7299976867653388"/>
    <n v="2725"/>
    <n v="2723"/>
  </r>
  <r>
    <x v="158"/>
    <x v="1"/>
    <x v="2"/>
    <x v="2"/>
    <n v="0"/>
    <n v="0"/>
    <n v="0"/>
    <n v="0"/>
    <m/>
    <n v="0"/>
    <n v="0"/>
    <n v="0"/>
    <n v="0"/>
    <n v="0"/>
    <n v="0"/>
  </r>
  <r>
    <x v="158"/>
    <x v="1"/>
    <x v="2"/>
    <x v="2"/>
    <n v="0"/>
    <n v="0"/>
    <n v="0"/>
    <n v="0"/>
    <m/>
    <n v="0"/>
    <n v="0"/>
    <n v="0"/>
    <n v="0"/>
    <n v="0"/>
    <n v="0"/>
  </r>
  <r>
    <x v="158"/>
    <x v="1"/>
    <x v="2"/>
    <x v="2"/>
    <n v="0"/>
    <n v="0"/>
    <n v="0"/>
    <n v="0"/>
    <m/>
    <n v="0"/>
    <n v="0"/>
    <n v="0"/>
    <n v="0"/>
    <n v="0"/>
    <n v="0"/>
  </r>
  <r>
    <x v="158"/>
    <x v="162"/>
    <x v="3"/>
    <x v="3"/>
    <n v="33192700.990000002"/>
    <n v="1"/>
    <n v="34218165.739999995"/>
    <n v="1"/>
    <n v="27327546"/>
    <n v="27327546"/>
    <n v="26093332"/>
    <n v="1234214"/>
    <n v="4.7299976867653388"/>
    <n v="2725"/>
    <n v="2723"/>
  </r>
  <r>
    <x v="159"/>
    <x v="163"/>
    <x v="237"/>
    <x v="238"/>
    <n v="288791629.52999997"/>
    <n v="0.87939015847562108"/>
    <n v="308040584.44"/>
    <n v="0.88552611687984506"/>
    <m/>
    <n v="64989538"/>
    <n v="60097975"/>
    <n v="4891563"/>
    <n v="8.1393141782231435"/>
    <n v="16323"/>
    <n v="16506"/>
  </r>
  <r>
    <x v="159"/>
    <x v="163"/>
    <x v="139"/>
    <x v="140"/>
    <n v="39608258.445328116"/>
    <n v="0.12060984152437894"/>
    <n v="39821074.937571257"/>
    <n v="0.114473883120155"/>
    <m/>
    <n v="8401339"/>
    <n v="8242538"/>
    <n v="158801"/>
    <n v="1.9266031894545101"/>
    <n v="1793.0000000079599"/>
    <n v="1763.0000000062801"/>
  </r>
  <r>
    <x v="159"/>
    <x v="1"/>
    <x v="2"/>
    <x v="18"/>
    <n v="0"/>
    <n v="0"/>
    <n v="0"/>
    <n v="0"/>
    <m/>
    <n v="0"/>
    <n v="0"/>
    <n v="0"/>
    <n v="0"/>
    <n v="0"/>
    <n v="0"/>
  </r>
  <r>
    <x v="159"/>
    <x v="1"/>
    <x v="2"/>
    <x v="2"/>
    <n v="0"/>
    <n v="0"/>
    <n v="0"/>
    <n v="0"/>
    <m/>
    <n v="0"/>
    <n v="0"/>
    <n v="0"/>
    <n v="0"/>
    <n v="0"/>
    <n v="0"/>
  </r>
  <r>
    <x v="159"/>
    <x v="163"/>
    <x v="3"/>
    <x v="3"/>
    <n v="328399887.97532809"/>
    <n v="1"/>
    <n v="347861659.37757123"/>
    <n v="1"/>
    <n v="73390877"/>
    <n v="73390877"/>
    <n v="68340513"/>
    <n v="5050364"/>
    <n v="7.3900001306691978"/>
    <n v="18116.00000000796"/>
    <n v="18269.000000006279"/>
  </r>
  <r>
    <x v="160"/>
    <x v="164"/>
    <x v="238"/>
    <x v="239"/>
    <n v="32627792.160000004"/>
    <n v="1"/>
    <n v="33328396.509999994"/>
    <n v="1"/>
    <m/>
    <n v="18877355"/>
    <n v="18168773"/>
    <n v="708582"/>
    <n v="3.8999991909194969"/>
    <n v="2248"/>
    <n v="2221"/>
  </r>
  <r>
    <x v="160"/>
    <x v="1"/>
    <x v="2"/>
    <x v="2"/>
    <n v="0"/>
    <n v="0"/>
    <n v="0"/>
    <n v="0"/>
    <m/>
    <n v="0"/>
    <n v="0"/>
    <n v="0"/>
    <n v="0"/>
    <n v="0"/>
    <n v="0"/>
  </r>
  <r>
    <x v="160"/>
    <x v="1"/>
    <x v="2"/>
    <x v="2"/>
    <n v="0"/>
    <n v="0"/>
    <n v="0"/>
    <n v="0"/>
    <m/>
    <n v="0"/>
    <n v="0"/>
    <n v="0"/>
    <n v="0"/>
    <n v="0"/>
    <n v="0"/>
  </r>
  <r>
    <x v="160"/>
    <x v="1"/>
    <x v="2"/>
    <x v="2"/>
    <n v="0"/>
    <n v="0"/>
    <n v="0"/>
    <n v="0"/>
    <m/>
    <n v="0"/>
    <n v="0"/>
    <n v="0"/>
    <n v="0"/>
    <n v="0"/>
    <n v="0"/>
  </r>
  <r>
    <x v="160"/>
    <x v="164"/>
    <x v="3"/>
    <x v="3"/>
    <n v="32627792.160000004"/>
    <n v="1"/>
    <n v="33328396.509999994"/>
    <n v="1"/>
    <n v="18877355"/>
    <n v="18877355"/>
    <n v="18168773"/>
    <n v="708582"/>
    <n v="3.8999991909194969"/>
    <n v="2248"/>
    <n v="2221"/>
  </r>
  <r>
    <x v="161"/>
    <x v="165"/>
    <x v="239"/>
    <x v="240"/>
    <n v="20659694.909999996"/>
    <n v="0.91355236321345834"/>
    <n v="21553250.210000001"/>
    <n v="0.91485802927873061"/>
    <m/>
    <n v="12595979"/>
    <n v="11910986"/>
    <n v="684993"/>
    <n v="5.7509344734348611"/>
    <n v="1615"/>
    <n v="1633"/>
  </r>
  <r>
    <x v="161"/>
    <x v="165"/>
    <x v="25"/>
    <x v="26"/>
    <n v="1954985.6949832402"/>
    <n v="8.6447636786541715E-2"/>
    <n v="2005869.915985527"/>
    <n v="8.5141970721269333E-2"/>
    <m/>
    <n v="1172254"/>
    <n v="1127113"/>
    <n v="45141"/>
    <n v="4.0050110326116366"/>
    <n v="97.132604232450007"/>
    <n v="98.999999997480003"/>
  </r>
  <r>
    <x v="161"/>
    <x v="1"/>
    <x v="2"/>
    <x v="2"/>
    <n v="0"/>
    <n v="0"/>
    <n v="0"/>
    <n v="0"/>
    <m/>
    <n v="0"/>
    <n v="0"/>
    <n v="0"/>
    <n v="0"/>
    <n v="0"/>
    <n v="0"/>
  </r>
  <r>
    <x v="161"/>
    <x v="1"/>
    <x v="2"/>
    <x v="2"/>
    <n v="0"/>
    <n v="0"/>
    <n v="0"/>
    <n v="0"/>
    <m/>
    <n v="0"/>
    <n v="0"/>
    <n v="0"/>
    <n v="0"/>
    <n v="0"/>
    <n v="0"/>
  </r>
  <r>
    <x v="161"/>
    <x v="165"/>
    <x v="3"/>
    <x v="3"/>
    <n v="22614680.604983237"/>
    <n v="1"/>
    <n v="23559120.125985529"/>
    <n v="1"/>
    <n v="13768233"/>
    <n v="13768233"/>
    <n v="13038099"/>
    <n v="730134"/>
    <n v="5.6000034974423798"/>
    <n v="1712.1326042324499"/>
    <n v="1731.99999999748"/>
  </r>
  <r>
    <x v="162"/>
    <x v="166"/>
    <x v="240"/>
    <x v="241"/>
    <n v="329943497.06999999"/>
    <n v="1"/>
    <n v="351967448.88"/>
    <n v="1"/>
    <m/>
    <n v="64398962"/>
    <n v="60851330"/>
    <n v="3547632"/>
    <n v="5.8299991142346439"/>
    <n v="17895"/>
    <n v="18143"/>
  </r>
  <r>
    <x v="162"/>
    <x v="1"/>
    <x v="2"/>
    <x v="18"/>
    <n v="0"/>
    <n v="0"/>
    <n v="0"/>
    <n v="0"/>
    <m/>
    <n v="0"/>
    <n v="0"/>
    <n v="0"/>
    <n v="0"/>
    <n v="0"/>
    <n v="0"/>
  </r>
  <r>
    <x v="162"/>
    <x v="1"/>
    <x v="2"/>
    <x v="2"/>
    <n v="0"/>
    <n v="0"/>
    <n v="0"/>
    <n v="0"/>
    <m/>
    <n v="0"/>
    <n v="0"/>
    <n v="0"/>
    <n v="0"/>
    <n v="0"/>
    <n v="0"/>
  </r>
  <r>
    <x v="162"/>
    <x v="1"/>
    <x v="2"/>
    <x v="2"/>
    <n v="0"/>
    <n v="0"/>
    <n v="0"/>
    <n v="0"/>
    <m/>
    <n v="0"/>
    <n v="0"/>
    <n v="0"/>
    <n v="0"/>
    <n v="0"/>
    <n v="0"/>
  </r>
  <r>
    <x v="162"/>
    <x v="166"/>
    <x v="3"/>
    <x v="3"/>
    <n v="329943497.06999999"/>
    <n v="1"/>
    <n v="351967448.88"/>
    <n v="1"/>
    <n v="64398962"/>
    <n v="64398962"/>
    <n v="60851330"/>
    <n v="3547632"/>
    <n v="5.8299991142346439"/>
    <n v="17895"/>
    <n v="18143"/>
  </r>
  <r>
    <x v="163"/>
    <x v="167"/>
    <x v="241"/>
    <x v="242"/>
    <n v="27452371.780520003"/>
    <n v="0.97547511737701031"/>
    <n v="27975039.198300004"/>
    <n v="0.97469298366678725"/>
    <m/>
    <n v="22407746"/>
    <n v="21507362"/>
    <n v="900384"/>
    <n v="4.1863990572158505"/>
    <n v="2207"/>
    <n v="2195"/>
  </r>
  <r>
    <x v="163"/>
    <x v="167"/>
    <x v="66"/>
    <x v="67"/>
    <n v="690193.10041479743"/>
    <n v="2.4524882622989675E-2"/>
    <n v="726346.43500796298"/>
    <n v="2.5307016333212768E-2"/>
    <m/>
    <n v="581797"/>
    <n v="540727"/>
    <n v="41070"/>
    <n v="7.5953299909196321"/>
    <n v="35.000000004389996"/>
    <n v="36.000000005129998"/>
  </r>
  <r>
    <x v="163"/>
    <x v="1"/>
    <x v="2"/>
    <x v="18"/>
    <n v="0"/>
    <n v="0"/>
    <n v="0"/>
    <n v="0"/>
    <m/>
    <n v="0"/>
    <n v="0"/>
    <n v="0"/>
    <n v="0"/>
    <n v="0"/>
    <n v="0"/>
  </r>
  <r>
    <x v="163"/>
    <x v="1"/>
    <x v="2"/>
    <x v="2"/>
    <n v="0"/>
    <n v="0"/>
    <n v="0"/>
    <n v="0"/>
    <m/>
    <n v="0"/>
    <n v="0"/>
    <n v="0"/>
    <n v="0"/>
    <n v="0"/>
    <n v="0"/>
  </r>
  <r>
    <x v="163"/>
    <x v="167"/>
    <x v="3"/>
    <x v="3"/>
    <n v="28142564.880934801"/>
    <n v="1"/>
    <n v="28701385.633307967"/>
    <n v="1"/>
    <n v="22989543"/>
    <n v="22989543"/>
    <n v="22048089"/>
    <n v="941454"/>
    <n v="4.270002719963621"/>
    <n v="2242.0000000043901"/>
    <n v="2231.00000000513"/>
  </r>
  <r>
    <x v="164"/>
    <x v="168"/>
    <x v="242"/>
    <x v="243"/>
    <n v="117616659.13781999"/>
    <n v="0.96984399121465326"/>
    <n v="121527751.11873999"/>
    <n v="0.96620092564730009"/>
    <m/>
    <n v="57647090"/>
    <n v="54419682"/>
    <n v="3227408"/>
    <n v="5.9305895980796066"/>
    <n v="6940"/>
    <n v="6863"/>
  </r>
  <r>
    <x v="164"/>
    <x v="168"/>
    <x v="107"/>
    <x v="108"/>
    <n v="3657133.557966453"/>
    <n v="3.015600878534672E-2"/>
    <n v="4251212.544871957"/>
    <n v="3.3799074352699882E-2"/>
    <m/>
    <n v="2016577"/>
    <n v="1692108"/>
    <n v="324469"/>
    <n v="19.175430882662337"/>
    <n v="158.99999999919999"/>
    <n v="179.00000000170002"/>
  </r>
  <r>
    <x v="164"/>
    <x v="1"/>
    <x v="2"/>
    <x v="18"/>
    <n v="0"/>
    <n v="0"/>
    <n v="0"/>
    <n v="0"/>
    <m/>
    <n v="0"/>
    <n v="0"/>
    <n v="0"/>
    <n v="0"/>
    <n v="0"/>
    <n v="0"/>
  </r>
  <r>
    <x v="164"/>
    <x v="1"/>
    <x v="2"/>
    <x v="2"/>
    <n v="0"/>
    <n v="0"/>
    <n v="0"/>
    <n v="0"/>
    <m/>
    <n v="0"/>
    <n v="0"/>
    <n v="0"/>
    <n v="0"/>
    <n v="0"/>
    <n v="0"/>
  </r>
  <r>
    <x v="164"/>
    <x v="168"/>
    <x v="3"/>
    <x v="3"/>
    <n v="121273792.69578645"/>
    <n v="1"/>
    <n v="125778963.66361195"/>
    <n v="1"/>
    <n v="59663667"/>
    <n v="59663667"/>
    <n v="56111790"/>
    <n v="3551877"/>
    <n v="6.3300012350345627"/>
    <n v="7098.9999999991996"/>
    <n v="7042.0000000016998"/>
  </r>
  <r>
    <x v="165"/>
    <x v="169"/>
    <x v="243"/>
    <x v="244"/>
    <n v="0"/>
    <n v="0"/>
    <n v="0"/>
    <n v="0"/>
    <m/>
    <n v="0"/>
    <n v="0"/>
    <n v="0"/>
    <n v="0"/>
    <n v="0"/>
    <n v="0"/>
  </r>
  <r>
    <x v="165"/>
    <x v="169"/>
    <x v="155"/>
    <x v="156"/>
    <n v="8656939.6483180579"/>
    <n v="0.97123876442751722"/>
    <n v="8362900.351031729"/>
    <n v="0.96959003757179762"/>
    <m/>
    <n v="6899392"/>
    <n v="7141975"/>
    <n v="-242583"/>
    <n v="-3.3965814778125099"/>
    <n v="677.76302521037996"/>
    <n v="642.1635883908001"/>
  </r>
  <r>
    <x v="165"/>
    <x v="169"/>
    <x v="66"/>
    <x v="67"/>
    <n v="256357.4372042304"/>
    <n v="2.8761235572482745E-2"/>
    <n v="262291.76828443113"/>
    <n v="3.0409962428202313E-2"/>
    <m/>
    <n v="216391"/>
    <n v="211495"/>
    <n v="4896"/>
    <n v="2.3149483439324805"/>
    <n v="12.999999996930001"/>
    <n v="13.000000006170001"/>
  </r>
  <r>
    <x v="165"/>
    <x v="1"/>
    <x v="2"/>
    <x v="2"/>
    <n v="0"/>
    <n v="0"/>
    <n v="0"/>
    <n v="0"/>
    <m/>
    <n v="0"/>
    <n v="0"/>
    <n v="0"/>
    <n v="0"/>
    <n v="0"/>
    <n v="0"/>
  </r>
  <r>
    <x v="165"/>
    <x v="169"/>
    <x v="3"/>
    <x v="3"/>
    <n v="8913297.0855222885"/>
    <n v="1"/>
    <n v="8625192.1193161607"/>
    <n v="0.99999999999999989"/>
    <n v="7115783"/>
    <n v="7115783"/>
    <n v="7353470"/>
    <n v="-237687"/>
    <n v="-3.2323107322121394"/>
    <n v="690.76302520730997"/>
    <n v="655.16358839697011"/>
  </r>
  <r>
    <x v="166"/>
    <x v="170"/>
    <x v="244"/>
    <x v="245"/>
    <n v="46129087.005899996"/>
    <n v="0.95262369076338049"/>
    <n v="46131542.886"/>
    <n v="0.95663158271594584"/>
    <m/>
    <n v="34993046"/>
    <n v="32585038"/>
    <n v="2408008"/>
    <n v="7.3899192629451589"/>
    <n v="3485"/>
    <n v="3412"/>
  </r>
  <r>
    <x v="166"/>
    <x v="170"/>
    <x v="89"/>
    <x v="90"/>
    <n v="2070125.8640575996"/>
    <n v="4.2750703925942726E-2"/>
    <n v="1882874.8040708841"/>
    <n v="3.9045247377168038E-2"/>
    <m/>
    <n v="1428253"/>
    <n v="1462312"/>
    <n v="-34059"/>
    <n v="-2.3291199142180328"/>
    <n v="97.416564410649997"/>
    <n v="86.154121864200008"/>
  </r>
  <r>
    <x v="166"/>
    <x v="170"/>
    <x v="9"/>
    <x v="9"/>
    <n v="223986.60866828781"/>
    <n v="4.6256053106766733E-3"/>
    <n v="208475.76179408262"/>
    <n v="4.3231699068862085E-3"/>
    <m/>
    <n v="158139"/>
    <n v="158221"/>
    <n v="-82"/>
    <n v="-5.1826243039798763E-2"/>
    <n v="10.999999998129999"/>
    <n v="9.9999999978199998"/>
  </r>
  <r>
    <x v="166"/>
    <x v="1"/>
    <x v="2"/>
    <x v="2"/>
    <n v="0"/>
    <n v="0"/>
    <n v="0"/>
    <n v="0"/>
    <m/>
    <n v="0"/>
    <n v="0"/>
    <n v="0"/>
    <n v="0"/>
    <n v="0"/>
    <n v="0"/>
  </r>
  <r>
    <x v="166"/>
    <x v="170"/>
    <x v="3"/>
    <x v="3"/>
    <n v="48423199.478625886"/>
    <n v="0.99999999999999989"/>
    <n v="48222893.451864965"/>
    <n v="1.0000000000000002"/>
    <n v="36579438"/>
    <n v="36579438"/>
    <n v="34205571"/>
    <n v="2373867"/>
    <n v="6.9400010892962438"/>
    <n v="3593.4165644087802"/>
    <n v="3508.15412186202"/>
  </r>
  <r>
    <x v="167"/>
    <x v="171"/>
    <x v="245"/>
    <x v="246"/>
    <n v="32681938.290000007"/>
    <n v="0.98455429337161449"/>
    <n v="32926181.66"/>
    <n v="0.98491180493601982"/>
    <m/>
    <n v="27164100"/>
    <n v="26962599"/>
    <n v="201501"/>
    <n v="0.74733522536162034"/>
    <n v="2658"/>
    <n v="2588"/>
  </r>
  <r>
    <x v="167"/>
    <x v="171"/>
    <x v="66"/>
    <x v="67"/>
    <n v="512714.8744084608"/>
    <n v="1.5445706628385477E-2"/>
    <n v="504407.24652538839"/>
    <n v="1.5088195063980224E-2"/>
    <m/>
    <n v="416136"/>
    <n v="422990"/>
    <n v="-6854"/>
    <n v="-1.6203692758694059"/>
    <n v="25.999999993860001"/>
    <n v="25.000000003169998"/>
  </r>
  <r>
    <x v="167"/>
    <x v="1"/>
    <x v="2"/>
    <x v="18"/>
    <n v="0"/>
    <n v="0"/>
    <n v="0"/>
    <n v="0"/>
    <m/>
    <n v="0"/>
    <n v="0"/>
    <n v="0"/>
    <n v="0"/>
    <n v="0"/>
    <n v="0"/>
  </r>
  <r>
    <x v="167"/>
    <x v="1"/>
    <x v="2"/>
    <x v="2"/>
    <n v="0"/>
    <n v="0"/>
    <n v="0"/>
    <n v="0"/>
    <m/>
    <n v="0"/>
    <n v="0"/>
    <n v="0"/>
    <n v="0"/>
    <n v="0"/>
    <n v="0"/>
  </r>
  <r>
    <x v="167"/>
    <x v="171"/>
    <x v="3"/>
    <x v="3"/>
    <n v="33194653.164408468"/>
    <n v="1"/>
    <n v="33430588.906525388"/>
    <n v="1"/>
    <n v="27580236"/>
    <n v="27580236"/>
    <n v="27385589"/>
    <n v="194647"/>
    <n v="0.71076433667356942"/>
    <n v="2683.99999999386"/>
    <n v="2613.00000000317"/>
  </r>
  <r>
    <x v="168"/>
    <x v="172"/>
    <x v="246"/>
    <x v="247"/>
    <n v="5068217.2599999988"/>
    <n v="0.52268072520947206"/>
    <n v="5105842.0000000009"/>
    <n v="0.50669667755384673"/>
    <m/>
    <n v="3952749"/>
    <n v="3913467"/>
    <n v="39282"/>
    <n v="1.0037646925347781"/>
    <n v="401"/>
    <n v="388"/>
  </r>
  <r>
    <x v="168"/>
    <x v="172"/>
    <x v="247"/>
    <x v="248"/>
    <n v="4081294.1834738483"/>
    <n v="0.42090022865580778"/>
    <n v="4290713.8270303933"/>
    <n v="0.42580448836659079"/>
    <m/>
    <n v="3321708"/>
    <n v="3151406"/>
    <n v="170302"/>
    <n v="5.4040006270217162"/>
    <n v="304.9999999977"/>
    <n v="306.00000000089"/>
  </r>
  <r>
    <x v="168"/>
    <x v="172"/>
    <x v="76"/>
    <x v="77"/>
    <n v="547071.98796766053"/>
    <n v="5.6419046134720055E-2"/>
    <n v="680167.04521974351"/>
    <n v="6.7498834079562406E-2"/>
    <m/>
    <n v="526560"/>
    <n v="422426"/>
    <n v="104134"/>
    <n v="24.651418236566879"/>
    <n v="26.1318124236"/>
    <n v="32.112543960960004"/>
  </r>
  <r>
    <x v="168"/>
    <x v="1"/>
    <x v="2"/>
    <x v="2"/>
    <n v="0"/>
    <n v="0"/>
    <n v="0"/>
    <n v="0"/>
    <m/>
    <n v="0"/>
    <n v="0"/>
    <n v="0"/>
    <n v="0"/>
    <n v="0"/>
    <n v="0"/>
  </r>
  <r>
    <x v="168"/>
    <x v="172"/>
    <x v="3"/>
    <x v="3"/>
    <n v="9696583.4314415082"/>
    <n v="0.99999999999999989"/>
    <n v="10076722.872250138"/>
    <n v="0.99999999999999989"/>
    <n v="7801017"/>
    <n v="7801017"/>
    <n v="7487299"/>
    <n v="313718"/>
    <n v="4.1900022958880099"/>
    <n v="732.13181242129997"/>
    <n v="726.11254396184995"/>
  </r>
  <r>
    <x v="169"/>
    <x v="173"/>
    <x v="248"/>
    <x v="249"/>
    <n v="87221684.996450007"/>
    <n v="0.8856940020073838"/>
    <n v="91366536.508999988"/>
    <n v="0.87594598983165928"/>
    <m/>
    <n v="43502723"/>
    <n v="41360456"/>
    <n v="2142267"/>
    <n v="5.1795052743132235"/>
    <n v="5370"/>
    <n v="5345"/>
  </r>
  <r>
    <x v="169"/>
    <x v="173"/>
    <x v="61"/>
    <x v="62"/>
    <n v="11256666.216007294"/>
    <n v="0.11430599799261616"/>
    <n v="12939593.742887981"/>
    <n v="0.12405401016834071"/>
    <m/>
    <n v="6160982"/>
    <n v="5337903"/>
    <n v="823079"/>
    <n v="15.419519612851714"/>
    <n v="510.00000000347995"/>
    <n v="564.99999999647991"/>
  </r>
  <r>
    <x v="169"/>
    <x v="1"/>
    <x v="2"/>
    <x v="2"/>
    <n v="0"/>
    <n v="0"/>
    <n v="0"/>
    <n v="0"/>
    <m/>
    <n v="0"/>
    <n v="0"/>
    <n v="0"/>
    <n v="0"/>
    <n v="0"/>
    <n v="0"/>
  </r>
  <r>
    <x v="169"/>
    <x v="1"/>
    <x v="2"/>
    <x v="2"/>
    <n v="0"/>
    <n v="0"/>
    <n v="0"/>
    <n v="0"/>
    <m/>
    <n v="0"/>
    <n v="0"/>
    <n v="0"/>
    <n v="0"/>
    <n v="0"/>
    <n v="0"/>
  </r>
  <r>
    <x v="169"/>
    <x v="173"/>
    <x v="3"/>
    <x v="3"/>
    <n v="98478351.212457299"/>
    <n v="1"/>
    <n v="104306130.25188798"/>
    <n v="1"/>
    <n v="49663705"/>
    <n v="49663705"/>
    <n v="46698359"/>
    <n v="2965346"/>
    <n v="6.3500004357754838"/>
    <n v="5880.0000000034797"/>
    <n v="5909.9999999964803"/>
  </r>
  <r>
    <x v="170"/>
    <x v="174"/>
    <x v="249"/>
    <x v="250"/>
    <n v="49950295.557299994"/>
    <n v="1"/>
    <n v="49730334.689119995"/>
    <n v="0.99874264931433787"/>
    <m/>
    <n v="40410183"/>
    <n v="39070159"/>
    <n v="1340024"/>
    <n v="3.4297889599067153"/>
    <n v="3783"/>
    <n v="3669"/>
  </r>
  <r>
    <x v="170"/>
    <x v="174"/>
    <x v="1"/>
    <x v="1"/>
    <n v="0"/>
    <n v="0"/>
    <n v="62607.189612359136"/>
    <n v="1.2573506856621386E-3"/>
    <m/>
    <n v="50874"/>
    <n v="0"/>
    <n v="50874"/>
    <n v="100"/>
    <n v="0"/>
    <n v="3.0000000014399997"/>
  </r>
  <r>
    <x v="170"/>
    <x v="1"/>
    <x v="2"/>
    <x v="2"/>
    <n v="0"/>
    <n v="0"/>
    <n v="0"/>
    <n v="0"/>
    <m/>
    <n v="0"/>
    <n v="0"/>
    <n v="0"/>
    <n v="0"/>
    <n v="0"/>
    <n v="0"/>
  </r>
  <r>
    <x v="170"/>
    <x v="1"/>
    <x v="2"/>
    <x v="2"/>
    <n v="0"/>
    <n v="0"/>
    <n v="0"/>
    <n v="0"/>
    <m/>
    <n v="0"/>
    <n v="0"/>
    <n v="0"/>
    <n v="0"/>
    <n v="0"/>
    <n v="0"/>
  </r>
  <r>
    <x v="170"/>
    <x v="174"/>
    <x v="3"/>
    <x v="3"/>
    <n v="49950295.557299994"/>
    <n v="1"/>
    <n v="49792941.878732353"/>
    <n v="1"/>
    <n v="40461057"/>
    <n v="40461057"/>
    <n v="39070159"/>
    <n v="1390898"/>
    <n v="3.5600008692055747"/>
    <n v="3783"/>
    <n v="3672.0000000014402"/>
  </r>
  <r>
    <x v="171"/>
    <x v="175"/>
    <x v="250"/>
    <x v="251"/>
    <n v="20496134.48"/>
    <n v="0.94956552255041116"/>
    <n v="21264618.640000001"/>
    <n v="0.94472973255121506"/>
    <m/>
    <n v="17203029"/>
    <n v="16524355"/>
    <n v="678674"/>
    <n v="4.107113409267714"/>
    <n v="1422"/>
    <n v="1416"/>
  </r>
  <r>
    <x v="171"/>
    <x v="175"/>
    <x v="44"/>
    <x v="45"/>
    <n v="1088615.5906955034"/>
    <n v="5.0434477449588837E-2"/>
    <n v="1244060.7286227257"/>
    <n v="5.5270267448784931E-2"/>
    <m/>
    <n v="1006442"/>
    <n v="877662"/>
    <n v="128780"/>
    <n v="14.673074600472619"/>
    <n v="50.149925037060001"/>
    <n v="57.085585588530002"/>
  </r>
  <r>
    <x v="171"/>
    <x v="1"/>
    <x v="2"/>
    <x v="2"/>
    <n v="0"/>
    <n v="0"/>
    <n v="0"/>
    <n v="0"/>
    <m/>
    <n v="0"/>
    <n v="0"/>
    <n v="0"/>
    <n v="0"/>
    <n v="0"/>
    <n v="0"/>
  </r>
  <r>
    <x v="171"/>
    <x v="1"/>
    <x v="2"/>
    <x v="2"/>
    <n v="0"/>
    <n v="0"/>
    <n v="0"/>
    <n v="0"/>
    <m/>
    <n v="0"/>
    <n v="0"/>
    <n v="0"/>
    <n v="0"/>
    <n v="0"/>
    <n v="0"/>
  </r>
  <r>
    <x v="171"/>
    <x v="175"/>
    <x v="3"/>
    <x v="3"/>
    <n v="21584750.070695505"/>
    <n v="1"/>
    <n v="22508679.368622728"/>
    <n v="1"/>
    <n v="18209471"/>
    <n v="18209471"/>
    <n v="17402017"/>
    <n v="807454"/>
    <n v="4.6400023629444798"/>
    <n v="1472.14992503706"/>
    <n v="1473.08558558853"/>
  </r>
  <r>
    <x v="172"/>
    <x v="176"/>
    <x v="251"/>
    <x v="252"/>
    <n v="5079932.7300000004"/>
    <n v="0.49170375592868526"/>
    <n v="4865916.0799999991"/>
    <n v="0.47716823415059056"/>
    <m/>
    <n v="4014381"/>
    <n v="4120905"/>
    <n v="-106524"/>
    <n v="-2.584966166412475"/>
    <n v="414"/>
    <n v="383"/>
  </r>
  <r>
    <x v="172"/>
    <x v="176"/>
    <x v="247"/>
    <x v="248"/>
    <n v="4415826.4936010586"/>
    <n v="0.42742268211749268"/>
    <n v="4641262.3422536869"/>
    <n v="0.45513792668673114"/>
    <m/>
    <n v="3829041"/>
    <n v="3582174"/>
    <n v="246867"/>
    <n v="6.8915412819142787"/>
    <n v="329.99999999799002"/>
    <n v="330.99999999689999"/>
  </r>
  <r>
    <x v="172"/>
    <x v="176"/>
    <x v="8"/>
    <x v="8"/>
    <n v="835527.99710663361"/>
    <n v="8.087356195382206E-2"/>
    <n v="690306.93353878136"/>
    <n v="6.7693839162678168E-2"/>
    <m/>
    <n v="569503"/>
    <n v="677791"/>
    <n v="-108288"/>
    <n v="-15.976606358007114"/>
    <n v="43.00000000112"/>
    <n v="34.999999999720004"/>
  </r>
  <r>
    <x v="172"/>
    <x v="1"/>
    <x v="2"/>
    <x v="2"/>
    <n v="0"/>
    <n v="0"/>
    <n v="0"/>
    <n v="0"/>
    <m/>
    <n v="0"/>
    <n v="0"/>
    <n v="0"/>
    <n v="0"/>
    <n v="0"/>
    <n v="0"/>
  </r>
  <r>
    <x v="172"/>
    <x v="176"/>
    <x v="3"/>
    <x v="3"/>
    <n v="10331287.220707692"/>
    <n v="1"/>
    <n v="10197485.355792468"/>
    <n v="0.99999999999999989"/>
    <n v="8412925"/>
    <n v="8412925"/>
    <n v="8380870"/>
    <n v="32055"/>
    <n v="0.3824781914049496"/>
    <n v="786.99999999911006"/>
    <n v="748.99999999661998"/>
  </r>
  <r>
    <x v="173"/>
    <x v="177"/>
    <x v="252"/>
    <x v="253"/>
    <n v="17768872.032999996"/>
    <n v="0.92211170447386404"/>
    <n v="17943402.248780001"/>
    <n v="0.92339318248533142"/>
    <m/>
    <n v="12813459"/>
    <n v="12105654"/>
    <n v="707805"/>
    <n v="5.8468960041316231"/>
    <n v="1240"/>
    <n v="1258"/>
  </r>
  <r>
    <x v="173"/>
    <x v="177"/>
    <x v="61"/>
    <x v="62"/>
    <n v="1500888.8287152452"/>
    <n v="7.7888295526135964E-2"/>
    <n v="1488625.8288856472"/>
    <n v="7.660681751466851E-2"/>
    <m/>
    <n v="1063034"/>
    <n v="1022532"/>
    <n v="40502"/>
    <n v="3.9609518332922589"/>
    <n v="67.999999996579987"/>
    <n v="65.00000000211999"/>
  </r>
  <r>
    <x v="173"/>
    <x v="1"/>
    <x v="2"/>
    <x v="2"/>
    <n v="0"/>
    <n v="0"/>
    <n v="0"/>
    <n v="0"/>
    <m/>
    <n v="0"/>
    <n v="0"/>
    <n v="0"/>
    <n v="0"/>
    <n v="0"/>
    <n v="0"/>
  </r>
  <r>
    <x v="173"/>
    <x v="1"/>
    <x v="2"/>
    <x v="2"/>
    <n v="0"/>
    <n v="0"/>
    <n v="0"/>
    <n v="0"/>
    <m/>
    <n v="0"/>
    <n v="0"/>
    <n v="0"/>
    <n v="0"/>
    <n v="0"/>
    <n v="0"/>
  </r>
  <r>
    <x v="173"/>
    <x v="177"/>
    <x v="3"/>
    <x v="3"/>
    <n v="19269760.861715242"/>
    <n v="1"/>
    <n v="19432028.077665649"/>
    <n v="0.99999999999999989"/>
    <n v="13876493"/>
    <n v="13876493"/>
    <n v="13128186"/>
    <n v="748307"/>
    <n v="5.7000030316450419"/>
    <n v="1307.9999999965801"/>
    <n v="1323.00000000212"/>
  </r>
  <r>
    <x v="174"/>
    <x v="178"/>
    <x v="253"/>
    <x v="254"/>
    <n v="29777088.9976"/>
    <n v="0.99302538520940464"/>
    <n v="29971700.2535"/>
    <n v="0.99296152533123816"/>
    <m/>
    <n v="24726652"/>
    <n v="23849002"/>
    <n v="877650"/>
    <n v="3.6800282041152079"/>
    <n v="2427"/>
    <n v="2371"/>
  </r>
  <r>
    <x v="174"/>
    <x v="178"/>
    <x v="166"/>
    <x v="167"/>
    <n v="123035.68129326899"/>
    <n v="4.1030724937752431E-3"/>
    <n v="146378.46400355324"/>
    <n v="4.8495140970735776E-3"/>
    <m/>
    <n v="120762"/>
    <n v="98541"/>
    <n v="22221"/>
    <n v="22.550004566627088"/>
    <n v="6.0000000005"/>
    <n v="7.0000000029600002"/>
  </r>
  <r>
    <x v="174"/>
    <x v="178"/>
    <x v="39"/>
    <x v="40"/>
    <n v="86106.731818094282"/>
    <n v="2.8715422968201383E-3"/>
    <n v="66071.915625820518"/>
    <n v="2.1889605716882963E-3"/>
    <m/>
    <n v="54509"/>
    <n v="68964"/>
    <n v="-14455"/>
    <n v="-20.960211124644744"/>
    <n v="4.00000000004"/>
    <n v="2.9999999991199999"/>
  </r>
  <r>
    <x v="174"/>
    <x v="1"/>
    <x v="2"/>
    <x v="2"/>
    <n v="0"/>
    <n v="0"/>
    <n v="0"/>
    <n v="0"/>
    <m/>
    <n v="0"/>
    <n v="0"/>
    <n v="0"/>
    <n v="0"/>
    <n v="0"/>
    <n v="0"/>
  </r>
  <r>
    <x v="174"/>
    <x v="178"/>
    <x v="3"/>
    <x v="3"/>
    <n v="29986231.410711363"/>
    <n v="1"/>
    <n v="30184150.633129373"/>
    <n v="1"/>
    <n v="24901924"/>
    <n v="24901923"/>
    <n v="24016507"/>
    <n v="885416"/>
    <n v="3.6866976534097984"/>
    <n v="2437.0000000005402"/>
    <n v="2381.00000000208"/>
  </r>
  <r>
    <x v="175"/>
    <x v="179"/>
    <x v="254"/>
    <x v="255"/>
    <n v="71888258.341159999"/>
    <n v="1"/>
    <n v="73681605.546039999"/>
    <n v="1"/>
    <m/>
    <n v="57259487"/>
    <n v="54480958"/>
    <n v="2778529"/>
    <n v="5.1000002606415258"/>
    <n v="4559"/>
    <n v="4524"/>
  </r>
  <r>
    <x v="175"/>
    <x v="1"/>
    <x v="2"/>
    <x v="18"/>
    <n v="0"/>
    <n v="0"/>
    <n v="0"/>
    <n v="0"/>
    <m/>
    <n v="0"/>
    <n v="0"/>
    <n v="0"/>
    <n v="0"/>
    <n v="0"/>
    <n v="0"/>
  </r>
  <r>
    <x v="175"/>
    <x v="1"/>
    <x v="2"/>
    <x v="2"/>
    <n v="0"/>
    <n v="0"/>
    <n v="0"/>
    <n v="0"/>
    <m/>
    <n v="0"/>
    <n v="0"/>
    <n v="0"/>
    <n v="0"/>
    <n v="0"/>
    <n v="0"/>
  </r>
  <r>
    <x v="175"/>
    <x v="1"/>
    <x v="2"/>
    <x v="2"/>
    <n v="0"/>
    <n v="0"/>
    <n v="0"/>
    <n v="0"/>
    <m/>
    <n v="0"/>
    <n v="0"/>
    <n v="0"/>
    <n v="0"/>
    <n v="0"/>
    <n v="0"/>
  </r>
  <r>
    <x v="175"/>
    <x v="179"/>
    <x v="3"/>
    <x v="3"/>
    <n v="71888258.341159999"/>
    <n v="1"/>
    <n v="73681605.546039999"/>
    <n v="1"/>
    <n v="57259487"/>
    <n v="57259487"/>
    <n v="54480958"/>
    <n v="2778529"/>
    <n v="5.1000002606415258"/>
    <n v="4559"/>
    <n v="4524"/>
  </r>
  <r>
    <x v="176"/>
    <x v="180"/>
    <x v="255"/>
    <x v="256"/>
    <n v="26890897.844290003"/>
    <n v="0.93351346305115457"/>
    <n v="28282405.937880002"/>
    <n v="0.93801635774043923"/>
    <m/>
    <n v="20376839"/>
    <n v="19298650"/>
    <n v="1078189"/>
    <n v="5.5868622934764867"/>
    <n v="2120"/>
    <n v="2157"/>
  </r>
  <r>
    <x v="176"/>
    <x v="180"/>
    <x v="166"/>
    <x v="167"/>
    <n v="1743005.4848601574"/>
    <n v="6.0508172531489636E-2"/>
    <n v="1714719.1489961157"/>
    <n v="5.6870501548627703E-2"/>
    <m/>
    <n v="1235417"/>
    <n v="1250894"/>
    <n v="-15477"/>
    <n v="-1.2372751008478735"/>
    <n v="85.000000000850008"/>
    <n v="81.999999998340002"/>
  </r>
  <r>
    <x v="176"/>
    <x v="180"/>
    <x v="39"/>
    <x v="40"/>
    <n v="172213.46363618856"/>
    <n v="5.9783644173557748E-3"/>
    <n v="154167.80316332754"/>
    <n v="5.1131407109330715E-3"/>
    <m/>
    <n v="111074"/>
    <n v="123592"/>
    <n v="-12518"/>
    <n v="-10.128487280730145"/>
    <n v="8.00000000008"/>
    <n v="6.9999999996"/>
  </r>
  <r>
    <x v="176"/>
    <x v="1"/>
    <x v="2"/>
    <x v="2"/>
    <n v="0"/>
    <n v="0"/>
    <n v="0"/>
    <n v="0"/>
    <m/>
    <n v="0"/>
    <n v="0"/>
    <n v="0"/>
    <n v="0"/>
    <n v="0"/>
    <n v="0"/>
  </r>
  <r>
    <x v="176"/>
    <x v="180"/>
    <x v="3"/>
    <x v="3"/>
    <n v="28806116.792786349"/>
    <n v="1"/>
    <n v="30151292.890039444"/>
    <n v="1"/>
    <n v="21723330"/>
    <n v="21723330"/>
    <n v="20673136"/>
    <n v="1050194"/>
    <n v="5.079993669078557"/>
    <n v="2213.00000000093"/>
    <n v="2245.99999999794"/>
  </r>
  <r>
    <x v="177"/>
    <x v="181"/>
    <x v="256"/>
    <x v="257"/>
    <n v="51330398.765020005"/>
    <n v="0.97127531046720372"/>
    <n v="53488054.658699989"/>
    <n v="0.96902091185210082"/>
    <m/>
    <n v="41053058"/>
    <n v="39070041"/>
    <n v="1983017"/>
    <n v="5.0755436883211873"/>
    <n v="4062"/>
    <n v="4112"/>
  </r>
  <r>
    <x v="177"/>
    <x v="181"/>
    <x v="107"/>
    <x v="108"/>
    <n v="1518055.4393075095"/>
    <n v="2.8724689532796267E-2"/>
    <n v="1709984.9341377458"/>
    <n v="3.0979088147899118E-2"/>
    <m/>
    <n v="1312445"/>
    <n v="1155465"/>
    <n v="156980"/>
    <n v="13.585872354420083"/>
    <n v="66.000000006260009"/>
    <n v="71.999999995950006"/>
  </r>
  <r>
    <x v="177"/>
    <x v="1"/>
    <x v="2"/>
    <x v="18"/>
    <n v="0"/>
    <n v="0"/>
    <n v="0"/>
    <n v="0"/>
    <m/>
    <n v="0"/>
    <n v="0"/>
    <n v="0"/>
    <n v="0"/>
    <n v="0"/>
    <n v="0"/>
  </r>
  <r>
    <x v="177"/>
    <x v="1"/>
    <x v="2"/>
    <x v="2"/>
    <n v="0"/>
    <n v="0"/>
    <n v="0"/>
    <n v="0"/>
    <m/>
    <n v="0"/>
    <n v="0"/>
    <n v="0"/>
    <n v="0"/>
    <n v="0"/>
    <n v="0"/>
  </r>
  <r>
    <x v="177"/>
    <x v="181"/>
    <x v="3"/>
    <x v="3"/>
    <n v="52848454.204327516"/>
    <n v="1"/>
    <n v="55198039.592837736"/>
    <n v="0.99999999999999989"/>
    <n v="42365503"/>
    <n v="42365503"/>
    <n v="40225506"/>
    <n v="2139997"/>
    <n v="5.3200002008675789"/>
    <n v="4128.0000000062601"/>
    <n v="4183.99999999595"/>
  </r>
  <r>
    <x v="178"/>
    <x v="182"/>
    <x v="257"/>
    <x v="258"/>
    <n v="164907.6"/>
    <n v="1.3252624603471045E-2"/>
    <n v="168603.30000000002"/>
    <n v="1.3492248974518487E-2"/>
    <m/>
    <n v="135517"/>
    <n v="126856"/>
    <n v="8661"/>
    <n v="6.8274263732105691"/>
    <n v="10"/>
    <n v="10"/>
  </r>
  <r>
    <x v="178"/>
    <x v="182"/>
    <x v="258"/>
    <x v="259"/>
    <n v="10673478.869393477"/>
    <n v="0.85776282396416115"/>
    <n v="10874872.440098867"/>
    <n v="0.87024682510925511"/>
    <m/>
    <n v="8740788"/>
    <n v="8210615"/>
    <n v="530173"/>
    <n v="6.4571655107443231"/>
    <n v="866.02532878574993"/>
    <n v="856.60119939864001"/>
  </r>
  <r>
    <x v="178"/>
    <x v="182"/>
    <x v="54"/>
    <x v="55"/>
    <n v="1605005.3065124403"/>
    <n v="0.12898455143236789"/>
    <n v="1452832.3489695191"/>
    <n v="0.1162609259162263"/>
    <m/>
    <n v="1167729"/>
    <n v="1234657"/>
    <n v="-66928"/>
    <n v="-5.4207767825396038"/>
    <n v="85.00000000432"/>
    <n v="75.000000002069996"/>
  </r>
  <r>
    <x v="178"/>
    <x v="1"/>
    <x v="2"/>
    <x v="2"/>
    <n v="0"/>
    <n v="0"/>
    <n v="0"/>
    <n v="0"/>
    <m/>
    <n v="0"/>
    <n v="0"/>
    <n v="0"/>
    <n v="0"/>
    <n v="0"/>
    <n v="0"/>
  </r>
  <r>
    <x v="178"/>
    <x v="182"/>
    <x v="3"/>
    <x v="3"/>
    <n v="12443391.775905916"/>
    <n v="1.0000000000000002"/>
    <n v="12496308.089068387"/>
    <n v="0.99999999999999989"/>
    <n v="10044033"/>
    <n v="10044034"/>
    <n v="9572128"/>
    <n v="471906"/>
    <n v="4.9300009360510018"/>
    <n v="961.02532879006992"/>
    <n v="941.60119940071002"/>
  </r>
  <r>
    <x v="179"/>
    <x v="183"/>
    <x v="259"/>
    <x v="260"/>
    <n v="164907.6"/>
    <n v="1.4987034968488376E-2"/>
    <n v="134882.64000000001"/>
    <n v="1.1899295702164622E-2"/>
    <m/>
    <n v="97208"/>
    <n v="115885"/>
    <n v="-18677"/>
    <n v="-16.116839970660568"/>
    <n v="10"/>
    <n v="8"/>
  </r>
  <r>
    <x v="179"/>
    <x v="183"/>
    <x v="186"/>
    <x v="187"/>
    <n v="10006461.846343849"/>
    <n v="0.90940134719079058"/>
    <n v="10346630.009707285"/>
    <n v="0.91277580277489667"/>
    <m/>
    <n v="7456662"/>
    <n v="7031799"/>
    <n v="424863"/>
    <n v="6.0420242387474383"/>
    <n v="818.19271948127994"/>
    <n v="822.38013699570001"/>
  </r>
  <r>
    <x v="179"/>
    <x v="183"/>
    <x v="17"/>
    <x v="17"/>
    <n v="831981.1394613802"/>
    <n v="7.5611617840721165E-2"/>
    <n v="853833.85953722883"/>
    <n v="7.5324901522938595E-2"/>
    <m/>
    <n v="615345"/>
    <n v="584655"/>
    <n v="30690"/>
    <n v="5.2492495574313054"/>
    <n v="40.000000000500002"/>
    <n v="40.094191517250003"/>
  </r>
  <r>
    <x v="179"/>
    <x v="1"/>
    <x v="2"/>
    <x v="18"/>
    <n v="0"/>
    <n v="0"/>
    <n v="0"/>
    <n v="0"/>
    <m/>
    <n v="0"/>
    <n v="0"/>
    <n v="0"/>
    <n v="0"/>
    <n v="0"/>
    <n v="0"/>
  </r>
  <r>
    <x v="179"/>
    <x v="183"/>
    <x v="3"/>
    <x v="3"/>
    <n v="11003350.585805228"/>
    <n v="1.0000000000000002"/>
    <n v="11335346.509244515"/>
    <n v="0.99999999999999989"/>
    <n v="8169215"/>
    <n v="8169215"/>
    <n v="7732339"/>
    <n v="436876"/>
    <n v="5.6499850821336208"/>
    <n v="868.19271948177993"/>
    <n v="870.47432851295002"/>
  </r>
  <r>
    <x v="180"/>
    <x v="184"/>
    <x v="260"/>
    <x v="261"/>
    <n v="109298849.82999998"/>
    <n v="0.91414493418554221"/>
    <n v="115622808.23"/>
    <n v="0.91408769381281385"/>
    <m/>
    <n v="47005987"/>
    <n v="44617436"/>
    <n v="2388551"/>
    <n v="5.3534026473417251"/>
    <n v="6775"/>
    <n v="6860"/>
  </r>
  <r>
    <x v="180"/>
    <x v="184"/>
    <x v="21"/>
    <x v="22"/>
    <n v="10265177.429397166"/>
    <n v="8.5855065814457773E-2"/>
    <n v="10867034.060423773"/>
    <n v="8.5912306187186135E-2"/>
    <m/>
    <n v="4417949"/>
    <n v="4190400"/>
    <n v="227549"/>
    <n v="5.4302453226422296"/>
    <n v="404.00000000700004"/>
    <n v="418.00000000290004"/>
  </r>
  <r>
    <x v="180"/>
    <x v="1"/>
    <x v="2"/>
    <x v="18"/>
    <n v="0"/>
    <n v="0"/>
    <n v="0"/>
    <n v="0"/>
    <m/>
    <n v="0"/>
    <n v="0"/>
    <n v="0"/>
    <n v="0"/>
    <n v="0"/>
    <n v="0"/>
  </r>
  <r>
    <x v="180"/>
    <x v="1"/>
    <x v="2"/>
    <x v="2"/>
    <n v="0"/>
    <n v="0"/>
    <n v="0"/>
    <n v="0"/>
    <m/>
    <n v="0"/>
    <n v="0"/>
    <n v="0"/>
    <n v="0"/>
    <n v="0"/>
    <n v="0"/>
  </r>
  <r>
    <x v="180"/>
    <x v="184"/>
    <x v="3"/>
    <x v="3"/>
    <n v="119564027.25939715"/>
    <n v="1"/>
    <n v="126489842.29042378"/>
    <n v="1"/>
    <n v="51423936"/>
    <n v="51423936"/>
    <n v="48807836"/>
    <n v="2616100"/>
    <n v="5.3599999803310272"/>
    <n v="7179.0000000070004"/>
    <n v="7278.0000000029004"/>
  </r>
  <r>
    <x v="181"/>
    <x v="185"/>
    <x v="261"/>
    <x v="262"/>
    <n v="44333813.130000003"/>
    <n v="0.93303202336525981"/>
    <n v="45255834.980000012"/>
    <n v="0.9314150489855485"/>
    <m/>
    <n v="23019131"/>
    <n v="22002952"/>
    <n v="1016179"/>
    <n v="4.6183757524899383"/>
    <n v="3137"/>
    <n v="3086"/>
  </r>
  <r>
    <x v="181"/>
    <x v="185"/>
    <x v="58"/>
    <x v="59"/>
    <n v="3182040.5811050124"/>
    <n v="6.6967976634740162E-2"/>
    <n v="3332423.3150430457"/>
    <n v="6.8584951014451515E-2"/>
    <m/>
    <n v="1695019"/>
    <n v="1579252"/>
    <n v="115767"/>
    <n v="7.3304957030290288"/>
    <n v="157.8370144692"/>
    <n v="164.48306333381998"/>
  </r>
  <r>
    <x v="181"/>
    <x v="1"/>
    <x v="2"/>
    <x v="2"/>
    <n v="0"/>
    <n v="0"/>
    <n v="0"/>
    <n v="0"/>
    <m/>
    <n v="0"/>
    <n v="0"/>
    <n v="0"/>
    <n v="0"/>
    <n v="0"/>
    <n v="0"/>
  </r>
  <r>
    <x v="181"/>
    <x v="1"/>
    <x v="2"/>
    <x v="2"/>
    <n v="0"/>
    <n v="0"/>
    <n v="0"/>
    <n v="0"/>
    <m/>
    <n v="0"/>
    <n v="0"/>
    <n v="0"/>
    <n v="0"/>
    <n v="0"/>
    <n v="0"/>
  </r>
  <r>
    <x v="181"/>
    <x v="185"/>
    <x v="3"/>
    <x v="3"/>
    <n v="47515853.711105019"/>
    <n v="1"/>
    <n v="48588258.295043059"/>
    <n v="1"/>
    <n v="24714150"/>
    <n v="24714150"/>
    <n v="23582204"/>
    <n v="1131946"/>
    <n v="4.8000008820210356"/>
    <n v="3294.8370144691999"/>
    <n v="3250.4830633338202"/>
  </r>
  <r>
    <x v="182"/>
    <x v="186"/>
    <x v="262"/>
    <x v="263"/>
    <n v="49472.28"/>
    <n v="0.14914438746955561"/>
    <n v="33720.660000000003"/>
    <n v="7.9298773408193746E-2"/>
    <m/>
    <n v="22929"/>
    <n v="40815"/>
    <n v="-17886"/>
    <n v="-43.822124219037121"/>
    <n v="3"/>
    <n v="2"/>
  </r>
  <r>
    <x v="182"/>
    <x v="186"/>
    <x v="71"/>
    <x v="72"/>
    <n v="282235.00606933748"/>
    <n v="0.85085561253044428"/>
    <n v="391514.92121664126"/>
    <n v="0.92070122659180631"/>
    <m/>
    <n v="266219"/>
    <n v="232844"/>
    <n v="33375"/>
    <n v="14.333631100651079"/>
    <n v="19.170731705400001"/>
    <n v="25.031055903750001"/>
  </r>
  <r>
    <x v="182"/>
    <x v="1"/>
    <x v="2"/>
    <x v="2"/>
    <n v="0"/>
    <n v="0"/>
    <n v="0"/>
    <n v="0"/>
    <m/>
    <n v="0"/>
    <n v="0"/>
    <n v="0"/>
    <n v="0"/>
    <n v="0"/>
    <n v="0"/>
  </r>
  <r>
    <x v="182"/>
    <x v="1"/>
    <x v="2"/>
    <x v="2"/>
    <n v="0"/>
    <n v="0"/>
    <n v="0"/>
    <n v="0"/>
    <m/>
    <n v="0"/>
    <n v="0"/>
    <n v="0"/>
    <n v="0"/>
    <n v="0"/>
    <n v="0"/>
  </r>
  <r>
    <x v="182"/>
    <x v="186"/>
    <x v="3"/>
    <x v="3"/>
    <n v="331707.28606933751"/>
    <n v="0.99999999999999989"/>
    <n v="425235.58121664124"/>
    <n v="1"/>
    <n v="289148"/>
    <n v="289148"/>
    <n v="273659"/>
    <n v="15489"/>
    <n v="5.659963677423363"/>
    <n v="22.170731705400001"/>
    <n v="27.031055903750001"/>
  </r>
  <r>
    <x v="183"/>
    <x v="187"/>
    <x v="263"/>
    <x v="264"/>
    <n v="8542770.1967999991"/>
    <n v="0.51934102878122923"/>
    <n v="8701795.6002499983"/>
    <n v="0.52521494917249667"/>
    <m/>
    <n v="7178981"/>
    <n v="6914393"/>
    <n v="264588"/>
    <n v="3.8266265744512933"/>
    <n v="703"/>
    <n v="702"/>
  </r>
  <r>
    <x v="183"/>
    <x v="187"/>
    <x v="79"/>
    <x v="80"/>
    <n v="6920489.2346745217"/>
    <n v="0.42071762625097708"/>
    <n v="6776750.0965488404"/>
    <n v="0.4090248290147559"/>
    <m/>
    <n v="5590819"/>
    <n v="5601343"/>
    <n v="-10524"/>
    <n v="-0.18788351293609407"/>
    <n v="536.66542520330995"/>
    <n v="507.96694215383997"/>
  </r>
  <r>
    <x v="183"/>
    <x v="187"/>
    <x v="66"/>
    <x v="67"/>
    <n v="985990.14321797481"/>
    <n v="5.9941344967793582E-2"/>
    <n v="1089519.6523693989"/>
    <n v="6.5760221812747488E-2"/>
    <m/>
    <n v="898854"/>
    <n v="798046"/>
    <n v="100808"/>
    <n v="12.631853301689377"/>
    <n v="49.999999994520003"/>
    <n v="54.000000000629996"/>
  </r>
  <r>
    <x v="183"/>
    <x v="1"/>
    <x v="2"/>
    <x v="2"/>
    <n v="0"/>
    <n v="0"/>
    <n v="0"/>
    <n v="0"/>
    <m/>
    <n v="0"/>
    <n v="0"/>
    <n v="0"/>
    <n v="0"/>
    <n v="0"/>
    <n v="0"/>
  </r>
  <r>
    <x v="183"/>
    <x v="187"/>
    <x v="3"/>
    <x v="3"/>
    <n v="16449249.574692497"/>
    <n v="0.99999999999999989"/>
    <n v="16568065.349168237"/>
    <n v="1"/>
    <n v="13668654"/>
    <n v="13668654"/>
    <n v="13313782"/>
    <n v="354872"/>
    <n v="2.665448480379204"/>
    <n v="1289.66542519783"/>
    <n v="1263.96694215447"/>
  </r>
  <r>
    <x v="184"/>
    <x v="188"/>
    <x v="264"/>
    <x v="265"/>
    <n v="75437511.279999986"/>
    <n v="0.96172474359698923"/>
    <n v="79260184.288840011"/>
    <n v="0.9625941521141641"/>
    <m/>
    <n v="30457781"/>
    <n v="28632172"/>
    <n v="1825609"/>
    <n v="6.3760758352527356"/>
    <n v="4704"/>
    <n v="4680"/>
  </r>
  <r>
    <x v="184"/>
    <x v="188"/>
    <x v="54"/>
    <x v="55"/>
    <n v="3002304.0437201937"/>
    <n v="3.8275256403010646E-2"/>
    <n v="3080004.5797079019"/>
    <n v="3.7405847885835904E-2"/>
    <m/>
    <n v="1183572"/>
    <n v="1139519"/>
    <n v="44053"/>
    <n v="3.8659293965260781"/>
    <n v="158.99999999608002"/>
    <n v="158.99999999884"/>
  </r>
  <r>
    <x v="184"/>
    <x v="1"/>
    <x v="2"/>
    <x v="2"/>
    <n v="0"/>
    <n v="0"/>
    <n v="0"/>
    <n v="0"/>
    <m/>
    <n v="0"/>
    <n v="0"/>
    <n v="0"/>
    <n v="0"/>
    <n v="0"/>
    <n v="0"/>
  </r>
  <r>
    <x v="184"/>
    <x v="1"/>
    <x v="2"/>
    <x v="2"/>
    <n v="0"/>
    <n v="0"/>
    <n v="0"/>
    <n v="0"/>
    <m/>
    <n v="0"/>
    <n v="0"/>
    <n v="0"/>
    <n v="0"/>
    <n v="0"/>
    <n v="0"/>
  </r>
  <r>
    <x v="184"/>
    <x v="188"/>
    <x v="3"/>
    <x v="3"/>
    <n v="78439815.323720187"/>
    <n v="0.99999999999999989"/>
    <n v="82340188.868547916"/>
    <n v="1"/>
    <n v="31641353"/>
    <n v="31641353"/>
    <n v="29771691"/>
    <n v="1869662"/>
    <n v="6.2799993456871492"/>
    <n v="4862.9999999960801"/>
    <n v="4838.9999999988404"/>
  </r>
  <r>
    <x v="185"/>
    <x v="189"/>
    <x v="265"/>
    <x v="266"/>
    <n v="22434599.240000002"/>
    <n v="0.92740734033637073"/>
    <n v="23341579.899999999"/>
    <n v="0.92978229153553404"/>
    <m/>
    <n v="14332855"/>
    <n v="13581840"/>
    <n v="751015"/>
    <n v="5.5295526968363635"/>
    <n v="1638"/>
    <n v="1646"/>
  </r>
  <r>
    <x v="185"/>
    <x v="189"/>
    <x v="54"/>
    <x v="55"/>
    <n v="1756064.6293014532"/>
    <n v="7.2592659663629239E-2"/>
    <n v="1762769.9166128924"/>
    <n v="7.0217708464465914E-2"/>
    <m/>
    <n v="1082426"/>
    <n v="1063116"/>
    <n v="19310"/>
    <n v="1.81635870403606"/>
    <n v="92.99999999536"/>
    <n v="90.999999995449997"/>
  </r>
  <r>
    <x v="185"/>
    <x v="1"/>
    <x v="2"/>
    <x v="2"/>
    <n v="0"/>
    <n v="0"/>
    <n v="0"/>
    <n v="0"/>
    <m/>
    <n v="0"/>
    <n v="0"/>
    <n v="0"/>
    <n v="0"/>
    <n v="0"/>
    <n v="0"/>
  </r>
  <r>
    <x v="185"/>
    <x v="1"/>
    <x v="2"/>
    <x v="2"/>
    <n v="0"/>
    <n v="0"/>
    <n v="0"/>
    <n v="0"/>
    <m/>
    <n v="0"/>
    <n v="0"/>
    <n v="0"/>
    <n v="0"/>
    <n v="0"/>
    <n v="0"/>
  </r>
  <r>
    <x v="185"/>
    <x v="189"/>
    <x v="3"/>
    <x v="3"/>
    <n v="24190663.869301457"/>
    <n v="1"/>
    <n v="25104349.816612892"/>
    <n v="1"/>
    <n v="15415281"/>
    <n v="15415281"/>
    <n v="14644956"/>
    <n v="770325"/>
    <n v="5.2600021468142346"/>
    <n v="1730.99999999536"/>
    <n v="1736.99999999545"/>
  </r>
  <r>
    <x v="186"/>
    <x v="190"/>
    <x v="266"/>
    <x v="267"/>
    <n v="14054851.192480003"/>
    <n v="0.93794278208466708"/>
    <n v="14399304.707199998"/>
    <n v="0.9419635504465772"/>
    <m/>
    <n v="11879426"/>
    <n v="11047181"/>
    <n v="832245"/>
    <n v="7.5335508669587288"/>
    <n v="1089"/>
    <n v="1086"/>
  </r>
  <r>
    <x v="186"/>
    <x v="190"/>
    <x v="166"/>
    <x v="167"/>
    <n v="779225.98146012693"/>
    <n v="5.2001218292116506E-2"/>
    <n v="710981.11059299647"/>
    <n v="4.6510460390476654E-2"/>
    <m/>
    <n v="586559"/>
    <n v="612475"/>
    <n v="-25916"/>
    <n v="-4.2313563818931383"/>
    <n v="38.000000000050001"/>
    <n v="34.000000000920004"/>
  </r>
  <r>
    <x v="186"/>
    <x v="190"/>
    <x v="39"/>
    <x v="40"/>
    <n v="150686.780681665"/>
    <n v="1.0055999623216504E-2"/>
    <n v="176191.77507501398"/>
    <n v="1.1525989162946029E-2"/>
    <m/>
    <n v="145358"/>
    <n v="118441"/>
    <n v="26917"/>
    <n v="22.726083028680947"/>
    <n v="7.00000000007"/>
    <n v="8.0000000009600001"/>
  </r>
  <r>
    <x v="186"/>
    <x v="1"/>
    <x v="2"/>
    <x v="2"/>
    <n v="0"/>
    <n v="0"/>
    <n v="0"/>
    <n v="0"/>
    <m/>
    <n v="0"/>
    <n v="0"/>
    <n v="0"/>
    <n v="0"/>
    <n v="0"/>
    <n v="0"/>
  </r>
  <r>
    <x v="186"/>
    <x v="190"/>
    <x v="3"/>
    <x v="3"/>
    <n v="14984763.954621794"/>
    <n v="1"/>
    <n v="15286477.59286801"/>
    <n v="0.99999999999999989"/>
    <n v="12611344"/>
    <n v="12611343"/>
    <n v="11778097"/>
    <n v="833246"/>
    <n v="7.0745384419910957"/>
    <n v="1134.0000000001201"/>
    <n v="1128.0000000018799"/>
  </r>
  <r>
    <x v="187"/>
    <x v="191"/>
    <x v="267"/>
    <x v="268"/>
    <n v="98944.56"/>
    <n v="1.6538994410030258E-2"/>
    <n v="84301.650000000009"/>
    <n v="1.3648829402445932E-2"/>
    <m/>
    <n v="40692"/>
    <n v="47019"/>
    <n v="-6327"/>
    <n v="-13.456262362023862"/>
    <n v="6"/>
    <n v="5"/>
  </r>
  <r>
    <x v="187"/>
    <x v="191"/>
    <x v="69"/>
    <x v="70"/>
    <n v="5392614.2090010587"/>
    <n v="0.90139787632708912"/>
    <n v="5588524.5398483621"/>
    <n v="0.90480812719291903"/>
    <m/>
    <n v="2697544"/>
    <n v="2562580"/>
    <n v="134964"/>
    <n v="5.2667233803432474"/>
    <n v="401.35330451046002"/>
    <n v="402.92633517065997"/>
  </r>
  <r>
    <x v="187"/>
    <x v="191"/>
    <x v="54"/>
    <x v="55"/>
    <n v="490942.79953408649"/>
    <n v="8.2063129262880771E-2"/>
    <n v="503648.54760368349"/>
    <n v="8.154304340463496E-2"/>
    <m/>
    <n v="243108"/>
    <n v="233297"/>
    <n v="9811"/>
    <n v="4.2053691217632458"/>
    <n v="25.99999999576"/>
    <n v="25.999999998699998"/>
  </r>
  <r>
    <x v="187"/>
    <x v="1"/>
    <x v="2"/>
    <x v="2"/>
    <n v="0"/>
    <n v="0"/>
    <n v="0"/>
    <n v="0"/>
    <m/>
    <n v="0"/>
    <n v="0"/>
    <n v="0"/>
    <n v="0"/>
    <n v="0"/>
    <n v="0"/>
  </r>
  <r>
    <x v="187"/>
    <x v="191"/>
    <x v="3"/>
    <x v="3"/>
    <n v="5982501.5685351444"/>
    <n v="1.0000000000000002"/>
    <n v="6176474.737452046"/>
    <n v="0.99999999999999989"/>
    <n v="2981344"/>
    <n v="2981344"/>
    <n v="2842896"/>
    <n v="138448"/>
    <n v="4.8699635864273612"/>
    <n v="433.35330450622001"/>
    <n v="433.92633516935996"/>
  </r>
  <r>
    <x v="188"/>
    <x v="192"/>
    <x v="268"/>
    <x v="269"/>
    <n v="53957475.515560001"/>
    <n v="0.97674112238927147"/>
    <n v="55677434.427500002"/>
    <n v="0.98314629365319728"/>
    <m/>
    <n v="44754901"/>
    <n v="42281594"/>
    <n v="2473307"/>
    <n v="5.8496068052685048"/>
    <n v="4294"/>
    <n v="4303"/>
  </r>
  <r>
    <x v="188"/>
    <x v="192"/>
    <x v="38"/>
    <x v="39"/>
    <n v="1112661.607590846"/>
    <n v="2.0141460234260458E-2"/>
    <n v="756241.5256449501"/>
    <n v="1.3353633490648898E-2"/>
    <m/>
    <n v="607886"/>
    <n v="871892"/>
    <n v="-264006"/>
    <n v="-30.279667665261293"/>
    <n v="51.000000004500002"/>
    <n v="33.99999999584"/>
  </r>
  <r>
    <x v="188"/>
    <x v="192"/>
    <x v="39"/>
    <x v="40"/>
    <n v="172213.46363618856"/>
    <n v="3.117417376468026E-3"/>
    <n v="198215.74693208101"/>
    <n v="3.5000728561537945E-3"/>
    <m/>
    <n v="159331"/>
    <n v="134948"/>
    <n v="24383"/>
    <n v="18.068441177342383"/>
    <n v="8.00000000008"/>
    <n v="8.99999999984"/>
  </r>
  <r>
    <x v="188"/>
    <x v="1"/>
    <x v="2"/>
    <x v="2"/>
    <n v="0"/>
    <n v="0"/>
    <n v="0"/>
    <n v="0"/>
    <m/>
    <n v="0"/>
    <n v="0"/>
    <n v="0"/>
    <n v="0"/>
    <n v="0"/>
    <n v="0"/>
  </r>
  <r>
    <x v="188"/>
    <x v="192"/>
    <x v="3"/>
    <x v="3"/>
    <n v="55242350.586787038"/>
    <n v="0.99999999999999989"/>
    <n v="56631891.700077035"/>
    <n v="1"/>
    <n v="45522117"/>
    <n v="45522118"/>
    <n v="43288434"/>
    <n v="2233684"/>
    <n v="5.1600018610051821"/>
    <n v="4353.0000000045802"/>
    <n v="4345.9999999956799"/>
  </r>
  <r>
    <x v="189"/>
    <x v="193"/>
    <x v="269"/>
    <x v="270"/>
    <n v="203019.31000000003"/>
    <n v="0.65743436153445745"/>
    <n v="215323.09999999998"/>
    <n v="0.83081413632704904"/>
    <m/>
    <n v="98797"/>
    <n v="74223"/>
    <n v="24574"/>
    <n v="33.10833569109306"/>
    <n v="18"/>
    <n v="19"/>
  </r>
  <r>
    <x v="189"/>
    <x v="193"/>
    <x v="12"/>
    <x v="12"/>
    <n v="105786.13413004395"/>
    <n v="0.34256563846554261"/>
    <n v="43848.10398543426"/>
    <n v="0.16918586367295105"/>
    <m/>
    <n v="20119"/>
    <n v="38675"/>
    <n v="-18556"/>
    <n v="-47.979314802844215"/>
    <n v="4.99999999992"/>
    <n v="1.9999999989700001"/>
  </r>
  <r>
    <x v="189"/>
    <x v="1"/>
    <x v="2"/>
    <x v="2"/>
    <n v="0"/>
    <n v="0"/>
    <n v="0"/>
    <n v="0"/>
    <m/>
    <n v="0"/>
    <n v="0"/>
    <n v="0"/>
    <n v="0"/>
    <n v="0"/>
    <n v="0"/>
  </r>
  <r>
    <x v="189"/>
    <x v="1"/>
    <x v="2"/>
    <x v="2"/>
    <n v="0"/>
    <n v="0"/>
    <n v="0"/>
    <n v="0"/>
    <m/>
    <n v="0"/>
    <n v="0"/>
    <n v="0"/>
    <n v="0"/>
    <n v="0"/>
    <n v="0"/>
  </r>
  <r>
    <x v="189"/>
    <x v="193"/>
    <x v="3"/>
    <x v="3"/>
    <n v="308805.44413004396"/>
    <n v="1"/>
    <n v="259171.20398543423"/>
    <n v="1"/>
    <n v="118916"/>
    <n v="118916"/>
    <n v="112898"/>
    <n v="6018"/>
    <n v="5.3304752962851421"/>
    <n v="22.99999999992"/>
    <n v="20.999999998970001"/>
  </r>
  <r>
    <x v="190"/>
    <x v="194"/>
    <x v="270"/>
    <x v="271"/>
    <n v="11361547.17"/>
    <n v="0.86563021396658124"/>
    <n v="11739604.360000001"/>
    <n v="0.85279447657535334"/>
    <m/>
    <n v="6544648"/>
    <n v="6395027"/>
    <n v="149621"/>
    <n v="2.3396461031360776"/>
    <n v="810"/>
    <n v="811"/>
  </r>
  <r>
    <x v="190"/>
    <x v="194"/>
    <x v="52"/>
    <x v="53"/>
    <n v="1763626.8207944422"/>
    <n v="0.13436978603341876"/>
    <n v="2026437.3797915494"/>
    <n v="0.14720552342464671"/>
    <m/>
    <n v="1129707"/>
    <n v="992685"/>
    <n v="137022"/>
    <n v="13.803170189939406"/>
    <n v="82.999999998299998"/>
    <n v="92.999999997800003"/>
  </r>
  <r>
    <x v="190"/>
    <x v="1"/>
    <x v="2"/>
    <x v="2"/>
    <n v="0"/>
    <n v="0"/>
    <n v="0"/>
    <n v="0"/>
    <m/>
    <n v="0"/>
    <n v="0"/>
    <n v="0"/>
    <n v="0"/>
    <n v="0"/>
    <n v="0"/>
  </r>
  <r>
    <x v="190"/>
    <x v="1"/>
    <x v="2"/>
    <x v="2"/>
    <n v="0"/>
    <n v="0"/>
    <n v="0"/>
    <n v="0"/>
    <m/>
    <n v="0"/>
    <n v="0"/>
    <n v="0"/>
    <n v="0"/>
    <n v="0"/>
    <n v="0"/>
  </r>
  <r>
    <x v="190"/>
    <x v="194"/>
    <x v="3"/>
    <x v="3"/>
    <n v="13125173.990794443"/>
    <n v="1"/>
    <n v="13766041.73979155"/>
    <n v="1"/>
    <n v="7674355"/>
    <n v="7674355"/>
    <n v="7387712"/>
    <n v="286643"/>
    <n v="3.8799969462805262"/>
    <n v="892.99999999830004"/>
    <n v="903.99999999780005"/>
  </r>
  <r>
    <x v="191"/>
    <x v="195"/>
    <x v="271"/>
    <x v="272"/>
    <n v="16490.760000000002"/>
    <n v="1.1053031578592482E-3"/>
    <n v="16860.330000000002"/>
    <n v="1.110039109231584E-3"/>
    <m/>
    <n v="7814"/>
    <n v="7445"/>
    <n v="369"/>
    <n v="4.9563465413028878"/>
    <n v="1"/>
    <n v="1"/>
  </r>
  <r>
    <x v="191"/>
    <x v="195"/>
    <x v="173"/>
    <x v="174"/>
    <n v="12916825.025177138"/>
    <n v="0.86575800568582961"/>
    <n v="13554678.048907578"/>
    <n v="0.89240381103633626"/>
    <m/>
    <n v="6282094"/>
    <n v="5831520"/>
    <n v="450574"/>
    <n v="7.7265275605673995"/>
    <n v="842.10455486415003"/>
    <n v="838.02507837020005"/>
  </r>
  <r>
    <x v="191"/>
    <x v="195"/>
    <x v="64"/>
    <x v="65"/>
    <n v="1986355.6938579136"/>
    <n v="0.13313669115631116"/>
    <n v="1617412.9470249249"/>
    <n v="0.10648614985443218"/>
    <m/>
    <n v="749611"/>
    <n v="896774"/>
    <n v="-147163"/>
    <n v="-16.410266131712113"/>
    <n v="92.999999999200014"/>
    <n v="74.000000000899988"/>
  </r>
  <r>
    <x v="191"/>
    <x v="1"/>
    <x v="2"/>
    <x v="2"/>
    <n v="0"/>
    <n v="0"/>
    <n v="0"/>
    <n v="0"/>
    <m/>
    <n v="0"/>
    <n v="0"/>
    <n v="0"/>
    <n v="0"/>
    <n v="0"/>
    <n v="0"/>
  </r>
  <r>
    <x v="191"/>
    <x v="195"/>
    <x v="3"/>
    <x v="3"/>
    <n v="14919671.479035052"/>
    <n v="1"/>
    <n v="15188951.325932503"/>
    <n v="1"/>
    <n v="7039520"/>
    <n v="7039519"/>
    <n v="6735739"/>
    <n v="303780"/>
    <n v="4.5099728478196672"/>
    <n v="936.10455486335002"/>
    <n v="913.02507837109999"/>
  </r>
  <r>
    <x v="192"/>
    <x v="196"/>
    <x v="272"/>
    <x v="273"/>
    <n v="0"/>
    <n v="0"/>
    <n v="0"/>
    <n v="0"/>
    <m/>
    <n v="0"/>
    <n v="0"/>
    <n v="0"/>
    <n v="0"/>
    <n v="0"/>
    <n v="0"/>
  </r>
  <r>
    <x v="192"/>
    <x v="196"/>
    <x v="15"/>
    <x v="15"/>
    <n v="1071299.8930136755"/>
    <n v="1"/>
    <n v="1213819.9337935641"/>
    <n v="1"/>
    <m/>
    <n v="1001401"/>
    <n v="883822"/>
    <n v="117579"/>
    <n v="13.303470608335163"/>
    <n v="74.684210523600001"/>
    <n v="83.402756509180008"/>
  </r>
  <r>
    <x v="192"/>
    <x v="1"/>
    <x v="2"/>
    <x v="2"/>
    <n v="0"/>
    <n v="0"/>
    <n v="0"/>
    <n v="0"/>
    <m/>
    <n v="0"/>
    <n v="0"/>
    <n v="0"/>
    <n v="0"/>
    <n v="0"/>
    <n v="0"/>
  </r>
  <r>
    <x v="192"/>
    <x v="1"/>
    <x v="2"/>
    <x v="2"/>
    <n v="0"/>
    <n v="0"/>
    <n v="0"/>
    <n v="0"/>
    <m/>
    <n v="0"/>
    <n v="0"/>
    <n v="0"/>
    <n v="0"/>
    <n v="0"/>
    <n v="0"/>
  </r>
  <r>
    <x v="192"/>
    <x v="196"/>
    <x v="3"/>
    <x v="3"/>
    <n v="1071299.8930136755"/>
    <n v="1"/>
    <n v="1213819.9337935641"/>
    <n v="1"/>
    <n v="1001401"/>
    <n v="1001401"/>
    <n v="883822"/>
    <n v="117579"/>
    <n v="13.303470608335163"/>
    <n v="74.684210523600001"/>
    <n v="83.402756509180008"/>
  </r>
  <r>
    <x v="193"/>
    <x v="197"/>
    <x v="273"/>
    <x v="274"/>
    <n v="49472.28"/>
    <n v="4.5823363196205301E-2"/>
    <n v="84301.650000000009"/>
    <n v="7.7114184969414967E-2"/>
    <m/>
    <n v="65350"/>
    <n v="37079"/>
    <n v="28271"/>
    <n v="76.245314059170965"/>
    <n v="3"/>
    <n v="5"/>
  </r>
  <r>
    <x v="193"/>
    <x v="197"/>
    <x v="71"/>
    <x v="72"/>
    <n v="1030157.77221094"/>
    <n v="0.95417663680379472"/>
    <n v="1008903.8352610546"/>
    <n v="0.92288581503058509"/>
    <m/>
    <n v="782099"/>
    <n v="772096"/>
    <n v="10003"/>
    <n v="1.2955642821618036"/>
    <n v="69.97317072864"/>
    <n v="64.503105586499998"/>
  </r>
  <r>
    <x v="193"/>
    <x v="1"/>
    <x v="2"/>
    <x v="2"/>
    <n v="0"/>
    <n v="0"/>
    <n v="0"/>
    <n v="0"/>
    <m/>
    <n v="0"/>
    <n v="0"/>
    <n v="0"/>
    <n v="0"/>
    <n v="0"/>
    <n v="0"/>
  </r>
  <r>
    <x v="193"/>
    <x v="1"/>
    <x v="2"/>
    <x v="2"/>
    <n v="0"/>
    <n v="0"/>
    <n v="0"/>
    <n v="0"/>
    <m/>
    <n v="0"/>
    <n v="0"/>
    <n v="0"/>
    <n v="0"/>
    <n v="0"/>
    <n v="0"/>
  </r>
  <r>
    <x v="193"/>
    <x v="197"/>
    <x v="3"/>
    <x v="3"/>
    <n v="1079630.05221094"/>
    <n v="1"/>
    <n v="1093205.4852610545"/>
    <n v="1"/>
    <n v="847449"/>
    <n v="847449"/>
    <n v="809175"/>
    <n v="38274"/>
    <n v="4.7300027806098806"/>
    <n v="72.97317072864"/>
    <n v="69.503105586499998"/>
  </r>
  <r>
    <x v="194"/>
    <x v="198"/>
    <x v="274"/>
    <x v="275"/>
    <n v="78957.830000000016"/>
    <n v="1"/>
    <n v="71641.610000000015"/>
    <n v="1"/>
    <m/>
    <n v="59104"/>
    <n v="65140"/>
    <n v="-6036"/>
    <n v="-9.2661958857844642"/>
    <n v="8"/>
    <n v="7"/>
  </r>
  <r>
    <x v="194"/>
    <x v="1"/>
    <x v="2"/>
    <x v="2"/>
    <n v="0"/>
    <n v="0"/>
    <n v="0"/>
    <n v="0"/>
    <m/>
    <n v="0"/>
    <n v="0"/>
    <n v="0"/>
    <n v="0"/>
    <n v="0"/>
    <n v="0"/>
  </r>
  <r>
    <x v="194"/>
    <x v="1"/>
    <x v="2"/>
    <x v="2"/>
    <n v="0"/>
    <n v="0"/>
    <n v="0"/>
    <n v="0"/>
    <m/>
    <n v="0"/>
    <n v="0"/>
    <n v="0"/>
    <n v="0"/>
    <n v="0"/>
    <n v="0"/>
  </r>
  <r>
    <x v="194"/>
    <x v="1"/>
    <x v="2"/>
    <x v="2"/>
    <n v="0"/>
    <n v="0"/>
    <n v="0"/>
    <n v="0"/>
    <m/>
    <n v="0"/>
    <n v="0"/>
    <n v="0"/>
    <n v="0"/>
    <n v="0"/>
    <n v="0"/>
  </r>
  <r>
    <x v="194"/>
    <x v="198"/>
    <x v="3"/>
    <x v="3"/>
    <n v="78957.830000000016"/>
    <n v="1"/>
    <n v="71641.610000000015"/>
    <n v="1"/>
    <n v="59104"/>
    <n v="59104"/>
    <n v="65140"/>
    <n v="-6036"/>
    <n v="-9.2661958857844642"/>
    <n v="8"/>
    <n v="7"/>
  </r>
  <r>
    <x v="195"/>
    <x v="199"/>
    <x v="275"/>
    <x v="276"/>
    <n v="2954392.4200000004"/>
    <n v="0.9374290436033369"/>
    <n v="2904538.0700000003"/>
    <n v="0.91136883749380126"/>
    <m/>
    <n v="2396244"/>
    <n v="2437374"/>
    <n v="-41130"/>
    <n v="-1.6874718446984336"/>
    <n v="248"/>
    <n v="238"/>
  </r>
  <r>
    <x v="195"/>
    <x v="199"/>
    <x v="66"/>
    <x v="67"/>
    <n v="197198.02853545154"/>
    <n v="6.2570956396663061E-2"/>
    <n v="282468.05804281391"/>
    <n v="8.8631162506198735E-2"/>
    <m/>
    <n v="233036"/>
    <n v="162688"/>
    <n v="70348"/>
    <n v="43.241050354051929"/>
    <n v="9.9999999934199995"/>
    <n v="14.000000001210001"/>
  </r>
  <r>
    <x v="195"/>
    <x v="1"/>
    <x v="2"/>
    <x v="18"/>
    <n v="0"/>
    <n v="0"/>
    <n v="0"/>
    <n v="0"/>
    <m/>
    <n v="0"/>
    <n v="0"/>
    <n v="0"/>
    <n v="0"/>
    <n v="0"/>
    <n v="0"/>
  </r>
  <r>
    <x v="195"/>
    <x v="1"/>
    <x v="2"/>
    <x v="2"/>
    <n v="0"/>
    <n v="0"/>
    <n v="0"/>
    <n v="0"/>
    <m/>
    <n v="0"/>
    <n v="0"/>
    <n v="0"/>
    <n v="0"/>
    <n v="0"/>
    <n v="0"/>
  </r>
  <r>
    <x v="195"/>
    <x v="199"/>
    <x v="3"/>
    <x v="3"/>
    <n v="3151590.4485354521"/>
    <n v="1"/>
    <n v="3187006.1280428143"/>
    <n v="1"/>
    <n v="2629280"/>
    <n v="2629280"/>
    <n v="2600062"/>
    <n v="29218"/>
    <n v="1.1237424338342701"/>
    <n v="257.99999999341998"/>
    <n v="252.00000000121"/>
  </r>
  <r>
    <x v="196"/>
    <x v="200"/>
    <x v="276"/>
    <x v="277"/>
    <n v="25201462.489999998"/>
    <n v="1"/>
    <n v="25535123.509999998"/>
    <n v="1"/>
    <m/>
    <n v="21066477"/>
    <n v="20791207"/>
    <n v="275270"/>
    <n v="1.3239731584606897"/>
    <n v="1713"/>
    <n v="1668"/>
  </r>
  <r>
    <x v="196"/>
    <x v="1"/>
    <x v="2"/>
    <x v="2"/>
    <n v="0"/>
    <n v="0"/>
    <n v="0"/>
    <n v="0"/>
    <m/>
    <n v="0"/>
    <n v="0"/>
    <n v="0"/>
    <n v="0"/>
    <n v="0"/>
    <n v="0"/>
  </r>
  <r>
    <x v="196"/>
    <x v="1"/>
    <x v="2"/>
    <x v="2"/>
    <n v="0"/>
    <n v="0"/>
    <n v="0"/>
    <n v="0"/>
    <m/>
    <n v="0"/>
    <n v="0"/>
    <n v="0"/>
    <n v="0"/>
    <n v="0"/>
    <n v="0"/>
  </r>
  <r>
    <x v="196"/>
    <x v="1"/>
    <x v="2"/>
    <x v="2"/>
    <n v="0"/>
    <n v="0"/>
    <n v="0"/>
    <n v="0"/>
    <m/>
    <n v="0"/>
    <n v="0"/>
    <n v="0"/>
    <n v="0"/>
    <n v="0"/>
    <n v="0"/>
  </r>
  <r>
    <x v="196"/>
    <x v="200"/>
    <x v="3"/>
    <x v="3"/>
    <n v="25201462.489999998"/>
    <n v="1"/>
    <n v="25535123.509999998"/>
    <n v="1"/>
    <n v="21066477"/>
    <n v="21066477"/>
    <n v="20791207"/>
    <n v="275270"/>
    <n v="1.3239731584606897"/>
    <n v="1713"/>
    <n v="1668"/>
  </r>
  <r>
    <x v="197"/>
    <x v="201"/>
    <x v="277"/>
    <x v="278"/>
    <n v="65231071.033819996"/>
    <n v="0.98409513057614495"/>
    <n v="67714131.173480004"/>
    <n v="0.97920815614991985"/>
    <m/>
    <n v="54650974"/>
    <n v="52065336"/>
    <n v="2585638"/>
    <n v="4.9661410040645855"/>
    <n v="5309"/>
    <n v="5293"/>
  </r>
  <r>
    <x v="197"/>
    <x v="201"/>
    <x v="31"/>
    <x v="32"/>
    <n v="1054259.5272915491"/>
    <n v="1.5904869423855071E-2"/>
    <n v="1437796.073246029"/>
    <n v="2.0791843850080125E-2"/>
    <m/>
    <n v="1160422"/>
    <n v="841476"/>
    <n v="318946"/>
    <n v="37.903160636785842"/>
    <n v="46.164677802630003"/>
    <n v="61.211316400520005"/>
  </r>
  <r>
    <x v="197"/>
    <x v="1"/>
    <x v="2"/>
    <x v="2"/>
    <n v="0"/>
    <n v="0"/>
    <n v="0"/>
    <n v="0"/>
    <m/>
    <n v="0"/>
    <n v="0"/>
    <n v="0"/>
    <n v="0"/>
    <n v="0"/>
    <n v="0"/>
  </r>
  <r>
    <x v="197"/>
    <x v="1"/>
    <x v="2"/>
    <x v="2"/>
    <n v="0"/>
    <n v="0"/>
    <n v="0"/>
    <n v="0"/>
    <m/>
    <n v="0"/>
    <n v="0"/>
    <n v="0"/>
    <n v="0"/>
    <n v="0"/>
    <n v="0"/>
  </r>
  <r>
    <x v="197"/>
    <x v="201"/>
    <x v="3"/>
    <x v="3"/>
    <n v="66285330.561111547"/>
    <n v="1"/>
    <n v="69151927.246726036"/>
    <n v="1"/>
    <n v="55811396"/>
    <n v="55811396"/>
    <n v="52906812"/>
    <n v="2904584"/>
    <n v="5.4900000400704547"/>
    <n v="5355.1646778026297"/>
    <n v="5354.2113164005204"/>
  </r>
  <r>
    <x v="198"/>
    <x v="202"/>
    <x v="278"/>
    <x v="279"/>
    <n v="70773642.887999997"/>
    <n v="0.98833630619020385"/>
    <n v="72809517.784119993"/>
    <n v="0.98640375500457955"/>
    <m/>
    <n v="60067852"/>
    <n v="57461187"/>
    <n v="2606665"/>
    <n v="4.5363925391934563"/>
    <n v="5558"/>
    <n v="5582"/>
  </r>
  <r>
    <x v="198"/>
    <x v="202"/>
    <x v="6"/>
    <x v="6"/>
    <n v="813697.21328331891"/>
    <n v="1.136307904068698E-2"/>
    <n v="981557.00273758348"/>
    <n v="1.3297870151017027E-2"/>
    <m/>
    <n v="809785"/>
    <n v="660642"/>
    <n v="149143"/>
    <n v="22.575464472437417"/>
    <n v="39.00000000216"/>
    <n v="47.000000003219995"/>
  </r>
  <r>
    <x v="198"/>
    <x v="202"/>
    <x v="39"/>
    <x v="40"/>
    <n v="21526.682954523571"/>
    <n v="3.0061476910931805E-4"/>
    <n v="22023.971857067027"/>
    <n v="2.9837484440343721E-4"/>
    <m/>
    <n v="18170"/>
    <n v="17478"/>
    <n v="692"/>
    <n v="3.9592630735782124"/>
    <n v="1.00000000001"/>
    <n v="0.99999999888000002"/>
  </r>
  <r>
    <x v="198"/>
    <x v="1"/>
    <x v="2"/>
    <x v="2"/>
    <n v="0"/>
    <n v="0"/>
    <n v="0"/>
    <n v="0"/>
    <m/>
    <n v="0"/>
    <n v="0"/>
    <n v="0"/>
    <n v="0"/>
    <n v="0"/>
    <n v="0"/>
  </r>
  <r>
    <x v="198"/>
    <x v="202"/>
    <x v="3"/>
    <x v="3"/>
    <n v="71608866.784237832"/>
    <n v="1.0000000000000002"/>
    <n v="73813098.758714646"/>
    <n v="1"/>
    <n v="60895806"/>
    <n v="60895807"/>
    <n v="58139307"/>
    <n v="2756500"/>
    <n v="4.7411985836019683"/>
    <n v="5598.0000000021701"/>
    <n v="5630.0000000021"/>
  </r>
  <r>
    <x v="199"/>
    <x v="203"/>
    <x v="279"/>
    <x v="280"/>
    <n v="223427.56"/>
    <n v="1"/>
    <n v="183449.93"/>
    <n v="1"/>
    <m/>
    <n v="151346"/>
    <n v="184328"/>
    <n v="-32982"/>
    <n v="-17.893103597934118"/>
    <n v="19"/>
    <n v="15"/>
  </r>
  <r>
    <x v="199"/>
    <x v="1"/>
    <x v="2"/>
    <x v="2"/>
    <n v="0"/>
    <n v="0"/>
    <n v="0"/>
    <n v="0"/>
    <m/>
    <n v="0"/>
    <n v="0"/>
    <n v="0"/>
    <n v="0"/>
    <n v="0"/>
    <n v="0"/>
  </r>
  <r>
    <x v="199"/>
    <x v="1"/>
    <x v="2"/>
    <x v="2"/>
    <n v="0"/>
    <n v="0"/>
    <n v="0"/>
    <n v="0"/>
    <m/>
    <n v="0"/>
    <n v="0"/>
    <n v="0"/>
    <n v="0"/>
    <n v="0"/>
    <n v="0"/>
  </r>
  <r>
    <x v="199"/>
    <x v="1"/>
    <x v="2"/>
    <x v="2"/>
    <n v="0"/>
    <n v="0"/>
    <n v="0"/>
    <n v="0"/>
    <m/>
    <n v="0"/>
    <n v="0"/>
    <n v="0"/>
    <n v="0"/>
    <n v="0"/>
    <n v="0"/>
  </r>
  <r>
    <x v="199"/>
    <x v="203"/>
    <x v="3"/>
    <x v="3"/>
    <n v="223427.56"/>
    <n v="1"/>
    <n v="183449.93"/>
    <n v="1"/>
    <n v="151346"/>
    <n v="151346"/>
    <n v="184328"/>
    <n v="-32982"/>
    <n v="-17.893103597934118"/>
    <n v="19"/>
    <n v="15"/>
  </r>
  <r>
    <x v="200"/>
    <x v="204"/>
    <x v="280"/>
    <x v="281"/>
    <n v="259908138.25999999"/>
    <n v="0.87686156782804758"/>
    <n v="274431862.38999999"/>
    <n v="0.87537788987476073"/>
    <m/>
    <n v="38100672"/>
    <n v="35809016"/>
    <n v="2291656"/>
    <n v="6.3996620292498401"/>
    <n v="14148"/>
    <n v="14110"/>
  </r>
  <r>
    <x v="200"/>
    <x v="204"/>
    <x v="128"/>
    <x v="129"/>
    <n v="35379192.734479904"/>
    <n v="0.11936007320637687"/>
    <n v="37839151.790461376"/>
    <n v="0.12069865561715418"/>
    <m/>
    <n v="5253388"/>
    <n v="4874392"/>
    <n v="378996"/>
    <n v="7.7752466358881271"/>
    <n v="1602.0000000074401"/>
    <n v="1664.9999999928"/>
  </r>
  <r>
    <x v="200"/>
    <x v="204"/>
    <x v="9"/>
    <x v="9"/>
    <n v="1119933.043539769"/>
    <n v="3.7783589655755439E-3"/>
    <n v="1230006.994819456"/>
    <n v="3.923454508085158E-3"/>
    <m/>
    <n v="170768"/>
    <n v="154300"/>
    <n v="16468"/>
    <n v="10.672715489306546"/>
    <n v="55.000000000390003"/>
    <n v="58.999999998380005"/>
  </r>
  <r>
    <x v="200"/>
    <x v="1"/>
    <x v="2"/>
    <x v="2"/>
    <n v="0"/>
    <n v="0"/>
    <n v="0"/>
    <n v="0"/>
    <m/>
    <n v="0"/>
    <n v="0"/>
    <n v="0"/>
    <n v="0"/>
    <n v="0"/>
    <n v="0"/>
  </r>
  <r>
    <x v="200"/>
    <x v="204"/>
    <x v="3"/>
    <x v="3"/>
    <n v="296407264.03801966"/>
    <n v="1"/>
    <n v="313501021.17528081"/>
    <n v="1"/>
    <n v="43524828"/>
    <n v="43524828"/>
    <n v="40837708"/>
    <n v="2687120"/>
    <n v="6.5799970948418558"/>
    <n v="15805.000000007829"/>
    <n v="15833.99999999118"/>
  </r>
  <r>
    <x v="201"/>
    <x v="205"/>
    <x v="281"/>
    <x v="282"/>
    <n v="32981.520000000004"/>
    <n v="1.8437372938231784E-2"/>
    <n v="16860.330000000002"/>
    <n v="9.8535195295767937E-3"/>
    <m/>
    <n v="11115"/>
    <n v="19885"/>
    <n v="-8770"/>
    <n v="-44.103595675132006"/>
    <n v="2"/>
    <n v="1"/>
  </r>
  <r>
    <x v="201"/>
    <x v="205"/>
    <x v="46"/>
    <x v="47"/>
    <n v="1585870.8839119067"/>
    <n v="0.88653563930853108"/>
    <n v="1476340.4102488942"/>
    <n v="0.86280334161258365"/>
    <m/>
    <n v="973282"/>
    <n v="956165"/>
    <n v="17117"/>
    <n v="1.7901721983130527"/>
    <n v="114.42246520483"/>
    <n v="102.90899950372"/>
  </r>
  <r>
    <x v="201"/>
    <x v="205"/>
    <x v="52"/>
    <x v="53"/>
    <n v="169988.12724692444"/>
    <n v="9.5026987753237119E-2"/>
    <n v="217896.4925105508"/>
    <n v="0.12734313885783941"/>
    <m/>
    <n v="143649"/>
    <n v="102491"/>
    <n v="41158"/>
    <n v="40.157672380989553"/>
    <n v="7.9999999970799998"/>
    <n v="10.000000002510001"/>
  </r>
  <r>
    <x v="201"/>
    <x v="1"/>
    <x v="2"/>
    <x v="2"/>
    <n v="0"/>
    <n v="0"/>
    <n v="0"/>
    <n v="0"/>
    <m/>
    <n v="0"/>
    <n v="0"/>
    <n v="0"/>
    <n v="0"/>
    <n v="0"/>
    <n v="0"/>
  </r>
  <r>
    <x v="201"/>
    <x v="205"/>
    <x v="3"/>
    <x v="3"/>
    <n v="1788840.5311588312"/>
    <n v="1"/>
    <n v="1711097.2327594452"/>
    <n v="0.99999999999999989"/>
    <n v="1128046"/>
    <n v="1128046"/>
    <n v="1078541"/>
    <n v="49505"/>
    <n v="4.5899970423006637"/>
    <n v="124.42246520191"/>
    <n v="113.90899950623"/>
  </r>
  <r>
    <x v="202"/>
    <x v="206"/>
    <x v="282"/>
    <x v="283"/>
    <n v="17004.397409999998"/>
    <n v="1.885945393122471E-3"/>
    <n v="52022.572920000006"/>
    <n v="5.766851286764599E-3"/>
    <m/>
    <n v="42919"/>
    <n v="12936"/>
    <n v="29983"/>
    <n v="231.77952999381571"/>
    <n v="1"/>
    <n v="3"/>
  </r>
  <r>
    <x v="202"/>
    <x v="206"/>
    <x v="283"/>
    <x v="284"/>
    <n v="8666581.6018287875"/>
    <n v="0.96120428451507056"/>
    <n v="8627410.4962582532"/>
    <n v="0.95637317666512123"/>
    <m/>
    <n v="7117613"/>
    <n v="6593143"/>
    <n v="524470"/>
    <n v="7.9547796855005268"/>
    <n v="633.87461093328"/>
    <n v="617.42263279619999"/>
  </r>
  <r>
    <x v="202"/>
    <x v="206"/>
    <x v="17"/>
    <x v="17"/>
    <n v="332792.45583759085"/>
    <n v="3.6909770091806973E-2"/>
    <n v="341533.54381489148"/>
    <n v="3.785997204811415E-2"/>
    <m/>
    <n v="281765"/>
    <n v="253173"/>
    <n v="28592"/>
    <n v="11.293463362996844"/>
    <n v="16.000000002749999"/>
    <n v="16.0376766069"/>
  </r>
  <r>
    <x v="202"/>
    <x v="1"/>
    <x v="2"/>
    <x v="18"/>
    <n v="0"/>
    <n v="0"/>
    <n v="0"/>
    <n v="0"/>
    <m/>
    <n v="0"/>
    <n v="0"/>
    <n v="0"/>
    <n v="0"/>
    <n v="0"/>
    <n v="0"/>
  </r>
  <r>
    <x v="202"/>
    <x v="206"/>
    <x v="3"/>
    <x v="3"/>
    <n v="9016378.4550763778"/>
    <n v="1"/>
    <n v="9020966.6129931454"/>
    <n v="1"/>
    <n v="7442297"/>
    <n v="7442297"/>
    <n v="6859252"/>
    <n v="583045"/>
    <n v="8.5001250865254701"/>
    <n v="650.87461093602997"/>
    <n v="636.46030940310004"/>
  </r>
  <r>
    <x v="203"/>
    <x v="207"/>
    <x v="284"/>
    <x v="285"/>
    <n v="27448207.989999998"/>
    <n v="0.97849710002557433"/>
    <n v="27513365.690000001"/>
    <n v="0.97577469841604536"/>
    <m/>
    <n v="22663896"/>
    <n v="21788063"/>
    <n v="875833"/>
    <n v="4.0197836769610955"/>
    <n v="2232"/>
    <n v="2185"/>
  </r>
  <r>
    <x v="203"/>
    <x v="207"/>
    <x v="17"/>
    <x v="17"/>
    <n v="603186.32612276031"/>
    <n v="2.1502899974425664E-2"/>
    <n v="683067.08762978297"/>
    <n v="2.4225301583954556E-2"/>
    <m/>
    <n v="562671"/>
    <n v="478802"/>
    <n v="83869"/>
    <n v="17.51642641425892"/>
    <n v="29.000000001000004"/>
    <n v="32.0753532138"/>
  </r>
  <r>
    <x v="203"/>
    <x v="1"/>
    <x v="2"/>
    <x v="18"/>
    <n v="0"/>
    <n v="0"/>
    <n v="0"/>
    <n v="0"/>
    <m/>
    <n v="0"/>
    <n v="0"/>
    <n v="0"/>
    <n v="0"/>
    <n v="0"/>
    <n v="0"/>
  </r>
  <r>
    <x v="203"/>
    <x v="1"/>
    <x v="2"/>
    <x v="2"/>
    <n v="0"/>
    <n v="0"/>
    <n v="0"/>
    <n v="0"/>
    <m/>
    <n v="0"/>
    <n v="0"/>
    <n v="0"/>
    <n v="0"/>
    <n v="0"/>
    <n v="0"/>
  </r>
  <r>
    <x v="203"/>
    <x v="207"/>
    <x v="3"/>
    <x v="3"/>
    <n v="28051394.316122759"/>
    <n v="1"/>
    <n v="28196432.777629785"/>
    <n v="0.99999999999999989"/>
    <n v="23226567"/>
    <n v="23226567"/>
    <n v="22266865"/>
    <n v="959702"/>
    <n v="4.3100005321808883"/>
    <n v="2261.000000001"/>
    <n v="2217.0753532138001"/>
  </r>
  <r>
    <x v="204"/>
    <x v="208"/>
    <x v="285"/>
    <x v="286"/>
    <n v="0"/>
    <n v="0"/>
    <n v="0"/>
    <n v="0"/>
    <m/>
    <n v="0"/>
    <n v="0"/>
    <n v="0"/>
    <n v="0"/>
    <n v="0"/>
    <n v="0"/>
  </r>
  <r>
    <x v="204"/>
    <x v="208"/>
    <x v="15"/>
    <x v="15"/>
    <n v="1627819.3179774729"/>
    <n v="1"/>
    <n v="1562618.7653067869"/>
    <n v="1"/>
    <m/>
    <n v="1289160"/>
    <n v="1342951"/>
    <n v="-53791"/>
    <n v="-4.005432811770496"/>
    <n v="113.48120300490001"/>
    <n v="107.36906584838"/>
  </r>
  <r>
    <x v="204"/>
    <x v="1"/>
    <x v="2"/>
    <x v="2"/>
    <n v="0"/>
    <n v="0"/>
    <n v="0"/>
    <n v="0"/>
    <m/>
    <n v="0"/>
    <n v="0"/>
    <n v="0"/>
    <n v="0"/>
    <n v="0"/>
    <n v="0"/>
  </r>
  <r>
    <x v="204"/>
    <x v="1"/>
    <x v="2"/>
    <x v="2"/>
    <n v="0"/>
    <n v="0"/>
    <n v="0"/>
    <n v="0"/>
    <m/>
    <n v="0"/>
    <n v="0"/>
    <n v="0"/>
    <n v="0"/>
    <n v="0"/>
    <n v="0"/>
  </r>
  <r>
    <x v="204"/>
    <x v="208"/>
    <x v="3"/>
    <x v="3"/>
    <n v="1627819.3179774729"/>
    <n v="1"/>
    <n v="1562618.7653067869"/>
    <n v="1"/>
    <n v="1289160"/>
    <n v="1289160"/>
    <n v="1342951"/>
    <n v="-53791"/>
    <n v="-4.005432811770496"/>
    <n v="113.48120300490001"/>
    <n v="107.36906584838"/>
  </r>
  <r>
    <x v="205"/>
    <x v="209"/>
    <x v="286"/>
    <x v="287"/>
    <n v="0"/>
    <n v="0"/>
    <n v="0"/>
    <n v="0"/>
    <m/>
    <n v="0"/>
    <n v="0"/>
    <n v="0"/>
    <n v="0"/>
    <n v="0"/>
    <n v="0"/>
  </r>
  <r>
    <x v="205"/>
    <x v="209"/>
    <x v="287"/>
    <x v="288"/>
    <n v="640437.94399443094"/>
    <n v="0.44640276730012363"/>
    <n v="663731.27273391013"/>
    <n v="0.4736342435325866"/>
    <m/>
    <n v="425038"/>
    <n v="386419"/>
    <n v="38619"/>
    <n v="9.9940737903674517"/>
    <n v="43.316666666290004"/>
    <n v="46.280991735999997"/>
  </r>
  <r>
    <x v="205"/>
    <x v="209"/>
    <x v="288"/>
    <x v="289"/>
    <n v="559280.67882690253"/>
    <n v="0.38983393327487165"/>
    <n v="431629.97142456303"/>
    <n v="0.30800829100548166"/>
    <m/>
    <n v="276406"/>
    <n v="337452"/>
    <n v="-61046"/>
    <n v="-18.090276543034268"/>
    <n v="34.999999998140005"/>
    <n v="25.999999997579998"/>
  </r>
  <r>
    <x v="205"/>
    <x v="209"/>
    <x v="64"/>
    <x v="65"/>
    <n v="234945.29709082618"/>
    <n v="0.16376329942500487"/>
    <n v="305997.0440081312"/>
    <n v="0.21835746546193183"/>
    <m/>
    <n v="195953"/>
    <n v="141758"/>
    <n v="54195"/>
    <n v="38.230646594901167"/>
    <n v="10.9999999984"/>
    <n v="13.999999999090001"/>
  </r>
  <r>
    <x v="205"/>
    <x v="209"/>
    <x v="3"/>
    <x v="3"/>
    <n v="1434663.9199121594"/>
    <n v="1.0000000000000002"/>
    <n v="1401358.2881666042"/>
    <n v="1"/>
    <n v="897397"/>
    <n v="897397"/>
    <n v="865629"/>
    <n v="31768"/>
    <n v="3.6699324999509026"/>
    <n v="89.316666662830016"/>
    <n v="86.280991732670003"/>
  </r>
  <r>
    <x v="206"/>
    <x v="210"/>
    <x v="289"/>
    <x v="290"/>
    <n v="156764603.61603001"/>
    <n v="1"/>
    <n v="159609730.37020001"/>
    <n v="1"/>
    <m/>
    <n v="131678028"/>
    <n v="129330798"/>
    <n v="2347230"/>
    <n v="1.8149041344351715"/>
    <n v="11885"/>
    <n v="11757"/>
  </r>
  <r>
    <x v="206"/>
    <x v="1"/>
    <x v="2"/>
    <x v="2"/>
    <n v="0"/>
    <n v="0"/>
    <n v="0"/>
    <n v="0"/>
    <m/>
    <n v="0"/>
    <n v="0"/>
    <n v="0"/>
    <n v="0"/>
    <n v="0"/>
    <n v="0"/>
  </r>
  <r>
    <x v="206"/>
    <x v="1"/>
    <x v="2"/>
    <x v="2"/>
    <n v="0"/>
    <n v="0"/>
    <n v="0"/>
    <n v="0"/>
    <m/>
    <n v="0"/>
    <n v="0"/>
    <n v="0"/>
    <n v="0"/>
    <n v="0"/>
    <n v="0"/>
  </r>
  <r>
    <x v="206"/>
    <x v="1"/>
    <x v="2"/>
    <x v="2"/>
    <n v="0"/>
    <n v="0"/>
    <n v="0"/>
    <n v="0"/>
    <m/>
    <n v="0"/>
    <n v="0"/>
    <n v="0"/>
    <n v="0"/>
    <n v="0"/>
    <n v="0"/>
  </r>
  <r>
    <x v="206"/>
    <x v="210"/>
    <x v="3"/>
    <x v="3"/>
    <n v="156764603.61603001"/>
    <n v="1"/>
    <n v="159609730.37020001"/>
    <n v="1"/>
    <n v="131678028"/>
    <n v="131678028"/>
    <n v="129330798"/>
    <n v="2347230"/>
    <n v="1.8149041344351715"/>
    <n v="11885"/>
    <n v="11757"/>
  </r>
  <r>
    <x v="207"/>
    <x v="211"/>
    <x v="290"/>
    <x v="291"/>
    <n v="11993145.444000002"/>
    <n v="0.54977266605686514"/>
    <n v="12579945.423040001"/>
    <n v="0.54786783863553834"/>
    <m/>
    <n v="9800477"/>
    <n v="9300692"/>
    <n v="499785"/>
    <n v="5.3736324135881501"/>
    <n v="1010"/>
    <n v="1031"/>
  </r>
  <r>
    <x v="207"/>
    <x v="211"/>
    <x v="291"/>
    <x v="292"/>
    <n v="8700999.626213897"/>
    <n v="0.39885881349471614"/>
    <n v="9173066.6695414931"/>
    <n v="0.39949523156889249"/>
    <m/>
    <n v="7146329"/>
    <n v="6747631"/>
    <n v="398698"/>
    <n v="5.9087107756781601"/>
    <n v="663.34968353709996"/>
    <n v="684.34880163084006"/>
  </r>
  <r>
    <x v="207"/>
    <x v="211"/>
    <x v="166"/>
    <x v="167"/>
    <n v="840743.82210676139"/>
    <n v="3.8540179030490618E-2"/>
    <n v="878270.78362735233"/>
    <n v="3.8249475636149437E-2"/>
    <m/>
    <n v="684222"/>
    <n v="651997"/>
    <n v="32225"/>
    <n v="4.9425074041751724"/>
    <n v="41.000000000300005"/>
    <n v="41.999999998920003"/>
  </r>
  <r>
    <x v="207"/>
    <x v="211"/>
    <x v="39"/>
    <x v="40"/>
    <n v="279846.8784088064"/>
    <n v="1.2828341417928095E-2"/>
    <n v="330359.57823834149"/>
    <n v="1.4387454159419581E-2"/>
    <m/>
    <n v="257368"/>
    <n v="217021"/>
    <n v="40347"/>
    <n v="18.591288400661686"/>
    <n v="13.000000000129999"/>
    <n v="15.00000000056"/>
  </r>
  <r>
    <x v="207"/>
    <x v="211"/>
    <x v="3"/>
    <x v="3"/>
    <n v="21814735.770729467"/>
    <n v="1"/>
    <n v="22961642.454447191"/>
    <n v="0.99999999999999989"/>
    <n v="17888396"/>
    <n v="17888396"/>
    <n v="16917341"/>
    <n v="971055"/>
    <n v="5.7399977927973431"/>
    <n v="1727.3496835375299"/>
    <n v="1772.3488016303202"/>
  </r>
  <r>
    <x v="208"/>
    <x v="212"/>
    <x v="292"/>
    <x v="293"/>
    <n v="21755055.919999998"/>
    <n v="0.86244570647366925"/>
    <n v="22174984.270000003"/>
    <n v="0.86121110204670825"/>
    <m/>
    <n v="5756158"/>
    <n v="5538974"/>
    <n v="217184"/>
    <n v="3.9210149749755101"/>
    <n v="1315"/>
    <n v="1280"/>
  </r>
  <r>
    <x v="208"/>
    <x v="212"/>
    <x v="12"/>
    <x v="12"/>
    <n v="3469785.1995078409"/>
    <n v="0.13755429352633083"/>
    <n v="3573620.4766180092"/>
    <n v="0.13878889795329166"/>
    <m/>
    <n v="927637"/>
    <n v="883429"/>
    <n v="44208"/>
    <n v="5.0041372877729842"/>
    <n v="163.99999999938001"/>
    <n v="162.99999999839002"/>
  </r>
  <r>
    <x v="208"/>
    <x v="1"/>
    <x v="2"/>
    <x v="2"/>
    <n v="0"/>
    <n v="0"/>
    <n v="0"/>
    <n v="0"/>
    <m/>
    <n v="0"/>
    <n v="0"/>
    <n v="0"/>
    <n v="0"/>
    <n v="0"/>
    <n v="0"/>
  </r>
  <r>
    <x v="208"/>
    <x v="1"/>
    <x v="2"/>
    <x v="2"/>
    <n v="0"/>
    <n v="0"/>
    <n v="0"/>
    <n v="0"/>
    <m/>
    <n v="0"/>
    <n v="0"/>
    <n v="0"/>
    <n v="0"/>
    <n v="0"/>
    <n v="0"/>
  </r>
  <r>
    <x v="208"/>
    <x v="212"/>
    <x v="3"/>
    <x v="3"/>
    <n v="25224841.119507838"/>
    <n v="1"/>
    <n v="25748604.746618014"/>
    <n v="0.99999999999999989"/>
    <n v="6683795"/>
    <n v="6683795"/>
    <n v="6422403"/>
    <n v="261392"/>
    <n v="4.0700030814011514"/>
    <n v="1478.99999999938"/>
    <n v="1442.99999999839"/>
  </r>
  <r>
    <x v="209"/>
    <x v="213"/>
    <x v="293"/>
    <x v="294"/>
    <n v="35618666.020000003"/>
    <n v="0.9072463842181453"/>
    <n v="35941837.469999999"/>
    <n v="0.903684860447177"/>
    <m/>
    <n v="29043502"/>
    <n v="28077001"/>
    <n v="966501"/>
    <n v="3.4423227751425447"/>
    <n v="2668"/>
    <n v="2600"/>
  </r>
  <r>
    <x v="209"/>
    <x v="213"/>
    <x v="294"/>
    <x v="295"/>
    <n v="3641524.6399999997"/>
    <n v="9.2753615781854676E-2"/>
    <n v="3830697.23"/>
    <n v="9.6315139552823129E-2"/>
    <m/>
    <n v="3095469"/>
    <n v="2870492"/>
    <n v="224977"/>
    <n v="7.8375762761226992"/>
    <n v="115"/>
    <n v="119"/>
  </r>
  <r>
    <x v="209"/>
    <x v="1"/>
    <x v="2"/>
    <x v="2"/>
    <n v="0"/>
    <n v="0"/>
    <n v="0"/>
    <n v="0"/>
    <m/>
    <n v="0"/>
    <n v="0"/>
    <n v="0"/>
    <n v="0"/>
    <n v="0"/>
    <n v="0"/>
  </r>
  <r>
    <x v="209"/>
    <x v="1"/>
    <x v="2"/>
    <x v="2"/>
    <n v="0"/>
    <n v="0"/>
    <n v="0"/>
    <n v="0"/>
    <m/>
    <n v="0"/>
    <n v="0"/>
    <n v="0"/>
    <n v="0"/>
    <n v="0"/>
    <n v="0"/>
  </r>
  <r>
    <x v="209"/>
    <x v="213"/>
    <x v="3"/>
    <x v="3"/>
    <n v="39260190.660000004"/>
    <n v="1"/>
    <n v="39772534.699999996"/>
    <n v="1.0000000000000002"/>
    <n v="32138971"/>
    <n v="32138971"/>
    <n v="30947493"/>
    <n v="1191478"/>
    <n v="3.8499984473701958"/>
    <n v="2783"/>
    <n v="2719"/>
  </r>
  <r>
    <x v="210"/>
    <x v="214"/>
    <x v="295"/>
    <x v="296"/>
    <n v="57569717.300000004"/>
    <n v="0.98350504305517783"/>
    <n v="58940201.540000007"/>
    <n v="0.98308856802800304"/>
    <m/>
    <n v="47473051"/>
    <n v="45627018"/>
    <n v="1846033"/>
    <n v="4.0459207743973096"/>
    <n v="4505"/>
    <n v="4460"/>
  </r>
  <r>
    <x v="210"/>
    <x v="214"/>
    <x v="21"/>
    <x v="22"/>
    <n v="965536.49103740149"/>
    <n v="1.6494956944822184E-2"/>
    <n v="1013909.8766644481"/>
    <n v="1.6911431971996974E-2"/>
    <m/>
    <n v="816648"/>
    <n v="765238"/>
    <n v="51410"/>
    <n v="6.718171340158225"/>
    <n v="38.000000006699999"/>
    <n v="39.000000008480001"/>
  </r>
  <r>
    <x v="210"/>
    <x v="1"/>
    <x v="2"/>
    <x v="18"/>
    <n v="0"/>
    <n v="0"/>
    <n v="0"/>
    <n v="0"/>
    <m/>
    <n v="0"/>
    <n v="0"/>
    <n v="0"/>
    <n v="0"/>
    <n v="0"/>
    <n v="0"/>
  </r>
  <r>
    <x v="210"/>
    <x v="1"/>
    <x v="2"/>
    <x v="2"/>
    <n v="0"/>
    <n v="0"/>
    <n v="0"/>
    <n v="0"/>
    <m/>
    <n v="0"/>
    <n v="0"/>
    <n v="0"/>
    <n v="0"/>
    <n v="0"/>
    <n v="0"/>
  </r>
  <r>
    <x v="210"/>
    <x v="214"/>
    <x v="3"/>
    <x v="3"/>
    <n v="58535253.791037403"/>
    <n v="1"/>
    <n v="59954111.416664451"/>
    <n v="1"/>
    <n v="48289699"/>
    <n v="48289699"/>
    <n v="46392256"/>
    <n v="1897443"/>
    <n v="4.089999417144103"/>
    <n v="4543.0000000067002"/>
    <n v="4499.0000000084801"/>
  </r>
  <r>
    <x v="211"/>
    <x v="215"/>
    <x v="296"/>
    <x v="297"/>
    <n v="51608133.329999998"/>
    <n v="0.90966855930744739"/>
    <n v="52550990.75"/>
    <n v="0.90821460027843592"/>
    <m/>
    <n v="34400627"/>
    <n v="32183541"/>
    <n v="2217086"/>
    <n v="6.8888814938045506"/>
    <n v="4031"/>
    <n v="3974"/>
  </r>
  <r>
    <x v="211"/>
    <x v="215"/>
    <x v="166"/>
    <x v="167"/>
    <n v="4880415.3576467857"/>
    <n v="8.602443298664629E-2"/>
    <n v="5123246.2379575446"/>
    <n v="8.8542708096033609E-2"/>
    <m/>
    <n v="3353750"/>
    <n v="3043494"/>
    <n v="310256"/>
    <n v="10.194072996365362"/>
    <n v="238.00000000424998"/>
    <n v="244.99999999998002"/>
  </r>
  <r>
    <x v="211"/>
    <x v="215"/>
    <x v="9"/>
    <x v="9"/>
    <n v="244349.02763813213"/>
    <n v="4.307007705906407E-3"/>
    <n v="187628.18563598057"/>
    <n v="3.2426916255303955E-3"/>
    <m/>
    <n v="122824"/>
    <n v="152379"/>
    <n v="-29555"/>
    <n v="-19.395717257627364"/>
    <n v="11.99999999796"/>
    <n v="8.9999999990599999"/>
  </r>
  <r>
    <x v="211"/>
    <x v="1"/>
    <x v="2"/>
    <x v="2"/>
    <n v="0"/>
    <n v="0"/>
    <n v="0"/>
    <n v="0"/>
    <m/>
    <n v="0"/>
    <n v="0"/>
    <n v="0"/>
    <n v="0"/>
    <n v="0"/>
    <n v="0"/>
  </r>
  <r>
    <x v="211"/>
    <x v="215"/>
    <x v="3"/>
    <x v="3"/>
    <n v="56732897.715284914"/>
    <n v="1"/>
    <n v="57861865.173593529"/>
    <n v="0.99999999999999989"/>
    <n v="37877201"/>
    <n v="37877201"/>
    <n v="35379414"/>
    <n v="2497787"/>
    <n v="7.0600010503283066"/>
    <n v="4281.0000000022101"/>
    <n v="4227.9999999990396"/>
  </r>
  <r>
    <x v="212"/>
    <x v="216"/>
    <x v="297"/>
    <x v="298"/>
    <n v="19538316.099999998"/>
    <n v="0.62834619551850468"/>
    <n v="20846041.259999998"/>
    <n v="0.63695170347596097"/>
    <m/>
    <n v="16677517"/>
    <n v="15713655"/>
    <n v="963862"/>
    <n v="6.1339134657086465"/>
    <n v="1618"/>
    <n v="1667"/>
  </r>
  <r>
    <x v="212"/>
    <x v="216"/>
    <x v="298"/>
    <x v="299"/>
    <n v="10143909.417489292"/>
    <n v="0.32622498569176739"/>
    <n v="10347349.91850784"/>
    <n v="0.31616372983497665"/>
    <m/>
    <n v="8278220"/>
    <n v="8158220"/>
    <n v="120000"/>
    <n v="1.4709090953663913"/>
    <n v="761.05645161210009"/>
    <n v="753.84918032425992"/>
  </r>
  <r>
    <x v="212"/>
    <x v="216"/>
    <x v="61"/>
    <x v="62"/>
    <n v="1412601.250542918"/>
    <n v="4.5428818789727973E-2"/>
    <n v="1534429.7005939318"/>
    <n v="4.6884566689062275E-2"/>
    <m/>
    <n v="1227594"/>
    <n v="1136082"/>
    <n v="91512"/>
    <n v="8.0550523641779375"/>
    <n v="63.999999996209993"/>
    <n v="67.000000004380013"/>
  </r>
  <r>
    <x v="212"/>
    <x v="1"/>
    <x v="2"/>
    <x v="2"/>
    <n v="0"/>
    <n v="0"/>
    <n v="0"/>
    <n v="0"/>
    <m/>
    <n v="0"/>
    <n v="0"/>
    <n v="0"/>
    <n v="0"/>
    <n v="0"/>
    <n v="0"/>
  </r>
  <r>
    <x v="212"/>
    <x v="216"/>
    <x v="3"/>
    <x v="3"/>
    <n v="31094826.768032208"/>
    <n v="1"/>
    <n v="32727820.879101772"/>
    <n v="0.99999999999999989"/>
    <n v="26183331"/>
    <n v="26183331"/>
    <n v="25007957"/>
    <n v="1175374"/>
    <n v="4.700000083973273"/>
    <n v="2443.0564516083105"/>
    <n v="2487.8491803286402"/>
  </r>
  <r>
    <x v="213"/>
    <x v="217"/>
    <x v="299"/>
    <x v="300"/>
    <n v="28109617.770000007"/>
    <n v="0.91124259038092137"/>
    <n v="27773856.899999991"/>
    <n v="0.90073993622507997"/>
    <m/>
    <n v="15208759"/>
    <n v="14472856"/>
    <n v="735903"/>
    <n v="5.0847116837202"/>
    <n v="1997"/>
    <n v="1918"/>
  </r>
  <r>
    <x v="213"/>
    <x v="217"/>
    <x v="54"/>
    <x v="55"/>
    <n v="2737950.2286045239"/>
    <n v="8.8757409619078631E-2"/>
    <n v="3060633.4817607244"/>
    <n v="9.9260063774919943E-2"/>
    <m/>
    <n v="1675980"/>
    <n v="1409694"/>
    <n v="266286"/>
    <n v="18.889631366807265"/>
    <n v="144.99999999932001"/>
    <n v="158.00000000082997"/>
  </r>
  <r>
    <x v="213"/>
    <x v="1"/>
    <x v="2"/>
    <x v="2"/>
    <n v="0"/>
    <n v="0"/>
    <n v="0"/>
    <n v="0"/>
    <m/>
    <n v="0"/>
    <n v="0"/>
    <n v="0"/>
    <n v="0"/>
    <n v="0"/>
    <n v="0"/>
  </r>
  <r>
    <x v="213"/>
    <x v="1"/>
    <x v="2"/>
    <x v="2"/>
    <n v="0"/>
    <n v="0"/>
    <n v="0"/>
    <n v="0"/>
    <m/>
    <n v="0"/>
    <n v="0"/>
    <n v="0"/>
    <n v="0"/>
    <n v="0"/>
    <n v="0"/>
  </r>
  <r>
    <x v="213"/>
    <x v="217"/>
    <x v="3"/>
    <x v="3"/>
    <n v="30847567.998604532"/>
    <n v="1"/>
    <n v="30834490.381760716"/>
    <n v="0.99999999999999989"/>
    <n v="16884739"/>
    <n v="16884739"/>
    <n v="15882550"/>
    <n v="1002189"/>
    <n v="6.3100005981407268"/>
    <n v="2141.9999999993202"/>
    <n v="2076.0000000008299"/>
  </r>
  <r>
    <x v="214"/>
    <x v="218"/>
    <x v="300"/>
    <x v="301"/>
    <n v="8281136.6699999999"/>
    <n v="0.89508074484008038"/>
    <n v="8161429.120000002"/>
    <n v="0.88765319895290173"/>
    <m/>
    <n v="3523318"/>
    <n v="3375581"/>
    <n v="147737"/>
    <n v="4.3766391622656959"/>
    <n v="574"/>
    <n v="565"/>
  </r>
  <r>
    <x v="214"/>
    <x v="218"/>
    <x v="36"/>
    <x v="37"/>
    <n v="970695.3214026863"/>
    <n v="0.10491925515991969"/>
    <n v="1032960.2311874123"/>
    <n v="0.11234680104709838"/>
    <m/>
    <n v="445933"/>
    <n v="395678"/>
    <n v="50255"/>
    <n v="12.70098413356315"/>
    <n v="47.99999999872"/>
    <n v="49.999999994780005"/>
  </r>
  <r>
    <x v="214"/>
    <x v="1"/>
    <x v="2"/>
    <x v="2"/>
    <n v="0"/>
    <n v="0"/>
    <n v="0"/>
    <n v="0"/>
    <m/>
    <n v="0"/>
    <n v="0"/>
    <n v="0"/>
    <n v="0"/>
    <n v="0"/>
    <n v="0"/>
  </r>
  <r>
    <x v="214"/>
    <x v="1"/>
    <x v="2"/>
    <x v="2"/>
    <n v="0"/>
    <n v="0"/>
    <n v="0"/>
    <n v="0"/>
    <m/>
    <n v="0"/>
    <n v="0"/>
    <n v="0"/>
    <n v="0"/>
    <n v="0"/>
    <n v="0"/>
  </r>
  <r>
    <x v="214"/>
    <x v="218"/>
    <x v="3"/>
    <x v="3"/>
    <n v="9251831.9914026856"/>
    <n v="1"/>
    <n v="9194389.3511874136"/>
    <n v="1"/>
    <n v="3969251"/>
    <n v="3969251"/>
    <n v="3771259"/>
    <n v="197992"/>
    <n v="5.2500239310002312"/>
    <n v="621.99999999872"/>
    <n v="614.99999999477996"/>
  </r>
  <r>
    <x v="215"/>
    <x v="219"/>
    <x v="301"/>
    <x v="302"/>
    <n v="16490.760000000002"/>
    <n v="3.4356373997520423E-3"/>
    <n v="0"/>
    <n v="0"/>
    <m/>
    <n v="0"/>
    <n v="11472"/>
    <n v="-11472"/>
    <n v="-100"/>
    <n v="1"/>
    <n v="0"/>
  </r>
  <r>
    <x v="215"/>
    <x v="219"/>
    <x v="63"/>
    <x v="64"/>
    <n v="3929075.5250000008"/>
    <n v="0.81857226835757668"/>
    <n v="3598952.1589709213"/>
    <n v="0.80455344784976535"/>
    <m/>
    <n v="2808685"/>
    <n v="2733260"/>
    <n v="75425"/>
    <n v="2.7595252555556367"/>
    <n v="284.5"/>
    <n v="256.411439116"/>
  </r>
  <r>
    <x v="215"/>
    <x v="219"/>
    <x v="64"/>
    <x v="65"/>
    <n v="854346.53501708712"/>
    <n v="0.17799209424267118"/>
    <n v="874277.26859466056"/>
    <n v="0.1954465521502346"/>
    <m/>
    <n v="682301"/>
    <n v="594326"/>
    <n v="87975"/>
    <n v="14.802482139431895"/>
    <n v="40.0000000008"/>
    <n v="39.999999997400003"/>
  </r>
  <r>
    <x v="215"/>
    <x v="1"/>
    <x v="2"/>
    <x v="2"/>
    <n v="0"/>
    <n v="0"/>
    <n v="0"/>
    <n v="0"/>
    <m/>
    <n v="0"/>
    <n v="0"/>
    <n v="0"/>
    <n v="0"/>
    <n v="0"/>
    <n v="0"/>
  </r>
  <r>
    <x v="215"/>
    <x v="219"/>
    <x v="3"/>
    <x v="3"/>
    <n v="4799912.8200170882"/>
    <n v="0.99999999999999989"/>
    <n v="4473229.4275655821"/>
    <n v="1"/>
    <n v="3490986"/>
    <n v="3490986"/>
    <n v="3339058"/>
    <n v="151928"/>
    <n v="4.5500257857156123"/>
    <n v="325.50000000080001"/>
    <n v="296.41143911339998"/>
  </r>
  <r>
    <x v="216"/>
    <x v="220"/>
    <x v="302"/>
    <x v="303"/>
    <n v="29062440.792260002"/>
    <n v="0.96931428715934076"/>
    <n v="29675954.006980006"/>
    <n v="0.96898082294879218"/>
    <m/>
    <n v="24047692"/>
    <n v="23011257"/>
    <n v="1036435"/>
    <n v="4.5040346991909219"/>
    <n v="2269"/>
    <n v="2260"/>
  </r>
  <r>
    <x v="216"/>
    <x v="220"/>
    <x v="107"/>
    <x v="108"/>
    <n v="920033.5994360029"/>
    <n v="3.0685712840659237E-2"/>
    <n v="949991.6300765255"/>
    <n v="3.1019177051207929E-2"/>
    <m/>
    <n v="769819"/>
    <n v="728470"/>
    <n v="41349"/>
    <n v="5.6761431493403984"/>
    <n v="39.99999999752"/>
    <n v="39.999999997750002"/>
  </r>
  <r>
    <x v="216"/>
    <x v="1"/>
    <x v="2"/>
    <x v="18"/>
    <n v="0"/>
    <n v="0"/>
    <n v="0"/>
    <n v="0"/>
    <m/>
    <n v="0"/>
    <n v="0"/>
    <n v="0"/>
    <n v="0"/>
    <n v="0"/>
    <n v="0"/>
  </r>
  <r>
    <x v="216"/>
    <x v="1"/>
    <x v="2"/>
    <x v="2"/>
    <n v="0"/>
    <n v="0"/>
    <n v="0"/>
    <n v="0"/>
    <m/>
    <n v="0"/>
    <n v="0"/>
    <n v="0"/>
    <n v="0"/>
    <n v="0"/>
    <n v="0"/>
  </r>
  <r>
    <x v="216"/>
    <x v="220"/>
    <x v="3"/>
    <x v="3"/>
    <n v="29982474.391696006"/>
    <n v="1"/>
    <n v="30625945.63705653"/>
    <n v="1"/>
    <n v="24817511"/>
    <n v="24817511"/>
    <n v="23739727"/>
    <n v="1077784"/>
    <n v="4.5400016605077216"/>
    <n v="2308.9999999975198"/>
    <n v="2299.9999999977499"/>
  </r>
  <r>
    <x v="217"/>
    <x v="221"/>
    <x v="303"/>
    <x v="304"/>
    <n v="29128867.219999995"/>
    <n v="0.92017536768335351"/>
    <n v="29386897.029999994"/>
    <n v="0.92407486700627206"/>
    <m/>
    <n v="22278223"/>
    <n v="20948264"/>
    <n v="1329959"/>
    <n v="6.3487790682798346"/>
    <n v="2189"/>
    <n v="2173"/>
  </r>
  <r>
    <x v="217"/>
    <x v="221"/>
    <x v="89"/>
    <x v="90"/>
    <n v="2262199.3981051086"/>
    <n v="7.1462448134446535E-2"/>
    <n v="2101813.7347341846"/>
    <n v="6.6091811102536396E-2"/>
    <m/>
    <n v="1593386"/>
    <n v="1626879"/>
    <n v="-33493"/>
    <n v="-2.0587271702443757"/>
    <n v="106.45521472944999"/>
    <n v="96.172043009250004"/>
  </r>
  <r>
    <x v="217"/>
    <x v="221"/>
    <x v="9"/>
    <x v="9"/>
    <n v="264711.44660797651"/>
    <n v="8.3621841821999703E-3"/>
    <n v="312713.64279765502"/>
    <n v="9.8333218911915172E-3"/>
    <m/>
    <n v="237068"/>
    <n v="190369"/>
    <n v="46699"/>
    <n v="24.530779696274077"/>
    <n v="12.999999997790001"/>
    <n v="15.000000001839998"/>
  </r>
  <r>
    <x v="217"/>
    <x v="1"/>
    <x v="2"/>
    <x v="2"/>
    <n v="0"/>
    <n v="0"/>
    <n v="0"/>
    <n v="0"/>
    <m/>
    <n v="0"/>
    <n v="0"/>
    <n v="0"/>
    <n v="0"/>
    <n v="0"/>
    <n v="0"/>
  </r>
  <r>
    <x v="217"/>
    <x v="221"/>
    <x v="3"/>
    <x v="3"/>
    <n v="31655778.064713079"/>
    <n v="1"/>
    <n v="31801424.407531835"/>
    <n v="1"/>
    <n v="24108678"/>
    <n v="24108677"/>
    <n v="22765512"/>
    <n v="1343165"/>
    <n v="5.8999990863372629"/>
    <n v="2308.4552147272398"/>
    <n v="2284.17204301109"/>
  </r>
  <r>
    <x v="218"/>
    <x v="222"/>
    <x v="304"/>
    <x v="305"/>
    <n v="25956168.805050001"/>
    <n v="0.97957349833212759"/>
    <n v="26697645.459049996"/>
    <n v="0.98309373768165564"/>
    <m/>
    <n v="22025558"/>
    <n v="20944041"/>
    <n v="1081517"/>
    <n v="5.1638411135654287"/>
    <n v="2100"/>
    <n v="2115"/>
  </r>
  <r>
    <x v="218"/>
    <x v="222"/>
    <x v="1"/>
    <x v="1"/>
    <n v="541249.56043692899"/>
    <n v="2.0426501667872302E-2"/>
    <n v="459119.39026003063"/>
    <n v="1.6906262318344429E-2"/>
    <m/>
    <n v="378773"/>
    <n v="436734"/>
    <n v="-57961"/>
    <n v="-13.271465010738803"/>
    <n v="25.9999999994"/>
    <n v="21.999999999510003"/>
  </r>
  <r>
    <x v="218"/>
    <x v="1"/>
    <x v="2"/>
    <x v="2"/>
    <n v="0"/>
    <n v="0"/>
    <n v="0"/>
    <n v="0"/>
    <m/>
    <n v="0"/>
    <n v="0"/>
    <n v="0"/>
    <n v="0"/>
    <n v="0"/>
    <n v="0"/>
  </r>
  <r>
    <x v="218"/>
    <x v="1"/>
    <x v="2"/>
    <x v="2"/>
    <n v="0"/>
    <n v="0"/>
    <n v="0"/>
    <n v="0"/>
    <m/>
    <n v="0"/>
    <n v="0"/>
    <n v="0"/>
    <n v="0"/>
    <n v="0"/>
    <n v="0"/>
  </r>
  <r>
    <x v="218"/>
    <x v="222"/>
    <x v="3"/>
    <x v="3"/>
    <n v="26497418.365486931"/>
    <n v="0.99999999999999989"/>
    <n v="27156764.849310026"/>
    <n v="1"/>
    <n v="22404331"/>
    <n v="22404331"/>
    <n v="21380775"/>
    <n v="1023556"/>
    <n v="4.7872726783757837"/>
    <n v="2125.9999999994002"/>
    <n v="2136.9999999995098"/>
  </r>
  <r>
    <x v="219"/>
    <x v="223"/>
    <x v="305"/>
    <x v="306"/>
    <n v="53483623.868720002"/>
    <n v="0.95449221099122628"/>
    <n v="56535316.259999998"/>
    <n v="0.95495969045941298"/>
    <m/>
    <n v="39118730"/>
    <n v="37142187"/>
    <n v="1976543"/>
    <n v="5.3215579362626118"/>
    <n v="3547"/>
    <n v="3596"/>
  </r>
  <r>
    <x v="219"/>
    <x v="223"/>
    <x v="38"/>
    <x v="39"/>
    <n v="2356224.5806381637"/>
    <n v="4.2050217372808327E-2"/>
    <n v="2402178.9640076384"/>
    <n v="4.0576125361129235E-2"/>
    <m/>
    <n v="1662150"/>
    <n v="1636301"/>
    <n v="25849"/>
    <n v="1.579721579342676"/>
    <n v="108.000000003"/>
    <n v="107.99999999552"/>
  </r>
  <r>
    <x v="219"/>
    <x v="223"/>
    <x v="39"/>
    <x v="40"/>
    <n v="193740.14659071216"/>
    <n v="3.4575716359654899E-3"/>
    <n v="264287.66255790152"/>
    <n v="4.4641841794578023E-3"/>
    <m/>
    <n v="182870"/>
    <n v="134545"/>
    <n v="48325"/>
    <n v="35.917351072132"/>
    <n v="9.0000000000900009"/>
    <n v="11.99999999896"/>
  </r>
  <r>
    <x v="219"/>
    <x v="1"/>
    <x v="2"/>
    <x v="2"/>
    <n v="0"/>
    <n v="0"/>
    <n v="0"/>
    <n v="0"/>
    <m/>
    <n v="0"/>
    <n v="0"/>
    <n v="0"/>
    <n v="0"/>
    <n v="0"/>
    <n v="0"/>
  </r>
  <r>
    <x v="219"/>
    <x v="223"/>
    <x v="3"/>
    <x v="3"/>
    <n v="56033588.595948875"/>
    <n v="1"/>
    <n v="59201782.886565536"/>
    <n v="1"/>
    <n v="40963750"/>
    <n v="40963750"/>
    <n v="38913033"/>
    <n v="2050717"/>
    <n v="5.2700004134861445"/>
    <n v="3664.00000000309"/>
    <n v="3715.9999999944798"/>
  </r>
  <r>
    <x v="220"/>
    <x v="224"/>
    <x v="306"/>
    <x v="307"/>
    <n v="6470637.9299999997"/>
    <n v="0.60349821719688268"/>
    <n v="6233849.8500000006"/>
    <n v="0.61893234634342387"/>
    <m/>
    <n v="5142926"/>
    <n v="4519073"/>
    <n v="623853"/>
    <n v="13.804888745988391"/>
    <n v="435"/>
    <n v="421"/>
  </r>
  <r>
    <x v="220"/>
    <x v="224"/>
    <x v="115"/>
    <x v="116"/>
    <n v="4251246.1545209112"/>
    <n v="0.39650178280311743"/>
    <n v="3838090.7858850332"/>
    <n v="0.38106765365657613"/>
    <m/>
    <n v="3166425"/>
    <n v="2969056"/>
    <n v="197369"/>
    <n v="6.6475337615727019"/>
    <n v="236.99999999744"/>
    <n v="217.00000000119999"/>
  </r>
  <r>
    <x v="220"/>
    <x v="1"/>
    <x v="2"/>
    <x v="2"/>
    <n v="0"/>
    <n v="0"/>
    <n v="0"/>
    <n v="0"/>
    <m/>
    <n v="0"/>
    <n v="0"/>
    <n v="0"/>
    <n v="0"/>
    <n v="0"/>
    <n v="0"/>
  </r>
  <r>
    <x v="220"/>
    <x v="1"/>
    <x v="2"/>
    <x v="2"/>
    <n v="0"/>
    <n v="0"/>
    <n v="0"/>
    <n v="0"/>
    <m/>
    <n v="0"/>
    <n v="0"/>
    <n v="0"/>
    <n v="0"/>
    <n v="0"/>
    <n v="0"/>
  </r>
  <r>
    <x v="220"/>
    <x v="224"/>
    <x v="3"/>
    <x v="3"/>
    <n v="10721884.08452091"/>
    <n v="1"/>
    <n v="10071940.635885034"/>
    <n v="1"/>
    <n v="8309351"/>
    <n v="8309351"/>
    <n v="7488129"/>
    <n v="821222"/>
    <n v="10.966985210858413"/>
    <n v="671.99999999744"/>
    <n v="638.00000000119996"/>
  </r>
  <r>
    <x v="221"/>
    <x v="225"/>
    <x v="307"/>
    <x v="308"/>
    <n v="0"/>
    <n v="0"/>
    <n v="0"/>
    <n v="0"/>
    <m/>
    <n v="0"/>
    <n v="0"/>
    <n v="0"/>
    <n v="0"/>
    <n v="0"/>
    <n v="0"/>
  </r>
  <r>
    <x v="221"/>
    <x v="225"/>
    <x v="46"/>
    <x v="47"/>
    <n v="3359895.9405784071"/>
    <n v="0.92403160458534561"/>
    <n v="3273018.8337757913"/>
    <n v="0.9147432121427812"/>
    <m/>
    <n v="1803220"/>
    <n v="1736114"/>
    <n v="67106"/>
    <n v="3.865299168142184"/>
    <n v="242.42047713516001"/>
    <n v="228.14731020193"/>
  </r>
  <r>
    <x v="221"/>
    <x v="225"/>
    <x v="52"/>
    <x v="53"/>
    <n v="276230.7069361473"/>
    <n v="7.5968395414654374E-2"/>
    <n v="305055.08940617146"/>
    <n v="8.525678785721888E-2"/>
    <m/>
    <n v="168066"/>
    <n v="142733"/>
    <n v="25333"/>
    <n v="17.748523466892731"/>
    <n v="13.00000000278"/>
    <n v="13.999999998530001"/>
  </r>
  <r>
    <x v="221"/>
    <x v="1"/>
    <x v="2"/>
    <x v="2"/>
    <n v="0"/>
    <n v="0"/>
    <n v="0"/>
    <n v="0"/>
    <m/>
    <n v="0"/>
    <n v="0"/>
    <n v="0"/>
    <n v="0"/>
    <n v="0"/>
    <n v="0"/>
  </r>
  <r>
    <x v="221"/>
    <x v="225"/>
    <x v="3"/>
    <x v="3"/>
    <n v="3636126.6475145547"/>
    <n v="1"/>
    <n v="3578073.9231819627"/>
    <n v="1"/>
    <n v="1971286"/>
    <n v="1971286"/>
    <n v="1878847"/>
    <n v="92439"/>
    <n v="4.9199855017465497"/>
    <n v="255.42047713794003"/>
    <n v="242.14731020046"/>
  </r>
  <r>
    <x v="222"/>
    <x v="226"/>
    <x v="308"/>
    <x v="309"/>
    <n v="9212499.9199999981"/>
    <n v="0.51042123838776343"/>
    <n v="9418168.6300000008"/>
    <n v="0.50709586195802203"/>
    <m/>
    <n v="2446944"/>
    <n v="2332598"/>
    <n v="114346"/>
    <n v="4.9020877150713495"/>
    <n v="583"/>
    <n v="573"/>
  </r>
  <r>
    <x v="222"/>
    <x v="226"/>
    <x v="288"/>
    <x v="289"/>
    <n v="6807244.8341141641"/>
    <n v="0.37715738056009207"/>
    <n v="7121894.5291479211"/>
    <n v="0.38345918266196788"/>
    <m/>
    <n v="1850347"/>
    <n v="1723589"/>
    <n v="126758"/>
    <n v="7.3543054637735565"/>
    <n v="426.00000000192"/>
    <n v="428.99999999878003"/>
  </r>
  <r>
    <x v="222"/>
    <x v="226"/>
    <x v="64"/>
    <x v="65"/>
    <n v="2029073.0205908264"/>
    <n v="0.1124213810521444"/>
    <n v="2032694.6496697904"/>
    <n v="0.1094449553800102"/>
    <m/>
    <n v="528116"/>
    <n v="513760"/>
    <n v="14356"/>
    <n v="2.7943008408595453"/>
    <n v="94.9999999984"/>
    <n v="93.000000002519997"/>
  </r>
  <r>
    <x v="222"/>
    <x v="1"/>
    <x v="2"/>
    <x v="2"/>
    <n v="0"/>
    <n v="0"/>
    <n v="0"/>
    <n v="0"/>
    <m/>
    <n v="0"/>
    <n v="0"/>
    <n v="0"/>
    <n v="0"/>
    <n v="0"/>
    <n v="0"/>
  </r>
  <r>
    <x v="222"/>
    <x v="226"/>
    <x v="3"/>
    <x v="3"/>
    <n v="18048817.774704989"/>
    <n v="0.99999999999999989"/>
    <n v="18572757.808817711"/>
    <n v="1"/>
    <n v="4825407"/>
    <n v="4825407"/>
    <n v="4569947"/>
    <n v="255460"/>
    <n v="5.5899991837979739"/>
    <n v="1104.0000000003199"/>
    <n v="1095.0000000013001"/>
  </r>
  <r>
    <x v="223"/>
    <x v="227"/>
    <x v="309"/>
    <x v="310"/>
    <n v="2114047.8800000004"/>
    <n v="0.35111441683562655"/>
    <n v="2052611.2499999998"/>
    <n v="0.33211856078322971"/>
    <m/>
    <n v="1693404"/>
    <n v="1744090"/>
    <n v="-50686"/>
    <n v="-2.9061573657322728"/>
    <n v="149"/>
    <n v="145"/>
  </r>
  <r>
    <x v="223"/>
    <x v="227"/>
    <x v="83"/>
    <x v="84"/>
    <n v="3602105.5099801235"/>
    <n v="0.59826042138509561"/>
    <n v="3800361.2816436989"/>
    <n v="0.6149096763041787"/>
    <m/>
    <n v="3135298"/>
    <n v="2971737"/>
    <n v="163561"/>
    <n v="5.503885438045157"/>
    <n v="250.99999999920001"/>
    <n v="257.99999999670001"/>
  </r>
  <r>
    <x v="223"/>
    <x v="227"/>
    <x v="44"/>
    <x v="45"/>
    <n v="304812.3654354029"/>
    <n v="5.0625161779277845E-2"/>
    <n v="327384.40221558517"/>
    <n v="5.2971762912591536E-2"/>
    <m/>
    <n v="270092"/>
    <n v="251470"/>
    <n v="18622"/>
    <n v="7.4052570883206741"/>
    <n v="14.04197901225"/>
    <n v="15.022522520840001"/>
  </r>
  <r>
    <x v="223"/>
    <x v="1"/>
    <x v="2"/>
    <x v="2"/>
    <n v="0"/>
    <n v="0"/>
    <n v="0"/>
    <n v="0"/>
    <m/>
    <n v="0"/>
    <n v="0"/>
    <n v="0"/>
    <n v="0"/>
    <n v="0"/>
    <n v="0"/>
  </r>
  <r>
    <x v="223"/>
    <x v="227"/>
    <x v="3"/>
    <x v="3"/>
    <n v="6020965.7554155272"/>
    <n v="1"/>
    <n v="6180356.933859284"/>
    <n v="0.99999999999999989"/>
    <n v="5098794"/>
    <n v="5098794"/>
    <n v="4967297"/>
    <n v="131497"/>
    <n v="2.6472546336568965"/>
    <n v="414.04197901145"/>
    <n v="418.02252251754004"/>
  </r>
  <r>
    <x v="224"/>
    <x v="228"/>
    <x v="310"/>
    <x v="311"/>
    <n v="0"/>
    <n v="0"/>
    <n v="0"/>
    <n v="0"/>
    <m/>
    <n v="0"/>
    <n v="0"/>
    <n v="0"/>
    <n v="0"/>
    <n v="0"/>
    <n v="0"/>
  </r>
  <r>
    <x v="224"/>
    <x v="228"/>
    <x v="311"/>
    <x v="312"/>
    <n v="1750236.4864413003"/>
    <n v="1"/>
    <n v="1870547.6596054086"/>
    <n v="1"/>
    <m/>
    <n v="1543202"/>
    <n v="1443945"/>
    <n v="99257"/>
    <n v="6.8740152845156848"/>
    <n v="127.87500000093"/>
    <n v="129.23076923008"/>
  </r>
  <r>
    <x v="224"/>
    <x v="1"/>
    <x v="2"/>
    <x v="2"/>
    <n v="0"/>
    <n v="0"/>
    <n v="0"/>
    <n v="0"/>
    <m/>
    <n v="0"/>
    <n v="0"/>
    <n v="0"/>
    <n v="0"/>
    <n v="0"/>
    <n v="0"/>
  </r>
  <r>
    <x v="224"/>
    <x v="1"/>
    <x v="2"/>
    <x v="2"/>
    <n v="0"/>
    <n v="0"/>
    <n v="0"/>
    <n v="0"/>
    <m/>
    <n v="0"/>
    <n v="0"/>
    <n v="0"/>
    <n v="0"/>
    <n v="0"/>
    <n v="0"/>
  </r>
  <r>
    <x v="224"/>
    <x v="228"/>
    <x v="3"/>
    <x v="3"/>
    <n v="1750236.4864413003"/>
    <n v="1"/>
    <n v="1870547.6596054086"/>
    <n v="1"/>
    <n v="1543202"/>
    <n v="1543202"/>
    <n v="1443945"/>
    <n v="99257"/>
    <n v="6.8740152845156848"/>
    <n v="127.87500000093"/>
    <n v="129.23076923008"/>
  </r>
  <r>
    <x v="225"/>
    <x v="229"/>
    <x v="312"/>
    <x v="313"/>
    <n v="21950126.810000002"/>
    <n v="0.87645486399604544"/>
    <n v="23877644.359999999"/>
    <n v="0.88580513397721261"/>
    <m/>
    <n v="11652431"/>
    <n v="10995071"/>
    <n v="657360"/>
    <n v="5.9786789917045553"/>
    <n v="1526"/>
    <n v="1569"/>
  </r>
  <r>
    <x v="225"/>
    <x v="229"/>
    <x v="36"/>
    <x v="37"/>
    <n v="3094091.3370956355"/>
    <n v="0.12354513600395448"/>
    <n v="3078221.489174739"/>
    <n v="0.11419486602278738"/>
    <m/>
    <n v="1502190"/>
    <n v="1549866"/>
    <n v="-47676"/>
    <n v="-3.0761369047388611"/>
    <n v="153.00000000207999"/>
    <n v="148.99999999587999"/>
  </r>
  <r>
    <x v="225"/>
    <x v="1"/>
    <x v="2"/>
    <x v="2"/>
    <n v="0"/>
    <n v="0"/>
    <n v="0"/>
    <n v="0"/>
    <m/>
    <n v="0"/>
    <n v="0"/>
    <n v="0"/>
    <n v="0"/>
    <n v="0"/>
    <n v="0"/>
  </r>
  <r>
    <x v="225"/>
    <x v="1"/>
    <x v="2"/>
    <x v="2"/>
    <n v="0"/>
    <n v="0"/>
    <n v="0"/>
    <n v="0"/>
    <m/>
    <n v="0"/>
    <n v="0"/>
    <n v="0"/>
    <n v="0"/>
    <n v="0"/>
    <n v="0"/>
  </r>
  <r>
    <x v="225"/>
    <x v="229"/>
    <x v="3"/>
    <x v="3"/>
    <n v="25044218.147095639"/>
    <n v="0.99999999999999989"/>
    <n v="26955865.849174738"/>
    <n v="1"/>
    <n v="13154621"/>
    <n v="13154621"/>
    <n v="12544937"/>
    <n v="609684"/>
    <n v="4.8600004926290188"/>
    <n v="1679.00000000208"/>
    <n v="1717.99999999588"/>
  </r>
  <r>
    <x v="226"/>
    <x v="230"/>
    <x v="313"/>
    <x v="314"/>
    <n v="19001379.489999998"/>
    <n v="0.825524237910366"/>
    <n v="19106951.319999997"/>
    <n v="0.82578101981350094"/>
    <m/>
    <n v="7584489"/>
    <n v="7280709"/>
    <n v="303780"/>
    <n v="4.1723958477120844"/>
    <n v="1244"/>
    <n v="1196"/>
  </r>
  <r>
    <x v="226"/>
    <x v="230"/>
    <x v="52"/>
    <x v="53"/>
    <n v="4015969.5076476452"/>
    <n v="0.17447576208963397"/>
    <n v="4031085.1104270676"/>
    <n v="0.17421898018649914"/>
    <m/>
    <n v="1600136"/>
    <n v="1538789"/>
    <n v="61347"/>
    <n v="3.9867064295364734"/>
    <n v="188.99999999873998"/>
    <n v="184.99999999970998"/>
  </r>
  <r>
    <x v="226"/>
    <x v="1"/>
    <x v="2"/>
    <x v="2"/>
    <n v="0"/>
    <n v="0"/>
    <n v="0"/>
    <n v="0"/>
    <m/>
    <n v="0"/>
    <n v="0"/>
    <n v="0"/>
    <n v="0"/>
    <n v="0"/>
    <n v="0"/>
  </r>
  <r>
    <x v="226"/>
    <x v="1"/>
    <x v="2"/>
    <x v="2"/>
    <n v="0"/>
    <n v="0"/>
    <n v="0"/>
    <n v="0"/>
    <m/>
    <n v="0"/>
    <n v="0"/>
    <n v="0"/>
    <n v="0"/>
    <n v="0"/>
    <n v="0"/>
  </r>
  <r>
    <x v="226"/>
    <x v="230"/>
    <x v="3"/>
    <x v="3"/>
    <n v="23017348.997647643"/>
    <n v="1"/>
    <n v="23138036.430427063"/>
    <n v="1"/>
    <n v="9184625"/>
    <n v="9184625"/>
    <n v="8819498"/>
    <n v="365127"/>
    <n v="4.1399975372747972"/>
    <n v="1432.9999999987399"/>
    <n v="1380.9999999997099"/>
  </r>
  <r>
    <x v="227"/>
    <x v="231"/>
    <x v="314"/>
    <x v="315"/>
    <n v="0"/>
    <n v="0"/>
    <n v="0"/>
    <n v="0"/>
    <m/>
    <n v="0"/>
    <n v="0"/>
    <n v="0"/>
    <n v="0"/>
    <n v="0"/>
    <n v="0"/>
  </r>
  <r>
    <x v="227"/>
    <x v="231"/>
    <x v="209"/>
    <x v="210"/>
    <n v="7935457.5942137577"/>
    <n v="0.91810972044496753"/>
    <n v="7836595.578435624"/>
    <n v="0.90460906826263354"/>
    <m/>
    <n v="4998051"/>
    <n v="4860250"/>
    <n v="137801"/>
    <n v="2.8352656756339694"/>
    <n v="641.54380883939996"/>
    <n v="616.73827268321998"/>
  </r>
  <r>
    <x v="227"/>
    <x v="231"/>
    <x v="36"/>
    <x v="37"/>
    <n v="707798.67189764965"/>
    <n v="8.1890279555032516E-2"/>
    <n v="826368.18500128866"/>
    <n v="9.5390931737366319E-2"/>
    <m/>
    <n v="527044"/>
    <n v="433507"/>
    <n v="93537"/>
    <n v="21.576814215226051"/>
    <n v="35.00000000112"/>
    <n v="39.999999998310003"/>
  </r>
  <r>
    <x v="227"/>
    <x v="1"/>
    <x v="2"/>
    <x v="2"/>
    <n v="0"/>
    <n v="0"/>
    <n v="0"/>
    <n v="0"/>
    <m/>
    <n v="0"/>
    <n v="0"/>
    <n v="0"/>
    <n v="0"/>
    <n v="0"/>
    <n v="0"/>
  </r>
  <r>
    <x v="227"/>
    <x v="231"/>
    <x v="3"/>
    <x v="3"/>
    <n v="8643256.2661114074"/>
    <n v="1"/>
    <n v="8662963.7634369135"/>
    <n v="0.99999999999999989"/>
    <n v="5525095"/>
    <n v="5525095"/>
    <n v="5293757"/>
    <n v="231338"/>
    <n v="4.3700154729429403"/>
    <n v="676.54380884052"/>
    <n v="656.73827268153002"/>
  </r>
  <r>
    <x v="228"/>
    <x v="232"/>
    <x v="315"/>
    <x v="316"/>
    <n v="91177548.530000001"/>
    <n v="0.92368629795383594"/>
    <n v="95329652.76000002"/>
    <n v="0.91925811802997215"/>
    <m/>
    <n v="58256933"/>
    <n v="55819170"/>
    <n v="2437763"/>
    <n v="4.3672505341802825"/>
    <n v="5959"/>
    <n v="5981"/>
  </r>
  <r>
    <x v="228"/>
    <x v="232"/>
    <x v="66"/>
    <x v="67"/>
    <n v="7532964.6950829169"/>
    <n v="7.6313702046164084E-2"/>
    <n v="8373160.2913521379"/>
    <n v="8.0741881970027837E-2"/>
    <m/>
    <n v="5116925"/>
    <n v="4611704"/>
    <n v="505221"/>
    <n v="10.955191399968427"/>
    <n v="382.00000000364997"/>
    <n v="415.00000000457999"/>
  </r>
  <r>
    <x v="228"/>
    <x v="1"/>
    <x v="2"/>
    <x v="2"/>
    <n v="0"/>
    <n v="0"/>
    <n v="0"/>
    <n v="0"/>
    <m/>
    <n v="0"/>
    <n v="0"/>
    <n v="0"/>
    <n v="0"/>
    <n v="0"/>
    <n v="0"/>
  </r>
  <r>
    <x v="228"/>
    <x v="1"/>
    <x v="2"/>
    <x v="2"/>
    <n v="0"/>
    <n v="0"/>
    <n v="0"/>
    <n v="0"/>
    <m/>
    <n v="0"/>
    <n v="0"/>
    <n v="0"/>
    <n v="0"/>
    <n v="0"/>
    <n v="0"/>
  </r>
  <r>
    <x v="228"/>
    <x v="232"/>
    <x v="3"/>
    <x v="3"/>
    <n v="98710513.225082919"/>
    <n v="1"/>
    <n v="103702813.05135216"/>
    <n v="1"/>
    <n v="63373858"/>
    <n v="63373858"/>
    <n v="60430874"/>
    <n v="2942984"/>
    <n v="4.8700007218164671"/>
    <n v="6341.0000000036498"/>
    <n v="6396.0000000045802"/>
  </r>
  <r>
    <x v="229"/>
    <x v="233"/>
    <x v="316"/>
    <x v="317"/>
    <n v="858482.55999999994"/>
    <n v="0.46006604010991137"/>
    <n v="910076.45"/>
    <n v="0.4596956745197327"/>
    <m/>
    <n v="661794"/>
    <n v="631932"/>
    <n v="29862"/>
    <n v="4.7255084407816028"/>
    <n v="63"/>
    <n v="63"/>
  </r>
  <r>
    <x v="229"/>
    <x v="233"/>
    <x v="19"/>
    <x v="20"/>
    <n v="1007515.9818504385"/>
    <n v="0.53993395989008863"/>
    <n v="1069660.3638188441"/>
    <n v="0.5403043254802673"/>
    <m/>
    <n v="777841"/>
    <n v="741635"/>
    <n v="36206"/>
    <n v="4.8819163065389306"/>
    <n v="70.999999998199996"/>
    <n v="73.999999994380005"/>
  </r>
  <r>
    <x v="229"/>
    <x v="1"/>
    <x v="2"/>
    <x v="2"/>
    <n v="0"/>
    <n v="0"/>
    <n v="0"/>
    <n v="0"/>
    <m/>
    <n v="0"/>
    <n v="0"/>
    <n v="0"/>
    <n v="0"/>
    <n v="0"/>
    <n v="0"/>
  </r>
  <r>
    <x v="229"/>
    <x v="1"/>
    <x v="2"/>
    <x v="2"/>
    <n v="0"/>
    <n v="0"/>
    <n v="0"/>
    <n v="0"/>
    <m/>
    <n v="0"/>
    <n v="0"/>
    <n v="0"/>
    <n v="0"/>
    <n v="0"/>
    <n v="0"/>
  </r>
  <r>
    <x v="229"/>
    <x v="233"/>
    <x v="3"/>
    <x v="3"/>
    <n v="1865998.5418504383"/>
    <n v="1"/>
    <n v="1979736.813818844"/>
    <n v="1"/>
    <n v="1439635"/>
    <n v="1439635"/>
    <n v="1373567"/>
    <n v="66068"/>
    <n v="4.809958305637803"/>
    <n v="133.9999999982"/>
    <n v="136.99999999438"/>
  </r>
  <r>
    <x v="230"/>
    <x v="234"/>
    <x v="317"/>
    <x v="318"/>
    <n v="33926554.381990001"/>
    <n v="1"/>
    <n v="33089290.707739998"/>
    <n v="1"/>
    <m/>
    <n v="25260111"/>
    <n v="23884371"/>
    <n v="1375740"/>
    <n v="5.760000964647551"/>
    <n v="2599"/>
    <n v="2483"/>
  </r>
  <r>
    <x v="230"/>
    <x v="1"/>
    <x v="2"/>
    <x v="2"/>
    <n v="0"/>
    <n v="0"/>
    <n v="0"/>
    <n v="0"/>
    <m/>
    <n v="0"/>
    <n v="0"/>
    <n v="0"/>
    <n v="0"/>
    <n v="0"/>
    <n v="0"/>
  </r>
  <r>
    <x v="230"/>
    <x v="1"/>
    <x v="2"/>
    <x v="2"/>
    <n v="0"/>
    <n v="0"/>
    <n v="0"/>
    <n v="0"/>
    <m/>
    <n v="0"/>
    <n v="0"/>
    <n v="0"/>
    <n v="0"/>
    <n v="0"/>
    <n v="0"/>
  </r>
  <r>
    <x v="230"/>
    <x v="1"/>
    <x v="2"/>
    <x v="2"/>
    <n v="0"/>
    <n v="0"/>
    <n v="0"/>
    <n v="0"/>
    <m/>
    <n v="0"/>
    <n v="0"/>
    <n v="0"/>
    <n v="0"/>
    <n v="0"/>
    <n v="0"/>
  </r>
  <r>
    <x v="230"/>
    <x v="234"/>
    <x v="3"/>
    <x v="3"/>
    <n v="33926554.381990001"/>
    <n v="1"/>
    <n v="33089290.707739998"/>
    <n v="1"/>
    <n v="25260111"/>
    <n v="25260111"/>
    <n v="23884371"/>
    <n v="1375740"/>
    <n v="5.760000964647551"/>
    <n v="2599"/>
    <n v="2483"/>
  </r>
  <r>
    <x v="231"/>
    <x v="235"/>
    <x v="318"/>
    <x v="319"/>
    <n v="0"/>
    <n v="0"/>
    <n v="0"/>
    <n v="0"/>
    <m/>
    <n v="0"/>
    <n v="0"/>
    <n v="0"/>
    <n v="0"/>
    <n v="0"/>
    <n v="0"/>
  </r>
  <r>
    <x v="231"/>
    <x v="235"/>
    <x v="27"/>
    <x v="28"/>
    <n v="19803746.681728441"/>
    <n v="0.88057550528227369"/>
    <n v="20060441.752641227"/>
    <n v="0.87979104222835747"/>
    <m/>
    <n v="11653324"/>
    <n v="11129499"/>
    <n v="523825"/>
    <n v="4.7066359411146896"/>
    <n v="1511.9999999899201"/>
    <n v="1493.82639108885"/>
  </r>
  <r>
    <x v="231"/>
    <x v="235"/>
    <x v="42"/>
    <x v="43"/>
    <n v="2685803.1217040676"/>
    <n v="0.11942449471772627"/>
    <n v="2740929.0158444592"/>
    <n v="0.12020895777164248"/>
    <m/>
    <n v="1592235"/>
    <n v="1509393"/>
    <n v="82842"/>
    <n v="5.4884314423082659"/>
    <n v="132.00000000329999"/>
    <n v="132.99999999956"/>
  </r>
  <r>
    <x v="231"/>
    <x v="1"/>
    <x v="2"/>
    <x v="2"/>
    <n v="0"/>
    <n v="0"/>
    <n v="0"/>
    <n v="0"/>
    <m/>
    <n v="0"/>
    <n v="0"/>
    <n v="0"/>
    <n v="0"/>
    <n v="0"/>
    <n v="0"/>
  </r>
  <r>
    <x v="231"/>
    <x v="235"/>
    <x v="3"/>
    <x v="3"/>
    <n v="22489549.803432509"/>
    <n v="1"/>
    <n v="22801370.768485688"/>
    <n v="1"/>
    <n v="13245559"/>
    <n v="13245559"/>
    <n v="12638892"/>
    <n v="606667"/>
    <n v="4.8000014558238178"/>
    <n v="1643.9999999932202"/>
    <n v="1626.82639108841"/>
  </r>
  <r>
    <x v="232"/>
    <x v="236"/>
    <x v="319"/>
    <x v="320"/>
    <n v="164907.6"/>
    <n v="0.11636572930411181"/>
    <n v="134882.64000000001"/>
    <n v="9.0996032016719172E-2"/>
    <m/>
    <n v="60567"/>
    <n v="73878"/>
    <n v="-13311"/>
    <n v="-18.017542434824982"/>
    <n v="10"/>
    <n v="8"/>
  </r>
  <r>
    <x v="232"/>
    <x v="236"/>
    <x v="48"/>
    <x v="49"/>
    <n v="1252241.5983608696"/>
    <n v="0.88363427069588818"/>
    <n v="1347408.807337147"/>
    <n v="0.90900396798328087"/>
    <m/>
    <n v="605035"/>
    <n v="560996"/>
    <n v="44039"/>
    <n v="7.8501450990737904"/>
    <n v="87.556132385840002"/>
    <n v="91.56185566648"/>
  </r>
  <r>
    <x v="232"/>
    <x v="1"/>
    <x v="2"/>
    <x v="2"/>
    <n v="0"/>
    <n v="0"/>
    <n v="0"/>
    <n v="0"/>
    <m/>
    <n v="0"/>
    <n v="0"/>
    <n v="0"/>
    <n v="0"/>
    <n v="0"/>
    <n v="0"/>
  </r>
  <r>
    <x v="232"/>
    <x v="1"/>
    <x v="2"/>
    <x v="2"/>
    <n v="0"/>
    <n v="0"/>
    <n v="0"/>
    <n v="0"/>
    <m/>
    <n v="0"/>
    <n v="0"/>
    <n v="0"/>
    <n v="0"/>
    <n v="0"/>
    <n v="0"/>
  </r>
  <r>
    <x v="232"/>
    <x v="236"/>
    <x v="3"/>
    <x v="3"/>
    <n v="1417149.1983608697"/>
    <n v="1"/>
    <n v="1482291.4473371468"/>
    <n v="1"/>
    <n v="665602"/>
    <n v="665602"/>
    <n v="634874"/>
    <n v="30728"/>
    <n v="4.8400154991384117"/>
    <n v="97.556132385840002"/>
    <n v="99.56185566648"/>
  </r>
  <r>
    <x v="233"/>
    <x v="237"/>
    <x v="320"/>
    <x v="321"/>
    <n v="1133842.72"/>
    <n v="0.5074457344014478"/>
    <n v="1204091.5800000003"/>
    <n v="0.50658239421675755"/>
    <m/>
    <n v="666342"/>
    <n v="637636"/>
    <n v="28706"/>
    <n v="4.501941546587708"/>
    <n v="77"/>
    <n v="83"/>
  </r>
  <r>
    <x v="233"/>
    <x v="237"/>
    <x v="288"/>
    <x v="289"/>
    <n v="878869.63823202963"/>
    <n v="0.39333378532058405"/>
    <n v="929664.55387989164"/>
    <n v="0.39112614301557458"/>
    <m/>
    <n v="514474"/>
    <n v="494248"/>
    <n v="20226"/>
    <n v="4.0922775610624624"/>
    <n v="55.000000001799997"/>
    <n v="55.999999997339998"/>
  </r>
  <r>
    <x v="233"/>
    <x v="237"/>
    <x v="25"/>
    <x v="26"/>
    <n v="221699.4086486437"/>
    <n v="9.9220480277968093E-2"/>
    <n v="243135.74737406039"/>
    <n v="0.10229146276766772"/>
    <m/>
    <n v="134551"/>
    <n v="124676"/>
    <n v="9875"/>
    <n v="7.9205300137957586"/>
    <n v="11.01503759035"/>
    <n v="11.9999999988"/>
  </r>
  <r>
    <x v="233"/>
    <x v="1"/>
    <x v="2"/>
    <x v="2"/>
    <n v="0"/>
    <n v="0"/>
    <n v="0"/>
    <n v="0"/>
    <m/>
    <n v="0"/>
    <n v="0"/>
    <n v="0"/>
    <n v="0"/>
    <n v="0"/>
    <n v="0"/>
  </r>
  <r>
    <x v="233"/>
    <x v="237"/>
    <x v="3"/>
    <x v="3"/>
    <n v="2234411.7668806734"/>
    <n v="1"/>
    <n v="2376891.8812539526"/>
    <n v="0.99999999999999989"/>
    <n v="1315367"/>
    <n v="1315367"/>
    <n v="1256560"/>
    <n v="58807"/>
    <n v="4.6799993633411852"/>
    <n v="143.01503759215001"/>
    <n v="150.99999999614002"/>
  </r>
  <r>
    <x v="234"/>
    <x v="238"/>
    <x v="321"/>
    <x v="322"/>
    <n v="0"/>
    <n v="0"/>
    <n v="0"/>
    <n v="0"/>
    <m/>
    <n v="0"/>
    <n v="0"/>
    <n v="0"/>
    <n v="0"/>
    <n v="0"/>
    <n v="0"/>
  </r>
  <r>
    <x v="234"/>
    <x v="238"/>
    <x v="322"/>
    <x v="323"/>
    <n v="2832452.7892744546"/>
    <n v="0.86464624453446626"/>
    <n v="2978965.4490328659"/>
    <n v="0.85967150222704813"/>
    <m/>
    <n v="1500576"/>
    <n v="1450932"/>
    <n v="49644"/>
    <n v="3.421524923290685"/>
    <n v="198.51632047176003"/>
    <n v="207.90575916110001"/>
  </r>
  <r>
    <x v="234"/>
    <x v="238"/>
    <x v="25"/>
    <x v="26"/>
    <n v="443398.8172972874"/>
    <n v="0.13535375546553374"/>
    <n v="486271.49474812078"/>
    <n v="0.14032849777295189"/>
    <m/>
    <n v="244947"/>
    <n v="227132"/>
    <n v="17815"/>
    <n v="7.8434566683690541"/>
    <n v="22.030075180699999"/>
    <n v="23.9999999976"/>
  </r>
  <r>
    <x v="234"/>
    <x v="1"/>
    <x v="2"/>
    <x v="2"/>
    <n v="0"/>
    <n v="0"/>
    <n v="0"/>
    <n v="0"/>
    <m/>
    <n v="0"/>
    <n v="0"/>
    <n v="0"/>
    <n v="0"/>
    <n v="0"/>
    <n v="0"/>
  </r>
  <r>
    <x v="234"/>
    <x v="238"/>
    <x v="3"/>
    <x v="3"/>
    <n v="3275851.6065717419"/>
    <n v="1"/>
    <n v="3465236.9437809866"/>
    <n v="1"/>
    <n v="1745523"/>
    <n v="1745523"/>
    <n v="1678064"/>
    <n v="67459"/>
    <n v="4.0200492949017441"/>
    <n v="220.54639565246003"/>
    <n v="231.90575915869999"/>
  </r>
  <r>
    <x v="235"/>
    <x v="239"/>
    <x v="323"/>
    <x v="324"/>
    <n v="92916030.260000005"/>
    <n v="1"/>
    <n v="97815674.270000011"/>
    <n v="1"/>
    <m/>
    <n v="33854715"/>
    <n v="32068500"/>
    <n v="1786215"/>
    <n v="5.5699985967538241"/>
    <n v="5577"/>
    <n v="5558"/>
  </r>
  <r>
    <x v="235"/>
    <x v="1"/>
    <x v="2"/>
    <x v="2"/>
    <n v="0"/>
    <n v="0"/>
    <n v="0"/>
    <n v="0"/>
    <m/>
    <n v="0"/>
    <n v="0"/>
    <n v="0"/>
    <n v="0"/>
    <n v="0"/>
    <n v="0"/>
  </r>
  <r>
    <x v="235"/>
    <x v="1"/>
    <x v="2"/>
    <x v="2"/>
    <n v="0"/>
    <n v="0"/>
    <n v="0"/>
    <n v="0"/>
    <m/>
    <n v="0"/>
    <n v="0"/>
    <n v="0"/>
    <n v="0"/>
    <n v="0"/>
    <n v="0"/>
  </r>
  <r>
    <x v="235"/>
    <x v="1"/>
    <x v="2"/>
    <x v="2"/>
    <n v="0"/>
    <n v="0"/>
    <n v="0"/>
    <n v="0"/>
    <m/>
    <n v="0"/>
    <n v="0"/>
    <n v="0"/>
    <n v="0"/>
    <n v="0"/>
    <n v="0"/>
  </r>
  <r>
    <x v="235"/>
    <x v="239"/>
    <x v="3"/>
    <x v="3"/>
    <n v="92916030.260000005"/>
    <n v="1"/>
    <n v="97815674.270000011"/>
    <n v="1"/>
    <n v="33854715"/>
    <n v="33854715"/>
    <n v="32068500"/>
    <n v="1786215"/>
    <n v="5.5699985967538241"/>
    <n v="5577"/>
    <n v="5558"/>
  </r>
  <r>
    <x v="236"/>
    <x v="240"/>
    <x v="324"/>
    <x v="325"/>
    <n v="65963.040000000008"/>
    <n v="7.2277584161012792E-2"/>
    <n v="118022.31000000001"/>
    <n v="0.11682268447443243"/>
    <m/>
    <n v="81309"/>
    <n v="46971"/>
    <n v="34338"/>
    <n v="73.104681612058499"/>
    <n v="4"/>
    <n v="7"/>
  </r>
  <r>
    <x v="236"/>
    <x v="240"/>
    <x v="29"/>
    <x v="30"/>
    <n v="846671.77985028899"/>
    <n v="0.92772241583898718"/>
    <n v="892246.46212216537"/>
    <n v="0.88317731552556755"/>
    <m/>
    <n v="614696"/>
    <n v="602894"/>
    <n v="11802"/>
    <n v="1.9575580450294745"/>
    <n v="58.842682924899997"/>
    <n v="59.179104480599996"/>
  </r>
  <r>
    <x v="236"/>
    <x v="1"/>
    <x v="2"/>
    <x v="2"/>
    <n v="0"/>
    <n v="0"/>
    <n v="0"/>
    <n v="0"/>
    <m/>
    <n v="0"/>
    <n v="0"/>
    <n v="0"/>
    <n v="0"/>
    <n v="0"/>
    <n v="0"/>
  </r>
  <r>
    <x v="236"/>
    <x v="1"/>
    <x v="2"/>
    <x v="2"/>
    <n v="0"/>
    <n v="0"/>
    <n v="0"/>
    <n v="0"/>
    <m/>
    <n v="0"/>
    <n v="0"/>
    <n v="0"/>
    <n v="0"/>
    <n v="0"/>
    <n v="0"/>
  </r>
  <r>
    <x v="236"/>
    <x v="240"/>
    <x v="3"/>
    <x v="3"/>
    <n v="912634.81985028903"/>
    <n v="1"/>
    <n v="1010268.7721221654"/>
    <n v="1"/>
    <n v="696005"/>
    <n v="696005"/>
    <n v="649865"/>
    <n v="46140"/>
    <n v="7.0999361405830443"/>
    <n v="62.842682924899997"/>
    <n v="66.179104480599989"/>
  </r>
  <r>
    <x v="237"/>
    <x v="241"/>
    <x v="325"/>
    <x v="326"/>
    <n v="8340185.2700000005"/>
    <n v="0.48748927761434646"/>
    <n v="8367252.290000001"/>
    <n v="0.47158851429143372"/>
    <m/>
    <n v="6374798"/>
    <n v="6122586"/>
    <n v="252212"/>
    <n v="4.1193704751554323"/>
    <n v="655"/>
    <n v="633"/>
  </r>
  <r>
    <x v="237"/>
    <x v="241"/>
    <x v="291"/>
    <x v="292"/>
    <n v="6364984.643587199"/>
    <n v="0.37203751061620383"/>
    <n v="7134607.4095849413"/>
    <n v="0.40211514983956781"/>
    <m/>
    <n v="5435677"/>
    <n v="4672578"/>
    <n v="763099"/>
    <n v="16.331434167605121"/>
    <n v="485.25580168072003"/>
    <n v="532.27129015295998"/>
  </r>
  <r>
    <x v="237"/>
    <x v="241"/>
    <x v="166"/>
    <x v="167"/>
    <n v="2317171.9974342589"/>
    <n v="0.1354402170417755"/>
    <n v="2174765.7500375779"/>
    <n v="0.12257244235575891"/>
    <m/>
    <n v="1656899"/>
    <n v="1701052"/>
    <n v="-44153"/>
    <n v="-2.5956290577830661"/>
    <n v="112.99999999695"/>
    <n v="104.00000000226001"/>
  </r>
  <r>
    <x v="237"/>
    <x v="241"/>
    <x v="39"/>
    <x v="40"/>
    <n v="86106.731818094282"/>
    <n v="5.0329947276740823E-3"/>
    <n v="66071.915625820518"/>
    <n v="3.7238935132395366E-3"/>
    <m/>
    <n v="50339"/>
    <n v="63212"/>
    <n v="-12873"/>
    <n v="-20.364804151110548"/>
    <n v="4.00000000004"/>
    <n v="2.9999999991199999"/>
  </r>
  <r>
    <x v="237"/>
    <x v="241"/>
    <x v="3"/>
    <x v="3"/>
    <n v="17108448.642839555"/>
    <n v="0.99999999999999989"/>
    <n v="17742697.365248341"/>
    <n v="1"/>
    <n v="13517712"/>
    <n v="13517713"/>
    <n v="12559428"/>
    <n v="958285"/>
    <n v="7.6300051244371954"/>
    <n v="1257.25580167771"/>
    <n v="1272.27129015434"/>
  </r>
  <r>
    <x v="238"/>
    <x v="242"/>
    <x v="326"/>
    <x v="327"/>
    <n v="111949866.57694001"/>
    <n v="1"/>
    <n v="112170810.485"/>
    <n v="1"/>
    <m/>
    <n v="88503759"/>
    <n v="83683584"/>
    <n v="4820175"/>
    <n v="5.7600006710993643"/>
    <n v="7691"/>
    <n v="7591"/>
  </r>
  <r>
    <x v="238"/>
    <x v="1"/>
    <x v="2"/>
    <x v="2"/>
    <n v="0"/>
    <n v="0"/>
    <n v="0"/>
    <n v="0"/>
    <m/>
    <n v="0"/>
    <n v="0"/>
    <n v="0"/>
    <n v="0"/>
    <n v="0"/>
    <n v="0"/>
  </r>
  <r>
    <x v="238"/>
    <x v="1"/>
    <x v="2"/>
    <x v="2"/>
    <n v="0"/>
    <n v="0"/>
    <n v="0"/>
    <n v="0"/>
    <m/>
    <n v="0"/>
    <n v="0"/>
    <n v="0"/>
    <n v="0"/>
    <n v="0"/>
    <n v="0"/>
  </r>
  <r>
    <x v="238"/>
    <x v="1"/>
    <x v="2"/>
    <x v="2"/>
    <n v="0"/>
    <n v="0"/>
    <n v="0"/>
    <n v="0"/>
    <m/>
    <n v="0"/>
    <n v="0"/>
    <n v="0"/>
    <n v="0"/>
    <n v="0"/>
    <n v="0"/>
  </r>
  <r>
    <x v="238"/>
    <x v="242"/>
    <x v="3"/>
    <x v="3"/>
    <n v="111949866.57694001"/>
    <n v="1"/>
    <n v="112170810.485"/>
    <n v="1"/>
    <n v="88503759"/>
    <n v="88503759"/>
    <n v="83683584"/>
    <n v="4820175"/>
    <n v="5.7600006710993643"/>
    <n v="7691"/>
    <n v="7591"/>
  </r>
  <r>
    <x v="239"/>
    <x v="243"/>
    <x v="327"/>
    <x v="328"/>
    <n v="3146739.0944000003"/>
    <n v="0.53108831936946144"/>
    <n v="3445673.1154400003"/>
    <n v="0.53952556172622446"/>
    <m/>
    <n v="2338631"/>
    <n v="2196202"/>
    <n v="142429"/>
    <n v="6.4852413393667794"/>
    <n v="251"/>
    <n v="263"/>
  </r>
  <r>
    <x v="239"/>
    <x v="243"/>
    <x v="189"/>
    <x v="190"/>
    <n v="2778337.7330022478"/>
    <n v="0.46891168063053856"/>
    <n v="2940814.1242294046"/>
    <n v="0.46047443827377554"/>
    <m/>
    <n v="1995976"/>
    <n v="1939084"/>
    <n v="56892"/>
    <n v="2.9339626339034308"/>
    <n v="186.06420351806"/>
    <n v="189.73024830512"/>
  </r>
  <r>
    <x v="239"/>
    <x v="1"/>
    <x v="2"/>
    <x v="2"/>
    <n v="0"/>
    <n v="0"/>
    <n v="0"/>
    <n v="0"/>
    <m/>
    <n v="0"/>
    <n v="0"/>
    <n v="0"/>
    <n v="0"/>
    <n v="0"/>
    <n v="0"/>
  </r>
  <r>
    <x v="239"/>
    <x v="1"/>
    <x v="2"/>
    <x v="2"/>
    <n v="0"/>
    <n v="0"/>
    <n v="0"/>
    <n v="0"/>
    <m/>
    <n v="0"/>
    <n v="0"/>
    <n v="0"/>
    <n v="0"/>
    <n v="0"/>
    <n v="0"/>
  </r>
  <r>
    <x v="239"/>
    <x v="243"/>
    <x v="3"/>
    <x v="3"/>
    <n v="5925076.827402248"/>
    <n v="1"/>
    <n v="6386487.2396694049"/>
    <n v="1"/>
    <n v="4334607"/>
    <n v="4334607"/>
    <n v="4135286"/>
    <n v="199321"/>
    <n v="4.8200051943202959"/>
    <n v="437.06420351806003"/>
    <n v="452.73024830511997"/>
  </r>
  <r>
    <x v="240"/>
    <x v="244"/>
    <x v="328"/>
    <x v="329"/>
    <n v="16490.760000000002"/>
    <n v="2.9700802718138526E-3"/>
    <n v="0"/>
    <n v="0"/>
    <m/>
    <n v="0"/>
    <n v="13140"/>
    <n v="-13140"/>
    <n v="-100"/>
    <n v="1"/>
    <n v="0"/>
  </r>
  <r>
    <x v="240"/>
    <x v="244"/>
    <x v="209"/>
    <x v="210"/>
    <n v="5031941.3270848254"/>
    <n v="0.90628143666510541"/>
    <n v="5371859.8726635063"/>
    <n v="0.91383141025679027"/>
    <m/>
    <n v="4223374"/>
    <n v="4009651"/>
    <n v="213723"/>
    <n v="5.3302145249050357"/>
    <n v="406.80839970567996"/>
    <n v="422.76413856030001"/>
  </r>
  <r>
    <x v="240"/>
    <x v="244"/>
    <x v="25"/>
    <x v="26"/>
    <n v="503862.29246369755"/>
    <n v="9.0748483063080754E-2"/>
    <n v="506532.80717882095"/>
    <n v="8.6168589743209775E-2"/>
    <m/>
    <n v="398238"/>
    <n v="401498"/>
    <n v="-3260"/>
    <n v="-0.81195921274825777"/>
    <n v="25.034176345699997"/>
    <n v="25.00000000488"/>
  </r>
  <r>
    <x v="240"/>
    <x v="1"/>
    <x v="2"/>
    <x v="2"/>
    <n v="0"/>
    <n v="0"/>
    <n v="0"/>
    <n v="0"/>
    <m/>
    <n v="0"/>
    <n v="0"/>
    <n v="0"/>
    <n v="0"/>
    <n v="0"/>
    <n v="0"/>
  </r>
  <r>
    <x v="240"/>
    <x v="244"/>
    <x v="3"/>
    <x v="3"/>
    <n v="5552294.3795485226"/>
    <n v="1"/>
    <n v="5878392.6798423268"/>
    <n v="1"/>
    <n v="4621612"/>
    <n v="4621612"/>
    <n v="4424289"/>
    <n v="197323"/>
    <n v="4.4599934588359851"/>
    <n v="432.84257605137998"/>
    <n v="447.76413856518002"/>
  </r>
  <r>
    <x v="241"/>
    <x v="245"/>
    <x v="329"/>
    <x v="330"/>
    <n v="1708796.98"/>
    <n v="0.89712506417369497"/>
    <n v="1580908.4799999997"/>
    <n v="0.9235021616895488"/>
    <m/>
    <n v="1304249"/>
    <n v="1409758"/>
    <n v="-105509"/>
    <n v="-7.4841923223702223"/>
    <n v="98"/>
    <n v="87"/>
  </r>
  <r>
    <x v="241"/>
    <x v="245"/>
    <x v="44"/>
    <x v="45"/>
    <n v="195950.8062787198"/>
    <n v="0.102874935826305"/>
    <n v="130953.7609153058"/>
    <n v="7.649783831045126E-2"/>
    <m/>
    <n v="108037"/>
    <n v="161659"/>
    <n v="-53622"/>
    <n v="-33.169820424473741"/>
    <n v="9.0269865045299991"/>
    <n v="6.0090090096699997"/>
  </r>
  <r>
    <x v="241"/>
    <x v="1"/>
    <x v="2"/>
    <x v="2"/>
    <n v="0"/>
    <n v="0"/>
    <n v="0"/>
    <n v="0"/>
    <m/>
    <n v="0"/>
    <n v="0"/>
    <n v="0"/>
    <n v="0"/>
    <n v="0"/>
    <n v="0"/>
  </r>
  <r>
    <x v="241"/>
    <x v="1"/>
    <x v="2"/>
    <x v="2"/>
    <n v="0"/>
    <n v="0"/>
    <n v="0"/>
    <n v="0"/>
    <m/>
    <n v="0"/>
    <n v="0"/>
    <n v="0"/>
    <n v="0"/>
    <n v="0"/>
    <n v="0"/>
  </r>
  <r>
    <x v="241"/>
    <x v="245"/>
    <x v="3"/>
    <x v="3"/>
    <n v="1904747.7862787198"/>
    <n v="1"/>
    <n v="1711862.2409153054"/>
    <n v="1"/>
    <n v="1412286"/>
    <n v="1412286"/>
    <n v="1571417"/>
    <n v="-159131"/>
    <n v="-10.126592750364798"/>
    <n v="107.02698650453"/>
    <n v="93.009009009669995"/>
  </r>
  <r>
    <x v="242"/>
    <x v="246"/>
    <x v="330"/>
    <x v="331"/>
    <n v="164068488.81255996"/>
    <n v="0.99790511027845641"/>
    <n v="167877095.85800001"/>
    <n v="0.99725255726220974"/>
    <m/>
    <n v="127478124"/>
    <n v="118960682"/>
    <n v="8517442"/>
    <n v="7.1598799341113395"/>
    <n v="9715"/>
    <n v="9799"/>
  </r>
  <r>
    <x v="242"/>
    <x v="246"/>
    <x v="39"/>
    <x v="40"/>
    <n v="344426.92727237713"/>
    <n v="2.0948897215435293E-3"/>
    <n v="462503.40948998259"/>
    <n v="2.7474427377902279E-3"/>
    <m/>
    <n v="351204"/>
    <n v="249733"/>
    <n v="101471"/>
    <n v="40.631794756800261"/>
    <n v="16.00000000016"/>
    <n v="20.9999999988"/>
  </r>
  <r>
    <x v="242"/>
    <x v="1"/>
    <x v="2"/>
    <x v="2"/>
    <n v="0"/>
    <n v="0"/>
    <n v="0"/>
    <n v="0"/>
    <m/>
    <n v="0"/>
    <n v="0"/>
    <n v="0"/>
    <n v="0"/>
    <n v="0"/>
    <n v="0"/>
  </r>
  <r>
    <x v="242"/>
    <x v="1"/>
    <x v="2"/>
    <x v="2"/>
    <n v="0"/>
    <n v="0"/>
    <n v="0"/>
    <n v="0"/>
    <m/>
    <n v="0"/>
    <n v="0"/>
    <n v="0"/>
    <n v="0"/>
    <n v="0"/>
    <n v="0"/>
  </r>
  <r>
    <x v="242"/>
    <x v="246"/>
    <x v="3"/>
    <x v="3"/>
    <n v="164412915.73983234"/>
    <n v="0.99999999999999989"/>
    <n v="168339599.26749"/>
    <n v="1"/>
    <n v="127829328"/>
    <n v="127829328"/>
    <n v="119210415"/>
    <n v="8618913"/>
    <n v="7.2299999962251622"/>
    <n v="9731.0000000001601"/>
    <n v="9819.9999999987995"/>
  </r>
  <r>
    <x v="243"/>
    <x v="247"/>
    <x v="331"/>
    <x v="332"/>
    <n v="50608513.309120007"/>
    <n v="0.89438208969528199"/>
    <n v="53653467.411599994"/>
    <n v="0.89138386328346453"/>
    <m/>
    <n v="27738483"/>
    <n v="26405867"/>
    <n v="1332616"/>
    <n v="5.0466663336598643"/>
    <n v="3050"/>
    <n v="3105"/>
  </r>
  <r>
    <x v="243"/>
    <x v="247"/>
    <x v="38"/>
    <x v="39"/>
    <n v="5868744.5571508575"/>
    <n v="0.10371575210778831"/>
    <n v="6383568.1731511848"/>
    <n v="0.1060548354883516"/>
    <m/>
    <n v="3300262"/>
    <n v="3062119"/>
    <n v="238143"/>
    <n v="7.777065489616831"/>
    <n v="268.99999999925001"/>
    <n v="287.00000000064"/>
  </r>
  <r>
    <x v="243"/>
    <x v="247"/>
    <x v="39"/>
    <x v="40"/>
    <n v="107633.41477261785"/>
    <n v="1.9021581969297899E-3"/>
    <n v="154167.80316332754"/>
    <n v="2.5613012281838201E-3"/>
    <m/>
    <n v="79704"/>
    <n v="56160"/>
    <n v="23544"/>
    <n v="41.92307692307692"/>
    <n v="5.00000000005"/>
    <n v="6.9999999996"/>
  </r>
  <r>
    <x v="243"/>
    <x v="1"/>
    <x v="2"/>
    <x v="2"/>
    <n v="0"/>
    <n v="0"/>
    <n v="0"/>
    <n v="0"/>
    <m/>
    <n v="0"/>
    <n v="0"/>
    <n v="0"/>
    <n v="0"/>
    <n v="0"/>
    <n v="0"/>
  </r>
  <r>
    <x v="243"/>
    <x v="247"/>
    <x v="3"/>
    <x v="3"/>
    <n v="56584891.281043477"/>
    <n v="1"/>
    <n v="60191203.387914509"/>
    <n v="0.99999999999999989"/>
    <n v="31118449"/>
    <n v="31118449"/>
    <n v="29524146"/>
    <n v="1594303"/>
    <n v="5.3999970058405751"/>
    <n v="3323.9999999993001"/>
    <n v="3399.0000000002397"/>
  </r>
  <r>
    <x v="244"/>
    <x v="248"/>
    <x v="332"/>
    <x v="333"/>
    <n v="0"/>
    <n v="0"/>
    <n v="0"/>
    <n v="0"/>
    <m/>
    <n v="0"/>
    <n v="0"/>
    <n v="0"/>
    <n v="0"/>
    <n v="0"/>
    <n v="0"/>
  </r>
  <r>
    <x v="244"/>
    <x v="248"/>
    <x v="85"/>
    <x v="86"/>
    <n v="28548915.093928687"/>
    <n v="0.8729108817693173"/>
    <n v="29618424.446628749"/>
    <n v="0.88615623825563528"/>
    <m/>
    <n v="17619629"/>
    <n v="16512481"/>
    <n v="1107148"/>
    <n v="6.7049161176930347"/>
    <n v="2186.1578391552603"/>
    <n v="2204.5113616757399"/>
  </r>
  <r>
    <x v="244"/>
    <x v="248"/>
    <x v="58"/>
    <x v="59"/>
    <n v="3810341.5874906578"/>
    <n v="0.11650490479360134"/>
    <n v="3596578.8215634432"/>
    <n v="0.10760635714602687"/>
    <m/>
    <n v="2139560"/>
    <n v="2203873"/>
    <n v="-64313"/>
    <n v="-2.9181808570639052"/>
    <n v="189.00228483840002"/>
    <n v="177.52135493166"/>
  </r>
  <r>
    <x v="244"/>
    <x v="248"/>
    <x v="9"/>
    <x v="9"/>
    <n v="346161.12258651888"/>
    <n v="1.0584213437081361E-2"/>
    <n v="208475.76179408262"/>
    <n v="6.2374045983377754E-3"/>
    <m/>
    <n v="124020"/>
    <n v="200217"/>
    <n v="-76197"/>
    <n v="-38.057207929396604"/>
    <n v="17.000000001980002"/>
    <n v="9.9999999978199998"/>
  </r>
  <r>
    <x v="244"/>
    <x v="248"/>
    <x v="3"/>
    <x v="3"/>
    <n v="32705417.804005865"/>
    <n v="1"/>
    <n v="33423479.029986277"/>
    <n v="0.99999999999999989"/>
    <n v="19883208"/>
    <n v="19883209"/>
    <n v="18916571"/>
    <n v="966638"/>
    <n v="5.1100064594159269"/>
    <n v="2392.1601239956403"/>
    <n v="2392.0327166052198"/>
  </r>
  <r>
    <x v="245"/>
    <x v="249"/>
    <x v="333"/>
    <x v="334"/>
    <n v="46064559.298859999"/>
    <n v="0.98475710033999653"/>
    <n v="47040957.59142001"/>
    <n v="0.9821489611087858"/>
    <m/>
    <n v="38808790"/>
    <n v="37284680"/>
    <n v="1524110"/>
    <n v="4.0877647333972025"/>
    <n v="3708"/>
    <n v="3676"/>
  </r>
  <r>
    <x v="245"/>
    <x v="249"/>
    <x v="107"/>
    <x v="108"/>
    <n v="713026.03965219145"/>
    <n v="1.5242899660003485E-2"/>
    <n v="854992.46722859028"/>
    <n v="1.7851038891214224E-2"/>
    <m/>
    <n v="705369"/>
    <n v="577124"/>
    <n v="128245"/>
    <n v="22.221394362390058"/>
    <n v="31.00000000196"/>
    <n v="36.000000004699999"/>
  </r>
  <r>
    <x v="245"/>
    <x v="1"/>
    <x v="2"/>
    <x v="18"/>
    <n v="0"/>
    <n v="0"/>
    <n v="0"/>
    <n v="0"/>
    <m/>
    <n v="0"/>
    <n v="0"/>
    <n v="0"/>
    <n v="0"/>
    <n v="0"/>
    <n v="0"/>
  </r>
  <r>
    <x v="245"/>
    <x v="1"/>
    <x v="2"/>
    <x v="2"/>
    <n v="0"/>
    <n v="0"/>
    <n v="0"/>
    <n v="0"/>
    <m/>
    <n v="0"/>
    <n v="0"/>
    <n v="0"/>
    <n v="0"/>
    <n v="0"/>
    <n v="0"/>
  </r>
  <r>
    <x v="245"/>
    <x v="249"/>
    <x v="3"/>
    <x v="3"/>
    <n v="46777585.33851219"/>
    <n v="1"/>
    <n v="47895950.058648601"/>
    <n v="1"/>
    <n v="39514159"/>
    <n v="39514159"/>
    <n v="37861804"/>
    <n v="1652355"/>
    <n v="4.364173983891523"/>
    <n v="3739.00000000196"/>
    <n v="3712.0000000046998"/>
  </r>
  <r>
    <x v="246"/>
    <x v="250"/>
    <x v="334"/>
    <x v="335"/>
    <n v="0"/>
    <n v="0"/>
    <n v="0"/>
    <n v="0"/>
    <m/>
    <n v="0"/>
    <n v="0"/>
    <n v="0"/>
    <n v="0"/>
    <n v="0"/>
    <n v="0"/>
  </r>
  <r>
    <x v="246"/>
    <x v="250"/>
    <x v="134"/>
    <x v="135"/>
    <n v="18701103.000282004"/>
    <n v="0.89946215286119879"/>
    <n v="19435684.052628122"/>
    <n v="0.9114648481628389"/>
    <m/>
    <n v="16034439"/>
    <n v="15146359"/>
    <n v="888080"/>
    <n v="5.8633233241071334"/>
    <n v="1447.08461538858"/>
    <n v="1459.9779299878298"/>
  </r>
  <r>
    <x v="246"/>
    <x v="250"/>
    <x v="58"/>
    <x v="59"/>
    <n v="1499815.3057030835"/>
    <n v="7.2136231950678503E-2"/>
    <n v="1158220.298563123"/>
    <n v="5.4316435979839088E-2"/>
    <m/>
    <n v="955532"/>
    <n v="1214727"/>
    <n v="-259195"/>
    <n v="-21.337716211132214"/>
    <n v="74.394516371999998"/>
    <n v="57.167893965660006"/>
  </r>
  <r>
    <x v="246"/>
    <x v="250"/>
    <x v="9"/>
    <x v="9"/>
    <n v="590510.15022465098"/>
    <n v="2.8401615188122599E-2"/>
    <n v="729665.16638582025"/>
    <n v="3.4218715857321898E-2"/>
    <m/>
    <n v="601974"/>
    <n v="478265"/>
    <n v="123709"/>
    <n v="25.866203882784649"/>
    <n v="28.999999999939998"/>
    <n v="34.999999997480003"/>
  </r>
  <r>
    <x v="246"/>
    <x v="250"/>
    <x v="3"/>
    <x v="3"/>
    <n v="20791428.456209742"/>
    <n v="0.99999999999999989"/>
    <n v="21323569.517577067"/>
    <n v="0.99999999999999989"/>
    <n v="17591945"/>
    <n v="17591945"/>
    <n v="16839351"/>
    <n v="752594"/>
    <n v="4.469257752273232"/>
    <n v="1550.47913176052"/>
    <n v="1552.1458239509698"/>
  </r>
  <r>
    <x v="247"/>
    <x v="251"/>
    <x v="335"/>
    <x v="336"/>
    <n v="142967579.12336001"/>
    <n v="0.96044349452531264"/>
    <n v="150716408.54799998"/>
    <n v="0.95832081167466132"/>
    <m/>
    <n v="48522644"/>
    <n v="44549397"/>
    <n v="3973247"/>
    <n v="8.9187447363204484"/>
    <n v="7955"/>
    <n v="8010"/>
  </r>
  <r>
    <x v="247"/>
    <x v="251"/>
    <x v="107"/>
    <x v="108"/>
    <n v="5888215.0366285229"/>
    <n v="3.9556505474687371E-2"/>
    <n v="6554942.2480071774"/>
    <n v="4.167918832533863E-2"/>
    <m/>
    <n v="2110342"/>
    <n v="1834797"/>
    <n v="275545"/>
    <n v="15.01773765708141"/>
    <n v="255.99999999447999"/>
    <n v="276.00000000465002"/>
  </r>
  <r>
    <x v="247"/>
    <x v="1"/>
    <x v="2"/>
    <x v="18"/>
    <n v="0"/>
    <n v="0"/>
    <n v="0"/>
    <n v="0"/>
    <m/>
    <n v="0"/>
    <n v="0"/>
    <n v="0"/>
    <n v="0"/>
    <n v="0"/>
    <n v="0"/>
  </r>
  <r>
    <x v="247"/>
    <x v="1"/>
    <x v="2"/>
    <x v="2"/>
    <n v="0"/>
    <n v="0"/>
    <n v="0"/>
    <n v="0"/>
    <m/>
    <n v="0"/>
    <n v="0"/>
    <n v="0"/>
    <n v="0"/>
    <n v="0"/>
    <n v="0"/>
  </r>
  <r>
    <x v="247"/>
    <x v="251"/>
    <x v="3"/>
    <x v="3"/>
    <n v="148855794.15998852"/>
    <n v="1"/>
    <n v="157271350.79600716"/>
    <n v="1"/>
    <n v="50632986"/>
    <n v="50632986"/>
    <n v="46384194"/>
    <n v="4248792"/>
    <n v="9.1599996326334789"/>
    <n v="8210.9999999944794"/>
    <n v="8286.0000000046493"/>
  </r>
  <r>
    <x v="248"/>
    <x v="252"/>
    <x v="336"/>
    <x v="337"/>
    <n v="1653453.7499999998"/>
    <n v="1"/>
    <n v="1660447.3899999997"/>
    <n v="1"/>
    <m/>
    <n v="1369869"/>
    <n v="1364099"/>
    <n v="5770"/>
    <n v="0.42298982698469834"/>
    <n v="120"/>
    <n v="122"/>
  </r>
  <r>
    <x v="248"/>
    <x v="1"/>
    <x v="2"/>
    <x v="2"/>
    <n v="0"/>
    <n v="0"/>
    <n v="0"/>
    <n v="0"/>
    <m/>
    <n v="0"/>
    <n v="0"/>
    <n v="0"/>
    <n v="0"/>
    <n v="0"/>
    <n v="0"/>
  </r>
  <r>
    <x v="248"/>
    <x v="1"/>
    <x v="2"/>
    <x v="2"/>
    <n v="0"/>
    <n v="0"/>
    <n v="0"/>
    <n v="0"/>
    <m/>
    <n v="0"/>
    <n v="0"/>
    <n v="0"/>
    <n v="0"/>
    <n v="0"/>
    <n v="0"/>
  </r>
  <r>
    <x v="248"/>
    <x v="1"/>
    <x v="2"/>
    <x v="2"/>
    <n v="0"/>
    <n v="0"/>
    <n v="0"/>
    <n v="0"/>
    <m/>
    <n v="0"/>
    <n v="0"/>
    <n v="0"/>
    <n v="0"/>
    <n v="0"/>
    <n v="0"/>
  </r>
  <r>
    <x v="248"/>
    <x v="252"/>
    <x v="3"/>
    <x v="3"/>
    <n v="1653453.7499999998"/>
    <n v="1"/>
    <n v="1660447.3899999997"/>
    <n v="1"/>
    <n v="1369869"/>
    <n v="1369869"/>
    <n v="1364099"/>
    <n v="5770"/>
    <n v="0.42298982698469834"/>
    <n v="120"/>
    <n v="122"/>
  </r>
  <r>
    <x v="249"/>
    <x v="253"/>
    <x v="337"/>
    <x v="338"/>
    <n v="6163095.8600000003"/>
    <n v="0.49332215827298564"/>
    <n v="6292946.6200000001"/>
    <n v="0.49941438485949302"/>
    <m/>
    <n v="4161563"/>
    <n v="3840072"/>
    <n v="321491"/>
    <n v="8.3720044832492722"/>
    <n v="499"/>
    <n v="500"/>
  </r>
  <r>
    <x v="249"/>
    <x v="253"/>
    <x v="247"/>
    <x v="248"/>
    <n v="4522876.8329250934"/>
    <n v="0.36203158469475644"/>
    <n v="4374845.4707159204"/>
    <n v="0.34719200583540477"/>
    <m/>
    <n v="2893111"/>
    <n v="2818093"/>
    <n v="75018"/>
    <n v="2.6620129286010079"/>
    <n v="338.00000000430998"/>
    <n v="312.00000000221002"/>
  </r>
  <r>
    <x v="249"/>
    <x v="253"/>
    <x v="8"/>
    <x v="8"/>
    <n v="1807072.179771621"/>
    <n v="0.14464625703225792"/>
    <n v="1932859.4138867743"/>
    <n v="0.15339360930510224"/>
    <m/>
    <n v="1278211"/>
    <n v="1125942"/>
    <n v="152269"/>
    <n v="13.523698378779724"/>
    <n v="93.000000001539988"/>
    <n v="97.999999998110013"/>
  </r>
  <r>
    <x v="249"/>
    <x v="1"/>
    <x v="2"/>
    <x v="2"/>
    <n v="0"/>
    <n v="0"/>
    <n v="0"/>
    <n v="0"/>
    <m/>
    <n v="0"/>
    <n v="0"/>
    <n v="0"/>
    <n v="0"/>
    <n v="0"/>
    <n v="0"/>
  </r>
  <r>
    <x v="249"/>
    <x v="253"/>
    <x v="3"/>
    <x v="3"/>
    <n v="12493044.872696714"/>
    <n v="1"/>
    <n v="12600651.504602695"/>
    <n v="1"/>
    <n v="8332886"/>
    <n v="8332885"/>
    <n v="7784107"/>
    <n v="548778"/>
    <n v="7.0499801711358794"/>
    <n v="930.00000000584998"/>
    <n v="910.00000000032014"/>
  </r>
  <r>
    <x v="250"/>
    <x v="254"/>
    <x v="338"/>
    <x v="339"/>
    <n v="34848972.482560009"/>
    <n v="0.92486352898542601"/>
    <n v="35665890.654100001"/>
    <n v="0.92478484020586849"/>
    <m/>
    <n v="17102717"/>
    <n v="16311436"/>
    <n v="791281"/>
    <n v="4.851081167838319"/>
    <n v="2213"/>
    <n v="2186"/>
  </r>
  <r>
    <x v="250"/>
    <x v="254"/>
    <x v="1"/>
    <x v="1"/>
    <n v="2831151.5469703567"/>
    <n v="7.5136471014573866E-2"/>
    <n v="2900799.784035142"/>
    <n v="7.5215159794131611E-2"/>
    <m/>
    <n v="1391008"/>
    <n v="1325151"/>
    <n v="65857"/>
    <n v="4.9697732560289358"/>
    <n v="136.0000000002"/>
    <n v="139.00000000263"/>
  </r>
  <r>
    <x v="250"/>
    <x v="1"/>
    <x v="2"/>
    <x v="2"/>
    <n v="0"/>
    <n v="0"/>
    <n v="0"/>
    <n v="0"/>
    <m/>
    <n v="0"/>
    <n v="0"/>
    <n v="0"/>
    <n v="0"/>
    <n v="0"/>
    <n v="0"/>
  </r>
  <r>
    <x v="250"/>
    <x v="1"/>
    <x v="2"/>
    <x v="2"/>
    <n v="0"/>
    <n v="0"/>
    <n v="0"/>
    <n v="0"/>
    <m/>
    <n v="0"/>
    <n v="0"/>
    <n v="0"/>
    <n v="0"/>
    <n v="0"/>
    <n v="0"/>
  </r>
  <r>
    <x v="250"/>
    <x v="254"/>
    <x v="3"/>
    <x v="3"/>
    <n v="37680124.029530369"/>
    <n v="0.99999999999999989"/>
    <n v="38566690.43813514"/>
    <n v="1"/>
    <n v="18493725"/>
    <n v="18493725"/>
    <n v="17636587"/>
    <n v="857138"/>
    <n v="4.8599992731019892"/>
    <n v="2349.0000000002001"/>
    <n v="2325.0000000026298"/>
  </r>
  <r>
    <x v="251"/>
    <x v="255"/>
    <x v="339"/>
    <x v="340"/>
    <n v="8129580.1188599998"/>
    <n v="0.97171509977583193"/>
    <n v="7652804.31757"/>
    <n v="0.96195760157204468"/>
    <m/>
    <n v="6313563"/>
    <n v="6706904"/>
    <n v="-393341"/>
    <n v="-5.8647179085909089"/>
    <n v="587"/>
    <n v="555"/>
  </r>
  <r>
    <x v="251"/>
    <x v="255"/>
    <x v="66"/>
    <x v="67"/>
    <n v="236637.63440475694"/>
    <n v="2.828490022416804E-2"/>
    <n v="302644.34780119668"/>
    <n v="3.804239842795535E-2"/>
    <m/>
    <n v="249682"/>
    <n v="195226"/>
    <n v="54456"/>
    <n v="27.893825617489473"/>
    <n v="12.000000000329999"/>
    <n v="14.999999996249999"/>
  </r>
  <r>
    <x v="251"/>
    <x v="1"/>
    <x v="2"/>
    <x v="18"/>
    <n v="0"/>
    <n v="0"/>
    <n v="0"/>
    <n v="0"/>
    <m/>
    <n v="0"/>
    <n v="0"/>
    <n v="0"/>
    <n v="0"/>
    <n v="0"/>
    <n v="0"/>
  </r>
  <r>
    <x v="251"/>
    <x v="1"/>
    <x v="2"/>
    <x v="2"/>
    <n v="0"/>
    <n v="0"/>
    <n v="0"/>
    <n v="0"/>
    <m/>
    <n v="0"/>
    <n v="0"/>
    <n v="0"/>
    <n v="0"/>
    <n v="0"/>
    <n v="0"/>
  </r>
  <r>
    <x v="251"/>
    <x v="255"/>
    <x v="3"/>
    <x v="3"/>
    <n v="8366217.7532647569"/>
    <n v="1"/>
    <n v="7955448.6653711963"/>
    <n v="1"/>
    <n v="6563245"/>
    <n v="6563245"/>
    <n v="6902130"/>
    <n v="-338885"/>
    <n v="-4.9098611588017036"/>
    <n v="599.00000000033003"/>
    <n v="569.99999999625004"/>
  </r>
  <r>
    <x v="252"/>
    <x v="256"/>
    <x v="340"/>
    <x v="341"/>
    <n v="751366.82"/>
    <n v="1"/>
    <n v="784243.28"/>
    <n v="1"/>
    <m/>
    <n v="647001"/>
    <n v="619878"/>
    <n v="27123"/>
    <n v="4.3755384123972778"/>
    <n v="41"/>
    <n v="45"/>
  </r>
  <r>
    <x v="252"/>
    <x v="1"/>
    <x v="2"/>
    <x v="2"/>
    <n v="0"/>
    <n v="0"/>
    <n v="0"/>
    <n v="0"/>
    <m/>
    <n v="0"/>
    <n v="0"/>
    <n v="0"/>
    <n v="0"/>
    <n v="0"/>
    <n v="0"/>
  </r>
  <r>
    <x v="252"/>
    <x v="1"/>
    <x v="2"/>
    <x v="2"/>
    <n v="0"/>
    <n v="0"/>
    <n v="0"/>
    <n v="0"/>
    <m/>
    <n v="0"/>
    <n v="0"/>
    <n v="0"/>
    <n v="0"/>
    <n v="0"/>
    <n v="0"/>
  </r>
  <r>
    <x v="252"/>
    <x v="1"/>
    <x v="2"/>
    <x v="2"/>
    <n v="0"/>
    <n v="0"/>
    <n v="0"/>
    <n v="0"/>
    <m/>
    <n v="0"/>
    <n v="0"/>
    <n v="0"/>
    <n v="0"/>
    <n v="0"/>
    <n v="0"/>
  </r>
  <r>
    <x v="252"/>
    <x v="256"/>
    <x v="3"/>
    <x v="3"/>
    <n v="751366.82"/>
    <n v="1"/>
    <n v="784243.28"/>
    <n v="1"/>
    <n v="647001"/>
    <n v="647001"/>
    <n v="619878"/>
    <n v="27123"/>
    <n v="4.3755384123972778"/>
    <n v="41"/>
    <n v="45"/>
  </r>
  <r>
    <x v="253"/>
    <x v="257"/>
    <x v="341"/>
    <x v="342"/>
    <n v="102026.38446"/>
    <n v="9.712732958471585E-3"/>
    <n v="86837.768100000001"/>
    <n v="8.3438112156503756E-3"/>
    <m/>
    <n v="67825"/>
    <n v="75107"/>
    <n v="-7282"/>
    <n v="-9.6955010851185648"/>
    <n v="6"/>
    <n v="5"/>
  </r>
  <r>
    <x v="253"/>
    <x v="257"/>
    <x v="283"/>
    <x v="284"/>
    <n v="9923979.5564909633"/>
    <n v="0.94474545802725973"/>
    <n v="9893691.7141481172"/>
    <n v="0.95063585459304589"/>
    <m/>
    <n v="7727538"/>
    <n v="7305609"/>
    <n v="421929"/>
    <n v="5.7754117418547857"/>
    <n v="725.84081813216005"/>
    <n v="708.04434179555994"/>
  </r>
  <r>
    <x v="253"/>
    <x v="257"/>
    <x v="17"/>
    <x v="17"/>
    <n v="478389.15528311144"/>
    <n v="4.5541809014268554E-2"/>
    <n v="426916.92990458745"/>
    <n v="4.1020334191303583E-2"/>
    <m/>
    <n v="333447"/>
    <n v="352170"/>
    <n v="-18723"/>
    <n v="-5.3164664792571772"/>
    <n v="23.00000000475"/>
    <n v="20.047095765009999"/>
  </r>
  <r>
    <x v="253"/>
    <x v="1"/>
    <x v="2"/>
    <x v="18"/>
    <n v="0"/>
    <n v="0"/>
    <n v="0"/>
    <n v="0"/>
    <m/>
    <n v="0"/>
    <n v="0"/>
    <n v="0"/>
    <n v="0"/>
    <n v="0"/>
    <n v="0"/>
  </r>
  <r>
    <x v="253"/>
    <x v="257"/>
    <x v="3"/>
    <x v="3"/>
    <n v="10504395.096234076"/>
    <n v="0.99999999999999989"/>
    <n v="10407446.412152706"/>
    <n v="0.99999999999999989"/>
    <n v="8128810"/>
    <n v="8128810"/>
    <n v="7732886"/>
    <n v="395924"/>
    <n v="5.1200030622461004"/>
    <n v="754.84081813691"/>
    <n v="733.09143756056994"/>
  </r>
  <r>
    <x v="254"/>
    <x v="258"/>
    <x v="342"/>
    <x v="343"/>
    <n v="0"/>
    <n v="0"/>
    <n v="0"/>
    <n v="0"/>
    <m/>
    <n v="0"/>
    <n v="0"/>
    <n v="0"/>
    <n v="0"/>
    <n v="0"/>
    <n v="0"/>
  </r>
  <r>
    <x v="254"/>
    <x v="258"/>
    <x v="33"/>
    <x v="34"/>
    <n v="1811048.0943022633"/>
    <n v="0.89985808566260717"/>
    <n v="1888291.608356575"/>
    <n v="0.89443064607913358"/>
    <m/>
    <n v="677650"/>
    <n v="643839"/>
    <n v="33811"/>
    <n v="5.2514681465397404"/>
    <n v="113.91226096842"/>
    <n v="116.69634955611001"/>
  </r>
  <r>
    <x v="254"/>
    <x v="258"/>
    <x v="25"/>
    <x v="26"/>
    <n v="201544.91692650699"/>
    <n v="0.10014191433739283"/>
    <n v="222874.43524241718"/>
    <n v="0.10556935392086635"/>
    <m/>
    <n v="79983"/>
    <n v="71651"/>
    <n v="8332"/>
    <n v="11.628588575176899"/>
    <n v="10.01367053535"/>
    <n v="11.000000006279999"/>
  </r>
  <r>
    <x v="254"/>
    <x v="1"/>
    <x v="2"/>
    <x v="2"/>
    <n v="0"/>
    <n v="0"/>
    <n v="0"/>
    <n v="0"/>
    <m/>
    <n v="0"/>
    <n v="0"/>
    <n v="0"/>
    <n v="0"/>
    <n v="0"/>
    <n v="0"/>
  </r>
  <r>
    <x v="254"/>
    <x v="258"/>
    <x v="3"/>
    <x v="3"/>
    <n v="2012593.0112287703"/>
    <n v="1"/>
    <n v="2111166.0435989923"/>
    <n v="0.99999999999999989"/>
    <n v="757633"/>
    <n v="757633"/>
    <n v="715490"/>
    <n v="42143"/>
    <n v="5.8900893094243107"/>
    <n v="123.92593150377"/>
    <n v="127.69634956239001"/>
  </r>
  <r>
    <x v="255"/>
    <x v="259"/>
    <x v="343"/>
    <x v="344"/>
    <n v="344095.56"/>
    <n v="0.10359098136308685"/>
    <n v="267378.24"/>
    <n v="7.6286861965782937E-2"/>
    <m/>
    <n v="106157"/>
    <n v="136909"/>
    <n v="-30752"/>
    <n v="-22.461635100687317"/>
    <n v="19"/>
    <n v="14"/>
  </r>
  <r>
    <x v="255"/>
    <x v="259"/>
    <x v="71"/>
    <x v="72"/>
    <n v="2977579.3143208013"/>
    <n v="0.89640901863691314"/>
    <n v="3237527.2327133431"/>
    <n v="0.92371313803421717"/>
    <m/>
    <n v="1285387"/>
    <n v="1184721"/>
    <n v="100666"/>
    <n v="8.4970216616401668"/>
    <n v="202.25121951162001"/>
    <n v="206.98757763849997"/>
  </r>
  <r>
    <x v="255"/>
    <x v="1"/>
    <x v="2"/>
    <x v="2"/>
    <n v="0"/>
    <n v="0"/>
    <n v="0"/>
    <n v="0"/>
    <m/>
    <n v="0"/>
    <n v="0"/>
    <n v="0"/>
    <n v="0"/>
    <n v="0"/>
    <n v="0"/>
  </r>
  <r>
    <x v="255"/>
    <x v="1"/>
    <x v="2"/>
    <x v="2"/>
    <n v="0"/>
    <n v="0"/>
    <n v="0"/>
    <n v="0"/>
    <m/>
    <n v="0"/>
    <n v="0"/>
    <n v="0"/>
    <n v="0"/>
    <n v="0"/>
    <n v="0"/>
  </r>
  <r>
    <x v="255"/>
    <x v="259"/>
    <x v="3"/>
    <x v="3"/>
    <n v="3321674.8743208013"/>
    <n v="1"/>
    <n v="3504905.4727133429"/>
    <n v="1"/>
    <n v="1391544"/>
    <n v="1391544"/>
    <n v="1321630"/>
    <n v="69914"/>
    <n v="5.2899828242397646"/>
    <n v="221.25121951162001"/>
    <n v="220.98757763849997"/>
  </r>
  <r>
    <x v="256"/>
    <x v="260"/>
    <x v="344"/>
    <x v="345"/>
    <n v="0"/>
    <n v="0"/>
    <n v="0"/>
    <n v="0"/>
    <m/>
    <n v="0"/>
    <n v="0"/>
    <n v="0"/>
    <n v="0"/>
    <n v="0"/>
    <n v="0"/>
  </r>
  <r>
    <x v="256"/>
    <x v="260"/>
    <x v="209"/>
    <x v="210"/>
    <n v="20238492.623528376"/>
    <n v="0.94611330573455787"/>
    <n v="20906014.656237829"/>
    <n v="0.9361670674379956"/>
    <m/>
    <n v="9185777"/>
    <n v="8718417"/>
    <n v="467360"/>
    <n v="5.3606061742630571"/>
    <n v="1636.1853728931601"/>
    <n v="1645.29855327204"/>
  </r>
  <r>
    <x v="256"/>
    <x v="260"/>
    <x v="36"/>
    <x v="37"/>
    <n v="1152700.6942902626"/>
    <n v="5.3886694265442181E-2"/>
    <n v="1425485.1191721619"/>
    <n v="6.3832932562004369E-2"/>
    <m/>
    <n v="626336"/>
    <n v="496565"/>
    <n v="129771"/>
    <n v="26.133738785456082"/>
    <n v="57.00000000464"/>
    <n v="68.999999999259998"/>
  </r>
  <r>
    <x v="256"/>
    <x v="1"/>
    <x v="2"/>
    <x v="2"/>
    <n v="0"/>
    <n v="0"/>
    <n v="0"/>
    <n v="0"/>
    <m/>
    <n v="0"/>
    <n v="0"/>
    <n v="0"/>
    <n v="0"/>
    <n v="0"/>
    <n v="0"/>
  </r>
  <r>
    <x v="256"/>
    <x v="260"/>
    <x v="3"/>
    <x v="3"/>
    <n v="21391193.317818638"/>
    <n v="1"/>
    <n v="22331499.775409993"/>
    <n v="1"/>
    <n v="9812113"/>
    <n v="9812113"/>
    <n v="9214982"/>
    <n v="597131"/>
    <n v="6.4800018057550197"/>
    <n v="1693.1853728978001"/>
    <n v="1714.2985532712999"/>
  </r>
  <r>
    <x v="257"/>
    <x v="261"/>
    <x v="345"/>
    <x v="346"/>
    <n v="69935642.150000006"/>
    <n v="0.94991251578742397"/>
    <n v="75190968.379999995"/>
    <n v="0.95637333542068947"/>
    <m/>
    <n v="45548652"/>
    <n v="42479762"/>
    <n v="3068890"/>
    <n v="7.224357801251335"/>
    <n v="4202"/>
    <n v="4290"/>
  </r>
  <r>
    <x v="257"/>
    <x v="261"/>
    <x v="66"/>
    <x v="67"/>
    <n v="3687603.1359380269"/>
    <n v="5.0087484212575931E-2"/>
    <n v="3429969.2760305321"/>
    <n v="4.3626664579310581E-2"/>
    <m/>
    <n v="2077783"/>
    <n v="2239895"/>
    <n v="-162112"/>
    <n v="-7.2374821141169567"/>
    <n v="186.99999999485999"/>
    <n v="170.0000000046"/>
  </r>
  <r>
    <x v="257"/>
    <x v="1"/>
    <x v="2"/>
    <x v="18"/>
    <n v="0"/>
    <n v="0"/>
    <n v="0"/>
    <n v="0"/>
    <m/>
    <n v="0"/>
    <n v="0"/>
    <n v="0"/>
    <n v="0"/>
    <n v="0"/>
    <n v="0"/>
  </r>
  <r>
    <x v="257"/>
    <x v="1"/>
    <x v="2"/>
    <x v="2"/>
    <n v="0"/>
    <n v="0"/>
    <n v="0"/>
    <n v="0"/>
    <m/>
    <n v="0"/>
    <n v="0"/>
    <n v="0"/>
    <n v="0"/>
    <n v="0"/>
    <n v="0"/>
  </r>
  <r>
    <x v="257"/>
    <x v="261"/>
    <x v="3"/>
    <x v="3"/>
    <n v="73623245.285938039"/>
    <n v="0.99999999999999989"/>
    <n v="78620937.656030521"/>
    <n v="1"/>
    <n v="47626435"/>
    <n v="47626435"/>
    <n v="44719657"/>
    <n v="2906778"/>
    <n v="6.5000006596651669"/>
    <n v="4388.9999999948595"/>
    <n v="4460.0000000046002"/>
  </r>
  <r>
    <x v="258"/>
    <x v="262"/>
    <x v="346"/>
    <x v="347"/>
    <n v="32981.520000000004"/>
    <n v="2.5587312233614312E-3"/>
    <n v="50580.990000000005"/>
    <n v="3.9556048773559706E-3"/>
    <m/>
    <n v="40556"/>
    <n v="25025"/>
    <n v="15531"/>
    <n v="62.061938061938065"/>
    <n v="2"/>
    <n v="3"/>
  </r>
  <r>
    <x v="258"/>
    <x v="262"/>
    <x v="283"/>
    <x v="284"/>
    <n v="11816836.692646176"/>
    <n v="0.9167591125829494"/>
    <n v="11605258.635313623"/>
    <n v="0.90757056476799003"/>
    <m/>
    <n v="9305123"/>
    <n v="8966261"/>
    <n v="338862"/>
    <n v="3.7793010932873803"/>
    <n v="864.28457091231996"/>
    <n v="830.53302540824006"/>
  </r>
  <r>
    <x v="258"/>
    <x v="262"/>
    <x v="17"/>
    <x v="17"/>
    <n v="1039976.4241941283"/>
    <n v="8.0682156193689319E-2"/>
    <n v="1131329.864124781"/>
    <n v="8.8473830354654004E-2"/>
    <m/>
    <n v="907103"/>
    <n v="789103"/>
    <n v="118000"/>
    <n v="14.953687921602123"/>
    <n v="49.999999994250004"/>
    <n v="53.124803771530004"/>
  </r>
  <r>
    <x v="258"/>
    <x v="1"/>
    <x v="2"/>
    <x v="18"/>
    <n v="0"/>
    <n v="0"/>
    <n v="0"/>
    <n v="0"/>
    <m/>
    <n v="0"/>
    <n v="0"/>
    <n v="0"/>
    <n v="0"/>
    <n v="0"/>
    <n v="0"/>
  </r>
  <r>
    <x v="258"/>
    <x v="262"/>
    <x v="3"/>
    <x v="3"/>
    <n v="12889794.636840302"/>
    <n v="1.0000000000000002"/>
    <n v="12787169.489438403"/>
    <n v="1"/>
    <n v="10252782"/>
    <n v="10252782"/>
    <n v="9780389"/>
    <n v="472393"/>
    <n v="4.8300021604457655"/>
    <n v="916.28457090657002"/>
    <n v="886.65782917977003"/>
  </r>
  <r>
    <x v="259"/>
    <x v="263"/>
    <x v="347"/>
    <x v="348"/>
    <n v="0"/>
    <n v="0"/>
    <n v="0"/>
    <n v="0"/>
    <m/>
    <n v="0"/>
    <n v="0"/>
    <n v="0"/>
    <n v="0"/>
    <n v="0"/>
    <n v="0"/>
  </r>
  <r>
    <x v="259"/>
    <x v="263"/>
    <x v="311"/>
    <x v="312"/>
    <n v="1219861.7935586995"/>
    <n v="1"/>
    <n v="1371734.9503945918"/>
    <n v="1"/>
    <m/>
    <n v="964037"/>
    <n v="907243"/>
    <n v="56794"/>
    <n v="6.2600648337876406"/>
    <n v="89.124999999069999"/>
    <n v="94.76923076992"/>
  </r>
  <r>
    <x v="259"/>
    <x v="1"/>
    <x v="2"/>
    <x v="2"/>
    <n v="0"/>
    <n v="0"/>
    <n v="0"/>
    <n v="0"/>
    <m/>
    <n v="0"/>
    <n v="0"/>
    <n v="0"/>
    <n v="0"/>
    <n v="0"/>
    <n v="0"/>
  </r>
  <r>
    <x v="259"/>
    <x v="1"/>
    <x v="2"/>
    <x v="2"/>
    <n v="0"/>
    <n v="0"/>
    <n v="0"/>
    <n v="0"/>
    <m/>
    <n v="0"/>
    <n v="0"/>
    <n v="0"/>
    <n v="0"/>
    <n v="0"/>
    <n v="0"/>
  </r>
  <r>
    <x v="259"/>
    <x v="263"/>
    <x v="3"/>
    <x v="3"/>
    <n v="1219861.7935586995"/>
    <n v="1"/>
    <n v="1371734.9503945918"/>
    <n v="1"/>
    <n v="964037"/>
    <n v="964037"/>
    <n v="907243"/>
    <n v="56794"/>
    <n v="6.2600648337876406"/>
    <n v="89.124999999069999"/>
    <n v="94.76923076992"/>
  </r>
  <r>
    <x v="260"/>
    <x v="264"/>
    <x v="348"/>
    <x v="349"/>
    <n v="29251950.23"/>
    <n v="0.90437286150311991"/>
    <n v="29473433.750000004"/>
    <n v="0.89829264325415181"/>
    <m/>
    <n v="24315583"/>
    <n v="24132859"/>
    <n v="182724"/>
    <n v="0.75715852812963436"/>
    <n v="2276"/>
    <n v="2227"/>
  </r>
  <r>
    <x v="260"/>
    <x v="264"/>
    <x v="76"/>
    <x v="77"/>
    <n v="3093060.8546775854"/>
    <n v="9.5627138496880107E-2"/>
    <n v="3337069.5657453467"/>
    <n v="0.10170735674584817"/>
    <m/>
    <n v="2753082"/>
    <n v="2551775"/>
    <n v="201307"/>
    <n v="7.8889008631246877"/>
    <n v="147.74524714651"/>
    <n v="157.55216881487999"/>
  </r>
  <r>
    <x v="260"/>
    <x v="1"/>
    <x v="2"/>
    <x v="2"/>
    <n v="0"/>
    <n v="0"/>
    <n v="0"/>
    <n v="0"/>
    <m/>
    <n v="0"/>
    <n v="0"/>
    <n v="0"/>
    <n v="0"/>
    <n v="0"/>
    <n v="0"/>
  </r>
  <r>
    <x v="260"/>
    <x v="1"/>
    <x v="2"/>
    <x v="2"/>
    <n v="0"/>
    <n v="0"/>
    <n v="0"/>
    <n v="0"/>
    <m/>
    <n v="0"/>
    <n v="0"/>
    <n v="0"/>
    <n v="0"/>
    <n v="0"/>
    <n v="0"/>
  </r>
  <r>
    <x v="260"/>
    <x v="264"/>
    <x v="3"/>
    <x v="3"/>
    <n v="32345011.084677584"/>
    <n v="1"/>
    <n v="32810503.31574535"/>
    <n v="1"/>
    <n v="27068665"/>
    <n v="27068665"/>
    <n v="26684634"/>
    <n v="384031"/>
    <n v="1.4391465890069919"/>
    <n v="2423.7452471465099"/>
    <n v="2384.5521688148801"/>
  </r>
  <r>
    <x v="261"/>
    <x v="265"/>
    <x v="349"/>
    <x v="350"/>
    <n v="42085454.029999994"/>
    <n v="0.92704189686558125"/>
    <n v="46319897.799999997"/>
    <n v="0.93931596579316268"/>
    <m/>
    <n v="32254007"/>
    <n v="30096004"/>
    <n v="2158003"/>
    <n v="7.1703971065394594"/>
    <n v="2830"/>
    <n v="2977"/>
  </r>
  <r>
    <x v="261"/>
    <x v="265"/>
    <x v="107"/>
    <x v="108"/>
    <n v="3312120.9580291361"/>
    <n v="7.2958103134418695E-2"/>
    <n v="2992473.6349806311"/>
    <n v="6.0684034206837295E-2"/>
    <m/>
    <n v="2083754"/>
    <n v="2368552"/>
    <n v="-284798"/>
    <n v="-12.024139643123732"/>
    <n v="143.99999999366"/>
    <n v="126.000000003"/>
  </r>
  <r>
    <x v="261"/>
    <x v="1"/>
    <x v="2"/>
    <x v="18"/>
    <n v="0"/>
    <n v="0"/>
    <n v="0"/>
    <n v="0"/>
    <m/>
    <n v="0"/>
    <n v="0"/>
    <n v="0"/>
    <n v="0"/>
    <n v="0"/>
    <n v="0"/>
  </r>
  <r>
    <x v="261"/>
    <x v="1"/>
    <x v="2"/>
    <x v="2"/>
    <n v="0"/>
    <n v="0"/>
    <n v="0"/>
    <n v="0"/>
    <m/>
    <n v="0"/>
    <n v="0"/>
    <n v="0"/>
    <n v="0"/>
    <n v="0"/>
    <n v="0"/>
  </r>
  <r>
    <x v="261"/>
    <x v="265"/>
    <x v="3"/>
    <x v="3"/>
    <n v="45397574.98802913"/>
    <n v="1"/>
    <n v="49312371.434980631"/>
    <n v="1"/>
    <n v="34337761"/>
    <n v="34337761"/>
    <n v="32464556"/>
    <n v="1873205"/>
    <n v="5.7700003659375474"/>
    <n v="2973.9999999936599"/>
    <n v="3103.000000003"/>
  </r>
  <r>
    <x v="262"/>
    <x v="266"/>
    <x v="350"/>
    <x v="351"/>
    <n v="576479.4"/>
    <n v="0.75170632204625454"/>
    <n v="622293.56000000006"/>
    <n v="0.72069917101605163"/>
    <m/>
    <n v="425422"/>
    <n v="429924"/>
    <n v="-4502"/>
    <n v="-1.0471618239502796"/>
    <n v="40"/>
    <n v="35"/>
  </r>
  <r>
    <x v="262"/>
    <x v="266"/>
    <x v="12"/>
    <x v="12"/>
    <n v="190415.04147647819"/>
    <n v="0.24829367795374546"/>
    <n v="241164.57208398994"/>
    <n v="0.27930082898394831"/>
    <m/>
    <n v="164868"/>
    <n v="142007"/>
    <n v="22861"/>
    <n v="16.098502186511933"/>
    <n v="9.0000000018600002"/>
    <n v="11.00000000182"/>
  </r>
  <r>
    <x v="262"/>
    <x v="1"/>
    <x v="2"/>
    <x v="2"/>
    <n v="0"/>
    <n v="0"/>
    <n v="0"/>
    <n v="0"/>
    <m/>
    <n v="0"/>
    <n v="0"/>
    <n v="0"/>
    <n v="0"/>
    <n v="0"/>
    <n v="0"/>
  </r>
  <r>
    <x v="262"/>
    <x v="1"/>
    <x v="2"/>
    <x v="2"/>
    <n v="0"/>
    <n v="0"/>
    <n v="0"/>
    <n v="0"/>
    <m/>
    <n v="0"/>
    <n v="0"/>
    <n v="0"/>
    <n v="0"/>
    <n v="0"/>
    <n v="0"/>
  </r>
  <r>
    <x v="262"/>
    <x v="266"/>
    <x v="3"/>
    <x v="3"/>
    <n v="766894.44147647824"/>
    <n v="1"/>
    <n v="863458.13208399003"/>
    <n v="1"/>
    <n v="590290"/>
    <n v="590290"/>
    <n v="571931"/>
    <n v="18359"/>
    <n v="3.2100026052093695"/>
    <n v="49.000000001860002"/>
    <n v="46.000000001819998"/>
  </r>
  <r>
    <x v="263"/>
    <x v="267"/>
    <x v="351"/>
    <x v="352"/>
    <n v="34295600.022"/>
    <n v="0.97629569807587968"/>
    <n v="35051638.613499999"/>
    <n v="0.96885091163198878"/>
    <m/>
    <n v="28917602"/>
    <n v="27754773"/>
    <n v="1162829"/>
    <n v="4.1896541542602419"/>
    <n v="2763"/>
    <n v="2752"/>
  </r>
  <r>
    <x v="263"/>
    <x v="267"/>
    <x v="1"/>
    <x v="1"/>
    <n v="832691.63143150089"/>
    <n v="2.3704301924120458E-2"/>
    <n v="1126929.4124690169"/>
    <n v="3.1149088368011297E-2"/>
    <m/>
    <n v="929717"/>
    <n v="673881"/>
    <n v="255836"/>
    <n v="37.964566444223834"/>
    <n v="39.999999998599996"/>
    <n v="53.999999999399996"/>
  </r>
  <r>
    <x v="263"/>
    <x v="1"/>
    <x v="2"/>
    <x v="2"/>
    <n v="0"/>
    <n v="0"/>
    <n v="0"/>
    <n v="0"/>
    <m/>
    <n v="0"/>
    <n v="0"/>
    <n v="0"/>
    <n v="0"/>
    <n v="0"/>
    <n v="0"/>
  </r>
  <r>
    <x v="263"/>
    <x v="1"/>
    <x v="2"/>
    <x v="2"/>
    <n v="0"/>
    <n v="0"/>
    <n v="0"/>
    <n v="0"/>
    <m/>
    <n v="0"/>
    <n v="0"/>
    <n v="0"/>
    <n v="0"/>
    <n v="0"/>
    <n v="0"/>
  </r>
  <r>
    <x v="263"/>
    <x v="267"/>
    <x v="3"/>
    <x v="3"/>
    <n v="35128291.653431498"/>
    <n v="1.0000000000000002"/>
    <n v="36178568.025969014"/>
    <n v="1"/>
    <n v="29847319"/>
    <n v="29847319"/>
    <n v="28428654"/>
    <n v="1418665"/>
    <n v="4.9902644001365664"/>
    <n v="2802.9999999985998"/>
    <n v="2805.9999999994002"/>
  </r>
  <r>
    <x v="264"/>
    <x v="268"/>
    <x v="352"/>
    <x v="353"/>
    <n v="25865534.950000003"/>
    <n v="0.92324376836521682"/>
    <n v="26822442.259999998"/>
    <n v="0.93039500131864028"/>
    <m/>
    <n v="19300371"/>
    <n v="18110661"/>
    <n v="1189710"/>
    <n v="6.5691141808683851"/>
    <n v="2067"/>
    <n v="2076"/>
  </r>
  <r>
    <x v="264"/>
    <x v="268"/>
    <x v="166"/>
    <x v="167"/>
    <n v="1763511.4318062789"/>
    <n v="6.294673367488067E-2"/>
    <n v="1735630.3582239018"/>
    <n v="6.0204130323977416E-2"/>
    <m/>
    <n v="1248891"/>
    <n v="1234784"/>
    <n v="14107"/>
    <n v="1.142467022572369"/>
    <n v="86.000000004049994"/>
    <n v="83.000000002799993"/>
  </r>
  <r>
    <x v="264"/>
    <x v="268"/>
    <x v="9"/>
    <x v="9"/>
    <n v="386885.96052620758"/>
    <n v="1.3809497959902521E-2"/>
    <n v="271018.49037491984"/>
    <n v="9.400868357382363E-3"/>
    <m/>
    <n v="195014"/>
    <n v="270892"/>
    <n v="-75878"/>
    <n v="-28.010424818746955"/>
    <n v="19.00000000164"/>
    <n v="12.999999999210001"/>
  </r>
  <r>
    <x v="264"/>
    <x v="1"/>
    <x v="2"/>
    <x v="2"/>
    <n v="0"/>
    <n v="0"/>
    <n v="0"/>
    <n v="0"/>
    <m/>
    <n v="0"/>
    <n v="0"/>
    <n v="0"/>
    <n v="0"/>
    <n v="0"/>
    <n v="0"/>
  </r>
  <r>
    <x v="264"/>
    <x v="268"/>
    <x v="3"/>
    <x v="3"/>
    <n v="28015932.34233249"/>
    <n v="1"/>
    <n v="28829091.108598817"/>
    <n v="1"/>
    <n v="20744276"/>
    <n v="20744276"/>
    <n v="19616337"/>
    <n v="1127939"/>
    <n v="5.7499980755836324"/>
    <n v="2172.0000000056898"/>
    <n v="2172.00000000201"/>
  </r>
  <r>
    <x v="265"/>
    <x v="269"/>
    <x v="353"/>
    <x v="354"/>
    <n v="44179615.271480002"/>
    <n v="0.98757164081525839"/>
    <n v="45602230.371939994"/>
    <n v="0.98531006109176866"/>
    <m/>
    <n v="35374920"/>
    <n v="33681121"/>
    <n v="1693799"/>
    <n v="5.0289270360092821"/>
    <n v="3495"/>
    <n v="3518"/>
  </r>
  <r>
    <x v="265"/>
    <x v="269"/>
    <x v="89"/>
    <x v="90"/>
    <n v="426830.07508135383"/>
    <n v="9.5411713073360951E-3"/>
    <n v="481665.64745926013"/>
    <n v="1.0407166593674222E-2"/>
    <m/>
    <n v="373641"/>
    <n v="325402"/>
    <n v="48239"/>
    <n v="14.824432548048261"/>
    <n v="20.08588957005"/>
    <n v="22.039426519110002"/>
  </r>
  <r>
    <x v="265"/>
    <x v="269"/>
    <x v="39"/>
    <x v="40"/>
    <n v="129160.09772714142"/>
    <n v="2.8871878774054146E-3"/>
    <n v="198215.74693208101"/>
    <n v="4.2827723145570946E-3"/>
    <m/>
    <n v="153761"/>
    <n v="98468"/>
    <n v="55293"/>
    <n v="56.15326806678312"/>
    <n v="6.00000000006"/>
    <n v="8.99999999984"/>
  </r>
  <r>
    <x v="265"/>
    <x v="1"/>
    <x v="2"/>
    <x v="2"/>
    <n v="0"/>
    <n v="0"/>
    <n v="0"/>
    <n v="0"/>
    <m/>
    <n v="0"/>
    <n v="0"/>
    <n v="0"/>
    <n v="0"/>
    <n v="0"/>
    <n v="0"/>
  </r>
  <r>
    <x v="265"/>
    <x v="269"/>
    <x v="3"/>
    <x v="3"/>
    <n v="44735605.4442885"/>
    <n v="0.99999999999999989"/>
    <n v="46282111.766331337"/>
    <n v="1"/>
    <n v="35902323"/>
    <n v="35902322"/>
    <n v="34104991"/>
    <n v="1797331"/>
    <n v="5.2699940604001334"/>
    <n v="3521.0858895701099"/>
    <n v="3549.0394265189498"/>
  </r>
  <r>
    <x v="266"/>
    <x v="270"/>
    <x v="354"/>
    <x v="355"/>
    <n v="65963.040000000008"/>
    <n v="1.3070239468660745E-2"/>
    <n v="45335.72"/>
    <n v="9.3846148427266501E-3"/>
    <m/>
    <n v="37402"/>
    <n v="51793"/>
    <n v="-14391"/>
    <n v="-27.785608093757844"/>
    <n v="4"/>
    <n v="4"/>
  </r>
  <r>
    <x v="266"/>
    <x v="270"/>
    <x v="15"/>
    <x v="15"/>
    <n v="4980848.8533982299"/>
    <n v="0.9869297605313393"/>
    <n v="4785519.9687805055"/>
    <n v="0.99061538515727343"/>
    <m/>
    <n v="3948054"/>
    <n v="3910882"/>
    <n v="37172"/>
    <n v="0.95047613300529143"/>
    <n v="347.23308270569999"/>
    <n v="328.81776416261999"/>
  </r>
  <r>
    <x v="266"/>
    <x v="1"/>
    <x v="2"/>
    <x v="2"/>
    <n v="0"/>
    <n v="0"/>
    <n v="0"/>
    <n v="0"/>
    <m/>
    <n v="0"/>
    <n v="0"/>
    <n v="0"/>
    <n v="0"/>
    <n v="0"/>
    <n v="0"/>
  </r>
  <r>
    <x v="266"/>
    <x v="1"/>
    <x v="2"/>
    <x v="2"/>
    <n v="0"/>
    <n v="0"/>
    <n v="0"/>
    <n v="0"/>
    <m/>
    <n v="0"/>
    <n v="0"/>
    <n v="0"/>
    <n v="0"/>
    <n v="0"/>
    <n v="0"/>
  </r>
  <r>
    <x v="266"/>
    <x v="270"/>
    <x v="3"/>
    <x v="3"/>
    <n v="5046811.89339823"/>
    <n v="1"/>
    <n v="4830855.6887805052"/>
    <n v="1"/>
    <n v="3985456"/>
    <n v="3985456"/>
    <n v="3962675"/>
    <n v="22781"/>
    <n v="0.57488943705956208"/>
    <n v="351.23308270569999"/>
    <n v="332.81776416261999"/>
  </r>
  <r>
    <x v="267"/>
    <x v="271"/>
    <x v="355"/>
    <x v="356"/>
    <n v="0"/>
    <n v="0"/>
    <n v="0"/>
    <n v="0"/>
    <m/>
    <n v="0"/>
    <n v="0"/>
    <n v="0"/>
    <n v="0"/>
    <n v="0"/>
    <n v="0"/>
  </r>
  <r>
    <x v="267"/>
    <x v="271"/>
    <x v="29"/>
    <x v="30"/>
    <n v="2179138.8432454914"/>
    <n v="0.91893790144350818"/>
    <n v="2164794.6948750364"/>
    <n v="0.90829377466219319"/>
    <m/>
    <n v="1644483"/>
    <n v="1579713"/>
    <n v="64770"/>
    <n v="4.1001118557611411"/>
    <n v="151.44756097233"/>
    <n v="143.58208955220002"/>
  </r>
  <r>
    <x v="267"/>
    <x v="271"/>
    <x v="64"/>
    <x v="65"/>
    <n v="192227.97035791312"/>
    <n v="8.106209855649181E-2"/>
    <n v="218569.31714866514"/>
    <n v="9.1706225337806924E-2"/>
    <m/>
    <n v="166036"/>
    <n v="139351"/>
    <n v="26685"/>
    <n v="19.149485830743949"/>
    <n v="8.9999999991999999"/>
    <n v="9.9999999993500008"/>
  </r>
  <r>
    <x v="267"/>
    <x v="1"/>
    <x v="2"/>
    <x v="2"/>
    <n v="0"/>
    <n v="0"/>
    <n v="0"/>
    <n v="0"/>
    <m/>
    <n v="0"/>
    <n v="0"/>
    <n v="0"/>
    <n v="0"/>
    <n v="0"/>
    <n v="0"/>
  </r>
  <r>
    <x v="267"/>
    <x v="271"/>
    <x v="3"/>
    <x v="3"/>
    <n v="2371366.8136034044"/>
    <n v="1"/>
    <n v="2383364.0120237013"/>
    <n v="1"/>
    <n v="1810519"/>
    <n v="1810519"/>
    <n v="1719064"/>
    <n v="91455"/>
    <n v="5.3200462577309509"/>
    <n v="160.44756097152998"/>
    <n v="153.58208955155001"/>
  </r>
  <r>
    <x v="268"/>
    <x v="272"/>
    <x v="356"/>
    <x v="357"/>
    <n v="4685609.0321299993"/>
    <n v="0.40087755522888491"/>
    <n v="4869362.1741699995"/>
    <n v="0.40728792437023731"/>
    <m/>
    <n v="4017224"/>
    <n v="3865627"/>
    <n v="151597"/>
    <n v="3.921666523955881"/>
    <n v="401"/>
    <n v="402"/>
  </r>
  <r>
    <x v="268"/>
    <x v="272"/>
    <x v="137"/>
    <x v="138"/>
    <n v="6982264.6046965495"/>
    <n v="0.59736805727889242"/>
    <n v="7002570.0708066486"/>
    <n v="0.58571577290451393"/>
    <m/>
    <n v="5777120"/>
    <n v="5760368"/>
    <n v="16752"/>
    <n v="0.29081475350185959"/>
    <n v="551.19880034063999"/>
    <n v="534.64292074816001"/>
  </r>
  <r>
    <x v="268"/>
    <x v="272"/>
    <x v="166"/>
    <x v="167"/>
    <n v="20505.946946121701"/>
    <n v="1.7543874922226795E-3"/>
    <n v="83644.836517177973"/>
    <n v="6.9963027252488525E-3"/>
    <m/>
    <n v="69007"/>
    <n v="16917"/>
    <n v="52090"/>
    <n v="307.91511497310398"/>
    <n v="1.0000000032"/>
    <n v="3.9999999989999999"/>
  </r>
  <r>
    <x v="268"/>
    <x v="1"/>
    <x v="2"/>
    <x v="2"/>
    <n v="0"/>
    <n v="0"/>
    <n v="0"/>
    <n v="0"/>
    <m/>
    <n v="0"/>
    <n v="0"/>
    <n v="0"/>
    <n v="0"/>
    <n v="0"/>
    <n v="0"/>
  </r>
  <r>
    <x v="268"/>
    <x v="272"/>
    <x v="3"/>
    <x v="3"/>
    <n v="11688379.58377267"/>
    <n v="1"/>
    <n v="11955577.081493825"/>
    <n v="1"/>
    <n v="9863351"/>
    <n v="9863351"/>
    <n v="9642912"/>
    <n v="220439"/>
    <n v="2.2860210691542142"/>
    <n v="953.19880034383993"/>
    <n v="940.64292074716002"/>
  </r>
  <r>
    <x v="269"/>
    <x v="273"/>
    <x v="357"/>
    <x v="358"/>
    <n v="0"/>
    <n v="0"/>
    <n v="0"/>
    <n v="0"/>
    <m/>
    <n v="0"/>
    <n v="0"/>
    <n v="0"/>
    <n v="0"/>
    <n v="0"/>
    <n v="0"/>
  </r>
  <r>
    <x v="269"/>
    <x v="273"/>
    <x v="41"/>
    <x v="42"/>
    <n v="10010903.501197919"/>
    <n v="0.91791182348737821"/>
    <n v="10200598.994762033"/>
    <n v="0.90825195514557255"/>
    <m/>
    <n v="5916983"/>
    <n v="5727338"/>
    <n v="189645"/>
    <n v="3.3112241673182199"/>
    <n v="741.30879815872004"/>
    <n v="726.15114234911994"/>
  </r>
  <r>
    <x v="269"/>
    <x v="273"/>
    <x v="42"/>
    <x v="43"/>
    <n v="895267.70723468927"/>
    <n v="8.2088176512621749E-2"/>
    <n v="1030424.4420409243"/>
    <n v="9.1748044854427516E-2"/>
    <m/>
    <n v="597710"/>
    <n v="512192"/>
    <n v="85518"/>
    <n v="16.696473197550919"/>
    <n v="44.000000001099998"/>
    <n v="49.999999999549999"/>
  </r>
  <r>
    <x v="269"/>
    <x v="1"/>
    <x v="2"/>
    <x v="2"/>
    <n v="0"/>
    <n v="0"/>
    <n v="0"/>
    <n v="0"/>
    <m/>
    <n v="0"/>
    <n v="0"/>
    <n v="0"/>
    <n v="0"/>
    <n v="0"/>
    <n v="0"/>
  </r>
  <r>
    <x v="269"/>
    <x v="273"/>
    <x v="3"/>
    <x v="3"/>
    <n v="10906171.208432609"/>
    <n v="1"/>
    <n v="11231023.436802957"/>
    <n v="1"/>
    <n v="6514693"/>
    <n v="6514693"/>
    <n v="6239530"/>
    <n v="275163"/>
    <n v="4.4099956246704481"/>
    <n v="785.30879815982007"/>
    <n v="776.15114234866996"/>
  </r>
  <r>
    <x v="270"/>
    <x v="274"/>
    <x v="358"/>
    <x v="359"/>
    <n v="74633713.99000001"/>
    <n v="1"/>
    <n v="77754351.169999987"/>
    <n v="1"/>
    <m/>
    <n v="60858729"/>
    <n v="57993834"/>
    <n v="2864895"/>
    <n v="4.9399993109612312"/>
    <n v="5972"/>
    <n v="5998"/>
  </r>
  <r>
    <x v="270"/>
    <x v="1"/>
    <x v="2"/>
    <x v="2"/>
    <n v="0"/>
    <n v="0"/>
    <n v="0"/>
    <n v="0"/>
    <m/>
    <n v="0"/>
    <n v="0"/>
    <n v="0"/>
    <n v="0"/>
    <n v="0"/>
    <n v="0"/>
  </r>
  <r>
    <x v="270"/>
    <x v="1"/>
    <x v="2"/>
    <x v="2"/>
    <n v="0"/>
    <n v="0"/>
    <n v="0"/>
    <n v="0"/>
    <m/>
    <n v="0"/>
    <n v="0"/>
    <n v="0"/>
    <n v="0"/>
    <n v="0"/>
    <n v="0"/>
  </r>
  <r>
    <x v="270"/>
    <x v="1"/>
    <x v="2"/>
    <x v="2"/>
    <n v="0"/>
    <n v="0"/>
    <n v="0"/>
    <n v="0"/>
    <m/>
    <n v="0"/>
    <n v="0"/>
    <n v="0"/>
    <n v="0"/>
    <n v="0"/>
    <n v="0"/>
  </r>
  <r>
    <x v="270"/>
    <x v="274"/>
    <x v="3"/>
    <x v="3"/>
    <n v="74633713.99000001"/>
    <n v="1"/>
    <n v="77754351.169999987"/>
    <n v="1"/>
    <n v="60858729"/>
    <n v="60858729"/>
    <n v="57993834"/>
    <n v="2864895"/>
    <n v="4.9399993109612312"/>
    <n v="5972"/>
    <n v="5998"/>
  </r>
  <r>
    <x v="271"/>
    <x v="275"/>
    <x v="359"/>
    <x v="360"/>
    <n v="1442294.2199999997"/>
    <n v="0.4942592908746648"/>
    <n v="1330308.4500000002"/>
    <n v="0.46947397351595516"/>
    <m/>
    <n v="822355"/>
    <n v="820401"/>
    <n v="1954"/>
    <n v="0.23817620895147618"/>
    <n v="111"/>
    <n v="99"/>
  </r>
  <r>
    <x v="271"/>
    <x v="275"/>
    <x v="19"/>
    <x v="20"/>
    <n v="1475798.0579370467"/>
    <n v="0.50574070912533531"/>
    <n v="1503306.4574189079"/>
    <n v="0.53052602648404479"/>
    <m/>
    <n v="929296"/>
    <n v="839459"/>
    <n v="89837"/>
    <n v="10.701773404061425"/>
    <n v="103.99999999844"/>
    <n v="104.00000000317"/>
  </r>
  <r>
    <x v="271"/>
    <x v="1"/>
    <x v="2"/>
    <x v="2"/>
    <n v="0"/>
    <n v="0"/>
    <n v="0"/>
    <n v="0"/>
    <m/>
    <n v="0"/>
    <n v="0"/>
    <n v="0"/>
    <n v="0"/>
    <n v="0"/>
    <n v="0"/>
  </r>
  <r>
    <x v="271"/>
    <x v="1"/>
    <x v="2"/>
    <x v="2"/>
    <n v="0"/>
    <n v="0"/>
    <n v="0"/>
    <n v="0"/>
    <m/>
    <n v="0"/>
    <n v="0"/>
    <n v="0"/>
    <n v="0"/>
    <n v="0"/>
    <n v="0"/>
  </r>
  <r>
    <x v="271"/>
    <x v="275"/>
    <x v="3"/>
    <x v="3"/>
    <n v="2918092.2779370463"/>
    <n v="1"/>
    <n v="2833614.9074189081"/>
    <n v="1"/>
    <n v="1751651"/>
    <n v="1751651"/>
    <n v="1659860"/>
    <n v="91791"/>
    <n v="5.5300447025652764"/>
    <n v="214.99999999843999"/>
    <n v="203.00000000316999"/>
  </r>
  <r>
    <x v="272"/>
    <x v="276"/>
    <x v="360"/>
    <x v="361"/>
    <n v="21144659.59"/>
    <n v="0.5980789586843801"/>
    <n v="20961593.84"/>
    <n v="0.58762237270291107"/>
    <m/>
    <n v="10906308"/>
    <n v="10510731"/>
    <n v="395577"/>
    <n v="3.7635536481715688"/>
    <n v="1628"/>
    <n v="1587"/>
  </r>
  <r>
    <x v="272"/>
    <x v="276"/>
    <x v="57"/>
    <x v="58"/>
    <n v="10487953.708732035"/>
    <n v="0.29665289271504597"/>
    <n v="10709243.985871717"/>
    <n v="0.30021530847638633"/>
    <m/>
    <n v="5572015"/>
    <n v="5213423"/>
    <n v="358592"/>
    <n v="6.8782448690620344"/>
    <n v="740.48393574702004"/>
    <n v="723.00000000265004"/>
  </r>
  <r>
    <x v="272"/>
    <x v="276"/>
    <x v="159"/>
    <x v="160"/>
    <n v="3232983.062992265"/>
    <n v="9.144527182046025E-2"/>
    <n v="3313070.5869845925"/>
    <n v="9.2876258080197227E-2"/>
    <m/>
    <n v="1723789"/>
    <n v="1607073"/>
    <n v="116716"/>
    <n v="7.2626445718396111"/>
    <n v="152.00000000450001"/>
    <n v="151.00000000278001"/>
  </r>
  <r>
    <x v="272"/>
    <x v="276"/>
    <x v="9"/>
    <x v="9"/>
    <n v="488698.05537542928"/>
    <n v="1.3822876780113643E-2"/>
    <n v="687970.01406961621"/>
    <n v="1.9286060740505359E-2"/>
    <m/>
    <n v="357950"/>
    <n v="242925"/>
    <n v="115025"/>
    <n v="47.350005145621076"/>
    <n v="24.000000000789999"/>
    <n v="32.999999999960004"/>
  </r>
  <r>
    <x v="272"/>
    <x v="276"/>
    <x v="3"/>
    <x v="3"/>
    <n v="35354294.417099729"/>
    <n v="0.99999999999999989"/>
    <n v="35671878.426925927"/>
    <n v="0.99999999999999989"/>
    <n v="18560062"/>
    <n v="18560062"/>
    <n v="17574152"/>
    <n v="985910"/>
    <n v="5.6100004142447384"/>
    <n v="2544.4839357523101"/>
    <n v="2494.0000000053901"/>
  </r>
  <r>
    <x v="273"/>
    <x v="277"/>
    <x v="361"/>
    <x v="362"/>
    <n v="88070540.975499988"/>
    <n v="1"/>
    <n v="92273702.112999991"/>
    <n v="1"/>
    <m/>
    <n v="76125804"/>
    <n v="71896983"/>
    <n v="4228821"/>
    <n v="5.8817780990893596"/>
    <n v="5100"/>
    <n v="5146"/>
  </r>
  <r>
    <x v="273"/>
    <x v="1"/>
    <x v="2"/>
    <x v="2"/>
    <n v="0"/>
    <n v="0"/>
    <n v="0"/>
    <n v="0"/>
    <m/>
    <n v="0"/>
    <n v="0"/>
    <n v="0"/>
    <n v="0"/>
    <n v="0"/>
    <n v="0"/>
  </r>
  <r>
    <x v="273"/>
    <x v="1"/>
    <x v="2"/>
    <x v="2"/>
    <n v="0"/>
    <n v="0"/>
    <n v="0"/>
    <n v="0"/>
    <m/>
    <n v="0"/>
    <n v="0"/>
    <n v="0"/>
    <n v="0"/>
    <n v="0"/>
    <n v="0"/>
  </r>
  <r>
    <x v="273"/>
    <x v="1"/>
    <x v="2"/>
    <x v="2"/>
    <n v="0"/>
    <n v="0"/>
    <n v="0"/>
    <n v="0"/>
    <m/>
    <n v="0"/>
    <n v="0"/>
    <n v="0"/>
    <n v="0"/>
    <n v="0"/>
    <n v="0"/>
  </r>
  <r>
    <x v="273"/>
    <x v="277"/>
    <x v="3"/>
    <x v="3"/>
    <n v="88070540.975499988"/>
    <n v="1"/>
    <n v="92273702.112999991"/>
    <n v="1"/>
    <n v="76125804"/>
    <n v="76125804"/>
    <n v="71896983"/>
    <n v="4228821"/>
    <n v="5.8817780990893596"/>
    <n v="5100"/>
    <n v="5146"/>
  </r>
  <r>
    <x v="274"/>
    <x v="278"/>
    <x v="362"/>
    <x v="363"/>
    <n v="6284662"/>
    <n v="0.59840452509026487"/>
    <n v="6090235.1399999997"/>
    <n v="0.57705891234848228"/>
    <m/>
    <n v="4421614"/>
    <n v="4309371"/>
    <n v="112243"/>
    <n v="2.6046260579560219"/>
    <n v="492"/>
    <n v="463"/>
  </r>
  <r>
    <x v="274"/>
    <x v="278"/>
    <x v="112"/>
    <x v="113"/>
    <n v="4217701.7631283049"/>
    <n v="0.40159547490973518"/>
    <n v="4463687.5352677628"/>
    <n v="0.42294108765151767"/>
    <m/>
    <n v="3240713"/>
    <n v="2892064"/>
    <n v="348649"/>
    <n v="12.055369452404927"/>
    <n v="318.54922279939996"/>
    <n v="330.55932203489999"/>
  </r>
  <r>
    <x v="274"/>
    <x v="1"/>
    <x v="2"/>
    <x v="2"/>
    <n v="0"/>
    <n v="0"/>
    <n v="0"/>
    <n v="0"/>
    <m/>
    <n v="0"/>
    <n v="0"/>
    <n v="0"/>
    <n v="0"/>
    <n v="0"/>
    <n v="0"/>
  </r>
  <r>
    <x v="274"/>
    <x v="1"/>
    <x v="2"/>
    <x v="2"/>
    <n v="0"/>
    <n v="0"/>
    <n v="0"/>
    <n v="0"/>
    <m/>
    <n v="0"/>
    <n v="0"/>
    <n v="0"/>
    <n v="0"/>
    <n v="0"/>
    <n v="0"/>
  </r>
  <r>
    <x v="274"/>
    <x v="278"/>
    <x v="3"/>
    <x v="3"/>
    <n v="10502363.763128305"/>
    <n v="1"/>
    <n v="10553922.675267763"/>
    <n v="1"/>
    <n v="7662327"/>
    <n v="7662327"/>
    <n v="7201435"/>
    <n v="460892"/>
    <n v="6.4000022217794088"/>
    <n v="810.54922279940001"/>
    <n v="793.55932203489999"/>
  </r>
  <r>
    <x v="275"/>
    <x v="279"/>
    <x v="363"/>
    <x v="364"/>
    <n v="14230837.126399998"/>
    <n v="0.67231980983145878"/>
    <n v="14839839.35713"/>
    <n v="0.67910787242524007"/>
    <m/>
    <n v="12011425"/>
    <n v="11416440"/>
    <n v="594985"/>
    <n v="5.2116509174488721"/>
    <n v="1200"/>
    <n v="1223"/>
  </r>
  <r>
    <x v="275"/>
    <x v="279"/>
    <x v="298"/>
    <x v="299"/>
    <n v="6450348.7325107045"/>
    <n v="0.30473943273112641"/>
    <n v="6439574.151492158"/>
    <n v="0.29469089227325523"/>
    <m/>
    <n v="5212217"/>
    <n v="5174679"/>
    <n v="37538"/>
    <n v="0.72541697755551604"/>
    <n v="483.94354838790002"/>
    <n v="469.15081967573997"/>
  </r>
  <r>
    <x v="275"/>
    <x v="279"/>
    <x v="61"/>
    <x v="62"/>
    <n v="485581.67984064092"/>
    <n v="2.2940757437414843E-2"/>
    <n v="572548.3956534426"/>
    <n v="2.6201235301504741E-2"/>
    <m/>
    <n v="463423"/>
    <n v="389549"/>
    <n v="73874"/>
    <n v="18.963981424673147"/>
    <n v="21.999999997179998"/>
    <n v="24.99999999768"/>
  </r>
  <r>
    <x v="275"/>
    <x v="1"/>
    <x v="2"/>
    <x v="2"/>
    <n v="0"/>
    <n v="0"/>
    <n v="0"/>
    <n v="0"/>
    <m/>
    <n v="0"/>
    <n v="0"/>
    <n v="0"/>
    <n v="0"/>
    <n v="0"/>
    <n v="0"/>
  </r>
  <r>
    <x v="275"/>
    <x v="279"/>
    <x v="3"/>
    <x v="3"/>
    <n v="21166767.538751341"/>
    <n v="1"/>
    <n v="21851961.9042756"/>
    <n v="1"/>
    <n v="17687065"/>
    <n v="17687065"/>
    <n v="16980668"/>
    <n v="706397"/>
    <n v="4.160007132817154"/>
    <n v="1705.9435483850802"/>
    <n v="1717.1508196734201"/>
  </r>
  <r>
    <x v="276"/>
    <x v="280"/>
    <x v="364"/>
    <x v="365"/>
    <n v="38095220.899999999"/>
    <n v="0.90056287125935441"/>
    <n v="41980389.5"/>
    <n v="0.90917400174134844"/>
    <m/>
    <n v="9707895"/>
    <n v="9107735"/>
    <n v="600160"/>
    <n v="6.5895637060147223"/>
    <n v="2165"/>
    <n v="2248"/>
  </r>
  <r>
    <x v="276"/>
    <x v="280"/>
    <x v="36"/>
    <x v="37"/>
    <n v="4206346.3928280221"/>
    <n v="9.9437128740645572E-2"/>
    <n v="4193818.5389393182"/>
    <n v="9.0825998258651577E-2"/>
    <m/>
    <n v="969813"/>
    <n v="1005646"/>
    <n v="-35833"/>
    <n v="-3.5631822728872784"/>
    <n v="207.99999999855999"/>
    <n v="202.99999999421999"/>
  </r>
  <r>
    <x v="276"/>
    <x v="1"/>
    <x v="2"/>
    <x v="2"/>
    <n v="0"/>
    <n v="0"/>
    <n v="0"/>
    <n v="0"/>
    <m/>
    <n v="0"/>
    <n v="0"/>
    <n v="0"/>
    <n v="0"/>
    <n v="0"/>
    <n v="0"/>
  </r>
  <r>
    <x v="276"/>
    <x v="1"/>
    <x v="2"/>
    <x v="2"/>
    <n v="0"/>
    <n v="0"/>
    <n v="0"/>
    <n v="0"/>
    <m/>
    <n v="0"/>
    <n v="0"/>
    <n v="0"/>
    <n v="0"/>
    <n v="0"/>
    <n v="0"/>
  </r>
  <r>
    <x v="276"/>
    <x v="280"/>
    <x v="3"/>
    <x v="3"/>
    <n v="42301567.292828023"/>
    <n v="1"/>
    <n v="46174208.03893932"/>
    <n v="1"/>
    <n v="10677708"/>
    <n v="10677708"/>
    <n v="10113381"/>
    <n v="564327"/>
    <n v="5.5800033638602162"/>
    <n v="2372.9999999985598"/>
    <n v="2450.9999999942202"/>
  </r>
  <r>
    <x v="277"/>
    <x v="281"/>
    <x v="365"/>
    <x v="366"/>
    <n v="25928069.819999997"/>
    <n v="1"/>
    <n v="26078106.460000001"/>
    <n v="1"/>
    <m/>
    <n v="15934556"/>
    <n v="15249839"/>
    <n v="684717"/>
    <n v="4.4899949435531745"/>
    <n v="1859"/>
    <n v="1817"/>
  </r>
  <r>
    <x v="277"/>
    <x v="1"/>
    <x v="2"/>
    <x v="2"/>
    <n v="0"/>
    <n v="0"/>
    <n v="0"/>
    <n v="0"/>
    <m/>
    <n v="0"/>
    <n v="0"/>
    <n v="0"/>
    <n v="0"/>
    <n v="0"/>
    <n v="0"/>
  </r>
  <r>
    <x v="277"/>
    <x v="1"/>
    <x v="2"/>
    <x v="2"/>
    <n v="0"/>
    <n v="0"/>
    <n v="0"/>
    <n v="0"/>
    <m/>
    <n v="0"/>
    <n v="0"/>
    <n v="0"/>
    <n v="0"/>
    <n v="0"/>
    <n v="0"/>
  </r>
  <r>
    <x v="277"/>
    <x v="1"/>
    <x v="2"/>
    <x v="2"/>
    <n v="0"/>
    <n v="0"/>
    <n v="0"/>
    <n v="0"/>
    <m/>
    <n v="0"/>
    <n v="0"/>
    <n v="0"/>
    <n v="0"/>
    <n v="0"/>
    <n v="0"/>
  </r>
  <r>
    <x v="277"/>
    <x v="281"/>
    <x v="3"/>
    <x v="3"/>
    <n v="25928069.819999997"/>
    <n v="1"/>
    <n v="26078106.460000001"/>
    <n v="1"/>
    <n v="15934556"/>
    <n v="15934556"/>
    <n v="15249839"/>
    <n v="684717"/>
    <n v="4.4899949435531745"/>
    <n v="1859"/>
    <n v="1817"/>
  </r>
  <r>
    <x v="278"/>
    <x v="282"/>
    <x v="366"/>
    <x v="367"/>
    <n v="0"/>
    <n v="0"/>
    <n v="0"/>
    <n v="0"/>
    <m/>
    <n v="0"/>
    <n v="0"/>
    <n v="0"/>
    <n v="0"/>
    <n v="0"/>
    <n v="0"/>
  </r>
  <r>
    <x v="278"/>
    <x v="282"/>
    <x v="180"/>
    <x v="368"/>
    <n v="15276191.958581634"/>
    <n v="1"/>
    <n v="15700995.515083062"/>
    <n v="1"/>
    <m/>
    <n v="10498701"/>
    <n v="10057190"/>
    <n v="441511"/>
    <n v="4.3900035695855406"/>
    <n v="1080.7494108446701"/>
    <n v="1068.49358974488"/>
  </r>
  <r>
    <x v="278"/>
    <x v="1"/>
    <x v="2"/>
    <x v="2"/>
    <n v="0"/>
    <n v="0"/>
    <n v="0"/>
    <n v="0"/>
    <m/>
    <n v="0"/>
    <n v="0"/>
    <n v="0"/>
    <n v="0"/>
    <n v="0"/>
    <n v="0"/>
  </r>
  <r>
    <x v="278"/>
    <x v="1"/>
    <x v="2"/>
    <x v="2"/>
    <n v="0"/>
    <n v="0"/>
    <n v="0"/>
    <n v="0"/>
    <m/>
    <n v="0"/>
    <n v="0"/>
    <n v="0"/>
    <n v="0"/>
    <n v="0"/>
    <n v="0"/>
  </r>
  <r>
    <x v="278"/>
    <x v="282"/>
    <x v="3"/>
    <x v="3"/>
    <n v="15276191.958581634"/>
    <n v="1"/>
    <n v="15700995.515083062"/>
    <n v="1"/>
    <n v="10498701"/>
    <n v="10498701"/>
    <n v="10057190"/>
    <n v="441511"/>
    <n v="4.3900035695855406"/>
    <n v="1080.7494108446701"/>
    <n v="1068.49358974488"/>
  </r>
  <r>
    <x v="279"/>
    <x v="283"/>
    <x v="367"/>
    <x v="369"/>
    <n v="65963.040000000008"/>
    <n v="3.1049299464217116E-3"/>
    <n v="67441.320000000007"/>
    <n v="2.9671311403436803E-3"/>
    <m/>
    <n v="30010"/>
    <n v="30103"/>
    <n v="-93"/>
    <n v="-0.30893930837458061"/>
    <n v="4"/>
    <n v="4"/>
  </r>
  <r>
    <x v="279"/>
    <x v="283"/>
    <x v="146"/>
    <x v="147"/>
    <n v="18569907.860504415"/>
    <n v="0.874099541476137"/>
    <n v="20141606.308702081"/>
    <n v="0.88614498196495362"/>
    <m/>
    <n v="8962650"/>
    <n v="8474712"/>
    <n v="487938"/>
    <n v="5.7575761866597945"/>
    <n v="1230.7068273147202"/>
    <n v="1274.6362451140801"/>
  </r>
  <r>
    <x v="279"/>
    <x v="283"/>
    <x v="36"/>
    <x v="37"/>
    <n v="2608743.6763942922"/>
    <n v="0.12279552857744136"/>
    <n v="2520422.9642924494"/>
    <n v="0.11088788689470273"/>
    <m/>
    <n v="1121543"/>
    <n v="1190547"/>
    <n v="-69004"/>
    <n v="-5.7959912544401861"/>
    <n v="129.00000000271999"/>
    <n v="121.99999999670999"/>
  </r>
  <r>
    <x v="279"/>
    <x v="1"/>
    <x v="2"/>
    <x v="2"/>
    <n v="0"/>
    <n v="0"/>
    <n v="0"/>
    <n v="0"/>
    <m/>
    <n v="0"/>
    <n v="0"/>
    <n v="0"/>
    <n v="0"/>
    <n v="0"/>
    <n v="0"/>
  </r>
  <r>
    <x v="279"/>
    <x v="283"/>
    <x v="3"/>
    <x v="3"/>
    <n v="21244614.576898705"/>
    <n v="1"/>
    <n v="22729470.59299453"/>
    <n v="1"/>
    <n v="10114203"/>
    <n v="10114203"/>
    <n v="9695362"/>
    <n v="418841"/>
    <n v="4.3200140438283787"/>
    <n v="1363.7068273174402"/>
    <n v="1400.63624511079"/>
  </r>
  <r>
    <x v="280"/>
    <x v="284"/>
    <x v="368"/>
    <x v="370"/>
    <n v="525763852.88000005"/>
    <n v="1"/>
    <n v="557622637.52999997"/>
    <n v="1"/>
    <m/>
    <n v="51503174"/>
    <n v="48026085"/>
    <n v="3477089"/>
    <n v="7.2400009286619973"/>
    <n v="28326"/>
    <n v="28394"/>
  </r>
  <r>
    <x v="280"/>
    <x v="1"/>
    <x v="2"/>
    <x v="2"/>
    <n v="0"/>
    <n v="0"/>
    <n v="0"/>
    <n v="0"/>
    <m/>
    <n v="0"/>
    <n v="0"/>
    <n v="0"/>
    <n v="0"/>
    <n v="0"/>
    <n v="0"/>
  </r>
  <r>
    <x v="280"/>
    <x v="1"/>
    <x v="2"/>
    <x v="2"/>
    <n v="0"/>
    <n v="0"/>
    <n v="0"/>
    <n v="0"/>
    <m/>
    <n v="0"/>
    <n v="0"/>
    <n v="0"/>
    <n v="0"/>
    <n v="0"/>
    <n v="0"/>
  </r>
  <r>
    <x v="280"/>
    <x v="1"/>
    <x v="2"/>
    <x v="2"/>
    <n v="0"/>
    <n v="0"/>
    <n v="0"/>
    <n v="0"/>
    <m/>
    <n v="0"/>
    <n v="0"/>
    <n v="0"/>
    <n v="0"/>
    <n v="0"/>
    <n v="0"/>
  </r>
  <r>
    <x v="280"/>
    <x v="284"/>
    <x v="3"/>
    <x v="3"/>
    <n v="525763852.88000005"/>
    <n v="1"/>
    <n v="557622637.52999997"/>
    <n v="1"/>
    <n v="51503174"/>
    <n v="51503174"/>
    <n v="48026085"/>
    <n v="3477089"/>
    <n v="7.2400009286619973"/>
    <n v="28326"/>
    <n v="28394"/>
  </r>
  <r>
    <x v="281"/>
    <x v="285"/>
    <x v="369"/>
    <x v="371"/>
    <n v="16490.760000000002"/>
    <n v="1.2786618612823245E-3"/>
    <n v="16860.330000000002"/>
    <n v="1.287405750846385E-3"/>
    <m/>
    <n v="13853"/>
    <n v="13193"/>
    <n v="660"/>
    <n v="5.002652922004093"/>
    <n v="1"/>
    <n v="1"/>
  </r>
  <r>
    <x v="281"/>
    <x v="285"/>
    <x v="209"/>
    <x v="210"/>
    <n v="11650974.173012402"/>
    <n v="0.90339416265935146"/>
    <n v="11742253.697039196"/>
    <n v="0.89660433321681643"/>
    <m/>
    <n v="9647691"/>
    <n v="9320886"/>
    <n v="326805"/>
    <n v="3.5061581055706506"/>
    <n v="941.92556117923993"/>
    <n v="924.11266984965005"/>
  </r>
  <r>
    <x v="281"/>
    <x v="285"/>
    <x v="25"/>
    <x v="26"/>
    <n v="1229423.9938708991"/>
    <n v="9.5327175479366186E-2"/>
    <n v="1337246.6105573322"/>
    <n v="0.10210826103233718"/>
    <m/>
    <n v="1098711"/>
    <n v="983550"/>
    <n v="115161"/>
    <n v="11.708708250724417"/>
    <n v="61.083390296399998"/>
    <n v="65.999999993399996"/>
  </r>
  <r>
    <x v="281"/>
    <x v="1"/>
    <x v="2"/>
    <x v="2"/>
    <n v="0"/>
    <n v="0"/>
    <n v="0"/>
    <n v="0"/>
    <m/>
    <n v="0"/>
    <n v="0"/>
    <n v="0"/>
    <n v="0"/>
    <n v="0"/>
    <n v="0"/>
  </r>
  <r>
    <x v="281"/>
    <x v="285"/>
    <x v="3"/>
    <x v="3"/>
    <n v="12896888.926883301"/>
    <n v="1"/>
    <n v="13096360.637596529"/>
    <n v="1"/>
    <n v="10760255"/>
    <n v="10760255"/>
    <n v="10317629"/>
    <n v="442626"/>
    <n v="4.2899972464604028"/>
    <n v="1004.0089514756399"/>
    <n v="991.11266984305007"/>
  </r>
  <r>
    <x v="282"/>
    <x v="286"/>
    <x v="370"/>
    <x v="372"/>
    <n v="0"/>
    <n v="0"/>
    <n v="0"/>
    <n v="0"/>
    <m/>
    <n v="0"/>
    <n v="0"/>
    <n v="0"/>
    <n v="0"/>
    <n v="0"/>
    <n v="0"/>
  </r>
  <r>
    <x v="282"/>
    <x v="286"/>
    <x v="182"/>
    <x v="183"/>
    <n v="1902074.0000142655"/>
    <n v="1"/>
    <n v="2052919.686048476"/>
    <n v="1"/>
    <m/>
    <n v="1693659"/>
    <n v="1569211"/>
    <n v="124448"/>
    <n v="7.9306097140537508"/>
    <n v="124.47457627211999"/>
    <n v="127.89060887262001"/>
  </r>
  <r>
    <x v="282"/>
    <x v="1"/>
    <x v="2"/>
    <x v="2"/>
    <n v="0"/>
    <n v="0"/>
    <n v="0"/>
    <n v="0"/>
    <m/>
    <n v="0"/>
    <n v="0"/>
    <n v="0"/>
    <n v="0"/>
    <n v="0"/>
    <n v="0"/>
  </r>
  <r>
    <x v="282"/>
    <x v="1"/>
    <x v="2"/>
    <x v="2"/>
    <n v="0"/>
    <n v="0"/>
    <n v="0"/>
    <n v="0"/>
    <m/>
    <n v="0"/>
    <n v="0"/>
    <n v="0"/>
    <n v="0"/>
    <n v="0"/>
    <n v="0"/>
  </r>
  <r>
    <x v="282"/>
    <x v="286"/>
    <x v="3"/>
    <x v="3"/>
    <n v="1902074.0000142655"/>
    <n v="1"/>
    <n v="2052919.686048476"/>
    <n v="1"/>
    <n v="1693659"/>
    <n v="1693659"/>
    <n v="1569211"/>
    <n v="124448"/>
    <n v="7.9306097140537508"/>
    <n v="124.47457627211999"/>
    <n v="127.89060887262001"/>
  </r>
  <r>
    <x v="283"/>
    <x v="287"/>
    <x v="371"/>
    <x v="373"/>
    <n v="32165599.711240005"/>
    <n v="0.95233079471939075"/>
    <n v="33190354.091199998"/>
    <n v="0.951003772974919"/>
    <m/>
    <n v="26075035"/>
    <n v="24905971"/>
    <n v="1169064"/>
    <n v="4.6939105485989687"/>
    <n v="2425"/>
    <n v="2456"/>
  </r>
  <r>
    <x v="283"/>
    <x v="287"/>
    <x v="107"/>
    <x v="108"/>
    <n v="1610058.7990130049"/>
    <n v="4.7669205280609167E-2"/>
    <n v="1709984.9341377458"/>
    <n v="4.8996227025081107E-2"/>
    <m/>
    <n v="1343400"/>
    <n v="1246676"/>
    <n v="96724"/>
    <n v="7.7585515402558487"/>
    <n v="69.999999995659991"/>
    <n v="71.999999995950006"/>
  </r>
  <r>
    <x v="283"/>
    <x v="1"/>
    <x v="2"/>
    <x v="18"/>
    <n v="0"/>
    <n v="0"/>
    <n v="0"/>
    <n v="0"/>
    <m/>
    <n v="0"/>
    <n v="0"/>
    <n v="0"/>
    <n v="0"/>
    <n v="0"/>
    <n v="0"/>
  </r>
  <r>
    <x v="283"/>
    <x v="1"/>
    <x v="2"/>
    <x v="2"/>
    <n v="0"/>
    <n v="0"/>
    <n v="0"/>
    <n v="0"/>
    <m/>
    <n v="0"/>
    <n v="0"/>
    <n v="0"/>
    <n v="0"/>
    <n v="0"/>
    <n v="0"/>
  </r>
  <r>
    <x v="283"/>
    <x v="287"/>
    <x v="3"/>
    <x v="3"/>
    <n v="33775658.510253012"/>
    <n v="0.99999999999999989"/>
    <n v="34900339.025337741"/>
    <n v="1"/>
    <n v="27418435"/>
    <n v="27418435"/>
    <n v="26152647"/>
    <n v="1265788"/>
    <n v="4.839999561038697"/>
    <n v="2494.9999999956599"/>
    <n v="2527.99999999595"/>
  </r>
  <r>
    <x v="284"/>
    <x v="288"/>
    <x v="372"/>
    <x v="374"/>
    <n v="56987020.295979992"/>
    <n v="0.95321439279433784"/>
    <n v="60534150.371639997"/>
    <n v="0.95574373570746685"/>
    <m/>
    <n v="31939620"/>
    <n v="30547654"/>
    <n v="1391966"/>
    <n v="4.556703437848288"/>
    <n v="3693"/>
    <n v="3781"/>
  </r>
  <r>
    <x v="284"/>
    <x v="288"/>
    <x v="89"/>
    <x v="90"/>
    <n v="2646346.4655043939"/>
    <n v="4.426508924554455E-2"/>
    <n v="2692948.8477083463"/>
    <n v="4.2517636342075324E-2"/>
    <m/>
    <n v="1420880"/>
    <n v="1418563"/>
    <n v="2317"/>
    <n v="0.16333430379898531"/>
    <n v="124.53251533431001"/>
    <n v="123.22043010927001"/>
  </r>
  <r>
    <x v="284"/>
    <x v="288"/>
    <x v="39"/>
    <x v="40"/>
    <n v="150686.780681665"/>
    <n v="2.5205179601176545E-3"/>
    <n v="110119.85939457403"/>
    <n v="1.7386279504578407E-3"/>
    <m/>
    <n v="58103"/>
    <n v="80775"/>
    <n v="-22672"/>
    <n v="-28.068090374497061"/>
    <n v="7.00000000007"/>
    <n v="4.9999999993599999"/>
  </r>
  <r>
    <x v="284"/>
    <x v="1"/>
    <x v="2"/>
    <x v="2"/>
    <n v="0"/>
    <n v="0"/>
    <n v="0"/>
    <n v="0"/>
    <m/>
    <n v="0"/>
    <n v="0"/>
    <n v="0"/>
    <n v="0"/>
    <n v="0"/>
    <n v="0"/>
  </r>
  <r>
    <x v="284"/>
    <x v="288"/>
    <x v="3"/>
    <x v="3"/>
    <n v="59784053.542166047"/>
    <n v="1"/>
    <n v="63337219.078742914"/>
    <n v="1"/>
    <n v="33418603"/>
    <n v="33418603"/>
    <n v="32046992"/>
    <n v="1371611"/>
    <n v="4.2799991961804089"/>
    <n v="3824.5325153343802"/>
    <n v="3909.2204301086304"/>
  </r>
  <r>
    <x v="285"/>
    <x v="289"/>
    <x v="373"/>
    <x v="375"/>
    <n v="0"/>
    <n v="0"/>
    <n v="0"/>
    <n v="0"/>
    <m/>
    <n v="0"/>
    <n v="0"/>
    <n v="0"/>
    <n v="0"/>
    <n v="0"/>
    <n v="0"/>
  </r>
  <r>
    <x v="285"/>
    <x v="289"/>
    <x v="73"/>
    <x v="74"/>
    <n v="13539760.646481739"/>
    <n v="0.9089575011720048"/>
    <n v="13539257.411027879"/>
    <n v="0.9000418887380166"/>
    <m/>
    <n v="11127584"/>
    <n v="10855691"/>
    <n v="271893"/>
    <n v="2.5046125575976692"/>
    <n v="1082.8023551814299"/>
    <n v="1054.5821325745201"/>
  </r>
  <r>
    <x v="285"/>
    <x v="289"/>
    <x v="6"/>
    <x v="6"/>
    <n v="1356162.0220958849"/>
    <n v="9.1042498827995158E-2"/>
    <n v="1503661.7913347953"/>
    <n v="9.9958111261983437E-2"/>
    <m/>
    <n v="1235823"/>
    <n v="1087322"/>
    <n v="148501"/>
    <n v="13.657499802266486"/>
    <n v="65.000000001540002"/>
    <n v="72.00000000048"/>
  </r>
  <r>
    <x v="285"/>
    <x v="1"/>
    <x v="2"/>
    <x v="2"/>
    <n v="0"/>
    <n v="0"/>
    <n v="0"/>
    <n v="0"/>
    <m/>
    <n v="0"/>
    <n v="0"/>
    <n v="0"/>
    <n v="0"/>
    <n v="0"/>
    <n v="0"/>
  </r>
  <r>
    <x v="285"/>
    <x v="289"/>
    <x v="3"/>
    <x v="3"/>
    <n v="14895922.668577624"/>
    <n v="1"/>
    <n v="15042919.202362673"/>
    <n v="1"/>
    <n v="12363407"/>
    <n v="12363407"/>
    <n v="11943013"/>
    <n v="420394"/>
    <n v="3.5199995177096435"/>
    <n v="1147.8023551829699"/>
    <n v="1126.5821325750001"/>
  </r>
  <r>
    <x v="286"/>
    <x v="290"/>
    <x v="374"/>
    <x v="376"/>
    <n v="10737439.589999998"/>
    <n v="0.47936091835148359"/>
    <n v="11550189.470000001"/>
    <n v="0.48051830450089317"/>
    <m/>
    <n v="6370085"/>
    <n v="6009212"/>
    <n v="360873"/>
    <n v="6.0053298169543696"/>
    <n v="883"/>
    <n v="901"/>
  </r>
  <r>
    <x v="286"/>
    <x v="290"/>
    <x v="87"/>
    <x v="88"/>
    <n v="11662049.352331642"/>
    <n v="0.52063908164851636"/>
    <n v="12486750.146685364"/>
    <n v="0.51948169549910683"/>
    <m/>
    <n v="6886611"/>
    <n v="6526671"/>
    <n v="359940"/>
    <n v="5.5149095151264707"/>
    <n v="776.00000000376008"/>
    <n v="794.04204993660005"/>
  </r>
  <r>
    <x v="286"/>
    <x v="1"/>
    <x v="2"/>
    <x v="2"/>
    <n v="0"/>
    <n v="0"/>
    <n v="0"/>
    <n v="0"/>
    <m/>
    <n v="0"/>
    <n v="0"/>
    <n v="0"/>
    <n v="0"/>
    <n v="0"/>
    <n v="0"/>
  </r>
  <r>
    <x v="286"/>
    <x v="1"/>
    <x v="2"/>
    <x v="2"/>
    <n v="0"/>
    <n v="0"/>
    <n v="0"/>
    <n v="0"/>
    <m/>
    <n v="0"/>
    <n v="0"/>
    <n v="0"/>
    <n v="0"/>
    <n v="0"/>
    <n v="0"/>
  </r>
  <r>
    <x v="286"/>
    <x v="290"/>
    <x v="3"/>
    <x v="3"/>
    <n v="22399488.942331642"/>
    <n v="1"/>
    <n v="24036939.616685364"/>
    <n v="1"/>
    <n v="13256696"/>
    <n v="13256696"/>
    <n v="12535883"/>
    <n v="720813"/>
    <n v="5.7499978262400822"/>
    <n v="1659.0000000037601"/>
    <n v="1695.0420499366001"/>
  </r>
  <r>
    <x v="287"/>
    <x v="291"/>
    <x v="375"/>
    <x v="377"/>
    <n v="28628096.43"/>
    <n v="0.62014407248376058"/>
    <n v="29591077.410479996"/>
    <n v="0.62514275171749512"/>
    <m/>
    <n v="23968199"/>
    <n v="23070588"/>
    <n v="897611"/>
    <n v="3.8907157459532455"/>
    <n v="2513"/>
    <n v="2509"/>
  </r>
  <r>
    <x v="287"/>
    <x v="291"/>
    <x v="234"/>
    <x v="235"/>
    <n v="17535525.380236153"/>
    <n v="0.37985592751623937"/>
    <n v="17743835.022212397"/>
    <n v="0.37485724828250483"/>
    <m/>
    <n v="14372163"/>
    <n v="14131393"/>
    <n v="240770"/>
    <n v="1.7037952309443238"/>
    <n v="1343.8643109580801"/>
    <n v="1322.9771591645301"/>
  </r>
  <r>
    <x v="287"/>
    <x v="27"/>
    <x v="2"/>
    <x v="18"/>
    <n v="0"/>
    <n v="0"/>
    <n v="0"/>
    <n v="0"/>
    <m/>
    <n v="0"/>
    <n v="0"/>
    <n v="0"/>
    <n v="0"/>
    <n v="0"/>
    <n v="0"/>
  </r>
  <r>
    <x v="287"/>
    <x v="1"/>
    <x v="2"/>
    <x v="2"/>
    <n v="0"/>
    <n v="0"/>
    <n v="0"/>
    <n v="0"/>
    <m/>
    <n v="0"/>
    <n v="0"/>
    <n v="0"/>
    <n v="0"/>
    <n v="0"/>
    <n v="0"/>
  </r>
  <r>
    <x v="287"/>
    <x v="291"/>
    <x v="3"/>
    <x v="3"/>
    <n v="46163621.810236156"/>
    <n v="1"/>
    <n v="47334912.432692394"/>
    <n v="1"/>
    <n v="38340362"/>
    <n v="38340362"/>
    <n v="37201981"/>
    <n v="1138381"/>
    <n v="3.0600010252142216"/>
    <n v="3856.8643109580798"/>
    <n v="3831.9771591645303"/>
  </r>
  <r>
    <x v="288"/>
    <x v="292"/>
    <x v="376"/>
    <x v="378"/>
    <n v="1946645.5199999998"/>
    <n v="0.49920372205332103"/>
    <n v="2077119.5199999998"/>
    <n v="0.5143957021798875"/>
    <m/>
    <n v="1678357"/>
    <n v="1555821"/>
    <n v="122536"/>
    <n v="7.8759703076382177"/>
    <n v="146"/>
    <n v="142"/>
  </r>
  <r>
    <x v="288"/>
    <x v="292"/>
    <x v="123"/>
    <x v="124"/>
    <n v="1760627.723281024"/>
    <n v="0.45150075017877517"/>
    <n v="1764148.0216253875"/>
    <n v="0.4368887546409706"/>
    <m/>
    <n v="1425470"/>
    <n v="1407150"/>
    <n v="18320"/>
    <n v="1.3019223252673844"/>
    <n v="125.25667350952"/>
    <n v="122.25576519848001"/>
  </r>
  <r>
    <x v="288"/>
    <x v="292"/>
    <x v="64"/>
    <x v="65"/>
    <n v="192227.97035791312"/>
    <n v="4.9295527767903892E-2"/>
    <n v="196712.38549620018"/>
    <n v="4.8715543179141958E-2"/>
    <m/>
    <n v="158948"/>
    <n v="153635"/>
    <n v="5313"/>
    <n v="3.4581963745240341"/>
    <n v="8.9999999991999999"/>
    <n v="9.0000000022700011"/>
  </r>
  <r>
    <x v="288"/>
    <x v="1"/>
    <x v="2"/>
    <x v="2"/>
    <n v="0"/>
    <n v="0"/>
    <n v="0"/>
    <n v="0"/>
    <m/>
    <n v="0"/>
    <n v="0"/>
    <n v="0"/>
    <n v="0"/>
    <n v="0"/>
    <n v="0"/>
  </r>
  <r>
    <x v="288"/>
    <x v="292"/>
    <x v="3"/>
    <x v="3"/>
    <n v="3899501.2136389366"/>
    <n v="1"/>
    <n v="4037979.9271215871"/>
    <n v="1"/>
    <n v="3262775"/>
    <n v="3262775"/>
    <n v="3116606"/>
    <n v="146169"/>
    <n v="4.6900057305928309"/>
    <n v="280.25667350871998"/>
    <n v="273.25576520074998"/>
  </r>
  <r>
    <x v="289"/>
    <x v="293"/>
    <x v="377"/>
    <x v="379"/>
    <n v="16076441.029999997"/>
    <n v="0.89021301162462507"/>
    <n v="16892397.649999999"/>
    <n v="0.9073921181759077"/>
    <m/>
    <n v="13481611"/>
    <n v="12750768"/>
    <n v="730843"/>
    <n v="5.7317567067332726"/>
    <n v="1294"/>
    <n v="1314"/>
  </r>
  <r>
    <x v="289"/>
    <x v="293"/>
    <x v="54"/>
    <x v="55"/>
    <n v="1982653.6137198701"/>
    <n v="0.10978698837537501"/>
    <n v="1724027.7207185379"/>
    <n v="9.2607881824092408E-2"/>
    <m/>
    <n v="1375925"/>
    <n v="1572510"/>
    <n v="-196585"/>
    <n v="-12.501351342757756"/>
    <n v="104.99999999436001"/>
    <n v="88.999999999429988"/>
  </r>
  <r>
    <x v="289"/>
    <x v="1"/>
    <x v="2"/>
    <x v="2"/>
    <n v="0"/>
    <n v="0"/>
    <n v="0"/>
    <n v="0"/>
    <m/>
    <n v="0"/>
    <n v="0"/>
    <n v="0"/>
    <n v="0"/>
    <n v="0"/>
    <n v="0"/>
  </r>
  <r>
    <x v="289"/>
    <x v="1"/>
    <x v="2"/>
    <x v="2"/>
    <n v="0"/>
    <n v="0"/>
    <n v="0"/>
    <n v="0"/>
    <m/>
    <n v="0"/>
    <n v="0"/>
    <n v="0"/>
    <n v="0"/>
    <n v="0"/>
    <n v="0"/>
  </r>
  <r>
    <x v="289"/>
    <x v="293"/>
    <x v="3"/>
    <x v="3"/>
    <n v="18059094.643719867"/>
    <n v="1"/>
    <n v="18616425.370718535"/>
    <n v="1"/>
    <n v="14857536"/>
    <n v="14857536"/>
    <n v="14323278"/>
    <n v="534258"/>
    <n v="3.7299981191456313"/>
    <n v="1398.99999999436"/>
    <n v="1402.99999999943"/>
  </r>
  <r>
    <x v="290"/>
    <x v="294"/>
    <x v="378"/>
    <x v="380"/>
    <n v="26012947.399999999"/>
    <n v="0.97848869216071244"/>
    <n v="26943739.010000002"/>
    <n v="0.98234535924191013"/>
    <m/>
    <n v="21599799"/>
    <n v="20898493"/>
    <n v="701306"/>
    <n v="3.3557730693787344"/>
    <n v="2024"/>
    <n v="2040"/>
  </r>
  <r>
    <x v="290"/>
    <x v="294"/>
    <x v="66"/>
    <x v="67"/>
    <n v="571874.28307723976"/>
    <n v="2.1511307839287501E-2"/>
    <n v="484230.95648191468"/>
    <n v="1.7654640758089805E-2"/>
    <m/>
    <n v="388190"/>
    <n v="459437"/>
    <n v="-71247"/>
    <n v="-15.507458041037182"/>
    <n v="28.999999997370001"/>
    <n v="23.999999994"/>
  </r>
  <r>
    <x v="290"/>
    <x v="1"/>
    <x v="2"/>
    <x v="18"/>
    <n v="0"/>
    <n v="0"/>
    <n v="0"/>
    <n v="0"/>
    <m/>
    <n v="0"/>
    <n v="0"/>
    <n v="0"/>
    <n v="0"/>
    <n v="0"/>
    <n v="0"/>
  </r>
  <r>
    <x v="290"/>
    <x v="1"/>
    <x v="2"/>
    <x v="2"/>
    <n v="0"/>
    <n v="0"/>
    <n v="0"/>
    <n v="0"/>
    <m/>
    <n v="0"/>
    <n v="0"/>
    <n v="0"/>
    <n v="0"/>
    <n v="0"/>
    <n v="0"/>
  </r>
  <r>
    <x v="290"/>
    <x v="294"/>
    <x v="3"/>
    <x v="3"/>
    <n v="26584821.683077239"/>
    <n v="0.99999999999999989"/>
    <n v="27427969.966481917"/>
    <n v="0.99999999999999989"/>
    <n v="21987989"/>
    <n v="21987989"/>
    <n v="21357930"/>
    <n v="630059"/>
    <n v="2.9500003043366094"/>
    <n v="2052.9999999973702"/>
    <n v="2063.9999999940001"/>
  </r>
  <r>
    <x v="291"/>
    <x v="295"/>
    <x v="379"/>
    <x v="381"/>
    <n v="26694462.580000002"/>
    <n v="0.89217695616829307"/>
    <n v="28125194.139999993"/>
    <n v="0.88565101667742319"/>
    <m/>
    <n v="17101306"/>
    <n v="16252187"/>
    <n v="849119"/>
    <n v="5.2246445355323567"/>
    <n v="2033"/>
    <n v="2081"/>
  </r>
  <r>
    <x v="291"/>
    <x v="295"/>
    <x v="159"/>
    <x v="160"/>
    <n v="2594894.3003445058"/>
    <n v="8.6726035091425069E-2"/>
    <n v="3005898.4795111292"/>
    <n v="9.4654530424093025E-2"/>
    <m/>
    <n v="1827713"/>
    <n v="1579830"/>
    <n v="247883"/>
    <n v="15.690485685168657"/>
    <n v="121.9999999935"/>
    <n v="136.99999999929"/>
  </r>
  <r>
    <x v="291"/>
    <x v="295"/>
    <x v="9"/>
    <x v="9"/>
    <n v="631234.98816433968"/>
    <n v="2.1097008740281933E-2"/>
    <n v="625427.28548877896"/>
    <n v="1.9694452898483646E-2"/>
    <m/>
    <n v="380286"/>
    <n v="384310"/>
    <n v="-4024"/>
    <n v="-1.0470713746714893"/>
    <n v="30.9999999996"/>
    <n v="29.999999998570001"/>
  </r>
  <r>
    <x v="291"/>
    <x v="1"/>
    <x v="2"/>
    <x v="2"/>
    <n v="0"/>
    <n v="0"/>
    <n v="0"/>
    <n v="0"/>
    <m/>
    <n v="0"/>
    <n v="0"/>
    <n v="0"/>
    <n v="0"/>
    <n v="0"/>
    <n v="0"/>
  </r>
  <r>
    <x v="291"/>
    <x v="295"/>
    <x v="3"/>
    <x v="3"/>
    <n v="29920591.868508846"/>
    <n v="1"/>
    <n v="31756519.904999904"/>
    <n v="0.99999999999999978"/>
    <n v="19309306"/>
    <n v="19309305"/>
    <n v="18216327"/>
    <n v="1092978"/>
    <n v="5.9999911068790102"/>
    <n v="2185.9999999930997"/>
    <n v="2247.99999999786"/>
  </r>
  <r>
    <x v="292"/>
    <x v="296"/>
    <x v="380"/>
    <x v="382"/>
    <n v="131396476.31"/>
    <n v="0.9170770799200717"/>
    <n v="140024274.21000001"/>
    <n v="0.92159986103365921"/>
    <m/>
    <n v="45058660"/>
    <n v="42467828"/>
    <n v="2590832"/>
    <n v="6.1006934472843772"/>
    <n v="8075"/>
    <n v="8235"/>
  </r>
  <r>
    <x v="292"/>
    <x v="296"/>
    <x v="58"/>
    <x v="59"/>
    <n v="11005401.500373567"/>
    <n v="7.6811812270360311E-2"/>
    <n v="10931974.045336653"/>
    <n v="7.1951137171374219E-2"/>
    <m/>
    <n v="3517819"/>
    <n v="3556987"/>
    <n v="-39168"/>
    <n v="-1.1011566812023772"/>
    <n v="545.89489718280004"/>
    <n v="539.58468335813996"/>
  </r>
  <r>
    <x v="292"/>
    <x v="296"/>
    <x v="9"/>
    <x v="9"/>
    <n v="875584.0159016368"/>
    <n v="6.1111078095680378E-3"/>
    <n v="979836.08060263807"/>
    <n v="6.4490017949663941E-3"/>
    <m/>
    <n v="315303"/>
    <n v="282992"/>
    <n v="32311"/>
    <n v="11.417637247696048"/>
    <n v="43.000000002429999"/>
    <n v="46.999999997930004"/>
  </r>
  <r>
    <x v="292"/>
    <x v="1"/>
    <x v="2"/>
    <x v="2"/>
    <n v="0"/>
    <n v="0"/>
    <n v="0"/>
    <n v="0"/>
    <m/>
    <n v="0"/>
    <n v="0"/>
    <n v="0"/>
    <n v="0"/>
    <n v="0"/>
    <n v="0"/>
  </r>
  <r>
    <x v="292"/>
    <x v="296"/>
    <x v="3"/>
    <x v="3"/>
    <n v="143277461.8262752"/>
    <n v="1"/>
    <n v="151936084.33593932"/>
    <n v="0.99999999999999989"/>
    <n v="48891783"/>
    <n v="48891782"/>
    <n v="46307807"/>
    <n v="2583975"/>
    <n v="5.579998638242575"/>
    <n v="8663.8948971852296"/>
    <n v="8821.5846833560699"/>
  </r>
  <r>
    <x v="293"/>
    <x v="297"/>
    <x v="381"/>
    <x v="383"/>
    <n v="0"/>
    <n v="0"/>
    <n v="16860.330000000002"/>
    <n v="9.441619300721739E-4"/>
    <m/>
    <n v="5783"/>
    <n v="0"/>
    <n v="5783"/>
    <n v="100"/>
    <n v="0"/>
    <n v="1"/>
  </r>
  <r>
    <x v="293"/>
    <x v="297"/>
    <x v="322"/>
    <x v="323"/>
    <n v="16258279.010725547"/>
    <n v="0.90670830896037391"/>
    <n v="16077861.370967135"/>
    <n v="0.90034445490955262"/>
    <m/>
    <n v="5514324"/>
    <n v="5298951"/>
    <n v="215373"/>
    <n v="4.064445962983994"/>
    <n v="1139.4836795282399"/>
    <n v="1122.0942408388999"/>
  </r>
  <r>
    <x v="293"/>
    <x v="297"/>
    <x v="25"/>
    <x v="26"/>
    <n v="1672822.8111681864"/>
    <n v="9.3291691039626076E-2"/>
    <n v="1762734.1686114664"/>
    <n v="9.8711383160375324E-2"/>
    <m/>
    <n v="604576"/>
    <n v="545212"/>
    <n v="59364"/>
    <n v="10.888241638115081"/>
    <n v="83.113465477099993"/>
    <n v="86.999999998679996"/>
  </r>
  <r>
    <x v="293"/>
    <x v="1"/>
    <x v="2"/>
    <x v="2"/>
    <n v="0"/>
    <n v="0"/>
    <n v="0"/>
    <n v="0"/>
    <m/>
    <n v="0"/>
    <n v="0"/>
    <n v="0"/>
    <n v="0"/>
    <n v="0"/>
    <n v="0"/>
  </r>
  <r>
    <x v="293"/>
    <x v="297"/>
    <x v="3"/>
    <x v="3"/>
    <n v="17931101.821893733"/>
    <n v="1"/>
    <n v="17857455.8695786"/>
    <n v="1.0000000000000002"/>
    <n v="6124683"/>
    <n v="6124683"/>
    <n v="5844163"/>
    <n v="280520"/>
    <n v="4.8000030115518681"/>
    <n v="1222.5971450053398"/>
    <n v="1210.0942408375799"/>
  </r>
  <r>
    <x v="294"/>
    <x v="298"/>
    <x v="382"/>
    <x v="384"/>
    <n v="41191248.019999996"/>
    <n v="0.8595609441326808"/>
    <n v="42576904.100000009"/>
    <n v="0.85582590593406171"/>
    <m/>
    <n v="34163893"/>
    <n v="32555022"/>
    <n v="1608871"/>
    <n v="4.9420055682960378"/>
    <n v="3249"/>
    <n v="3258"/>
  </r>
  <r>
    <x v="294"/>
    <x v="298"/>
    <x v="50"/>
    <x v="51"/>
    <n v="6730017.2505655829"/>
    <n v="0.14043905586731922"/>
    <n v="7172587.9459680449"/>
    <n v="0.14417409406593826"/>
    <m/>
    <n v="5755316"/>
    <n v="5318990"/>
    <n v="436326"/>
    <n v="8.2031739108364565"/>
    <n v="349.00000000249997"/>
    <n v="363.00000000023999"/>
  </r>
  <r>
    <x v="294"/>
    <x v="1"/>
    <x v="2"/>
    <x v="18"/>
    <n v="0"/>
    <n v="0"/>
    <n v="0"/>
    <n v="0"/>
    <m/>
    <n v="0"/>
    <n v="0"/>
    <n v="0"/>
    <n v="0"/>
    <n v="0"/>
    <n v="0"/>
  </r>
  <r>
    <x v="294"/>
    <x v="1"/>
    <x v="2"/>
    <x v="2"/>
    <n v="0"/>
    <n v="0"/>
    <n v="0"/>
    <n v="0"/>
    <m/>
    <n v="0"/>
    <n v="0"/>
    <n v="0"/>
    <n v="0"/>
    <n v="0"/>
    <n v="0"/>
  </r>
  <r>
    <x v="294"/>
    <x v="298"/>
    <x v="3"/>
    <x v="3"/>
    <n v="47921265.270565577"/>
    <n v="1"/>
    <n v="49749492.045968056"/>
    <n v="1"/>
    <n v="39919209"/>
    <n v="39919209"/>
    <n v="37874012"/>
    <n v="2045197"/>
    <n v="5.4000009293971818"/>
    <n v="3598.0000000025002"/>
    <n v="3621.0000000002401"/>
  </r>
  <r>
    <x v="295"/>
    <x v="299"/>
    <x v="383"/>
    <x v="385"/>
    <n v="5475942.1799999988"/>
    <n v="0.59015981020456476"/>
    <n v="5499468.6799999997"/>
    <n v="0.62319503844024204"/>
    <m/>
    <n v="4537062"/>
    <n v="3835613"/>
    <n v="701449"/>
    <n v="18.287793893700954"/>
    <n v="360"/>
    <n v="355"/>
  </r>
  <r>
    <x v="295"/>
    <x v="299"/>
    <x v="115"/>
    <x v="116"/>
    <n v="3802802.4673217069"/>
    <n v="0.40984018979543529"/>
    <n v="3325166.2108109007"/>
    <n v="0.37680496155975807"/>
    <m/>
    <n v="2743262"/>
    <n v="2663666"/>
    <n v="79596"/>
    <n v="2.9882124860999841"/>
    <n v="211.99999999696001"/>
    <n v="188.00000000092999"/>
  </r>
  <r>
    <x v="295"/>
    <x v="1"/>
    <x v="2"/>
    <x v="2"/>
    <n v="0"/>
    <n v="0"/>
    <n v="0"/>
    <n v="0"/>
    <m/>
    <n v="0"/>
    <n v="0"/>
    <n v="0"/>
    <n v="0"/>
    <n v="0"/>
    <n v="0"/>
  </r>
  <r>
    <x v="295"/>
    <x v="1"/>
    <x v="2"/>
    <x v="2"/>
    <n v="0"/>
    <n v="0"/>
    <n v="0"/>
    <n v="0"/>
    <m/>
    <n v="0"/>
    <n v="0"/>
    <n v="0"/>
    <n v="0"/>
    <n v="0"/>
    <n v="0"/>
  </r>
  <r>
    <x v="295"/>
    <x v="299"/>
    <x v="3"/>
    <x v="3"/>
    <n v="9278744.6473217048"/>
    <n v="1"/>
    <n v="8824634.8908108994"/>
    <n v="1"/>
    <n v="7280324"/>
    <n v="7280324"/>
    <n v="6499279"/>
    <n v="781045"/>
    <n v="12.017409931163133"/>
    <n v="571.99999999696001"/>
    <n v="543.00000000092996"/>
  </r>
  <r>
    <x v="296"/>
    <x v="300"/>
    <x v="384"/>
    <x v="386"/>
    <n v="0"/>
    <n v="0"/>
    <n v="0"/>
    <n v="0"/>
    <m/>
    <n v="0"/>
    <n v="0"/>
    <n v="0"/>
    <n v="0"/>
    <n v="0"/>
    <n v="0"/>
  </r>
  <r>
    <x v="296"/>
    <x v="300"/>
    <x v="180"/>
    <x v="368"/>
    <n v="497827.48476620007"/>
    <n v="1"/>
    <n v="429555.53772842116"/>
    <n v="1"/>
    <m/>
    <n v="354383"/>
    <n v="410708"/>
    <n v="-56325"/>
    <n v="-13.714122929185699"/>
    <n v="35.219952873209998"/>
    <n v="29.232371798419997"/>
  </r>
  <r>
    <x v="296"/>
    <x v="1"/>
    <x v="2"/>
    <x v="2"/>
    <n v="0"/>
    <n v="0"/>
    <n v="0"/>
    <n v="0"/>
    <m/>
    <n v="0"/>
    <n v="0"/>
    <n v="0"/>
    <n v="0"/>
    <n v="0"/>
    <n v="0"/>
  </r>
  <r>
    <x v="296"/>
    <x v="1"/>
    <x v="2"/>
    <x v="2"/>
    <n v="0"/>
    <n v="0"/>
    <n v="0"/>
    <n v="0"/>
    <m/>
    <n v="0"/>
    <n v="0"/>
    <n v="0"/>
    <n v="0"/>
    <n v="0"/>
    <n v="0"/>
  </r>
  <r>
    <x v="296"/>
    <x v="300"/>
    <x v="3"/>
    <x v="3"/>
    <n v="497827.48476620007"/>
    <n v="1"/>
    <n v="429555.53772842116"/>
    <n v="1"/>
    <n v="354383"/>
    <n v="354383"/>
    <n v="410708"/>
    <n v="-56325"/>
    <n v="-13.714122929185699"/>
    <n v="35.219952873209998"/>
    <n v="29.232371798419997"/>
  </r>
  <r>
    <x v="297"/>
    <x v="301"/>
    <x v="385"/>
    <x v="387"/>
    <n v="6737747.4920000006"/>
    <n v="0.50364531510490729"/>
    <n v="7135071.2786099995"/>
    <n v="0.51104338866816901"/>
    <m/>
    <n v="5582684"/>
    <n v="5269483"/>
    <n v="313201"/>
    <n v="5.9436760684112651"/>
    <n v="574"/>
    <n v="589"/>
  </r>
  <r>
    <x v="297"/>
    <x v="301"/>
    <x v="79"/>
    <x v="80"/>
    <n v="6068339.4407370165"/>
    <n v="0.45360719341625505"/>
    <n v="6322293.4825305762"/>
    <n v="0.45282887294386459"/>
    <m/>
    <n v="4946744"/>
    <n v="4745950"/>
    <n v="200794"/>
    <n v="4.2308494611194805"/>
    <n v="470.58348850886"/>
    <n v="473.9020979032"/>
  </r>
  <r>
    <x v="297"/>
    <x v="301"/>
    <x v="66"/>
    <x v="67"/>
    <n v="571874.28307723976"/>
    <n v="4.2747491478837593E-2"/>
    <n v="504407.24652538839"/>
    <n v="3.6127738387966402E-2"/>
    <m/>
    <n v="394663"/>
    <n v="447254"/>
    <n v="-52591"/>
    <n v="-11.758642739919598"/>
    <n v="28.999999997370001"/>
    <n v="25.000000003169998"/>
  </r>
  <r>
    <x v="297"/>
    <x v="1"/>
    <x v="2"/>
    <x v="18"/>
    <n v="0"/>
    <n v="0"/>
    <n v="0"/>
    <n v="0"/>
    <m/>
    <n v="0"/>
    <n v="0"/>
    <n v="0"/>
    <n v="0"/>
    <n v="0"/>
    <n v="0"/>
  </r>
  <r>
    <x v="297"/>
    <x v="301"/>
    <x v="3"/>
    <x v="3"/>
    <n v="13377961.215814257"/>
    <n v="0.99999999999999989"/>
    <n v="13961772.007665964"/>
    <n v="1"/>
    <n v="10924091"/>
    <n v="10924091"/>
    <n v="10462687"/>
    <n v="461404"/>
    <n v="4.4099952526535491"/>
    <n v="1073.58348850623"/>
    <n v="1087.90209790637"/>
  </r>
  <r>
    <x v="298"/>
    <x v="302"/>
    <x v="386"/>
    <x v="388"/>
    <n v="0"/>
    <n v="0"/>
    <n v="0"/>
    <n v="0"/>
    <m/>
    <n v="0"/>
    <n v="0"/>
    <n v="0"/>
    <n v="0"/>
    <n v="0"/>
    <n v="0"/>
  </r>
  <r>
    <x v="298"/>
    <x v="302"/>
    <x v="27"/>
    <x v="28"/>
    <n v="15527790.940463116"/>
    <n v="0.89033414012003342"/>
    <n v="16103929.823848812"/>
    <n v="0.8726857505416763"/>
    <m/>
    <n v="7879597"/>
    <n v="7634328"/>
    <n v="245269"/>
    <n v="3.2127123697069342"/>
    <n v="1185.5342465820002"/>
    <n v="1199.1996820279801"/>
  </r>
  <r>
    <x v="298"/>
    <x v="302"/>
    <x v="42"/>
    <x v="43"/>
    <n v="1912617.3745203852"/>
    <n v="0.1096658598799666"/>
    <n v="2349367.7278221059"/>
    <n v="0.12731424945832376"/>
    <m/>
    <n v="1149538"/>
    <n v="940349"/>
    <n v="209189"/>
    <n v="22.245889558025798"/>
    <n v="94.000000001050012"/>
    <n v="113.99999999745999"/>
  </r>
  <r>
    <x v="298"/>
    <x v="1"/>
    <x v="2"/>
    <x v="2"/>
    <n v="0"/>
    <n v="0"/>
    <n v="0"/>
    <n v="0"/>
    <m/>
    <n v="0"/>
    <n v="0"/>
    <n v="0"/>
    <n v="0"/>
    <n v="0"/>
    <n v="0"/>
  </r>
  <r>
    <x v="298"/>
    <x v="302"/>
    <x v="3"/>
    <x v="3"/>
    <n v="17440408.314983502"/>
    <n v="1"/>
    <n v="18453297.551670916"/>
    <n v="1"/>
    <n v="9029135"/>
    <n v="9029135"/>
    <n v="8574677"/>
    <n v="454458"/>
    <n v="5.3000013878073773"/>
    <n v="1279.5342465830502"/>
    <n v="1313.1996820254401"/>
  </r>
  <r>
    <x v="299"/>
    <x v="303"/>
    <x v="387"/>
    <x v="389"/>
    <n v="2300504.7399999998"/>
    <n v="0.90571046697189261"/>
    <n v="2291577.2599999998"/>
    <n v="0.90516816035125303"/>
    <m/>
    <n v="1890551"/>
    <n v="1897916"/>
    <n v="-7365"/>
    <n v="-0.38805721644161278"/>
    <n v="173"/>
    <n v="170"/>
  </r>
  <r>
    <x v="299"/>
    <x v="303"/>
    <x v="44"/>
    <x v="45"/>
    <n v="239495.4299123488"/>
    <n v="9.42895330281074E-2"/>
    <n v="240081.89503562043"/>
    <n v="9.4831839648747071E-2"/>
    <m/>
    <n v="198068"/>
    <n v="197584"/>
    <n v="484"/>
    <n v="0.24495910600048587"/>
    <n v="11.032983506280001"/>
    <n v="11.01651651884"/>
  </r>
  <r>
    <x v="299"/>
    <x v="1"/>
    <x v="2"/>
    <x v="2"/>
    <n v="0"/>
    <n v="0"/>
    <n v="0"/>
    <n v="0"/>
    <m/>
    <n v="0"/>
    <n v="0"/>
    <n v="0"/>
    <n v="0"/>
    <n v="0"/>
    <n v="0"/>
  </r>
  <r>
    <x v="299"/>
    <x v="1"/>
    <x v="2"/>
    <x v="2"/>
    <n v="0"/>
    <n v="0"/>
    <n v="0"/>
    <n v="0"/>
    <m/>
    <n v="0"/>
    <n v="0"/>
    <n v="0"/>
    <n v="0"/>
    <n v="0"/>
    <n v="0"/>
  </r>
  <r>
    <x v="299"/>
    <x v="303"/>
    <x v="3"/>
    <x v="3"/>
    <n v="2540000.1699123485"/>
    <n v="1"/>
    <n v="2531659.1550356201"/>
    <n v="1"/>
    <n v="2088619"/>
    <n v="2088619"/>
    <n v="2095500"/>
    <n v="-6881"/>
    <n v="-0.32837031734669531"/>
    <n v="184.03298350628"/>
    <n v="181.01651651884001"/>
  </r>
  <r>
    <x v="300"/>
    <x v="304"/>
    <x v="388"/>
    <x v="390"/>
    <n v="21286361.979999997"/>
    <n v="0.90343130260277427"/>
    <n v="21384094.800000001"/>
    <n v="0.90533009369994444"/>
    <m/>
    <n v="14900523"/>
    <n v="13961757"/>
    <n v="938766"/>
    <n v="6.7238385541304009"/>
    <n v="1619"/>
    <n v="1594"/>
  </r>
  <r>
    <x v="300"/>
    <x v="304"/>
    <x v="139"/>
    <x v="140"/>
    <n v="2275321.0374848451"/>
    <n v="9.6568697397225678E-2"/>
    <n v="2236123.8901868048"/>
    <n v="9.4669906300055506E-2"/>
    <m/>
    <n v="1558140"/>
    <n v="1492387"/>
    <n v="65753"/>
    <n v="4.4058947176570156"/>
    <n v="103.00000000908"/>
    <n v="98.999999989800003"/>
  </r>
  <r>
    <x v="300"/>
    <x v="1"/>
    <x v="2"/>
    <x v="2"/>
    <n v="0"/>
    <n v="0"/>
    <n v="0"/>
    <n v="0"/>
    <m/>
    <n v="0"/>
    <n v="0"/>
    <n v="0"/>
    <n v="0"/>
    <n v="0"/>
    <n v="0"/>
  </r>
  <r>
    <x v="300"/>
    <x v="1"/>
    <x v="2"/>
    <x v="2"/>
    <n v="0"/>
    <n v="0"/>
    <n v="0"/>
    <n v="0"/>
    <m/>
    <n v="0"/>
    <n v="0"/>
    <n v="0"/>
    <n v="0"/>
    <n v="0"/>
    <n v="0"/>
  </r>
  <r>
    <x v="300"/>
    <x v="304"/>
    <x v="3"/>
    <x v="3"/>
    <n v="23561683.017484844"/>
    <n v="1"/>
    <n v="23620218.690186806"/>
    <n v="1"/>
    <n v="16458663"/>
    <n v="16458663"/>
    <n v="15454144"/>
    <n v="1004519"/>
    <n v="6.4999976705277236"/>
    <n v="1722.0000000090799"/>
    <n v="1692.9999999898"/>
  </r>
  <r>
    <x v="301"/>
    <x v="305"/>
    <x v="389"/>
    <x v="391"/>
    <n v="268153.68999999994"/>
    <n v="1"/>
    <n v="322864.62"/>
    <n v="1"/>
    <m/>
    <n v="266363"/>
    <n v="221227"/>
    <n v="45136"/>
    <n v="20.402572922834917"/>
    <n v="24"/>
    <n v="28"/>
  </r>
  <r>
    <x v="301"/>
    <x v="1"/>
    <x v="2"/>
    <x v="2"/>
    <n v="0"/>
    <n v="0"/>
    <n v="0"/>
    <n v="0"/>
    <m/>
    <n v="0"/>
    <n v="0"/>
    <n v="0"/>
    <n v="0"/>
    <n v="0"/>
    <n v="0"/>
  </r>
  <r>
    <x v="301"/>
    <x v="1"/>
    <x v="2"/>
    <x v="2"/>
    <n v="0"/>
    <n v="0"/>
    <n v="0"/>
    <n v="0"/>
    <m/>
    <n v="0"/>
    <n v="0"/>
    <n v="0"/>
    <n v="0"/>
    <n v="0"/>
    <n v="0"/>
  </r>
  <r>
    <x v="301"/>
    <x v="1"/>
    <x v="2"/>
    <x v="2"/>
    <n v="0"/>
    <n v="0"/>
    <n v="0"/>
    <n v="0"/>
    <m/>
    <n v="0"/>
    <n v="0"/>
    <n v="0"/>
    <n v="0"/>
    <n v="0"/>
    <n v="0"/>
  </r>
  <r>
    <x v="301"/>
    <x v="305"/>
    <x v="3"/>
    <x v="3"/>
    <n v="268153.68999999994"/>
    <n v="1"/>
    <n v="322864.62"/>
    <n v="1"/>
    <n v="266363"/>
    <n v="266363"/>
    <n v="221227"/>
    <n v="45136"/>
    <n v="20.402572922834917"/>
    <n v="24"/>
    <n v="28"/>
  </r>
  <r>
    <x v="302"/>
    <x v="306"/>
    <x v="390"/>
    <x v="392"/>
    <n v="82453.8"/>
    <n v="5.1262136625986592E-3"/>
    <n v="84301.650000000009"/>
    <n v="5.2329760496550295E-3"/>
    <m/>
    <n v="65499"/>
    <n v="61452"/>
    <n v="4047"/>
    <n v="6.5856278070689322"/>
    <n v="5"/>
    <n v="5"/>
  </r>
  <r>
    <x v="302"/>
    <x v="306"/>
    <x v="258"/>
    <x v="259"/>
    <n v="14283983.680606524"/>
    <n v="0.8880458183838883"/>
    <n v="14223881.599901132"/>
    <n v="0.88293920398250192"/>
    <m/>
    <n v="11051358"/>
    <n v="10645796"/>
    <n v="405562"/>
    <n v="3.8095977041077997"/>
    <n v="1158.9746712142501"/>
    <n v="1120.3988006013601"/>
  </r>
  <r>
    <x v="302"/>
    <x v="306"/>
    <x v="54"/>
    <x v="55"/>
    <n v="1718299.7986042001"/>
    <n v="0.10682796795351307"/>
    <n v="1801512.112751516"/>
    <n v="0.11182781996784302"/>
    <m/>
    <n v="1399699"/>
    <n v="1280642"/>
    <n v="119057"/>
    <n v="9.2966652663273575"/>
    <n v="90.9999999976"/>
    <n v="93.000000004079993"/>
  </r>
  <r>
    <x v="302"/>
    <x v="1"/>
    <x v="2"/>
    <x v="2"/>
    <n v="0"/>
    <n v="0"/>
    <n v="0"/>
    <n v="0"/>
    <m/>
    <n v="0"/>
    <n v="0"/>
    <n v="0"/>
    <n v="0"/>
    <n v="0"/>
    <n v="0"/>
  </r>
  <r>
    <x v="302"/>
    <x v="306"/>
    <x v="3"/>
    <x v="3"/>
    <n v="16084737.279210724"/>
    <n v="1"/>
    <n v="16109695.362652648"/>
    <n v="1"/>
    <n v="12516556"/>
    <n v="12516556"/>
    <n v="11987890"/>
    <n v="528666"/>
    <n v="4.4100004254293292"/>
    <n v="1254.9746712118501"/>
    <n v="1218.3988006054401"/>
  </r>
  <r>
    <x v="303"/>
    <x v="307"/>
    <x v="391"/>
    <x v="393"/>
    <n v="22214657.669999998"/>
    <n v="0.90744121049235316"/>
    <n v="22397904.870000001"/>
    <n v="0.89406564720429804"/>
    <m/>
    <n v="15614534"/>
    <n v="14882274"/>
    <n v="732260"/>
    <n v="4.9203502099208762"/>
    <n v="1690"/>
    <n v="1649"/>
  </r>
  <r>
    <x v="303"/>
    <x v="307"/>
    <x v="54"/>
    <x v="55"/>
    <n v="2265889.8444190635"/>
    <n v="9.2558789507646955E-2"/>
    <n v="2653840.4241371965"/>
    <n v="0.10593435279570197"/>
    <m/>
    <n v="1850105"/>
    <n v="1517988"/>
    <n v="332117"/>
    <n v="21.878763204979222"/>
    <n v="120.00000000243999"/>
    <n v="137.00000000479"/>
  </r>
  <r>
    <x v="303"/>
    <x v="1"/>
    <x v="2"/>
    <x v="2"/>
    <n v="0"/>
    <n v="0"/>
    <n v="0"/>
    <n v="0"/>
    <m/>
    <n v="0"/>
    <n v="0"/>
    <n v="0"/>
    <n v="0"/>
    <n v="0"/>
    <n v="0"/>
  </r>
  <r>
    <x v="303"/>
    <x v="1"/>
    <x v="2"/>
    <x v="2"/>
    <n v="0"/>
    <n v="0"/>
    <n v="0"/>
    <n v="0"/>
    <m/>
    <n v="0"/>
    <n v="0"/>
    <n v="0"/>
    <n v="0"/>
    <n v="0"/>
    <n v="0"/>
  </r>
  <r>
    <x v="303"/>
    <x v="307"/>
    <x v="3"/>
    <x v="3"/>
    <n v="24480547.51441906"/>
    <n v="1"/>
    <n v="25051745.294137198"/>
    <n v="1"/>
    <n v="17464639"/>
    <n v="17464639"/>
    <n v="16400262"/>
    <n v="1064377"/>
    <n v="6.4899999768296386"/>
    <n v="1810.0000000024399"/>
    <n v="1786.0000000047901"/>
  </r>
  <r>
    <x v="304"/>
    <x v="308"/>
    <x v="392"/>
    <x v="394"/>
    <n v="43061534.5506"/>
    <n v="0.94881338942737348"/>
    <n v="44741734.350440003"/>
    <n v="0.94911528860099381"/>
    <m/>
    <n v="36213785"/>
    <n v="34517798"/>
    <n v="1695987"/>
    <n v="4.9133696187688454"/>
    <n v="3317"/>
    <n v="3359"/>
  </r>
  <r>
    <x v="304"/>
    <x v="308"/>
    <x v="107"/>
    <x v="108"/>
    <n v="2323084.8386651967"/>
    <n v="5.1186610572626613E-2"/>
    <n v="2398728.865983156"/>
    <n v="5.0884711399006112E-2"/>
    <m/>
    <n v="1941522"/>
    <n v="1862167"/>
    <n v="79355"/>
    <n v="4.2614330508488232"/>
    <n v="100.99999999762001"/>
    <n v="100.999999996"/>
  </r>
  <r>
    <x v="304"/>
    <x v="1"/>
    <x v="2"/>
    <x v="18"/>
    <n v="0"/>
    <n v="0"/>
    <n v="0"/>
    <n v="0"/>
    <m/>
    <n v="0"/>
    <n v="0"/>
    <n v="0"/>
    <n v="0"/>
    <n v="0"/>
    <n v="0"/>
  </r>
  <r>
    <x v="304"/>
    <x v="1"/>
    <x v="2"/>
    <x v="2"/>
    <n v="0"/>
    <n v="0"/>
    <n v="0"/>
    <n v="0"/>
    <m/>
    <n v="0"/>
    <n v="0"/>
    <n v="0"/>
    <n v="0"/>
    <n v="0"/>
    <n v="0"/>
  </r>
  <r>
    <x v="304"/>
    <x v="308"/>
    <x v="3"/>
    <x v="3"/>
    <n v="45384619.389265195"/>
    <n v="1"/>
    <n v="47140463.216423161"/>
    <n v="0.99999999999999989"/>
    <n v="38155307"/>
    <n v="38155307"/>
    <n v="36379965"/>
    <n v="1775342"/>
    <n v="4.8799991973604149"/>
    <n v="3417.9999999976199"/>
    <n v="3459.999999996"/>
  </r>
  <r>
    <x v="305"/>
    <x v="309"/>
    <x v="393"/>
    <x v="395"/>
    <n v="1628374.74"/>
    <n v="0.42432647258069378"/>
    <n v="1625333.8399999999"/>
    <n v="0.42969085545879743"/>
    <m/>
    <n v="599401"/>
    <n v="566808"/>
    <n v="32593"/>
    <n v="5.7502716969414687"/>
    <n v="111"/>
    <n v="105"/>
  </r>
  <r>
    <x v="305"/>
    <x v="309"/>
    <x v="87"/>
    <x v="88"/>
    <n v="2209176.8746717274"/>
    <n v="0.57567352741930611"/>
    <n v="2157231.7402345818"/>
    <n v="0.57030914454120252"/>
    <m/>
    <n v="795557"/>
    <n v="768975"/>
    <n v="26582"/>
    <n v="3.456809389121883"/>
    <n v="146.99999999664001"/>
    <n v="137.18002627440001"/>
  </r>
  <r>
    <x v="305"/>
    <x v="1"/>
    <x v="2"/>
    <x v="2"/>
    <n v="0"/>
    <n v="0"/>
    <n v="0"/>
    <n v="0"/>
    <m/>
    <n v="0"/>
    <n v="0"/>
    <n v="0"/>
    <n v="0"/>
    <n v="0"/>
    <n v="0"/>
  </r>
  <r>
    <x v="305"/>
    <x v="1"/>
    <x v="2"/>
    <x v="2"/>
    <n v="0"/>
    <n v="0"/>
    <n v="0"/>
    <n v="0"/>
    <m/>
    <n v="0"/>
    <n v="0"/>
    <n v="0"/>
    <n v="0"/>
    <n v="0"/>
    <n v="0"/>
  </r>
  <r>
    <x v="305"/>
    <x v="309"/>
    <x v="3"/>
    <x v="3"/>
    <n v="3837551.6146717276"/>
    <n v="0.99999999999999989"/>
    <n v="3782565.5802345816"/>
    <n v="1"/>
    <n v="1394958"/>
    <n v="1394958"/>
    <n v="1335783"/>
    <n v="59175"/>
    <n v="4.4299860082064226"/>
    <n v="257.99999999663999"/>
    <n v="242.18002627440001"/>
  </r>
  <r>
    <x v="306"/>
    <x v="310"/>
    <x v="394"/>
    <x v="396"/>
    <n v="47191402.9124"/>
    <n v="0.95357360964830351"/>
    <n v="47733569.965189993"/>
    <n v="0.95111253984190114"/>
    <m/>
    <n v="39164094"/>
    <n v="37306825"/>
    <n v="1857269"/>
    <n v="4.9783625382218935"/>
    <n v="3680"/>
    <n v="3643"/>
  </r>
  <r>
    <x v="306"/>
    <x v="310"/>
    <x v="166"/>
    <x v="167"/>
    <n v="1845535.2192073043"/>
    <n v="3.7291828004760663E-2"/>
    <n v="1902920.0312582578"/>
    <n v="3.7916525107297566E-2"/>
    <m/>
    <n v="1561294"/>
    <n v="1458975"/>
    <n v="102319"/>
    <n v="7.0130742473311747"/>
    <n v="89.999999998149988"/>
    <n v="91.0000000008"/>
  </r>
  <r>
    <x v="306"/>
    <x v="310"/>
    <x v="39"/>
    <x v="40"/>
    <n v="452060.34204499499"/>
    <n v="9.134562346935951E-3"/>
    <n v="550599.29702748952"/>
    <n v="1.0970935050801338E-2"/>
    <m/>
    <n v="451752"/>
    <n v="357373"/>
    <n v="94379"/>
    <n v="26.409101974687513"/>
    <n v="21.000000000210001"/>
    <n v="24.99999999928"/>
  </r>
  <r>
    <x v="306"/>
    <x v="1"/>
    <x v="2"/>
    <x v="2"/>
    <n v="0"/>
    <n v="0"/>
    <n v="0"/>
    <n v="0"/>
    <m/>
    <n v="0"/>
    <n v="0"/>
    <n v="0"/>
    <n v="0"/>
    <n v="0"/>
    <n v="0"/>
  </r>
  <r>
    <x v="306"/>
    <x v="310"/>
    <x v="3"/>
    <x v="3"/>
    <n v="49488998.473652296"/>
    <n v="1"/>
    <n v="50187089.29347574"/>
    <n v="1"/>
    <n v="41177140"/>
    <n v="41177140"/>
    <n v="39123173"/>
    <n v="2053967"/>
    <n v="5.2500010671424837"/>
    <n v="3790.9999999983602"/>
    <n v="3759.00000000008"/>
  </r>
  <r>
    <x v="307"/>
    <x v="311"/>
    <x v="395"/>
    <x v="397"/>
    <n v="98129290.060850009"/>
    <n v="1"/>
    <n v="103566216.31179999"/>
    <n v="1"/>
    <m/>
    <n v="79254279"/>
    <n v="74508112"/>
    <n v="4746167"/>
    <n v="6.3700003564712526"/>
    <n v="5657"/>
    <n v="5718"/>
  </r>
  <r>
    <x v="307"/>
    <x v="1"/>
    <x v="2"/>
    <x v="2"/>
    <n v="0"/>
    <n v="0"/>
    <n v="0"/>
    <n v="0"/>
    <m/>
    <n v="0"/>
    <n v="0"/>
    <n v="0"/>
    <n v="0"/>
    <n v="0"/>
    <n v="0"/>
  </r>
  <r>
    <x v="307"/>
    <x v="1"/>
    <x v="2"/>
    <x v="2"/>
    <n v="0"/>
    <n v="0"/>
    <n v="0"/>
    <n v="0"/>
    <m/>
    <n v="0"/>
    <n v="0"/>
    <n v="0"/>
    <n v="0"/>
    <n v="0"/>
    <n v="0"/>
  </r>
  <r>
    <x v="307"/>
    <x v="1"/>
    <x v="2"/>
    <x v="2"/>
    <n v="0"/>
    <n v="0"/>
    <n v="0"/>
    <n v="0"/>
    <m/>
    <n v="0"/>
    <n v="0"/>
    <n v="0"/>
    <n v="0"/>
    <n v="0"/>
    <n v="0"/>
  </r>
  <r>
    <x v="307"/>
    <x v="311"/>
    <x v="3"/>
    <x v="3"/>
    <n v="98129290.060850009"/>
    <n v="1"/>
    <n v="103566216.31179999"/>
    <n v="1"/>
    <n v="79254279"/>
    <n v="79254279"/>
    <n v="74508112"/>
    <n v="4746167"/>
    <n v="6.3700003564712526"/>
    <n v="5657"/>
    <n v="5718"/>
  </r>
  <r>
    <x v="308"/>
    <x v="312"/>
    <x v="396"/>
    <x v="398"/>
    <n v="19400007.25"/>
    <n v="0.88726977198060542"/>
    <n v="20308799.120000001"/>
    <n v="0.89615772295032359"/>
    <m/>
    <n v="6201461"/>
    <n v="5872745"/>
    <n v="328716"/>
    <n v="5.5973143734318453"/>
    <n v="1264"/>
    <n v="1266"/>
  </r>
  <r>
    <x v="308"/>
    <x v="312"/>
    <x v="52"/>
    <x v="53"/>
    <n v="2464827.8459758167"/>
    <n v="0.11273022801939465"/>
    <n v="2353282.1184895006"/>
    <n v="0.10384227704967641"/>
    <m/>
    <n v="718594"/>
    <n v="746150"/>
    <n v="-27556"/>
    <n v="-3.6930912015010389"/>
    <n v="115.9999999998"/>
    <n v="107.99999999844999"/>
  </r>
  <r>
    <x v="308"/>
    <x v="1"/>
    <x v="2"/>
    <x v="2"/>
    <n v="0"/>
    <n v="0"/>
    <n v="0"/>
    <n v="0"/>
    <m/>
    <n v="0"/>
    <n v="0"/>
    <n v="0"/>
    <n v="0"/>
    <n v="0"/>
    <n v="0"/>
  </r>
  <r>
    <x v="308"/>
    <x v="1"/>
    <x v="2"/>
    <x v="2"/>
    <n v="0"/>
    <n v="0"/>
    <n v="0"/>
    <n v="0"/>
    <m/>
    <n v="0"/>
    <n v="0"/>
    <n v="0"/>
    <n v="0"/>
    <n v="0"/>
    <n v="0"/>
  </r>
  <r>
    <x v="308"/>
    <x v="312"/>
    <x v="3"/>
    <x v="3"/>
    <n v="21864835.095975816"/>
    <n v="1"/>
    <n v="22662081.238489501"/>
    <n v="1"/>
    <n v="6920055"/>
    <n v="6920055"/>
    <n v="6618895"/>
    <n v="301160"/>
    <n v="4.5500041925427128"/>
    <n v="1379.9999999997999"/>
    <n v="1373.99999999845"/>
  </r>
  <r>
    <x v="309"/>
    <x v="313"/>
    <x v="397"/>
    <x v="399"/>
    <n v="37763668.480000004"/>
    <n v="0.8833515731090924"/>
    <n v="37911821.280000001"/>
    <n v="0.8719231958871132"/>
    <m/>
    <n v="22749870"/>
    <n v="21536212"/>
    <n v="1213658"/>
    <n v="5.6354292946224716"/>
    <n v="2307"/>
    <n v="2244"/>
  </r>
  <r>
    <x v="309"/>
    <x v="313"/>
    <x v="76"/>
    <x v="77"/>
    <n v="4986771.5821430152"/>
    <n v="0.11664842689090754"/>
    <n v="5568867.6830086112"/>
    <n v="0.12807680411288674"/>
    <m/>
    <n v="3341728"/>
    <n v="2843902"/>
    <n v="497826"/>
    <n v="17.505033577106385"/>
    <n v="238.20152091501998"/>
    <n v="262.92145369320002"/>
  </r>
  <r>
    <x v="309"/>
    <x v="1"/>
    <x v="2"/>
    <x v="2"/>
    <n v="0"/>
    <n v="0"/>
    <n v="0"/>
    <n v="0"/>
    <m/>
    <n v="0"/>
    <n v="0"/>
    <n v="0"/>
    <n v="0"/>
    <n v="0"/>
    <n v="0"/>
  </r>
  <r>
    <x v="309"/>
    <x v="1"/>
    <x v="2"/>
    <x v="2"/>
    <n v="0"/>
    <n v="0"/>
    <n v="0"/>
    <n v="0"/>
    <m/>
    <n v="0"/>
    <n v="0"/>
    <n v="0"/>
    <n v="0"/>
    <n v="0"/>
    <n v="0"/>
  </r>
  <r>
    <x v="309"/>
    <x v="313"/>
    <x v="3"/>
    <x v="3"/>
    <n v="42750440.06214302"/>
    <n v="1"/>
    <n v="43480688.963008612"/>
    <n v="1"/>
    <n v="26091598"/>
    <n v="26091598"/>
    <n v="24380114"/>
    <n v="1711484"/>
    <n v="7.01999998851523"/>
    <n v="2545.20152091502"/>
    <n v="2506.9214536932"/>
  </r>
  <r>
    <x v="310"/>
    <x v="314"/>
    <x v="398"/>
    <x v="400"/>
    <n v="16490.760000000002"/>
    <n v="1.5124951385852921E-3"/>
    <n v="16860.330000000002"/>
    <n v="1.6194220537099284E-3"/>
    <m/>
    <n v="5405"/>
    <n v="4845"/>
    <n v="560"/>
    <n v="11.558307533539733"/>
    <n v="1"/>
    <n v="1"/>
  </r>
  <r>
    <x v="310"/>
    <x v="314"/>
    <x v="399"/>
    <x v="401"/>
    <n v="9824100.3064649906"/>
    <n v="0.90104421836850301"/>
    <n v="9239613.683993686"/>
    <n v="0.88745796598402338"/>
    <m/>
    <n v="2961937"/>
    <n v="2886067"/>
    <n v="75870"/>
    <n v="2.6288370990694254"/>
    <n v="651.02928128219992"/>
    <n v="608.81291548242007"/>
  </r>
  <r>
    <x v="310"/>
    <x v="314"/>
    <x v="52"/>
    <x v="53"/>
    <n v="1062425.7957409839"/>
    <n v="9.7443286492911702E-2"/>
    <n v="1154851.410020845"/>
    <n v="0.11092261196226665"/>
    <m/>
    <n v="370210"/>
    <n v="312113"/>
    <n v="58097"/>
    <n v="18.614091691150321"/>
    <n v="50.000000002819995"/>
    <n v="53.000000000219998"/>
  </r>
  <r>
    <x v="310"/>
    <x v="1"/>
    <x v="2"/>
    <x v="2"/>
    <n v="0"/>
    <n v="0"/>
    <n v="0"/>
    <n v="0"/>
    <m/>
    <n v="0"/>
    <n v="0"/>
    <n v="0"/>
    <n v="0"/>
    <n v="0"/>
    <n v="0"/>
  </r>
  <r>
    <x v="310"/>
    <x v="314"/>
    <x v="3"/>
    <x v="3"/>
    <n v="10903016.862205975"/>
    <n v="1"/>
    <n v="10411325.424014531"/>
    <n v="0.99999999999999989"/>
    <n v="3337552"/>
    <n v="3337552"/>
    <n v="3203025"/>
    <n v="134527"/>
    <n v="4.1999984389756557"/>
    <n v="702.02928128501992"/>
    <n v="662.81291548264005"/>
  </r>
  <r>
    <x v="311"/>
    <x v="315"/>
    <x v="400"/>
    <x v="402"/>
    <n v="860882.41"/>
    <n v="0.87042717475881903"/>
    <n v="700343.84"/>
    <n v="0.86501876006001588"/>
    <m/>
    <n v="501075"/>
    <n v="480702"/>
    <m/>
    <n v="0"/>
    <n v="58"/>
    <n v="51"/>
  </r>
  <r>
    <x v="311"/>
    <x v="315"/>
    <x v="64"/>
    <x v="65"/>
    <n v="128151.98019873923"/>
    <n v="0.12957282524118097"/>
    <n v="109284.65863673412"/>
    <n v="0.13498123993998415"/>
    <m/>
    <n v="78190"/>
    <n v="71558"/>
    <n v="6632"/>
    <n v="9.2680063724531152"/>
    <n v="5.9999999975999998"/>
    <n v="5.0000000025300002"/>
  </r>
  <r>
    <x v="311"/>
    <x v="27"/>
    <x v="2"/>
    <x v="18"/>
    <n v="0"/>
    <n v="0"/>
    <n v="0"/>
    <n v="0"/>
    <m/>
    <n v="0"/>
    <n v="0"/>
    <n v="0"/>
    <n v="0"/>
    <n v="0"/>
    <n v="0"/>
  </r>
  <r>
    <x v="311"/>
    <x v="1"/>
    <x v="2"/>
    <x v="2"/>
    <n v="0"/>
    <n v="0"/>
    <n v="0"/>
    <n v="0"/>
    <m/>
    <n v="0"/>
    <n v="0"/>
    <n v="0"/>
    <n v="0"/>
    <n v="0"/>
    <n v="0"/>
  </r>
  <r>
    <x v="311"/>
    <x v="315"/>
    <x v="3"/>
    <x v="3"/>
    <n v="989034.39019873925"/>
    <n v="1"/>
    <n v="809628.49863673409"/>
    <n v="1"/>
    <n v="579265"/>
    <n v="579265"/>
    <n v="552260"/>
    <n v="465071"/>
    <n v="84.21232752688951"/>
    <n v="63.9999999976"/>
    <n v="56.000000002530001"/>
  </r>
  <r>
    <x v="312"/>
    <x v="316"/>
    <x v="401"/>
    <x v="403"/>
    <n v="65963.040000000008"/>
    <n v="7.8544240076846975E-2"/>
    <n v="101161.98000000001"/>
    <n v="0.10582132267059365"/>
    <m/>
    <n v="63929"/>
    <n v="45577"/>
    <n v="18352"/>
    <n v="40.265923601816709"/>
    <n v="4"/>
    <n v="6"/>
  </r>
  <r>
    <x v="312"/>
    <x v="316"/>
    <x v="48"/>
    <x v="49"/>
    <n v="773857.16750932671"/>
    <n v="0.92145575992315298"/>
    <n v="854807.73807754205"/>
    <n v="0.89417867732940637"/>
    <m/>
    <n v="540192"/>
    <n v="534695"/>
    <n v="5497"/>
    <n v="1.0280627273492364"/>
    <n v="54.107722259719999"/>
    <n v="58.087628869759996"/>
  </r>
  <r>
    <x v="312"/>
    <x v="1"/>
    <x v="2"/>
    <x v="2"/>
    <n v="0"/>
    <n v="0"/>
    <n v="0"/>
    <n v="0"/>
    <m/>
    <n v="0"/>
    <n v="0"/>
    <n v="0"/>
    <n v="0"/>
    <n v="0"/>
    <n v="0"/>
  </r>
  <r>
    <x v="312"/>
    <x v="1"/>
    <x v="2"/>
    <x v="2"/>
    <n v="0"/>
    <n v="0"/>
    <n v="0"/>
    <n v="0"/>
    <m/>
    <n v="0"/>
    <n v="0"/>
    <n v="0"/>
    <n v="0"/>
    <n v="0"/>
    <n v="0"/>
  </r>
  <r>
    <x v="312"/>
    <x v="316"/>
    <x v="3"/>
    <x v="3"/>
    <n v="839820.20750932675"/>
    <n v="1"/>
    <n v="955969.71807754203"/>
    <n v="1"/>
    <n v="604121"/>
    <n v="604121"/>
    <n v="580272"/>
    <n v="23849"/>
    <n v="4.109969117930901"/>
    <n v="58.107722259719999"/>
    <n v="64.087628869759996"/>
  </r>
  <r>
    <x v="313"/>
    <x v="317"/>
    <x v="402"/>
    <x v="404"/>
    <n v="39855550.60148"/>
    <n v="1"/>
    <n v="42285807.326579988"/>
    <n v="1"/>
    <m/>
    <n v="34885791"/>
    <n v="32047587"/>
    <n v="2838204"/>
    <n v="8.8562174743452609"/>
    <n v="2661"/>
    <n v="2713"/>
  </r>
  <r>
    <x v="313"/>
    <x v="1"/>
    <x v="2"/>
    <x v="2"/>
    <n v="0"/>
    <n v="0"/>
    <n v="0"/>
    <n v="0"/>
    <m/>
    <n v="0"/>
    <n v="0"/>
    <n v="0"/>
    <n v="0"/>
    <n v="0"/>
    <n v="0"/>
  </r>
  <r>
    <x v="313"/>
    <x v="1"/>
    <x v="2"/>
    <x v="2"/>
    <n v="0"/>
    <n v="0"/>
    <n v="0"/>
    <n v="0"/>
    <m/>
    <n v="0"/>
    <n v="0"/>
    <n v="0"/>
    <n v="0"/>
    <n v="0"/>
    <n v="0"/>
  </r>
  <r>
    <x v="313"/>
    <x v="1"/>
    <x v="2"/>
    <x v="2"/>
    <n v="0"/>
    <n v="0"/>
    <n v="0"/>
    <n v="0"/>
    <m/>
    <n v="0"/>
    <n v="0"/>
    <n v="0"/>
    <n v="0"/>
    <n v="0"/>
    <n v="0"/>
  </r>
  <r>
    <x v="313"/>
    <x v="317"/>
    <x v="3"/>
    <x v="3"/>
    <n v="39855550.60148"/>
    <n v="1"/>
    <n v="42285807.326579988"/>
    <n v="1"/>
    <n v="34885791"/>
    <n v="34885791"/>
    <n v="32047587"/>
    <n v="2838204"/>
    <n v="8.8562174743452609"/>
    <n v="2661"/>
    <n v="2713"/>
  </r>
  <r>
    <x v="314"/>
    <x v="318"/>
    <x v="403"/>
    <x v="405"/>
    <n v="33119434.224909998"/>
    <n v="1"/>
    <n v="33905314.106570005"/>
    <n v="1"/>
    <m/>
    <n v="27971884"/>
    <n v="25852462"/>
    <n v="2119422"/>
    <n v="8.198143758996725"/>
    <n v="2681"/>
    <n v="2672"/>
  </r>
  <r>
    <x v="314"/>
    <x v="27"/>
    <x v="2"/>
    <x v="18"/>
    <n v="0"/>
    <n v="0"/>
    <n v="0"/>
    <n v="0"/>
    <m/>
    <n v="0"/>
    <n v="0"/>
    <n v="0"/>
    <n v="0"/>
    <n v="0"/>
    <n v="0"/>
  </r>
  <r>
    <x v="314"/>
    <x v="1"/>
    <x v="2"/>
    <x v="2"/>
    <n v="0"/>
    <n v="0"/>
    <n v="0"/>
    <n v="0"/>
    <m/>
    <n v="0"/>
    <n v="0"/>
    <n v="0"/>
    <n v="0"/>
    <n v="0"/>
    <n v="0"/>
  </r>
  <r>
    <x v="314"/>
    <x v="1"/>
    <x v="2"/>
    <x v="2"/>
    <n v="0"/>
    <n v="0"/>
    <n v="0"/>
    <n v="0"/>
    <m/>
    <n v="0"/>
    <n v="0"/>
    <n v="0"/>
    <n v="0"/>
    <n v="0"/>
    <n v="0"/>
  </r>
  <r>
    <x v="314"/>
    <x v="318"/>
    <x v="3"/>
    <x v="3"/>
    <n v="33119434.224909998"/>
    <n v="1"/>
    <n v="33905314.106570005"/>
    <n v="1"/>
    <n v="27971884"/>
    <n v="27971884"/>
    <n v="25852462"/>
    <n v="2119422"/>
    <n v="8.198143758996725"/>
    <n v="2681"/>
    <n v="2672"/>
  </r>
  <r>
    <x v="315"/>
    <x v="319"/>
    <x v="404"/>
    <x v="406"/>
    <n v="31971769.840000004"/>
    <n v="0.91758440657138229"/>
    <n v="33656707.75"/>
    <n v="0.91414809162578003"/>
    <m/>
    <n v="13578012"/>
    <n v="12851534"/>
    <n v="726478"/>
    <n v="5.6528504690568457"/>
    <n v="1907"/>
    <n v="1921"/>
  </r>
  <r>
    <x v="315"/>
    <x v="319"/>
    <x v="36"/>
    <x v="37"/>
    <n v="2871640.3258993286"/>
    <n v="8.2415593428617831E-2"/>
    <n v="3160858.3077519061"/>
    <n v="8.5851908374219923E-2"/>
    <m/>
    <n v="1275174"/>
    <n v="1154299"/>
    <n v="120875"/>
    <n v="10.471723530904905"/>
    <n v="142.00000000032"/>
    <n v="152.99999999944001"/>
  </r>
  <r>
    <x v="315"/>
    <x v="1"/>
    <x v="2"/>
    <x v="2"/>
    <n v="0"/>
    <n v="0"/>
    <n v="0"/>
    <n v="0"/>
    <m/>
    <n v="0"/>
    <n v="0"/>
    <n v="0"/>
    <n v="0"/>
    <n v="0"/>
    <n v="0"/>
  </r>
  <r>
    <x v="315"/>
    <x v="1"/>
    <x v="2"/>
    <x v="2"/>
    <n v="0"/>
    <n v="0"/>
    <n v="0"/>
    <n v="0"/>
    <m/>
    <n v="0"/>
    <n v="0"/>
    <n v="0"/>
    <n v="0"/>
    <n v="0"/>
    <n v="0"/>
  </r>
  <r>
    <x v="315"/>
    <x v="319"/>
    <x v="3"/>
    <x v="3"/>
    <n v="34843410.165899329"/>
    <n v="1.0000000000000002"/>
    <n v="36817566.057751909"/>
    <n v="1"/>
    <n v="14853186"/>
    <n v="14853186"/>
    <n v="14005833"/>
    <n v="847353"/>
    <n v="6.0500007389778245"/>
    <n v="2049.0000000003201"/>
    <n v="2073.9999999994402"/>
  </r>
  <r>
    <x v="316"/>
    <x v="320"/>
    <x v="405"/>
    <x v="407"/>
    <n v="52634797.2425"/>
    <n v="0.99959118523000212"/>
    <n v="53567076.591169998"/>
    <n v="0.99958902143111805"/>
    <m/>
    <n v="44192838"/>
    <n v="43423707"/>
    <n v="769131"/>
    <n v="1.7712237234835801"/>
    <n v="4180"/>
    <n v="4118"/>
  </r>
  <r>
    <x v="316"/>
    <x v="320"/>
    <x v="39"/>
    <x v="40"/>
    <n v="21526.682954523571"/>
    <n v="4.0881476999797523E-4"/>
    <n v="22023.971857067027"/>
    <n v="4.1097856888201088E-4"/>
    <m/>
    <n v="18170"/>
    <n v="17760"/>
    <n v="410"/>
    <n v="2.3085585585585586"/>
    <n v="1.00000000001"/>
    <n v="0.99999999888000002"/>
  </r>
  <r>
    <x v="316"/>
    <x v="1"/>
    <x v="2"/>
    <x v="2"/>
    <n v="0"/>
    <n v="0"/>
    <n v="0"/>
    <n v="0"/>
    <m/>
    <n v="0"/>
    <n v="0"/>
    <n v="0"/>
    <n v="0"/>
    <n v="0"/>
    <n v="0"/>
  </r>
  <r>
    <x v="316"/>
    <x v="1"/>
    <x v="2"/>
    <x v="2"/>
    <n v="0"/>
    <n v="0"/>
    <n v="0"/>
    <n v="0"/>
    <m/>
    <n v="0"/>
    <n v="0"/>
    <n v="0"/>
    <n v="0"/>
    <n v="0"/>
    <n v="0"/>
  </r>
  <r>
    <x v="316"/>
    <x v="320"/>
    <x v="3"/>
    <x v="3"/>
    <n v="52656323.92545452"/>
    <n v="1"/>
    <n v="53589100.563027062"/>
    <n v="1"/>
    <n v="44211008"/>
    <n v="44211008"/>
    <n v="43441467"/>
    <n v="769541"/>
    <n v="1.7714433999201731"/>
    <n v="4181.00000000001"/>
    <n v="4118.9999999988804"/>
  </r>
  <r>
    <x v="317"/>
    <x v="321"/>
    <x v="406"/>
    <x v="408"/>
    <n v="1610248.3900000004"/>
    <n v="0.41111514489075995"/>
    <n v="1446546.9000000001"/>
    <n v="0.40001080108315645"/>
    <m/>
    <n v="1193401"/>
    <n v="1328455"/>
    <n v="-135054"/>
    <n v="-10.166245751643826"/>
    <n v="116"/>
    <n v="105"/>
  </r>
  <r>
    <x v="317"/>
    <x v="321"/>
    <x v="83"/>
    <x v="84"/>
    <n v="2023493.5335029818"/>
    <n v="0.51662143702661545"/>
    <n v="1929640.8058926903"/>
    <n v="0.53359981938220091"/>
    <m/>
    <n v="1591953"/>
    <n v="1669382"/>
    <n v="-77429"/>
    <n v="-4.6381834714882517"/>
    <n v="141.00000000012"/>
    <n v="131.00000000489999"/>
  </r>
  <r>
    <x v="317"/>
    <x v="321"/>
    <x v="44"/>
    <x v="45"/>
    <n v="283040.0535459778"/>
    <n v="7.2263418082624556E-2"/>
    <n v="240081.89503562043"/>
    <n v="6.6389379534642676E-2"/>
    <m/>
    <n v="198068"/>
    <n v="233508"/>
    <n v="-35440"/>
    <n v="-15.177210202648304"/>
    <n v="13.038980508030001"/>
    <n v="11.01651651884"/>
  </r>
  <r>
    <x v="317"/>
    <x v="1"/>
    <x v="2"/>
    <x v="2"/>
    <n v="0"/>
    <n v="0"/>
    <n v="0"/>
    <n v="0"/>
    <m/>
    <n v="0"/>
    <n v="0"/>
    <n v="0"/>
    <n v="0"/>
    <n v="0"/>
    <n v="0"/>
  </r>
  <r>
    <x v="317"/>
    <x v="321"/>
    <x v="3"/>
    <x v="3"/>
    <n v="3916781.97704896"/>
    <n v="1"/>
    <n v="3616269.6009283108"/>
    <n v="1"/>
    <n v="2983422"/>
    <n v="2983422"/>
    <n v="3231345"/>
    <n v="-247923"/>
    <n v="-7.672439804477702"/>
    <n v="270.03898050815002"/>
    <n v="247.01651652373999"/>
  </r>
  <r>
    <x v="318"/>
    <x v="322"/>
    <x v="407"/>
    <x v="409"/>
    <n v="0"/>
    <n v="0"/>
    <n v="0"/>
    <n v="0"/>
    <m/>
    <n v="0"/>
    <n v="0"/>
    <n v="0"/>
    <n v="0"/>
    <n v="0"/>
    <n v="0"/>
  </r>
  <r>
    <x v="318"/>
    <x v="322"/>
    <x v="287"/>
    <x v="288"/>
    <n v="1030269.736005569"/>
    <n v="0.57822552151764028"/>
    <n v="942498.40726609004"/>
    <n v="0.51939668515940829"/>
    <m/>
    <n v="354209"/>
    <n v="371797"/>
    <n v="-17588"/>
    <n v="-4.7305384389868665"/>
    <n v="69.68333333371001"/>
    <n v="65.719008263999996"/>
  </r>
  <r>
    <x v="318"/>
    <x v="322"/>
    <x v="288"/>
    <x v="289"/>
    <n v="559280.67882690253"/>
    <n v="0.31388902428914744"/>
    <n v="697248.41545582085"/>
    <n v="0.384243106331489"/>
    <m/>
    <n v="262040"/>
    <n v="201830"/>
    <n v="60210"/>
    <n v="29.832036862706239"/>
    <n v="34.999999998140005"/>
    <n v="42.000000000770001"/>
  </r>
  <r>
    <x v="318"/>
    <x v="322"/>
    <x v="64"/>
    <x v="65"/>
    <n v="192227.97035791312"/>
    <n v="0.10788545419321237"/>
    <n v="174855.45371893211"/>
    <n v="9.6360208509102735E-2"/>
    <m/>
    <n v="65714"/>
    <n v="69370"/>
    <n v="-3656"/>
    <n v="-5.2702897506126565"/>
    <n v="8.9999999991999999"/>
    <n v="7.99999999948"/>
  </r>
  <r>
    <x v="318"/>
    <x v="322"/>
    <x v="3"/>
    <x v="3"/>
    <n v="1781778.3851903845"/>
    <n v="1"/>
    <n v="1814602.276440843"/>
    <n v="1"/>
    <n v="681963"/>
    <n v="681963"/>
    <n v="642997"/>
    <n v="38966"/>
    <n v="6.0600593781930554"/>
    <n v="113.68333333105001"/>
    <n v="115.71900826424999"/>
  </r>
  <r>
    <x v="319"/>
    <x v="323"/>
    <x v="408"/>
    <x v="410"/>
    <n v="0"/>
    <n v="0"/>
    <n v="0"/>
    <n v="0"/>
    <m/>
    <n v="0"/>
    <n v="0"/>
    <n v="0"/>
    <n v="0"/>
    <n v="0"/>
    <n v="0"/>
  </r>
  <r>
    <x v="319"/>
    <x v="323"/>
    <x v="191"/>
    <x v="192"/>
    <n v="6727046.7222713241"/>
    <n v="0.9687616735479756"/>
    <n v="7024808.7980984719"/>
    <n v="0.95606465450400968"/>
    <m/>
    <n v="5587757"/>
    <n v="5332422"/>
    <n v="255335"/>
    <n v="4.7883494592138431"/>
    <n v="546.65024631300003"/>
    <n v="558.60256410118996"/>
  </r>
  <r>
    <x v="319"/>
    <x v="323"/>
    <x v="66"/>
    <x v="67"/>
    <n v="216917.83160528351"/>
    <n v="3.1238326452024411E-2"/>
    <n v="322820.63784467045"/>
    <n v="4.3935345495990319E-2"/>
    <m/>
    <n v="256782"/>
    <n v="171947"/>
    <n v="84835"/>
    <n v="49.337877369189343"/>
    <n v="11.000000003730001"/>
    <n v="16.000000005419999"/>
  </r>
  <r>
    <x v="319"/>
    <x v="1"/>
    <x v="2"/>
    <x v="18"/>
    <n v="0"/>
    <n v="0"/>
    <n v="0"/>
    <n v="0"/>
    <m/>
    <n v="0"/>
    <n v="0"/>
    <n v="0"/>
    <n v="0"/>
    <n v="0"/>
    <n v="0"/>
  </r>
  <r>
    <x v="319"/>
    <x v="323"/>
    <x v="3"/>
    <x v="3"/>
    <n v="6943964.5538766077"/>
    <n v="1"/>
    <n v="7347629.4359431425"/>
    <n v="1"/>
    <n v="5844539"/>
    <n v="5844539"/>
    <n v="5504369"/>
    <n v="340170"/>
    <n v="6.1799999236969763"/>
    <n v="557.65024631672998"/>
    <n v="574.60256410660998"/>
  </r>
  <r>
    <x v="320"/>
    <x v="324"/>
    <x v="409"/>
    <x v="411"/>
    <n v="47373904.239999995"/>
    <n v="0.97368833121466969"/>
    <n v="49809693.649999991"/>
    <n v="0.97011479405118362"/>
    <m/>
    <n v="38095421"/>
    <n v="35784512"/>
    <n v="2310909"/>
    <n v="6.457846903151844"/>
    <n v="3764"/>
    <n v="3819"/>
  </r>
  <r>
    <x v="320"/>
    <x v="324"/>
    <x v="61"/>
    <x v="62"/>
    <n v="1280169.8833915864"/>
    <n v="2.6311668785330245E-2"/>
    <n v="1534429.7005939318"/>
    <n v="2.9885205948816385E-2"/>
    <m/>
    <n v="1173562"/>
    <n v="966993"/>
    <n v="206569"/>
    <n v="21.361995381559122"/>
    <n v="58.000000000509999"/>
    <n v="67.000000004380013"/>
  </r>
  <r>
    <x v="320"/>
    <x v="1"/>
    <x v="2"/>
    <x v="2"/>
    <n v="0"/>
    <n v="0"/>
    <n v="0"/>
    <n v="0"/>
    <m/>
    <n v="0"/>
    <n v="0"/>
    <n v="0"/>
    <n v="0"/>
    <n v="0"/>
    <n v="0"/>
  </r>
  <r>
    <x v="320"/>
    <x v="1"/>
    <x v="2"/>
    <x v="2"/>
    <n v="0"/>
    <n v="0"/>
    <n v="0"/>
    <n v="0"/>
    <m/>
    <n v="0"/>
    <n v="0"/>
    <n v="0"/>
    <n v="0"/>
    <n v="0"/>
    <n v="0"/>
  </r>
  <r>
    <x v="320"/>
    <x v="324"/>
    <x v="3"/>
    <x v="3"/>
    <n v="48654074.123391584"/>
    <n v="0.99999999999999989"/>
    <n v="51344123.350593925"/>
    <n v="1"/>
    <n v="39268983"/>
    <n v="39268983"/>
    <n v="36751505"/>
    <n v="2517478"/>
    <n v="6.8499997483096271"/>
    <n v="3822.0000000005102"/>
    <n v="3886.0000000043801"/>
  </r>
  <r>
    <x v="321"/>
    <x v="325"/>
    <x v="410"/>
    <x v="412"/>
    <n v="11278495.76"/>
    <n v="1"/>
    <n v="11804797.720000001"/>
    <n v="1"/>
    <m/>
    <n v="8971206"/>
    <n v="8476196"/>
    <n v="495010"/>
    <n v="5.8400018121336501"/>
    <n v="826"/>
    <n v="830"/>
  </r>
  <r>
    <x v="321"/>
    <x v="1"/>
    <x v="2"/>
    <x v="2"/>
    <n v="0"/>
    <n v="0"/>
    <n v="0"/>
    <n v="0"/>
    <m/>
    <n v="0"/>
    <n v="0"/>
    <n v="0"/>
    <n v="0"/>
    <n v="0"/>
    <n v="0"/>
  </r>
  <r>
    <x v="321"/>
    <x v="1"/>
    <x v="2"/>
    <x v="2"/>
    <n v="0"/>
    <n v="0"/>
    <n v="0"/>
    <n v="0"/>
    <m/>
    <n v="0"/>
    <n v="0"/>
    <n v="0"/>
    <n v="0"/>
    <n v="0"/>
    <n v="0"/>
  </r>
  <r>
    <x v="321"/>
    <x v="1"/>
    <x v="2"/>
    <x v="2"/>
    <n v="0"/>
    <n v="0"/>
    <n v="0"/>
    <n v="0"/>
    <m/>
    <n v="0"/>
    <n v="0"/>
    <n v="0"/>
    <n v="0"/>
    <n v="0"/>
    <n v="0"/>
  </r>
  <r>
    <x v="321"/>
    <x v="325"/>
    <x v="3"/>
    <x v="3"/>
    <n v="11278495.76"/>
    <n v="1"/>
    <n v="11804797.720000001"/>
    <n v="1"/>
    <n v="8971206"/>
    <n v="8971206"/>
    <n v="8476196"/>
    <n v="495010"/>
    <n v="5.8400018121336501"/>
    <n v="826"/>
    <n v="830"/>
  </r>
  <r>
    <x v="322"/>
    <x v="326"/>
    <x v="411"/>
    <x v="413"/>
    <n v="15250441.900000002"/>
    <n v="0.91662292406761281"/>
    <n v="15992142.17"/>
    <n v="0.90688301958424933"/>
    <m/>
    <n v="9060869"/>
    <n v="8732058"/>
    <n v="328811"/>
    <n v="3.7655613373158996"/>
    <n v="1130"/>
    <n v="1154"/>
  </r>
  <r>
    <x v="322"/>
    <x v="326"/>
    <x v="89"/>
    <x v="90"/>
    <n v="1387197.7439274334"/>
    <n v="8.3377075932387204E-2"/>
    <n v="1642041.9801580023"/>
    <n v="9.3116980415750603E-2"/>
    <m/>
    <n v="930352"/>
    <n v="794278"/>
    <n v="136074"/>
    <n v="17.1317850928768"/>
    <n v="65.279141098569994"/>
    <n v="75.134408596260002"/>
  </r>
  <r>
    <x v="322"/>
    <x v="1"/>
    <x v="2"/>
    <x v="2"/>
    <n v="0"/>
    <n v="0"/>
    <n v="0"/>
    <n v="0"/>
    <m/>
    <n v="0"/>
    <n v="0"/>
    <n v="0"/>
    <n v="0"/>
    <n v="0"/>
    <n v="0"/>
  </r>
  <r>
    <x v="322"/>
    <x v="1"/>
    <x v="2"/>
    <x v="2"/>
    <n v="0"/>
    <n v="0"/>
    <n v="0"/>
    <n v="0"/>
    <m/>
    <n v="0"/>
    <n v="0"/>
    <n v="0"/>
    <n v="0"/>
    <n v="0"/>
    <n v="0"/>
  </r>
  <r>
    <x v="322"/>
    <x v="326"/>
    <x v="3"/>
    <x v="3"/>
    <n v="16637639.643927436"/>
    <n v="1"/>
    <n v="17634184.150158003"/>
    <n v="0.99999999999999989"/>
    <n v="9991221"/>
    <n v="9991221"/>
    <n v="9526336"/>
    <n v="464885"/>
    <n v="4.8799979341480295"/>
    <n v="1195.2791410985701"/>
    <n v="1229.1344085962601"/>
  </r>
  <r>
    <x v="323"/>
    <x v="327"/>
    <x v="412"/>
    <x v="414"/>
    <n v="393567.83999999997"/>
    <n v="5.3769886908032055E-2"/>
    <n v="469702.2"/>
    <n v="6.7851241657167924E-2"/>
    <m/>
    <n v="266402"/>
    <n v="200356"/>
    <n v="66046"/>
    <n v="32.964323504162593"/>
    <n v="22"/>
    <n v="26"/>
  </r>
  <r>
    <x v="323"/>
    <x v="327"/>
    <x v="399"/>
    <x v="401"/>
    <n v="6925916.4035350084"/>
    <n v="0.94623011309196792"/>
    <n v="6452826.9760063142"/>
    <n v="0.93214875834283206"/>
    <m/>
    <n v="3659871"/>
    <n v="3525821"/>
    <n v="134050"/>
    <n v="3.8019513752967038"/>
    <n v="458.97071871779997"/>
    <n v="425.18708451758005"/>
  </r>
  <r>
    <x v="323"/>
    <x v="1"/>
    <x v="2"/>
    <x v="2"/>
    <n v="0"/>
    <n v="0"/>
    <n v="0"/>
    <n v="0"/>
    <m/>
    <n v="0"/>
    <n v="0"/>
    <n v="0"/>
    <n v="0"/>
    <n v="0"/>
    <n v="0"/>
  </r>
  <r>
    <x v="323"/>
    <x v="1"/>
    <x v="2"/>
    <x v="2"/>
    <n v="0"/>
    <n v="0"/>
    <n v="0"/>
    <n v="0"/>
    <m/>
    <n v="0"/>
    <n v="0"/>
    <n v="0"/>
    <n v="0"/>
    <n v="0"/>
    <n v="0"/>
  </r>
  <r>
    <x v="323"/>
    <x v="327"/>
    <x v="3"/>
    <x v="3"/>
    <n v="7319484.2435350083"/>
    <n v="1"/>
    <n v="6922529.1760063143"/>
    <n v="1"/>
    <n v="3926273"/>
    <n v="3926273"/>
    <n v="3726177"/>
    <n v="200096"/>
    <n v="5.3700079196452561"/>
    <n v="480.97071871779997"/>
    <n v="451.18708451758005"/>
  </r>
  <r>
    <x v="324"/>
    <x v="328"/>
    <x v="413"/>
    <x v="415"/>
    <n v="75008744.25999999"/>
    <n v="1"/>
    <n v="77785675.980000004"/>
    <n v="1"/>
    <m/>
    <n v="33756613"/>
    <n v="32011961"/>
    <n v="1744652"/>
    <n v="5.4500003920409625"/>
    <n v="4849"/>
    <n v="4815"/>
  </r>
  <r>
    <x v="324"/>
    <x v="1"/>
    <x v="2"/>
    <x v="2"/>
    <n v="0"/>
    <n v="0"/>
    <n v="0"/>
    <n v="0"/>
    <m/>
    <n v="0"/>
    <n v="0"/>
    <n v="0"/>
    <n v="0"/>
    <n v="0"/>
    <n v="0"/>
  </r>
  <r>
    <x v="324"/>
    <x v="1"/>
    <x v="2"/>
    <x v="2"/>
    <n v="0"/>
    <n v="0"/>
    <n v="0"/>
    <n v="0"/>
    <m/>
    <n v="0"/>
    <n v="0"/>
    <n v="0"/>
    <n v="0"/>
    <n v="0"/>
    <n v="0"/>
  </r>
  <r>
    <x v="324"/>
    <x v="1"/>
    <x v="2"/>
    <x v="2"/>
    <n v="0"/>
    <n v="0"/>
    <n v="0"/>
    <n v="0"/>
    <m/>
    <n v="0"/>
    <n v="0"/>
    <n v="0"/>
    <n v="0"/>
    <n v="0"/>
    <n v="0"/>
  </r>
  <r>
    <x v="324"/>
    <x v="328"/>
    <x v="3"/>
    <x v="3"/>
    <n v="75008744.25999999"/>
    <n v="1"/>
    <n v="77785675.980000004"/>
    <n v="1"/>
    <n v="33756613"/>
    <n v="33756613"/>
    <n v="32011961"/>
    <n v="1744652"/>
    <n v="5.4500003920409625"/>
    <n v="4849"/>
    <n v="4815"/>
  </r>
  <r>
    <x v="325"/>
    <x v="329"/>
    <x v="414"/>
    <x v="416"/>
    <n v="56419497.774939992"/>
    <n v="0.9722988443221372"/>
    <n v="56506301.348869994"/>
    <n v="0.97130604732442527"/>
    <m/>
    <n v="43815994"/>
    <n v="42434964"/>
    <n v="1381030"/>
    <n v="3.25446252293274"/>
    <n v="4658"/>
    <n v="4566"/>
  </r>
  <r>
    <x v="325"/>
    <x v="329"/>
    <x v="42"/>
    <x v="43"/>
    <n v="1607412.4743201283"/>
    <n v="2.7701155677862823E-2"/>
    <n v="1669287.5960594954"/>
    <n v="2.8693952675574733E-2"/>
    <m/>
    <n v="1294395"/>
    <n v="1208988"/>
    <n v="85407"/>
    <n v="7.0643381075742688"/>
    <n v="79.000000000349999"/>
    <n v="80.999999997000003"/>
  </r>
  <r>
    <x v="325"/>
    <x v="1"/>
    <x v="2"/>
    <x v="2"/>
    <n v="0"/>
    <n v="0"/>
    <n v="0"/>
    <n v="0"/>
    <m/>
    <n v="0"/>
    <n v="0"/>
    <n v="0"/>
    <n v="0"/>
    <n v="0"/>
    <n v="0"/>
  </r>
  <r>
    <x v="325"/>
    <x v="1"/>
    <x v="2"/>
    <x v="2"/>
    <n v="0"/>
    <n v="0"/>
    <n v="0"/>
    <n v="0"/>
    <m/>
    <n v="0"/>
    <n v="0"/>
    <n v="0"/>
    <n v="0"/>
    <n v="0"/>
    <n v="0"/>
  </r>
  <r>
    <x v="325"/>
    <x v="329"/>
    <x v="3"/>
    <x v="3"/>
    <n v="58026910.24926012"/>
    <n v="1"/>
    <n v="58175588.944929488"/>
    <n v="1"/>
    <n v="45110389"/>
    <n v="45110389"/>
    <n v="43643952"/>
    <n v="1466437"/>
    <n v="3.3600004875818761"/>
    <n v="4737.0000000003502"/>
    <n v="4646.9999999969996"/>
  </r>
  <r>
    <x v="326"/>
    <x v="330"/>
    <x v="415"/>
    <x v="417"/>
    <n v="1280165.0299999996"/>
    <n v="0.52593716958583703"/>
    <n v="1321578.7600000002"/>
    <n v="0.5261280947589686"/>
    <m/>
    <n v="1072012"/>
    <n v="1028923"/>
    <n v="43089"/>
    <n v="4.1877769279139452"/>
    <n v="92"/>
    <n v="92"/>
  </r>
  <r>
    <x v="326"/>
    <x v="330"/>
    <x v="112"/>
    <x v="113"/>
    <n v="1153899.5389828295"/>
    <n v="0.47406283041416292"/>
    <n v="1190316.6760448017"/>
    <n v="0.47387190524103145"/>
    <m/>
    <n v="965538"/>
    <n v="927438"/>
    <n v="38100"/>
    <n v="4.1080913225466285"/>
    <n v="87.150259068799997"/>
    <n v="88.149152540670002"/>
  </r>
  <r>
    <x v="326"/>
    <x v="1"/>
    <x v="2"/>
    <x v="2"/>
    <n v="0"/>
    <n v="0"/>
    <n v="0"/>
    <n v="0"/>
    <m/>
    <n v="0"/>
    <n v="0"/>
    <n v="0"/>
    <n v="0"/>
    <n v="0"/>
    <n v="0"/>
  </r>
  <r>
    <x v="326"/>
    <x v="1"/>
    <x v="2"/>
    <x v="2"/>
    <n v="0"/>
    <n v="0"/>
    <n v="0"/>
    <n v="0"/>
    <m/>
    <n v="0"/>
    <n v="0"/>
    <n v="0"/>
    <n v="0"/>
    <n v="0"/>
    <n v="0"/>
  </r>
  <r>
    <x v="326"/>
    <x v="330"/>
    <x v="3"/>
    <x v="3"/>
    <n v="2434064.5689828293"/>
    <n v="1"/>
    <n v="2511895.436044802"/>
    <n v="1"/>
    <n v="2037550"/>
    <n v="2037550"/>
    <n v="1956361"/>
    <n v="81189"/>
    <n v="4.150000945633245"/>
    <n v="179.15025906879998"/>
    <n v="180.14915254067"/>
  </r>
  <r>
    <x v="327"/>
    <x v="331"/>
    <x v="416"/>
    <x v="418"/>
    <n v="0"/>
    <n v="0"/>
    <n v="0"/>
    <n v="0"/>
    <m/>
    <n v="0"/>
    <n v="0"/>
    <n v="0"/>
    <n v="0"/>
    <n v="0"/>
    <n v="0"/>
  </r>
  <r>
    <x v="327"/>
    <x v="331"/>
    <x v="24"/>
    <x v="25"/>
    <n v="16042876.906395076"/>
    <n v="0.91494205097581172"/>
    <n v="16654373.507311169"/>
    <n v="0.9204908527182224"/>
    <m/>
    <n v="8884901"/>
    <n v="8297014"/>
    <n v="587887"/>
    <n v="7.0855249852537314"/>
    <n v="1234.8953037398601"/>
    <n v="1258.1052631535699"/>
  </r>
  <r>
    <x v="327"/>
    <x v="331"/>
    <x v="25"/>
    <x v="26"/>
    <n v="1491432.3859638162"/>
    <n v="8.5057949024188437E-2"/>
    <n v="1438553.1721127192"/>
    <n v="7.9509147281777715E-2"/>
    <m/>
    <n v="767450"/>
    <n v="771335"/>
    <n v="-3885"/>
    <n v="-0.50367220468408669"/>
    <n v="74.101161996749994"/>
    <n v="71.000000000279996"/>
  </r>
  <r>
    <x v="327"/>
    <x v="1"/>
    <x v="2"/>
    <x v="2"/>
    <n v="0"/>
    <n v="0"/>
    <n v="0"/>
    <n v="0"/>
    <m/>
    <n v="0"/>
    <n v="0"/>
    <n v="0"/>
    <n v="0"/>
    <n v="0"/>
    <n v="0"/>
  </r>
  <r>
    <x v="327"/>
    <x v="331"/>
    <x v="3"/>
    <x v="3"/>
    <n v="17534309.29235889"/>
    <n v="1.0000000000000002"/>
    <n v="18092926.679423887"/>
    <n v="1"/>
    <n v="9652351"/>
    <n v="9652351"/>
    <n v="9068349"/>
    <n v="584002"/>
    <n v="6.4400035772774071"/>
    <n v="1308.9964657366102"/>
    <n v="1329.1052631538498"/>
  </r>
  <r>
    <x v="328"/>
    <x v="332"/>
    <x v="417"/>
    <x v="419"/>
    <n v="32981.520000000004"/>
    <n v="4.4947066743438666E-3"/>
    <n v="67441.320000000007"/>
    <n v="8.8816670138353124E-3"/>
    <m/>
    <n v="54290"/>
    <n v="26579"/>
    <n v="27711"/>
    <n v="104.25900146732383"/>
    <n v="2"/>
    <n v="4"/>
  </r>
  <r>
    <x v="328"/>
    <x v="332"/>
    <x v="186"/>
    <x v="187"/>
    <n v="7034482.7592268055"/>
    <n v="0.95865613860287746"/>
    <n v="7205688.7566268397"/>
    <n v="0.9489512978348672"/>
    <m/>
    <n v="5800575"/>
    <n v="5668857"/>
    <n v="131718"/>
    <n v="2.3235371786587669"/>
    <n v="575.18458245247996"/>
    <n v="572.72902396852999"/>
  </r>
  <r>
    <x v="328"/>
    <x v="332"/>
    <x v="17"/>
    <x v="17"/>
    <n v="270393.87028516945"/>
    <n v="3.6849154722778714E-2"/>
    <n v="320187.69749642711"/>
    <n v="4.2167035151297397E-2"/>
    <m/>
    <n v="257751"/>
    <n v="217901"/>
    <n v="39850"/>
    <n v="18.288121669932675"/>
    <n v="12.999999998250001"/>
    <n v="15.03532182695"/>
  </r>
  <r>
    <x v="328"/>
    <x v="1"/>
    <x v="2"/>
    <x v="18"/>
    <n v="0"/>
    <n v="0"/>
    <n v="0"/>
    <n v="0"/>
    <m/>
    <n v="0"/>
    <n v="0"/>
    <n v="0"/>
    <n v="0"/>
    <n v="0"/>
    <n v="0"/>
  </r>
  <r>
    <x v="328"/>
    <x v="332"/>
    <x v="3"/>
    <x v="3"/>
    <n v="7337858.1495119743"/>
    <n v="1"/>
    <n v="7593317.7741232673"/>
    <n v="0.99999999999999989"/>
    <n v="6112616"/>
    <n v="6112616"/>
    <n v="5913337"/>
    <n v="199279"/>
    <n v="3.3699922733982519"/>
    <n v="590.18458245072998"/>
    <n v="591.76434579548004"/>
  </r>
  <r>
    <x v="329"/>
    <x v="333"/>
    <x v="418"/>
    <x v="420"/>
    <n v="25392258.954960003"/>
    <n v="1"/>
    <n v="26381907.903000001"/>
    <n v="1"/>
    <m/>
    <n v="21765074"/>
    <n v="20948614"/>
    <n v="816460"/>
    <n v="3.8974416159465251"/>
    <n v="2010"/>
    <n v="2041"/>
  </r>
  <r>
    <x v="329"/>
    <x v="27"/>
    <x v="2"/>
    <x v="18"/>
    <n v="0"/>
    <n v="0"/>
    <n v="0"/>
    <n v="0"/>
    <m/>
    <n v="0"/>
    <n v="0"/>
    <n v="0"/>
    <n v="0"/>
    <n v="0"/>
    <n v="0"/>
  </r>
  <r>
    <x v="329"/>
    <x v="1"/>
    <x v="2"/>
    <x v="2"/>
    <n v="0"/>
    <n v="0"/>
    <n v="0"/>
    <n v="0"/>
    <m/>
    <n v="0"/>
    <n v="0"/>
    <n v="0"/>
    <n v="0"/>
    <n v="0"/>
    <n v="0"/>
  </r>
  <r>
    <x v="329"/>
    <x v="1"/>
    <x v="2"/>
    <x v="2"/>
    <n v="0"/>
    <n v="0"/>
    <n v="0"/>
    <n v="0"/>
    <m/>
    <n v="0"/>
    <n v="0"/>
    <n v="0"/>
    <n v="0"/>
    <n v="0"/>
    <n v="0"/>
  </r>
  <r>
    <x v="329"/>
    <x v="333"/>
    <x v="3"/>
    <x v="3"/>
    <n v="25392258.954960003"/>
    <n v="1"/>
    <n v="26381907.903000001"/>
    <n v="1"/>
    <n v="21765074"/>
    <n v="21765074"/>
    <n v="20948614"/>
    <n v="816460"/>
    <n v="3.8974416159465251"/>
    <n v="2010"/>
    <n v="2041"/>
  </r>
  <r>
    <x v="330"/>
    <x v="334"/>
    <x v="419"/>
    <x v="421"/>
    <n v="20926189.139999997"/>
    <n v="0.86805239873403306"/>
    <n v="22168976.699999999"/>
    <n v="0.87272264958418122"/>
    <m/>
    <n v="16573075"/>
    <n v="15677019"/>
    <n v="896056"/>
    <n v="5.7157295018906336"/>
    <n v="1560"/>
    <n v="1595"/>
  </r>
  <r>
    <x v="330"/>
    <x v="334"/>
    <x v="159"/>
    <x v="160"/>
    <n v="2488546.1733393492"/>
    <n v="0.10322894726199637"/>
    <n v="2545140.3184631867"/>
    <n v="0.10019414212712484"/>
    <m/>
    <n v="1902695"/>
    <n v="1864314"/>
    <n v="38381"/>
    <n v="2.0587197221068982"/>
    <n v="116.99999999649999"/>
    <n v="116.00000000145"/>
  </r>
  <r>
    <x v="330"/>
    <x v="334"/>
    <x v="9"/>
    <x v="9"/>
    <n v="692322.24507387273"/>
    <n v="2.8718654003970567E-2"/>
    <n v="687970.01406961621"/>
    <n v="2.70832082886939E-2"/>
    <m/>
    <n v="514312"/>
    <n v="518659"/>
    <n v="-4347"/>
    <n v="-0.83812292855228576"/>
    <n v="33.999999999090001"/>
    <n v="32.999999999960004"/>
  </r>
  <r>
    <x v="330"/>
    <x v="1"/>
    <x v="2"/>
    <x v="2"/>
    <n v="0"/>
    <n v="0"/>
    <n v="0"/>
    <n v="0"/>
    <m/>
    <n v="0"/>
    <n v="0"/>
    <n v="0"/>
    <n v="0"/>
    <n v="0"/>
    <n v="0"/>
  </r>
  <r>
    <x v="330"/>
    <x v="334"/>
    <x v="3"/>
    <x v="3"/>
    <n v="24107057.558413219"/>
    <n v="1"/>
    <n v="25402087.032532804"/>
    <n v="1"/>
    <n v="18990082"/>
    <n v="18990082"/>
    <n v="18059992"/>
    <n v="930090"/>
    <n v="5.1500022812856177"/>
    <n v="1710.9999999955901"/>
    <n v="1744.0000000014099"/>
  </r>
  <r>
    <x v="331"/>
    <x v="335"/>
    <x v="420"/>
    <x v="422"/>
    <n v="63567924.089999989"/>
    <n v="1"/>
    <n v="68366792.900000006"/>
    <n v="1"/>
    <m/>
    <n v="24010686"/>
    <n v="22906588"/>
    <n v="1104098"/>
    <n v="4.8200020011710167"/>
    <n v="3982"/>
    <n v="4087"/>
  </r>
  <r>
    <x v="331"/>
    <x v="1"/>
    <x v="2"/>
    <x v="2"/>
    <n v="0"/>
    <n v="0"/>
    <n v="0"/>
    <n v="0"/>
    <m/>
    <n v="0"/>
    <n v="0"/>
    <n v="0"/>
    <n v="0"/>
    <n v="0"/>
    <n v="0"/>
  </r>
  <r>
    <x v="331"/>
    <x v="1"/>
    <x v="2"/>
    <x v="2"/>
    <n v="0"/>
    <n v="0"/>
    <n v="0"/>
    <n v="0"/>
    <m/>
    <n v="0"/>
    <n v="0"/>
    <n v="0"/>
    <n v="0"/>
    <n v="0"/>
    <n v="0"/>
  </r>
  <r>
    <x v="331"/>
    <x v="1"/>
    <x v="2"/>
    <x v="2"/>
    <n v="0"/>
    <n v="0"/>
    <n v="0"/>
    <n v="0"/>
    <m/>
    <n v="0"/>
    <n v="0"/>
    <n v="0"/>
    <n v="0"/>
    <n v="0"/>
    <n v="0"/>
  </r>
  <r>
    <x v="331"/>
    <x v="335"/>
    <x v="3"/>
    <x v="3"/>
    <n v="63567924.089999989"/>
    <n v="1"/>
    <n v="68366792.900000006"/>
    <n v="1"/>
    <n v="24010686"/>
    <n v="24010686"/>
    <n v="22906588"/>
    <n v="1104098"/>
    <n v="4.8200020011710167"/>
    <n v="3982"/>
    <n v="4087"/>
  </r>
  <r>
    <x v="332"/>
    <x v="336"/>
    <x v="421"/>
    <x v="423"/>
    <n v="0"/>
    <n v="0"/>
    <n v="0"/>
    <n v="0"/>
    <m/>
    <n v="0"/>
    <n v="0"/>
    <n v="0"/>
    <n v="0"/>
    <n v="0"/>
    <n v="0"/>
  </r>
  <r>
    <x v="332"/>
    <x v="336"/>
    <x v="182"/>
    <x v="183"/>
    <n v="1649454.7968369587"/>
    <n v="1"/>
    <n v="1817852.5464350374"/>
    <n v="1"/>
    <m/>
    <n v="1499728"/>
    <n v="1360800"/>
    <n v="138928"/>
    <n v="10.209288653733099"/>
    <n v="107.94279660767999"/>
    <n v="113.24664602526001"/>
  </r>
  <r>
    <x v="332"/>
    <x v="1"/>
    <x v="2"/>
    <x v="2"/>
    <n v="0"/>
    <n v="0"/>
    <n v="0"/>
    <n v="0"/>
    <m/>
    <n v="0"/>
    <n v="0"/>
    <n v="0"/>
    <n v="0"/>
    <n v="0"/>
    <n v="0"/>
  </r>
  <r>
    <x v="332"/>
    <x v="1"/>
    <x v="2"/>
    <x v="2"/>
    <n v="0"/>
    <n v="0"/>
    <n v="0"/>
    <n v="0"/>
    <m/>
    <n v="0"/>
    <n v="0"/>
    <n v="0"/>
    <n v="0"/>
    <n v="0"/>
    <n v="0"/>
  </r>
  <r>
    <x v="332"/>
    <x v="336"/>
    <x v="3"/>
    <x v="3"/>
    <n v="1649454.7968369587"/>
    <n v="1"/>
    <n v="1817852.5464350374"/>
    <n v="1"/>
    <n v="1499728"/>
    <n v="1499728"/>
    <n v="1360800"/>
    <n v="138928"/>
    <n v="10.209288653733099"/>
    <n v="107.94279660767999"/>
    <n v="113.24664602526001"/>
  </r>
  <r>
    <x v="333"/>
    <x v="337"/>
    <x v="422"/>
    <x v="424"/>
    <n v="0"/>
    <n v="0"/>
    <n v="0"/>
    <n v="0"/>
    <m/>
    <n v="0"/>
    <n v="0"/>
    <n v="0"/>
    <n v="0"/>
    <n v="0"/>
    <n v="0"/>
  </r>
  <r>
    <x v="333"/>
    <x v="337"/>
    <x v="115"/>
    <x v="116"/>
    <n v="2152529.6985851675"/>
    <n v="0.35208843656689148"/>
    <n v="2087072.4088401117"/>
    <n v="0.36027096689712373"/>
    <m/>
    <n v="1721835"/>
    <n v="1775837"/>
    <n v="-54002"/>
    <n v="-3.0409322477231862"/>
    <n v="120.00000000391999"/>
    <n v="117.99999999645"/>
  </r>
  <r>
    <x v="333"/>
    <x v="337"/>
    <x v="116"/>
    <x v="117"/>
    <n v="3961075.5068962672"/>
    <n v="0.64791156343310863"/>
    <n v="3705990.592642548"/>
    <n v="0.63972903310287621"/>
    <m/>
    <n v="3057442"/>
    <n v="3267887"/>
    <n v="-210445"/>
    <n v="-6.4397881566896285"/>
    <n v="295.13461538619998"/>
    <n v="276.96428571349998"/>
  </r>
  <r>
    <x v="333"/>
    <x v="1"/>
    <x v="2"/>
    <x v="2"/>
    <n v="0"/>
    <n v="0"/>
    <n v="0"/>
    <n v="0"/>
    <m/>
    <n v="0"/>
    <n v="0"/>
    <n v="0"/>
    <n v="0"/>
    <n v="0"/>
    <n v="0"/>
  </r>
  <r>
    <x v="333"/>
    <x v="337"/>
    <x v="3"/>
    <x v="3"/>
    <n v="6113605.2054814342"/>
    <n v="1"/>
    <n v="5793063.00148266"/>
    <n v="1"/>
    <n v="4779277"/>
    <n v="4779277"/>
    <n v="5043724"/>
    <n v="-264447"/>
    <n v="-5.2430902246038835"/>
    <n v="415.13461539011996"/>
    <n v="394.96428570994999"/>
  </r>
  <r>
    <x v="334"/>
    <x v="338"/>
    <x v="423"/>
    <x v="425"/>
    <n v="36039140.915650003"/>
    <n v="0.98929966250280421"/>
    <n v="36920748.450279996"/>
    <n v="0.99227578509123737"/>
    <m/>
    <n v="30155173"/>
    <n v="28969675"/>
    <n v="1185498"/>
    <n v="4.0922033126018844"/>
    <n v="2893"/>
    <n v="2890"/>
  </r>
  <r>
    <x v="334"/>
    <x v="338"/>
    <x v="38"/>
    <x v="39"/>
    <n v="174535.15414376839"/>
    <n v="4.7911122380368413E-3"/>
    <n v="111211.98898651257"/>
    <n v="2.9889145890896187E-3"/>
    <m/>
    <n v="90833"/>
    <n v="140298"/>
    <n v="-49465"/>
    <n v="-35.257095610771358"/>
    <n v="8.0000000012499992"/>
    <n v="4.9999999958400005"/>
  </r>
  <r>
    <x v="334"/>
    <x v="338"/>
    <x v="39"/>
    <x v="40"/>
    <n v="215266.8295452357"/>
    <n v="5.9092252591590204E-3"/>
    <n v="176191.77507501398"/>
    <n v="4.7353003196730255E-3"/>
    <m/>
    <n v="143905"/>
    <n v="173040"/>
    <n v="-29135"/>
    <n v="-16.837147480351362"/>
    <n v="10.0000000001"/>
    <n v="8.0000000009600001"/>
  </r>
  <r>
    <x v="334"/>
    <x v="1"/>
    <x v="2"/>
    <x v="2"/>
    <n v="0"/>
    <n v="0"/>
    <n v="0"/>
    <n v="0"/>
    <m/>
    <n v="0"/>
    <n v="0"/>
    <n v="0"/>
    <n v="0"/>
    <n v="0"/>
    <n v="0"/>
  </r>
  <r>
    <x v="334"/>
    <x v="338"/>
    <x v="3"/>
    <x v="3"/>
    <n v="36428942.899339005"/>
    <n v="1"/>
    <n v="37208152.214341521"/>
    <n v="1"/>
    <n v="30389911"/>
    <n v="30389911"/>
    <n v="29283013"/>
    <n v="1106898"/>
    <n v="3.7800003708634762"/>
    <n v="2911.0000000013501"/>
    <n v="2902.9999999967999"/>
  </r>
  <r>
    <x v="335"/>
    <x v="339"/>
    <x v="424"/>
    <x v="426"/>
    <n v="89980250.507149994"/>
    <n v="0.99358203401849798"/>
    <n v="92545801.942100003"/>
    <n v="0.9954987489015279"/>
    <m/>
    <n v="69831655"/>
    <n v="65671537"/>
    <n v="4160118"/>
    <n v="6.334735244585489"/>
    <n v="5863"/>
    <n v="5877"/>
  </r>
  <r>
    <x v="335"/>
    <x v="339"/>
    <x v="39"/>
    <x v="40"/>
    <n v="581220.43977213639"/>
    <n v="6.4179659815020934E-3"/>
    <n v="418455.46577584854"/>
    <n v="4.5012510984721466E-3"/>
    <m/>
    <n v="315751"/>
    <n v="424200"/>
    <n v="-108449"/>
    <n v="-25.565535124941064"/>
    <n v="27.000000000269999"/>
    <n v="19.00000000104"/>
  </r>
  <r>
    <x v="335"/>
    <x v="1"/>
    <x v="2"/>
    <x v="2"/>
    <n v="0"/>
    <n v="0"/>
    <n v="0"/>
    <n v="0"/>
    <m/>
    <n v="0"/>
    <n v="0"/>
    <n v="0"/>
    <n v="0"/>
    <n v="0"/>
    <n v="0"/>
  </r>
  <r>
    <x v="335"/>
    <x v="1"/>
    <x v="2"/>
    <x v="2"/>
    <n v="0"/>
    <n v="0"/>
    <n v="0"/>
    <n v="0"/>
    <m/>
    <n v="0"/>
    <n v="0"/>
    <n v="0"/>
    <n v="0"/>
    <n v="0"/>
    <n v="0"/>
  </r>
  <r>
    <x v="335"/>
    <x v="339"/>
    <x v="3"/>
    <x v="3"/>
    <n v="90561470.946922123"/>
    <n v="1"/>
    <n v="92964257.407875851"/>
    <n v="1"/>
    <n v="70147406"/>
    <n v="70147406"/>
    <n v="66095737"/>
    <n v="4051669"/>
    <n v="6.1300004870208191"/>
    <n v="5890.0000000002701"/>
    <n v="5896.0000000010396"/>
  </r>
  <r>
    <x v="336"/>
    <x v="340"/>
    <x v="425"/>
    <x v="427"/>
    <n v="1127263.1800000002"/>
    <n v="0.48389222278773575"/>
    <n v="1124388.7500000002"/>
    <n v="0.49224496412837748"/>
    <m/>
    <n v="859258"/>
    <n v="797920"/>
    <n v="61338"/>
    <n v="7.6872368157208744"/>
    <n v="85"/>
    <n v="85"/>
  </r>
  <r>
    <x v="336"/>
    <x v="340"/>
    <x v="123"/>
    <x v="124"/>
    <n v="732421.1329079537"/>
    <n v="0.31440119424422369"/>
    <n v="766392.17332566937"/>
    <n v="0.33551802067297748"/>
    <m/>
    <n v="585677"/>
    <n v="518436"/>
    <n v="67241"/>
    <n v="12.969971221134335"/>
    <n v="52.106776181599997"/>
    <n v="53.111111110579998"/>
  </r>
  <r>
    <x v="336"/>
    <x v="340"/>
    <x v="64"/>
    <x v="65"/>
    <n v="469890.59430126089"/>
    <n v="0.20170658296804056"/>
    <n v="393424.77086759731"/>
    <n v="0.17223701519864507"/>
    <m/>
    <n v="300655"/>
    <n v="332606"/>
    <n v="-31951"/>
    <n v="-9.6062608611991358"/>
    <n v="22.0000000024"/>
    <n v="17.999999998830003"/>
  </r>
  <r>
    <x v="336"/>
    <x v="1"/>
    <x v="2"/>
    <x v="2"/>
    <n v="0"/>
    <n v="0"/>
    <n v="0"/>
    <n v="0"/>
    <m/>
    <n v="0"/>
    <n v="0"/>
    <n v="0"/>
    <n v="0"/>
    <n v="0"/>
    <n v="0"/>
  </r>
  <r>
    <x v="336"/>
    <x v="340"/>
    <x v="3"/>
    <x v="3"/>
    <n v="2329574.9072092148"/>
    <n v="1"/>
    <n v="2284205.6941932668"/>
    <n v="1"/>
    <n v="1745591"/>
    <n v="1745590"/>
    <n v="1648962"/>
    <n v="96628"/>
    <n v="5.8599288522112696"/>
    <n v="159.10677618400001"/>
    <n v="156.11111110940999"/>
  </r>
  <r>
    <x v="337"/>
    <x v="341"/>
    <x v="426"/>
    <x v="428"/>
    <n v="245151"/>
    <n v="7.5409924131076217E-3"/>
    <n v="250517.91"/>
    <n v="7.4062650247124599E-3"/>
    <m/>
    <n v="110381"/>
    <n v="105688"/>
    <n v="4693"/>
    <n v="4.4404284308530766"/>
    <n v="13"/>
    <n v="13"/>
  </r>
  <r>
    <x v="337"/>
    <x v="341"/>
    <x v="197"/>
    <x v="198"/>
    <n v="29120554.474057086"/>
    <n v="0.89576579477282048"/>
    <n v="30131221.081489474"/>
    <n v="0.89079383125826905"/>
    <m/>
    <n v="13276139"/>
    <n v="12554297"/>
    <n v="721842"/>
    <n v="5.7497604206750887"/>
    <n v="2179.6932006507"/>
    <n v="2173.2522321327601"/>
  </r>
  <r>
    <x v="337"/>
    <x v="341"/>
    <x v="1"/>
    <x v="1"/>
    <n v="3143410.9088055701"/>
    <n v="9.6693212814071894E-2"/>
    <n v="3443395.4270194103"/>
    <n v="0.10179990371701841"/>
    <m/>
    <n v="1517197"/>
    <n v="1355170"/>
    <n v="162027"/>
    <n v="11.956212135746807"/>
    <n v="151.00000000200001"/>
    <n v="164.99999999964001"/>
  </r>
  <r>
    <x v="337"/>
    <x v="1"/>
    <x v="2"/>
    <x v="2"/>
    <n v="0"/>
    <n v="0"/>
    <n v="0"/>
    <n v="0"/>
    <m/>
    <n v="0"/>
    <n v="0"/>
    <n v="0"/>
    <n v="0"/>
    <n v="0"/>
    <n v="0"/>
  </r>
  <r>
    <x v="337"/>
    <x v="341"/>
    <x v="3"/>
    <x v="3"/>
    <n v="32509116.382862657"/>
    <n v="1"/>
    <n v="33825134.418508887"/>
    <n v="0.99999999999999989"/>
    <n v="14903717"/>
    <n v="14903717"/>
    <n v="14015155"/>
    <n v="888562"/>
    <n v="6.3400083695114322"/>
    <n v="2343.6932006526999"/>
    <n v="2351.2522321324"/>
  </r>
  <r>
    <x v="338"/>
    <x v="342"/>
    <x v="427"/>
    <x v="429"/>
    <n v="0"/>
    <n v="0"/>
    <n v="0"/>
    <n v="0"/>
    <m/>
    <n v="0"/>
    <n v="0"/>
    <n v="0"/>
    <n v="0"/>
    <n v="0"/>
    <n v="0"/>
  </r>
  <r>
    <x v="338"/>
    <x v="342"/>
    <x v="193"/>
    <x v="194"/>
    <n v="28742205.408949632"/>
    <n v="1"/>
    <n v="29475167.009635031"/>
    <n v="1"/>
    <m/>
    <n v="18893329"/>
    <n v="18231525"/>
    <n v="661804"/>
    <n v="3.6299980391108257"/>
    <n v="2235.9702865200798"/>
    <n v="2224.4656160345198"/>
  </r>
  <r>
    <x v="338"/>
    <x v="1"/>
    <x v="2"/>
    <x v="2"/>
    <n v="0"/>
    <n v="0"/>
    <n v="0"/>
    <n v="0"/>
    <m/>
    <n v="0"/>
    <n v="0"/>
    <n v="0"/>
    <n v="0"/>
    <n v="0"/>
    <n v="0"/>
  </r>
  <r>
    <x v="338"/>
    <x v="1"/>
    <x v="2"/>
    <x v="2"/>
    <n v="0"/>
    <n v="0"/>
    <n v="0"/>
    <n v="0"/>
    <m/>
    <n v="0"/>
    <n v="0"/>
    <n v="0"/>
    <n v="0"/>
    <n v="0"/>
    <n v="0"/>
  </r>
  <r>
    <x v="338"/>
    <x v="342"/>
    <x v="3"/>
    <x v="3"/>
    <n v="28742205.408949632"/>
    <n v="1"/>
    <n v="29475167.009635031"/>
    <n v="1"/>
    <n v="18893329"/>
    <n v="18893329"/>
    <n v="18231525"/>
    <n v="661804"/>
    <n v="3.6299980391108257"/>
    <n v="2235.9702865200798"/>
    <n v="2224.4656160345198"/>
  </r>
  <r>
    <x v="339"/>
    <x v="343"/>
    <x v="428"/>
    <x v="430"/>
    <n v="2130357.6900000004"/>
    <n v="0.58488325172131073"/>
    <n v="2006164.9200000002"/>
    <n v="0.56540896938285701"/>
    <m/>
    <n v="1353300"/>
    <n v="1343356"/>
    <n v="9944"/>
    <n v="0.74023564862925395"/>
    <n v="154"/>
    <n v="136"/>
  </r>
  <r>
    <x v="339"/>
    <x v="343"/>
    <x v="112"/>
    <x v="113"/>
    <n v="1512006.2924364267"/>
    <n v="0.41511674827868938"/>
    <n v="1542001.1485180252"/>
    <n v="0.43459103061714305"/>
    <m/>
    <n v="1040189"/>
    <n v="953438"/>
    <n v="86751"/>
    <n v="9.0987562903932933"/>
    <n v="114.19689119179999"/>
    <n v="114.19322033717999"/>
  </r>
  <r>
    <x v="339"/>
    <x v="1"/>
    <x v="2"/>
    <x v="2"/>
    <n v="0"/>
    <n v="0"/>
    <n v="0"/>
    <n v="0"/>
    <m/>
    <n v="0"/>
    <n v="0"/>
    <n v="0"/>
    <n v="0"/>
    <n v="0"/>
    <n v="0"/>
  </r>
  <r>
    <x v="339"/>
    <x v="1"/>
    <x v="2"/>
    <x v="2"/>
    <n v="0"/>
    <n v="0"/>
    <n v="0"/>
    <n v="0"/>
    <m/>
    <n v="0"/>
    <n v="0"/>
    <n v="0"/>
    <n v="0"/>
    <n v="0"/>
    <n v="0"/>
  </r>
  <r>
    <x v="339"/>
    <x v="343"/>
    <x v="3"/>
    <x v="3"/>
    <n v="3642363.9824364269"/>
    <n v="1"/>
    <n v="3548166.0685180253"/>
    <n v="1"/>
    <n v="2393489"/>
    <n v="2393489"/>
    <n v="2296794"/>
    <n v="96695"/>
    <n v="4.2099988070327594"/>
    <n v="268.19689119179998"/>
    <n v="250.19322033717998"/>
  </r>
  <r>
    <x v="340"/>
    <x v="344"/>
    <x v="429"/>
    <x v="431"/>
    <n v="0"/>
    <n v="0"/>
    <n v="0"/>
    <n v="0"/>
    <m/>
    <n v="0"/>
    <n v="0"/>
    <n v="0"/>
    <n v="0"/>
    <n v="0"/>
    <n v="0"/>
  </r>
  <r>
    <x v="340"/>
    <x v="344"/>
    <x v="224"/>
    <x v="225"/>
    <n v="9536003.5327481683"/>
    <n v="0.9657182670241683"/>
    <n v="9908699.3657844961"/>
    <n v="0.95965649919461715"/>
    <m/>
    <n v="7296914"/>
    <n v="6933905"/>
    <n v="363009"/>
    <n v="5.2352750722716852"/>
    <n v="723.02425876001996"/>
    <n v="730.19047619564992"/>
  </r>
  <r>
    <x v="340"/>
    <x v="344"/>
    <x v="12"/>
    <x v="12"/>
    <n v="338515.62917374156"/>
    <n v="3.4281732975831827E-2"/>
    <n v="416556.98802572693"/>
    <n v="4.0343500805382834E-2"/>
    <m/>
    <n v="306759"/>
    <n v="246145"/>
    <n v="60614"/>
    <n v="24.625322472526356"/>
    <n v="15.99999999774"/>
    <n v="18.999999997699998"/>
  </r>
  <r>
    <x v="340"/>
    <x v="1"/>
    <x v="2"/>
    <x v="2"/>
    <n v="0"/>
    <n v="0"/>
    <n v="0"/>
    <n v="0"/>
    <m/>
    <n v="0"/>
    <n v="0"/>
    <n v="0"/>
    <n v="0"/>
    <n v="0"/>
    <n v="0"/>
  </r>
  <r>
    <x v="340"/>
    <x v="344"/>
    <x v="3"/>
    <x v="3"/>
    <n v="9874519.1619219091"/>
    <n v="1.0000000000000002"/>
    <n v="10325256.353810223"/>
    <n v="1"/>
    <n v="7603673"/>
    <n v="7603673"/>
    <n v="7180050"/>
    <n v="423623"/>
    <n v="5.9000006963739811"/>
    <n v="739.02425875775998"/>
    <n v="749.19047619334992"/>
  </r>
  <r>
    <x v="341"/>
    <x v="345"/>
    <x v="430"/>
    <x v="432"/>
    <n v="36154606.173280001"/>
    <n v="0.8565474734245635"/>
    <n v="36803962.054719999"/>
    <n v="0.85417021768001655"/>
    <m/>
    <n v="29777494"/>
    <n v="28577249"/>
    <n v="1200245"/>
    <n v="4.2000018966136317"/>
    <n v="2832"/>
    <n v="2805"/>
  </r>
  <r>
    <x v="341"/>
    <x v="345"/>
    <x v="50"/>
    <x v="51"/>
    <n v="6055087.1537345843"/>
    <n v="0.1434525265754365"/>
    <n v="6283424.1511372142"/>
    <n v="0.14582978231998342"/>
    <m/>
    <n v="5083817"/>
    <n v="4786050"/>
    <n v="297767"/>
    <n v="6.2215605770938458"/>
    <n v="313.99999999865003"/>
    <n v="318.00000000647998"/>
  </r>
  <r>
    <x v="341"/>
    <x v="1"/>
    <x v="2"/>
    <x v="18"/>
    <n v="0"/>
    <n v="0"/>
    <n v="0"/>
    <n v="0"/>
    <m/>
    <n v="0"/>
    <n v="0"/>
    <n v="0"/>
    <n v="0"/>
    <n v="0"/>
    <n v="0"/>
  </r>
  <r>
    <x v="341"/>
    <x v="1"/>
    <x v="2"/>
    <x v="2"/>
    <n v="0"/>
    <n v="0"/>
    <n v="0"/>
    <n v="0"/>
    <m/>
    <n v="0"/>
    <n v="0"/>
    <n v="0"/>
    <n v="0"/>
    <n v="0"/>
    <n v="0"/>
  </r>
  <r>
    <x v="341"/>
    <x v="345"/>
    <x v="3"/>
    <x v="3"/>
    <n v="42209693.327014588"/>
    <n v="1"/>
    <n v="43087386.205857217"/>
    <n v="1"/>
    <n v="34861311"/>
    <n v="34861311"/>
    <n v="33363299"/>
    <n v="1498012"/>
    <n v="4.4899996250370808"/>
    <n v="3145.9999999986499"/>
    <n v="3123.0000000064801"/>
  </r>
  <r>
    <x v="342"/>
    <x v="346"/>
    <x v="431"/>
    <x v="433"/>
    <n v="20130691.019999996"/>
    <n v="0.90405669022309409"/>
    <n v="20484346.350000001"/>
    <n v="0.91327974998496197"/>
    <m/>
    <n v="6462904"/>
    <n v="6129765"/>
    <n v="333139"/>
    <n v="5.4347760476951397"/>
    <n v="1319"/>
    <n v="1294"/>
  </r>
  <r>
    <x v="342"/>
    <x v="346"/>
    <x v="25"/>
    <x v="26"/>
    <n v="2136376.1204824708"/>
    <n v="9.5943309776905863E-2"/>
    <n v="1945085.9792915401"/>
    <n v="8.6720250015038067E-2"/>
    <m/>
    <n v="613683"/>
    <n v="650523"/>
    <n v="-36840"/>
    <n v="-5.6631356616138095"/>
    <n v="106.14490772745"/>
    <n v="96.00000000515999"/>
  </r>
  <r>
    <x v="342"/>
    <x v="1"/>
    <x v="2"/>
    <x v="2"/>
    <n v="0"/>
    <n v="0"/>
    <n v="0"/>
    <n v="0"/>
    <m/>
    <n v="0"/>
    <n v="0"/>
    <n v="0"/>
    <n v="0"/>
    <n v="0"/>
    <n v="0"/>
  </r>
  <r>
    <x v="342"/>
    <x v="1"/>
    <x v="2"/>
    <x v="2"/>
    <n v="0"/>
    <n v="0"/>
    <n v="0"/>
    <n v="0"/>
    <m/>
    <n v="0"/>
    <n v="0"/>
    <n v="0"/>
    <n v="0"/>
    <n v="0"/>
    <n v="0"/>
  </r>
  <r>
    <x v="342"/>
    <x v="346"/>
    <x v="3"/>
    <x v="3"/>
    <n v="22267067.140482467"/>
    <n v="1"/>
    <n v="22429432.329291541"/>
    <n v="1"/>
    <n v="7076587"/>
    <n v="7076587"/>
    <n v="6780288"/>
    <n v="296299"/>
    <n v="4.3700061118347779"/>
    <n v="1425.1449077274501"/>
    <n v="1390.00000000516"/>
  </r>
  <r>
    <x v="343"/>
    <x v="347"/>
    <x v="432"/>
    <x v="434"/>
    <n v="53860981.504270002"/>
    <n v="0.99447911813861112"/>
    <n v="55351171.165500008"/>
    <n v="0.99743216217880515"/>
    <m/>
    <n v="45664717"/>
    <n v="43974784"/>
    <n v="1689933"/>
    <n v="3.8429591831536909"/>
    <n v="4346"/>
    <n v="4346"/>
  </r>
  <r>
    <x v="343"/>
    <x v="347"/>
    <x v="107"/>
    <x v="108"/>
    <n v="299010.91978693783"/>
    <n v="5.5208818613889299E-3"/>
    <n v="142498.74443162014"/>
    <n v="2.5678378211947618E-3"/>
    <m/>
    <n v="117561"/>
    <n v="244127"/>
    <n v="-126566"/>
    <n v="-51.844326928197212"/>
    <n v="12.9999999979"/>
    <n v="5.9999999962999997"/>
  </r>
  <r>
    <x v="343"/>
    <x v="1"/>
    <x v="2"/>
    <x v="2"/>
    <n v="0"/>
    <n v="0"/>
    <n v="0"/>
    <n v="0"/>
    <m/>
    <n v="0"/>
    <n v="0"/>
    <n v="0"/>
    <n v="0"/>
    <n v="0"/>
    <n v="0"/>
  </r>
  <r>
    <x v="343"/>
    <x v="1"/>
    <x v="2"/>
    <x v="2"/>
    <n v="0"/>
    <n v="0"/>
    <n v="0"/>
    <n v="0"/>
    <m/>
    <n v="0"/>
    <n v="0"/>
    <n v="0"/>
    <n v="0"/>
    <n v="0"/>
    <n v="0"/>
  </r>
  <r>
    <x v="343"/>
    <x v="347"/>
    <x v="3"/>
    <x v="3"/>
    <n v="54159992.42405694"/>
    <n v="1"/>
    <n v="55493669.90993163"/>
    <n v="0.99999999999999989"/>
    <n v="45782278"/>
    <n v="45782278"/>
    <n v="44218911"/>
    <n v="1563367"/>
    <n v="3.5355167385284543"/>
    <n v="4358.9999999979"/>
    <n v="4351.9999999963002"/>
  </r>
  <r>
    <x v="344"/>
    <x v="348"/>
    <x v="433"/>
    <x v="435"/>
    <n v="65963.040000000008"/>
    <n v="6.8252828171498137E-2"/>
    <n v="84301.650000000009"/>
    <n v="9.1174263772982433E-2"/>
    <m/>
    <n v="68029"/>
    <n v="48534"/>
    <n v="19495"/>
    <n v="40.167717476408292"/>
    <n v="4"/>
    <n v="5"/>
  </r>
  <r>
    <x v="344"/>
    <x v="348"/>
    <x v="48"/>
    <x v="49"/>
    <n v="900488.34036266268"/>
    <n v="0.93174717182850186"/>
    <n v="840319.47126186441"/>
    <n v="0.90882573622701757"/>
    <m/>
    <n v="678118"/>
    <n v="662556"/>
    <n v="15562"/>
    <n v="2.3487825934713444"/>
    <n v="62.96171317412"/>
    <n v="57.103092782560005"/>
  </r>
  <r>
    <x v="344"/>
    <x v="1"/>
    <x v="2"/>
    <x v="2"/>
    <n v="0"/>
    <n v="0"/>
    <n v="0"/>
    <n v="0"/>
    <m/>
    <n v="0"/>
    <n v="0"/>
    <n v="0"/>
    <n v="0"/>
    <n v="0"/>
    <n v="0"/>
  </r>
  <r>
    <x v="344"/>
    <x v="1"/>
    <x v="2"/>
    <x v="2"/>
    <n v="0"/>
    <n v="0"/>
    <n v="0"/>
    <n v="0"/>
    <m/>
    <n v="0"/>
    <n v="0"/>
    <n v="0"/>
    <n v="0"/>
    <n v="0"/>
    <n v="0"/>
  </r>
  <r>
    <x v="344"/>
    <x v="348"/>
    <x v="3"/>
    <x v="3"/>
    <n v="966451.38036266272"/>
    <n v="1"/>
    <n v="924621.12126186443"/>
    <n v="1"/>
    <n v="746147"/>
    <n v="746147"/>
    <n v="711090"/>
    <n v="35057"/>
    <n v="4.9300369854730066"/>
    <n v="66.961713174120007"/>
    <n v="62.103092782560005"/>
  </r>
  <r>
    <x v="345"/>
    <x v="349"/>
    <x v="434"/>
    <x v="436"/>
    <n v="28718694.131870005"/>
    <n v="0.95342065268982135"/>
    <n v="30384003.300080005"/>
    <n v="0.95377748735826551"/>
    <m/>
    <n v="20235207"/>
    <n v="18971710"/>
    <n v="1263497"/>
    <n v="6.6599004517779363"/>
    <n v="1957"/>
    <n v="1995"/>
  </r>
  <r>
    <x v="345"/>
    <x v="349"/>
    <x v="107"/>
    <x v="108"/>
    <n v="1403051.2392291934"/>
    <n v="4.657934731017857E-2"/>
    <n v="1472487.0268581905"/>
    <n v="4.6222512641734402E-2"/>
    <m/>
    <n v="980650"/>
    <n v="926862"/>
    <n v="53788"/>
    <n v="5.8032371593613723"/>
    <n v="61.000000000099995"/>
    <n v="62.000000006600004"/>
  </r>
  <r>
    <x v="345"/>
    <x v="1"/>
    <x v="2"/>
    <x v="18"/>
    <n v="0"/>
    <n v="0"/>
    <n v="0"/>
    <n v="0"/>
    <m/>
    <n v="0"/>
    <n v="0"/>
    <n v="0"/>
    <n v="0"/>
    <n v="0"/>
    <n v="0"/>
  </r>
  <r>
    <x v="345"/>
    <x v="1"/>
    <x v="2"/>
    <x v="2"/>
    <n v="0"/>
    <n v="0"/>
    <n v="0"/>
    <n v="0"/>
    <m/>
    <n v="0"/>
    <n v="0"/>
    <n v="0"/>
    <n v="0"/>
    <n v="0"/>
    <n v="0"/>
  </r>
  <r>
    <x v="345"/>
    <x v="349"/>
    <x v="3"/>
    <x v="3"/>
    <n v="30121745.3710992"/>
    <n v="0.99999999999999989"/>
    <n v="31856490.326938197"/>
    <n v="0.99999999999999989"/>
    <n v="21215857"/>
    <n v="21215857"/>
    <n v="19898572"/>
    <n v="1317285"/>
    <n v="6.6199976561132123"/>
    <n v="2018.0000000001"/>
    <n v="2057.0000000066002"/>
  </r>
  <r>
    <x v="346"/>
    <x v="350"/>
    <x v="435"/>
    <x v="437"/>
    <n v="65492150.344600007"/>
    <n v="0.9592370360042487"/>
    <n v="70723977.379679993"/>
    <n v="0.96033381404877294"/>
    <m/>
    <n v="55994588"/>
    <n v="51893336"/>
    <n v="4101252"/>
    <n v="7.9032344345717149"/>
    <n v="4388"/>
    <n v="4533"/>
  </r>
  <r>
    <x v="346"/>
    <x v="350"/>
    <x v="107"/>
    <x v="108"/>
    <n v="2783101.6383831981"/>
    <n v="4.076296399575139E-2"/>
    <n v="2921224.2627648213"/>
    <n v="3.9666185951226958E-2"/>
    <m/>
    <n v="2312833"/>
    <n v="2205217"/>
    <n v="107616"/>
    <n v="4.8800639574245981"/>
    <n v="120.99999999638"/>
    <n v="123.00000000485001"/>
  </r>
  <r>
    <x v="346"/>
    <x v="1"/>
    <x v="2"/>
    <x v="18"/>
    <n v="0"/>
    <n v="0"/>
    <n v="0"/>
    <n v="0"/>
    <m/>
    <n v="0"/>
    <n v="0"/>
    <n v="0"/>
    <n v="0"/>
    <n v="0"/>
    <n v="0"/>
  </r>
  <r>
    <x v="346"/>
    <x v="1"/>
    <x v="2"/>
    <x v="2"/>
    <n v="0"/>
    <n v="0"/>
    <n v="0"/>
    <n v="0"/>
    <m/>
    <n v="0"/>
    <n v="0"/>
    <n v="0"/>
    <n v="0"/>
    <n v="0"/>
    <n v="0"/>
  </r>
  <r>
    <x v="346"/>
    <x v="350"/>
    <x v="3"/>
    <x v="3"/>
    <n v="68275251.982983202"/>
    <n v="1"/>
    <n v="73645201.642444819"/>
    <n v="0.99999999999999989"/>
    <n v="58307421"/>
    <n v="58307421"/>
    <n v="54098553"/>
    <n v="4208868"/>
    <n v="7.7800010658325744"/>
    <n v="4508.9999999963802"/>
    <n v="4656.0000000048503"/>
  </r>
  <r>
    <x v="347"/>
    <x v="351"/>
    <x v="436"/>
    <x v="438"/>
    <n v="477974878.60999995"/>
    <n v="1"/>
    <n v="505110665.75"/>
    <n v="1"/>
    <m/>
    <n v="127670996"/>
    <n v="120432974"/>
    <n v="7238022"/>
    <n v="6.0100002180465957"/>
    <n v="26552"/>
    <n v="26667"/>
  </r>
  <r>
    <x v="347"/>
    <x v="1"/>
    <x v="2"/>
    <x v="2"/>
    <n v="0"/>
    <n v="0"/>
    <n v="0"/>
    <n v="0"/>
    <m/>
    <n v="0"/>
    <n v="0"/>
    <n v="0"/>
    <n v="0"/>
    <n v="0"/>
    <n v="0"/>
  </r>
  <r>
    <x v="347"/>
    <x v="1"/>
    <x v="2"/>
    <x v="2"/>
    <n v="0"/>
    <n v="0"/>
    <n v="0"/>
    <n v="0"/>
    <m/>
    <n v="0"/>
    <n v="0"/>
    <n v="0"/>
    <n v="0"/>
    <n v="0"/>
    <n v="0"/>
  </r>
  <r>
    <x v="347"/>
    <x v="1"/>
    <x v="2"/>
    <x v="2"/>
    <n v="0"/>
    <n v="0"/>
    <n v="0"/>
    <n v="0"/>
    <m/>
    <n v="0"/>
    <n v="0"/>
    <n v="0"/>
    <n v="0"/>
    <n v="0"/>
    <n v="0"/>
  </r>
  <r>
    <x v="347"/>
    <x v="351"/>
    <x v="3"/>
    <x v="3"/>
    <n v="477974878.60999995"/>
    <n v="1"/>
    <n v="505110665.75"/>
    <n v="1"/>
    <n v="127670996"/>
    <n v="127670996"/>
    <n v="120432974"/>
    <n v="7238022"/>
    <n v="6.0100002180465957"/>
    <n v="26552"/>
    <n v="26667"/>
  </r>
  <r>
    <x v="348"/>
    <x v="352"/>
    <x v="437"/>
    <x v="439"/>
    <n v="1568790.0099999995"/>
    <n v="1"/>
    <n v="1599602.0399999998"/>
    <n v="1"/>
    <m/>
    <n v="1175020"/>
    <n v="1103824"/>
    <n v="71196"/>
    <n v="6.4499412949890562"/>
    <n v="120"/>
    <n v="119"/>
  </r>
  <r>
    <x v="348"/>
    <x v="27"/>
    <x v="2"/>
    <x v="18"/>
    <n v="0"/>
    <n v="0"/>
    <n v="0"/>
    <n v="0"/>
    <m/>
    <n v="0"/>
    <n v="0"/>
    <n v="0"/>
    <n v="0"/>
    <n v="0"/>
    <n v="0"/>
  </r>
  <r>
    <x v="348"/>
    <x v="1"/>
    <x v="2"/>
    <x v="2"/>
    <n v="0"/>
    <n v="0"/>
    <n v="0"/>
    <n v="0"/>
    <m/>
    <n v="0"/>
    <n v="0"/>
    <n v="0"/>
    <n v="0"/>
    <n v="0"/>
    <n v="0"/>
  </r>
  <r>
    <x v="348"/>
    <x v="1"/>
    <x v="2"/>
    <x v="2"/>
    <n v="0"/>
    <n v="0"/>
    <n v="0"/>
    <n v="0"/>
    <m/>
    <n v="0"/>
    <n v="0"/>
    <n v="0"/>
    <n v="0"/>
    <n v="0"/>
    <n v="0"/>
  </r>
  <r>
    <x v="348"/>
    <x v="352"/>
    <x v="3"/>
    <x v="3"/>
    <n v="1568790.0099999995"/>
    <n v="1"/>
    <n v="1599602.0399999998"/>
    <n v="1"/>
    <n v="1175020"/>
    <n v="1175020"/>
    <n v="1103824"/>
    <n v="71196"/>
    <n v="6.4499412949890562"/>
    <n v="120"/>
    <n v="119"/>
  </r>
  <r>
    <x v="349"/>
    <x v="353"/>
    <x v="438"/>
    <x v="440"/>
    <n v="11250378.938039999"/>
    <n v="0.49482581272140697"/>
    <n v="12020258.945529999"/>
    <n v="0.50463370416773967"/>
    <m/>
    <n v="9445383"/>
    <n v="8771480"/>
    <n v="673903"/>
    <n v="7.6828881785057934"/>
    <n v="925"/>
    <n v="956"/>
  </r>
  <r>
    <x v="349"/>
    <x v="353"/>
    <x v="291"/>
    <x v="292"/>
    <n v="9816512.3988500834"/>
    <n v="0.4317600102718861"/>
    <n v="9991132.5568335652"/>
    <n v="0.41944705632658191"/>
    <m/>
    <n v="7850919"/>
    <n v="7653551"/>
    <n v="197368"/>
    <n v="2.5787768318261679"/>
    <n v="748.39451476321005"/>
    <n v="745.37990821619996"/>
  </r>
  <r>
    <x v="349"/>
    <x v="353"/>
    <x v="166"/>
    <x v="167"/>
    <n v="1496934.1222736193"/>
    <n v="6.5839706175576648E-2"/>
    <n v="1610163.1034481351"/>
    <n v="6.759775932359742E-2"/>
    <m/>
    <n v="1265248"/>
    <n v="1167101"/>
    <n v="98147"/>
    <n v="8.4094692747242963"/>
    <n v="72.999999999850004"/>
    <n v="77.000000004300006"/>
  </r>
  <r>
    <x v="349"/>
    <x v="353"/>
    <x v="39"/>
    <x v="40"/>
    <n v="172213.46363618856"/>
    <n v="7.5744708311301949E-3"/>
    <n v="198215.74693208101"/>
    <n v="8.3214801820811306E-3"/>
    <m/>
    <n v="155756"/>
    <n v="134268"/>
    <n v="21488"/>
    <n v="16.00381326898442"/>
    <n v="8.00000000008"/>
    <n v="8.99999999984"/>
  </r>
  <r>
    <x v="349"/>
    <x v="353"/>
    <x v="3"/>
    <x v="3"/>
    <n v="22736038.922799893"/>
    <n v="0.99999999999999989"/>
    <n v="23819770.352743778"/>
    <n v="1.0000000000000002"/>
    <n v="18717306"/>
    <n v="18717306"/>
    <n v="17726400"/>
    <n v="990906"/>
    <n v="5.5900013539128084"/>
    <n v="1754.39451476314"/>
    <n v="1787.37990822034"/>
  </r>
  <r>
    <x v="350"/>
    <x v="354"/>
    <x v="439"/>
    <x v="441"/>
    <n v="0"/>
    <n v="0"/>
    <n v="0"/>
    <n v="0"/>
    <m/>
    <n v="0"/>
    <n v="0"/>
    <n v="0"/>
    <n v="0"/>
    <n v="0"/>
    <n v="0"/>
  </r>
  <r>
    <x v="350"/>
    <x v="354"/>
    <x v="132"/>
    <x v="133"/>
    <n v="34541914.124059066"/>
    <n v="0.91361967239854569"/>
    <n v="37148463.639183111"/>
    <n v="0.92099811310139201"/>
    <m/>
    <n v="27380017"/>
    <n v="25546149"/>
    <n v="1833868"/>
    <n v="7.1786475527094122"/>
    <n v="2223.2355843268301"/>
    <n v="2278.0569524268299"/>
  </r>
  <r>
    <x v="350"/>
    <x v="354"/>
    <x v="44"/>
    <x v="45"/>
    <n v="3265846.7720865104"/>
    <n v="8.6380327601454365E-2"/>
    <n v="3186541.5152666047"/>
    <n v="7.9001886898607945E-2"/>
    <m/>
    <n v="2348618"/>
    <n v="2415321"/>
    <n v="-66703"/>
    <n v="-2.7616619074648878"/>
    <n v="150.44977511118"/>
    <n v="146.21921921974001"/>
  </r>
  <r>
    <x v="350"/>
    <x v="1"/>
    <x v="2"/>
    <x v="2"/>
    <n v="0"/>
    <n v="0"/>
    <n v="0"/>
    <n v="0"/>
    <m/>
    <n v="0"/>
    <n v="0"/>
    <n v="0"/>
    <n v="0"/>
    <n v="0"/>
    <n v="0"/>
  </r>
  <r>
    <x v="350"/>
    <x v="354"/>
    <x v="3"/>
    <x v="3"/>
    <n v="37807760.896145575"/>
    <n v="1"/>
    <n v="40335005.154449716"/>
    <n v="1"/>
    <n v="29728635"/>
    <n v="29728635"/>
    <n v="27961470"/>
    <n v="1767165"/>
    <n v="6.320000343329589"/>
    <n v="2373.68535943801"/>
    <n v="2424.2761716465698"/>
  </r>
  <r>
    <x v="351"/>
    <x v="355"/>
    <x v="3"/>
    <x v="442"/>
    <n v="13963389872.29413"/>
    <m/>
    <n v="14535103399.717712"/>
    <m/>
    <n v="7972055326"/>
    <n v="7972055321"/>
    <n v="7566302116"/>
    <n v="405962051.5"/>
    <n v="5.3653957412239288"/>
    <n v="905105.99999993341"/>
    <n v="905572.000000078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8BD790-75D6-4AD9-897C-BBE6354C4A1D}"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G545" firstHeaderRow="0" firstDataRow="1" firstDataCol="4"/>
  <pivotFields count="15">
    <pivotField axis="axisRow" compact="0" outline="0" showAll="0" defaultSubtotal="0">
      <items count="3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s>
    </pivotField>
    <pivotField axis="axisRow" compact="0" outline="0" showAll="0">
      <items count="357">
        <item x="1"/>
        <item x="0"/>
        <item x="2"/>
        <item x="3"/>
        <item x="4"/>
        <item x="5"/>
        <item x="6"/>
        <item x="7"/>
        <item x="8"/>
        <item x="9"/>
        <item x="107"/>
        <item x="10"/>
        <item x="11"/>
        <item x="12"/>
        <item x="13"/>
        <item x="14"/>
        <item x="15"/>
        <item x="16"/>
        <item x="17"/>
        <item x="18"/>
        <item x="19"/>
        <item x="20"/>
        <item x="21"/>
        <item x="22"/>
        <item x="23"/>
        <item x="24"/>
        <item x="25"/>
        <item x="26"/>
        <item x="28"/>
        <item x="29"/>
        <item x="30"/>
        <item x="31"/>
        <item x="32"/>
        <item x="33"/>
        <item x="34"/>
        <item x="35"/>
        <item x="36"/>
        <item x="37"/>
        <item x="39"/>
        <item x="38"/>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90"/>
        <item x="88"/>
        <item x="89"/>
        <item x="91"/>
        <item x="92"/>
        <item x="93"/>
        <item x="94"/>
        <item x="95"/>
        <item x="96"/>
        <item x="97"/>
        <item x="98"/>
        <item x="99"/>
        <item x="100"/>
        <item x="101"/>
        <item x="102"/>
        <item x="103"/>
        <item x="104"/>
        <item x="105"/>
        <item x="106"/>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8"/>
        <item x="209"/>
        <item x="206"/>
        <item x="207"/>
        <item x="210"/>
        <item x="211"/>
        <item x="212"/>
        <item x="214"/>
        <item x="215"/>
        <item x="218"/>
        <item x="220"/>
        <item x="213"/>
        <item x="216"/>
        <item x="217"/>
        <item x="219"/>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81"/>
        <item x="278"/>
        <item x="279"/>
        <item x="280"/>
        <item x="282"/>
        <item x="283"/>
        <item x="284"/>
        <item x="355"/>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5"/>
        <item x="326"/>
        <item x="327"/>
        <item x="332"/>
        <item x="335"/>
        <item x="336"/>
        <item x="337"/>
        <item x="324"/>
        <item x="328"/>
        <item x="329"/>
        <item x="330"/>
        <item x="331"/>
        <item x="333"/>
        <item x="334"/>
        <item x="338"/>
        <item x="339"/>
        <item x="340"/>
        <item x="341"/>
        <item x="342"/>
        <item x="343"/>
        <item x="344"/>
        <item x="345"/>
        <item x="346"/>
        <item x="347"/>
        <item x="348"/>
        <item x="349"/>
        <item x="350"/>
        <item x="351"/>
        <item x="352"/>
        <item x="353"/>
        <item x="354"/>
        <item x="27"/>
        <item t="default"/>
      </items>
    </pivotField>
    <pivotField axis="axisRow" compact="0" outline="0" showAll="0">
      <items count="441">
        <item h="1" x="0"/>
        <item h="1" x="4"/>
        <item h="1" x="7"/>
        <item h="1" x="10"/>
        <item h="1" x="13"/>
        <item h="1" x="14"/>
        <item h="1" x="16"/>
        <item h="1" x="18"/>
        <item h="1" x="20"/>
        <item h="1" x="22"/>
        <item h="1" x="23"/>
        <item h="1" x="26"/>
        <item h="1" x="28"/>
        <item h="1" x="30"/>
        <item h="1" x="32"/>
        <item h="1" x="34"/>
        <item h="1" x="35"/>
        <item h="1" x="37"/>
        <item h="1" x="40"/>
        <item h="1" x="43"/>
        <item h="1" x="45"/>
        <item h="1" x="47"/>
        <item h="1" x="49"/>
        <item h="1" x="51"/>
        <item h="1" x="53"/>
        <item h="1" x="55"/>
        <item h="1" x="56"/>
        <item h="1" x="59"/>
        <item h="1" x="62"/>
        <item h="1" x="65"/>
        <item h="1" x="67"/>
        <item h="1" x="68"/>
        <item h="1" x="70"/>
        <item h="1" x="72"/>
        <item h="1" x="74"/>
        <item h="1" x="75"/>
        <item h="1" x="77"/>
        <item h="1" x="78"/>
        <item h="1" x="80"/>
        <item h="1" x="81"/>
        <item h="1" x="82"/>
        <item h="1" x="84"/>
        <item h="1" x="86"/>
        <item h="1" x="88"/>
        <item h="1" x="90"/>
        <item h="1" x="91"/>
        <item h="1" x="92"/>
        <item h="1" x="93"/>
        <item h="1" x="94"/>
        <item h="1" x="95"/>
        <item h="1" x="96"/>
        <item h="1" x="98"/>
        <item h="1" x="99"/>
        <item h="1" x="101"/>
        <item h="1" x="103"/>
        <item h="1" x="105"/>
        <item h="1" x="106"/>
        <item h="1" x="108"/>
        <item h="1" x="109"/>
        <item h="1" x="110"/>
        <item h="1" x="113"/>
        <item h="1" x="114"/>
        <item h="1" x="117"/>
        <item h="1" x="118"/>
        <item h="1" x="119"/>
        <item h="1" x="120"/>
        <item h="1" x="121"/>
        <item h="1" x="122"/>
        <item h="1" x="124"/>
        <item h="1" x="125"/>
        <item h="1" x="126"/>
        <item h="1" x="127"/>
        <item h="1" x="129"/>
        <item h="1" x="130"/>
        <item h="1" x="131"/>
        <item h="1" x="133"/>
        <item h="1" x="135"/>
        <item h="1" x="136"/>
        <item h="1" x="138"/>
        <item h="1" x="140"/>
        <item h="1" x="141"/>
        <item h="1" x="143"/>
        <item h="1" x="144"/>
        <item h="1" x="145"/>
        <item h="1" x="147"/>
        <item h="1" x="148"/>
        <item h="1" x="149"/>
        <item h="1" x="150"/>
        <item h="1" x="151"/>
        <item h="1" x="152"/>
        <item h="1" x="153"/>
        <item h="1" x="154"/>
        <item h="1" x="156"/>
        <item h="1" x="157"/>
        <item h="1" x="158"/>
        <item h="1" x="160"/>
        <item h="1" x="161"/>
        <item h="1" x="162"/>
        <item h="1" x="163"/>
        <item h="1" x="164"/>
        <item h="1" x="165"/>
        <item h="1" x="167"/>
        <item h="1" x="169"/>
        <item h="1" x="170"/>
        <item h="1" x="171"/>
        <item h="1" x="172"/>
        <item h="1" x="174"/>
        <item h="1" x="175"/>
        <item h="1" x="176"/>
        <item h="1" x="177"/>
        <item h="1" x="178"/>
        <item h="1" x="179"/>
        <item h="1" x="181"/>
        <item h="1" x="183"/>
        <item h="1" x="184"/>
        <item h="1" x="185"/>
        <item h="1" x="187"/>
        <item h="1" x="188"/>
        <item h="1" x="190"/>
        <item h="1" x="192"/>
        <item h="1" x="194"/>
        <item h="1" x="195"/>
        <item h="1" x="196"/>
        <item h="1" x="198"/>
        <item h="1" x="199"/>
        <item h="1" x="200"/>
        <item h="1" x="201"/>
        <item h="1" x="202"/>
        <item h="1" x="203"/>
        <item h="1" x="204"/>
        <item h="1" x="205"/>
        <item h="1" x="206"/>
        <item h="1" x="207"/>
        <item h="1" x="208"/>
        <item h="1" x="210"/>
        <item h="1" x="211"/>
        <item h="1" x="212"/>
        <item h="1" x="213"/>
        <item h="1" x="214"/>
        <item h="1" x="215"/>
        <item h="1" x="216"/>
        <item h="1" x="217"/>
        <item h="1" x="218"/>
        <item h="1" x="219"/>
        <item h="1" x="220"/>
        <item h="1" x="221"/>
        <item h="1" x="222"/>
        <item h="1" x="223"/>
        <item h="1" x="225"/>
        <item h="1" x="226"/>
        <item h="1" x="227"/>
        <item h="1" x="228"/>
        <item h="1" x="229"/>
        <item h="1" x="230"/>
        <item h="1" x="231"/>
        <item h="1" x="232"/>
        <item h="1" x="233"/>
        <item h="1" x="235"/>
        <item h="1" x="236"/>
        <item h="1" x="237"/>
        <item h="1" x="238"/>
        <item h="1" x="239"/>
        <item h="1" x="240"/>
        <item h="1" x="241"/>
        <item h="1" x="242"/>
        <item h="1" x="243"/>
        <item h="1" x="244"/>
        <item h="1" x="245"/>
        <item h="1" x="246"/>
        <item h="1" x="248"/>
        <item h="1" x="249"/>
        <item h="1" x="250"/>
        <item h="1" x="251"/>
        <item h="1" x="252"/>
        <item h="1" x="253"/>
        <item h="1" x="254"/>
        <item h="1" x="255"/>
        <item h="1" x="256"/>
        <item h="1" x="257"/>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4"/>
        <item h="1" x="285"/>
        <item h="1" x="286"/>
        <item h="1" x="289"/>
        <item h="1" x="290"/>
        <item h="1" x="292"/>
        <item h="1" x="293"/>
        <item h="1" x="295"/>
        <item h="1" x="296"/>
        <item h="1" x="297"/>
        <item h="1" x="299"/>
        <item h="1" x="300"/>
        <item h="1" x="301"/>
        <item h="1" x="302"/>
        <item h="1" x="303"/>
        <item h="1" x="304"/>
        <item h="1" x="305"/>
        <item h="1" x="306"/>
        <item h="1" x="307"/>
        <item h="1" x="308"/>
        <item h="1" x="309"/>
        <item h="1" x="310"/>
        <item h="1" x="312"/>
        <item h="1" x="313"/>
        <item h="1" x="314"/>
        <item h="1" x="315"/>
        <item h="1" x="316"/>
        <item h="1" x="317"/>
        <item h="1" x="318"/>
        <item h="1" x="319"/>
        <item h="1" x="320"/>
        <item h="1" x="321"/>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x="294"/>
        <item x="5"/>
        <item x="11"/>
        <item x="19"/>
        <item x="24"/>
        <item x="33"/>
        <item x="41"/>
        <item x="182"/>
        <item x="60"/>
        <item x="69"/>
        <item x="85"/>
        <item x="111"/>
        <item x="48"/>
        <item x="97"/>
        <item x="132"/>
        <item x="134"/>
        <item x="137"/>
        <item x="102"/>
        <item x="83"/>
        <item x="311"/>
        <item x="168"/>
        <item x="123"/>
        <item x="71"/>
        <item x="142"/>
        <item x="173"/>
        <item x="191"/>
        <item x="193"/>
        <item x="112"/>
        <item x="100"/>
        <item x="291"/>
        <item x="234"/>
        <item x="155"/>
        <item x="115"/>
        <item x="79"/>
        <item x="258"/>
        <item x="104"/>
        <item x="224"/>
        <item x="29"/>
        <item x="322"/>
        <item x="73"/>
        <item x="287"/>
        <item x="298"/>
        <item x="27"/>
        <item x="247"/>
        <item x="186"/>
        <item x="63"/>
        <item x="46"/>
        <item x="288"/>
        <item x="189"/>
        <item x="57"/>
        <item x="15"/>
        <item x="180"/>
        <item x="146"/>
        <item x="87"/>
        <item x="283"/>
        <item x="116"/>
        <item x="209"/>
        <item x="399"/>
        <item x="197"/>
        <item x="61"/>
        <item x="54"/>
        <item x="38"/>
        <item x="58"/>
        <item x="44"/>
        <item x="66"/>
        <item x="64"/>
        <item x="159"/>
        <item x="21"/>
        <item x="128"/>
        <item x="139"/>
        <item x="31"/>
        <item x="6"/>
        <item x="25"/>
        <item x="12"/>
        <item x="42"/>
        <item x="107"/>
        <item x="8"/>
        <item x="52"/>
        <item x="50"/>
        <item x="89"/>
        <item x="1"/>
        <item x="36"/>
        <item x="166"/>
        <item x="76"/>
        <item x="17"/>
        <item x="9"/>
        <item x="39"/>
        <item h="1" x="2"/>
        <item h="1" x="3"/>
        <item t="default"/>
      </items>
      <extLst>
        <ext xmlns:x14="http://schemas.microsoft.com/office/spreadsheetml/2009/9/main" uri="{2946ED86-A175-432a-8AC1-64E0C546D7DE}">
          <x14:pivotField fillDownLabels="1"/>
        </ext>
      </extLst>
    </pivotField>
    <pivotField axis="axisRow" compact="0" outline="0" showAll="0" defaultSubtotal="0">
      <items count="443">
        <item x="2"/>
        <item x="0"/>
        <item x="4"/>
        <item x="5"/>
        <item x="7"/>
        <item x="10"/>
        <item x="13"/>
        <item x="14"/>
        <item x="16"/>
        <item x="19"/>
        <item x="20"/>
        <item x="21"/>
        <item x="171"/>
        <item x="23"/>
        <item x="24"/>
        <item x="25"/>
        <item x="27"/>
        <item x="29"/>
        <item x="31"/>
        <item x="62"/>
        <item x="33"/>
        <item x="34"/>
        <item x="35"/>
        <item x="36"/>
        <item x="38"/>
        <item x="41"/>
        <item x="42"/>
        <item x="44"/>
        <item x="46"/>
        <item x="48"/>
        <item x="50"/>
        <item x="52"/>
        <item x="54"/>
        <item x="56"/>
        <item x="57"/>
        <item x="183"/>
        <item x="60"/>
        <item x="61"/>
        <item x="63"/>
        <item x="66"/>
        <item x="68"/>
        <item x="69"/>
        <item x="70"/>
        <item x="55"/>
        <item x="71"/>
        <item x="39"/>
        <item x="73"/>
        <item x="75"/>
        <item x="76"/>
        <item x="78"/>
        <item x="79"/>
        <item x="81"/>
        <item x="82"/>
        <item x="83"/>
        <item x="85"/>
        <item x="86"/>
        <item x="87"/>
        <item x="9"/>
        <item x="59"/>
        <item x="89"/>
        <item x="91"/>
        <item x="92"/>
        <item x="93"/>
        <item x="94"/>
        <item x="95"/>
        <item x="96"/>
        <item x="45"/>
        <item x="97"/>
        <item x="99"/>
        <item x="49"/>
        <item x="100"/>
        <item x="102"/>
        <item x="104"/>
        <item x="106"/>
        <item x="107"/>
        <item x="109"/>
        <item x="110"/>
        <item x="111"/>
        <item x="112"/>
        <item x="114"/>
        <item x="115"/>
        <item x="118"/>
        <item x="119"/>
        <item x="120"/>
        <item x="121"/>
        <item x="122"/>
        <item x="98"/>
        <item x="123"/>
        <item x="125"/>
        <item x="126"/>
        <item x="127"/>
        <item x="128"/>
        <item x="130"/>
        <item x="131"/>
        <item x="132"/>
        <item x="133"/>
        <item x="134"/>
        <item x="135"/>
        <item x="136"/>
        <item x="137"/>
        <item x="138"/>
        <item x="139"/>
        <item x="141"/>
        <item x="103"/>
        <item x="142"/>
        <item x="144"/>
        <item x="145"/>
        <item x="146"/>
        <item x="150"/>
        <item x="148"/>
        <item x="149"/>
        <item x="151"/>
        <item x="152"/>
        <item x="153"/>
        <item x="154"/>
        <item x="155"/>
        <item x="67"/>
        <item x="157"/>
        <item x="158"/>
        <item x="159"/>
        <item x="161"/>
        <item x="312"/>
        <item x="162"/>
        <item x="163"/>
        <item x="164"/>
        <item x="165"/>
        <item x="166"/>
        <item x="65"/>
        <item x="168"/>
        <item x="169"/>
        <item x="124"/>
        <item x="170"/>
        <item x="72"/>
        <item x="172"/>
        <item x="173"/>
        <item x="174"/>
        <item x="175"/>
        <item x="176"/>
        <item x="177"/>
        <item x="178"/>
        <item x="179"/>
        <item x="180"/>
        <item x="182"/>
        <item x="160"/>
        <item x="22"/>
        <item x="140"/>
        <item x="129"/>
        <item x="184"/>
        <item x="185"/>
        <item x="143"/>
        <item x="186"/>
        <item x="188"/>
        <item x="189"/>
        <item x="191"/>
        <item x="192"/>
        <item x="193"/>
        <item x="194"/>
        <item x="113"/>
        <item x="195"/>
        <item x="196"/>
        <item x="197"/>
        <item x="199"/>
        <item x="200"/>
        <item x="201"/>
        <item x="202"/>
        <item x="203"/>
        <item x="101"/>
        <item x="204"/>
        <item x="205"/>
        <item x="206"/>
        <item x="207"/>
        <item x="208"/>
        <item x="209"/>
        <item x="211"/>
        <item x="212"/>
        <item x="213"/>
        <item x="11"/>
        <item x="214"/>
        <item x="215"/>
        <item x="216"/>
        <item x="217"/>
        <item x="218"/>
        <item x="219"/>
        <item x="220"/>
        <item x="292"/>
        <item x="221"/>
        <item x="222"/>
        <item x="223"/>
        <item x="224"/>
        <item x="226"/>
        <item x="227"/>
        <item x="228"/>
        <item x="229"/>
        <item x="230"/>
        <item x="231"/>
        <item x="232"/>
        <item x="233"/>
        <item x="234"/>
        <item x="235"/>
        <item x="236"/>
        <item x="237"/>
        <item x="238"/>
        <item x="239"/>
        <item x="240"/>
        <item x="241"/>
        <item x="242"/>
        <item x="243"/>
        <item x="244"/>
        <item x="156"/>
        <item x="245"/>
        <item x="246"/>
        <item x="247"/>
        <item x="249"/>
        <item x="250"/>
        <item x="116"/>
        <item x="80"/>
        <item x="251"/>
        <item x="252"/>
        <item x="253"/>
        <item x="254"/>
        <item x="255"/>
        <item x="256"/>
        <item x="257"/>
        <item x="258"/>
        <item x="259"/>
        <item x="260"/>
        <item x="261"/>
        <item x="262"/>
        <item x="263"/>
        <item x="264"/>
        <item x="265"/>
        <item x="266"/>
        <item x="267"/>
        <item x="268"/>
        <item x="269"/>
        <item x="6"/>
        <item x="30"/>
        <item x="105"/>
        <item x="270"/>
        <item x="271"/>
        <item x="26"/>
        <item x="272"/>
        <item x="273"/>
        <item x="274"/>
        <item x="225"/>
        <item x="275"/>
        <item x="276"/>
        <item x="277"/>
        <item x="323"/>
        <item x="74"/>
        <item x="43"/>
        <item x="278"/>
        <item x="84"/>
        <item x="279"/>
        <item x="280"/>
        <item x="281"/>
        <item x="282"/>
        <item x="286"/>
        <item x="287"/>
        <item x="288"/>
        <item x="283"/>
        <item x="285"/>
        <item x="290"/>
        <item x="291"/>
        <item x="40"/>
        <item x="293"/>
        <item x="296"/>
        <item x="297"/>
        <item x="301"/>
        <item x="28"/>
        <item x="303"/>
        <item x="294"/>
        <item x="295"/>
        <item x="299"/>
        <item x="298"/>
        <item x="300"/>
        <item x="108"/>
        <item x="12"/>
        <item x="302"/>
        <item x="304"/>
        <item x="305"/>
        <item x="306"/>
        <item x="307"/>
        <item x="308"/>
        <item x="8"/>
        <item x="248"/>
        <item x="309"/>
        <item x="310"/>
        <item x="311"/>
        <item x="313"/>
        <item x="314"/>
        <item x="53"/>
        <item x="315"/>
        <item x="316"/>
        <item x="317"/>
        <item x="318"/>
        <item x="187"/>
        <item x="319"/>
        <item x="320"/>
        <item x="321"/>
        <item x="322"/>
        <item x="64"/>
        <item x="324"/>
        <item x="325"/>
        <item x="326"/>
        <item x="327"/>
        <item x="328"/>
        <item x="329"/>
        <item x="330"/>
        <item x="47"/>
        <item x="401"/>
        <item x="331"/>
        <item x="289"/>
        <item x="332"/>
        <item x="333"/>
        <item x="334"/>
        <item x="335"/>
        <item x="336"/>
        <item x="337"/>
        <item x="338"/>
        <item x="339"/>
        <item x="340"/>
        <item x="341"/>
        <item x="342"/>
        <item x="343"/>
        <item x="344"/>
        <item x="345"/>
        <item x="346"/>
        <item x="347"/>
        <item x="348"/>
        <item x="349"/>
        <item x="350"/>
        <item x="351"/>
        <item x="352"/>
        <item x="353"/>
        <item x="354"/>
        <item x="51"/>
        <item x="355"/>
        <item x="356"/>
        <item x="357"/>
        <item x="358"/>
        <item x="359"/>
        <item x="360"/>
        <item x="190"/>
        <item x="361"/>
        <item x="58"/>
        <item x="362"/>
        <item x="366"/>
        <item x="32"/>
        <item x="1"/>
        <item x="363"/>
        <item x="364"/>
        <item x="365"/>
        <item x="90"/>
        <item x="15"/>
        <item x="37"/>
        <item x="367"/>
        <item x="368"/>
        <item x="181"/>
        <item x="369"/>
        <item x="147"/>
        <item x="370"/>
        <item x="442"/>
        <item x="371"/>
        <item x="372"/>
        <item x="373"/>
        <item x="374"/>
        <item x="375"/>
        <item x="376"/>
        <item x="377"/>
        <item x="378"/>
        <item x="379"/>
        <item x="380"/>
        <item x="381"/>
        <item x="88"/>
        <item x="382"/>
        <item x="383"/>
        <item x="384"/>
        <item x="385"/>
        <item x="386"/>
        <item x="387"/>
        <item x="3"/>
        <item x="388"/>
        <item x="167"/>
        <item x="284"/>
        <item x="389"/>
        <item x="390"/>
        <item x="391"/>
        <item x="117"/>
        <item x="77"/>
        <item x="392"/>
        <item x="393"/>
        <item x="210"/>
        <item x="394"/>
        <item x="395"/>
        <item x="396"/>
        <item x="397"/>
        <item x="398"/>
        <item x="399"/>
        <item x="400"/>
        <item x="402"/>
        <item x="403"/>
        <item x="404"/>
        <item x="405"/>
        <item x="406"/>
        <item x="407"/>
        <item x="408"/>
        <item x="409"/>
        <item x="410"/>
        <item x="412"/>
        <item x="413"/>
        <item x="414"/>
        <item x="419"/>
        <item x="422"/>
        <item x="423"/>
        <item x="424"/>
        <item x="411"/>
        <item x="415"/>
        <item x="416"/>
        <item x="417"/>
        <item x="418"/>
        <item x="420"/>
        <item x="421"/>
        <item x="425"/>
        <item x="426"/>
        <item x="427"/>
        <item x="428"/>
        <item x="198"/>
        <item x="17"/>
        <item x="429"/>
        <item x="430"/>
        <item x="431"/>
        <item x="432"/>
        <item x="433"/>
        <item x="434"/>
        <item x="435"/>
        <item x="436"/>
        <item x="437"/>
        <item x="438"/>
        <item x="439"/>
        <item x="440"/>
        <item x="441"/>
        <item x="18"/>
      </items>
      <extLst>
        <ext xmlns:x14="http://schemas.microsoft.com/office/spreadsheetml/2009/9/main" uri="{2946ED86-A175-432a-8AC1-64E0C546D7DE}">
          <x14:pivotField fillDownLabels="1"/>
        </ext>
      </extLst>
    </pivotField>
    <pivotField compact="0" numFmtId="3" outline="0" showAll="0"/>
    <pivotField compact="0" outline="0" showAll="0"/>
    <pivotField dataField="1" compact="0" numFmtId="3" outline="0" showAll="0"/>
    <pivotField compact="0" outline="0" showAll="0"/>
    <pivotField compact="0" outline="0" showAll="0"/>
    <pivotField dataField="1" compact="0" numFmtId="3" outline="0" showAll="0"/>
    <pivotField compact="0" numFmtId="3" outline="0" showAll="0"/>
    <pivotField compact="0" outline="0" showAll="0"/>
    <pivotField compact="0" numFmtId="168" outline="0" showAll="0"/>
    <pivotField compact="0" numFmtId="3" outline="0" showAll="0"/>
    <pivotField dataField="1" compact="0" numFmtId="3" outline="0" showAll="0"/>
  </pivotFields>
  <rowFields count="4">
    <field x="2"/>
    <field x="3"/>
    <field x="0"/>
    <field x="1"/>
  </rowFields>
  <rowItems count="542">
    <i>
      <x v="351"/>
      <x v="272"/>
      <x v="209"/>
      <x v="216"/>
    </i>
    <i t="default">
      <x v="351"/>
    </i>
    <i>
      <x v="352"/>
      <x v="3"/>
      <x v="1"/>
      <x v="2"/>
    </i>
    <i r="2">
      <x v="36"/>
      <x v="39"/>
    </i>
    <i t="default">
      <x v="352"/>
    </i>
    <i>
      <x v="353"/>
      <x v="176"/>
      <x v="3"/>
      <x v="4"/>
    </i>
    <i r="2">
      <x v="57"/>
      <x v="61"/>
    </i>
    <i t="default">
      <x v="353"/>
    </i>
    <i>
      <x v="354"/>
      <x v="10"/>
      <x v="7"/>
      <x v="8"/>
    </i>
    <i r="2">
      <x v="153"/>
      <x v="156"/>
    </i>
    <i r="2">
      <x v="229"/>
      <x v="232"/>
    </i>
    <i r="2">
      <x v="271"/>
      <x v="274"/>
    </i>
    <i t="default">
      <x v="354"/>
    </i>
    <i>
      <x v="355"/>
      <x v="15"/>
      <x v="10"/>
      <x v="12"/>
    </i>
    <i r="2">
      <x v="327"/>
      <x v="335"/>
    </i>
    <i t="default">
      <x v="355"/>
    </i>
    <i>
      <x v="356"/>
      <x v="21"/>
      <x v="14"/>
      <x v="16"/>
    </i>
    <i r="2">
      <x v="254"/>
      <x v="257"/>
    </i>
    <i t="default">
      <x v="356"/>
    </i>
    <i>
      <x v="357"/>
      <x v="26"/>
      <x v="18"/>
      <x v="20"/>
    </i>
    <i r="2">
      <x v="269"/>
      <x v="272"/>
    </i>
    <i t="default">
      <x v="357"/>
    </i>
    <i>
      <x v="358"/>
      <x v="35"/>
      <x v="112"/>
      <x v="115"/>
    </i>
    <i r="2">
      <x v="282"/>
      <x v="286"/>
    </i>
    <i r="2">
      <x v="332"/>
      <x v="329"/>
    </i>
    <i t="default">
      <x v="358"/>
    </i>
    <i>
      <x v="359"/>
      <x v="37"/>
      <x v="27"/>
      <x v="29"/>
    </i>
    <i r="2">
      <x v="38"/>
      <x v="42"/>
    </i>
    <i t="default">
      <x v="359"/>
    </i>
    <i>
      <x v="360"/>
      <x v="42"/>
      <x v="31"/>
      <x v="33"/>
    </i>
    <i r="2">
      <x v="187"/>
      <x v="190"/>
    </i>
    <i t="default">
      <x v="360"/>
    </i>
    <i>
      <x v="361"/>
      <x v="55"/>
      <x v="41"/>
      <x v="45"/>
    </i>
    <i r="2">
      <x v="244"/>
      <x v="247"/>
    </i>
    <i t="default">
      <x v="361"/>
    </i>
    <i>
      <x v="362"/>
      <x v="78"/>
      <x v="59"/>
      <x v="63"/>
    </i>
    <i r="2">
      <x v="107"/>
      <x v="110"/>
    </i>
    <i t="default">
      <x v="362"/>
    </i>
    <i>
      <x v="363"/>
      <x v="69"/>
      <x v="21"/>
      <x v="23"/>
    </i>
    <i r="2">
      <x v="68"/>
      <x v="72"/>
    </i>
    <i r="2">
      <x v="69"/>
      <x v="73"/>
    </i>
    <i r="2">
      <x v="131"/>
      <x v="134"/>
    </i>
    <i r="2">
      <x v="232"/>
      <x v="235"/>
    </i>
    <i r="2">
      <x v="312"/>
      <x v="316"/>
    </i>
    <i r="2">
      <x v="344"/>
      <x v="348"/>
    </i>
    <i t="default">
      <x v="363"/>
    </i>
    <i>
      <x v="364"/>
      <x v="86"/>
      <x v="50"/>
      <x v="54"/>
    </i>
    <i r="2">
      <x v="66"/>
      <x v="70"/>
    </i>
    <i t="default">
      <x v="364"/>
    </i>
    <i>
      <x v="365"/>
      <x v="95"/>
      <x v="74"/>
      <x v="78"/>
    </i>
    <i r="2">
      <x v="350"/>
      <x v="354"/>
    </i>
    <i t="default">
      <x v="365"/>
    </i>
    <i>
      <x v="366"/>
      <x v="97"/>
      <x v="75"/>
      <x v="79"/>
    </i>
    <i r="2">
      <x v="246"/>
      <x v="249"/>
    </i>
    <i t="default">
      <x v="366"/>
    </i>
    <i>
      <x v="367"/>
      <x v="100"/>
      <x v="77"/>
      <x v="81"/>
    </i>
    <i r="2">
      <x v="268"/>
      <x v="271"/>
    </i>
    <i t="default">
      <x v="367"/>
    </i>
    <i>
      <x v="368"/>
      <x v="103"/>
      <x v="53"/>
      <x v="57"/>
    </i>
    <i r="2">
      <x v="79"/>
      <x v="83"/>
    </i>
    <i t="default">
      <x v="368"/>
    </i>
    <i>
      <x v="369"/>
      <x v="252"/>
      <x v="40"/>
      <x v="44"/>
    </i>
    <i r="2">
      <x v="84"/>
      <x v="89"/>
    </i>
    <i r="2">
      <x v="223"/>
      <x v="226"/>
    </i>
    <i r="2">
      <x v="317"/>
      <x v="321"/>
    </i>
    <i t="default">
      <x v="369"/>
    </i>
    <i>
      <x v="370"/>
      <x v="121"/>
      <x v="224"/>
      <x v="227"/>
    </i>
    <i r="2">
      <x v="259"/>
      <x v="262"/>
    </i>
    <i t="default">
      <x v="370"/>
    </i>
    <i>
      <x v="371"/>
      <x v="129"/>
      <x v="101"/>
      <x v="105"/>
    </i>
    <i r="2">
      <x v="145"/>
      <x v="148"/>
    </i>
    <i t="default">
      <x v="371"/>
    </i>
    <i>
      <x v="372"/>
      <x v="130"/>
      <x v="67"/>
      <x v="71"/>
    </i>
    <i r="2">
      <x v="73"/>
      <x v="77"/>
    </i>
    <i r="2">
      <x v="288"/>
      <x v="292"/>
    </i>
    <i r="2">
      <x v="336"/>
      <x v="340"/>
    </i>
    <i t="default">
      <x v="372"/>
    </i>
    <i>
      <x v="373"/>
      <x v="132"/>
      <x v="32"/>
      <x v="34"/>
    </i>
    <i r="2">
      <x v="58"/>
      <x v="62"/>
    </i>
    <i r="2">
      <x v="142"/>
      <x v="145"/>
    </i>
    <i r="2">
      <x v="182"/>
      <x v="185"/>
    </i>
    <i r="2">
      <x v="193"/>
      <x v="196"/>
    </i>
    <i r="2">
      <x v="255"/>
      <x v="258"/>
    </i>
    <i t="default">
      <x v="373"/>
    </i>
    <i>
      <x v="374"/>
      <x v="149"/>
      <x v="80"/>
      <x v="84"/>
    </i>
    <i r="2">
      <x v="114"/>
      <x v="117"/>
    </i>
    <i t="default">
      <x v="374"/>
    </i>
    <i>
      <x v="375"/>
      <x v="135"/>
      <x v="105"/>
      <x v="108"/>
    </i>
    <i r="2">
      <x v="191"/>
      <x v="194"/>
    </i>
    <i t="default">
      <x v="375"/>
    </i>
    <i>
      <x v="376"/>
      <x v="154"/>
      <x v="118"/>
      <x v="121"/>
    </i>
    <i r="2">
      <x v="319"/>
      <x v="323"/>
    </i>
    <i t="default">
      <x v="376"/>
    </i>
    <i>
      <x v="377"/>
      <x v="156"/>
      <x v="119"/>
      <x v="122"/>
    </i>
    <i r="2">
      <x v="338"/>
      <x v="342"/>
    </i>
    <i t="default">
      <x v="377"/>
    </i>
    <i>
      <x v="378"/>
      <x v="157"/>
      <x v="59"/>
      <x v="63"/>
    </i>
    <i r="2">
      <x v="107"/>
      <x v="110"/>
    </i>
    <i r="2">
      <x v="274"/>
      <x v="278"/>
    </i>
    <i r="2">
      <x v="326"/>
      <x v="334"/>
    </i>
    <i r="2">
      <x v="339"/>
      <x v="343"/>
    </i>
    <i t="default">
      <x v="378"/>
    </i>
    <i>
      <x v="379"/>
      <x v="166"/>
      <x v="52"/>
      <x v="56"/>
    </i>
    <i r="2">
      <x v="128"/>
      <x v="131"/>
    </i>
    <i t="default">
      <x v="379"/>
    </i>
    <i>
      <x v="380"/>
      <x v="184"/>
      <x v="207"/>
      <x v="210"/>
    </i>
    <i r="2">
      <x v="237"/>
      <x v="240"/>
    </i>
    <i r="2">
      <x v="349"/>
      <x v="353"/>
    </i>
    <i t="default">
      <x v="380"/>
    </i>
    <i>
      <x v="381"/>
      <x v="198"/>
      <x v="156"/>
      <x v="159"/>
    </i>
    <i r="2">
      <x v="287"/>
      <x v="291"/>
    </i>
    <i t="default">
      <x v="381"/>
    </i>
    <i>
      <x v="382"/>
      <x v="208"/>
      <x v="91"/>
      <x v="95"/>
    </i>
    <i r="2">
      <x v="165"/>
      <x v="168"/>
    </i>
    <i t="default">
      <x v="382"/>
    </i>
    <i>
      <x v="383"/>
      <x v="214"/>
      <x v="61"/>
      <x v="65"/>
    </i>
    <i r="2">
      <x v="88"/>
      <x v="92"/>
    </i>
    <i r="2">
      <x v="103"/>
      <x v="10"/>
    </i>
    <i r="2">
      <x v="220"/>
      <x v="223"/>
    </i>
    <i r="2">
      <x v="295"/>
      <x v="299"/>
    </i>
    <i r="2">
      <x v="333"/>
      <x v="330"/>
    </i>
    <i t="default">
      <x v="383"/>
    </i>
    <i>
      <x v="384"/>
      <x v="215"/>
      <x v="37"/>
      <x v="40"/>
    </i>
    <i r="2">
      <x v="183"/>
      <x v="186"/>
    </i>
    <i r="2">
      <x v="297"/>
      <x v="301"/>
    </i>
    <i t="default">
      <x v="384"/>
    </i>
    <i>
      <x v="385"/>
      <x v="224"/>
      <x v="178"/>
      <x v="181"/>
    </i>
    <i r="2">
      <x v="302"/>
      <x v="306"/>
    </i>
    <i t="default">
      <x v="385"/>
    </i>
    <i>
      <x v="386"/>
      <x v="237"/>
      <x v="54"/>
      <x v="58"/>
    </i>
    <i r="2">
      <x v="125"/>
      <x v="128"/>
    </i>
    <i t="default">
      <x v="386"/>
    </i>
    <i>
      <x v="387"/>
      <x v="244"/>
      <x v="147"/>
      <x v="150"/>
    </i>
    <i r="2">
      <x v="340"/>
      <x v="344"/>
    </i>
    <i t="default">
      <x v="387"/>
    </i>
    <i>
      <x v="388"/>
      <x v="236"/>
      <x v="12"/>
      <x v="14"/>
    </i>
    <i r="2">
      <x v="46"/>
      <x v="50"/>
    </i>
    <i r="2">
      <x v="52"/>
      <x v="56"/>
    </i>
    <i r="2">
      <x v="65"/>
      <x v="69"/>
    </i>
    <i r="2">
      <x v="128"/>
      <x v="131"/>
    </i>
    <i r="2">
      <x v="129"/>
      <x v="132"/>
    </i>
    <i r="2">
      <x v="236"/>
      <x v="239"/>
    </i>
    <i r="2">
      <x v="267"/>
      <x v="270"/>
    </i>
    <i t="default">
      <x v="388"/>
    </i>
    <i>
      <x v="389"/>
      <x v="248"/>
      <x v="234"/>
      <x v="237"/>
    </i>
    <i r="2">
      <x v="293"/>
      <x v="297"/>
    </i>
    <i t="default">
      <x v="389"/>
    </i>
    <i>
      <x v="390"/>
      <x v="249"/>
      <x v="33"/>
      <x v="35"/>
    </i>
    <i r="2">
      <x v="146"/>
      <x v="149"/>
    </i>
    <i r="2">
      <x v="285"/>
      <x v="289"/>
    </i>
    <i t="default">
      <x v="390"/>
    </i>
    <i>
      <x v="391"/>
      <x v="259"/>
      <x v="205"/>
      <x v="206"/>
    </i>
    <i r="2">
      <x v="318"/>
      <x v="322"/>
    </i>
    <i t="default">
      <x v="391"/>
    </i>
    <i>
      <x v="392"/>
      <x v="273"/>
      <x v="212"/>
      <x v="217"/>
    </i>
    <i r="2">
      <x v="275"/>
      <x v="279"/>
    </i>
    <i t="default">
      <x v="392"/>
    </i>
    <i>
      <x v="393"/>
      <x v="269"/>
      <x v="11"/>
      <x v="13"/>
    </i>
    <i r="2">
      <x v="231"/>
      <x v="234"/>
    </i>
    <i r="2">
      <x v="298"/>
      <x v="302"/>
    </i>
    <i t="default">
      <x v="393"/>
    </i>
    <i>
      <x v="394"/>
      <x v="285"/>
      <x v="168"/>
      <x v="171"/>
    </i>
    <i r="2">
      <x v="172"/>
      <x v="175"/>
    </i>
    <i r="2">
      <x v="249"/>
      <x v="252"/>
    </i>
    <i t="default">
      <x v="394"/>
    </i>
    <i>
      <x v="395"/>
      <x v="296"/>
      <x v="115"/>
      <x v="118"/>
    </i>
    <i r="2">
      <x v="179"/>
      <x v="182"/>
    </i>
    <i r="2">
      <x v="328"/>
      <x v="327"/>
    </i>
    <i t="default">
      <x v="395"/>
    </i>
    <i>
      <x v="396"/>
      <x v="301"/>
      <x v="28"/>
      <x v="30"/>
    </i>
    <i r="2">
      <x v="155"/>
      <x v="158"/>
    </i>
    <i r="2">
      <x v="215"/>
      <x v="219"/>
    </i>
    <i t="default">
      <x v="396"/>
    </i>
    <i>
      <x v="397"/>
      <x v="309"/>
      <x v="20"/>
      <x v="22"/>
    </i>
    <i r="2">
      <x v="123"/>
      <x v="126"/>
    </i>
    <i r="2">
      <x v="139"/>
      <x v="142"/>
    </i>
    <i r="2">
      <x v="201"/>
      <x v="204"/>
    </i>
    <i r="2">
      <x v="221"/>
      <x v="224"/>
    </i>
    <i t="default">
      <x v="397"/>
    </i>
    <i>
      <x v="398"/>
      <x v="312"/>
      <x v="205"/>
      <x v="206"/>
    </i>
    <i r="2">
      <x v="222"/>
      <x v="225"/>
    </i>
    <i r="2">
      <x v="233"/>
      <x v="236"/>
    </i>
    <i r="2">
      <x v="318"/>
      <x v="322"/>
    </i>
    <i t="default">
      <x v="398"/>
    </i>
    <i>
      <x v="399"/>
      <x v="343"/>
      <x v="117"/>
      <x v="120"/>
    </i>
    <i r="2">
      <x v="144"/>
      <x v="147"/>
    </i>
    <i r="2">
      <x v="239"/>
      <x v="242"/>
    </i>
    <i t="default">
      <x v="399"/>
    </i>
    <i>
      <x v="400"/>
      <x v="345"/>
      <x v="26"/>
      <x v="28"/>
    </i>
    <i r="2">
      <x v="272"/>
      <x v="275"/>
    </i>
    <i t="default">
      <x v="400"/>
    </i>
    <i>
      <x v="401"/>
      <x v="354"/>
      <x v="5"/>
      <x v="6"/>
    </i>
    <i r="2">
      <x v="89"/>
      <x v="93"/>
    </i>
    <i r="2">
      <x v="192"/>
      <x v="195"/>
    </i>
    <i r="2">
      <x v="204"/>
      <x v="205"/>
    </i>
    <i r="2">
      <x v="266"/>
      <x v="269"/>
    </i>
    <i t="default">
      <x v="401"/>
    </i>
    <i>
      <x v="402"/>
      <x v="357"/>
      <x v="278"/>
      <x v="281"/>
    </i>
    <i r="2">
      <x v="296"/>
      <x v="300"/>
    </i>
    <i r="1">
      <x v="358"/>
      <x v="111"/>
      <x v="114"/>
    </i>
    <i t="default">
      <x v="402"/>
    </i>
    <i>
      <x v="403"/>
      <x v="360"/>
      <x v="83"/>
      <x v="87"/>
    </i>
    <i r="2">
      <x v="279"/>
      <x v="282"/>
    </i>
    <i t="default">
      <x v="403"/>
    </i>
    <i>
      <x v="404"/>
      <x v="374"/>
      <x v="42"/>
      <x v="46"/>
    </i>
    <i r="2">
      <x v="44"/>
      <x v="48"/>
    </i>
    <i r="2">
      <x v="134"/>
      <x v="137"/>
    </i>
    <i r="2">
      <x v="286"/>
      <x v="290"/>
    </i>
    <i r="2">
      <x v="305"/>
      <x v="309"/>
    </i>
    <i t="default">
      <x v="404"/>
    </i>
    <i>
      <x v="405"/>
      <x v="384"/>
      <x v="202"/>
      <x v="207"/>
    </i>
    <i r="2">
      <x v="253"/>
      <x v="256"/>
    </i>
    <i r="2">
      <x v="258"/>
      <x v="261"/>
    </i>
    <i t="default">
      <x v="405"/>
    </i>
    <i>
      <x v="406"/>
      <x v="388"/>
      <x v="61"/>
      <x v="65"/>
    </i>
    <i r="2">
      <x v="103"/>
      <x v="10"/>
    </i>
    <i r="2">
      <x v="333"/>
      <x v="330"/>
    </i>
    <i t="default">
      <x v="406"/>
    </i>
    <i>
      <x v="407"/>
      <x v="392"/>
      <x v="133"/>
      <x v="136"/>
    </i>
    <i r="2">
      <x v="227"/>
      <x v="230"/>
    </i>
    <i r="2">
      <x v="240"/>
      <x v="243"/>
    </i>
    <i r="2">
      <x v="256"/>
      <x v="259"/>
    </i>
    <i r="2">
      <x v="281"/>
      <x v="285"/>
    </i>
    <i t="default">
      <x v="407"/>
    </i>
    <i>
      <x v="408"/>
      <x v="310"/>
      <x v="310"/>
      <x v="314"/>
    </i>
    <i r="2">
      <x v="323"/>
      <x v="326"/>
    </i>
    <i t="default">
      <x v="408"/>
    </i>
    <i>
      <x v="409"/>
      <x v="427"/>
      <x v="122"/>
      <x v="125"/>
    </i>
    <i r="2">
      <x v="337"/>
      <x v="341"/>
    </i>
    <i t="default">
      <x v="409"/>
    </i>
    <i>
      <x v="410"/>
      <x v="19"/>
      <x v="27"/>
      <x v="29"/>
    </i>
    <i r="2">
      <x v="140"/>
      <x v="143"/>
    </i>
    <i r="2">
      <x v="169"/>
      <x v="172"/>
    </i>
    <i r="2">
      <x v="173"/>
      <x v="176"/>
    </i>
    <i r="2">
      <x v="212"/>
      <x v="217"/>
    </i>
    <i r="2">
      <x v="275"/>
      <x v="279"/>
    </i>
    <i r="2">
      <x v="320"/>
      <x v="331"/>
    </i>
    <i t="default">
      <x v="410"/>
    </i>
    <i>
      <x v="411"/>
      <x v="43"/>
      <x v="24"/>
      <x v="26"/>
    </i>
    <i r="2">
      <x v="31"/>
      <x v="33"/>
    </i>
    <i r="2">
      <x v="76"/>
      <x v="80"/>
    </i>
    <i r="2">
      <x v="109"/>
      <x v="112"/>
    </i>
    <i r="2">
      <x v="137"/>
      <x v="140"/>
    </i>
    <i r="2">
      <x v="178"/>
      <x v="181"/>
    </i>
    <i r="2">
      <x v="184"/>
      <x v="187"/>
    </i>
    <i r="2">
      <x v="185"/>
      <x v="188"/>
    </i>
    <i r="2">
      <x v="187"/>
      <x v="190"/>
    </i>
    <i r="2">
      <x v="213"/>
      <x v="218"/>
    </i>
    <i r="2">
      <x v="289"/>
      <x v="293"/>
    </i>
    <i r="2">
      <x v="302"/>
      <x v="306"/>
    </i>
    <i r="2">
      <x v="303"/>
      <x v="307"/>
    </i>
    <i t="default">
      <x v="411"/>
    </i>
    <i>
      <x v="412"/>
      <x v="45"/>
      <x v="17"/>
      <x v="19"/>
    </i>
    <i r="2">
      <x v="39"/>
      <x v="43"/>
    </i>
    <i r="2">
      <x v="49"/>
      <x v="53"/>
    </i>
    <i r="2">
      <x v="72"/>
      <x v="76"/>
    </i>
    <i r="2">
      <x v="132"/>
      <x v="135"/>
    </i>
    <i r="2">
      <x v="188"/>
      <x v="191"/>
    </i>
    <i r="2">
      <x v="219"/>
      <x v="222"/>
    </i>
    <i r="2">
      <x v="243"/>
      <x v="246"/>
    </i>
    <i r="2">
      <x v="334"/>
      <x v="338"/>
    </i>
    <i t="default">
      <x v="412"/>
    </i>
    <i>
      <x v="413"/>
      <x v="58"/>
      <x v="26"/>
      <x v="28"/>
    </i>
    <i r="2">
      <x v="41"/>
      <x v="45"/>
    </i>
    <i r="2">
      <x v="75"/>
      <x v="79"/>
    </i>
    <i r="2">
      <x v="101"/>
      <x v="105"/>
    </i>
    <i r="2">
      <x v="181"/>
      <x v="184"/>
    </i>
    <i r="2">
      <x v="244"/>
      <x v="247"/>
    </i>
    <i r="2">
      <x v="246"/>
      <x v="249"/>
    </i>
    <i r="2">
      <x v="292"/>
      <x v="296"/>
    </i>
    <i t="default">
      <x v="413"/>
    </i>
    <i>
      <x v="414"/>
      <x v="66"/>
      <x v="19"/>
      <x v="21"/>
    </i>
    <i r="2">
      <x v="40"/>
      <x v="44"/>
    </i>
    <i r="2">
      <x v="54"/>
      <x v="58"/>
    </i>
    <i r="2">
      <x v="74"/>
      <x v="78"/>
    </i>
    <i r="2">
      <x v="84"/>
      <x v="89"/>
    </i>
    <i r="2">
      <x v="125"/>
      <x v="128"/>
    </i>
    <i r="2">
      <x v="171"/>
      <x v="174"/>
    </i>
    <i r="2">
      <x v="223"/>
      <x v="226"/>
    </i>
    <i r="2">
      <x v="241"/>
      <x v="244"/>
    </i>
    <i r="2">
      <x v="299"/>
      <x v="303"/>
    </i>
    <i r="2">
      <x v="317"/>
      <x v="321"/>
    </i>
    <i r="2">
      <x v="350"/>
      <x v="354"/>
    </i>
    <i t="default">
      <x v="414"/>
    </i>
    <i>
      <x v="415"/>
      <x v="116"/>
      <x v="29"/>
      <x v="31"/>
    </i>
    <i r="2">
      <x v="37"/>
      <x v="40"/>
    </i>
    <i r="2">
      <x v="70"/>
      <x v="74"/>
    </i>
    <i r="2">
      <x v="91"/>
      <x v="95"/>
    </i>
    <i r="2">
      <x v="106"/>
      <x v="109"/>
    </i>
    <i r="2">
      <x v="118"/>
      <x v="121"/>
    </i>
    <i r="2">
      <x v="163"/>
      <x v="166"/>
    </i>
    <i r="2">
      <x v="165"/>
      <x v="168"/>
    </i>
    <i r="2">
      <x v="167"/>
      <x v="170"/>
    </i>
    <i r="2">
      <x v="183"/>
      <x v="186"/>
    </i>
    <i r="2">
      <x v="195"/>
      <x v="198"/>
    </i>
    <i r="2">
      <x v="228"/>
      <x v="231"/>
    </i>
    <i r="2">
      <x v="251"/>
      <x v="254"/>
    </i>
    <i r="2">
      <x v="257"/>
      <x v="260"/>
    </i>
    <i r="2">
      <x v="290"/>
      <x v="294"/>
    </i>
    <i r="2">
      <x v="297"/>
      <x v="301"/>
    </i>
    <i r="2">
      <x v="319"/>
      <x v="323"/>
    </i>
    <i t="default">
      <x v="415"/>
    </i>
    <i>
      <x v="416"/>
      <x v="127"/>
      <x v="28"/>
      <x v="30"/>
    </i>
    <i r="2">
      <x v="46"/>
      <x v="50"/>
    </i>
    <i r="2">
      <x v="65"/>
      <x v="69"/>
    </i>
    <i r="2">
      <x v="67"/>
      <x v="71"/>
    </i>
    <i r="2">
      <x v="73"/>
      <x v="77"/>
    </i>
    <i r="2">
      <x v="90"/>
      <x v="94"/>
    </i>
    <i r="2">
      <x v="105"/>
      <x v="108"/>
    </i>
    <i r="2">
      <x v="113"/>
      <x v="116"/>
    </i>
    <i r="2">
      <x v="129"/>
      <x v="132"/>
    </i>
    <i r="2">
      <x v="155"/>
      <x v="158"/>
    </i>
    <i r="2">
      <x v="191"/>
      <x v="194"/>
    </i>
    <i r="2">
      <x v="205"/>
      <x v="206"/>
    </i>
    <i r="2">
      <x v="215"/>
      <x v="219"/>
    </i>
    <i r="2">
      <x v="222"/>
      <x v="225"/>
    </i>
    <i r="2">
      <x v="267"/>
      <x v="270"/>
    </i>
    <i r="2">
      <x v="288"/>
      <x v="292"/>
    </i>
    <i r="2">
      <x v="311"/>
      <x v="315"/>
    </i>
    <i r="2">
      <x v="318"/>
      <x v="322"/>
    </i>
    <i r="2">
      <x v="336"/>
      <x v="340"/>
    </i>
    <i t="default">
      <x v="416"/>
    </i>
    <i>
      <x v="417"/>
      <x v="143"/>
      <x v="94"/>
      <x v="98"/>
    </i>
    <i r="2">
      <x v="272"/>
      <x v="275"/>
    </i>
    <i r="2">
      <x v="291"/>
      <x v="295"/>
    </i>
    <i r="2">
      <x v="330"/>
      <x v="337"/>
    </i>
    <i t="default">
      <x v="417"/>
    </i>
    <i>
      <x v="418"/>
      <x v="144"/>
      <x v="8"/>
      <x v="9"/>
    </i>
    <i r="2">
      <x v="148"/>
      <x v="151"/>
    </i>
    <i r="2">
      <x v="180"/>
      <x v="183"/>
    </i>
    <i r="2">
      <x v="210"/>
      <x v="212"/>
    </i>
    <i t="default">
      <x v="418"/>
    </i>
    <i>
      <x v="419"/>
      <x v="146"/>
      <x v="71"/>
      <x v="75"/>
    </i>
    <i r="2">
      <x v="93"/>
      <x v="97"/>
    </i>
    <i r="2">
      <x v="200"/>
      <x v="203"/>
    </i>
    <i t="default">
      <x v="419"/>
    </i>
    <i>
      <x v="420"/>
      <x v="145"/>
      <x v="78"/>
      <x v="82"/>
    </i>
    <i r="2">
      <x v="80"/>
      <x v="84"/>
    </i>
    <i r="2">
      <x v="159"/>
      <x v="162"/>
    </i>
    <i r="2">
      <x v="300"/>
      <x v="304"/>
    </i>
    <i t="default">
      <x v="420"/>
    </i>
    <i>
      <x v="421"/>
      <x v="348"/>
      <x v="13"/>
      <x v="15"/>
    </i>
    <i r="2">
      <x v="99"/>
      <x v="103"/>
    </i>
    <i r="2">
      <x v="135"/>
      <x v="138"/>
    </i>
    <i r="2">
      <x v="138"/>
      <x v="141"/>
    </i>
    <i r="2">
      <x v="197"/>
      <x v="200"/>
    </i>
    <i t="default">
      <x v="421"/>
    </i>
    <i>
      <x v="422"/>
      <x v="235"/>
      <x v="1"/>
      <x v="2"/>
    </i>
    <i r="2">
      <x v="9"/>
      <x v="11"/>
    </i>
    <i r="2">
      <x v="33"/>
      <x v="35"/>
    </i>
    <i r="2">
      <x v="66"/>
      <x v="70"/>
    </i>
    <i r="2">
      <x v="77"/>
      <x v="81"/>
    </i>
    <i r="2">
      <x v="146"/>
      <x v="149"/>
    </i>
    <i r="2">
      <x v="154"/>
      <x v="157"/>
    </i>
    <i r="2">
      <x v="198"/>
      <x v="201"/>
    </i>
    <i r="2">
      <x v="285"/>
      <x v="289"/>
    </i>
    <i t="default">
      <x v="422"/>
    </i>
    <i>
      <x v="423"/>
      <x v="240"/>
      <x v="10"/>
      <x v="12"/>
    </i>
    <i r="2">
      <x v="11"/>
      <x v="13"/>
    </i>
    <i r="2">
      <x v="14"/>
      <x v="16"/>
    </i>
    <i r="2">
      <x v="20"/>
      <x v="22"/>
    </i>
    <i r="2">
      <x v="96"/>
      <x v="100"/>
    </i>
    <i r="2">
      <x v="102"/>
      <x v="106"/>
    </i>
    <i r="2">
      <x v="124"/>
      <x v="127"/>
    </i>
    <i r="2">
      <x v="133"/>
      <x v="136"/>
    </i>
    <i r="2">
      <x v="139"/>
      <x v="142"/>
    </i>
    <i r="2">
      <x v="161"/>
      <x v="164"/>
    </i>
    <i r="2">
      <x v="233"/>
      <x v="236"/>
    </i>
    <i r="2">
      <x v="234"/>
      <x v="237"/>
    </i>
    <i r="2">
      <x v="240"/>
      <x v="243"/>
    </i>
    <i r="2">
      <x v="254"/>
      <x v="257"/>
    </i>
    <i r="2">
      <x v="281"/>
      <x v="285"/>
    </i>
    <i r="2">
      <x v="293"/>
      <x v="297"/>
    </i>
    <i r="2">
      <x v="327"/>
      <x v="335"/>
    </i>
    <i r="2">
      <x v="342"/>
      <x v="346"/>
    </i>
    <i t="default">
      <x v="423"/>
    </i>
    <i>
      <x v="424"/>
      <x v="277"/>
      <x v="3"/>
      <x v="4"/>
    </i>
    <i r="2">
      <x v="57"/>
      <x v="61"/>
    </i>
    <i r="2">
      <x v="62"/>
      <x v="66"/>
    </i>
    <i r="2">
      <x v="97"/>
      <x v="101"/>
    </i>
    <i r="2">
      <x v="147"/>
      <x v="150"/>
    </i>
    <i r="2">
      <x v="189"/>
      <x v="192"/>
    </i>
    <i r="2">
      <x v="208"/>
      <x v="211"/>
    </i>
    <i r="2">
      <x v="262"/>
      <x v="265"/>
    </i>
    <i r="2">
      <x v="340"/>
      <x v="344"/>
    </i>
    <i t="default">
      <x v="424"/>
    </i>
    <i>
      <x v="425"/>
      <x v="250"/>
      <x v="18"/>
      <x v="20"/>
    </i>
    <i r="2">
      <x v="55"/>
      <x v="59"/>
    </i>
    <i r="2">
      <x v="114"/>
      <x v="117"/>
    </i>
    <i r="2">
      <x v="157"/>
      <x v="160"/>
    </i>
    <i r="2">
      <x v="231"/>
      <x v="234"/>
    </i>
    <i r="2">
      <x v="269"/>
      <x v="272"/>
    </i>
    <i r="2">
      <x v="298"/>
      <x v="302"/>
    </i>
    <i r="2">
      <x v="325"/>
      <x v="333"/>
    </i>
    <i t="default">
      <x v="425"/>
    </i>
    <i>
      <x v="426"/>
      <x v="276"/>
      <x v="56"/>
      <x v="60"/>
    </i>
    <i r="2">
      <x v="164"/>
      <x v="167"/>
    </i>
    <i r="2">
      <x v="177"/>
      <x v="180"/>
    </i>
    <i r="2">
      <x v="216"/>
      <x v="215"/>
    </i>
    <i r="2">
      <x v="245"/>
      <x v="248"/>
    </i>
    <i r="2">
      <x v="247"/>
      <x v="250"/>
    </i>
    <i r="2">
      <x v="261"/>
      <x v="264"/>
    </i>
    <i r="2">
      <x v="283"/>
      <x v="287"/>
    </i>
    <i r="2">
      <x v="304"/>
      <x v="308"/>
    </i>
    <i r="2">
      <x v="343"/>
      <x v="347"/>
    </i>
    <i r="2">
      <x v="345"/>
      <x v="349"/>
    </i>
    <i r="2">
      <x v="346"/>
      <x v="350"/>
    </i>
    <i t="default">
      <x v="426"/>
    </i>
    <i>
      <x v="427"/>
      <x v="284"/>
      <x v="2"/>
      <x v="3"/>
    </i>
    <i r="2">
      <x v="51"/>
      <x v="55"/>
    </i>
    <i r="2">
      <x v="145"/>
      <x v="148"/>
    </i>
    <i r="2">
      <x v="172"/>
      <x v="175"/>
    </i>
    <i r="2">
      <x v="249"/>
      <x v="252"/>
    </i>
    <i t="default">
      <x v="427"/>
    </i>
    <i>
      <x v="428"/>
      <x v="291"/>
      <x v="23"/>
      <x v="25"/>
    </i>
    <i r="2">
      <x v="110"/>
      <x v="113"/>
    </i>
    <i r="2">
      <x v="123"/>
      <x v="126"/>
    </i>
    <i r="2">
      <x v="190"/>
      <x v="193"/>
    </i>
    <i r="2">
      <x v="201"/>
      <x v="204"/>
    </i>
    <i r="2">
      <x v="221"/>
      <x v="224"/>
    </i>
    <i r="2">
      <x v="226"/>
      <x v="229"/>
    </i>
    <i r="2">
      <x v="308"/>
      <x v="312"/>
    </i>
    <i r="2">
      <x v="310"/>
      <x v="314"/>
    </i>
    <i t="default">
      <x v="428"/>
    </i>
    <i>
      <x v="429"/>
      <x v="336"/>
      <x v="22"/>
      <x v="24"/>
    </i>
    <i r="2">
      <x v="30"/>
      <x v="32"/>
    </i>
    <i r="2">
      <x v="47"/>
      <x v="51"/>
    </i>
    <i r="2">
      <x v="294"/>
      <x v="298"/>
    </i>
    <i r="2">
      <x v="341"/>
      <x v="345"/>
    </i>
    <i t="default">
      <x v="429"/>
    </i>
    <i>
      <x v="430"/>
      <x v="353"/>
      <x v="43"/>
      <x v="47"/>
    </i>
    <i r="2">
      <x v="82"/>
      <x v="86"/>
    </i>
    <i r="2">
      <x v="87"/>
      <x v="91"/>
    </i>
    <i r="2">
      <x v="98"/>
      <x v="102"/>
    </i>
    <i r="2">
      <x v="166"/>
      <x v="169"/>
    </i>
    <i r="2">
      <x v="217"/>
      <x v="220"/>
    </i>
    <i r="2">
      <x v="265"/>
      <x v="268"/>
    </i>
    <i r="2">
      <x v="284"/>
      <x v="288"/>
    </i>
    <i r="2">
      <x v="322"/>
      <x v="325"/>
    </i>
    <i t="default">
      <x v="430"/>
    </i>
    <i>
      <x v="431"/>
      <x v="349"/>
      <x/>
      <x v="1"/>
    </i>
    <i r="2">
      <x v="64"/>
      <x v="68"/>
    </i>
    <i r="2">
      <x v="121"/>
      <x v="124"/>
    </i>
    <i r="2">
      <x v="122"/>
      <x v="125"/>
    </i>
    <i r="2">
      <x v="170"/>
      <x v="173"/>
    </i>
    <i r="2">
      <x v="218"/>
      <x v="221"/>
    </i>
    <i r="2">
      <x v="250"/>
      <x v="253"/>
    </i>
    <i r="2">
      <x v="263"/>
      <x v="266"/>
    </i>
    <i r="2">
      <x v="337"/>
      <x v="341"/>
    </i>
    <i t="default">
      <x v="431"/>
    </i>
    <i>
      <x v="432"/>
      <x v="355"/>
      <x v="16"/>
      <x v="18"/>
    </i>
    <i r="2">
      <x v="53"/>
      <x v="57"/>
    </i>
    <i r="2">
      <x v="79"/>
      <x v="83"/>
    </i>
    <i r="2">
      <x v="214"/>
      <x v="214"/>
    </i>
    <i r="2">
      <x v="225"/>
      <x v="228"/>
    </i>
    <i r="2">
      <x v="227"/>
      <x v="230"/>
    </i>
    <i r="2">
      <x v="256"/>
      <x v="259"/>
    </i>
    <i r="2">
      <x v="276"/>
      <x v="280"/>
    </i>
    <i r="2">
      <x v="279"/>
      <x v="282"/>
    </i>
    <i r="2">
      <x v="315"/>
      <x v="319"/>
    </i>
    <i t="default">
      <x v="432"/>
    </i>
    <i>
      <x v="433"/>
      <x v="383"/>
      <x v="100"/>
      <x v="104"/>
    </i>
    <i r="2">
      <x v="174"/>
      <x v="177"/>
    </i>
    <i r="2">
      <x v="176"/>
      <x v="179"/>
    </i>
    <i r="2">
      <x v="186"/>
      <x v="189"/>
    </i>
    <i r="2">
      <x v="207"/>
      <x v="210"/>
    </i>
    <i r="2">
      <x v="211"/>
      <x v="213"/>
    </i>
    <i r="2">
      <x v="237"/>
      <x v="240"/>
    </i>
    <i r="2">
      <x v="264"/>
      <x v="267"/>
    </i>
    <i r="2">
      <x v="268"/>
      <x v="271"/>
    </i>
    <i r="2">
      <x v="306"/>
      <x v="310"/>
    </i>
    <i r="2">
      <x v="349"/>
      <x v="353"/>
    </i>
    <i t="default">
      <x v="433"/>
    </i>
    <i>
      <x v="434"/>
      <x v="389"/>
      <x v="35"/>
      <x v="37"/>
    </i>
    <i r="2">
      <x v="95"/>
      <x v="99"/>
    </i>
    <i r="2">
      <x v="168"/>
      <x v="171"/>
    </i>
    <i r="2">
      <x v="260"/>
      <x v="263"/>
    </i>
    <i r="2">
      <x v="309"/>
      <x v="313"/>
    </i>
    <i t="default">
      <x v="434"/>
    </i>
    <i>
      <x v="435"/>
      <x v="428"/>
      <x v="6"/>
      <x v="7"/>
    </i>
    <i r="2">
      <x v="104"/>
      <x v="107"/>
    </i>
    <i r="2">
      <x v="115"/>
      <x v="118"/>
    </i>
    <i r="2">
      <x v="127"/>
      <x v="130"/>
    </i>
    <i r="2">
      <x v="143"/>
      <x v="146"/>
    </i>
    <i r="2">
      <x v="179"/>
      <x v="182"/>
    </i>
    <i r="2">
      <x v="202"/>
      <x v="207"/>
    </i>
    <i r="2">
      <x v="203"/>
      <x v="208"/>
    </i>
    <i r="2">
      <x v="253"/>
      <x v="256"/>
    </i>
    <i r="2">
      <x v="258"/>
      <x v="261"/>
    </i>
    <i r="2">
      <x v="328"/>
      <x v="327"/>
    </i>
    <i t="default">
      <x v="435"/>
    </i>
    <i>
      <x v="436"/>
      <x v="57"/>
      <x v="2"/>
      <x v="3"/>
    </i>
    <i r="2">
      <x v="15"/>
      <x v="17"/>
    </i>
    <i r="2">
      <x v="26"/>
      <x v="28"/>
    </i>
    <i r="2">
      <x v="71"/>
      <x v="75"/>
    </i>
    <i r="2">
      <x v="75"/>
      <x v="79"/>
    </i>
    <i r="2">
      <x v="87"/>
      <x v="91"/>
    </i>
    <i r="2">
      <x v="93"/>
      <x v="97"/>
    </i>
    <i r="2">
      <x v="94"/>
      <x v="98"/>
    </i>
    <i r="2">
      <x v="101"/>
      <x v="105"/>
    </i>
    <i r="2">
      <x v="166"/>
      <x v="169"/>
    </i>
    <i r="2">
      <x v="200"/>
      <x v="203"/>
    </i>
    <i r="2">
      <x v="211"/>
      <x v="213"/>
    </i>
    <i r="2">
      <x v="217"/>
      <x v="220"/>
    </i>
    <i r="2">
      <x v="244"/>
      <x v="247"/>
    </i>
    <i r="2">
      <x v="246"/>
      <x v="249"/>
    </i>
    <i r="2">
      <x v="264"/>
      <x v="267"/>
    </i>
    <i r="2">
      <x v="272"/>
      <x v="275"/>
    </i>
    <i r="2">
      <x v="291"/>
      <x v="295"/>
    </i>
    <i r="2">
      <x v="292"/>
      <x v="296"/>
    </i>
    <i r="2">
      <x v="330"/>
      <x v="337"/>
    </i>
    <i t="default">
      <x v="436"/>
    </i>
    <i>
      <x v="437"/>
      <x v="264"/>
      <x v="17"/>
      <x v="19"/>
    </i>
    <i r="2">
      <x v="24"/>
      <x v="26"/>
    </i>
    <i r="2">
      <x v="39"/>
      <x v="43"/>
    </i>
    <i r="2">
      <x v="45"/>
      <x v="49"/>
    </i>
    <i r="2">
      <x v="49"/>
      <x v="53"/>
    </i>
    <i r="2">
      <x v="64"/>
      <x v="68"/>
    </i>
    <i r="2">
      <x v="72"/>
      <x v="76"/>
    </i>
    <i r="2">
      <x v="77"/>
      <x v="81"/>
    </i>
    <i r="2">
      <x v="98"/>
      <x v="102"/>
    </i>
    <i r="2">
      <x v="100"/>
      <x v="104"/>
    </i>
    <i r="2">
      <x v="132"/>
      <x v="135"/>
    </i>
    <i r="2">
      <x v="174"/>
      <x v="177"/>
    </i>
    <i r="2">
      <x v="176"/>
      <x v="179"/>
    </i>
    <i r="2">
      <x v="186"/>
      <x v="189"/>
    </i>
    <i r="2">
      <x v="188"/>
      <x v="191"/>
    </i>
    <i r="2">
      <x v="198"/>
      <x v="201"/>
    </i>
    <i r="2">
      <x v="207"/>
      <x v="210"/>
    </i>
    <i r="2">
      <x v="219"/>
      <x v="222"/>
    </i>
    <i r="2">
      <x v="237"/>
      <x v="240"/>
    </i>
    <i r="2">
      <x v="242"/>
      <x v="245"/>
    </i>
    <i r="2">
      <x v="243"/>
      <x v="246"/>
    </i>
    <i r="2">
      <x v="265"/>
      <x v="268"/>
    </i>
    <i r="2">
      <x v="284"/>
      <x v="288"/>
    </i>
    <i r="2">
      <x v="306"/>
      <x v="310"/>
    </i>
    <i r="2">
      <x v="316"/>
      <x v="320"/>
    </i>
    <i r="2">
      <x v="334"/>
      <x v="338"/>
    </i>
    <i r="2">
      <x v="335"/>
      <x v="339"/>
    </i>
    <i r="2">
      <x v="349"/>
      <x v="353"/>
    </i>
    <i t="default">
      <x v="437"/>
    </i>
    <i t="grand">
      <x/>
    </i>
  </rowItems>
  <colFields count="1">
    <field x="-2"/>
  </colFields>
  <colItems count="3">
    <i>
      <x/>
    </i>
    <i i="1">
      <x v="1"/>
    </i>
    <i i="2">
      <x v="2"/>
    </i>
  </colItems>
  <dataFields count="3">
    <dataField name="Sum of Enrollment25" fld="14" baseField="0" baseItem="0"/>
    <dataField name="Sum of Budget25" fld="6" baseField="0" baseItem="0"/>
    <dataField name="Sum of Contribution252" fld="9" baseField="0" baseItem="0"/>
  </dataFields>
  <formats count="646">
    <format dxfId="673">
      <pivotArea outline="0" collapsedLevelsAreSubtotals="1" fieldPosition="0"/>
    </format>
    <format dxfId="672">
      <pivotArea type="all" dataOnly="0" outline="0" fieldPosition="0"/>
    </format>
    <format dxfId="671">
      <pivotArea outline="0" collapsedLevelsAreSubtotals="1" fieldPosition="0"/>
    </format>
    <format dxfId="670">
      <pivotArea field="2" type="button" dataOnly="0" labelOnly="1" outline="0" axis="axisRow" fieldPosition="0"/>
    </format>
    <format dxfId="669">
      <pivotArea field="3" type="button" dataOnly="0" labelOnly="1" outline="0" axis="axisRow" fieldPosition="1"/>
    </format>
    <format dxfId="668">
      <pivotArea field="0" type="button" dataOnly="0" labelOnly="1" outline="0" axis="axisRow" fieldPosition="2"/>
    </format>
    <format dxfId="667">
      <pivotArea field="1" type="button" dataOnly="0" labelOnly="1" outline="0" axis="axisRow" fieldPosition="3"/>
    </format>
    <format dxfId="666">
      <pivotArea dataOnly="0" labelOnly="1" outline="0" fieldPosition="0">
        <references count="1">
          <reference field="2" count="25">
            <x v="351"/>
            <x v="352"/>
            <x v="353"/>
            <x v="354"/>
            <x v="355"/>
            <x v="356"/>
            <x v="357"/>
            <x v="358"/>
            <x v="359"/>
            <x v="360"/>
            <x v="361"/>
            <x v="362"/>
            <x v="363"/>
            <x v="364"/>
            <x v="365"/>
            <x v="366"/>
            <x v="367"/>
            <x v="368"/>
            <x v="369"/>
            <x v="370"/>
            <x v="371"/>
            <x v="372"/>
            <x v="373"/>
            <x v="374"/>
            <x v="375"/>
          </reference>
        </references>
      </pivotArea>
    </format>
    <format dxfId="665">
      <pivotArea dataOnly="0" labelOnly="1" outline="0" fieldPosition="0">
        <references count="1">
          <reference field="2" count="25" defaultSubtotal="1">
            <x v="351"/>
            <x v="352"/>
            <x v="353"/>
            <x v="354"/>
            <x v="355"/>
            <x v="356"/>
            <x v="357"/>
            <x v="358"/>
            <x v="359"/>
            <x v="360"/>
            <x v="361"/>
            <x v="362"/>
            <x v="363"/>
            <x v="364"/>
            <x v="365"/>
            <x v="366"/>
            <x v="367"/>
            <x v="368"/>
            <x v="369"/>
            <x v="370"/>
            <x v="371"/>
            <x v="372"/>
            <x v="373"/>
            <x v="374"/>
            <x v="375"/>
          </reference>
        </references>
      </pivotArea>
    </format>
    <format dxfId="664">
      <pivotArea dataOnly="0" labelOnly="1" outline="0" fieldPosition="0">
        <references count="1">
          <reference field="2" count="25">
            <x v="376"/>
            <x v="377"/>
            <x v="378"/>
            <x v="379"/>
            <x v="380"/>
            <x v="381"/>
            <x v="382"/>
            <x v="383"/>
            <x v="384"/>
            <x v="385"/>
            <x v="386"/>
            <x v="387"/>
            <x v="388"/>
            <x v="389"/>
            <x v="390"/>
            <x v="391"/>
            <x v="392"/>
            <x v="393"/>
            <x v="394"/>
            <x v="395"/>
            <x v="396"/>
            <x v="397"/>
            <x v="398"/>
            <x v="399"/>
            <x v="400"/>
          </reference>
        </references>
      </pivotArea>
    </format>
    <format dxfId="663">
      <pivotArea dataOnly="0" labelOnly="1" outline="0" fieldPosition="0">
        <references count="1">
          <reference field="2" count="25" defaultSubtotal="1">
            <x v="376"/>
            <x v="377"/>
            <x v="378"/>
            <x v="379"/>
            <x v="380"/>
            <x v="381"/>
            <x v="382"/>
            <x v="383"/>
            <x v="384"/>
            <x v="385"/>
            <x v="386"/>
            <x v="387"/>
            <x v="388"/>
            <x v="389"/>
            <x v="390"/>
            <x v="391"/>
            <x v="392"/>
            <x v="393"/>
            <x v="394"/>
            <x v="395"/>
            <x v="396"/>
            <x v="397"/>
            <x v="398"/>
            <x v="399"/>
            <x v="400"/>
          </reference>
        </references>
      </pivotArea>
    </format>
    <format dxfId="662">
      <pivotArea dataOnly="0" labelOnly="1" outline="0" fieldPosition="0">
        <references count="1">
          <reference field="2" count="25">
            <x v="401"/>
            <x v="402"/>
            <x v="403"/>
            <x v="404"/>
            <x v="405"/>
            <x v="406"/>
            <x v="407"/>
            <x v="408"/>
            <x v="409"/>
            <x v="410"/>
            <x v="411"/>
            <x v="412"/>
            <x v="413"/>
            <x v="414"/>
            <x v="415"/>
            <x v="416"/>
            <x v="417"/>
            <x v="418"/>
            <x v="419"/>
            <x v="420"/>
            <x v="421"/>
            <x v="422"/>
            <x v="423"/>
            <x v="424"/>
            <x v="425"/>
          </reference>
        </references>
      </pivotArea>
    </format>
    <format dxfId="661">
      <pivotArea dataOnly="0" labelOnly="1" outline="0" fieldPosition="0">
        <references count="1">
          <reference field="2" count="25" defaultSubtotal="1">
            <x v="401"/>
            <x v="402"/>
            <x v="403"/>
            <x v="404"/>
            <x v="405"/>
            <x v="406"/>
            <x v="407"/>
            <x v="408"/>
            <x v="409"/>
            <x v="410"/>
            <x v="411"/>
            <x v="412"/>
            <x v="413"/>
            <x v="414"/>
            <x v="415"/>
            <x v="416"/>
            <x v="417"/>
            <x v="418"/>
            <x v="419"/>
            <x v="420"/>
            <x v="421"/>
            <x v="422"/>
            <x v="423"/>
            <x v="424"/>
            <x v="425"/>
          </reference>
        </references>
      </pivotArea>
    </format>
    <format dxfId="660">
      <pivotArea dataOnly="0" labelOnly="1" outline="0" fieldPosition="0">
        <references count="1">
          <reference field="2" count="12">
            <x v="426"/>
            <x v="427"/>
            <x v="428"/>
            <x v="429"/>
            <x v="430"/>
            <x v="431"/>
            <x v="432"/>
            <x v="433"/>
            <x v="434"/>
            <x v="435"/>
            <x v="436"/>
            <x v="437"/>
          </reference>
        </references>
      </pivotArea>
    </format>
    <format dxfId="659">
      <pivotArea dataOnly="0" labelOnly="1" outline="0" fieldPosition="0">
        <references count="1">
          <reference field="2" count="12" defaultSubtotal="1">
            <x v="426"/>
            <x v="427"/>
            <x v="428"/>
            <x v="429"/>
            <x v="430"/>
            <x v="431"/>
            <x v="432"/>
            <x v="433"/>
            <x v="434"/>
            <x v="435"/>
            <x v="436"/>
            <x v="437"/>
          </reference>
        </references>
      </pivotArea>
    </format>
    <format dxfId="658">
      <pivotArea dataOnly="0" labelOnly="1" grandRow="1" outline="0" fieldPosition="0"/>
    </format>
    <format dxfId="657">
      <pivotArea dataOnly="0" labelOnly="1" outline="0" fieldPosition="0">
        <references count="2">
          <reference field="2" count="1" selected="0">
            <x v="351"/>
          </reference>
          <reference field="3" count="1">
            <x v="272"/>
          </reference>
        </references>
      </pivotArea>
    </format>
    <format dxfId="656">
      <pivotArea dataOnly="0" labelOnly="1" outline="0" fieldPosition="0">
        <references count="2">
          <reference field="2" count="1" selected="0">
            <x v="352"/>
          </reference>
          <reference field="3" count="1">
            <x v="3"/>
          </reference>
        </references>
      </pivotArea>
    </format>
    <format dxfId="655">
      <pivotArea dataOnly="0" labelOnly="1" outline="0" fieldPosition="0">
        <references count="2">
          <reference field="2" count="1" selected="0">
            <x v="353"/>
          </reference>
          <reference field="3" count="1">
            <x v="176"/>
          </reference>
        </references>
      </pivotArea>
    </format>
    <format dxfId="654">
      <pivotArea dataOnly="0" labelOnly="1" outline="0" fieldPosition="0">
        <references count="2">
          <reference field="2" count="1" selected="0">
            <x v="354"/>
          </reference>
          <reference field="3" count="1">
            <x v="10"/>
          </reference>
        </references>
      </pivotArea>
    </format>
    <format dxfId="653">
      <pivotArea dataOnly="0" labelOnly="1" outline="0" fieldPosition="0">
        <references count="2">
          <reference field="2" count="1" selected="0">
            <x v="355"/>
          </reference>
          <reference field="3" count="1">
            <x v="15"/>
          </reference>
        </references>
      </pivotArea>
    </format>
    <format dxfId="652">
      <pivotArea dataOnly="0" labelOnly="1" outline="0" fieldPosition="0">
        <references count="2">
          <reference field="2" count="1" selected="0">
            <x v="356"/>
          </reference>
          <reference field="3" count="1">
            <x v="21"/>
          </reference>
        </references>
      </pivotArea>
    </format>
    <format dxfId="651">
      <pivotArea dataOnly="0" labelOnly="1" outline="0" fieldPosition="0">
        <references count="2">
          <reference field="2" count="1" selected="0">
            <x v="357"/>
          </reference>
          <reference field="3" count="1">
            <x v="26"/>
          </reference>
        </references>
      </pivotArea>
    </format>
    <format dxfId="650">
      <pivotArea dataOnly="0" labelOnly="1" outline="0" fieldPosition="0">
        <references count="2">
          <reference field="2" count="1" selected="0">
            <x v="358"/>
          </reference>
          <reference field="3" count="1">
            <x v="35"/>
          </reference>
        </references>
      </pivotArea>
    </format>
    <format dxfId="649">
      <pivotArea dataOnly="0" labelOnly="1" outline="0" fieldPosition="0">
        <references count="2">
          <reference field="2" count="1" selected="0">
            <x v="359"/>
          </reference>
          <reference field="3" count="1">
            <x v="37"/>
          </reference>
        </references>
      </pivotArea>
    </format>
    <format dxfId="648">
      <pivotArea dataOnly="0" labelOnly="1" outline="0" fieldPosition="0">
        <references count="2">
          <reference field="2" count="1" selected="0">
            <x v="360"/>
          </reference>
          <reference field="3" count="1">
            <x v="42"/>
          </reference>
        </references>
      </pivotArea>
    </format>
    <format dxfId="647">
      <pivotArea dataOnly="0" labelOnly="1" outline="0" fieldPosition="0">
        <references count="2">
          <reference field="2" count="1" selected="0">
            <x v="361"/>
          </reference>
          <reference field="3" count="1">
            <x v="55"/>
          </reference>
        </references>
      </pivotArea>
    </format>
    <format dxfId="646">
      <pivotArea dataOnly="0" labelOnly="1" outline="0" fieldPosition="0">
        <references count="2">
          <reference field="2" count="1" selected="0">
            <x v="362"/>
          </reference>
          <reference field="3" count="1">
            <x v="78"/>
          </reference>
        </references>
      </pivotArea>
    </format>
    <format dxfId="645">
      <pivotArea dataOnly="0" labelOnly="1" outline="0" fieldPosition="0">
        <references count="2">
          <reference field="2" count="1" selected="0">
            <x v="363"/>
          </reference>
          <reference field="3" count="1">
            <x v="69"/>
          </reference>
        </references>
      </pivotArea>
    </format>
    <format dxfId="644">
      <pivotArea dataOnly="0" labelOnly="1" outline="0" fieldPosition="0">
        <references count="2">
          <reference field="2" count="1" selected="0">
            <x v="364"/>
          </reference>
          <reference field="3" count="1">
            <x v="86"/>
          </reference>
        </references>
      </pivotArea>
    </format>
    <format dxfId="643">
      <pivotArea dataOnly="0" labelOnly="1" outline="0" fieldPosition="0">
        <references count="2">
          <reference field="2" count="1" selected="0">
            <x v="365"/>
          </reference>
          <reference field="3" count="1">
            <x v="95"/>
          </reference>
        </references>
      </pivotArea>
    </format>
    <format dxfId="642">
      <pivotArea dataOnly="0" labelOnly="1" outline="0" fieldPosition="0">
        <references count="2">
          <reference field="2" count="1" selected="0">
            <x v="366"/>
          </reference>
          <reference field="3" count="1">
            <x v="97"/>
          </reference>
        </references>
      </pivotArea>
    </format>
    <format dxfId="641">
      <pivotArea dataOnly="0" labelOnly="1" outline="0" fieldPosition="0">
        <references count="2">
          <reference field="2" count="1" selected="0">
            <x v="367"/>
          </reference>
          <reference field="3" count="1">
            <x v="100"/>
          </reference>
        </references>
      </pivotArea>
    </format>
    <format dxfId="640">
      <pivotArea dataOnly="0" labelOnly="1" outline="0" fieldPosition="0">
        <references count="2">
          <reference field="2" count="1" selected="0">
            <x v="368"/>
          </reference>
          <reference field="3" count="1">
            <x v="103"/>
          </reference>
        </references>
      </pivotArea>
    </format>
    <format dxfId="639">
      <pivotArea dataOnly="0" labelOnly="1" outline="0" fieldPosition="0">
        <references count="2">
          <reference field="2" count="1" selected="0">
            <x v="369"/>
          </reference>
          <reference field="3" count="1">
            <x v="252"/>
          </reference>
        </references>
      </pivotArea>
    </format>
    <format dxfId="638">
      <pivotArea dataOnly="0" labelOnly="1" outline="0" fieldPosition="0">
        <references count="2">
          <reference field="2" count="1" selected="0">
            <x v="370"/>
          </reference>
          <reference field="3" count="1">
            <x v="121"/>
          </reference>
        </references>
      </pivotArea>
    </format>
    <format dxfId="637">
      <pivotArea dataOnly="0" labelOnly="1" outline="0" fieldPosition="0">
        <references count="2">
          <reference field="2" count="1" selected="0">
            <x v="371"/>
          </reference>
          <reference field="3" count="1">
            <x v="129"/>
          </reference>
        </references>
      </pivotArea>
    </format>
    <format dxfId="636">
      <pivotArea dataOnly="0" labelOnly="1" outline="0" fieldPosition="0">
        <references count="2">
          <reference field="2" count="1" selected="0">
            <x v="372"/>
          </reference>
          <reference field="3" count="1">
            <x v="130"/>
          </reference>
        </references>
      </pivotArea>
    </format>
    <format dxfId="635">
      <pivotArea dataOnly="0" labelOnly="1" outline="0" fieldPosition="0">
        <references count="2">
          <reference field="2" count="1" selected="0">
            <x v="373"/>
          </reference>
          <reference field="3" count="1">
            <x v="132"/>
          </reference>
        </references>
      </pivotArea>
    </format>
    <format dxfId="634">
      <pivotArea dataOnly="0" labelOnly="1" outline="0" fieldPosition="0">
        <references count="2">
          <reference field="2" count="1" selected="0">
            <x v="374"/>
          </reference>
          <reference field="3" count="1">
            <x v="149"/>
          </reference>
        </references>
      </pivotArea>
    </format>
    <format dxfId="633">
      <pivotArea dataOnly="0" labelOnly="1" outline="0" fieldPosition="0">
        <references count="2">
          <reference field="2" count="1" selected="0">
            <x v="375"/>
          </reference>
          <reference field="3" count="1">
            <x v="135"/>
          </reference>
        </references>
      </pivotArea>
    </format>
    <format dxfId="632">
      <pivotArea dataOnly="0" labelOnly="1" outline="0" fieldPosition="0">
        <references count="2">
          <reference field="2" count="1" selected="0">
            <x v="376"/>
          </reference>
          <reference field="3" count="1">
            <x v="154"/>
          </reference>
        </references>
      </pivotArea>
    </format>
    <format dxfId="631">
      <pivotArea dataOnly="0" labelOnly="1" outline="0" fieldPosition="0">
        <references count="2">
          <reference field="2" count="1" selected="0">
            <x v="377"/>
          </reference>
          <reference field="3" count="1">
            <x v="156"/>
          </reference>
        </references>
      </pivotArea>
    </format>
    <format dxfId="630">
      <pivotArea dataOnly="0" labelOnly="1" outline="0" fieldPosition="0">
        <references count="2">
          <reference field="2" count="1" selected="0">
            <x v="378"/>
          </reference>
          <reference field="3" count="1">
            <x v="157"/>
          </reference>
        </references>
      </pivotArea>
    </format>
    <format dxfId="629">
      <pivotArea dataOnly="0" labelOnly="1" outline="0" fieldPosition="0">
        <references count="2">
          <reference field="2" count="1" selected="0">
            <x v="379"/>
          </reference>
          <reference field="3" count="1">
            <x v="166"/>
          </reference>
        </references>
      </pivotArea>
    </format>
    <format dxfId="628">
      <pivotArea dataOnly="0" labelOnly="1" outline="0" fieldPosition="0">
        <references count="2">
          <reference field="2" count="1" selected="0">
            <x v="380"/>
          </reference>
          <reference field="3" count="1">
            <x v="184"/>
          </reference>
        </references>
      </pivotArea>
    </format>
    <format dxfId="627">
      <pivotArea dataOnly="0" labelOnly="1" outline="0" fieldPosition="0">
        <references count="2">
          <reference field="2" count="1" selected="0">
            <x v="381"/>
          </reference>
          <reference field="3" count="1">
            <x v="198"/>
          </reference>
        </references>
      </pivotArea>
    </format>
    <format dxfId="626">
      <pivotArea dataOnly="0" labelOnly="1" outline="0" fieldPosition="0">
        <references count="2">
          <reference field="2" count="1" selected="0">
            <x v="382"/>
          </reference>
          <reference field="3" count="1">
            <x v="208"/>
          </reference>
        </references>
      </pivotArea>
    </format>
    <format dxfId="625">
      <pivotArea dataOnly="0" labelOnly="1" outline="0" fieldPosition="0">
        <references count="2">
          <reference field="2" count="1" selected="0">
            <x v="383"/>
          </reference>
          <reference field="3" count="1">
            <x v="214"/>
          </reference>
        </references>
      </pivotArea>
    </format>
    <format dxfId="624">
      <pivotArea dataOnly="0" labelOnly="1" outline="0" fieldPosition="0">
        <references count="2">
          <reference field="2" count="1" selected="0">
            <x v="384"/>
          </reference>
          <reference field="3" count="1">
            <x v="215"/>
          </reference>
        </references>
      </pivotArea>
    </format>
    <format dxfId="623">
      <pivotArea dataOnly="0" labelOnly="1" outline="0" fieldPosition="0">
        <references count="2">
          <reference field="2" count="1" selected="0">
            <x v="385"/>
          </reference>
          <reference field="3" count="1">
            <x v="224"/>
          </reference>
        </references>
      </pivotArea>
    </format>
    <format dxfId="622">
      <pivotArea dataOnly="0" labelOnly="1" outline="0" fieldPosition="0">
        <references count="2">
          <reference field="2" count="1" selected="0">
            <x v="386"/>
          </reference>
          <reference field="3" count="1">
            <x v="237"/>
          </reference>
        </references>
      </pivotArea>
    </format>
    <format dxfId="621">
      <pivotArea dataOnly="0" labelOnly="1" outline="0" fieldPosition="0">
        <references count="2">
          <reference field="2" count="1" selected="0">
            <x v="387"/>
          </reference>
          <reference field="3" count="1">
            <x v="244"/>
          </reference>
        </references>
      </pivotArea>
    </format>
    <format dxfId="620">
      <pivotArea dataOnly="0" labelOnly="1" outline="0" fieldPosition="0">
        <references count="2">
          <reference field="2" count="1" selected="0">
            <x v="388"/>
          </reference>
          <reference field="3" count="1">
            <x v="236"/>
          </reference>
        </references>
      </pivotArea>
    </format>
    <format dxfId="619">
      <pivotArea dataOnly="0" labelOnly="1" outline="0" fieldPosition="0">
        <references count="2">
          <reference field="2" count="1" selected="0">
            <x v="389"/>
          </reference>
          <reference field="3" count="1">
            <x v="248"/>
          </reference>
        </references>
      </pivotArea>
    </format>
    <format dxfId="618">
      <pivotArea dataOnly="0" labelOnly="1" outline="0" fieldPosition="0">
        <references count="2">
          <reference field="2" count="1" selected="0">
            <x v="390"/>
          </reference>
          <reference field="3" count="1">
            <x v="249"/>
          </reference>
        </references>
      </pivotArea>
    </format>
    <format dxfId="617">
      <pivotArea dataOnly="0" labelOnly="1" outline="0" fieldPosition="0">
        <references count="2">
          <reference field="2" count="1" selected="0">
            <x v="391"/>
          </reference>
          <reference field="3" count="1">
            <x v="259"/>
          </reference>
        </references>
      </pivotArea>
    </format>
    <format dxfId="616">
      <pivotArea dataOnly="0" labelOnly="1" outline="0" fieldPosition="0">
        <references count="2">
          <reference field="2" count="1" selected="0">
            <x v="392"/>
          </reference>
          <reference field="3" count="1">
            <x v="273"/>
          </reference>
        </references>
      </pivotArea>
    </format>
    <format dxfId="615">
      <pivotArea dataOnly="0" labelOnly="1" outline="0" fieldPosition="0">
        <references count="2">
          <reference field="2" count="1" selected="0">
            <x v="393"/>
          </reference>
          <reference field="3" count="1">
            <x v="269"/>
          </reference>
        </references>
      </pivotArea>
    </format>
    <format dxfId="614">
      <pivotArea dataOnly="0" labelOnly="1" outline="0" fieldPosition="0">
        <references count="2">
          <reference field="2" count="1" selected="0">
            <x v="394"/>
          </reference>
          <reference field="3" count="1">
            <x v="285"/>
          </reference>
        </references>
      </pivotArea>
    </format>
    <format dxfId="613">
      <pivotArea dataOnly="0" labelOnly="1" outline="0" fieldPosition="0">
        <references count="2">
          <reference field="2" count="1" selected="0">
            <x v="395"/>
          </reference>
          <reference field="3" count="1">
            <x v="296"/>
          </reference>
        </references>
      </pivotArea>
    </format>
    <format dxfId="612">
      <pivotArea dataOnly="0" labelOnly="1" outline="0" fieldPosition="0">
        <references count="2">
          <reference field="2" count="1" selected="0">
            <x v="396"/>
          </reference>
          <reference field="3" count="1">
            <x v="301"/>
          </reference>
        </references>
      </pivotArea>
    </format>
    <format dxfId="611">
      <pivotArea dataOnly="0" labelOnly="1" outline="0" fieldPosition="0">
        <references count="2">
          <reference field="2" count="1" selected="0">
            <x v="397"/>
          </reference>
          <reference field="3" count="1">
            <x v="309"/>
          </reference>
        </references>
      </pivotArea>
    </format>
    <format dxfId="610">
      <pivotArea dataOnly="0" labelOnly="1" outline="0" fieldPosition="0">
        <references count="2">
          <reference field="2" count="1" selected="0">
            <x v="398"/>
          </reference>
          <reference field="3" count="1">
            <x v="312"/>
          </reference>
        </references>
      </pivotArea>
    </format>
    <format dxfId="609">
      <pivotArea dataOnly="0" labelOnly="1" outline="0" fieldPosition="0">
        <references count="2">
          <reference field="2" count="1" selected="0">
            <x v="399"/>
          </reference>
          <reference field="3" count="1">
            <x v="343"/>
          </reference>
        </references>
      </pivotArea>
    </format>
    <format dxfId="608">
      <pivotArea dataOnly="0" labelOnly="1" outline="0" fieldPosition="0">
        <references count="2">
          <reference field="2" count="1" selected="0">
            <x v="400"/>
          </reference>
          <reference field="3" count="1">
            <x v="345"/>
          </reference>
        </references>
      </pivotArea>
    </format>
    <format dxfId="607">
      <pivotArea dataOnly="0" labelOnly="1" outline="0" fieldPosition="0">
        <references count="2">
          <reference field="2" count="1" selected="0">
            <x v="401"/>
          </reference>
          <reference field="3" count="1">
            <x v="354"/>
          </reference>
        </references>
      </pivotArea>
    </format>
    <format dxfId="606">
      <pivotArea dataOnly="0" labelOnly="1" outline="0" fieldPosition="0">
        <references count="2">
          <reference field="2" count="1" selected="0">
            <x v="402"/>
          </reference>
          <reference field="3" count="2">
            <x v="357"/>
            <x v="358"/>
          </reference>
        </references>
      </pivotArea>
    </format>
    <format dxfId="605">
      <pivotArea dataOnly="0" labelOnly="1" outline="0" fieldPosition="0">
        <references count="2">
          <reference field="2" count="1" selected="0">
            <x v="403"/>
          </reference>
          <reference field="3" count="1">
            <x v="360"/>
          </reference>
        </references>
      </pivotArea>
    </format>
    <format dxfId="604">
      <pivotArea dataOnly="0" labelOnly="1" outline="0" fieldPosition="0">
        <references count="2">
          <reference field="2" count="1" selected="0">
            <x v="404"/>
          </reference>
          <reference field="3" count="1">
            <x v="374"/>
          </reference>
        </references>
      </pivotArea>
    </format>
    <format dxfId="603">
      <pivotArea dataOnly="0" labelOnly="1" outline="0" fieldPosition="0">
        <references count="2">
          <reference field="2" count="1" selected="0">
            <x v="405"/>
          </reference>
          <reference field="3" count="1">
            <x v="384"/>
          </reference>
        </references>
      </pivotArea>
    </format>
    <format dxfId="602">
      <pivotArea dataOnly="0" labelOnly="1" outline="0" fieldPosition="0">
        <references count="2">
          <reference field="2" count="1" selected="0">
            <x v="406"/>
          </reference>
          <reference field="3" count="1">
            <x v="388"/>
          </reference>
        </references>
      </pivotArea>
    </format>
    <format dxfId="601">
      <pivotArea dataOnly="0" labelOnly="1" outline="0" fieldPosition="0">
        <references count="2">
          <reference field="2" count="1" selected="0">
            <x v="407"/>
          </reference>
          <reference field="3" count="1">
            <x v="392"/>
          </reference>
        </references>
      </pivotArea>
    </format>
    <format dxfId="600">
      <pivotArea dataOnly="0" labelOnly="1" outline="0" fieldPosition="0">
        <references count="2">
          <reference field="2" count="1" selected="0">
            <x v="408"/>
          </reference>
          <reference field="3" count="1">
            <x v="310"/>
          </reference>
        </references>
      </pivotArea>
    </format>
    <format dxfId="599">
      <pivotArea dataOnly="0" labelOnly="1" outline="0" fieldPosition="0">
        <references count="2">
          <reference field="2" count="1" selected="0">
            <x v="409"/>
          </reference>
          <reference field="3" count="1">
            <x v="427"/>
          </reference>
        </references>
      </pivotArea>
    </format>
    <format dxfId="598">
      <pivotArea dataOnly="0" labelOnly="1" outline="0" fieldPosition="0">
        <references count="2">
          <reference field="2" count="1" selected="0">
            <x v="410"/>
          </reference>
          <reference field="3" count="1">
            <x v="19"/>
          </reference>
        </references>
      </pivotArea>
    </format>
    <format dxfId="597">
      <pivotArea dataOnly="0" labelOnly="1" outline="0" fieldPosition="0">
        <references count="2">
          <reference field="2" count="1" selected="0">
            <x v="411"/>
          </reference>
          <reference field="3" count="1">
            <x v="43"/>
          </reference>
        </references>
      </pivotArea>
    </format>
    <format dxfId="596">
      <pivotArea dataOnly="0" labelOnly="1" outline="0" fieldPosition="0">
        <references count="2">
          <reference field="2" count="1" selected="0">
            <x v="412"/>
          </reference>
          <reference field="3" count="1">
            <x v="45"/>
          </reference>
        </references>
      </pivotArea>
    </format>
    <format dxfId="595">
      <pivotArea dataOnly="0" labelOnly="1" outline="0" fieldPosition="0">
        <references count="2">
          <reference field="2" count="1" selected="0">
            <x v="413"/>
          </reference>
          <reference field="3" count="1">
            <x v="58"/>
          </reference>
        </references>
      </pivotArea>
    </format>
    <format dxfId="594">
      <pivotArea dataOnly="0" labelOnly="1" outline="0" fieldPosition="0">
        <references count="2">
          <reference field="2" count="1" selected="0">
            <x v="414"/>
          </reference>
          <reference field="3" count="1">
            <x v="66"/>
          </reference>
        </references>
      </pivotArea>
    </format>
    <format dxfId="593">
      <pivotArea dataOnly="0" labelOnly="1" outline="0" fieldPosition="0">
        <references count="2">
          <reference field="2" count="1" selected="0">
            <x v="415"/>
          </reference>
          <reference field="3" count="1">
            <x v="116"/>
          </reference>
        </references>
      </pivotArea>
    </format>
    <format dxfId="592">
      <pivotArea dataOnly="0" labelOnly="1" outline="0" fieldPosition="0">
        <references count="2">
          <reference field="2" count="1" selected="0">
            <x v="416"/>
          </reference>
          <reference field="3" count="1">
            <x v="127"/>
          </reference>
        </references>
      </pivotArea>
    </format>
    <format dxfId="591">
      <pivotArea dataOnly="0" labelOnly="1" outline="0" fieldPosition="0">
        <references count="2">
          <reference field="2" count="1" selected="0">
            <x v="417"/>
          </reference>
          <reference field="3" count="1">
            <x v="143"/>
          </reference>
        </references>
      </pivotArea>
    </format>
    <format dxfId="590">
      <pivotArea dataOnly="0" labelOnly="1" outline="0" fieldPosition="0">
        <references count="2">
          <reference field="2" count="1" selected="0">
            <x v="418"/>
          </reference>
          <reference field="3" count="1">
            <x v="144"/>
          </reference>
        </references>
      </pivotArea>
    </format>
    <format dxfId="589">
      <pivotArea dataOnly="0" labelOnly="1" outline="0" fieldPosition="0">
        <references count="2">
          <reference field="2" count="1" selected="0">
            <x v="419"/>
          </reference>
          <reference field="3" count="1">
            <x v="146"/>
          </reference>
        </references>
      </pivotArea>
    </format>
    <format dxfId="588">
      <pivotArea dataOnly="0" labelOnly="1" outline="0" fieldPosition="0">
        <references count="2">
          <reference field="2" count="1" selected="0">
            <x v="420"/>
          </reference>
          <reference field="3" count="1">
            <x v="145"/>
          </reference>
        </references>
      </pivotArea>
    </format>
    <format dxfId="587">
      <pivotArea dataOnly="0" labelOnly="1" outline="0" fieldPosition="0">
        <references count="2">
          <reference field="2" count="1" selected="0">
            <x v="421"/>
          </reference>
          <reference field="3" count="1">
            <x v="348"/>
          </reference>
        </references>
      </pivotArea>
    </format>
    <format dxfId="586">
      <pivotArea dataOnly="0" labelOnly="1" outline="0" fieldPosition="0">
        <references count="2">
          <reference field="2" count="1" selected="0">
            <x v="422"/>
          </reference>
          <reference field="3" count="1">
            <x v="235"/>
          </reference>
        </references>
      </pivotArea>
    </format>
    <format dxfId="585">
      <pivotArea dataOnly="0" labelOnly="1" outline="0" fieldPosition="0">
        <references count="2">
          <reference field="2" count="1" selected="0">
            <x v="423"/>
          </reference>
          <reference field="3" count="1">
            <x v="240"/>
          </reference>
        </references>
      </pivotArea>
    </format>
    <format dxfId="584">
      <pivotArea dataOnly="0" labelOnly="1" outline="0" fieldPosition="0">
        <references count="2">
          <reference field="2" count="1" selected="0">
            <x v="424"/>
          </reference>
          <reference field="3" count="1">
            <x v="277"/>
          </reference>
        </references>
      </pivotArea>
    </format>
    <format dxfId="583">
      <pivotArea dataOnly="0" labelOnly="1" outline="0" fieldPosition="0">
        <references count="2">
          <reference field="2" count="1" selected="0">
            <x v="425"/>
          </reference>
          <reference field="3" count="1">
            <x v="250"/>
          </reference>
        </references>
      </pivotArea>
    </format>
    <format dxfId="582">
      <pivotArea dataOnly="0" labelOnly="1" outline="0" fieldPosition="0">
        <references count="2">
          <reference field="2" count="1" selected="0">
            <x v="426"/>
          </reference>
          <reference field="3" count="1">
            <x v="276"/>
          </reference>
        </references>
      </pivotArea>
    </format>
    <format dxfId="581">
      <pivotArea dataOnly="0" labelOnly="1" outline="0" fieldPosition="0">
        <references count="2">
          <reference field="2" count="1" selected="0">
            <x v="427"/>
          </reference>
          <reference field="3" count="1">
            <x v="284"/>
          </reference>
        </references>
      </pivotArea>
    </format>
    <format dxfId="580">
      <pivotArea dataOnly="0" labelOnly="1" outline="0" fieldPosition="0">
        <references count="2">
          <reference field="2" count="1" selected="0">
            <x v="428"/>
          </reference>
          <reference field="3" count="1">
            <x v="291"/>
          </reference>
        </references>
      </pivotArea>
    </format>
    <format dxfId="579">
      <pivotArea dataOnly="0" labelOnly="1" outline="0" fieldPosition="0">
        <references count="2">
          <reference field="2" count="1" selected="0">
            <x v="429"/>
          </reference>
          <reference field="3" count="1">
            <x v="336"/>
          </reference>
        </references>
      </pivotArea>
    </format>
    <format dxfId="578">
      <pivotArea dataOnly="0" labelOnly="1" outline="0" fieldPosition="0">
        <references count="2">
          <reference field="2" count="1" selected="0">
            <x v="430"/>
          </reference>
          <reference field="3" count="1">
            <x v="353"/>
          </reference>
        </references>
      </pivotArea>
    </format>
    <format dxfId="577">
      <pivotArea dataOnly="0" labelOnly="1" outline="0" fieldPosition="0">
        <references count="2">
          <reference field="2" count="1" selected="0">
            <x v="431"/>
          </reference>
          <reference field="3" count="1">
            <x v="349"/>
          </reference>
        </references>
      </pivotArea>
    </format>
    <format dxfId="576">
      <pivotArea dataOnly="0" labelOnly="1" outline="0" fieldPosition="0">
        <references count="2">
          <reference field="2" count="1" selected="0">
            <x v="432"/>
          </reference>
          <reference field="3" count="1">
            <x v="355"/>
          </reference>
        </references>
      </pivotArea>
    </format>
    <format dxfId="575">
      <pivotArea dataOnly="0" labelOnly="1" outline="0" fieldPosition="0">
        <references count="2">
          <reference field="2" count="1" selected="0">
            <x v="433"/>
          </reference>
          <reference field="3" count="1">
            <x v="383"/>
          </reference>
        </references>
      </pivotArea>
    </format>
    <format dxfId="574">
      <pivotArea dataOnly="0" labelOnly="1" outline="0" fieldPosition="0">
        <references count="2">
          <reference field="2" count="1" selected="0">
            <x v="434"/>
          </reference>
          <reference field="3" count="1">
            <x v="389"/>
          </reference>
        </references>
      </pivotArea>
    </format>
    <format dxfId="573">
      <pivotArea dataOnly="0" labelOnly="1" outline="0" fieldPosition="0">
        <references count="2">
          <reference field="2" count="1" selected="0">
            <x v="435"/>
          </reference>
          <reference field="3" count="1">
            <x v="428"/>
          </reference>
        </references>
      </pivotArea>
    </format>
    <format dxfId="572">
      <pivotArea dataOnly="0" labelOnly="1" outline="0" fieldPosition="0">
        <references count="2">
          <reference field="2" count="1" selected="0">
            <x v="436"/>
          </reference>
          <reference field="3" count="1">
            <x v="57"/>
          </reference>
        </references>
      </pivotArea>
    </format>
    <format dxfId="571">
      <pivotArea dataOnly="0" labelOnly="1" outline="0" fieldPosition="0">
        <references count="2">
          <reference field="2" count="1" selected="0">
            <x v="437"/>
          </reference>
          <reference field="3" count="1">
            <x v="264"/>
          </reference>
        </references>
      </pivotArea>
    </format>
    <format dxfId="570">
      <pivotArea dataOnly="0" labelOnly="1" outline="0" fieldPosition="0">
        <references count="3">
          <reference field="0" count="1">
            <x v="209"/>
          </reference>
          <reference field="2" count="1" selected="0">
            <x v="351"/>
          </reference>
          <reference field="3" count="1" selected="0">
            <x v="272"/>
          </reference>
        </references>
      </pivotArea>
    </format>
    <format dxfId="569">
      <pivotArea dataOnly="0" labelOnly="1" outline="0" fieldPosition="0">
        <references count="3">
          <reference field="0" count="2">
            <x v="1"/>
            <x v="36"/>
          </reference>
          <reference field="2" count="1" selected="0">
            <x v="352"/>
          </reference>
          <reference field="3" count="1" selected="0">
            <x v="3"/>
          </reference>
        </references>
      </pivotArea>
    </format>
    <format dxfId="568">
      <pivotArea dataOnly="0" labelOnly="1" outline="0" fieldPosition="0">
        <references count="3">
          <reference field="0" count="2">
            <x v="3"/>
            <x v="57"/>
          </reference>
          <reference field="2" count="1" selected="0">
            <x v="353"/>
          </reference>
          <reference field="3" count="1" selected="0">
            <x v="176"/>
          </reference>
        </references>
      </pivotArea>
    </format>
    <format dxfId="567">
      <pivotArea dataOnly="0" labelOnly="1" outline="0" fieldPosition="0">
        <references count="3">
          <reference field="0" count="4">
            <x v="7"/>
            <x v="153"/>
            <x v="229"/>
            <x v="271"/>
          </reference>
          <reference field="2" count="1" selected="0">
            <x v="354"/>
          </reference>
          <reference field="3" count="1" selected="0">
            <x v="10"/>
          </reference>
        </references>
      </pivotArea>
    </format>
    <format dxfId="566">
      <pivotArea dataOnly="0" labelOnly="1" outline="0" fieldPosition="0">
        <references count="3">
          <reference field="0" count="2">
            <x v="10"/>
            <x v="327"/>
          </reference>
          <reference field="2" count="1" selected="0">
            <x v="355"/>
          </reference>
          <reference field="3" count="1" selected="0">
            <x v="15"/>
          </reference>
        </references>
      </pivotArea>
    </format>
    <format dxfId="565">
      <pivotArea dataOnly="0" labelOnly="1" outline="0" fieldPosition="0">
        <references count="3">
          <reference field="0" count="2">
            <x v="14"/>
            <x v="254"/>
          </reference>
          <reference field="2" count="1" selected="0">
            <x v="356"/>
          </reference>
          <reference field="3" count="1" selected="0">
            <x v="21"/>
          </reference>
        </references>
      </pivotArea>
    </format>
    <format dxfId="564">
      <pivotArea dataOnly="0" labelOnly="1" outline="0" fieldPosition="0">
        <references count="3">
          <reference field="0" count="2">
            <x v="18"/>
            <x v="269"/>
          </reference>
          <reference field="2" count="1" selected="0">
            <x v="357"/>
          </reference>
          <reference field="3" count="1" selected="0">
            <x v="26"/>
          </reference>
        </references>
      </pivotArea>
    </format>
    <format dxfId="563">
      <pivotArea dataOnly="0" labelOnly="1" outline="0" fieldPosition="0">
        <references count="3">
          <reference field="0" count="3">
            <x v="112"/>
            <x v="282"/>
            <x v="332"/>
          </reference>
          <reference field="2" count="1" selected="0">
            <x v="358"/>
          </reference>
          <reference field="3" count="1" selected="0">
            <x v="35"/>
          </reference>
        </references>
      </pivotArea>
    </format>
    <format dxfId="562">
      <pivotArea dataOnly="0" labelOnly="1" outline="0" fieldPosition="0">
        <references count="3">
          <reference field="0" count="2">
            <x v="27"/>
            <x v="38"/>
          </reference>
          <reference field="2" count="1" selected="0">
            <x v="359"/>
          </reference>
          <reference field="3" count="1" selected="0">
            <x v="37"/>
          </reference>
        </references>
      </pivotArea>
    </format>
    <format dxfId="561">
      <pivotArea dataOnly="0" labelOnly="1" outline="0" fieldPosition="0">
        <references count="3">
          <reference field="0" count="2">
            <x v="31"/>
            <x v="187"/>
          </reference>
          <reference field="2" count="1" selected="0">
            <x v="360"/>
          </reference>
          <reference field="3" count="1" selected="0">
            <x v="42"/>
          </reference>
        </references>
      </pivotArea>
    </format>
    <format dxfId="560">
      <pivotArea dataOnly="0" labelOnly="1" outline="0" fieldPosition="0">
        <references count="3">
          <reference field="0" count="2">
            <x v="41"/>
            <x v="244"/>
          </reference>
          <reference field="2" count="1" selected="0">
            <x v="361"/>
          </reference>
          <reference field="3" count="1" selected="0">
            <x v="55"/>
          </reference>
        </references>
      </pivotArea>
    </format>
    <format dxfId="559">
      <pivotArea dataOnly="0" labelOnly="1" outline="0" fieldPosition="0">
        <references count="3">
          <reference field="0" count="2">
            <x v="59"/>
            <x v="107"/>
          </reference>
          <reference field="2" count="1" selected="0">
            <x v="362"/>
          </reference>
          <reference field="3" count="1" selected="0">
            <x v="78"/>
          </reference>
        </references>
      </pivotArea>
    </format>
    <format dxfId="558">
      <pivotArea dataOnly="0" labelOnly="1" outline="0" fieldPosition="0">
        <references count="3">
          <reference field="0" count="7">
            <x v="21"/>
            <x v="68"/>
            <x v="69"/>
            <x v="131"/>
            <x v="232"/>
            <x v="312"/>
            <x v="344"/>
          </reference>
          <reference field="2" count="1" selected="0">
            <x v="363"/>
          </reference>
          <reference field="3" count="1" selected="0">
            <x v="69"/>
          </reference>
        </references>
      </pivotArea>
    </format>
    <format dxfId="557">
      <pivotArea dataOnly="0" labelOnly="1" outline="0" fieldPosition="0">
        <references count="3">
          <reference field="0" count="2">
            <x v="50"/>
            <x v="66"/>
          </reference>
          <reference field="2" count="1" selected="0">
            <x v="364"/>
          </reference>
          <reference field="3" count="1" selected="0">
            <x v="86"/>
          </reference>
        </references>
      </pivotArea>
    </format>
    <format dxfId="556">
      <pivotArea dataOnly="0" labelOnly="1" outline="0" fieldPosition="0">
        <references count="3">
          <reference field="0" count="2">
            <x v="74"/>
            <x v="350"/>
          </reference>
          <reference field="2" count="1" selected="0">
            <x v="365"/>
          </reference>
          <reference field="3" count="1" selected="0">
            <x v="95"/>
          </reference>
        </references>
      </pivotArea>
    </format>
    <format dxfId="555">
      <pivotArea dataOnly="0" labelOnly="1" outline="0" fieldPosition="0">
        <references count="3">
          <reference field="0" count="2">
            <x v="75"/>
            <x v="246"/>
          </reference>
          <reference field="2" count="1" selected="0">
            <x v="366"/>
          </reference>
          <reference field="3" count="1" selected="0">
            <x v="97"/>
          </reference>
        </references>
      </pivotArea>
    </format>
    <format dxfId="554">
      <pivotArea dataOnly="0" labelOnly="1" outline="0" fieldPosition="0">
        <references count="3">
          <reference field="0" count="2">
            <x v="77"/>
            <x v="268"/>
          </reference>
          <reference field="2" count="1" selected="0">
            <x v="367"/>
          </reference>
          <reference field="3" count="1" selected="0">
            <x v="100"/>
          </reference>
        </references>
      </pivotArea>
    </format>
    <format dxfId="553">
      <pivotArea dataOnly="0" labelOnly="1" outline="0" fieldPosition="0">
        <references count="3">
          <reference field="0" count="2">
            <x v="53"/>
            <x v="79"/>
          </reference>
          <reference field="2" count="1" selected="0">
            <x v="368"/>
          </reference>
          <reference field="3" count="1" selected="0">
            <x v="103"/>
          </reference>
        </references>
      </pivotArea>
    </format>
    <format dxfId="552">
      <pivotArea dataOnly="0" labelOnly="1" outline="0" fieldPosition="0">
        <references count="3">
          <reference field="0" count="4">
            <x v="40"/>
            <x v="84"/>
            <x v="223"/>
            <x v="317"/>
          </reference>
          <reference field="2" count="1" selected="0">
            <x v="369"/>
          </reference>
          <reference field="3" count="1" selected="0">
            <x v="252"/>
          </reference>
        </references>
      </pivotArea>
    </format>
    <format dxfId="551">
      <pivotArea dataOnly="0" labelOnly="1" outline="0" fieldPosition="0">
        <references count="3">
          <reference field="0" count="2">
            <x v="224"/>
            <x v="259"/>
          </reference>
          <reference field="2" count="1" selected="0">
            <x v="370"/>
          </reference>
          <reference field="3" count="1" selected="0">
            <x v="121"/>
          </reference>
        </references>
      </pivotArea>
    </format>
    <format dxfId="550">
      <pivotArea dataOnly="0" labelOnly="1" outline="0" fieldPosition="0">
        <references count="3">
          <reference field="0" count="2">
            <x v="101"/>
            <x v="145"/>
          </reference>
          <reference field="2" count="1" selected="0">
            <x v="371"/>
          </reference>
          <reference field="3" count="1" selected="0">
            <x v="129"/>
          </reference>
        </references>
      </pivotArea>
    </format>
    <format dxfId="549">
      <pivotArea dataOnly="0" labelOnly="1" outline="0" fieldPosition="0">
        <references count="3">
          <reference field="0" count="4">
            <x v="67"/>
            <x v="73"/>
            <x v="288"/>
            <x v="336"/>
          </reference>
          <reference field="2" count="1" selected="0">
            <x v="372"/>
          </reference>
          <reference field="3" count="1" selected="0">
            <x v="130"/>
          </reference>
        </references>
      </pivotArea>
    </format>
    <format dxfId="548">
      <pivotArea dataOnly="0" labelOnly="1" outline="0" fieldPosition="0">
        <references count="3">
          <reference field="0" count="6">
            <x v="32"/>
            <x v="58"/>
            <x v="142"/>
            <x v="182"/>
            <x v="193"/>
            <x v="255"/>
          </reference>
          <reference field="2" count="1" selected="0">
            <x v="373"/>
          </reference>
          <reference field="3" count="1" selected="0">
            <x v="132"/>
          </reference>
        </references>
      </pivotArea>
    </format>
    <format dxfId="547">
      <pivotArea dataOnly="0" labelOnly="1" outline="0" fieldPosition="0">
        <references count="3">
          <reference field="0" count="2">
            <x v="80"/>
            <x v="114"/>
          </reference>
          <reference field="2" count="1" selected="0">
            <x v="374"/>
          </reference>
          <reference field="3" count="1" selected="0">
            <x v="149"/>
          </reference>
        </references>
      </pivotArea>
    </format>
    <format dxfId="546">
      <pivotArea dataOnly="0" labelOnly="1" outline="0" fieldPosition="0">
        <references count="3">
          <reference field="0" count="2">
            <x v="105"/>
            <x v="191"/>
          </reference>
          <reference field="2" count="1" selected="0">
            <x v="375"/>
          </reference>
          <reference field="3" count="1" selected="0">
            <x v="135"/>
          </reference>
        </references>
      </pivotArea>
    </format>
    <format dxfId="545">
      <pivotArea dataOnly="0" labelOnly="1" outline="0" fieldPosition="0">
        <references count="3">
          <reference field="0" count="2">
            <x v="118"/>
            <x v="319"/>
          </reference>
          <reference field="2" count="1" selected="0">
            <x v="376"/>
          </reference>
          <reference field="3" count="1" selected="0">
            <x v="154"/>
          </reference>
        </references>
      </pivotArea>
    </format>
    <format dxfId="544">
      <pivotArea dataOnly="0" labelOnly="1" outline="0" fieldPosition="0">
        <references count="3">
          <reference field="0" count="2">
            <x v="119"/>
            <x v="338"/>
          </reference>
          <reference field="2" count="1" selected="0">
            <x v="377"/>
          </reference>
          <reference field="3" count="1" selected="0">
            <x v="156"/>
          </reference>
        </references>
      </pivotArea>
    </format>
    <format dxfId="543">
      <pivotArea dataOnly="0" labelOnly="1" outline="0" fieldPosition="0">
        <references count="3">
          <reference field="0" count="5">
            <x v="59"/>
            <x v="107"/>
            <x v="274"/>
            <x v="326"/>
            <x v="339"/>
          </reference>
          <reference field="2" count="1" selected="0">
            <x v="378"/>
          </reference>
          <reference field="3" count="1" selected="0">
            <x v="157"/>
          </reference>
        </references>
      </pivotArea>
    </format>
    <format dxfId="542">
      <pivotArea dataOnly="0" labelOnly="1" outline="0" fieldPosition="0">
        <references count="3">
          <reference field="0" count="2">
            <x v="52"/>
            <x v="128"/>
          </reference>
          <reference field="2" count="1" selected="0">
            <x v="379"/>
          </reference>
          <reference field="3" count="1" selected="0">
            <x v="166"/>
          </reference>
        </references>
      </pivotArea>
    </format>
    <format dxfId="541">
      <pivotArea dataOnly="0" labelOnly="1" outline="0" fieldPosition="0">
        <references count="3">
          <reference field="0" count="3">
            <x v="207"/>
            <x v="237"/>
            <x v="349"/>
          </reference>
          <reference field="2" count="1" selected="0">
            <x v="380"/>
          </reference>
          <reference field="3" count="1" selected="0">
            <x v="184"/>
          </reference>
        </references>
      </pivotArea>
    </format>
    <format dxfId="540">
      <pivotArea dataOnly="0" labelOnly="1" outline="0" fieldPosition="0">
        <references count="3">
          <reference field="0" count="2">
            <x v="156"/>
            <x v="287"/>
          </reference>
          <reference field="2" count="1" selected="0">
            <x v="381"/>
          </reference>
          <reference field="3" count="1" selected="0">
            <x v="198"/>
          </reference>
        </references>
      </pivotArea>
    </format>
    <format dxfId="539">
      <pivotArea dataOnly="0" labelOnly="1" outline="0" fieldPosition="0">
        <references count="3">
          <reference field="0" count="2">
            <x v="91"/>
            <x v="165"/>
          </reference>
          <reference field="2" count="1" selected="0">
            <x v="382"/>
          </reference>
          <reference field="3" count="1" selected="0">
            <x v="208"/>
          </reference>
        </references>
      </pivotArea>
    </format>
    <format dxfId="538">
      <pivotArea dataOnly="0" labelOnly="1" outline="0" fieldPosition="0">
        <references count="3">
          <reference field="0" count="6">
            <x v="61"/>
            <x v="88"/>
            <x v="103"/>
            <x v="220"/>
            <x v="295"/>
            <x v="333"/>
          </reference>
          <reference field="2" count="1" selected="0">
            <x v="383"/>
          </reference>
          <reference field="3" count="1" selected="0">
            <x v="214"/>
          </reference>
        </references>
      </pivotArea>
    </format>
    <format dxfId="537">
      <pivotArea dataOnly="0" labelOnly="1" outline="0" fieldPosition="0">
        <references count="3">
          <reference field="0" count="3">
            <x v="37"/>
            <x v="183"/>
            <x v="297"/>
          </reference>
          <reference field="2" count="1" selected="0">
            <x v="384"/>
          </reference>
          <reference field="3" count="1" selected="0">
            <x v="215"/>
          </reference>
        </references>
      </pivotArea>
    </format>
    <format dxfId="536">
      <pivotArea dataOnly="0" labelOnly="1" outline="0" fieldPosition="0">
        <references count="3">
          <reference field="0" count="2">
            <x v="178"/>
            <x v="302"/>
          </reference>
          <reference field="2" count="1" selected="0">
            <x v="385"/>
          </reference>
          <reference field="3" count="1" selected="0">
            <x v="224"/>
          </reference>
        </references>
      </pivotArea>
    </format>
    <format dxfId="535">
      <pivotArea dataOnly="0" labelOnly="1" outline="0" fieldPosition="0">
        <references count="3">
          <reference field="0" count="2">
            <x v="54"/>
            <x v="125"/>
          </reference>
          <reference field="2" count="1" selected="0">
            <x v="386"/>
          </reference>
          <reference field="3" count="1" selected="0">
            <x v="237"/>
          </reference>
        </references>
      </pivotArea>
    </format>
    <format dxfId="534">
      <pivotArea dataOnly="0" labelOnly="1" outline="0" fieldPosition="0">
        <references count="3">
          <reference field="0" count="2">
            <x v="147"/>
            <x v="340"/>
          </reference>
          <reference field="2" count="1" selected="0">
            <x v="387"/>
          </reference>
          <reference field="3" count="1" selected="0">
            <x v="244"/>
          </reference>
        </references>
      </pivotArea>
    </format>
    <format dxfId="533">
      <pivotArea dataOnly="0" labelOnly="1" outline="0" fieldPosition="0">
        <references count="3">
          <reference field="0" count="8">
            <x v="12"/>
            <x v="46"/>
            <x v="52"/>
            <x v="65"/>
            <x v="128"/>
            <x v="129"/>
            <x v="236"/>
            <x v="267"/>
          </reference>
          <reference field="2" count="1" selected="0">
            <x v="388"/>
          </reference>
          <reference field="3" count="1" selected="0">
            <x v="236"/>
          </reference>
        </references>
      </pivotArea>
    </format>
    <format dxfId="532">
      <pivotArea dataOnly="0" labelOnly="1" outline="0" fieldPosition="0">
        <references count="3">
          <reference field="0" count="2">
            <x v="234"/>
            <x v="293"/>
          </reference>
          <reference field="2" count="1" selected="0">
            <x v="389"/>
          </reference>
          <reference field="3" count="1" selected="0">
            <x v="248"/>
          </reference>
        </references>
      </pivotArea>
    </format>
    <format dxfId="531">
      <pivotArea dataOnly="0" labelOnly="1" outline="0" fieldPosition="0">
        <references count="3">
          <reference field="0" count="3">
            <x v="33"/>
            <x v="146"/>
            <x v="285"/>
          </reference>
          <reference field="2" count="1" selected="0">
            <x v="390"/>
          </reference>
          <reference field="3" count="1" selected="0">
            <x v="249"/>
          </reference>
        </references>
      </pivotArea>
    </format>
    <format dxfId="530">
      <pivotArea dataOnly="0" labelOnly="1" outline="0" fieldPosition="0">
        <references count="3">
          <reference field="0" count="2">
            <x v="205"/>
            <x v="318"/>
          </reference>
          <reference field="2" count="1" selected="0">
            <x v="391"/>
          </reference>
          <reference field="3" count="1" selected="0">
            <x v="259"/>
          </reference>
        </references>
      </pivotArea>
    </format>
    <format dxfId="529">
      <pivotArea dataOnly="0" labelOnly="1" outline="0" fieldPosition="0">
        <references count="3">
          <reference field="0" count="2">
            <x v="212"/>
            <x v="275"/>
          </reference>
          <reference field="2" count="1" selected="0">
            <x v="392"/>
          </reference>
          <reference field="3" count="1" selected="0">
            <x v="273"/>
          </reference>
        </references>
      </pivotArea>
    </format>
    <format dxfId="528">
      <pivotArea dataOnly="0" labelOnly="1" outline="0" fieldPosition="0">
        <references count="3">
          <reference field="0" count="3">
            <x v="11"/>
            <x v="231"/>
            <x v="298"/>
          </reference>
          <reference field="2" count="1" selected="0">
            <x v="393"/>
          </reference>
          <reference field="3" count="1" selected="0">
            <x v="269"/>
          </reference>
        </references>
      </pivotArea>
    </format>
    <format dxfId="527">
      <pivotArea dataOnly="0" labelOnly="1" outline="0" fieldPosition="0">
        <references count="3">
          <reference field="0" count="3">
            <x v="168"/>
            <x v="172"/>
            <x v="249"/>
          </reference>
          <reference field="2" count="1" selected="0">
            <x v="394"/>
          </reference>
          <reference field="3" count="1" selected="0">
            <x v="285"/>
          </reference>
        </references>
      </pivotArea>
    </format>
    <format dxfId="526">
      <pivotArea dataOnly="0" labelOnly="1" outline="0" fieldPosition="0">
        <references count="3">
          <reference field="0" count="3">
            <x v="115"/>
            <x v="179"/>
            <x v="328"/>
          </reference>
          <reference field="2" count="1" selected="0">
            <x v="395"/>
          </reference>
          <reference field="3" count="1" selected="0">
            <x v="296"/>
          </reference>
        </references>
      </pivotArea>
    </format>
    <format dxfId="525">
      <pivotArea dataOnly="0" labelOnly="1" outline="0" fieldPosition="0">
        <references count="3">
          <reference field="0" count="3">
            <x v="28"/>
            <x v="155"/>
            <x v="215"/>
          </reference>
          <reference field="2" count="1" selected="0">
            <x v="396"/>
          </reference>
          <reference field="3" count="1" selected="0">
            <x v="301"/>
          </reference>
        </references>
      </pivotArea>
    </format>
    <format dxfId="524">
      <pivotArea dataOnly="0" labelOnly="1" outline="0" fieldPosition="0">
        <references count="3">
          <reference field="0" count="5">
            <x v="20"/>
            <x v="123"/>
            <x v="139"/>
            <x v="201"/>
            <x v="221"/>
          </reference>
          <reference field="2" count="1" selected="0">
            <x v="397"/>
          </reference>
          <reference field="3" count="1" selected="0">
            <x v="309"/>
          </reference>
        </references>
      </pivotArea>
    </format>
    <format dxfId="523">
      <pivotArea dataOnly="0" labelOnly="1" outline="0" fieldPosition="0">
        <references count="3">
          <reference field="0" count="4">
            <x v="205"/>
            <x v="222"/>
            <x v="233"/>
            <x v="318"/>
          </reference>
          <reference field="2" count="1" selected="0">
            <x v="398"/>
          </reference>
          <reference field="3" count="1" selected="0">
            <x v="312"/>
          </reference>
        </references>
      </pivotArea>
    </format>
    <format dxfId="522">
      <pivotArea dataOnly="0" labelOnly="1" outline="0" fieldPosition="0">
        <references count="3">
          <reference field="0" count="3">
            <x v="117"/>
            <x v="144"/>
            <x v="239"/>
          </reference>
          <reference field="2" count="1" selected="0">
            <x v="399"/>
          </reference>
          <reference field="3" count="1" selected="0">
            <x v="343"/>
          </reference>
        </references>
      </pivotArea>
    </format>
    <format dxfId="521">
      <pivotArea dataOnly="0" labelOnly="1" outline="0" fieldPosition="0">
        <references count="3">
          <reference field="0" count="2">
            <x v="26"/>
            <x v="272"/>
          </reference>
          <reference field="2" count="1" selected="0">
            <x v="400"/>
          </reference>
          <reference field="3" count="1" selected="0">
            <x v="345"/>
          </reference>
        </references>
      </pivotArea>
    </format>
    <format dxfId="520">
      <pivotArea dataOnly="0" labelOnly="1" outline="0" fieldPosition="0">
        <references count="3">
          <reference field="0" count="5">
            <x v="5"/>
            <x v="89"/>
            <x v="192"/>
            <x v="204"/>
            <x v="266"/>
          </reference>
          <reference field="2" count="1" selected="0">
            <x v="401"/>
          </reference>
          <reference field="3" count="1" selected="0">
            <x v="354"/>
          </reference>
        </references>
      </pivotArea>
    </format>
    <format dxfId="519">
      <pivotArea dataOnly="0" labelOnly="1" outline="0" fieldPosition="0">
        <references count="3">
          <reference field="0" count="2">
            <x v="278"/>
            <x v="296"/>
          </reference>
          <reference field="2" count="1" selected="0">
            <x v="402"/>
          </reference>
          <reference field="3" count="1" selected="0">
            <x v="357"/>
          </reference>
        </references>
      </pivotArea>
    </format>
    <format dxfId="518">
      <pivotArea dataOnly="0" labelOnly="1" outline="0" fieldPosition="0">
        <references count="3">
          <reference field="0" count="1">
            <x v="111"/>
          </reference>
          <reference field="2" count="1" selected="0">
            <x v="402"/>
          </reference>
          <reference field="3" count="1" selected="0">
            <x v="358"/>
          </reference>
        </references>
      </pivotArea>
    </format>
    <format dxfId="517">
      <pivotArea dataOnly="0" labelOnly="1" outline="0" fieldPosition="0">
        <references count="3">
          <reference field="0" count="2">
            <x v="83"/>
            <x v="279"/>
          </reference>
          <reference field="2" count="1" selected="0">
            <x v="403"/>
          </reference>
          <reference field="3" count="1" selected="0">
            <x v="360"/>
          </reference>
        </references>
      </pivotArea>
    </format>
    <format dxfId="516">
      <pivotArea dataOnly="0" labelOnly="1" outline="0" fieldPosition="0">
        <references count="3">
          <reference field="0" count="5">
            <x v="42"/>
            <x v="44"/>
            <x v="134"/>
            <x v="286"/>
            <x v="305"/>
          </reference>
          <reference field="2" count="1" selected="0">
            <x v="404"/>
          </reference>
          <reference field="3" count="1" selected="0">
            <x v="374"/>
          </reference>
        </references>
      </pivotArea>
    </format>
    <format dxfId="515">
      <pivotArea dataOnly="0" labelOnly="1" outline="0" fieldPosition="0">
        <references count="3">
          <reference field="0" count="3">
            <x v="202"/>
            <x v="253"/>
            <x v="258"/>
          </reference>
          <reference field="2" count="1" selected="0">
            <x v="405"/>
          </reference>
          <reference field="3" count="1" selected="0">
            <x v="384"/>
          </reference>
        </references>
      </pivotArea>
    </format>
    <format dxfId="514">
      <pivotArea dataOnly="0" labelOnly="1" outline="0" fieldPosition="0">
        <references count="3">
          <reference field="0" count="3">
            <x v="61"/>
            <x v="103"/>
            <x v="333"/>
          </reference>
          <reference field="2" count="1" selected="0">
            <x v="406"/>
          </reference>
          <reference field="3" count="1" selected="0">
            <x v="388"/>
          </reference>
        </references>
      </pivotArea>
    </format>
    <format dxfId="513">
      <pivotArea dataOnly="0" labelOnly="1" outline="0" fieldPosition="0">
        <references count="3">
          <reference field="0" count="5">
            <x v="133"/>
            <x v="227"/>
            <x v="240"/>
            <x v="256"/>
            <x v="281"/>
          </reference>
          <reference field="2" count="1" selected="0">
            <x v="407"/>
          </reference>
          <reference field="3" count="1" selected="0">
            <x v="392"/>
          </reference>
        </references>
      </pivotArea>
    </format>
    <format dxfId="512">
      <pivotArea dataOnly="0" labelOnly="1" outline="0" fieldPosition="0">
        <references count="3">
          <reference field="0" count="2">
            <x v="310"/>
            <x v="323"/>
          </reference>
          <reference field="2" count="1" selected="0">
            <x v="408"/>
          </reference>
          <reference field="3" count="1" selected="0">
            <x v="310"/>
          </reference>
        </references>
      </pivotArea>
    </format>
    <format dxfId="511">
      <pivotArea dataOnly="0" labelOnly="1" outline="0" fieldPosition="0">
        <references count="3">
          <reference field="0" count="2">
            <x v="122"/>
            <x v="337"/>
          </reference>
          <reference field="2" count="1" selected="0">
            <x v="409"/>
          </reference>
          <reference field="3" count="1" selected="0">
            <x v="427"/>
          </reference>
        </references>
      </pivotArea>
    </format>
    <format dxfId="510">
      <pivotArea dataOnly="0" labelOnly="1" outline="0" fieldPosition="0">
        <references count="3">
          <reference field="0" count="7">
            <x v="27"/>
            <x v="140"/>
            <x v="169"/>
            <x v="173"/>
            <x v="212"/>
            <x v="275"/>
            <x v="320"/>
          </reference>
          <reference field="2" count="1" selected="0">
            <x v="410"/>
          </reference>
          <reference field="3" count="1" selected="0">
            <x v="19"/>
          </reference>
        </references>
      </pivotArea>
    </format>
    <format dxfId="509">
      <pivotArea dataOnly="0" labelOnly="1" outline="0" fieldPosition="0">
        <references count="3">
          <reference field="0" count="13">
            <x v="24"/>
            <x v="31"/>
            <x v="76"/>
            <x v="109"/>
            <x v="137"/>
            <x v="178"/>
            <x v="184"/>
            <x v="185"/>
            <x v="187"/>
            <x v="213"/>
            <x v="289"/>
            <x v="302"/>
            <x v="303"/>
          </reference>
          <reference field="2" count="1" selected="0">
            <x v="411"/>
          </reference>
          <reference field="3" count="1" selected="0">
            <x v="43"/>
          </reference>
        </references>
      </pivotArea>
    </format>
    <format dxfId="508">
      <pivotArea dataOnly="0" labelOnly="1" outline="0" fieldPosition="0">
        <references count="3">
          <reference field="0" count="9">
            <x v="17"/>
            <x v="39"/>
            <x v="49"/>
            <x v="72"/>
            <x v="132"/>
            <x v="188"/>
            <x v="219"/>
            <x v="243"/>
            <x v="334"/>
          </reference>
          <reference field="2" count="1" selected="0">
            <x v="412"/>
          </reference>
          <reference field="3" count="1" selected="0">
            <x v="45"/>
          </reference>
        </references>
      </pivotArea>
    </format>
    <format dxfId="507">
      <pivotArea dataOnly="0" labelOnly="1" outline="0" fieldPosition="0">
        <references count="3">
          <reference field="0" count="8">
            <x v="26"/>
            <x v="41"/>
            <x v="75"/>
            <x v="101"/>
            <x v="181"/>
            <x v="244"/>
            <x v="246"/>
            <x v="292"/>
          </reference>
          <reference field="2" count="1" selected="0">
            <x v="413"/>
          </reference>
          <reference field="3" count="1" selected="0">
            <x v="58"/>
          </reference>
        </references>
      </pivotArea>
    </format>
    <format dxfId="506">
      <pivotArea dataOnly="0" labelOnly="1" outline="0" fieldPosition="0">
        <references count="3">
          <reference field="0" count="12">
            <x v="19"/>
            <x v="40"/>
            <x v="54"/>
            <x v="74"/>
            <x v="84"/>
            <x v="125"/>
            <x v="171"/>
            <x v="223"/>
            <x v="241"/>
            <x v="299"/>
            <x v="317"/>
            <x v="350"/>
          </reference>
          <reference field="2" count="1" selected="0">
            <x v="414"/>
          </reference>
          <reference field="3" count="1" selected="0">
            <x v="66"/>
          </reference>
        </references>
      </pivotArea>
    </format>
    <format dxfId="505">
      <pivotArea dataOnly="0" labelOnly="1" outline="0" fieldPosition="0">
        <references count="3">
          <reference field="0" count="17">
            <x v="29"/>
            <x v="37"/>
            <x v="70"/>
            <x v="91"/>
            <x v="106"/>
            <x v="118"/>
            <x v="163"/>
            <x v="165"/>
            <x v="167"/>
            <x v="183"/>
            <x v="195"/>
            <x v="228"/>
            <x v="251"/>
            <x v="257"/>
            <x v="290"/>
            <x v="297"/>
            <x v="319"/>
          </reference>
          <reference field="2" count="1" selected="0">
            <x v="415"/>
          </reference>
          <reference field="3" count="1" selected="0">
            <x v="116"/>
          </reference>
        </references>
      </pivotArea>
    </format>
    <format dxfId="504">
      <pivotArea dataOnly="0" labelOnly="1" outline="0" fieldPosition="0">
        <references count="3">
          <reference field="0" count="19">
            <x v="28"/>
            <x v="46"/>
            <x v="65"/>
            <x v="67"/>
            <x v="73"/>
            <x v="90"/>
            <x v="105"/>
            <x v="113"/>
            <x v="129"/>
            <x v="155"/>
            <x v="191"/>
            <x v="205"/>
            <x v="215"/>
            <x v="222"/>
            <x v="267"/>
            <x v="288"/>
            <x v="311"/>
            <x v="318"/>
            <x v="336"/>
          </reference>
          <reference field="2" count="1" selected="0">
            <x v="416"/>
          </reference>
          <reference field="3" count="1" selected="0">
            <x v="127"/>
          </reference>
        </references>
      </pivotArea>
    </format>
    <format dxfId="503">
      <pivotArea dataOnly="0" labelOnly="1" outline="0" fieldPosition="0">
        <references count="3">
          <reference field="0" count="4">
            <x v="94"/>
            <x v="272"/>
            <x v="291"/>
            <x v="330"/>
          </reference>
          <reference field="2" count="1" selected="0">
            <x v="417"/>
          </reference>
          <reference field="3" count="1" selected="0">
            <x v="143"/>
          </reference>
        </references>
      </pivotArea>
    </format>
    <format dxfId="502">
      <pivotArea dataOnly="0" labelOnly="1" outline="0" fieldPosition="0">
        <references count="3">
          <reference field="0" count="4">
            <x v="8"/>
            <x v="148"/>
            <x v="180"/>
            <x v="210"/>
          </reference>
          <reference field="2" count="1" selected="0">
            <x v="418"/>
          </reference>
          <reference field="3" count="1" selected="0">
            <x v="144"/>
          </reference>
        </references>
      </pivotArea>
    </format>
    <format dxfId="501">
      <pivotArea dataOnly="0" labelOnly="1" outline="0" fieldPosition="0">
        <references count="3">
          <reference field="0" count="3">
            <x v="71"/>
            <x v="93"/>
            <x v="200"/>
          </reference>
          <reference field="2" count="1" selected="0">
            <x v="419"/>
          </reference>
          <reference field="3" count="1" selected="0">
            <x v="146"/>
          </reference>
        </references>
      </pivotArea>
    </format>
    <format dxfId="500">
      <pivotArea dataOnly="0" labelOnly="1" outline="0" fieldPosition="0">
        <references count="3">
          <reference field="0" count="4">
            <x v="78"/>
            <x v="80"/>
            <x v="159"/>
            <x v="300"/>
          </reference>
          <reference field="2" count="1" selected="0">
            <x v="420"/>
          </reference>
          <reference field="3" count="1" selected="0">
            <x v="145"/>
          </reference>
        </references>
      </pivotArea>
    </format>
    <format dxfId="499">
      <pivotArea dataOnly="0" labelOnly="1" outline="0" fieldPosition="0">
        <references count="3">
          <reference field="0" count="5">
            <x v="13"/>
            <x v="99"/>
            <x v="135"/>
            <x v="138"/>
            <x v="197"/>
          </reference>
          <reference field="2" count="1" selected="0">
            <x v="421"/>
          </reference>
          <reference field="3" count="1" selected="0">
            <x v="348"/>
          </reference>
        </references>
      </pivotArea>
    </format>
    <format dxfId="498">
      <pivotArea dataOnly="0" labelOnly="1" outline="0" fieldPosition="0">
        <references count="3">
          <reference field="0" count="9">
            <x v="1"/>
            <x v="9"/>
            <x v="33"/>
            <x v="66"/>
            <x v="77"/>
            <x v="146"/>
            <x v="154"/>
            <x v="198"/>
            <x v="285"/>
          </reference>
          <reference field="2" count="1" selected="0">
            <x v="422"/>
          </reference>
          <reference field="3" count="1" selected="0">
            <x v="235"/>
          </reference>
        </references>
      </pivotArea>
    </format>
    <format dxfId="497">
      <pivotArea dataOnly="0" labelOnly="1" outline="0" fieldPosition="0">
        <references count="3">
          <reference field="0" count="18">
            <x v="10"/>
            <x v="11"/>
            <x v="14"/>
            <x v="20"/>
            <x v="96"/>
            <x v="102"/>
            <x v="124"/>
            <x v="133"/>
            <x v="139"/>
            <x v="161"/>
            <x v="233"/>
            <x v="234"/>
            <x v="240"/>
            <x v="254"/>
            <x v="281"/>
            <x v="293"/>
            <x v="327"/>
            <x v="342"/>
          </reference>
          <reference field="2" count="1" selected="0">
            <x v="423"/>
          </reference>
          <reference field="3" count="1" selected="0">
            <x v="240"/>
          </reference>
        </references>
      </pivotArea>
    </format>
    <format dxfId="496">
      <pivotArea dataOnly="0" labelOnly="1" outline="0" fieldPosition="0">
        <references count="3">
          <reference field="0" count="9">
            <x v="3"/>
            <x v="57"/>
            <x v="62"/>
            <x v="97"/>
            <x v="147"/>
            <x v="189"/>
            <x v="208"/>
            <x v="262"/>
            <x v="340"/>
          </reference>
          <reference field="2" count="1" selected="0">
            <x v="424"/>
          </reference>
          <reference field="3" count="1" selected="0">
            <x v="277"/>
          </reference>
        </references>
      </pivotArea>
    </format>
    <format dxfId="495">
      <pivotArea dataOnly="0" labelOnly="1" outline="0" fieldPosition="0">
        <references count="3">
          <reference field="0" count="8">
            <x v="18"/>
            <x v="55"/>
            <x v="114"/>
            <x v="157"/>
            <x v="231"/>
            <x v="269"/>
            <x v="298"/>
            <x v="325"/>
          </reference>
          <reference field="2" count="1" selected="0">
            <x v="425"/>
          </reference>
          <reference field="3" count="1" selected="0">
            <x v="250"/>
          </reference>
        </references>
      </pivotArea>
    </format>
    <format dxfId="494">
      <pivotArea dataOnly="0" labelOnly="1" outline="0" fieldPosition="0">
        <references count="3">
          <reference field="0" count="12">
            <x v="56"/>
            <x v="164"/>
            <x v="177"/>
            <x v="216"/>
            <x v="245"/>
            <x v="247"/>
            <x v="261"/>
            <x v="283"/>
            <x v="304"/>
            <x v="343"/>
            <x v="345"/>
            <x v="346"/>
          </reference>
          <reference field="2" count="1" selected="0">
            <x v="426"/>
          </reference>
          <reference field="3" count="1" selected="0">
            <x v="276"/>
          </reference>
        </references>
      </pivotArea>
    </format>
    <format dxfId="493">
      <pivotArea dataOnly="0" labelOnly="1" outline="0" fieldPosition="0">
        <references count="3">
          <reference field="0" count="5">
            <x v="2"/>
            <x v="51"/>
            <x v="145"/>
            <x v="172"/>
            <x v="249"/>
          </reference>
          <reference field="2" count="1" selected="0">
            <x v="427"/>
          </reference>
          <reference field="3" count="1" selected="0">
            <x v="284"/>
          </reference>
        </references>
      </pivotArea>
    </format>
    <format dxfId="492">
      <pivotArea dataOnly="0" labelOnly="1" outline="0" fieldPosition="0">
        <references count="3">
          <reference field="0" count="9">
            <x v="23"/>
            <x v="110"/>
            <x v="123"/>
            <x v="190"/>
            <x v="201"/>
            <x v="221"/>
            <x v="226"/>
            <x v="308"/>
            <x v="310"/>
          </reference>
          <reference field="2" count="1" selected="0">
            <x v="428"/>
          </reference>
          <reference field="3" count="1" selected="0">
            <x v="291"/>
          </reference>
        </references>
      </pivotArea>
    </format>
    <format dxfId="491">
      <pivotArea dataOnly="0" labelOnly="1" outline="0" fieldPosition="0">
        <references count="3">
          <reference field="0" count="5">
            <x v="22"/>
            <x v="30"/>
            <x v="47"/>
            <x v="294"/>
            <x v="341"/>
          </reference>
          <reference field="2" count="1" selected="0">
            <x v="429"/>
          </reference>
          <reference field="3" count="1" selected="0">
            <x v="336"/>
          </reference>
        </references>
      </pivotArea>
    </format>
    <format dxfId="490">
      <pivotArea dataOnly="0" labelOnly="1" outline="0" fieldPosition="0">
        <references count="3">
          <reference field="0" count="9">
            <x v="43"/>
            <x v="82"/>
            <x v="87"/>
            <x v="98"/>
            <x v="166"/>
            <x v="217"/>
            <x v="265"/>
            <x v="284"/>
            <x v="322"/>
          </reference>
          <reference field="2" count="1" selected="0">
            <x v="430"/>
          </reference>
          <reference field="3" count="1" selected="0">
            <x v="353"/>
          </reference>
        </references>
      </pivotArea>
    </format>
    <format dxfId="489">
      <pivotArea dataOnly="0" labelOnly="1" outline="0" fieldPosition="0">
        <references count="3">
          <reference field="0" count="9">
            <x v="0"/>
            <x v="64"/>
            <x v="121"/>
            <x v="122"/>
            <x v="170"/>
            <x v="218"/>
            <x v="250"/>
            <x v="263"/>
            <x v="337"/>
          </reference>
          <reference field="2" count="1" selected="0">
            <x v="431"/>
          </reference>
          <reference field="3" count="1" selected="0">
            <x v="349"/>
          </reference>
        </references>
      </pivotArea>
    </format>
    <format dxfId="488">
      <pivotArea dataOnly="0" labelOnly="1" outline="0" fieldPosition="0">
        <references count="3">
          <reference field="0" count="10">
            <x v="16"/>
            <x v="53"/>
            <x v="79"/>
            <x v="214"/>
            <x v="225"/>
            <x v="227"/>
            <x v="256"/>
            <x v="276"/>
            <x v="279"/>
            <x v="315"/>
          </reference>
          <reference field="2" count="1" selected="0">
            <x v="432"/>
          </reference>
          <reference field="3" count="1" selected="0">
            <x v="355"/>
          </reference>
        </references>
      </pivotArea>
    </format>
    <format dxfId="487">
      <pivotArea dataOnly="0" labelOnly="1" outline="0" fieldPosition="0">
        <references count="3">
          <reference field="0" count="11">
            <x v="100"/>
            <x v="174"/>
            <x v="176"/>
            <x v="186"/>
            <x v="207"/>
            <x v="211"/>
            <x v="237"/>
            <x v="264"/>
            <x v="268"/>
            <x v="306"/>
            <x v="349"/>
          </reference>
          <reference field="2" count="1" selected="0">
            <x v="433"/>
          </reference>
          <reference field="3" count="1" selected="0">
            <x v="383"/>
          </reference>
        </references>
      </pivotArea>
    </format>
    <format dxfId="486">
      <pivotArea dataOnly="0" labelOnly="1" outline="0" fieldPosition="0">
        <references count="3">
          <reference field="0" count="5">
            <x v="35"/>
            <x v="95"/>
            <x v="168"/>
            <x v="260"/>
            <x v="309"/>
          </reference>
          <reference field="2" count="1" selected="0">
            <x v="434"/>
          </reference>
          <reference field="3" count="1" selected="0">
            <x v="389"/>
          </reference>
        </references>
      </pivotArea>
    </format>
    <format dxfId="485">
      <pivotArea dataOnly="0" labelOnly="1" outline="0" fieldPosition="0">
        <references count="3">
          <reference field="0" count="11">
            <x v="6"/>
            <x v="104"/>
            <x v="115"/>
            <x v="127"/>
            <x v="143"/>
            <x v="179"/>
            <x v="202"/>
            <x v="203"/>
            <x v="253"/>
            <x v="258"/>
            <x v="328"/>
          </reference>
          <reference field="2" count="1" selected="0">
            <x v="435"/>
          </reference>
          <reference field="3" count="1" selected="0">
            <x v="428"/>
          </reference>
        </references>
      </pivotArea>
    </format>
    <format dxfId="484">
      <pivotArea dataOnly="0" labelOnly="1" outline="0" fieldPosition="0">
        <references count="3">
          <reference field="0" count="20">
            <x v="2"/>
            <x v="15"/>
            <x v="26"/>
            <x v="71"/>
            <x v="75"/>
            <x v="87"/>
            <x v="93"/>
            <x v="94"/>
            <x v="101"/>
            <x v="166"/>
            <x v="200"/>
            <x v="211"/>
            <x v="217"/>
            <x v="244"/>
            <x v="246"/>
            <x v="264"/>
            <x v="272"/>
            <x v="291"/>
            <x v="292"/>
            <x v="330"/>
          </reference>
          <reference field="2" count="1" selected="0">
            <x v="436"/>
          </reference>
          <reference field="3" count="1" selected="0">
            <x v="57"/>
          </reference>
        </references>
      </pivotArea>
    </format>
    <format dxfId="483">
      <pivotArea dataOnly="0" labelOnly="1" outline="0" fieldPosition="0">
        <references count="3">
          <reference field="0" count="28">
            <x v="17"/>
            <x v="24"/>
            <x v="39"/>
            <x v="45"/>
            <x v="49"/>
            <x v="64"/>
            <x v="72"/>
            <x v="77"/>
            <x v="98"/>
            <x v="100"/>
            <x v="132"/>
            <x v="174"/>
            <x v="176"/>
            <x v="186"/>
            <x v="188"/>
            <x v="198"/>
            <x v="207"/>
            <x v="219"/>
            <x v="237"/>
            <x v="242"/>
            <x v="243"/>
            <x v="265"/>
            <x v="284"/>
            <x v="306"/>
            <x v="316"/>
            <x v="334"/>
            <x v="335"/>
            <x v="349"/>
          </reference>
          <reference field="2" count="1" selected="0">
            <x v="437"/>
          </reference>
          <reference field="3" count="1" selected="0">
            <x v="264"/>
          </reference>
        </references>
      </pivotArea>
    </format>
    <format dxfId="482">
      <pivotArea dataOnly="0" labelOnly="1" outline="0" fieldPosition="0">
        <references count="4">
          <reference field="0" count="1" selected="0">
            <x v="209"/>
          </reference>
          <reference field="1" count="1">
            <x v="216"/>
          </reference>
          <reference field="2" count="1" selected="0">
            <x v="351"/>
          </reference>
          <reference field="3" count="1" selected="0">
            <x v="272"/>
          </reference>
        </references>
      </pivotArea>
    </format>
    <format dxfId="481">
      <pivotArea dataOnly="0" labelOnly="1" outline="0" fieldPosition="0">
        <references count="4">
          <reference field="0" count="1" selected="0">
            <x v="1"/>
          </reference>
          <reference field="1" count="1">
            <x v="2"/>
          </reference>
          <reference field="2" count="1" selected="0">
            <x v="352"/>
          </reference>
          <reference field="3" count="1" selected="0">
            <x v="3"/>
          </reference>
        </references>
      </pivotArea>
    </format>
    <format dxfId="480">
      <pivotArea dataOnly="0" labelOnly="1" outline="0" fieldPosition="0">
        <references count="4">
          <reference field="0" count="1" selected="0">
            <x v="36"/>
          </reference>
          <reference field="1" count="1">
            <x v="39"/>
          </reference>
          <reference field="2" count="1" selected="0">
            <x v="352"/>
          </reference>
          <reference field="3" count="1" selected="0">
            <x v="3"/>
          </reference>
        </references>
      </pivotArea>
    </format>
    <format dxfId="479">
      <pivotArea dataOnly="0" labelOnly="1" outline="0" fieldPosition="0">
        <references count="4">
          <reference field="0" count="1" selected="0">
            <x v="3"/>
          </reference>
          <reference field="1" count="1">
            <x v="4"/>
          </reference>
          <reference field="2" count="1" selected="0">
            <x v="353"/>
          </reference>
          <reference field="3" count="1" selected="0">
            <x v="176"/>
          </reference>
        </references>
      </pivotArea>
    </format>
    <format dxfId="478">
      <pivotArea dataOnly="0" labelOnly="1" outline="0" fieldPosition="0">
        <references count="4">
          <reference field="0" count="1" selected="0">
            <x v="57"/>
          </reference>
          <reference field="1" count="1">
            <x v="61"/>
          </reference>
          <reference field="2" count="1" selected="0">
            <x v="353"/>
          </reference>
          <reference field="3" count="1" selected="0">
            <x v="176"/>
          </reference>
        </references>
      </pivotArea>
    </format>
    <format dxfId="477">
      <pivotArea dataOnly="0" labelOnly="1" outline="0" fieldPosition="0">
        <references count="4">
          <reference field="0" count="1" selected="0">
            <x v="7"/>
          </reference>
          <reference field="1" count="1">
            <x v="8"/>
          </reference>
          <reference field="2" count="1" selected="0">
            <x v="354"/>
          </reference>
          <reference field="3" count="1" selected="0">
            <x v="10"/>
          </reference>
        </references>
      </pivotArea>
    </format>
    <format dxfId="476">
      <pivotArea dataOnly="0" labelOnly="1" outline="0" fieldPosition="0">
        <references count="4">
          <reference field="0" count="1" selected="0">
            <x v="153"/>
          </reference>
          <reference field="1" count="1">
            <x v="156"/>
          </reference>
          <reference field="2" count="1" selected="0">
            <x v="354"/>
          </reference>
          <reference field="3" count="1" selected="0">
            <x v="10"/>
          </reference>
        </references>
      </pivotArea>
    </format>
    <format dxfId="475">
      <pivotArea dataOnly="0" labelOnly="1" outline="0" fieldPosition="0">
        <references count="4">
          <reference field="0" count="1" selected="0">
            <x v="229"/>
          </reference>
          <reference field="1" count="1">
            <x v="232"/>
          </reference>
          <reference field="2" count="1" selected="0">
            <x v="354"/>
          </reference>
          <reference field="3" count="1" selected="0">
            <x v="10"/>
          </reference>
        </references>
      </pivotArea>
    </format>
    <format dxfId="474">
      <pivotArea dataOnly="0" labelOnly="1" outline="0" fieldPosition="0">
        <references count="4">
          <reference field="0" count="1" selected="0">
            <x v="271"/>
          </reference>
          <reference field="1" count="1">
            <x v="274"/>
          </reference>
          <reference field="2" count="1" selected="0">
            <x v="354"/>
          </reference>
          <reference field="3" count="1" selected="0">
            <x v="10"/>
          </reference>
        </references>
      </pivotArea>
    </format>
    <format dxfId="473">
      <pivotArea dataOnly="0" labelOnly="1" outline="0" fieldPosition="0">
        <references count="4">
          <reference field="0" count="1" selected="0">
            <x v="10"/>
          </reference>
          <reference field="1" count="1">
            <x v="12"/>
          </reference>
          <reference field="2" count="1" selected="0">
            <x v="355"/>
          </reference>
          <reference field="3" count="1" selected="0">
            <x v="15"/>
          </reference>
        </references>
      </pivotArea>
    </format>
    <format dxfId="472">
      <pivotArea dataOnly="0" labelOnly="1" outline="0" fieldPosition="0">
        <references count="4">
          <reference field="0" count="1" selected="0">
            <x v="327"/>
          </reference>
          <reference field="1" count="1">
            <x v="335"/>
          </reference>
          <reference field="2" count="1" selected="0">
            <x v="355"/>
          </reference>
          <reference field="3" count="1" selected="0">
            <x v="15"/>
          </reference>
        </references>
      </pivotArea>
    </format>
    <format dxfId="471">
      <pivotArea dataOnly="0" labelOnly="1" outline="0" fieldPosition="0">
        <references count="4">
          <reference field="0" count="1" selected="0">
            <x v="14"/>
          </reference>
          <reference field="1" count="1">
            <x v="16"/>
          </reference>
          <reference field="2" count="1" selected="0">
            <x v="356"/>
          </reference>
          <reference field="3" count="1" selected="0">
            <x v="21"/>
          </reference>
        </references>
      </pivotArea>
    </format>
    <format dxfId="470">
      <pivotArea dataOnly="0" labelOnly="1" outline="0" fieldPosition="0">
        <references count="4">
          <reference field="0" count="1" selected="0">
            <x v="254"/>
          </reference>
          <reference field="1" count="1">
            <x v="257"/>
          </reference>
          <reference field="2" count="1" selected="0">
            <x v="356"/>
          </reference>
          <reference field="3" count="1" selected="0">
            <x v="21"/>
          </reference>
        </references>
      </pivotArea>
    </format>
    <format dxfId="469">
      <pivotArea dataOnly="0" labelOnly="1" outline="0" fieldPosition="0">
        <references count="4">
          <reference field="0" count="1" selected="0">
            <x v="18"/>
          </reference>
          <reference field="1" count="1">
            <x v="20"/>
          </reference>
          <reference field="2" count="1" selected="0">
            <x v="357"/>
          </reference>
          <reference field="3" count="1" selected="0">
            <x v="26"/>
          </reference>
        </references>
      </pivotArea>
    </format>
    <format dxfId="468">
      <pivotArea dataOnly="0" labelOnly="1" outline="0" fieldPosition="0">
        <references count="4">
          <reference field="0" count="1" selected="0">
            <x v="269"/>
          </reference>
          <reference field="1" count="1">
            <x v="272"/>
          </reference>
          <reference field="2" count="1" selected="0">
            <x v="357"/>
          </reference>
          <reference field="3" count="1" selected="0">
            <x v="26"/>
          </reference>
        </references>
      </pivotArea>
    </format>
    <format dxfId="467">
      <pivotArea dataOnly="0" labelOnly="1" outline="0" fieldPosition="0">
        <references count="4">
          <reference field="0" count="1" selected="0">
            <x v="112"/>
          </reference>
          <reference field="1" count="1">
            <x v="115"/>
          </reference>
          <reference field="2" count="1" selected="0">
            <x v="358"/>
          </reference>
          <reference field="3" count="1" selected="0">
            <x v="35"/>
          </reference>
        </references>
      </pivotArea>
    </format>
    <format dxfId="466">
      <pivotArea dataOnly="0" labelOnly="1" outline="0" fieldPosition="0">
        <references count="4">
          <reference field="0" count="1" selected="0">
            <x v="282"/>
          </reference>
          <reference field="1" count="1">
            <x v="286"/>
          </reference>
          <reference field="2" count="1" selected="0">
            <x v="358"/>
          </reference>
          <reference field="3" count="1" selected="0">
            <x v="35"/>
          </reference>
        </references>
      </pivotArea>
    </format>
    <format dxfId="465">
      <pivotArea dataOnly="0" labelOnly="1" outline="0" fieldPosition="0">
        <references count="4">
          <reference field="0" count="1" selected="0">
            <x v="332"/>
          </reference>
          <reference field="1" count="1">
            <x v="329"/>
          </reference>
          <reference field="2" count="1" selected="0">
            <x v="358"/>
          </reference>
          <reference field="3" count="1" selected="0">
            <x v="35"/>
          </reference>
        </references>
      </pivotArea>
    </format>
    <format dxfId="464">
      <pivotArea dataOnly="0" labelOnly="1" outline="0" fieldPosition="0">
        <references count="4">
          <reference field="0" count="1" selected="0">
            <x v="27"/>
          </reference>
          <reference field="1" count="1">
            <x v="29"/>
          </reference>
          <reference field="2" count="1" selected="0">
            <x v="359"/>
          </reference>
          <reference field="3" count="1" selected="0">
            <x v="37"/>
          </reference>
        </references>
      </pivotArea>
    </format>
    <format dxfId="463">
      <pivotArea dataOnly="0" labelOnly="1" outline="0" fieldPosition="0">
        <references count="4">
          <reference field="0" count="1" selected="0">
            <x v="38"/>
          </reference>
          <reference field="1" count="1">
            <x v="42"/>
          </reference>
          <reference field="2" count="1" selected="0">
            <x v="359"/>
          </reference>
          <reference field="3" count="1" selected="0">
            <x v="37"/>
          </reference>
        </references>
      </pivotArea>
    </format>
    <format dxfId="462">
      <pivotArea dataOnly="0" labelOnly="1" outline="0" fieldPosition="0">
        <references count="4">
          <reference field="0" count="1" selected="0">
            <x v="31"/>
          </reference>
          <reference field="1" count="1">
            <x v="33"/>
          </reference>
          <reference field="2" count="1" selected="0">
            <x v="360"/>
          </reference>
          <reference field="3" count="1" selected="0">
            <x v="42"/>
          </reference>
        </references>
      </pivotArea>
    </format>
    <format dxfId="461">
      <pivotArea dataOnly="0" labelOnly="1" outline="0" fieldPosition="0">
        <references count="4">
          <reference field="0" count="1" selected="0">
            <x v="187"/>
          </reference>
          <reference field="1" count="1">
            <x v="190"/>
          </reference>
          <reference field="2" count="1" selected="0">
            <x v="360"/>
          </reference>
          <reference field="3" count="1" selected="0">
            <x v="42"/>
          </reference>
        </references>
      </pivotArea>
    </format>
    <format dxfId="460">
      <pivotArea dataOnly="0" labelOnly="1" outline="0" fieldPosition="0">
        <references count="4">
          <reference field="0" count="1" selected="0">
            <x v="41"/>
          </reference>
          <reference field="1" count="1">
            <x v="45"/>
          </reference>
          <reference field="2" count="1" selected="0">
            <x v="361"/>
          </reference>
          <reference field="3" count="1" selected="0">
            <x v="55"/>
          </reference>
        </references>
      </pivotArea>
    </format>
    <format dxfId="459">
      <pivotArea dataOnly="0" labelOnly="1" outline="0" fieldPosition="0">
        <references count="4">
          <reference field="0" count="1" selected="0">
            <x v="244"/>
          </reference>
          <reference field="1" count="1">
            <x v="247"/>
          </reference>
          <reference field="2" count="1" selected="0">
            <x v="361"/>
          </reference>
          <reference field="3" count="1" selected="0">
            <x v="55"/>
          </reference>
        </references>
      </pivotArea>
    </format>
    <format dxfId="458">
      <pivotArea dataOnly="0" labelOnly="1" outline="0" fieldPosition="0">
        <references count="4">
          <reference field="0" count="1" selected="0">
            <x v="59"/>
          </reference>
          <reference field="1" count="1">
            <x v="63"/>
          </reference>
          <reference field="2" count="1" selected="0">
            <x v="362"/>
          </reference>
          <reference field="3" count="1" selected="0">
            <x v="78"/>
          </reference>
        </references>
      </pivotArea>
    </format>
    <format dxfId="457">
      <pivotArea dataOnly="0" labelOnly="1" outline="0" fieldPosition="0">
        <references count="4">
          <reference field="0" count="1" selected="0">
            <x v="107"/>
          </reference>
          <reference field="1" count="1">
            <x v="110"/>
          </reference>
          <reference field="2" count="1" selected="0">
            <x v="362"/>
          </reference>
          <reference field="3" count="1" selected="0">
            <x v="78"/>
          </reference>
        </references>
      </pivotArea>
    </format>
    <format dxfId="456">
      <pivotArea dataOnly="0" labelOnly="1" outline="0" fieldPosition="0">
        <references count="4">
          <reference field="0" count="1" selected="0">
            <x v="21"/>
          </reference>
          <reference field="1" count="1">
            <x v="23"/>
          </reference>
          <reference field="2" count="1" selected="0">
            <x v="363"/>
          </reference>
          <reference field="3" count="1" selected="0">
            <x v="69"/>
          </reference>
        </references>
      </pivotArea>
    </format>
    <format dxfId="455">
      <pivotArea dataOnly="0" labelOnly="1" outline="0" fieldPosition="0">
        <references count="4">
          <reference field="0" count="1" selected="0">
            <x v="68"/>
          </reference>
          <reference field="1" count="1">
            <x v="72"/>
          </reference>
          <reference field="2" count="1" selected="0">
            <x v="363"/>
          </reference>
          <reference field="3" count="1" selected="0">
            <x v="69"/>
          </reference>
        </references>
      </pivotArea>
    </format>
    <format dxfId="454">
      <pivotArea dataOnly="0" labelOnly="1" outline="0" fieldPosition="0">
        <references count="4">
          <reference field="0" count="1" selected="0">
            <x v="69"/>
          </reference>
          <reference field="1" count="1">
            <x v="73"/>
          </reference>
          <reference field="2" count="1" selected="0">
            <x v="363"/>
          </reference>
          <reference field="3" count="1" selected="0">
            <x v="69"/>
          </reference>
        </references>
      </pivotArea>
    </format>
    <format dxfId="453">
      <pivotArea dataOnly="0" labelOnly="1" outline="0" fieldPosition="0">
        <references count="4">
          <reference field="0" count="1" selected="0">
            <x v="131"/>
          </reference>
          <reference field="1" count="1">
            <x v="134"/>
          </reference>
          <reference field="2" count="1" selected="0">
            <x v="363"/>
          </reference>
          <reference field="3" count="1" selected="0">
            <x v="69"/>
          </reference>
        </references>
      </pivotArea>
    </format>
    <format dxfId="452">
      <pivotArea dataOnly="0" labelOnly="1" outline="0" fieldPosition="0">
        <references count="4">
          <reference field="0" count="1" selected="0">
            <x v="232"/>
          </reference>
          <reference field="1" count="1">
            <x v="235"/>
          </reference>
          <reference field="2" count="1" selected="0">
            <x v="363"/>
          </reference>
          <reference field="3" count="1" selected="0">
            <x v="69"/>
          </reference>
        </references>
      </pivotArea>
    </format>
    <format dxfId="451">
      <pivotArea dataOnly="0" labelOnly="1" outline="0" fieldPosition="0">
        <references count="4">
          <reference field="0" count="1" selected="0">
            <x v="312"/>
          </reference>
          <reference field="1" count="1">
            <x v="316"/>
          </reference>
          <reference field="2" count="1" selected="0">
            <x v="363"/>
          </reference>
          <reference field="3" count="1" selected="0">
            <x v="69"/>
          </reference>
        </references>
      </pivotArea>
    </format>
    <format dxfId="450">
      <pivotArea dataOnly="0" labelOnly="1" outline="0" fieldPosition="0">
        <references count="4">
          <reference field="0" count="1" selected="0">
            <x v="344"/>
          </reference>
          <reference field="1" count="1">
            <x v="348"/>
          </reference>
          <reference field="2" count="1" selected="0">
            <x v="363"/>
          </reference>
          <reference field="3" count="1" selected="0">
            <x v="69"/>
          </reference>
        </references>
      </pivotArea>
    </format>
    <format dxfId="449">
      <pivotArea dataOnly="0" labelOnly="1" outline="0" fieldPosition="0">
        <references count="4">
          <reference field="0" count="1" selected="0">
            <x v="50"/>
          </reference>
          <reference field="1" count="1">
            <x v="54"/>
          </reference>
          <reference field="2" count="1" selected="0">
            <x v="364"/>
          </reference>
          <reference field="3" count="1" selected="0">
            <x v="86"/>
          </reference>
        </references>
      </pivotArea>
    </format>
    <format dxfId="448">
      <pivotArea dataOnly="0" labelOnly="1" outline="0" fieldPosition="0">
        <references count="4">
          <reference field="0" count="1" selected="0">
            <x v="66"/>
          </reference>
          <reference field="1" count="1">
            <x v="70"/>
          </reference>
          <reference field="2" count="1" selected="0">
            <x v="364"/>
          </reference>
          <reference field="3" count="1" selected="0">
            <x v="86"/>
          </reference>
        </references>
      </pivotArea>
    </format>
    <format dxfId="447">
      <pivotArea dataOnly="0" labelOnly="1" outline="0" fieldPosition="0">
        <references count="4">
          <reference field="0" count="1" selected="0">
            <x v="74"/>
          </reference>
          <reference field="1" count="1">
            <x v="78"/>
          </reference>
          <reference field="2" count="1" selected="0">
            <x v="365"/>
          </reference>
          <reference field="3" count="1" selected="0">
            <x v="95"/>
          </reference>
        </references>
      </pivotArea>
    </format>
    <format dxfId="446">
      <pivotArea dataOnly="0" labelOnly="1" outline="0" fieldPosition="0">
        <references count="4">
          <reference field="0" count="1" selected="0">
            <x v="350"/>
          </reference>
          <reference field="1" count="1">
            <x v="354"/>
          </reference>
          <reference field="2" count="1" selected="0">
            <x v="365"/>
          </reference>
          <reference field="3" count="1" selected="0">
            <x v="95"/>
          </reference>
        </references>
      </pivotArea>
    </format>
    <format dxfId="445">
      <pivotArea dataOnly="0" labelOnly="1" outline="0" fieldPosition="0">
        <references count="4">
          <reference field="0" count="1" selected="0">
            <x v="75"/>
          </reference>
          <reference field="1" count="1">
            <x v="79"/>
          </reference>
          <reference field="2" count="1" selected="0">
            <x v="366"/>
          </reference>
          <reference field="3" count="1" selected="0">
            <x v="97"/>
          </reference>
        </references>
      </pivotArea>
    </format>
    <format dxfId="444">
      <pivotArea dataOnly="0" labelOnly="1" outline="0" fieldPosition="0">
        <references count="4">
          <reference field="0" count="1" selected="0">
            <x v="246"/>
          </reference>
          <reference field="1" count="1">
            <x v="249"/>
          </reference>
          <reference field="2" count="1" selected="0">
            <x v="366"/>
          </reference>
          <reference field="3" count="1" selected="0">
            <x v="97"/>
          </reference>
        </references>
      </pivotArea>
    </format>
    <format dxfId="443">
      <pivotArea dataOnly="0" labelOnly="1" outline="0" fieldPosition="0">
        <references count="4">
          <reference field="0" count="1" selected="0">
            <x v="77"/>
          </reference>
          <reference field="1" count="1">
            <x v="81"/>
          </reference>
          <reference field="2" count="1" selected="0">
            <x v="367"/>
          </reference>
          <reference field="3" count="1" selected="0">
            <x v="100"/>
          </reference>
        </references>
      </pivotArea>
    </format>
    <format dxfId="442">
      <pivotArea dataOnly="0" labelOnly="1" outline="0" fieldPosition="0">
        <references count="4">
          <reference field="0" count="1" selected="0">
            <x v="268"/>
          </reference>
          <reference field="1" count="1">
            <x v="271"/>
          </reference>
          <reference field="2" count="1" selected="0">
            <x v="367"/>
          </reference>
          <reference field="3" count="1" selected="0">
            <x v="100"/>
          </reference>
        </references>
      </pivotArea>
    </format>
    <format dxfId="441">
      <pivotArea dataOnly="0" labelOnly="1" outline="0" fieldPosition="0">
        <references count="4">
          <reference field="0" count="1" selected="0">
            <x v="53"/>
          </reference>
          <reference field="1" count="1">
            <x v="57"/>
          </reference>
          <reference field="2" count="1" selected="0">
            <x v="368"/>
          </reference>
          <reference field="3" count="1" selected="0">
            <x v="103"/>
          </reference>
        </references>
      </pivotArea>
    </format>
    <format dxfId="440">
      <pivotArea dataOnly="0" labelOnly="1" outline="0" fieldPosition="0">
        <references count="4">
          <reference field="0" count="1" selected="0">
            <x v="79"/>
          </reference>
          <reference field="1" count="1">
            <x v="83"/>
          </reference>
          <reference field="2" count="1" selected="0">
            <x v="368"/>
          </reference>
          <reference field="3" count="1" selected="0">
            <x v="103"/>
          </reference>
        </references>
      </pivotArea>
    </format>
    <format dxfId="439">
      <pivotArea dataOnly="0" labelOnly="1" outline="0" fieldPosition="0">
        <references count="4">
          <reference field="0" count="1" selected="0">
            <x v="40"/>
          </reference>
          <reference field="1" count="1">
            <x v="44"/>
          </reference>
          <reference field="2" count="1" selected="0">
            <x v="369"/>
          </reference>
          <reference field="3" count="1" selected="0">
            <x v="252"/>
          </reference>
        </references>
      </pivotArea>
    </format>
    <format dxfId="438">
      <pivotArea dataOnly="0" labelOnly="1" outline="0" fieldPosition="0">
        <references count="4">
          <reference field="0" count="1" selected="0">
            <x v="84"/>
          </reference>
          <reference field="1" count="1">
            <x v="89"/>
          </reference>
          <reference field="2" count="1" selected="0">
            <x v="369"/>
          </reference>
          <reference field="3" count="1" selected="0">
            <x v="252"/>
          </reference>
        </references>
      </pivotArea>
    </format>
    <format dxfId="437">
      <pivotArea dataOnly="0" labelOnly="1" outline="0" fieldPosition="0">
        <references count="4">
          <reference field="0" count="1" selected="0">
            <x v="223"/>
          </reference>
          <reference field="1" count="1">
            <x v="226"/>
          </reference>
          <reference field="2" count="1" selected="0">
            <x v="369"/>
          </reference>
          <reference field="3" count="1" selected="0">
            <x v="252"/>
          </reference>
        </references>
      </pivotArea>
    </format>
    <format dxfId="436">
      <pivotArea dataOnly="0" labelOnly="1" outline="0" fieldPosition="0">
        <references count="4">
          <reference field="0" count="1" selected="0">
            <x v="317"/>
          </reference>
          <reference field="1" count="1">
            <x v="321"/>
          </reference>
          <reference field="2" count="1" selected="0">
            <x v="369"/>
          </reference>
          <reference field="3" count="1" selected="0">
            <x v="252"/>
          </reference>
        </references>
      </pivotArea>
    </format>
    <format dxfId="435">
      <pivotArea dataOnly="0" labelOnly="1" outline="0" fieldPosition="0">
        <references count="4">
          <reference field="0" count="1" selected="0">
            <x v="224"/>
          </reference>
          <reference field="1" count="1">
            <x v="227"/>
          </reference>
          <reference field="2" count="1" selected="0">
            <x v="370"/>
          </reference>
          <reference field="3" count="1" selected="0">
            <x v="121"/>
          </reference>
        </references>
      </pivotArea>
    </format>
    <format dxfId="434">
      <pivotArea dataOnly="0" labelOnly="1" outline="0" fieldPosition="0">
        <references count="4">
          <reference field="0" count="1" selected="0">
            <x v="259"/>
          </reference>
          <reference field="1" count="1">
            <x v="262"/>
          </reference>
          <reference field="2" count="1" selected="0">
            <x v="370"/>
          </reference>
          <reference field="3" count="1" selected="0">
            <x v="121"/>
          </reference>
        </references>
      </pivotArea>
    </format>
    <format dxfId="433">
      <pivotArea dataOnly="0" labelOnly="1" outline="0" fieldPosition="0">
        <references count="4">
          <reference field="0" count="1" selected="0">
            <x v="101"/>
          </reference>
          <reference field="1" count="1">
            <x v="105"/>
          </reference>
          <reference field="2" count="1" selected="0">
            <x v="371"/>
          </reference>
          <reference field="3" count="1" selected="0">
            <x v="129"/>
          </reference>
        </references>
      </pivotArea>
    </format>
    <format dxfId="432">
      <pivotArea dataOnly="0" labelOnly="1" outline="0" fieldPosition="0">
        <references count="4">
          <reference field="0" count="1" selected="0">
            <x v="145"/>
          </reference>
          <reference field="1" count="1">
            <x v="148"/>
          </reference>
          <reference field="2" count="1" selected="0">
            <x v="371"/>
          </reference>
          <reference field="3" count="1" selected="0">
            <x v="129"/>
          </reference>
        </references>
      </pivotArea>
    </format>
    <format dxfId="431">
      <pivotArea dataOnly="0" labelOnly="1" outline="0" fieldPosition="0">
        <references count="4">
          <reference field="0" count="1" selected="0">
            <x v="67"/>
          </reference>
          <reference field="1" count="1">
            <x v="71"/>
          </reference>
          <reference field="2" count="1" selected="0">
            <x v="372"/>
          </reference>
          <reference field="3" count="1" selected="0">
            <x v="130"/>
          </reference>
        </references>
      </pivotArea>
    </format>
    <format dxfId="430">
      <pivotArea dataOnly="0" labelOnly="1" outline="0" fieldPosition="0">
        <references count="4">
          <reference field="0" count="1" selected="0">
            <x v="73"/>
          </reference>
          <reference field="1" count="1">
            <x v="77"/>
          </reference>
          <reference field="2" count="1" selected="0">
            <x v="372"/>
          </reference>
          <reference field="3" count="1" selected="0">
            <x v="130"/>
          </reference>
        </references>
      </pivotArea>
    </format>
    <format dxfId="429">
      <pivotArea dataOnly="0" labelOnly="1" outline="0" fieldPosition="0">
        <references count="4">
          <reference field="0" count="1" selected="0">
            <x v="288"/>
          </reference>
          <reference field="1" count="1">
            <x v="292"/>
          </reference>
          <reference field="2" count="1" selected="0">
            <x v="372"/>
          </reference>
          <reference field="3" count="1" selected="0">
            <x v="130"/>
          </reference>
        </references>
      </pivotArea>
    </format>
    <format dxfId="428">
      <pivotArea dataOnly="0" labelOnly="1" outline="0" fieldPosition="0">
        <references count="4">
          <reference field="0" count="1" selected="0">
            <x v="336"/>
          </reference>
          <reference field="1" count="1">
            <x v="340"/>
          </reference>
          <reference field="2" count="1" selected="0">
            <x v="372"/>
          </reference>
          <reference field="3" count="1" selected="0">
            <x v="130"/>
          </reference>
        </references>
      </pivotArea>
    </format>
    <format dxfId="427">
      <pivotArea dataOnly="0" labelOnly="1" outline="0" fieldPosition="0">
        <references count="4">
          <reference field="0" count="1" selected="0">
            <x v="32"/>
          </reference>
          <reference field="1" count="1">
            <x v="34"/>
          </reference>
          <reference field="2" count="1" selected="0">
            <x v="373"/>
          </reference>
          <reference field="3" count="1" selected="0">
            <x v="132"/>
          </reference>
        </references>
      </pivotArea>
    </format>
    <format dxfId="426">
      <pivotArea dataOnly="0" labelOnly="1" outline="0" fieldPosition="0">
        <references count="4">
          <reference field="0" count="1" selected="0">
            <x v="58"/>
          </reference>
          <reference field="1" count="1">
            <x v="62"/>
          </reference>
          <reference field="2" count="1" selected="0">
            <x v="373"/>
          </reference>
          <reference field="3" count="1" selected="0">
            <x v="132"/>
          </reference>
        </references>
      </pivotArea>
    </format>
    <format dxfId="425">
      <pivotArea dataOnly="0" labelOnly="1" outline="0" fieldPosition="0">
        <references count="4">
          <reference field="0" count="1" selected="0">
            <x v="142"/>
          </reference>
          <reference field="1" count="1">
            <x v="145"/>
          </reference>
          <reference field="2" count="1" selected="0">
            <x v="373"/>
          </reference>
          <reference field="3" count="1" selected="0">
            <x v="132"/>
          </reference>
        </references>
      </pivotArea>
    </format>
    <format dxfId="424">
      <pivotArea dataOnly="0" labelOnly="1" outline="0" fieldPosition="0">
        <references count="4">
          <reference field="0" count="1" selected="0">
            <x v="182"/>
          </reference>
          <reference field="1" count="1">
            <x v="185"/>
          </reference>
          <reference field="2" count="1" selected="0">
            <x v="373"/>
          </reference>
          <reference field="3" count="1" selected="0">
            <x v="132"/>
          </reference>
        </references>
      </pivotArea>
    </format>
    <format dxfId="423">
      <pivotArea dataOnly="0" labelOnly="1" outline="0" fieldPosition="0">
        <references count="4">
          <reference field="0" count="1" selected="0">
            <x v="193"/>
          </reference>
          <reference field="1" count="1">
            <x v="196"/>
          </reference>
          <reference field="2" count="1" selected="0">
            <x v="373"/>
          </reference>
          <reference field="3" count="1" selected="0">
            <x v="132"/>
          </reference>
        </references>
      </pivotArea>
    </format>
    <format dxfId="422">
      <pivotArea dataOnly="0" labelOnly="1" outline="0" fieldPosition="0">
        <references count="4">
          <reference field="0" count="1" selected="0">
            <x v="255"/>
          </reference>
          <reference field="1" count="1">
            <x v="258"/>
          </reference>
          <reference field="2" count="1" selected="0">
            <x v="373"/>
          </reference>
          <reference field="3" count="1" selected="0">
            <x v="132"/>
          </reference>
        </references>
      </pivotArea>
    </format>
    <format dxfId="421">
      <pivotArea dataOnly="0" labelOnly="1" outline="0" fieldPosition="0">
        <references count="4">
          <reference field="0" count="1" selected="0">
            <x v="80"/>
          </reference>
          <reference field="1" count="1">
            <x v="84"/>
          </reference>
          <reference field="2" count="1" selected="0">
            <x v="374"/>
          </reference>
          <reference field="3" count="1" selected="0">
            <x v="149"/>
          </reference>
        </references>
      </pivotArea>
    </format>
    <format dxfId="420">
      <pivotArea dataOnly="0" labelOnly="1" outline="0" fieldPosition="0">
        <references count="4">
          <reference field="0" count="1" selected="0">
            <x v="114"/>
          </reference>
          <reference field="1" count="1">
            <x v="117"/>
          </reference>
          <reference field="2" count="1" selected="0">
            <x v="374"/>
          </reference>
          <reference field="3" count="1" selected="0">
            <x v="149"/>
          </reference>
        </references>
      </pivotArea>
    </format>
    <format dxfId="419">
      <pivotArea dataOnly="0" labelOnly="1" outline="0" fieldPosition="0">
        <references count="4">
          <reference field="0" count="1" selected="0">
            <x v="105"/>
          </reference>
          <reference field="1" count="1">
            <x v="108"/>
          </reference>
          <reference field="2" count="1" selected="0">
            <x v="375"/>
          </reference>
          <reference field="3" count="1" selected="0">
            <x v="135"/>
          </reference>
        </references>
      </pivotArea>
    </format>
    <format dxfId="418">
      <pivotArea dataOnly="0" labelOnly="1" outline="0" fieldPosition="0">
        <references count="4">
          <reference field="0" count="1" selected="0">
            <x v="191"/>
          </reference>
          <reference field="1" count="1">
            <x v="194"/>
          </reference>
          <reference field="2" count="1" selected="0">
            <x v="375"/>
          </reference>
          <reference field="3" count="1" selected="0">
            <x v="135"/>
          </reference>
        </references>
      </pivotArea>
    </format>
    <format dxfId="417">
      <pivotArea dataOnly="0" labelOnly="1" outline="0" fieldPosition="0">
        <references count="4">
          <reference field="0" count="1" selected="0">
            <x v="118"/>
          </reference>
          <reference field="1" count="1">
            <x v="121"/>
          </reference>
          <reference field="2" count="1" selected="0">
            <x v="376"/>
          </reference>
          <reference field="3" count="1" selected="0">
            <x v="154"/>
          </reference>
        </references>
      </pivotArea>
    </format>
    <format dxfId="416">
      <pivotArea dataOnly="0" labelOnly="1" outline="0" fieldPosition="0">
        <references count="4">
          <reference field="0" count="1" selected="0">
            <x v="319"/>
          </reference>
          <reference field="1" count="1">
            <x v="323"/>
          </reference>
          <reference field="2" count="1" selected="0">
            <x v="376"/>
          </reference>
          <reference field="3" count="1" selected="0">
            <x v="154"/>
          </reference>
        </references>
      </pivotArea>
    </format>
    <format dxfId="415">
      <pivotArea dataOnly="0" labelOnly="1" outline="0" fieldPosition="0">
        <references count="4">
          <reference field="0" count="1" selected="0">
            <x v="119"/>
          </reference>
          <reference field="1" count="1">
            <x v="122"/>
          </reference>
          <reference field="2" count="1" selected="0">
            <x v="377"/>
          </reference>
          <reference field="3" count="1" selected="0">
            <x v="156"/>
          </reference>
        </references>
      </pivotArea>
    </format>
    <format dxfId="414">
      <pivotArea dataOnly="0" labelOnly="1" outline="0" fieldPosition="0">
        <references count="4">
          <reference field="0" count="1" selected="0">
            <x v="338"/>
          </reference>
          <reference field="1" count="1">
            <x v="342"/>
          </reference>
          <reference field="2" count="1" selected="0">
            <x v="377"/>
          </reference>
          <reference field="3" count="1" selected="0">
            <x v="156"/>
          </reference>
        </references>
      </pivotArea>
    </format>
    <format dxfId="413">
      <pivotArea dataOnly="0" labelOnly="1" outline="0" fieldPosition="0">
        <references count="4">
          <reference field="0" count="1" selected="0">
            <x v="59"/>
          </reference>
          <reference field="1" count="1">
            <x v="63"/>
          </reference>
          <reference field="2" count="1" selected="0">
            <x v="378"/>
          </reference>
          <reference field="3" count="1" selected="0">
            <x v="157"/>
          </reference>
        </references>
      </pivotArea>
    </format>
    <format dxfId="412">
      <pivotArea dataOnly="0" labelOnly="1" outline="0" fieldPosition="0">
        <references count="4">
          <reference field="0" count="1" selected="0">
            <x v="107"/>
          </reference>
          <reference field="1" count="1">
            <x v="110"/>
          </reference>
          <reference field="2" count="1" selected="0">
            <x v="378"/>
          </reference>
          <reference field="3" count="1" selected="0">
            <x v="157"/>
          </reference>
        </references>
      </pivotArea>
    </format>
    <format dxfId="411">
      <pivotArea dataOnly="0" labelOnly="1" outline="0" fieldPosition="0">
        <references count="4">
          <reference field="0" count="1" selected="0">
            <x v="274"/>
          </reference>
          <reference field="1" count="1">
            <x v="278"/>
          </reference>
          <reference field="2" count="1" selected="0">
            <x v="378"/>
          </reference>
          <reference field="3" count="1" selected="0">
            <x v="157"/>
          </reference>
        </references>
      </pivotArea>
    </format>
    <format dxfId="410">
      <pivotArea dataOnly="0" labelOnly="1" outline="0" fieldPosition="0">
        <references count="4">
          <reference field="0" count="1" selected="0">
            <x v="326"/>
          </reference>
          <reference field="1" count="1">
            <x v="334"/>
          </reference>
          <reference field="2" count="1" selected="0">
            <x v="378"/>
          </reference>
          <reference field="3" count="1" selected="0">
            <x v="157"/>
          </reference>
        </references>
      </pivotArea>
    </format>
    <format dxfId="409">
      <pivotArea dataOnly="0" labelOnly="1" outline="0" fieldPosition="0">
        <references count="4">
          <reference field="0" count="1" selected="0">
            <x v="339"/>
          </reference>
          <reference field="1" count="1">
            <x v="343"/>
          </reference>
          <reference field="2" count="1" selected="0">
            <x v="378"/>
          </reference>
          <reference field="3" count="1" selected="0">
            <x v="157"/>
          </reference>
        </references>
      </pivotArea>
    </format>
    <format dxfId="408">
      <pivotArea dataOnly="0" labelOnly="1" outline="0" fieldPosition="0">
        <references count="4">
          <reference field="0" count="1" selected="0">
            <x v="52"/>
          </reference>
          <reference field="1" count="1">
            <x v="56"/>
          </reference>
          <reference field="2" count="1" selected="0">
            <x v="379"/>
          </reference>
          <reference field="3" count="1" selected="0">
            <x v="166"/>
          </reference>
        </references>
      </pivotArea>
    </format>
    <format dxfId="407">
      <pivotArea dataOnly="0" labelOnly="1" outline="0" fieldPosition="0">
        <references count="4">
          <reference field="0" count="1" selected="0">
            <x v="128"/>
          </reference>
          <reference field="1" count="1">
            <x v="131"/>
          </reference>
          <reference field="2" count="1" selected="0">
            <x v="379"/>
          </reference>
          <reference field="3" count="1" selected="0">
            <x v="166"/>
          </reference>
        </references>
      </pivotArea>
    </format>
    <format dxfId="406">
      <pivotArea dataOnly="0" labelOnly="1" outline="0" fieldPosition="0">
        <references count="4">
          <reference field="0" count="1" selected="0">
            <x v="207"/>
          </reference>
          <reference field="1" count="1">
            <x v="210"/>
          </reference>
          <reference field="2" count="1" selected="0">
            <x v="380"/>
          </reference>
          <reference field="3" count="1" selected="0">
            <x v="184"/>
          </reference>
        </references>
      </pivotArea>
    </format>
    <format dxfId="405">
      <pivotArea dataOnly="0" labelOnly="1" outline="0" fieldPosition="0">
        <references count="4">
          <reference field="0" count="1" selected="0">
            <x v="237"/>
          </reference>
          <reference field="1" count="1">
            <x v="240"/>
          </reference>
          <reference field="2" count="1" selected="0">
            <x v="380"/>
          </reference>
          <reference field="3" count="1" selected="0">
            <x v="184"/>
          </reference>
        </references>
      </pivotArea>
    </format>
    <format dxfId="404">
      <pivotArea dataOnly="0" labelOnly="1" outline="0" fieldPosition="0">
        <references count="4">
          <reference field="0" count="1" selected="0">
            <x v="349"/>
          </reference>
          <reference field="1" count="1">
            <x v="353"/>
          </reference>
          <reference field="2" count="1" selected="0">
            <x v="380"/>
          </reference>
          <reference field="3" count="1" selected="0">
            <x v="184"/>
          </reference>
        </references>
      </pivotArea>
    </format>
    <format dxfId="403">
      <pivotArea dataOnly="0" labelOnly="1" outline="0" fieldPosition="0">
        <references count="4">
          <reference field="0" count="1" selected="0">
            <x v="156"/>
          </reference>
          <reference field="1" count="1">
            <x v="159"/>
          </reference>
          <reference field="2" count="1" selected="0">
            <x v="381"/>
          </reference>
          <reference field="3" count="1" selected="0">
            <x v="198"/>
          </reference>
        </references>
      </pivotArea>
    </format>
    <format dxfId="402">
      <pivotArea dataOnly="0" labelOnly="1" outline="0" fieldPosition="0">
        <references count="4">
          <reference field="0" count="1" selected="0">
            <x v="287"/>
          </reference>
          <reference field="1" count="1">
            <x v="291"/>
          </reference>
          <reference field="2" count="1" selected="0">
            <x v="381"/>
          </reference>
          <reference field="3" count="1" selected="0">
            <x v="198"/>
          </reference>
        </references>
      </pivotArea>
    </format>
    <format dxfId="401">
      <pivotArea dataOnly="0" labelOnly="1" outline="0" fieldPosition="0">
        <references count="4">
          <reference field="0" count="1" selected="0">
            <x v="91"/>
          </reference>
          <reference field="1" count="1">
            <x v="95"/>
          </reference>
          <reference field="2" count="1" selected="0">
            <x v="382"/>
          </reference>
          <reference field="3" count="1" selected="0">
            <x v="208"/>
          </reference>
        </references>
      </pivotArea>
    </format>
    <format dxfId="400">
      <pivotArea dataOnly="0" labelOnly="1" outline="0" fieldPosition="0">
        <references count="4">
          <reference field="0" count="1" selected="0">
            <x v="165"/>
          </reference>
          <reference field="1" count="1">
            <x v="168"/>
          </reference>
          <reference field="2" count="1" selected="0">
            <x v="382"/>
          </reference>
          <reference field="3" count="1" selected="0">
            <x v="208"/>
          </reference>
        </references>
      </pivotArea>
    </format>
    <format dxfId="399">
      <pivotArea dataOnly="0" labelOnly="1" outline="0" fieldPosition="0">
        <references count="4">
          <reference field="0" count="1" selected="0">
            <x v="61"/>
          </reference>
          <reference field="1" count="1">
            <x v="65"/>
          </reference>
          <reference field="2" count="1" selected="0">
            <x v="383"/>
          </reference>
          <reference field="3" count="1" selected="0">
            <x v="214"/>
          </reference>
        </references>
      </pivotArea>
    </format>
    <format dxfId="398">
      <pivotArea dataOnly="0" labelOnly="1" outline="0" fieldPosition="0">
        <references count="4">
          <reference field="0" count="1" selected="0">
            <x v="88"/>
          </reference>
          <reference field="1" count="1">
            <x v="92"/>
          </reference>
          <reference field="2" count="1" selected="0">
            <x v="383"/>
          </reference>
          <reference field="3" count="1" selected="0">
            <x v="214"/>
          </reference>
        </references>
      </pivotArea>
    </format>
    <format dxfId="397">
      <pivotArea dataOnly="0" labelOnly="1" outline="0" fieldPosition="0">
        <references count="4">
          <reference field="0" count="1" selected="0">
            <x v="103"/>
          </reference>
          <reference field="1" count="1">
            <x v="10"/>
          </reference>
          <reference field="2" count="1" selected="0">
            <x v="383"/>
          </reference>
          <reference field="3" count="1" selected="0">
            <x v="214"/>
          </reference>
        </references>
      </pivotArea>
    </format>
    <format dxfId="396">
      <pivotArea dataOnly="0" labelOnly="1" outline="0" fieldPosition="0">
        <references count="4">
          <reference field="0" count="1" selected="0">
            <x v="220"/>
          </reference>
          <reference field="1" count="1">
            <x v="223"/>
          </reference>
          <reference field="2" count="1" selected="0">
            <x v="383"/>
          </reference>
          <reference field="3" count="1" selected="0">
            <x v="214"/>
          </reference>
        </references>
      </pivotArea>
    </format>
    <format dxfId="395">
      <pivotArea dataOnly="0" labelOnly="1" outline="0" fieldPosition="0">
        <references count="4">
          <reference field="0" count="1" selected="0">
            <x v="295"/>
          </reference>
          <reference field="1" count="1">
            <x v="299"/>
          </reference>
          <reference field="2" count="1" selected="0">
            <x v="383"/>
          </reference>
          <reference field="3" count="1" selected="0">
            <x v="214"/>
          </reference>
        </references>
      </pivotArea>
    </format>
    <format dxfId="394">
      <pivotArea dataOnly="0" labelOnly="1" outline="0" fieldPosition="0">
        <references count="4">
          <reference field="0" count="1" selected="0">
            <x v="333"/>
          </reference>
          <reference field="1" count="1">
            <x v="330"/>
          </reference>
          <reference field="2" count="1" selected="0">
            <x v="383"/>
          </reference>
          <reference field="3" count="1" selected="0">
            <x v="214"/>
          </reference>
        </references>
      </pivotArea>
    </format>
    <format dxfId="393">
      <pivotArea dataOnly="0" labelOnly="1" outline="0" fieldPosition="0">
        <references count="4">
          <reference field="0" count="1" selected="0">
            <x v="37"/>
          </reference>
          <reference field="1" count="1">
            <x v="40"/>
          </reference>
          <reference field="2" count="1" selected="0">
            <x v="384"/>
          </reference>
          <reference field="3" count="1" selected="0">
            <x v="215"/>
          </reference>
        </references>
      </pivotArea>
    </format>
    <format dxfId="392">
      <pivotArea dataOnly="0" labelOnly="1" outline="0" fieldPosition="0">
        <references count="4">
          <reference field="0" count="1" selected="0">
            <x v="183"/>
          </reference>
          <reference field="1" count="1">
            <x v="186"/>
          </reference>
          <reference field="2" count="1" selected="0">
            <x v="384"/>
          </reference>
          <reference field="3" count="1" selected="0">
            <x v="215"/>
          </reference>
        </references>
      </pivotArea>
    </format>
    <format dxfId="391">
      <pivotArea dataOnly="0" labelOnly="1" outline="0" fieldPosition="0">
        <references count="4">
          <reference field="0" count="1" selected="0">
            <x v="297"/>
          </reference>
          <reference field="1" count="1">
            <x v="301"/>
          </reference>
          <reference field="2" count="1" selected="0">
            <x v="384"/>
          </reference>
          <reference field="3" count="1" selected="0">
            <x v="215"/>
          </reference>
        </references>
      </pivotArea>
    </format>
    <format dxfId="390">
      <pivotArea dataOnly="0" labelOnly="1" outline="0" fieldPosition="0">
        <references count="4">
          <reference field="0" count="1" selected="0">
            <x v="178"/>
          </reference>
          <reference field="1" count="1">
            <x v="181"/>
          </reference>
          <reference field="2" count="1" selected="0">
            <x v="385"/>
          </reference>
          <reference field="3" count="1" selected="0">
            <x v="224"/>
          </reference>
        </references>
      </pivotArea>
    </format>
    <format dxfId="389">
      <pivotArea dataOnly="0" labelOnly="1" outline="0" fieldPosition="0">
        <references count="4">
          <reference field="0" count="1" selected="0">
            <x v="302"/>
          </reference>
          <reference field="1" count="1">
            <x v="306"/>
          </reference>
          <reference field="2" count="1" selected="0">
            <x v="385"/>
          </reference>
          <reference field="3" count="1" selected="0">
            <x v="224"/>
          </reference>
        </references>
      </pivotArea>
    </format>
    <format dxfId="388">
      <pivotArea dataOnly="0" labelOnly="1" outline="0" fieldPosition="0">
        <references count="4">
          <reference field="0" count="1" selected="0">
            <x v="54"/>
          </reference>
          <reference field="1" count="1">
            <x v="58"/>
          </reference>
          <reference field="2" count="1" selected="0">
            <x v="386"/>
          </reference>
          <reference field="3" count="1" selected="0">
            <x v="237"/>
          </reference>
        </references>
      </pivotArea>
    </format>
    <format dxfId="387">
      <pivotArea dataOnly="0" labelOnly="1" outline="0" fieldPosition="0">
        <references count="4">
          <reference field="0" count="1" selected="0">
            <x v="125"/>
          </reference>
          <reference field="1" count="1">
            <x v="128"/>
          </reference>
          <reference field="2" count="1" selected="0">
            <x v="386"/>
          </reference>
          <reference field="3" count="1" selected="0">
            <x v="237"/>
          </reference>
        </references>
      </pivotArea>
    </format>
    <format dxfId="386">
      <pivotArea dataOnly="0" labelOnly="1" outline="0" fieldPosition="0">
        <references count="4">
          <reference field="0" count="1" selected="0">
            <x v="147"/>
          </reference>
          <reference field="1" count="1">
            <x v="150"/>
          </reference>
          <reference field="2" count="1" selected="0">
            <x v="387"/>
          </reference>
          <reference field="3" count="1" selected="0">
            <x v="244"/>
          </reference>
        </references>
      </pivotArea>
    </format>
    <format dxfId="385">
      <pivotArea dataOnly="0" labelOnly="1" outline="0" fieldPosition="0">
        <references count="4">
          <reference field="0" count="1" selected="0">
            <x v="340"/>
          </reference>
          <reference field="1" count="1">
            <x v="344"/>
          </reference>
          <reference field="2" count="1" selected="0">
            <x v="387"/>
          </reference>
          <reference field="3" count="1" selected="0">
            <x v="244"/>
          </reference>
        </references>
      </pivotArea>
    </format>
    <format dxfId="384">
      <pivotArea dataOnly="0" labelOnly="1" outline="0" fieldPosition="0">
        <references count="4">
          <reference field="0" count="1" selected="0">
            <x v="12"/>
          </reference>
          <reference field="1" count="1">
            <x v="14"/>
          </reference>
          <reference field="2" count="1" selected="0">
            <x v="388"/>
          </reference>
          <reference field="3" count="1" selected="0">
            <x v="236"/>
          </reference>
        </references>
      </pivotArea>
    </format>
    <format dxfId="383">
      <pivotArea dataOnly="0" labelOnly="1" outline="0" fieldPosition="0">
        <references count="4">
          <reference field="0" count="1" selected="0">
            <x v="46"/>
          </reference>
          <reference field="1" count="1">
            <x v="50"/>
          </reference>
          <reference field="2" count="1" selected="0">
            <x v="388"/>
          </reference>
          <reference field="3" count="1" selected="0">
            <x v="236"/>
          </reference>
        </references>
      </pivotArea>
    </format>
    <format dxfId="382">
      <pivotArea dataOnly="0" labelOnly="1" outline="0" fieldPosition="0">
        <references count="4">
          <reference field="0" count="1" selected="0">
            <x v="52"/>
          </reference>
          <reference field="1" count="1">
            <x v="56"/>
          </reference>
          <reference field="2" count="1" selected="0">
            <x v="388"/>
          </reference>
          <reference field="3" count="1" selected="0">
            <x v="236"/>
          </reference>
        </references>
      </pivotArea>
    </format>
    <format dxfId="381">
      <pivotArea dataOnly="0" labelOnly="1" outline="0" fieldPosition="0">
        <references count="4">
          <reference field="0" count="1" selected="0">
            <x v="65"/>
          </reference>
          <reference field="1" count="1">
            <x v="69"/>
          </reference>
          <reference field="2" count="1" selected="0">
            <x v="388"/>
          </reference>
          <reference field="3" count="1" selected="0">
            <x v="236"/>
          </reference>
        </references>
      </pivotArea>
    </format>
    <format dxfId="380">
      <pivotArea dataOnly="0" labelOnly="1" outline="0" fieldPosition="0">
        <references count="4">
          <reference field="0" count="1" selected="0">
            <x v="128"/>
          </reference>
          <reference field="1" count="1">
            <x v="131"/>
          </reference>
          <reference field="2" count="1" selected="0">
            <x v="388"/>
          </reference>
          <reference field="3" count="1" selected="0">
            <x v="236"/>
          </reference>
        </references>
      </pivotArea>
    </format>
    <format dxfId="379">
      <pivotArea dataOnly="0" labelOnly="1" outline="0" fieldPosition="0">
        <references count="4">
          <reference field="0" count="1" selected="0">
            <x v="129"/>
          </reference>
          <reference field="1" count="1">
            <x v="132"/>
          </reference>
          <reference field="2" count="1" selected="0">
            <x v="388"/>
          </reference>
          <reference field="3" count="1" selected="0">
            <x v="236"/>
          </reference>
        </references>
      </pivotArea>
    </format>
    <format dxfId="378">
      <pivotArea dataOnly="0" labelOnly="1" outline="0" fieldPosition="0">
        <references count="4">
          <reference field="0" count="1" selected="0">
            <x v="236"/>
          </reference>
          <reference field="1" count="1">
            <x v="239"/>
          </reference>
          <reference field="2" count="1" selected="0">
            <x v="388"/>
          </reference>
          <reference field="3" count="1" selected="0">
            <x v="236"/>
          </reference>
        </references>
      </pivotArea>
    </format>
    <format dxfId="377">
      <pivotArea dataOnly="0" labelOnly="1" outline="0" fieldPosition="0">
        <references count="4">
          <reference field="0" count="1" selected="0">
            <x v="267"/>
          </reference>
          <reference field="1" count="1">
            <x v="270"/>
          </reference>
          <reference field="2" count="1" selected="0">
            <x v="388"/>
          </reference>
          <reference field="3" count="1" selected="0">
            <x v="236"/>
          </reference>
        </references>
      </pivotArea>
    </format>
    <format dxfId="376">
      <pivotArea dataOnly="0" labelOnly="1" outline="0" fieldPosition="0">
        <references count="4">
          <reference field="0" count="1" selected="0">
            <x v="234"/>
          </reference>
          <reference field="1" count="1">
            <x v="237"/>
          </reference>
          <reference field="2" count="1" selected="0">
            <x v="389"/>
          </reference>
          <reference field="3" count="1" selected="0">
            <x v="248"/>
          </reference>
        </references>
      </pivotArea>
    </format>
    <format dxfId="375">
      <pivotArea dataOnly="0" labelOnly="1" outline="0" fieldPosition="0">
        <references count="4">
          <reference field="0" count="1" selected="0">
            <x v="293"/>
          </reference>
          <reference field="1" count="1">
            <x v="297"/>
          </reference>
          <reference field="2" count="1" selected="0">
            <x v="389"/>
          </reference>
          <reference field="3" count="1" selected="0">
            <x v="248"/>
          </reference>
        </references>
      </pivotArea>
    </format>
    <format dxfId="374">
      <pivotArea dataOnly="0" labelOnly="1" outline="0" fieldPosition="0">
        <references count="4">
          <reference field="0" count="1" selected="0">
            <x v="33"/>
          </reference>
          <reference field="1" count="1">
            <x v="35"/>
          </reference>
          <reference field="2" count="1" selected="0">
            <x v="390"/>
          </reference>
          <reference field="3" count="1" selected="0">
            <x v="249"/>
          </reference>
        </references>
      </pivotArea>
    </format>
    <format dxfId="373">
      <pivotArea dataOnly="0" labelOnly="1" outline="0" fieldPosition="0">
        <references count="4">
          <reference field="0" count="1" selected="0">
            <x v="146"/>
          </reference>
          <reference field="1" count="1">
            <x v="149"/>
          </reference>
          <reference field="2" count="1" selected="0">
            <x v="390"/>
          </reference>
          <reference field="3" count="1" selected="0">
            <x v="249"/>
          </reference>
        </references>
      </pivotArea>
    </format>
    <format dxfId="372">
      <pivotArea dataOnly="0" labelOnly="1" outline="0" fieldPosition="0">
        <references count="4">
          <reference field="0" count="1" selected="0">
            <x v="285"/>
          </reference>
          <reference field="1" count="1">
            <x v="289"/>
          </reference>
          <reference field="2" count="1" selected="0">
            <x v="390"/>
          </reference>
          <reference field="3" count="1" selected="0">
            <x v="249"/>
          </reference>
        </references>
      </pivotArea>
    </format>
    <format dxfId="371">
      <pivotArea dataOnly="0" labelOnly="1" outline="0" fieldPosition="0">
        <references count="4">
          <reference field="0" count="1" selected="0">
            <x v="205"/>
          </reference>
          <reference field="1" count="1">
            <x v="206"/>
          </reference>
          <reference field="2" count="1" selected="0">
            <x v="391"/>
          </reference>
          <reference field="3" count="1" selected="0">
            <x v="259"/>
          </reference>
        </references>
      </pivotArea>
    </format>
    <format dxfId="370">
      <pivotArea dataOnly="0" labelOnly="1" outline="0" fieldPosition="0">
        <references count="4">
          <reference field="0" count="1" selected="0">
            <x v="318"/>
          </reference>
          <reference field="1" count="1">
            <x v="322"/>
          </reference>
          <reference field="2" count="1" selected="0">
            <x v="391"/>
          </reference>
          <reference field="3" count="1" selected="0">
            <x v="259"/>
          </reference>
        </references>
      </pivotArea>
    </format>
    <format dxfId="369">
      <pivotArea dataOnly="0" labelOnly="1" outline="0" fieldPosition="0">
        <references count="4">
          <reference field="0" count="1" selected="0">
            <x v="212"/>
          </reference>
          <reference field="1" count="1">
            <x v="217"/>
          </reference>
          <reference field="2" count="1" selected="0">
            <x v="392"/>
          </reference>
          <reference field="3" count="1" selected="0">
            <x v="273"/>
          </reference>
        </references>
      </pivotArea>
    </format>
    <format dxfId="368">
      <pivotArea dataOnly="0" labelOnly="1" outline="0" fieldPosition="0">
        <references count="4">
          <reference field="0" count="1" selected="0">
            <x v="275"/>
          </reference>
          <reference field="1" count="1">
            <x v="279"/>
          </reference>
          <reference field="2" count="1" selected="0">
            <x v="392"/>
          </reference>
          <reference field="3" count="1" selected="0">
            <x v="273"/>
          </reference>
        </references>
      </pivotArea>
    </format>
    <format dxfId="367">
      <pivotArea dataOnly="0" labelOnly="1" outline="0" fieldPosition="0">
        <references count="4">
          <reference field="0" count="1" selected="0">
            <x v="11"/>
          </reference>
          <reference field="1" count="1">
            <x v="13"/>
          </reference>
          <reference field="2" count="1" selected="0">
            <x v="393"/>
          </reference>
          <reference field="3" count="1" selected="0">
            <x v="269"/>
          </reference>
        </references>
      </pivotArea>
    </format>
    <format dxfId="366">
      <pivotArea dataOnly="0" labelOnly="1" outline="0" fieldPosition="0">
        <references count="4">
          <reference field="0" count="1" selected="0">
            <x v="231"/>
          </reference>
          <reference field="1" count="1">
            <x v="234"/>
          </reference>
          <reference field="2" count="1" selected="0">
            <x v="393"/>
          </reference>
          <reference field="3" count="1" selected="0">
            <x v="269"/>
          </reference>
        </references>
      </pivotArea>
    </format>
    <format dxfId="365">
      <pivotArea dataOnly="0" labelOnly="1" outline="0" fieldPosition="0">
        <references count="4">
          <reference field="0" count="1" selected="0">
            <x v="298"/>
          </reference>
          <reference field="1" count="1">
            <x v="302"/>
          </reference>
          <reference field="2" count="1" selected="0">
            <x v="393"/>
          </reference>
          <reference field="3" count="1" selected="0">
            <x v="269"/>
          </reference>
        </references>
      </pivotArea>
    </format>
    <format dxfId="364">
      <pivotArea dataOnly="0" labelOnly="1" outline="0" fieldPosition="0">
        <references count="4">
          <reference field="0" count="1" selected="0">
            <x v="168"/>
          </reference>
          <reference field="1" count="1">
            <x v="171"/>
          </reference>
          <reference field="2" count="1" selected="0">
            <x v="394"/>
          </reference>
          <reference field="3" count="1" selected="0">
            <x v="285"/>
          </reference>
        </references>
      </pivotArea>
    </format>
    <format dxfId="363">
      <pivotArea dataOnly="0" labelOnly="1" outline="0" fieldPosition="0">
        <references count="4">
          <reference field="0" count="1" selected="0">
            <x v="172"/>
          </reference>
          <reference field="1" count="1">
            <x v="175"/>
          </reference>
          <reference field="2" count="1" selected="0">
            <x v="394"/>
          </reference>
          <reference field="3" count="1" selected="0">
            <x v="285"/>
          </reference>
        </references>
      </pivotArea>
    </format>
    <format dxfId="362">
      <pivotArea dataOnly="0" labelOnly="1" outline="0" fieldPosition="0">
        <references count="4">
          <reference field="0" count="1" selected="0">
            <x v="249"/>
          </reference>
          <reference field="1" count="1">
            <x v="252"/>
          </reference>
          <reference field="2" count="1" selected="0">
            <x v="394"/>
          </reference>
          <reference field="3" count="1" selected="0">
            <x v="285"/>
          </reference>
        </references>
      </pivotArea>
    </format>
    <format dxfId="361">
      <pivotArea dataOnly="0" labelOnly="1" outline="0" fieldPosition="0">
        <references count="4">
          <reference field="0" count="1" selected="0">
            <x v="115"/>
          </reference>
          <reference field="1" count="1">
            <x v="118"/>
          </reference>
          <reference field="2" count="1" selected="0">
            <x v="395"/>
          </reference>
          <reference field="3" count="1" selected="0">
            <x v="296"/>
          </reference>
        </references>
      </pivotArea>
    </format>
    <format dxfId="360">
      <pivotArea dataOnly="0" labelOnly="1" outline="0" fieldPosition="0">
        <references count="4">
          <reference field="0" count="1" selected="0">
            <x v="179"/>
          </reference>
          <reference field="1" count="1">
            <x v="182"/>
          </reference>
          <reference field="2" count="1" selected="0">
            <x v="395"/>
          </reference>
          <reference field="3" count="1" selected="0">
            <x v="296"/>
          </reference>
        </references>
      </pivotArea>
    </format>
    <format dxfId="359">
      <pivotArea dataOnly="0" labelOnly="1" outline="0" fieldPosition="0">
        <references count="4">
          <reference field="0" count="1" selected="0">
            <x v="328"/>
          </reference>
          <reference field="1" count="1">
            <x v="327"/>
          </reference>
          <reference field="2" count="1" selected="0">
            <x v="395"/>
          </reference>
          <reference field="3" count="1" selected="0">
            <x v="296"/>
          </reference>
        </references>
      </pivotArea>
    </format>
    <format dxfId="358">
      <pivotArea dataOnly="0" labelOnly="1" outline="0" fieldPosition="0">
        <references count="4">
          <reference field="0" count="1" selected="0">
            <x v="28"/>
          </reference>
          <reference field="1" count="1">
            <x v="30"/>
          </reference>
          <reference field="2" count="1" selected="0">
            <x v="396"/>
          </reference>
          <reference field="3" count="1" selected="0">
            <x v="301"/>
          </reference>
        </references>
      </pivotArea>
    </format>
    <format dxfId="357">
      <pivotArea dataOnly="0" labelOnly="1" outline="0" fieldPosition="0">
        <references count="4">
          <reference field="0" count="1" selected="0">
            <x v="155"/>
          </reference>
          <reference field="1" count="1">
            <x v="158"/>
          </reference>
          <reference field="2" count="1" selected="0">
            <x v="396"/>
          </reference>
          <reference field="3" count="1" selected="0">
            <x v="301"/>
          </reference>
        </references>
      </pivotArea>
    </format>
    <format dxfId="356">
      <pivotArea dataOnly="0" labelOnly="1" outline="0" fieldPosition="0">
        <references count="4">
          <reference field="0" count="1" selected="0">
            <x v="215"/>
          </reference>
          <reference field="1" count="1">
            <x v="219"/>
          </reference>
          <reference field="2" count="1" selected="0">
            <x v="396"/>
          </reference>
          <reference field="3" count="1" selected="0">
            <x v="301"/>
          </reference>
        </references>
      </pivotArea>
    </format>
    <format dxfId="355">
      <pivotArea dataOnly="0" labelOnly="1" outline="0" fieldPosition="0">
        <references count="4">
          <reference field="0" count="1" selected="0">
            <x v="20"/>
          </reference>
          <reference field="1" count="1">
            <x v="22"/>
          </reference>
          <reference field="2" count="1" selected="0">
            <x v="397"/>
          </reference>
          <reference field="3" count="1" selected="0">
            <x v="309"/>
          </reference>
        </references>
      </pivotArea>
    </format>
    <format dxfId="354">
      <pivotArea dataOnly="0" labelOnly="1" outline="0" fieldPosition="0">
        <references count="4">
          <reference field="0" count="1" selected="0">
            <x v="123"/>
          </reference>
          <reference field="1" count="1">
            <x v="126"/>
          </reference>
          <reference field="2" count="1" selected="0">
            <x v="397"/>
          </reference>
          <reference field="3" count="1" selected="0">
            <x v="309"/>
          </reference>
        </references>
      </pivotArea>
    </format>
    <format dxfId="353">
      <pivotArea dataOnly="0" labelOnly="1" outline="0" fieldPosition="0">
        <references count="4">
          <reference field="0" count="1" selected="0">
            <x v="139"/>
          </reference>
          <reference field="1" count="1">
            <x v="142"/>
          </reference>
          <reference field="2" count="1" selected="0">
            <x v="397"/>
          </reference>
          <reference field="3" count="1" selected="0">
            <x v="309"/>
          </reference>
        </references>
      </pivotArea>
    </format>
    <format dxfId="352">
      <pivotArea dataOnly="0" labelOnly="1" outline="0" fieldPosition="0">
        <references count="4">
          <reference field="0" count="1" selected="0">
            <x v="201"/>
          </reference>
          <reference field="1" count="1">
            <x v="204"/>
          </reference>
          <reference field="2" count="1" selected="0">
            <x v="397"/>
          </reference>
          <reference field="3" count="1" selected="0">
            <x v="309"/>
          </reference>
        </references>
      </pivotArea>
    </format>
    <format dxfId="351">
      <pivotArea dataOnly="0" labelOnly="1" outline="0" fieldPosition="0">
        <references count="4">
          <reference field="0" count="1" selected="0">
            <x v="221"/>
          </reference>
          <reference field="1" count="1">
            <x v="224"/>
          </reference>
          <reference field="2" count="1" selected="0">
            <x v="397"/>
          </reference>
          <reference field="3" count="1" selected="0">
            <x v="309"/>
          </reference>
        </references>
      </pivotArea>
    </format>
    <format dxfId="350">
      <pivotArea dataOnly="0" labelOnly="1" outline="0" fieldPosition="0">
        <references count="4">
          <reference field="0" count="1" selected="0">
            <x v="205"/>
          </reference>
          <reference field="1" count="1">
            <x v="206"/>
          </reference>
          <reference field="2" count="1" selected="0">
            <x v="398"/>
          </reference>
          <reference field="3" count="1" selected="0">
            <x v="312"/>
          </reference>
        </references>
      </pivotArea>
    </format>
    <format dxfId="349">
      <pivotArea dataOnly="0" labelOnly="1" outline="0" fieldPosition="0">
        <references count="4">
          <reference field="0" count="1" selected="0">
            <x v="222"/>
          </reference>
          <reference field="1" count="1">
            <x v="225"/>
          </reference>
          <reference field="2" count="1" selected="0">
            <x v="398"/>
          </reference>
          <reference field="3" count="1" selected="0">
            <x v="312"/>
          </reference>
        </references>
      </pivotArea>
    </format>
    <format dxfId="348">
      <pivotArea dataOnly="0" labelOnly="1" outline="0" fieldPosition="0">
        <references count="4">
          <reference field="0" count="1" selected="0">
            <x v="233"/>
          </reference>
          <reference field="1" count="1">
            <x v="236"/>
          </reference>
          <reference field="2" count="1" selected="0">
            <x v="398"/>
          </reference>
          <reference field="3" count="1" selected="0">
            <x v="312"/>
          </reference>
        </references>
      </pivotArea>
    </format>
    <format dxfId="347">
      <pivotArea dataOnly="0" labelOnly="1" outline="0" fieldPosition="0">
        <references count="4">
          <reference field="0" count="1" selected="0">
            <x v="318"/>
          </reference>
          <reference field="1" count="1">
            <x v="322"/>
          </reference>
          <reference field="2" count="1" selected="0">
            <x v="398"/>
          </reference>
          <reference field="3" count="1" selected="0">
            <x v="312"/>
          </reference>
        </references>
      </pivotArea>
    </format>
    <format dxfId="346">
      <pivotArea dataOnly="0" labelOnly="1" outline="0" fieldPosition="0">
        <references count="4">
          <reference field="0" count="1" selected="0">
            <x v="117"/>
          </reference>
          <reference field="1" count="1">
            <x v="120"/>
          </reference>
          <reference field="2" count="1" selected="0">
            <x v="399"/>
          </reference>
          <reference field="3" count="1" selected="0">
            <x v="343"/>
          </reference>
        </references>
      </pivotArea>
    </format>
    <format dxfId="345">
      <pivotArea dataOnly="0" labelOnly="1" outline="0" fieldPosition="0">
        <references count="4">
          <reference field="0" count="1" selected="0">
            <x v="144"/>
          </reference>
          <reference field="1" count="1">
            <x v="147"/>
          </reference>
          <reference field="2" count="1" selected="0">
            <x v="399"/>
          </reference>
          <reference field="3" count="1" selected="0">
            <x v="343"/>
          </reference>
        </references>
      </pivotArea>
    </format>
    <format dxfId="344">
      <pivotArea dataOnly="0" labelOnly="1" outline="0" fieldPosition="0">
        <references count="4">
          <reference field="0" count="1" selected="0">
            <x v="239"/>
          </reference>
          <reference field="1" count="1">
            <x v="242"/>
          </reference>
          <reference field="2" count="1" selected="0">
            <x v="399"/>
          </reference>
          <reference field="3" count="1" selected="0">
            <x v="343"/>
          </reference>
        </references>
      </pivotArea>
    </format>
    <format dxfId="343">
      <pivotArea dataOnly="0" labelOnly="1" outline="0" fieldPosition="0">
        <references count="4">
          <reference field="0" count="1" selected="0">
            <x v="26"/>
          </reference>
          <reference field="1" count="1">
            <x v="28"/>
          </reference>
          <reference field="2" count="1" selected="0">
            <x v="400"/>
          </reference>
          <reference field="3" count="1" selected="0">
            <x v="345"/>
          </reference>
        </references>
      </pivotArea>
    </format>
    <format dxfId="342">
      <pivotArea dataOnly="0" labelOnly="1" outline="0" fieldPosition="0">
        <references count="4">
          <reference field="0" count="1" selected="0">
            <x v="272"/>
          </reference>
          <reference field="1" count="1">
            <x v="275"/>
          </reference>
          <reference field="2" count="1" selected="0">
            <x v="400"/>
          </reference>
          <reference field="3" count="1" selected="0">
            <x v="345"/>
          </reference>
        </references>
      </pivotArea>
    </format>
    <format dxfId="341">
      <pivotArea dataOnly="0" labelOnly="1" outline="0" fieldPosition="0">
        <references count="4">
          <reference field="0" count="1" selected="0">
            <x v="5"/>
          </reference>
          <reference field="1" count="1">
            <x v="6"/>
          </reference>
          <reference field="2" count="1" selected="0">
            <x v="401"/>
          </reference>
          <reference field="3" count="1" selected="0">
            <x v="354"/>
          </reference>
        </references>
      </pivotArea>
    </format>
    <format dxfId="340">
      <pivotArea dataOnly="0" labelOnly="1" outline="0" fieldPosition="0">
        <references count="4">
          <reference field="0" count="1" selected="0">
            <x v="89"/>
          </reference>
          <reference field="1" count="1">
            <x v="93"/>
          </reference>
          <reference field="2" count="1" selected="0">
            <x v="401"/>
          </reference>
          <reference field="3" count="1" selected="0">
            <x v="354"/>
          </reference>
        </references>
      </pivotArea>
    </format>
    <format dxfId="339">
      <pivotArea dataOnly="0" labelOnly="1" outline="0" fieldPosition="0">
        <references count="4">
          <reference field="0" count="1" selected="0">
            <x v="192"/>
          </reference>
          <reference field="1" count="1">
            <x v="195"/>
          </reference>
          <reference field="2" count="1" selected="0">
            <x v="401"/>
          </reference>
          <reference field="3" count="1" selected="0">
            <x v="354"/>
          </reference>
        </references>
      </pivotArea>
    </format>
    <format dxfId="338">
      <pivotArea dataOnly="0" labelOnly="1" outline="0" fieldPosition="0">
        <references count="4">
          <reference field="0" count="1" selected="0">
            <x v="204"/>
          </reference>
          <reference field="1" count="1">
            <x v="205"/>
          </reference>
          <reference field="2" count="1" selected="0">
            <x v="401"/>
          </reference>
          <reference field="3" count="1" selected="0">
            <x v="354"/>
          </reference>
        </references>
      </pivotArea>
    </format>
    <format dxfId="337">
      <pivotArea dataOnly="0" labelOnly="1" outline="0" fieldPosition="0">
        <references count="4">
          <reference field="0" count="1" selected="0">
            <x v="266"/>
          </reference>
          <reference field="1" count="1">
            <x v="269"/>
          </reference>
          <reference field="2" count="1" selected="0">
            <x v="401"/>
          </reference>
          <reference field="3" count="1" selected="0">
            <x v="354"/>
          </reference>
        </references>
      </pivotArea>
    </format>
    <format dxfId="336">
      <pivotArea dataOnly="0" labelOnly="1" outline="0" fieldPosition="0">
        <references count="4">
          <reference field="0" count="1" selected="0">
            <x v="278"/>
          </reference>
          <reference field="1" count="1">
            <x v="281"/>
          </reference>
          <reference field="2" count="1" selected="0">
            <x v="402"/>
          </reference>
          <reference field="3" count="1" selected="0">
            <x v="357"/>
          </reference>
        </references>
      </pivotArea>
    </format>
    <format dxfId="335">
      <pivotArea dataOnly="0" labelOnly="1" outline="0" fieldPosition="0">
        <references count="4">
          <reference field="0" count="1" selected="0">
            <x v="296"/>
          </reference>
          <reference field="1" count="1">
            <x v="300"/>
          </reference>
          <reference field="2" count="1" selected="0">
            <x v="402"/>
          </reference>
          <reference field="3" count="1" selected="0">
            <x v="357"/>
          </reference>
        </references>
      </pivotArea>
    </format>
    <format dxfId="334">
      <pivotArea dataOnly="0" labelOnly="1" outline="0" fieldPosition="0">
        <references count="4">
          <reference field="0" count="1" selected="0">
            <x v="111"/>
          </reference>
          <reference field="1" count="1">
            <x v="114"/>
          </reference>
          <reference field="2" count="1" selected="0">
            <x v="402"/>
          </reference>
          <reference field="3" count="1" selected="0">
            <x v="358"/>
          </reference>
        </references>
      </pivotArea>
    </format>
    <format dxfId="333">
      <pivotArea dataOnly="0" labelOnly="1" outline="0" fieldPosition="0">
        <references count="4">
          <reference field="0" count="1" selected="0">
            <x v="83"/>
          </reference>
          <reference field="1" count="1">
            <x v="87"/>
          </reference>
          <reference field="2" count="1" selected="0">
            <x v="403"/>
          </reference>
          <reference field="3" count="1" selected="0">
            <x v="360"/>
          </reference>
        </references>
      </pivotArea>
    </format>
    <format dxfId="332">
      <pivotArea dataOnly="0" labelOnly="1" outline="0" fieldPosition="0">
        <references count="4">
          <reference field="0" count="1" selected="0">
            <x v="279"/>
          </reference>
          <reference field="1" count="1">
            <x v="282"/>
          </reference>
          <reference field="2" count="1" selected="0">
            <x v="403"/>
          </reference>
          <reference field="3" count="1" selected="0">
            <x v="360"/>
          </reference>
        </references>
      </pivotArea>
    </format>
    <format dxfId="331">
      <pivotArea dataOnly="0" labelOnly="1" outline="0" fieldPosition="0">
        <references count="4">
          <reference field="0" count="1" selected="0">
            <x v="42"/>
          </reference>
          <reference field="1" count="1">
            <x v="46"/>
          </reference>
          <reference field="2" count="1" selected="0">
            <x v="404"/>
          </reference>
          <reference field="3" count="1" selected="0">
            <x v="374"/>
          </reference>
        </references>
      </pivotArea>
    </format>
    <format dxfId="330">
      <pivotArea dataOnly="0" labelOnly="1" outline="0" fieldPosition="0">
        <references count="4">
          <reference field="0" count="1" selected="0">
            <x v="44"/>
          </reference>
          <reference field="1" count="1">
            <x v="48"/>
          </reference>
          <reference field="2" count="1" selected="0">
            <x v="404"/>
          </reference>
          <reference field="3" count="1" selected="0">
            <x v="374"/>
          </reference>
        </references>
      </pivotArea>
    </format>
    <format dxfId="329">
      <pivotArea dataOnly="0" labelOnly="1" outline="0" fieldPosition="0">
        <references count="4">
          <reference field="0" count="1" selected="0">
            <x v="134"/>
          </reference>
          <reference field="1" count="1">
            <x v="137"/>
          </reference>
          <reference field="2" count="1" selected="0">
            <x v="404"/>
          </reference>
          <reference field="3" count="1" selected="0">
            <x v="374"/>
          </reference>
        </references>
      </pivotArea>
    </format>
    <format dxfId="328">
      <pivotArea dataOnly="0" labelOnly="1" outline="0" fieldPosition="0">
        <references count="4">
          <reference field="0" count="1" selected="0">
            <x v="286"/>
          </reference>
          <reference field="1" count="1">
            <x v="290"/>
          </reference>
          <reference field="2" count="1" selected="0">
            <x v="404"/>
          </reference>
          <reference field="3" count="1" selected="0">
            <x v="374"/>
          </reference>
        </references>
      </pivotArea>
    </format>
    <format dxfId="327">
      <pivotArea dataOnly="0" labelOnly="1" outline="0" fieldPosition="0">
        <references count="4">
          <reference field="0" count="1" selected="0">
            <x v="305"/>
          </reference>
          <reference field="1" count="1">
            <x v="309"/>
          </reference>
          <reference field="2" count="1" selected="0">
            <x v="404"/>
          </reference>
          <reference field="3" count="1" selected="0">
            <x v="374"/>
          </reference>
        </references>
      </pivotArea>
    </format>
    <format dxfId="326">
      <pivotArea dataOnly="0" labelOnly="1" outline="0" fieldPosition="0">
        <references count="4">
          <reference field="0" count="1" selected="0">
            <x v="202"/>
          </reference>
          <reference field="1" count="1">
            <x v="207"/>
          </reference>
          <reference field="2" count="1" selected="0">
            <x v="405"/>
          </reference>
          <reference field="3" count="1" selected="0">
            <x v="384"/>
          </reference>
        </references>
      </pivotArea>
    </format>
    <format dxfId="325">
      <pivotArea dataOnly="0" labelOnly="1" outline="0" fieldPosition="0">
        <references count="4">
          <reference field="0" count="1" selected="0">
            <x v="253"/>
          </reference>
          <reference field="1" count="1">
            <x v="256"/>
          </reference>
          <reference field="2" count="1" selected="0">
            <x v="405"/>
          </reference>
          <reference field="3" count="1" selected="0">
            <x v="384"/>
          </reference>
        </references>
      </pivotArea>
    </format>
    <format dxfId="324">
      <pivotArea dataOnly="0" labelOnly="1" outline="0" fieldPosition="0">
        <references count="4">
          <reference field="0" count="1" selected="0">
            <x v="258"/>
          </reference>
          <reference field="1" count="1">
            <x v="261"/>
          </reference>
          <reference field="2" count="1" selected="0">
            <x v="405"/>
          </reference>
          <reference field="3" count="1" selected="0">
            <x v="384"/>
          </reference>
        </references>
      </pivotArea>
    </format>
    <format dxfId="323">
      <pivotArea dataOnly="0" labelOnly="1" outline="0" fieldPosition="0">
        <references count="4">
          <reference field="0" count="1" selected="0">
            <x v="61"/>
          </reference>
          <reference field="1" count="1">
            <x v="65"/>
          </reference>
          <reference field="2" count="1" selected="0">
            <x v="406"/>
          </reference>
          <reference field="3" count="1" selected="0">
            <x v="388"/>
          </reference>
        </references>
      </pivotArea>
    </format>
    <format dxfId="322">
      <pivotArea dataOnly="0" labelOnly="1" outline="0" fieldPosition="0">
        <references count="4">
          <reference field="0" count="1" selected="0">
            <x v="103"/>
          </reference>
          <reference field="1" count="1">
            <x v="10"/>
          </reference>
          <reference field="2" count="1" selected="0">
            <x v="406"/>
          </reference>
          <reference field="3" count="1" selected="0">
            <x v="388"/>
          </reference>
        </references>
      </pivotArea>
    </format>
    <format dxfId="321">
      <pivotArea dataOnly="0" labelOnly="1" outline="0" fieldPosition="0">
        <references count="4">
          <reference field="0" count="1" selected="0">
            <x v="333"/>
          </reference>
          <reference field="1" count="1">
            <x v="330"/>
          </reference>
          <reference field="2" count="1" selected="0">
            <x v="406"/>
          </reference>
          <reference field="3" count="1" selected="0">
            <x v="388"/>
          </reference>
        </references>
      </pivotArea>
    </format>
    <format dxfId="320">
      <pivotArea dataOnly="0" labelOnly="1" outline="0" fieldPosition="0">
        <references count="4">
          <reference field="0" count="1" selected="0">
            <x v="133"/>
          </reference>
          <reference field="1" count="1">
            <x v="136"/>
          </reference>
          <reference field="2" count="1" selected="0">
            <x v="407"/>
          </reference>
          <reference field="3" count="1" selected="0">
            <x v="392"/>
          </reference>
        </references>
      </pivotArea>
    </format>
    <format dxfId="319">
      <pivotArea dataOnly="0" labelOnly="1" outline="0" fieldPosition="0">
        <references count="4">
          <reference field="0" count="1" selected="0">
            <x v="227"/>
          </reference>
          <reference field="1" count="1">
            <x v="230"/>
          </reference>
          <reference field="2" count="1" selected="0">
            <x v="407"/>
          </reference>
          <reference field="3" count="1" selected="0">
            <x v="392"/>
          </reference>
        </references>
      </pivotArea>
    </format>
    <format dxfId="318">
      <pivotArea dataOnly="0" labelOnly="1" outline="0" fieldPosition="0">
        <references count="4">
          <reference field="0" count="1" selected="0">
            <x v="240"/>
          </reference>
          <reference field="1" count="1">
            <x v="243"/>
          </reference>
          <reference field="2" count="1" selected="0">
            <x v="407"/>
          </reference>
          <reference field="3" count="1" selected="0">
            <x v="392"/>
          </reference>
        </references>
      </pivotArea>
    </format>
    <format dxfId="317">
      <pivotArea dataOnly="0" labelOnly="1" outline="0" fieldPosition="0">
        <references count="4">
          <reference field="0" count="1" selected="0">
            <x v="256"/>
          </reference>
          <reference field="1" count="1">
            <x v="259"/>
          </reference>
          <reference field="2" count="1" selected="0">
            <x v="407"/>
          </reference>
          <reference field="3" count="1" selected="0">
            <x v="392"/>
          </reference>
        </references>
      </pivotArea>
    </format>
    <format dxfId="316">
      <pivotArea dataOnly="0" labelOnly="1" outline="0" fieldPosition="0">
        <references count="4">
          <reference field="0" count="1" selected="0">
            <x v="281"/>
          </reference>
          <reference field="1" count="1">
            <x v="285"/>
          </reference>
          <reference field="2" count="1" selected="0">
            <x v="407"/>
          </reference>
          <reference field="3" count="1" selected="0">
            <x v="392"/>
          </reference>
        </references>
      </pivotArea>
    </format>
    <format dxfId="315">
      <pivotArea dataOnly="0" labelOnly="1" outline="0" fieldPosition="0">
        <references count="4">
          <reference field="0" count="1" selected="0">
            <x v="310"/>
          </reference>
          <reference field="1" count="1">
            <x v="314"/>
          </reference>
          <reference field="2" count="1" selected="0">
            <x v="408"/>
          </reference>
          <reference field="3" count="1" selected="0">
            <x v="310"/>
          </reference>
        </references>
      </pivotArea>
    </format>
    <format dxfId="314">
      <pivotArea dataOnly="0" labelOnly="1" outline="0" fieldPosition="0">
        <references count="4">
          <reference field="0" count="1" selected="0">
            <x v="323"/>
          </reference>
          <reference field="1" count="1">
            <x v="326"/>
          </reference>
          <reference field="2" count="1" selected="0">
            <x v="408"/>
          </reference>
          <reference field="3" count="1" selected="0">
            <x v="310"/>
          </reference>
        </references>
      </pivotArea>
    </format>
    <format dxfId="313">
      <pivotArea dataOnly="0" labelOnly="1" outline="0" fieldPosition="0">
        <references count="4">
          <reference field="0" count="1" selected="0">
            <x v="122"/>
          </reference>
          <reference field="1" count="1">
            <x v="125"/>
          </reference>
          <reference field="2" count="1" selected="0">
            <x v="409"/>
          </reference>
          <reference field="3" count="1" selected="0">
            <x v="427"/>
          </reference>
        </references>
      </pivotArea>
    </format>
    <format dxfId="312">
      <pivotArea dataOnly="0" labelOnly="1" outline="0" fieldPosition="0">
        <references count="4">
          <reference field="0" count="1" selected="0">
            <x v="337"/>
          </reference>
          <reference field="1" count="1">
            <x v="341"/>
          </reference>
          <reference field="2" count="1" selected="0">
            <x v="409"/>
          </reference>
          <reference field="3" count="1" selected="0">
            <x v="427"/>
          </reference>
        </references>
      </pivotArea>
    </format>
    <format dxfId="311">
      <pivotArea dataOnly="0" labelOnly="1" outline="0" fieldPosition="0">
        <references count="4">
          <reference field="0" count="1" selected="0">
            <x v="27"/>
          </reference>
          <reference field="1" count="1">
            <x v="29"/>
          </reference>
          <reference field="2" count="1" selected="0">
            <x v="410"/>
          </reference>
          <reference field="3" count="1" selected="0">
            <x v="19"/>
          </reference>
        </references>
      </pivotArea>
    </format>
    <format dxfId="310">
      <pivotArea dataOnly="0" labelOnly="1" outline="0" fieldPosition="0">
        <references count="4">
          <reference field="0" count="1" selected="0">
            <x v="140"/>
          </reference>
          <reference field="1" count="1">
            <x v="143"/>
          </reference>
          <reference field="2" count="1" selected="0">
            <x v="410"/>
          </reference>
          <reference field="3" count="1" selected="0">
            <x v="19"/>
          </reference>
        </references>
      </pivotArea>
    </format>
    <format dxfId="309">
      <pivotArea dataOnly="0" labelOnly="1" outline="0" fieldPosition="0">
        <references count="4">
          <reference field="0" count="1" selected="0">
            <x v="169"/>
          </reference>
          <reference field="1" count="1">
            <x v="172"/>
          </reference>
          <reference field="2" count="1" selected="0">
            <x v="410"/>
          </reference>
          <reference field="3" count="1" selected="0">
            <x v="19"/>
          </reference>
        </references>
      </pivotArea>
    </format>
    <format dxfId="308">
      <pivotArea dataOnly="0" labelOnly="1" outline="0" fieldPosition="0">
        <references count="4">
          <reference field="0" count="1" selected="0">
            <x v="173"/>
          </reference>
          <reference field="1" count="1">
            <x v="176"/>
          </reference>
          <reference field="2" count="1" selected="0">
            <x v="410"/>
          </reference>
          <reference field="3" count="1" selected="0">
            <x v="19"/>
          </reference>
        </references>
      </pivotArea>
    </format>
    <format dxfId="307">
      <pivotArea dataOnly="0" labelOnly="1" outline="0" fieldPosition="0">
        <references count="4">
          <reference field="0" count="1" selected="0">
            <x v="212"/>
          </reference>
          <reference field="1" count="1">
            <x v="217"/>
          </reference>
          <reference field="2" count="1" selected="0">
            <x v="410"/>
          </reference>
          <reference field="3" count="1" selected="0">
            <x v="19"/>
          </reference>
        </references>
      </pivotArea>
    </format>
    <format dxfId="306">
      <pivotArea dataOnly="0" labelOnly="1" outline="0" fieldPosition="0">
        <references count="4">
          <reference field="0" count="1" selected="0">
            <x v="275"/>
          </reference>
          <reference field="1" count="1">
            <x v="279"/>
          </reference>
          <reference field="2" count="1" selected="0">
            <x v="410"/>
          </reference>
          <reference field="3" count="1" selected="0">
            <x v="19"/>
          </reference>
        </references>
      </pivotArea>
    </format>
    <format dxfId="305">
      <pivotArea dataOnly="0" labelOnly="1" outline="0" fieldPosition="0">
        <references count="4">
          <reference field="0" count="1" selected="0">
            <x v="320"/>
          </reference>
          <reference field="1" count="1">
            <x v="331"/>
          </reference>
          <reference field="2" count="1" selected="0">
            <x v="410"/>
          </reference>
          <reference field="3" count="1" selected="0">
            <x v="19"/>
          </reference>
        </references>
      </pivotArea>
    </format>
    <format dxfId="304">
      <pivotArea dataOnly="0" labelOnly="1" outline="0" fieldPosition="0">
        <references count="4">
          <reference field="0" count="1" selected="0">
            <x v="24"/>
          </reference>
          <reference field="1" count="1">
            <x v="26"/>
          </reference>
          <reference field="2" count="1" selected="0">
            <x v="411"/>
          </reference>
          <reference field="3" count="1" selected="0">
            <x v="43"/>
          </reference>
        </references>
      </pivotArea>
    </format>
    <format dxfId="303">
      <pivotArea dataOnly="0" labelOnly="1" outline="0" fieldPosition="0">
        <references count="4">
          <reference field="0" count="1" selected="0">
            <x v="31"/>
          </reference>
          <reference field="1" count="1">
            <x v="33"/>
          </reference>
          <reference field="2" count="1" selected="0">
            <x v="411"/>
          </reference>
          <reference field="3" count="1" selected="0">
            <x v="43"/>
          </reference>
        </references>
      </pivotArea>
    </format>
    <format dxfId="302">
      <pivotArea dataOnly="0" labelOnly="1" outline="0" fieldPosition="0">
        <references count="4">
          <reference field="0" count="1" selected="0">
            <x v="76"/>
          </reference>
          <reference field="1" count="1">
            <x v="80"/>
          </reference>
          <reference field="2" count="1" selected="0">
            <x v="411"/>
          </reference>
          <reference field="3" count="1" selected="0">
            <x v="43"/>
          </reference>
        </references>
      </pivotArea>
    </format>
    <format dxfId="301">
      <pivotArea dataOnly="0" labelOnly="1" outline="0" fieldPosition="0">
        <references count="4">
          <reference field="0" count="1" selected="0">
            <x v="109"/>
          </reference>
          <reference field="1" count="1">
            <x v="112"/>
          </reference>
          <reference field="2" count="1" selected="0">
            <x v="411"/>
          </reference>
          <reference field="3" count="1" selected="0">
            <x v="43"/>
          </reference>
        </references>
      </pivotArea>
    </format>
    <format dxfId="300">
      <pivotArea dataOnly="0" labelOnly="1" outline="0" fieldPosition="0">
        <references count="4">
          <reference field="0" count="1" selected="0">
            <x v="137"/>
          </reference>
          <reference field="1" count="1">
            <x v="140"/>
          </reference>
          <reference field="2" count="1" selected="0">
            <x v="411"/>
          </reference>
          <reference field="3" count="1" selected="0">
            <x v="43"/>
          </reference>
        </references>
      </pivotArea>
    </format>
    <format dxfId="299">
      <pivotArea dataOnly="0" labelOnly="1" outline="0" fieldPosition="0">
        <references count="4">
          <reference field="0" count="1" selected="0">
            <x v="178"/>
          </reference>
          <reference field="1" count="1">
            <x v="181"/>
          </reference>
          <reference field="2" count="1" selected="0">
            <x v="411"/>
          </reference>
          <reference field="3" count="1" selected="0">
            <x v="43"/>
          </reference>
        </references>
      </pivotArea>
    </format>
    <format dxfId="298">
      <pivotArea dataOnly="0" labelOnly="1" outline="0" fieldPosition="0">
        <references count="4">
          <reference field="0" count="1" selected="0">
            <x v="184"/>
          </reference>
          <reference field="1" count="1">
            <x v="187"/>
          </reference>
          <reference field="2" count="1" selected="0">
            <x v="411"/>
          </reference>
          <reference field="3" count="1" selected="0">
            <x v="43"/>
          </reference>
        </references>
      </pivotArea>
    </format>
    <format dxfId="297">
      <pivotArea dataOnly="0" labelOnly="1" outline="0" fieldPosition="0">
        <references count="4">
          <reference field="0" count="1" selected="0">
            <x v="185"/>
          </reference>
          <reference field="1" count="1">
            <x v="188"/>
          </reference>
          <reference field="2" count="1" selected="0">
            <x v="411"/>
          </reference>
          <reference field="3" count="1" selected="0">
            <x v="43"/>
          </reference>
        </references>
      </pivotArea>
    </format>
    <format dxfId="296">
      <pivotArea dataOnly="0" labelOnly="1" outline="0" fieldPosition="0">
        <references count="4">
          <reference field="0" count="1" selected="0">
            <x v="187"/>
          </reference>
          <reference field="1" count="1">
            <x v="190"/>
          </reference>
          <reference field="2" count="1" selected="0">
            <x v="411"/>
          </reference>
          <reference field="3" count="1" selected="0">
            <x v="43"/>
          </reference>
        </references>
      </pivotArea>
    </format>
    <format dxfId="295">
      <pivotArea dataOnly="0" labelOnly="1" outline="0" fieldPosition="0">
        <references count="4">
          <reference field="0" count="1" selected="0">
            <x v="213"/>
          </reference>
          <reference field="1" count="1">
            <x v="218"/>
          </reference>
          <reference field="2" count="1" selected="0">
            <x v="411"/>
          </reference>
          <reference field="3" count="1" selected="0">
            <x v="43"/>
          </reference>
        </references>
      </pivotArea>
    </format>
    <format dxfId="294">
      <pivotArea dataOnly="0" labelOnly="1" outline="0" fieldPosition="0">
        <references count="4">
          <reference field="0" count="1" selected="0">
            <x v="289"/>
          </reference>
          <reference field="1" count="1">
            <x v="293"/>
          </reference>
          <reference field="2" count="1" selected="0">
            <x v="411"/>
          </reference>
          <reference field="3" count="1" selected="0">
            <x v="43"/>
          </reference>
        </references>
      </pivotArea>
    </format>
    <format dxfId="293">
      <pivotArea dataOnly="0" labelOnly="1" outline="0" fieldPosition="0">
        <references count="4">
          <reference field="0" count="1" selected="0">
            <x v="302"/>
          </reference>
          <reference field="1" count="1">
            <x v="306"/>
          </reference>
          <reference field="2" count="1" selected="0">
            <x v="411"/>
          </reference>
          <reference field="3" count="1" selected="0">
            <x v="43"/>
          </reference>
        </references>
      </pivotArea>
    </format>
    <format dxfId="292">
      <pivotArea dataOnly="0" labelOnly="1" outline="0" fieldPosition="0">
        <references count="4">
          <reference field="0" count="1" selected="0">
            <x v="303"/>
          </reference>
          <reference field="1" count="1">
            <x v="307"/>
          </reference>
          <reference field="2" count="1" selected="0">
            <x v="411"/>
          </reference>
          <reference field="3" count="1" selected="0">
            <x v="43"/>
          </reference>
        </references>
      </pivotArea>
    </format>
    <format dxfId="291">
      <pivotArea dataOnly="0" labelOnly="1" outline="0" fieldPosition="0">
        <references count="4">
          <reference field="0" count="1" selected="0">
            <x v="17"/>
          </reference>
          <reference field="1" count="1">
            <x v="19"/>
          </reference>
          <reference field="2" count="1" selected="0">
            <x v="412"/>
          </reference>
          <reference field="3" count="1" selected="0">
            <x v="45"/>
          </reference>
        </references>
      </pivotArea>
    </format>
    <format dxfId="290">
      <pivotArea dataOnly="0" labelOnly="1" outline="0" fieldPosition="0">
        <references count="4">
          <reference field="0" count="1" selected="0">
            <x v="39"/>
          </reference>
          <reference field="1" count="1">
            <x v="43"/>
          </reference>
          <reference field="2" count="1" selected="0">
            <x v="412"/>
          </reference>
          <reference field="3" count="1" selected="0">
            <x v="45"/>
          </reference>
        </references>
      </pivotArea>
    </format>
    <format dxfId="289">
      <pivotArea dataOnly="0" labelOnly="1" outline="0" fieldPosition="0">
        <references count="4">
          <reference field="0" count="1" selected="0">
            <x v="49"/>
          </reference>
          <reference field="1" count="1">
            <x v="53"/>
          </reference>
          <reference field="2" count="1" selected="0">
            <x v="412"/>
          </reference>
          <reference field="3" count="1" selected="0">
            <x v="45"/>
          </reference>
        </references>
      </pivotArea>
    </format>
    <format dxfId="288">
      <pivotArea dataOnly="0" labelOnly="1" outline="0" fieldPosition="0">
        <references count="4">
          <reference field="0" count="1" selected="0">
            <x v="72"/>
          </reference>
          <reference field="1" count="1">
            <x v="76"/>
          </reference>
          <reference field="2" count="1" selected="0">
            <x v="412"/>
          </reference>
          <reference field="3" count="1" selected="0">
            <x v="45"/>
          </reference>
        </references>
      </pivotArea>
    </format>
    <format dxfId="287">
      <pivotArea dataOnly="0" labelOnly="1" outline="0" fieldPosition="0">
        <references count="4">
          <reference field="0" count="1" selected="0">
            <x v="132"/>
          </reference>
          <reference field="1" count="1">
            <x v="135"/>
          </reference>
          <reference field="2" count="1" selected="0">
            <x v="412"/>
          </reference>
          <reference field="3" count="1" selected="0">
            <x v="45"/>
          </reference>
        </references>
      </pivotArea>
    </format>
    <format dxfId="286">
      <pivotArea dataOnly="0" labelOnly="1" outline="0" fieldPosition="0">
        <references count="4">
          <reference field="0" count="1" selected="0">
            <x v="188"/>
          </reference>
          <reference field="1" count="1">
            <x v="191"/>
          </reference>
          <reference field="2" count="1" selected="0">
            <x v="412"/>
          </reference>
          <reference field="3" count="1" selected="0">
            <x v="45"/>
          </reference>
        </references>
      </pivotArea>
    </format>
    <format dxfId="285">
      <pivotArea dataOnly="0" labelOnly="1" outline="0" fieldPosition="0">
        <references count="4">
          <reference field="0" count="1" selected="0">
            <x v="219"/>
          </reference>
          <reference field="1" count="1">
            <x v="222"/>
          </reference>
          <reference field="2" count="1" selected="0">
            <x v="412"/>
          </reference>
          <reference field="3" count="1" selected="0">
            <x v="45"/>
          </reference>
        </references>
      </pivotArea>
    </format>
    <format dxfId="284">
      <pivotArea dataOnly="0" labelOnly="1" outline="0" fieldPosition="0">
        <references count="4">
          <reference field="0" count="1" selected="0">
            <x v="243"/>
          </reference>
          <reference field="1" count="1">
            <x v="246"/>
          </reference>
          <reference field="2" count="1" selected="0">
            <x v="412"/>
          </reference>
          <reference field="3" count="1" selected="0">
            <x v="45"/>
          </reference>
        </references>
      </pivotArea>
    </format>
    <format dxfId="283">
      <pivotArea dataOnly="0" labelOnly="1" outline="0" fieldPosition="0">
        <references count="4">
          <reference field="0" count="1" selected="0">
            <x v="334"/>
          </reference>
          <reference field="1" count="1">
            <x v="338"/>
          </reference>
          <reference field="2" count="1" selected="0">
            <x v="412"/>
          </reference>
          <reference field="3" count="1" selected="0">
            <x v="45"/>
          </reference>
        </references>
      </pivotArea>
    </format>
    <format dxfId="282">
      <pivotArea dataOnly="0" labelOnly="1" outline="0" fieldPosition="0">
        <references count="4">
          <reference field="0" count="1" selected="0">
            <x v="26"/>
          </reference>
          <reference field="1" count="1">
            <x v="28"/>
          </reference>
          <reference field="2" count="1" selected="0">
            <x v="413"/>
          </reference>
          <reference field="3" count="1" selected="0">
            <x v="58"/>
          </reference>
        </references>
      </pivotArea>
    </format>
    <format dxfId="281">
      <pivotArea dataOnly="0" labelOnly="1" outline="0" fieldPosition="0">
        <references count="4">
          <reference field="0" count="1" selected="0">
            <x v="41"/>
          </reference>
          <reference field="1" count="1">
            <x v="45"/>
          </reference>
          <reference field="2" count="1" selected="0">
            <x v="413"/>
          </reference>
          <reference field="3" count="1" selected="0">
            <x v="58"/>
          </reference>
        </references>
      </pivotArea>
    </format>
    <format dxfId="280">
      <pivotArea dataOnly="0" labelOnly="1" outline="0" fieldPosition="0">
        <references count="4">
          <reference field="0" count="1" selected="0">
            <x v="75"/>
          </reference>
          <reference field="1" count="1">
            <x v="79"/>
          </reference>
          <reference field="2" count="1" selected="0">
            <x v="413"/>
          </reference>
          <reference field="3" count="1" selected="0">
            <x v="58"/>
          </reference>
        </references>
      </pivotArea>
    </format>
    <format dxfId="279">
      <pivotArea dataOnly="0" labelOnly="1" outline="0" fieldPosition="0">
        <references count="4">
          <reference field="0" count="1" selected="0">
            <x v="101"/>
          </reference>
          <reference field="1" count="1">
            <x v="105"/>
          </reference>
          <reference field="2" count="1" selected="0">
            <x v="413"/>
          </reference>
          <reference field="3" count="1" selected="0">
            <x v="58"/>
          </reference>
        </references>
      </pivotArea>
    </format>
    <format dxfId="278">
      <pivotArea dataOnly="0" labelOnly="1" outline="0" fieldPosition="0">
        <references count="4">
          <reference field="0" count="1" selected="0">
            <x v="181"/>
          </reference>
          <reference field="1" count="1">
            <x v="184"/>
          </reference>
          <reference field="2" count="1" selected="0">
            <x v="413"/>
          </reference>
          <reference field="3" count="1" selected="0">
            <x v="58"/>
          </reference>
        </references>
      </pivotArea>
    </format>
    <format dxfId="277">
      <pivotArea dataOnly="0" labelOnly="1" outline="0" fieldPosition="0">
        <references count="4">
          <reference field="0" count="1" selected="0">
            <x v="244"/>
          </reference>
          <reference field="1" count="1">
            <x v="247"/>
          </reference>
          <reference field="2" count="1" selected="0">
            <x v="413"/>
          </reference>
          <reference field="3" count="1" selected="0">
            <x v="58"/>
          </reference>
        </references>
      </pivotArea>
    </format>
    <format dxfId="276">
      <pivotArea dataOnly="0" labelOnly="1" outline="0" fieldPosition="0">
        <references count="4">
          <reference field="0" count="1" selected="0">
            <x v="246"/>
          </reference>
          <reference field="1" count="1">
            <x v="249"/>
          </reference>
          <reference field="2" count="1" selected="0">
            <x v="413"/>
          </reference>
          <reference field="3" count="1" selected="0">
            <x v="58"/>
          </reference>
        </references>
      </pivotArea>
    </format>
    <format dxfId="275">
      <pivotArea dataOnly="0" labelOnly="1" outline="0" fieldPosition="0">
        <references count="4">
          <reference field="0" count="1" selected="0">
            <x v="292"/>
          </reference>
          <reference field="1" count="1">
            <x v="296"/>
          </reference>
          <reference field="2" count="1" selected="0">
            <x v="413"/>
          </reference>
          <reference field="3" count="1" selected="0">
            <x v="58"/>
          </reference>
        </references>
      </pivotArea>
    </format>
    <format dxfId="274">
      <pivotArea dataOnly="0" labelOnly="1" outline="0" fieldPosition="0">
        <references count="4">
          <reference field="0" count="1" selected="0">
            <x v="19"/>
          </reference>
          <reference field="1" count="1">
            <x v="21"/>
          </reference>
          <reference field="2" count="1" selected="0">
            <x v="414"/>
          </reference>
          <reference field="3" count="1" selected="0">
            <x v="66"/>
          </reference>
        </references>
      </pivotArea>
    </format>
    <format dxfId="273">
      <pivotArea dataOnly="0" labelOnly="1" outline="0" fieldPosition="0">
        <references count="4">
          <reference field="0" count="1" selected="0">
            <x v="40"/>
          </reference>
          <reference field="1" count="1">
            <x v="44"/>
          </reference>
          <reference field="2" count="1" selected="0">
            <x v="414"/>
          </reference>
          <reference field="3" count="1" selected="0">
            <x v="66"/>
          </reference>
        </references>
      </pivotArea>
    </format>
    <format dxfId="272">
      <pivotArea dataOnly="0" labelOnly="1" outline="0" fieldPosition="0">
        <references count="4">
          <reference field="0" count="1" selected="0">
            <x v="54"/>
          </reference>
          <reference field="1" count="1">
            <x v="58"/>
          </reference>
          <reference field="2" count="1" selected="0">
            <x v="414"/>
          </reference>
          <reference field="3" count="1" selected="0">
            <x v="66"/>
          </reference>
        </references>
      </pivotArea>
    </format>
    <format dxfId="271">
      <pivotArea dataOnly="0" labelOnly="1" outline="0" fieldPosition="0">
        <references count="4">
          <reference field="0" count="1" selected="0">
            <x v="74"/>
          </reference>
          <reference field="1" count="1">
            <x v="78"/>
          </reference>
          <reference field="2" count="1" selected="0">
            <x v="414"/>
          </reference>
          <reference field="3" count="1" selected="0">
            <x v="66"/>
          </reference>
        </references>
      </pivotArea>
    </format>
    <format dxfId="270">
      <pivotArea dataOnly="0" labelOnly="1" outline="0" fieldPosition="0">
        <references count="4">
          <reference field="0" count="1" selected="0">
            <x v="84"/>
          </reference>
          <reference field="1" count="1">
            <x v="89"/>
          </reference>
          <reference field="2" count="1" selected="0">
            <x v="414"/>
          </reference>
          <reference field="3" count="1" selected="0">
            <x v="66"/>
          </reference>
        </references>
      </pivotArea>
    </format>
    <format dxfId="269">
      <pivotArea dataOnly="0" labelOnly="1" outline="0" fieldPosition="0">
        <references count="4">
          <reference field="0" count="1" selected="0">
            <x v="125"/>
          </reference>
          <reference field="1" count="1">
            <x v="128"/>
          </reference>
          <reference field="2" count="1" selected="0">
            <x v="414"/>
          </reference>
          <reference field="3" count="1" selected="0">
            <x v="66"/>
          </reference>
        </references>
      </pivotArea>
    </format>
    <format dxfId="268">
      <pivotArea dataOnly="0" labelOnly="1" outline="0" fieldPosition="0">
        <references count="4">
          <reference field="0" count="1" selected="0">
            <x v="171"/>
          </reference>
          <reference field="1" count="1">
            <x v="174"/>
          </reference>
          <reference field="2" count="1" selected="0">
            <x v="414"/>
          </reference>
          <reference field="3" count="1" selected="0">
            <x v="66"/>
          </reference>
        </references>
      </pivotArea>
    </format>
    <format dxfId="267">
      <pivotArea dataOnly="0" labelOnly="1" outline="0" fieldPosition="0">
        <references count="4">
          <reference field="0" count="1" selected="0">
            <x v="223"/>
          </reference>
          <reference field="1" count="1">
            <x v="226"/>
          </reference>
          <reference field="2" count="1" selected="0">
            <x v="414"/>
          </reference>
          <reference field="3" count="1" selected="0">
            <x v="66"/>
          </reference>
        </references>
      </pivotArea>
    </format>
    <format dxfId="266">
      <pivotArea dataOnly="0" labelOnly="1" outline="0" fieldPosition="0">
        <references count="4">
          <reference field="0" count="1" selected="0">
            <x v="241"/>
          </reference>
          <reference field="1" count="1">
            <x v="244"/>
          </reference>
          <reference field="2" count="1" selected="0">
            <x v="414"/>
          </reference>
          <reference field="3" count="1" selected="0">
            <x v="66"/>
          </reference>
        </references>
      </pivotArea>
    </format>
    <format dxfId="265">
      <pivotArea dataOnly="0" labelOnly="1" outline="0" fieldPosition="0">
        <references count="4">
          <reference field="0" count="1" selected="0">
            <x v="299"/>
          </reference>
          <reference field="1" count="1">
            <x v="303"/>
          </reference>
          <reference field="2" count="1" selected="0">
            <x v="414"/>
          </reference>
          <reference field="3" count="1" selected="0">
            <x v="66"/>
          </reference>
        </references>
      </pivotArea>
    </format>
    <format dxfId="264">
      <pivotArea dataOnly="0" labelOnly="1" outline="0" fieldPosition="0">
        <references count="4">
          <reference field="0" count="1" selected="0">
            <x v="317"/>
          </reference>
          <reference field="1" count="1">
            <x v="321"/>
          </reference>
          <reference field="2" count="1" selected="0">
            <x v="414"/>
          </reference>
          <reference field="3" count="1" selected="0">
            <x v="66"/>
          </reference>
        </references>
      </pivotArea>
    </format>
    <format dxfId="263">
      <pivotArea dataOnly="0" labelOnly="1" outline="0" fieldPosition="0">
        <references count="4">
          <reference field="0" count="1" selected="0">
            <x v="350"/>
          </reference>
          <reference field="1" count="1">
            <x v="354"/>
          </reference>
          <reference field="2" count="1" selected="0">
            <x v="414"/>
          </reference>
          <reference field="3" count="1" selected="0">
            <x v="66"/>
          </reference>
        </references>
      </pivotArea>
    </format>
    <format dxfId="262">
      <pivotArea dataOnly="0" labelOnly="1" outline="0" fieldPosition="0">
        <references count="4">
          <reference field="0" count="1" selected="0">
            <x v="29"/>
          </reference>
          <reference field="1" count="1">
            <x v="31"/>
          </reference>
          <reference field="2" count="1" selected="0">
            <x v="415"/>
          </reference>
          <reference field="3" count="1" selected="0">
            <x v="116"/>
          </reference>
        </references>
      </pivotArea>
    </format>
    <format dxfId="261">
      <pivotArea dataOnly="0" labelOnly="1" outline="0" fieldPosition="0">
        <references count="4">
          <reference field="0" count="1" selected="0">
            <x v="37"/>
          </reference>
          <reference field="1" count="1">
            <x v="40"/>
          </reference>
          <reference field="2" count="1" selected="0">
            <x v="415"/>
          </reference>
          <reference field="3" count="1" selected="0">
            <x v="116"/>
          </reference>
        </references>
      </pivotArea>
    </format>
    <format dxfId="260">
      <pivotArea dataOnly="0" labelOnly="1" outline="0" fieldPosition="0">
        <references count="4">
          <reference field="0" count="1" selected="0">
            <x v="70"/>
          </reference>
          <reference field="1" count="1">
            <x v="74"/>
          </reference>
          <reference field="2" count="1" selected="0">
            <x v="415"/>
          </reference>
          <reference field="3" count="1" selected="0">
            <x v="116"/>
          </reference>
        </references>
      </pivotArea>
    </format>
    <format dxfId="259">
      <pivotArea dataOnly="0" labelOnly="1" outline="0" fieldPosition="0">
        <references count="4">
          <reference field="0" count="1" selected="0">
            <x v="91"/>
          </reference>
          <reference field="1" count="1">
            <x v="95"/>
          </reference>
          <reference field="2" count="1" selected="0">
            <x v="415"/>
          </reference>
          <reference field="3" count="1" selected="0">
            <x v="116"/>
          </reference>
        </references>
      </pivotArea>
    </format>
    <format dxfId="258">
      <pivotArea dataOnly="0" labelOnly="1" outline="0" fieldPosition="0">
        <references count="4">
          <reference field="0" count="1" selected="0">
            <x v="106"/>
          </reference>
          <reference field="1" count="1">
            <x v="109"/>
          </reference>
          <reference field="2" count="1" selected="0">
            <x v="415"/>
          </reference>
          <reference field="3" count="1" selected="0">
            <x v="116"/>
          </reference>
        </references>
      </pivotArea>
    </format>
    <format dxfId="257">
      <pivotArea dataOnly="0" labelOnly="1" outline="0" fieldPosition="0">
        <references count="4">
          <reference field="0" count="1" selected="0">
            <x v="118"/>
          </reference>
          <reference field="1" count="1">
            <x v="121"/>
          </reference>
          <reference field="2" count="1" selected="0">
            <x v="415"/>
          </reference>
          <reference field="3" count="1" selected="0">
            <x v="116"/>
          </reference>
        </references>
      </pivotArea>
    </format>
    <format dxfId="256">
      <pivotArea dataOnly="0" labelOnly="1" outline="0" fieldPosition="0">
        <references count="4">
          <reference field="0" count="1" selected="0">
            <x v="163"/>
          </reference>
          <reference field="1" count="1">
            <x v="166"/>
          </reference>
          <reference field="2" count="1" selected="0">
            <x v="415"/>
          </reference>
          <reference field="3" count="1" selected="0">
            <x v="116"/>
          </reference>
        </references>
      </pivotArea>
    </format>
    <format dxfId="255">
      <pivotArea dataOnly="0" labelOnly="1" outline="0" fieldPosition="0">
        <references count="4">
          <reference field="0" count="1" selected="0">
            <x v="165"/>
          </reference>
          <reference field="1" count="1">
            <x v="168"/>
          </reference>
          <reference field="2" count="1" selected="0">
            <x v="415"/>
          </reference>
          <reference field="3" count="1" selected="0">
            <x v="116"/>
          </reference>
        </references>
      </pivotArea>
    </format>
    <format dxfId="254">
      <pivotArea dataOnly="0" labelOnly="1" outline="0" fieldPosition="0">
        <references count="4">
          <reference field="0" count="1" selected="0">
            <x v="167"/>
          </reference>
          <reference field="1" count="1">
            <x v="170"/>
          </reference>
          <reference field="2" count="1" selected="0">
            <x v="415"/>
          </reference>
          <reference field="3" count="1" selected="0">
            <x v="116"/>
          </reference>
        </references>
      </pivotArea>
    </format>
    <format dxfId="253">
      <pivotArea dataOnly="0" labelOnly="1" outline="0" fieldPosition="0">
        <references count="4">
          <reference field="0" count="1" selected="0">
            <x v="183"/>
          </reference>
          <reference field="1" count="1">
            <x v="186"/>
          </reference>
          <reference field="2" count="1" selected="0">
            <x v="415"/>
          </reference>
          <reference field="3" count="1" selected="0">
            <x v="116"/>
          </reference>
        </references>
      </pivotArea>
    </format>
    <format dxfId="252">
      <pivotArea dataOnly="0" labelOnly="1" outline="0" fieldPosition="0">
        <references count="4">
          <reference field="0" count="1" selected="0">
            <x v="195"/>
          </reference>
          <reference field="1" count="1">
            <x v="198"/>
          </reference>
          <reference field="2" count="1" selected="0">
            <x v="415"/>
          </reference>
          <reference field="3" count="1" selected="0">
            <x v="116"/>
          </reference>
        </references>
      </pivotArea>
    </format>
    <format dxfId="251">
      <pivotArea dataOnly="0" labelOnly="1" outline="0" fieldPosition="0">
        <references count="4">
          <reference field="0" count="1" selected="0">
            <x v="228"/>
          </reference>
          <reference field="1" count="1">
            <x v="231"/>
          </reference>
          <reference field="2" count="1" selected="0">
            <x v="415"/>
          </reference>
          <reference field="3" count="1" selected="0">
            <x v="116"/>
          </reference>
        </references>
      </pivotArea>
    </format>
    <format dxfId="250">
      <pivotArea dataOnly="0" labelOnly="1" outline="0" fieldPosition="0">
        <references count="4">
          <reference field="0" count="1" selected="0">
            <x v="251"/>
          </reference>
          <reference field="1" count="1">
            <x v="254"/>
          </reference>
          <reference field="2" count="1" selected="0">
            <x v="415"/>
          </reference>
          <reference field="3" count="1" selected="0">
            <x v="116"/>
          </reference>
        </references>
      </pivotArea>
    </format>
    <format dxfId="249">
      <pivotArea dataOnly="0" labelOnly="1" outline="0" fieldPosition="0">
        <references count="4">
          <reference field="0" count="1" selected="0">
            <x v="257"/>
          </reference>
          <reference field="1" count="1">
            <x v="260"/>
          </reference>
          <reference field="2" count="1" selected="0">
            <x v="415"/>
          </reference>
          <reference field="3" count="1" selected="0">
            <x v="116"/>
          </reference>
        </references>
      </pivotArea>
    </format>
    <format dxfId="248">
      <pivotArea dataOnly="0" labelOnly="1" outline="0" fieldPosition="0">
        <references count="4">
          <reference field="0" count="1" selected="0">
            <x v="290"/>
          </reference>
          <reference field="1" count="1">
            <x v="294"/>
          </reference>
          <reference field="2" count="1" selected="0">
            <x v="415"/>
          </reference>
          <reference field="3" count="1" selected="0">
            <x v="116"/>
          </reference>
        </references>
      </pivotArea>
    </format>
    <format dxfId="247">
      <pivotArea dataOnly="0" labelOnly="1" outline="0" fieldPosition="0">
        <references count="4">
          <reference field="0" count="1" selected="0">
            <x v="297"/>
          </reference>
          <reference field="1" count="1">
            <x v="301"/>
          </reference>
          <reference field="2" count="1" selected="0">
            <x v="415"/>
          </reference>
          <reference field="3" count="1" selected="0">
            <x v="116"/>
          </reference>
        </references>
      </pivotArea>
    </format>
    <format dxfId="246">
      <pivotArea dataOnly="0" labelOnly="1" outline="0" fieldPosition="0">
        <references count="4">
          <reference field="0" count="1" selected="0">
            <x v="319"/>
          </reference>
          <reference field="1" count="1">
            <x v="323"/>
          </reference>
          <reference field="2" count="1" selected="0">
            <x v="415"/>
          </reference>
          <reference field="3" count="1" selected="0">
            <x v="116"/>
          </reference>
        </references>
      </pivotArea>
    </format>
    <format dxfId="245">
      <pivotArea dataOnly="0" labelOnly="1" outline="0" fieldPosition="0">
        <references count="4">
          <reference field="0" count="1" selected="0">
            <x v="28"/>
          </reference>
          <reference field="1" count="1">
            <x v="30"/>
          </reference>
          <reference field="2" count="1" selected="0">
            <x v="416"/>
          </reference>
          <reference field="3" count="1" selected="0">
            <x v="127"/>
          </reference>
        </references>
      </pivotArea>
    </format>
    <format dxfId="244">
      <pivotArea dataOnly="0" labelOnly="1" outline="0" fieldPosition="0">
        <references count="4">
          <reference field="0" count="1" selected="0">
            <x v="46"/>
          </reference>
          <reference field="1" count="1">
            <x v="50"/>
          </reference>
          <reference field="2" count="1" selected="0">
            <x v="416"/>
          </reference>
          <reference field="3" count="1" selected="0">
            <x v="127"/>
          </reference>
        </references>
      </pivotArea>
    </format>
    <format dxfId="243">
      <pivotArea dataOnly="0" labelOnly="1" outline="0" fieldPosition="0">
        <references count="4">
          <reference field="0" count="1" selected="0">
            <x v="65"/>
          </reference>
          <reference field="1" count="1">
            <x v="69"/>
          </reference>
          <reference field="2" count="1" selected="0">
            <x v="416"/>
          </reference>
          <reference field="3" count="1" selected="0">
            <x v="127"/>
          </reference>
        </references>
      </pivotArea>
    </format>
    <format dxfId="242">
      <pivotArea dataOnly="0" labelOnly="1" outline="0" fieldPosition="0">
        <references count="4">
          <reference field="0" count="1" selected="0">
            <x v="67"/>
          </reference>
          <reference field="1" count="1">
            <x v="71"/>
          </reference>
          <reference field="2" count="1" selected="0">
            <x v="416"/>
          </reference>
          <reference field="3" count="1" selected="0">
            <x v="127"/>
          </reference>
        </references>
      </pivotArea>
    </format>
    <format dxfId="241">
      <pivotArea dataOnly="0" labelOnly="1" outline="0" fieldPosition="0">
        <references count="4">
          <reference field="0" count="1" selected="0">
            <x v="73"/>
          </reference>
          <reference field="1" count="1">
            <x v="77"/>
          </reference>
          <reference field="2" count="1" selected="0">
            <x v="416"/>
          </reference>
          <reference field="3" count="1" selected="0">
            <x v="127"/>
          </reference>
        </references>
      </pivotArea>
    </format>
    <format dxfId="240">
      <pivotArea dataOnly="0" labelOnly="1" outline="0" fieldPosition="0">
        <references count="4">
          <reference field="0" count="1" selected="0">
            <x v="90"/>
          </reference>
          <reference field="1" count="1">
            <x v="94"/>
          </reference>
          <reference field="2" count="1" selected="0">
            <x v="416"/>
          </reference>
          <reference field="3" count="1" selected="0">
            <x v="127"/>
          </reference>
        </references>
      </pivotArea>
    </format>
    <format dxfId="239">
      <pivotArea dataOnly="0" labelOnly="1" outline="0" fieldPosition="0">
        <references count="4">
          <reference field="0" count="1" selected="0">
            <x v="105"/>
          </reference>
          <reference field="1" count="1">
            <x v="108"/>
          </reference>
          <reference field="2" count="1" selected="0">
            <x v="416"/>
          </reference>
          <reference field="3" count="1" selected="0">
            <x v="127"/>
          </reference>
        </references>
      </pivotArea>
    </format>
    <format dxfId="238">
      <pivotArea dataOnly="0" labelOnly="1" outline="0" fieldPosition="0">
        <references count="4">
          <reference field="0" count="1" selected="0">
            <x v="113"/>
          </reference>
          <reference field="1" count="1">
            <x v="116"/>
          </reference>
          <reference field="2" count="1" selected="0">
            <x v="416"/>
          </reference>
          <reference field="3" count="1" selected="0">
            <x v="127"/>
          </reference>
        </references>
      </pivotArea>
    </format>
    <format dxfId="237">
      <pivotArea dataOnly="0" labelOnly="1" outline="0" fieldPosition="0">
        <references count="4">
          <reference field="0" count="1" selected="0">
            <x v="129"/>
          </reference>
          <reference field="1" count="1">
            <x v="132"/>
          </reference>
          <reference field="2" count="1" selected="0">
            <x v="416"/>
          </reference>
          <reference field="3" count="1" selected="0">
            <x v="127"/>
          </reference>
        </references>
      </pivotArea>
    </format>
    <format dxfId="236">
      <pivotArea dataOnly="0" labelOnly="1" outline="0" fieldPosition="0">
        <references count="4">
          <reference field="0" count="1" selected="0">
            <x v="155"/>
          </reference>
          <reference field="1" count="1">
            <x v="158"/>
          </reference>
          <reference field="2" count="1" selected="0">
            <x v="416"/>
          </reference>
          <reference field="3" count="1" selected="0">
            <x v="127"/>
          </reference>
        </references>
      </pivotArea>
    </format>
    <format dxfId="235">
      <pivotArea dataOnly="0" labelOnly="1" outline="0" fieldPosition="0">
        <references count="4">
          <reference field="0" count="1" selected="0">
            <x v="191"/>
          </reference>
          <reference field="1" count="1">
            <x v="194"/>
          </reference>
          <reference field="2" count="1" selected="0">
            <x v="416"/>
          </reference>
          <reference field="3" count="1" selected="0">
            <x v="127"/>
          </reference>
        </references>
      </pivotArea>
    </format>
    <format dxfId="234">
      <pivotArea dataOnly="0" labelOnly="1" outline="0" fieldPosition="0">
        <references count="4">
          <reference field="0" count="1" selected="0">
            <x v="205"/>
          </reference>
          <reference field="1" count="1">
            <x v="206"/>
          </reference>
          <reference field="2" count="1" selected="0">
            <x v="416"/>
          </reference>
          <reference field="3" count="1" selected="0">
            <x v="127"/>
          </reference>
        </references>
      </pivotArea>
    </format>
    <format dxfId="233">
      <pivotArea dataOnly="0" labelOnly="1" outline="0" fieldPosition="0">
        <references count="4">
          <reference field="0" count="1" selected="0">
            <x v="215"/>
          </reference>
          <reference field="1" count="1">
            <x v="219"/>
          </reference>
          <reference field="2" count="1" selected="0">
            <x v="416"/>
          </reference>
          <reference field="3" count="1" selected="0">
            <x v="127"/>
          </reference>
        </references>
      </pivotArea>
    </format>
    <format dxfId="232">
      <pivotArea dataOnly="0" labelOnly="1" outline="0" fieldPosition="0">
        <references count="4">
          <reference field="0" count="1" selected="0">
            <x v="222"/>
          </reference>
          <reference field="1" count="1">
            <x v="225"/>
          </reference>
          <reference field="2" count="1" selected="0">
            <x v="416"/>
          </reference>
          <reference field="3" count="1" selected="0">
            <x v="127"/>
          </reference>
        </references>
      </pivotArea>
    </format>
    <format dxfId="231">
      <pivotArea dataOnly="0" labelOnly="1" outline="0" fieldPosition="0">
        <references count="4">
          <reference field="0" count="1" selected="0">
            <x v="267"/>
          </reference>
          <reference field="1" count="1">
            <x v="270"/>
          </reference>
          <reference field="2" count="1" selected="0">
            <x v="416"/>
          </reference>
          <reference field="3" count="1" selected="0">
            <x v="127"/>
          </reference>
        </references>
      </pivotArea>
    </format>
    <format dxfId="230">
      <pivotArea dataOnly="0" labelOnly="1" outline="0" fieldPosition="0">
        <references count="4">
          <reference field="0" count="1" selected="0">
            <x v="288"/>
          </reference>
          <reference field="1" count="1">
            <x v="292"/>
          </reference>
          <reference field="2" count="1" selected="0">
            <x v="416"/>
          </reference>
          <reference field="3" count="1" selected="0">
            <x v="127"/>
          </reference>
        </references>
      </pivotArea>
    </format>
    <format dxfId="229">
      <pivotArea dataOnly="0" labelOnly="1" outline="0" fieldPosition="0">
        <references count="4">
          <reference field="0" count="1" selected="0">
            <x v="311"/>
          </reference>
          <reference field="1" count="1">
            <x v="315"/>
          </reference>
          <reference field="2" count="1" selected="0">
            <x v="416"/>
          </reference>
          <reference field="3" count="1" selected="0">
            <x v="127"/>
          </reference>
        </references>
      </pivotArea>
    </format>
    <format dxfId="228">
      <pivotArea dataOnly="0" labelOnly="1" outline="0" fieldPosition="0">
        <references count="4">
          <reference field="0" count="1" selected="0">
            <x v="318"/>
          </reference>
          <reference field="1" count="1">
            <x v="322"/>
          </reference>
          <reference field="2" count="1" selected="0">
            <x v="416"/>
          </reference>
          <reference field="3" count="1" selected="0">
            <x v="127"/>
          </reference>
        </references>
      </pivotArea>
    </format>
    <format dxfId="227">
      <pivotArea dataOnly="0" labelOnly="1" outline="0" fieldPosition="0">
        <references count="4">
          <reference field="0" count="1" selected="0">
            <x v="336"/>
          </reference>
          <reference field="1" count="1">
            <x v="340"/>
          </reference>
          <reference field="2" count="1" selected="0">
            <x v="416"/>
          </reference>
          <reference field="3" count="1" selected="0">
            <x v="127"/>
          </reference>
        </references>
      </pivotArea>
    </format>
    <format dxfId="226">
      <pivotArea dataOnly="0" labelOnly="1" outline="0" fieldPosition="0">
        <references count="4">
          <reference field="0" count="1" selected="0">
            <x v="94"/>
          </reference>
          <reference field="1" count="1">
            <x v="98"/>
          </reference>
          <reference field="2" count="1" selected="0">
            <x v="417"/>
          </reference>
          <reference field="3" count="1" selected="0">
            <x v="143"/>
          </reference>
        </references>
      </pivotArea>
    </format>
    <format dxfId="225">
      <pivotArea dataOnly="0" labelOnly="1" outline="0" fieldPosition="0">
        <references count="4">
          <reference field="0" count="1" selected="0">
            <x v="272"/>
          </reference>
          <reference field="1" count="1">
            <x v="275"/>
          </reference>
          <reference field="2" count="1" selected="0">
            <x v="417"/>
          </reference>
          <reference field="3" count="1" selected="0">
            <x v="143"/>
          </reference>
        </references>
      </pivotArea>
    </format>
    <format dxfId="224">
      <pivotArea dataOnly="0" labelOnly="1" outline="0" fieldPosition="0">
        <references count="4">
          <reference field="0" count="1" selected="0">
            <x v="291"/>
          </reference>
          <reference field="1" count="1">
            <x v="295"/>
          </reference>
          <reference field="2" count="1" selected="0">
            <x v="417"/>
          </reference>
          <reference field="3" count="1" selected="0">
            <x v="143"/>
          </reference>
        </references>
      </pivotArea>
    </format>
    <format dxfId="223">
      <pivotArea dataOnly="0" labelOnly="1" outline="0" fieldPosition="0">
        <references count="4">
          <reference field="0" count="1" selected="0">
            <x v="330"/>
          </reference>
          <reference field="1" count="1">
            <x v="337"/>
          </reference>
          <reference field="2" count="1" selected="0">
            <x v="417"/>
          </reference>
          <reference field="3" count="1" selected="0">
            <x v="143"/>
          </reference>
        </references>
      </pivotArea>
    </format>
    <format dxfId="222">
      <pivotArea dataOnly="0" labelOnly="1" outline="0" fieldPosition="0">
        <references count="4">
          <reference field="0" count="1" selected="0">
            <x v="8"/>
          </reference>
          <reference field="1" count="1">
            <x v="9"/>
          </reference>
          <reference field="2" count="1" selected="0">
            <x v="418"/>
          </reference>
          <reference field="3" count="1" selected="0">
            <x v="144"/>
          </reference>
        </references>
      </pivotArea>
    </format>
    <format dxfId="221">
      <pivotArea dataOnly="0" labelOnly="1" outline="0" fieldPosition="0">
        <references count="4">
          <reference field="0" count="1" selected="0">
            <x v="148"/>
          </reference>
          <reference field="1" count="1">
            <x v="151"/>
          </reference>
          <reference field="2" count="1" selected="0">
            <x v="418"/>
          </reference>
          <reference field="3" count="1" selected="0">
            <x v="144"/>
          </reference>
        </references>
      </pivotArea>
    </format>
    <format dxfId="220">
      <pivotArea dataOnly="0" labelOnly="1" outline="0" fieldPosition="0">
        <references count="4">
          <reference field="0" count="1" selected="0">
            <x v="180"/>
          </reference>
          <reference field="1" count="1">
            <x v="183"/>
          </reference>
          <reference field="2" count="1" selected="0">
            <x v="418"/>
          </reference>
          <reference field="3" count="1" selected="0">
            <x v="144"/>
          </reference>
        </references>
      </pivotArea>
    </format>
    <format dxfId="219">
      <pivotArea dataOnly="0" labelOnly="1" outline="0" fieldPosition="0">
        <references count="4">
          <reference field="0" count="1" selected="0">
            <x v="210"/>
          </reference>
          <reference field="1" count="1">
            <x v="212"/>
          </reference>
          <reference field="2" count="1" selected="0">
            <x v="418"/>
          </reference>
          <reference field="3" count="1" selected="0">
            <x v="144"/>
          </reference>
        </references>
      </pivotArea>
    </format>
    <format dxfId="218">
      <pivotArea dataOnly="0" labelOnly="1" outline="0" fieldPosition="0">
        <references count="4">
          <reference field="0" count="1" selected="0">
            <x v="71"/>
          </reference>
          <reference field="1" count="1">
            <x v="75"/>
          </reference>
          <reference field="2" count="1" selected="0">
            <x v="419"/>
          </reference>
          <reference field="3" count="1" selected="0">
            <x v="146"/>
          </reference>
        </references>
      </pivotArea>
    </format>
    <format dxfId="217">
      <pivotArea dataOnly="0" labelOnly="1" outline="0" fieldPosition="0">
        <references count="4">
          <reference field="0" count="1" selected="0">
            <x v="93"/>
          </reference>
          <reference field="1" count="1">
            <x v="97"/>
          </reference>
          <reference field="2" count="1" selected="0">
            <x v="419"/>
          </reference>
          <reference field="3" count="1" selected="0">
            <x v="146"/>
          </reference>
        </references>
      </pivotArea>
    </format>
    <format dxfId="216">
      <pivotArea dataOnly="0" labelOnly="1" outline="0" fieldPosition="0">
        <references count="4">
          <reference field="0" count="1" selected="0">
            <x v="200"/>
          </reference>
          <reference field="1" count="1">
            <x v="203"/>
          </reference>
          <reference field="2" count="1" selected="0">
            <x v="419"/>
          </reference>
          <reference field="3" count="1" selected="0">
            <x v="146"/>
          </reference>
        </references>
      </pivotArea>
    </format>
    <format dxfId="215">
      <pivotArea dataOnly="0" labelOnly="1" outline="0" fieldPosition="0">
        <references count="4">
          <reference field="0" count="1" selected="0">
            <x v="78"/>
          </reference>
          <reference field="1" count="1">
            <x v="82"/>
          </reference>
          <reference field="2" count="1" selected="0">
            <x v="420"/>
          </reference>
          <reference field="3" count="1" selected="0">
            <x v="145"/>
          </reference>
        </references>
      </pivotArea>
    </format>
    <format dxfId="214">
      <pivotArea dataOnly="0" labelOnly="1" outline="0" fieldPosition="0">
        <references count="4">
          <reference field="0" count="1" selected="0">
            <x v="80"/>
          </reference>
          <reference field="1" count="1">
            <x v="84"/>
          </reference>
          <reference field="2" count="1" selected="0">
            <x v="420"/>
          </reference>
          <reference field="3" count="1" selected="0">
            <x v="145"/>
          </reference>
        </references>
      </pivotArea>
    </format>
    <format dxfId="213">
      <pivotArea dataOnly="0" labelOnly="1" outline="0" fieldPosition="0">
        <references count="4">
          <reference field="0" count="1" selected="0">
            <x v="159"/>
          </reference>
          <reference field="1" count="1">
            <x v="162"/>
          </reference>
          <reference field="2" count="1" selected="0">
            <x v="420"/>
          </reference>
          <reference field="3" count="1" selected="0">
            <x v="145"/>
          </reference>
        </references>
      </pivotArea>
    </format>
    <format dxfId="212">
      <pivotArea dataOnly="0" labelOnly="1" outline="0" fieldPosition="0">
        <references count="4">
          <reference field="0" count="1" selected="0">
            <x v="300"/>
          </reference>
          <reference field="1" count="1">
            <x v="304"/>
          </reference>
          <reference field="2" count="1" selected="0">
            <x v="420"/>
          </reference>
          <reference field="3" count="1" selected="0">
            <x v="145"/>
          </reference>
        </references>
      </pivotArea>
    </format>
    <format dxfId="211">
      <pivotArea dataOnly="0" labelOnly="1" outline="0" fieldPosition="0">
        <references count="4">
          <reference field="0" count="1" selected="0">
            <x v="13"/>
          </reference>
          <reference field="1" count="1">
            <x v="15"/>
          </reference>
          <reference field="2" count="1" selected="0">
            <x v="421"/>
          </reference>
          <reference field="3" count="1" selected="0">
            <x v="348"/>
          </reference>
        </references>
      </pivotArea>
    </format>
    <format dxfId="210">
      <pivotArea dataOnly="0" labelOnly="1" outline="0" fieldPosition="0">
        <references count="4">
          <reference field="0" count="1" selected="0">
            <x v="99"/>
          </reference>
          <reference field="1" count="1">
            <x v="103"/>
          </reference>
          <reference field="2" count="1" selected="0">
            <x v="421"/>
          </reference>
          <reference field="3" count="1" selected="0">
            <x v="348"/>
          </reference>
        </references>
      </pivotArea>
    </format>
    <format dxfId="209">
      <pivotArea dataOnly="0" labelOnly="1" outline="0" fieldPosition="0">
        <references count="4">
          <reference field="0" count="1" selected="0">
            <x v="135"/>
          </reference>
          <reference field="1" count="1">
            <x v="138"/>
          </reference>
          <reference field="2" count="1" selected="0">
            <x v="421"/>
          </reference>
          <reference field="3" count="1" selected="0">
            <x v="348"/>
          </reference>
        </references>
      </pivotArea>
    </format>
    <format dxfId="208">
      <pivotArea dataOnly="0" labelOnly="1" outline="0" fieldPosition="0">
        <references count="4">
          <reference field="0" count="1" selected="0">
            <x v="138"/>
          </reference>
          <reference field="1" count="1">
            <x v="141"/>
          </reference>
          <reference field="2" count="1" selected="0">
            <x v="421"/>
          </reference>
          <reference field="3" count="1" selected="0">
            <x v="348"/>
          </reference>
        </references>
      </pivotArea>
    </format>
    <format dxfId="207">
      <pivotArea dataOnly="0" labelOnly="1" outline="0" fieldPosition="0">
        <references count="4">
          <reference field="0" count="1" selected="0">
            <x v="197"/>
          </reference>
          <reference field="1" count="1">
            <x v="200"/>
          </reference>
          <reference field="2" count="1" selected="0">
            <x v="421"/>
          </reference>
          <reference field="3" count="1" selected="0">
            <x v="348"/>
          </reference>
        </references>
      </pivotArea>
    </format>
    <format dxfId="206">
      <pivotArea dataOnly="0" labelOnly="1" outline="0" fieldPosition="0">
        <references count="4">
          <reference field="0" count="1" selected="0">
            <x v="1"/>
          </reference>
          <reference field="1" count="1">
            <x v="2"/>
          </reference>
          <reference field="2" count="1" selected="0">
            <x v="422"/>
          </reference>
          <reference field="3" count="1" selected="0">
            <x v="235"/>
          </reference>
        </references>
      </pivotArea>
    </format>
    <format dxfId="205">
      <pivotArea dataOnly="0" labelOnly="1" outline="0" fieldPosition="0">
        <references count="4">
          <reference field="0" count="1" selected="0">
            <x v="9"/>
          </reference>
          <reference field="1" count="1">
            <x v="11"/>
          </reference>
          <reference field="2" count="1" selected="0">
            <x v="422"/>
          </reference>
          <reference field="3" count="1" selected="0">
            <x v="235"/>
          </reference>
        </references>
      </pivotArea>
    </format>
    <format dxfId="204">
      <pivotArea dataOnly="0" labelOnly="1" outline="0" fieldPosition="0">
        <references count="4">
          <reference field="0" count="1" selected="0">
            <x v="33"/>
          </reference>
          <reference field="1" count="1">
            <x v="35"/>
          </reference>
          <reference field="2" count="1" selected="0">
            <x v="422"/>
          </reference>
          <reference field="3" count="1" selected="0">
            <x v="235"/>
          </reference>
        </references>
      </pivotArea>
    </format>
    <format dxfId="203">
      <pivotArea dataOnly="0" labelOnly="1" outline="0" fieldPosition="0">
        <references count="4">
          <reference field="0" count="1" selected="0">
            <x v="66"/>
          </reference>
          <reference field="1" count="1">
            <x v="70"/>
          </reference>
          <reference field="2" count="1" selected="0">
            <x v="422"/>
          </reference>
          <reference field="3" count="1" selected="0">
            <x v="235"/>
          </reference>
        </references>
      </pivotArea>
    </format>
    <format dxfId="202">
      <pivotArea dataOnly="0" labelOnly="1" outline="0" fieldPosition="0">
        <references count="4">
          <reference field="0" count="1" selected="0">
            <x v="77"/>
          </reference>
          <reference field="1" count="1">
            <x v="81"/>
          </reference>
          <reference field="2" count="1" selected="0">
            <x v="422"/>
          </reference>
          <reference field="3" count="1" selected="0">
            <x v="235"/>
          </reference>
        </references>
      </pivotArea>
    </format>
    <format dxfId="201">
      <pivotArea dataOnly="0" labelOnly="1" outline="0" fieldPosition="0">
        <references count="4">
          <reference field="0" count="1" selected="0">
            <x v="146"/>
          </reference>
          <reference field="1" count="1">
            <x v="149"/>
          </reference>
          <reference field="2" count="1" selected="0">
            <x v="422"/>
          </reference>
          <reference field="3" count="1" selected="0">
            <x v="235"/>
          </reference>
        </references>
      </pivotArea>
    </format>
    <format dxfId="200">
      <pivotArea dataOnly="0" labelOnly="1" outline="0" fieldPosition="0">
        <references count="4">
          <reference field="0" count="1" selected="0">
            <x v="154"/>
          </reference>
          <reference field="1" count="1">
            <x v="157"/>
          </reference>
          <reference field="2" count="1" selected="0">
            <x v="422"/>
          </reference>
          <reference field="3" count="1" selected="0">
            <x v="235"/>
          </reference>
        </references>
      </pivotArea>
    </format>
    <format dxfId="199">
      <pivotArea dataOnly="0" labelOnly="1" outline="0" fieldPosition="0">
        <references count="4">
          <reference field="0" count="1" selected="0">
            <x v="198"/>
          </reference>
          <reference field="1" count="1">
            <x v="201"/>
          </reference>
          <reference field="2" count="1" selected="0">
            <x v="422"/>
          </reference>
          <reference field="3" count="1" selected="0">
            <x v="235"/>
          </reference>
        </references>
      </pivotArea>
    </format>
    <format dxfId="198">
      <pivotArea dataOnly="0" labelOnly="1" outline="0" fieldPosition="0">
        <references count="4">
          <reference field="0" count="1" selected="0">
            <x v="285"/>
          </reference>
          <reference field="1" count="1">
            <x v="289"/>
          </reference>
          <reference field="2" count="1" selected="0">
            <x v="422"/>
          </reference>
          <reference field="3" count="1" selected="0">
            <x v="235"/>
          </reference>
        </references>
      </pivotArea>
    </format>
    <format dxfId="197">
      <pivotArea dataOnly="0" labelOnly="1" outline="0" fieldPosition="0">
        <references count="4">
          <reference field="0" count="1" selected="0">
            <x v="10"/>
          </reference>
          <reference field="1" count="1">
            <x v="12"/>
          </reference>
          <reference field="2" count="1" selected="0">
            <x v="423"/>
          </reference>
          <reference field="3" count="1" selected="0">
            <x v="240"/>
          </reference>
        </references>
      </pivotArea>
    </format>
    <format dxfId="196">
      <pivotArea dataOnly="0" labelOnly="1" outline="0" fieldPosition="0">
        <references count="4">
          <reference field="0" count="1" selected="0">
            <x v="11"/>
          </reference>
          <reference field="1" count="1">
            <x v="13"/>
          </reference>
          <reference field="2" count="1" selected="0">
            <x v="423"/>
          </reference>
          <reference field="3" count="1" selected="0">
            <x v="240"/>
          </reference>
        </references>
      </pivotArea>
    </format>
    <format dxfId="195">
      <pivotArea dataOnly="0" labelOnly="1" outline="0" fieldPosition="0">
        <references count="4">
          <reference field="0" count="1" selected="0">
            <x v="14"/>
          </reference>
          <reference field="1" count="1">
            <x v="16"/>
          </reference>
          <reference field="2" count="1" selected="0">
            <x v="423"/>
          </reference>
          <reference field="3" count="1" selected="0">
            <x v="240"/>
          </reference>
        </references>
      </pivotArea>
    </format>
    <format dxfId="194">
      <pivotArea dataOnly="0" labelOnly="1" outline="0" fieldPosition="0">
        <references count="4">
          <reference field="0" count="1" selected="0">
            <x v="20"/>
          </reference>
          <reference field="1" count="1">
            <x v="22"/>
          </reference>
          <reference field="2" count="1" selected="0">
            <x v="423"/>
          </reference>
          <reference field="3" count="1" selected="0">
            <x v="240"/>
          </reference>
        </references>
      </pivotArea>
    </format>
    <format dxfId="193">
      <pivotArea dataOnly="0" labelOnly="1" outline="0" fieldPosition="0">
        <references count="4">
          <reference field="0" count="1" selected="0">
            <x v="96"/>
          </reference>
          <reference field="1" count="1">
            <x v="100"/>
          </reference>
          <reference field="2" count="1" selected="0">
            <x v="423"/>
          </reference>
          <reference field="3" count="1" selected="0">
            <x v="240"/>
          </reference>
        </references>
      </pivotArea>
    </format>
    <format dxfId="192">
      <pivotArea dataOnly="0" labelOnly="1" outline="0" fieldPosition="0">
        <references count="4">
          <reference field="0" count="1" selected="0">
            <x v="102"/>
          </reference>
          <reference field="1" count="1">
            <x v="106"/>
          </reference>
          <reference field="2" count="1" selected="0">
            <x v="423"/>
          </reference>
          <reference field="3" count="1" selected="0">
            <x v="240"/>
          </reference>
        </references>
      </pivotArea>
    </format>
    <format dxfId="191">
      <pivotArea dataOnly="0" labelOnly="1" outline="0" fieldPosition="0">
        <references count="4">
          <reference field="0" count="1" selected="0">
            <x v="124"/>
          </reference>
          <reference field="1" count="1">
            <x v="127"/>
          </reference>
          <reference field="2" count="1" selected="0">
            <x v="423"/>
          </reference>
          <reference field="3" count="1" selected="0">
            <x v="240"/>
          </reference>
        </references>
      </pivotArea>
    </format>
    <format dxfId="190">
      <pivotArea dataOnly="0" labelOnly="1" outline="0" fieldPosition="0">
        <references count="4">
          <reference field="0" count="1" selected="0">
            <x v="133"/>
          </reference>
          <reference field="1" count="1">
            <x v="136"/>
          </reference>
          <reference field="2" count="1" selected="0">
            <x v="423"/>
          </reference>
          <reference field="3" count="1" selected="0">
            <x v="240"/>
          </reference>
        </references>
      </pivotArea>
    </format>
    <format dxfId="189">
      <pivotArea dataOnly="0" labelOnly="1" outline="0" fieldPosition="0">
        <references count="4">
          <reference field="0" count="1" selected="0">
            <x v="139"/>
          </reference>
          <reference field="1" count="1">
            <x v="142"/>
          </reference>
          <reference field="2" count="1" selected="0">
            <x v="423"/>
          </reference>
          <reference field="3" count="1" selected="0">
            <x v="240"/>
          </reference>
        </references>
      </pivotArea>
    </format>
    <format dxfId="188">
      <pivotArea dataOnly="0" labelOnly="1" outline="0" fieldPosition="0">
        <references count="4">
          <reference field="0" count="1" selected="0">
            <x v="161"/>
          </reference>
          <reference field="1" count="1">
            <x v="164"/>
          </reference>
          <reference field="2" count="1" selected="0">
            <x v="423"/>
          </reference>
          <reference field="3" count="1" selected="0">
            <x v="240"/>
          </reference>
        </references>
      </pivotArea>
    </format>
    <format dxfId="187">
      <pivotArea dataOnly="0" labelOnly="1" outline="0" fieldPosition="0">
        <references count="4">
          <reference field="0" count="1" selected="0">
            <x v="233"/>
          </reference>
          <reference field="1" count="1">
            <x v="236"/>
          </reference>
          <reference field="2" count="1" selected="0">
            <x v="423"/>
          </reference>
          <reference field="3" count="1" selected="0">
            <x v="240"/>
          </reference>
        </references>
      </pivotArea>
    </format>
    <format dxfId="186">
      <pivotArea dataOnly="0" labelOnly="1" outline="0" fieldPosition="0">
        <references count="4">
          <reference field="0" count="1" selected="0">
            <x v="234"/>
          </reference>
          <reference field="1" count="1">
            <x v="237"/>
          </reference>
          <reference field="2" count="1" selected="0">
            <x v="423"/>
          </reference>
          <reference field="3" count="1" selected="0">
            <x v="240"/>
          </reference>
        </references>
      </pivotArea>
    </format>
    <format dxfId="185">
      <pivotArea dataOnly="0" labelOnly="1" outline="0" fieldPosition="0">
        <references count="4">
          <reference field="0" count="1" selected="0">
            <x v="240"/>
          </reference>
          <reference field="1" count="1">
            <x v="243"/>
          </reference>
          <reference field="2" count="1" selected="0">
            <x v="423"/>
          </reference>
          <reference field="3" count="1" selected="0">
            <x v="240"/>
          </reference>
        </references>
      </pivotArea>
    </format>
    <format dxfId="184">
      <pivotArea dataOnly="0" labelOnly="1" outline="0" fieldPosition="0">
        <references count="4">
          <reference field="0" count="1" selected="0">
            <x v="254"/>
          </reference>
          <reference field="1" count="1">
            <x v="257"/>
          </reference>
          <reference field="2" count="1" selected="0">
            <x v="423"/>
          </reference>
          <reference field="3" count="1" selected="0">
            <x v="240"/>
          </reference>
        </references>
      </pivotArea>
    </format>
    <format dxfId="183">
      <pivotArea dataOnly="0" labelOnly="1" outline="0" fieldPosition="0">
        <references count="4">
          <reference field="0" count="1" selected="0">
            <x v="281"/>
          </reference>
          <reference field="1" count="1">
            <x v="285"/>
          </reference>
          <reference field="2" count="1" selected="0">
            <x v="423"/>
          </reference>
          <reference field="3" count="1" selected="0">
            <x v="240"/>
          </reference>
        </references>
      </pivotArea>
    </format>
    <format dxfId="182">
      <pivotArea dataOnly="0" labelOnly="1" outline="0" fieldPosition="0">
        <references count="4">
          <reference field="0" count="1" selected="0">
            <x v="293"/>
          </reference>
          <reference field="1" count="1">
            <x v="297"/>
          </reference>
          <reference field="2" count="1" selected="0">
            <x v="423"/>
          </reference>
          <reference field="3" count="1" selected="0">
            <x v="240"/>
          </reference>
        </references>
      </pivotArea>
    </format>
    <format dxfId="181">
      <pivotArea dataOnly="0" labelOnly="1" outline="0" fieldPosition="0">
        <references count="4">
          <reference field="0" count="1" selected="0">
            <x v="327"/>
          </reference>
          <reference field="1" count="1">
            <x v="335"/>
          </reference>
          <reference field="2" count="1" selected="0">
            <x v="423"/>
          </reference>
          <reference field="3" count="1" selected="0">
            <x v="240"/>
          </reference>
        </references>
      </pivotArea>
    </format>
    <format dxfId="180">
      <pivotArea dataOnly="0" labelOnly="1" outline="0" fieldPosition="0">
        <references count="4">
          <reference field="0" count="1" selected="0">
            <x v="342"/>
          </reference>
          <reference field="1" count="1">
            <x v="346"/>
          </reference>
          <reference field="2" count="1" selected="0">
            <x v="423"/>
          </reference>
          <reference field="3" count="1" selected="0">
            <x v="240"/>
          </reference>
        </references>
      </pivotArea>
    </format>
    <format dxfId="179">
      <pivotArea dataOnly="0" labelOnly="1" outline="0" fieldPosition="0">
        <references count="4">
          <reference field="0" count="1" selected="0">
            <x v="3"/>
          </reference>
          <reference field="1" count="1">
            <x v="4"/>
          </reference>
          <reference field="2" count="1" selected="0">
            <x v="424"/>
          </reference>
          <reference field="3" count="1" selected="0">
            <x v="277"/>
          </reference>
        </references>
      </pivotArea>
    </format>
    <format dxfId="178">
      <pivotArea dataOnly="0" labelOnly="1" outline="0" fieldPosition="0">
        <references count="4">
          <reference field="0" count="1" selected="0">
            <x v="57"/>
          </reference>
          <reference field="1" count="1">
            <x v="61"/>
          </reference>
          <reference field="2" count="1" selected="0">
            <x v="424"/>
          </reference>
          <reference field="3" count="1" selected="0">
            <x v="277"/>
          </reference>
        </references>
      </pivotArea>
    </format>
    <format dxfId="177">
      <pivotArea dataOnly="0" labelOnly="1" outline="0" fieldPosition="0">
        <references count="4">
          <reference field="0" count="1" selected="0">
            <x v="62"/>
          </reference>
          <reference field="1" count="1">
            <x v="66"/>
          </reference>
          <reference field="2" count="1" selected="0">
            <x v="424"/>
          </reference>
          <reference field="3" count="1" selected="0">
            <x v="277"/>
          </reference>
        </references>
      </pivotArea>
    </format>
    <format dxfId="176">
      <pivotArea dataOnly="0" labelOnly="1" outline="0" fieldPosition="0">
        <references count="4">
          <reference field="0" count="1" selected="0">
            <x v="97"/>
          </reference>
          <reference field="1" count="1">
            <x v="101"/>
          </reference>
          <reference field="2" count="1" selected="0">
            <x v="424"/>
          </reference>
          <reference field="3" count="1" selected="0">
            <x v="277"/>
          </reference>
        </references>
      </pivotArea>
    </format>
    <format dxfId="175">
      <pivotArea dataOnly="0" labelOnly="1" outline="0" fieldPosition="0">
        <references count="4">
          <reference field="0" count="1" selected="0">
            <x v="147"/>
          </reference>
          <reference field="1" count="1">
            <x v="150"/>
          </reference>
          <reference field="2" count="1" selected="0">
            <x v="424"/>
          </reference>
          <reference field="3" count="1" selected="0">
            <x v="277"/>
          </reference>
        </references>
      </pivotArea>
    </format>
    <format dxfId="174">
      <pivotArea dataOnly="0" labelOnly="1" outline="0" fieldPosition="0">
        <references count="4">
          <reference field="0" count="1" selected="0">
            <x v="189"/>
          </reference>
          <reference field="1" count="1">
            <x v="192"/>
          </reference>
          <reference field="2" count="1" selected="0">
            <x v="424"/>
          </reference>
          <reference field="3" count="1" selected="0">
            <x v="277"/>
          </reference>
        </references>
      </pivotArea>
    </format>
    <format dxfId="173">
      <pivotArea dataOnly="0" labelOnly="1" outline="0" fieldPosition="0">
        <references count="4">
          <reference field="0" count="1" selected="0">
            <x v="208"/>
          </reference>
          <reference field="1" count="1">
            <x v="211"/>
          </reference>
          <reference field="2" count="1" selected="0">
            <x v="424"/>
          </reference>
          <reference field="3" count="1" selected="0">
            <x v="277"/>
          </reference>
        </references>
      </pivotArea>
    </format>
    <format dxfId="172">
      <pivotArea dataOnly="0" labelOnly="1" outline="0" fieldPosition="0">
        <references count="4">
          <reference field="0" count="1" selected="0">
            <x v="262"/>
          </reference>
          <reference field="1" count="1">
            <x v="265"/>
          </reference>
          <reference field="2" count="1" selected="0">
            <x v="424"/>
          </reference>
          <reference field="3" count="1" selected="0">
            <x v="277"/>
          </reference>
        </references>
      </pivotArea>
    </format>
    <format dxfId="171">
      <pivotArea dataOnly="0" labelOnly="1" outline="0" fieldPosition="0">
        <references count="4">
          <reference field="0" count="1" selected="0">
            <x v="340"/>
          </reference>
          <reference field="1" count="1">
            <x v="344"/>
          </reference>
          <reference field="2" count="1" selected="0">
            <x v="424"/>
          </reference>
          <reference field="3" count="1" selected="0">
            <x v="277"/>
          </reference>
        </references>
      </pivotArea>
    </format>
    <format dxfId="170">
      <pivotArea dataOnly="0" labelOnly="1" outline="0" fieldPosition="0">
        <references count="4">
          <reference field="0" count="1" selected="0">
            <x v="18"/>
          </reference>
          <reference field="1" count="1">
            <x v="20"/>
          </reference>
          <reference field="2" count="1" selected="0">
            <x v="425"/>
          </reference>
          <reference field="3" count="1" selected="0">
            <x v="250"/>
          </reference>
        </references>
      </pivotArea>
    </format>
    <format dxfId="169">
      <pivotArea dataOnly="0" labelOnly="1" outline="0" fieldPosition="0">
        <references count="4">
          <reference field="0" count="1" selected="0">
            <x v="55"/>
          </reference>
          <reference field="1" count="1">
            <x v="59"/>
          </reference>
          <reference field="2" count="1" selected="0">
            <x v="425"/>
          </reference>
          <reference field="3" count="1" selected="0">
            <x v="250"/>
          </reference>
        </references>
      </pivotArea>
    </format>
    <format dxfId="168">
      <pivotArea dataOnly="0" labelOnly="1" outline="0" fieldPosition="0">
        <references count="4">
          <reference field="0" count="1" selected="0">
            <x v="114"/>
          </reference>
          <reference field="1" count="1">
            <x v="117"/>
          </reference>
          <reference field="2" count="1" selected="0">
            <x v="425"/>
          </reference>
          <reference field="3" count="1" selected="0">
            <x v="250"/>
          </reference>
        </references>
      </pivotArea>
    </format>
    <format dxfId="167">
      <pivotArea dataOnly="0" labelOnly="1" outline="0" fieldPosition="0">
        <references count="4">
          <reference field="0" count="1" selected="0">
            <x v="157"/>
          </reference>
          <reference field="1" count="1">
            <x v="160"/>
          </reference>
          <reference field="2" count="1" selected="0">
            <x v="425"/>
          </reference>
          <reference field="3" count="1" selected="0">
            <x v="250"/>
          </reference>
        </references>
      </pivotArea>
    </format>
    <format dxfId="166">
      <pivotArea dataOnly="0" labelOnly="1" outline="0" fieldPosition="0">
        <references count="4">
          <reference field="0" count="1" selected="0">
            <x v="231"/>
          </reference>
          <reference field="1" count="1">
            <x v="234"/>
          </reference>
          <reference field="2" count="1" selected="0">
            <x v="425"/>
          </reference>
          <reference field="3" count="1" selected="0">
            <x v="250"/>
          </reference>
        </references>
      </pivotArea>
    </format>
    <format dxfId="165">
      <pivotArea dataOnly="0" labelOnly="1" outline="0" fieldPosition="0">
        <references count="4">
          <reference field="0" count="1" selected="0">
            <x v="269"/>
          </reference>
          <reference field="1" count="1">
            <x v="272"/>
          </reference>
          <reference field="2" count="1" selected="0">
            <x v="425"/>
          </reference>
          <reference field="3" count="1" selected="0">
            <x v="250"/>
          </reference>
        </references>
      </pivotArea>
    </format>
    <format dxfId="164">
      <pivotArea dataOnly="0" labelOnly="1" outline="0" fieldPosition="0">
        <references count="4">
          <reference field="0" count="1" selected="0">
            <x v="298"/>
          </reference>
          <reference field="1" count="1">
            <x v="302"/>
          </reference>
          <reference field="2" count="1" selected="0">
            <x v="425"/>
          </reference>
          <reference field="3" count="1" selected="0">
            <x v="250"/>
          </reference>
        </references>
      </pivotArea>
    </format>
    <format dxfId="163">
      <pivotArea dataOnly="0" labelOnly="1" outline="0" fieldPosition="0">
        <references count="4">
          <reference field="0" count="1" selected="0">
            <x v="325"/>
          </reference>
          <reference field="1" count="1">
            <x v="333"/>
          </reference>
          <reference field="2" count="1" selected="0">
            <x v="425"/>
          </reference>
          <reference field="3" count="1" selected="0">
            <x v="250"/>
          </reference>
        </references>
      </pivotArea>
    </format>
    <format dxfId="162">
      <pivotArea dataOnly="0" labelOnly="1" outline="0" fieldPosition="0">
        <references count="4">
          <reference field="0" count="1" selected="0">
            <x v="56"/>
          </reference>
          <reference field="1" count="1">
            <x v="60"/>
          </reference>
          <reference field="2" count="1" selected="0">
            <x v="426"/>
          </reference>
          <reference field="3" count="1" selected="0">
            <x v="276"/>
          </reference>
        </references>
      </pivotArea>
    </format>
    <format dxfId="161">
      <pivotArea dataOnly="0" labelOnly="1" outline="0" fieldPosition="0">
        <references count="4">
          <reference field="0" count="1" selected="0">
            <x v="164"/>
          </reference>
          <reference field="1" count="1">
            <x v="167"/>
          </reference>
          <reference field="2" count="1" selected="0">
            <x v="426"/>
          </reference>
          <reference field="3" count="1" selected="0">
            <x v="276"/>
          </reference>
        </references>
      </pivotArea>
    </format>
    <format dxfId="160">
      <pivotArea dataOnly="0" labelOnly="1" outline="0" fieldPosition="0">
        <references count="4">
          <reference field="0" count="1" selected="0">
            <x v="177"/>
          </reference>
          <reference field="1" count="1">
            <x v="180"/>
          </reference>
          <reference field="2" count="1" selected="0">
            <x v="426"/>
          </reference>
          <reference field="3" count="1" selected="0">
            <x v="276"/>
          </reference>
        </references>
      </pivotArea>
    </format>
    <format dxfId="159">
      <pivotArea dataOnly="0" labelOnly="1" outline="0" fieldPosition="0">
        <references count="4">
          <reference field="0" count="1" selected="0">
            <x v="216"/>
          </reference>
          <reference field="1" count="1">
            <x v="215"/>
          </reference>
          <reference field="2" count="1" selected="0">
            <x v="426"/>
          </reference>
          <reference field="3" count="1" selected="0">
            <x v="276"/>
          </reference>
        </references>
      </pivotArea>
    </format>
    <format dxfId="158">
      <pivotArea dataOnly="0" labelOnly="1" outline="0" fieldPosition="0">
        <references count="4">
          <reference field="0" count="1" selected="0">
            <x v="245"/>
          </reference>
          <reference field="1" count="1">
            <x v="248"/>
          </reference>
          <reference field="2" count="1" selected="0">
            <x v="426"/>
          </reference>
          <reference field="3" count="1" selected="0">
            <x v="276"/>
          </reference>
        </references>
      </pivotArea>
    </format>
    <format dxfId="157">
      <pivotArea dataOnly="0" labelOnly="1" outline="0" fieldPosition="0">
        <references count="4">
          <reference field="0" count="1" selected="0">
            <x v="247"/>
          </reference>
          <reference field="1" count="1">
            <x v="250"/>
          </reference>
          <reference field="2" count="1" selected="0">
            <x v="426"/>
          </reference>
          <reference field="3" count="1" selected="0">
            <x v="276"/>
          </reference>
        </references>
      </pivotArea>
    </format>
    <format dxfId="156">
      <pivotArea dataOnly="0" labelOnly="1" outline="0" fieldPosition="0">
        <references count="4">
          <reference field="0" count="1" selected="0">
            <x v="261"/>
          </reference>
          <reference field="1" count="1">
            <x v="264"/>
          </reference>
          <reference field="2" count="1" selected="0">
            <x v="426"/>
          </reference>
          <reference field="3" count="1" selected="0">
            <x v="276"/>
          </reference>
        </references>
      </pivotArea>
    </format>
    <format dxfId="155">
      <pivotArea dataOnly="0" labelOnly="1" outline="0" fieldPosition="0">
        <references count="4">
          <reference field="0" count="1" selected="0">
            <x v="283"/>
          </reference>
          <reference field="1" count="1">
            <x v="287"/>
          </reference>
          <reference field="2" count="1" selected="0">
            <x v="426"/>
          </reference>
          <reference field="3" count="1" selected="0">
            <x v="276"/>
          </reference>
        </references>
      </pivotArea>
    </format>
    <format dxfId="154">
      <pivotArea dataOnly="0" labelOnly="1" outline="0" fieldPosition="0">
        <references count="4">
          <reference field="0" count="1" selected="0">
            <x v="304"/>
          </reference>
          <reference field="1" count="1">
            <x v="308"/>
          </reference>
          <reference field="2" count="1" selected="0">
            <x v="426"/>
          </reference>
          <reference field="3" count="1" selected="0">
            <x v="276"/>
          </reference>
        </references>
      </pivotArea>
    </format>
    <format dxfId="153">
      <pivotArea dataOnly="0" labelOnly="1" outline="0" fieldPosition="0">
        <references count="4">
          <reference field="0" count="1" selected="0">
            <x v="343"/>
          </reference>
          <reference field="1" count="1">
            <x v="347"/>
          </reference>
          <reference field="2" count="1" selected="0">
            <x v="426"/>
          </reference>
          <reference field="3" count="1" selected="0">
            <x v="276"/>
          </reference>
        </references>
      </pivotArea>
    </format>
    <format dxfId="152">
      <pivotArea dataOnly="0" labelOnly="1" outline="0" fieldPosition="0">
        <references count="4">
          <reference field="0" count="1" selected="0">
            <x v="345"/>
          </reference>
          <reference field="1" count="1">
            <x v="349"/>
          </reference>
          <reference field="2" count="1" selected="0">
            <x v="426"/>
          </reference>
          <reference field="3" count="1" selected="0">
            <x v="276"/>
          </reference>
        </references>
      </pivotArea>
    </format>
    <format dxfId="151">
      <pivotArea dataOnly="0" labelOnly="1" outline="0" fieldPosition="0">
        <references count="4">
          <reference field="0" count="1" selected="0">
            <x v="346"/>
          </reference>
          <reference field="1" count="1">
            <x v="350"/>
          </reference>
          <reference field="2" count="1" selected="0">
            <x v="426"/>
          </reference>
          <reference field="3" count="1" selected="0">
            <x v="276"/>
          </reference>
        </references>
      </pivotArea>
    </format>
    <format dxfId="150">
      <pivotArea dataOnly="0" labelOnly="1" outline="0" fieldPosition="0">
        <references count="4">
          <reference field="0" count="1" selected="0">
            <x v="2"/>
          </reference>
          <reference field="1" count="1">
            <x v="3"/>
          </reference>
          <reference field="2" count="1" selected="0">
            <x v="427"/>
          </reference>
          <reference field="3" count="1" selected="0">
            <x v="284"/>
          </reference>
        </references>
      </pivotArea>
    </format>
    <format dxfId="149">
      <pivotArea dataOnly="0" labelOnly="1" outline="0" fieldPosition="0">
        <references count="4">
          <reference field="0" count="1" selected="0">
            <x v="51"/>
          </reference>
          <reference field="1" count="1">
            <x v="55"/>
          </reference>
          <reference field="2" count="1" selected="0">
            <x v="427"/>
          </reference>
          <reference field="3" count="1" selected="0">
            <x v="284"/>
          </reference>
        </references>
      </pivotArea>
    </format>
    <format dxfId="148">
      <pivotArea dataOnly="0" labelOnly="1" outline="0" fieldPosition="0">
        <references count="4">
          <reference field="0" count="1" selected="0">
            <x v="145"/>
          </reference>
          <reference field="1" count="1">
            <x v="148"/>
          </reference>
          <reference field="2" count="1" selected="0">
            <x v="427"/>
          </reference>
          <reference field="3" count="1" selected="0">
            <x v="284"/>
          </reference>
        </references>
      </pivotArea>
    </format>
    <format dxfId="147">
      <pivotArea dataOnly="0" labelOnly="1" outline="0" fieldPosition="0">
        <references count="4">
          <reference field="0" count="1" selected="0">
            <x v="172"/>
          </reference>
          <reference field="1" count="1">
            <x v="175"/>
          </reference>
          <reference field="2" count="1" selected="0">
            <x v="427"/>
          </reference>
          <reference field="3" count="1" selected="0">
            <x v="284"/>
          </reference>
        </references>
      </pivotArea>
    </format>
    <format dxfId="146">
      <pivotArea dataOnly="0" labelOnly="1" outline="0" fieldPosition="0">
        <references count="4">
          <reference field="0" count="1" selected="0">
            <x v="249"/>
          </reference>
          <reference field="1" count="1">
            <x v="252"/>
          </reference>
          <reference field="2" count="1" selected="0">
            <x v="427"/>
          </reference>
          <reference field="3" count="1" selected="0">
            <x v="284"/>
          </reference>
        </references>
      </pivotArea>
    </format>
    <format dxfId="145">
      <pivotArea dataOnly="0" labelOnly="1" outline="0" fieldPosition="0">
        <references count="4">
          <reference field="0" count="1" selected="0">
            <x v="23"/>
          </reference>
          <reference field="1" count="1">
            <x v="25"/>
          </reference>
          <reference field="2" count="1" selected="0">
            <x v="428"/>
          </reference>
          <reference field="3" count="1" selected="0">
            <x v="291"/>
          </reference>
        </references>
      </pivotArea>
    </format>
    <format dxfId="144">
      <pivotArea dataOnly="0" labelOnly="1" outline="0" fieldPosition="0">
        <references count="4">
          <reference field="0" count="1" selected="0">
            <x v="110"/>
          </reference>
          <reference field="1" count="1">
            <x v="113"/>
          </reference>
          <reference field="2" count="1" selected="0">
            <x v="428"/>
          </reference>
          <reference field="3" count="1" selected="0">
            <x v="291"/>
          </reference>
        </references>
      </pivotArea>
    </format>
    <format dxfId="143">
      <pivotArea dataOnly="0" labelOnly="1" outline="0" fieldPosition="0">
        <references count="4">
          <reference field="0" count="1" selected="0">
            <x v="123"/>
          </reference>
          <reference field="1" count="1">
            <x v="126"/>
          </reference>
          <reference field="2" count="1" selected="0">
            <x v="428"/>
          </reference>
          <reference field="3" count="1" selected="0">
            <x v="291"/>
          </reference>
        </references>
      </pivotArea>
    </format>
    <format dxfId="142">
      <pivotArea dataOnly="0" labelOnly="1" outline="0" fieldPosition="0">
        <references count="4">
          <reference field="0" count="1" selected="0">
            <x v="190"/>
          </reference>
          <reference field="1" count="1">
            <x v="193"/>
          </reference>
          <reference field="2" count="1" selected="0">
            <x v="428"/>
          </reference>
          <reference field="3" count="1" selected="0">
            <x v="291"/>
          </reference>
        </references>
      </pivotArea>
    </format>
    <format dxfId="141">
      <pivotArea dataOnly="0" labelOnly="1" outline="0" fieldPosition="0">
        <references count="4">
          <reference field="0" count="1" selected="0">
            <x v="201"/>
          </reference>
          <reference field="1" count="1">
            <x v="204"/>
          </reference>
          <reference field="2" count="1" selected="0">
            <x v="428"/>
          </reference>
          <reference field="3" count="1" selected="0">
            <x v="291"/>
          </reference>
        </references>
      </pivotArea>
    </format>
    <format dxfId="140">
      <pivotArea dataOnly="0" labelOnly="1" outline="0" fieldPosition="0">
        <references count="4">
          <reference field="0" count="1" selected="0">
            <x v="221"/>
          </reference>
          <reference field="1" count="1">
            <x v="224"/>
          </reference>
          <reference field="2" count="1" selected="0">
            <x v="428"/>
          </reference>
          <reference field="3" count="1" selected="0">
            <x v="291"/>
          </reference>
        </references>
      </pivotArea>
    </format>
    <format dxfId="139">
      <pivotArea dataOnly="0" labelOnly="1" outline="0" fieldPosition="0">
        <references count="4">
          <reference field="0" count="1" selected="0">
            <x v="226"/>
          </reference>
          <reference field="1" count="1">
            <x v="229"/>
          </reference>
          <reference field="2" count="1" selected="0">
            <x v="428"/>
          </reference>
          <reference field="3" count="1" selected="0">
            <x v="291"/>
          </reference>
        </references>
      </pivotArea>
    </format>
    <format dxfId="138">
      <pivotArea dataOnly="0" labelOnly="1" outline="0" fieldPosition="0">
        <references count="4">
          <reference field="0" count="1" selected="0">
            <x v="308"/>
          </reference>
          <reference field="1" count="1">
            <x v="312"/>
          </reference>
          <reference field="2" count="1" selected="0">
            <x v="428"/>
          </reference>
          <reference field="3" count="1" selected="0">
            <x v="291"/>
          </reference>
        </references>
      </pivotArea>
    </format>
    <format dxfId="137">
      <pivotArea dataOnly="0" labelOnly="1" outline="0" fieldPosition="0">
        <references count="4">
          <reference field="0" count="1" selected="0">
            <x v="310"/>
          </reference>
          <reference field="1" count="1">
            <x v="314"/>
          </reference>
          <reference field="2" count="1" selected="0">
            <x v="428"/>
          </reference>
          <reference field="3" count="1" selected="0">
            <x v="291"/>
          </reference>
        </references>
      </pivotArea>
    </format>
    <format dxfId="136">
      <pivotArea dataOnly="0" labelOnly="1" outline="0" fieldPosition="0">
        <references count="4">
          <reference field="0" count="1" selected="0">
            <x v="22"/>
          </reference>
          <reference field="1" count="1">
            <x v="24"/>
          </reference>
          <reference field="2" count="1" selected="0">
            <x v="429"/>
          </reference>
          <reference field="3" count="1" selected="0">
            <x v="336"/>
          </reference>
        </references>
      </pivotArea>
    </format>
    <format dxfId="135">
      <pivotArea dataOnly="0" labelOnly="1" outline="0" fieldPosition="0">
        <references count="4">
          <reference field="0" count="1" selected="0">
            <x v="30"/>
          </reference>
          <reference field="1" count="1">
            <x v="32"/>
          </reference>
          <reference field="2" count="1" selected="0">
            <x v="429"/>
          </reference>
          <reference field="3" count="1" selected="0">
            <x v="336"/>
          </reference>
        </references>
      </pivotArea>
    </format>
    <format dxfId="134">
      <pivotArea dataOnly="0" labelOnly="1" outline="0" fieldPosition="0">
        <references count="4">
          <reference field="0" count="1" selected="0">
            <x v="47"/>
          </reference>
          <reference field="1" count="1">
            <x v="51"/>
          </reference>
          <reference field="2" count="1" selected="0">
            <x v="429"/>
          </reference>
          <reference field="3" count="1" selected="0">
            <x v="336"/>
          </reference>
        </references>
      </pivotArea>
    </format>
    <format dxfId="133">
      <pivotArea dataOnly="0" labelOnly="1" outline="0" fieldPosition="0">
        <references count="4">
          <reference field="0" count="1" selected="0">
            <x v="294"/>
          </reference>
          <reference field="1" count="1">
            <x v="298"/>
          </reference>
          <reference field="2" count="1" selected="0">
            <x v="429"/>
          </reference>
          <reference field="3" count="1" selected="0">
            <x v="336"/>
          </reference>
        </references>
      </pivotArea>
    </format>
    <format dxfId="132">
      <pivotArea dataOnly="0" labelOnly="1" outline="0" fieldPosition="0">
        <references count="4">
          <reference field="0" count="1" selected="0">
            <x v="341"/>
          </reference>
          <reference field="1" count="1">
            <x v="345"/>
          </reference>
          <reference field="2" count="1" selected="0">
            <x v="429"/>
          </reference>
          <reference field="3" count="1" selected="0">
            <x v="336"/>
          </reference>
        </references>
      </pivotArea>
    </format>
    <format dxfId="131">
      <pivotArea dataOnly="0" labelOnly="1" outline="0" fieldPosition="0">
        <references count="4">
          <reference field="0" count="1" selected="0">
            <x v="43"/>
          </reference>
          <reference field="1" count="1">
            <x v="47"/>
          </reference>
          <reference field="2" count="1" selected="0">
            <x v="430"/>
          </reference>
          <reference field="3" count="1" selected="0">
            <x v="353"/>
          </reference>
        </references>
      </pivotArea>
    </format>
    <format dxfId="130">
      <pivotArea dataOnly="0" labelOnly="1" outline="0" fieldPosition="0">
        <references count="4">
          <reference field="0" count="1" selected="0">
            <x v="82"/>
          </reference>
          <reference field="1" count="1">
            <x v="86"/>
          </reference>
          <reference field="2" count="1" selected="0">
            <x v="430"/>
          </reference>
          <reference field="3" count="1" selected="0">
            <x v="353"/>
          </reference>
        </references>
      </pivotArea>
    </format>
    <format dxfId="129">
      <pivotArea dataOnly="0" labelOnly="1" outline="0" fieldPosition="0">
        <references count="4">
          <reference field="0" count="1" selected="0">
            <x v="87"/>
          </reference>
          <reference field="1" count="1">
            <x v="91"/>
          </reference>
          <reference field="2" count="1" selected="0">
            <x v="430"/>
          </reference>
          <reference field="3" count="1" selected="0">
            <x v="353"/>
          </reference>
        </references>
      </pivotArea>
    </format>
    <format dxfId="128">
      <pivotArea dataOnly="0" labelOnly="1" outline="0" fieldPosition="0">
        <references count="4">
          <reference field="0" count="1" selected="0">
            <x v="98"/>
          </reference>
          <reference field="1" count="1">
            <x v="102"/>
          </reference>
          <reference field="2" count="1" selected="0">
            <x v="430"/>
          </reference>
          <reference field="3" count="1" selected="0">
            <x v="353"/>
          </reference>
        </references>
      </pivotArea>
    </format>
    <format dxfId="127">
      <pivotArea dataOnly="0" labelOnly="1" outline="0" fieldPosition="0">
        <references count="4">
          <reference field="0" count="1" selected="0">
            <x v="166"/>
          </reference>
          <reference field="1" count="1">
            <x v="169"/>
          </reference>
          <reference field="2" count="1" selected="0">
            <x v="430"/>
          </reference>
          <reference field="3" count="1" selected="0">
            <x v="353"/>
          </reference>
        </references>
      </pivotArea>
    </format>
    <format dxfId="126">
      <pivotArea dataOnly="0" labelOnly="1" outline="0" fieldPosition="0">
        <references count="4">
          <reference field="0" count="1" selected="0">
            <x v="217"/>
          </reference>
          <reference field="1" count="1">
            <x v="220"/>
          </reference>
          <reference field="2" count="1" selected="0">
            <x v="430"/>
          </reference>
          <reference field="3" count="1" selected="0">
            <x v="353"/>
          </reference>
        </references>
      </pivotArea>
    </format>
    <format dxfId="125">
      <pivotArea dataOnly="0" labelOnly="1" outline="0" fieldPosition="0">
        <references count="4">
          <reference field="0" count="1" selected="0">
            <x v="265"/>
          </reference>
          <reference field="1" count="1">
            <x v="268"/>
          </reference>
          <reference field="2" count="1" selected="0">
            <x v="430"/>
          </reference>
          <reference field="3" count="1" selected="0">
            <x v="353"/>
          </reference>
        </references>
      </pivotArea>
    </format>
    <format dxfId="124">
      <pivotArea dataOnly="0" labelOnly="1" outline="0" fieldPosition="0">
        <references count="4">
          <reference field="0" count="1" selected="0">
            <x v="284"/>
          </reference>
          <reference field="1" count="1">
            <x v="288"/>
          </reference>
          <reference field="2" count="1" selected="0">
            <x v="430"/>
          </reference>
          <reference field="3" count="1" selected="0">
            <x v="353"/>
          </reference>
        </references>
      </pivotArea>
    </format>
    <format dxfId="123">
      <pivotArea dataOnly="0" labelOnly="1" outline="0" fieldPosition="0">
        <references count="4">
          <reference field="0" count="1" selected="0">
            <x v="322"/>
          </reference>
          <reference field="1" count="1">
            <x v="325"/>
          </reference>
          <reference field="2" count="1" selected="0">
            <x v="430"/>
          </reference>
          <reference field="3" count="1" selected="0">
            <x v="353"/>
          </reference>
        </references>
      </pivotArea>
    </format>
    <format dxfId="122">
      <pivotArea dataOnly="0" labelOnly="1" outline="0" fieldPosition="0">
        <references count="4">
          <reference field="0" count="1" selected="0">
            <x v="0"/>
          </reference>
          <reference field="1" count="1">
            <x v="1"/>
          </reference>
          <reference field="2" count="1" selected="0">
            <x v="431"/>
          </reference>
          <reference field="3" count="1" selected="0">
            <x v="349"/>
          </reference>
        </references>
      </pivotArea>
    </format>
    <format dxfId="121">
      <pivotArea dataOnly="0" labelOnly="1" outline="0" fieldPosition="0">
        <references count="4">
          <reference field="0" count="1" selected="0">
            <x v="64"/>
          </reference>
          <reference field="1" count="1">
            <x v="68"/>
          </reference>
          <reference field="2" count="1" selected="0">
            <x v="431"/>
          </reference>
          <reference field="3" count="1" selected="0">
            <x v="349"/>
          </reference>
        </references>
      </pivotArea>
    </format>
    <format dxfId="120">
      <pivotArea dataOnly="0" labelOnly="1" outline="0" fieldPosition="0">
        <references count="4">
          <reference field="0" count="1" selected="0">
            <x v="121"/>
          </reference>
          <reference field="1" count="1">
            <x v="124"/>
          </reference>
          <reference field="2" count="1" selected="0">
            <x v="431"/>
          </reference>
          <reference field="3" count="1" selected="0">
            <x v="349"/>
          </reference>
        </references>
      </pivotArea>
    </format>
    <format dxfId="119">
      <pivotArea dataOnly="0" labelOnly="1" outline="0" fieldPosition="0">
        <references count="4">
          <reference field="0" count="1" selected="0">
            <x v="122"/>
          </reference>
          <reference field="1" count="1">
            <x v="125"/>
          </reference>
          <reference field="2" count="1" selected="0">
            <x v="431"/>
          </reference>
          <reference field="3" count="1" selected="0">
            <x v="349"/>
          </reference>
        </references>
      </pivotArea>
    </format>
    <format dxfId="118">
      <pivotArea dataOnly="0" labelOnly="1" outline="0" fieldPosition="0">
        <references count="4">
          <reference field="0" count="1" selected="0">
            <x v="170"/>
          </reference>
          <reference field="1" count="1">
            <x v="173"/>
          </reference>
          <reference field="2" count="1" selected="0">
            <x v="431"/>
          </reference>
          <reference field="3" count="1" selected="0">
            <x v="349"/>
          </reference>
        </references>
      </pivotArea>
    </format>
    <format dxfId="117">
      <pivotArea dataOnly="0" labelOnly="1" outline="0" fieldPosition="0">
        <references count="4">
          <reference field="0" count="1" selected="0">
            <x v="218"/>
          </reference>
          <reference field="1" count="1">
            <x v="221"/>
          </reference>
          <reference field="2" count="1" selected="0">
            <x v="431"/>
          </reference>
          <reference field="3" count="1" selected="0">
            <x v="349"/>
          </reference>
        </references>
      </pivotArea>
    </format>
    <format dxfId="116">
      <pivotArea dataOnly="0" labelOnly="1" outline="0" fieldPosition="0">
        <references count="4">
          <reference field="0" count="1" selected="0">
            <x v="250"/>
          </reference>
          <reference field="1" count="1">
            <x v="253"/>
          </reference>
          <reference field="2" count="1" selected="0">
            <x v="431"/>
          </reference>
          <reference field="3" count="1" selected="0">
            <x v="349"/>
          </reference>
        </references>
      </pivotArea>
    </format>
    <format dxfId="115">
      <pivotArea dataOnly="0" labelOnly="1" outline="0" fieldPosition="0">
        <references count="4">
          <reference field="0" count="1" selected="0">
            <x v="263"/>
          </reference>
          <reference field="1" count="1">
            <x v="266"/>
          </reference>
          <reference field="2" count="1" selected="0">
            <x v="431"/>
          </reference>
          <reference field="3" count="1" selected="0">
            <x v="349"/>
          </reference>
        </references>
      </pivotArea>
    </format>
    <format dxfId="114">
      <pivotArea dataOnly="0" labelOnly="1" outline="0" fieldPosition="0">
        <references count="4">
          <reference field="0" count="1" selected="0">
            <x v="337"/>
          </reference>
          <reference field="1" count="1">
            <x v="341"/>
          </reference>
          <reference field="2" count="1" selected="0">
            <x v="431"/>
          </reference>
          <reference field="3" count="1" selected="0">
            <x v="349"/>
          </reference>
        </references>
      </pivotArea>
    </format>
    <format dxfId="113">
      <pivotArea dataOnly="0" labelOnly="1" outline="0" fieldPosition="0">
        <references count="4">
          <reference field="0" count="1" selected="0">
            <x v="16"/>
          </reference>
          <reference field="1" count="1">
            <x v="18"/>
          </reference>
          <reference field="2" count="1" selected="0">
            <x v="432"/>
          </reference>
          <reference field="3" count="1" selected="0">
            <x v="355"/>
          </reference>
        </references>
      </pivotArea>
    </format>
    <format dxfId="112">
      <pivotArea dataOnly="0" labelOnly="1" outline="0" fieldPosition="0">
        <references count="4">
          <reference field="0" count="1" selected="0">
            <x v="53"/>
          </reference>
          <reference field="1" count="1">
            <x v="57"/>
          </reference>
          <reference field="2" count="1" selected="0">
            <x v="432"/>
          </reference>
          <reference field="3" count="1" selected="0">
            <x v="355"/>
          </reference>
        </references>
      </pivotArea>
    </format>
    <format dxfId="111">
      <pivotArea dataOnly="0" labelOnly="1" outline="0" fieldPosition="0">
        <references count="4">
          <reference field="0" count="1" selected="0">
            <x v="79"/>
          </reference>
          <reference field="1" count="1">
            <x v="83"/>
          </reference>
          <reference field="2" count="1" selected="0">
            <x v="432"/>
          </reference>
          <reference field="3" count="1" selected="0">
            <x v="355"/>
          </reference>
        </references>
      </pivotArea>
    </format>
    <format dxfId="110">
      <pivotArea dataOnly="0" labelOnly="1" outline="0" fieldPosition="0">
        <references count="4">
          <reference field="0" count="1" selected="0">
            <x v="214"/>
          </reference>
          <reference field="1" count="1">
            <x v="214"/>
          </reference>
          <reference field="2" count="1" selected="0">
            <x v="432"/>
          </reference>
          <reference field="3" count="1" selected="0">
            <x v="355"/>
          </reference>
        </references>
      </pivotArea>
    </format>
    <format dxfId="109">
      <pivotArea dataOnly="0" labelOnly="1" outline="0" fieldPosition="0">
        <references count="4">
          <reference field="0" count="1" selected="0">
            <x v="225"/>
          </reference>
          <reference field="1" count="1">
            <x v="228"/>
          </reference>
          <reference field="2" count="1" selected="0">
            <x v="432"/>
          </reference>
          <reference field="3" count="1" selected="0">
            <x v="355"/>
          </reference>
        </references>
      </pivotArea>
    </format>
    <format dxfId="108">
      <pivotArea dataOnly="0" labelOnly="1" outline="0" fieldPosition="0">
        <references count="4">
          <reference field="0" count="1" selected="0">
            <x v="227"/>
          </reference>
          <reference field="1" count="1">
            <x v="230"/>
          </reference>
          <reference field="2" count="1" selected="0">
            <x v="432"/>
          </reference>
          <reference field="3" count="1" selected="0">
            <x v="355"/>
          </reference>
        </references>
      </pivotArea>
    </format>
    <format dxfId="107">
      <pivotArea dataOnly="0" labelOnly="1" outline="0" fieldPosition="0">
        <references count="4">
          <reference field="0" count="1" selected="0">
            <x v="256"/>
          </reference>
          <reference field="1" count="1">
            <x v="259"/>
          </reference>
          <reference field="2" count="1" selected="0">
            <x v="432"/>
          </reference>
          <reference field="3" count="1" selected="0">
            <x v="355"/>
          </reference>
        </references>
      </pivotArea>
    </format>
    <format dxfId="106">
      <pivotArea dataOnly="0" labelOnly="1" outline="0" fieldPosition="0">
        <references count="4">
          <reference field="0" count="1" selected="0">
            <x v="276"/>
          </reference>
          <reference field="1" count="1">
            <x v="280"/>
          </reference>
          <reference field="2" count="1" selected="0">
            <x v="432"/>
          </reference>
          <reference field="3" count="1" selected="0">
            <x v="355"/>
          </reference>
        </references>
      </pivotArea>
    </format>
    <format dxfId="105">
      <pivotArea dataOnly="0" labelOnly="1" outline="0" fieldPosition="0">
        <references count="4">
          <reference field="0" count="1" selected="0">
            <x v="279"/>
          </reference>
          <reference field="1" count="1">
            <x v="282"/>
          </reference>
          <reference field="2" count="1" selected="0">
            <x v="432"/>
          </reference>
          <reference field="3" count="1" selected="0">
            <x v="355"/>
          </reference>
        </references>
      </pivotArea>
    </format>
    <format dxfId="104">
      <pivotArea dataOnly="0" labelOnly="1" outline="0" fieldPosition="0">
        <references count="4">
          <reference field="0" count="1" selected="0">
            <x v="315"/>
          </reference>
          <reference field="1" count="1">
            <x v="319"/>
          </reference>
          <reference field="2" count="1" selected="0">
            <x v="432"/>
          </reference>
          <reference field="3" count="1" selected="0">
            <x v="355"/>
          </reference>
        </references>
      </pivotArea>
    </format>
    <format dxfId="103">
      <pivotArea dataOnly="0" labelOnly="1" outline="0" fieldPosition="0">
        <references count="4">
          <reference field="0" count="1" selected="0">
            <x v="100"/>
          </reference>
          <reference field="1" count="1">
            <x v="104"/>
          </reference>
          <reference field="2" count="1" selected="0">
            <x v="433"/>
          </reference>
          <reference field="3" count="1" selected="0">
            <x v="383"/>
          </reference>
        </references>
      </pivotArea>
    </format>
    <format dxfId="102">
      <pivotArea dataOnly="0" labelOnly="1" outline="0" fieldPosition="0">
        <references count="4">
          <reference field="0" count="1" selected="0">
            <x v="174"/>
          </reference>
          <reference field="1" count="1">
            <x v="177"/>
          </reference>
          <reference field="2" count="1" selected="0">
            <x v="433"/>
          </reference>
          <reference field="3" count="1" selected="0">
            <x v="383"/>
          </reference>
        </references>
      </pivotArea>
    </format>
    <format dxfId="101">
      <pivotArea dataOnly="0" labelOnly="1" outline="0" fieldPosition="0">
        <references count="4">
          <reference field="0" count="1" selected="0">
            <x v="176"/>
          </reference>
          <reference field="1" count="1">
            <x v="179"/>
          </reference>
          <reference field="2" count="1" selected="0">
            <x v="433"/>
          </reference>
          <reference field="3" count="1" selected="0">
            <x v="383"/>
          </reference>
        </references>
      </pivotArea>
    </format>
    <format dxfId="100">
      <pivotArea dataOnly="0" labelOnly="1" outline="0" fieldPosition="0">
        <references count="4">
          <reference field="0" count="1" selected="0">
            <x v="186"/>
          </reference>
          <reference field="1" count="1">
            <x v="189"/>
          </reference>
          <reference field="2" count="1" selected="0">
            <x v="433"/>
          </reference>
          <reference field="3" count="1" selected="0">
            <x v="383"/>
          </reference>
        </references>
      </pivotArea>
    </format>
    <format dxfId="99">
      <pivotArea dataOnly="0" labelOnly="1" outline="0" fieldPosition="0">
        <references count="4">
          <reference field="0" count="1" selected="0">
            <x v="207"/>
          </reference>
          <reference field="1" count="1">
            <x v="210"/>
          </reference>
          <reference field="2" count="1" selected="0">
            <x v="433"/>
          </reference>
          <reference field="3" count="1" selected="0">
            <x v="383"/>
          </reference>
        </references>
      </pivotArea>
    </format>
    <format dxfId="98">
      <pivotArea dataOnly="0" labelOnly="1" outline="0" fieldPosition="0">
        <references count="4">
          <reference field="0" count="1" selected="0">
            <x v="211"/>
          </reference>
          <reference field="1" count="1">
            <x v="213"/>
          </reference>
          <reference field="2" count="1" selected="0">
            <x v="433"/>
          </reference>
          <reference field="3" count="1" selected="0">
            <x v="383"/>
          </reference>
        </references>
      </pivotArea>
    </format>
    <format dxfId="97">
      <pivotArea dataOnly="0" labelOnly="1" outline="0" fieldPosition="0">
        <references count="4">
          <reference field="0" count="1" selected="0">
            <x v="237"/>
          </reference>
          <reference field="1" count="1">
            <x v="240"/>
          </reference>
          <reference field="2" count="1" selected="0">
            <x v="433"/>
          </reference>
          <reference field="3" count="1" selected="0">
            <x v="383"/>
          </reference>
        </references>
      </pivotArea>
    </format>
    <format dxfId="96">
      <pivotArea dataOnly="0" labelOnly="1" outline="0" fieldPosition="0">
        <references count="4">
          <reference field="0" count="1" selected="0">
            <x v="264"/>
          </reference>
          <reference field="1" count="1">
            <x v="267"/>
          </reference>
          <reference field="2" count="1" selected="0">
            <x v="433"/>
          </reference>
          <reference field="3" count="1" selected="0">
            <x v="383"/>
          </reference>
        </references>
      </pivotArea>
    </format>
    <format dxfId="95">
      <pivotArea dataOnly="0" labelOnly="1" outline="0" fieldPosition="0">
        <references count="4">
          <reference field="0" count="1" selected="0">
            <x v="268"/>
          </reference>
          <reference field="1" count="1">
            <x v="271"/>
          </reference>
          <reference field="2" count="1" selected="0">
            <x v="433"/>
          </reference>
          <reference field="3" count="1" selected="0">
            <x v="383"/>
          </reference>
        </references>
      </pivotArea>
    </format>
    <format dxfId="94">
      <pivotArea dataOnly="0" labelOnly="1" outline="0" fieldPosition="0">
        <references count="4">
          <reference field="0" count="1" selected="0">
            <x v="306"/>
          </reference>
          <reference field="1" count="1">
            <x v="310"/>
          </reference>
          <reference field="2" count="1" selected="0">
            <x v="433"/>
          </reference>
          <reference field="3" count="1" selected="0">
            <x v="383"/>
          </reference>
        </references>
      </pivotArea>
    </format>
    <format dxfId="93">
      <pivotArea dataOnly="0" labelOnly="1" outline="0" fieldPosition="0">
        <references count="4">
          <reference field="0" count="1" selected="0">
            <x v="349"/>
          </reference>
          <reference field="1" count="1">
            <x v="353"/>
          </reference>
          <reference field="2" count="1" selected="0">
            <x v="433"/>
          </reference>
          <reference field="3" count="1" selected="0">
            <x v="383"/>
          </reference>
        </references>
      </pivotArea>
    </format>
    <format dxfId="92">
      <pivotArea dataOnly="0" labelOnly="1" outline="0" fieldPosition="0">
        <references count="4">
          <reference field="0" count="1" selected="0">
            <x v="35"/>
          </reference>
          <reference field="1" count="1">
            <x v="37"/>
          </reference>
          <reference field="2" count="1" selected="0">
            <x v="434"/>
          </reference>
          <reference field="3" count="1" selected="0">
            <x v="389"/>
          </reference>
        </references>
      </pivotArea>
    </format>
    <format dxfId="91">
      <pivotArea dataOnly="0" labelOnly="1" outline="0" fieldPosition="0">
        <references count="4">
          <reference field="0" count="1" selected="0">
            <x v="95"/>
          </reference>
          <reference field="1" count="1">
            <x v="99"/>
          </reference>
          <reference field="2" count="1" selected="0">
            <x v="434"/>
          </reference>
          <reference field="3" count="1" selected="0">
            <x v="389"/>
          </reference>
        </references>
      </pivotArea>
    </format>
    <format dxfId="90">
      <pivotArea dataOnly="0" labelOnly="1" outline="0" fieldPosition="0">
        <references count="4">
          <reference field="0" count="1" selected="0">
            <x v="168"/>
          </reference>
          <reference field="1" count="1">
            <x v="171"/>
          </reference>
          <reference field="2" count="1" selected="0">
            <x v="434"/>
          </reference>
          <reference field="3" count="1" selected="0">
            <x v="389"/>
          </reference>
        </references>
      </pivotArea>
    </format>
    <format dxfId="89">
      <pivotArea dataOnly="0" labelOnly="1" outline="0" fieldPosition="0">
        <references count="4">
          <reference field="0" count="1" selected="0">
            <x v="260"/>
          </reference>
          <reference field="1" count="1">
            <x v="263"/>
          </reference>
          <reference field="2" count="1" selected="0">
            <x v="434"/>
          </reference>
          <reference field="3" count="1" selected="0">
            <x v="389"/>
          </reference>
        </references>
      </pivotArea>
    </format>
    <format dxfId="88">
      <pivotArea dataOnly="0" labelOnly="1" outline="0" fieldPosition="0">
        <references count="4">
          <reference field="0" count="1" selected="0">
            <x v="309"/>
          </reference>
          <reference field="1" count="1">
            <x v="313"/>
          </reference>
          <reference field="2" count="1" selected="0">
            <x v="434"/>
          </reference>
          <reference field="3" count="1" selected="0">
            <x v="389"/>
          </reference>
        </references>
      </pivotArea>
    </format>
    <format dxfId="87">
      <pivotArea dataOnly="0" labelOnly="1" outline="0" fieldPosition="0">
        <references count="4">
          <reference field="0" count="1" selected="0">
            <x v="6"/>
          </reference>
          <reference field="1" count="1">
            <x v="7"/>
          </reference>
          <reference field="2" count="1" selected="0">
            <x v="435"/>
          </reference>
          <reference field="3" count="1" selected="0">
            <x v="428"/>
          </reference>
        </references>
      </pivotArea>
    </format>
    <format dxfId="86">
      <pivotArea dataOnly="0" labelOnly="1" outline="0" fieldPosition="0">
        <references count="4">
          <reference field="0" count="1" selected="0">
            <x v="104"/>
          </reference>
          <reference field="1" count="1">
            <x v="107"/>
          </reference>
          <reference field="2" count="1" selected="0">
            <x v="435"/>
          </reference>
          <reference field="3" count="1" selected="0">
            <x v="428"/>
          </reference>
        </references>
      </pivotArea>
    </format>
    <format dxfId="85">
      <pivotArea dataOnly="0" labelOnly="1" outline="0" fieldPosition="0">
        <references count="4">
          <reference field="0" count="1" selected="0">
            <x v="115"/>
          </reference>
          <reference field="1" count="1">
            <x v="118"/>
          </reference>
          <reference field="2" count="1" selected="0">
            <x v="435"/>
          </reference>
          <reference field="3" count="1" selected="0">
            <x v="428"/>
          </reference>
        </references>
      </pivotArea>
    </format>
    <format dxfId="84">
      <pivotArea dataOnly="0" labelOnly="1" outline="0" fieldPosition="0">
        <references count="4">
          <reference field="0" count="1" selected="0">
            <x v="127"/>
          </reference>
          <reference field="1" count="1">
            <x v="130"/>
          </reference>
          <reference field="2" count="1" selected="0">
            <x v="435"/>
          </reference>
          <reference field="3" count="1" selected="0">
            <x v="428"/>
          </reference>
        </references>
      </pivotArea>
    </format>
    <format dxfId="83">
      <pivotArea dataOnly="0" labelOnly="1" outline="0" fieldPosition="0">
        <references count="4">
          <reference field="0" count="1" selected="0">
            <x v="143"/>
          </reference>
          <reference field="1" count="1">
            <x v="146"/>
          </reference>
          <reference field="2" count="1" selected="0">
            <x v="435"/>
          </reference>
          <reference field="3" count="1" selected="0">
            <x v="428"/>
          </reference>
        </references>
      </pivotArea>
    </format>
    <format dxfId="82">
      <pivotArea dataOnly="0" labelOnly="1" outline="0" fieldPosition="0">
        <references count="4">
          <reference field="0" count="1" selected="0">
            <x v="179"/>
          </reference>
          <reference field="1" count="1">
            <x v="182"/>
          </reference>
          <reference field="2" count="1" selected="0">
            <x v="435"/>
          </reference>
          <reference field="3" count="1" selected="0">
            <x v="428"/>
          </reference>
        </references>
      </pivotArea>
    </format>
    <format dxfId="81">
      <pivotArea dataOnly="0" labelOnly="1" outline="0" fieldPosition="0">
        <references count="4">
          <reference field="0" count="1" selected="0">
            <x v="202"/>
          </reference>
          <reference field="1" count="1">
            <x v="207"/>
          </reference>
          <reference field="2" count="1" selected="0">
            <x v="435"/>
          </reference>
          <reference field="3" count="1" selected="0">
            <x v="428"/>
          </reference>
        </references>
      </pivotArea>
    </format>
    <format dxfId="80">
      <pivotArea dataOnly="0" labelOnly="1" outline="0" fieldPosition="0">
        <references count="4">
          <reference field="0" count="1" selected="0">
            <x v="203"/>
          </reference>
          <reference field="1" count="1">
            <x v="208"/>
          </reference>
          <reference field="2" count="1" selected="0">
            <x v="435"/>
          </reference>
          <reference field="3" count="1" selected="0">
            <x v="428"/>
          </reference>
        </references>
      </pivotArea>
    </format>
    <format dxfId="79">
      <pivotArea dataOnly="0" labelOnly="1" outline="0" fieldPosition="0">
        <references count="4">
          <reference field="0" count="1" selected="0">
            <x v="253"/>
          </reference>
          <reference field="1" count="1">
            <x v="256"/>
          </reference>
          <reference field="2" count="1" selected="0">
            <x v="435"/>
          </reference>
          <reference field="3" count="1" selected="0">
            <x v="428"/>
          </reference>
        </references>
      </pivotArea>
    </format>
    <format dxfId="78">
      <pivotArea dataOnly="0" labelOnly="1" outline="0" fieldPosition="0">
        <references count="4">
          <reference field="0" count="1" selected="0">
            <x v="258"/>
          </reference>
          <reference field="1" count="1">
            <x v="261"/>
          </reference>
          <reference field="2" count="1" selected="0">
            <x v="435"/>
          </reference>
          <reference field="3" count="1" selected="0">
            <x v="428"/>
          </reference>
        </references>
      </pivotArea>
    </format>
    <format dxfId="77">
      <pivotArea dataOnly="0" labelOnly="1" outline="0" fieldPosition="0">
        <references count="4">
          <reference field="0" count="1" selected="0">
            <x v="328"/>
          </reference>
          <reference field="1" count="1">
            <x v="327"/>
          </reference>
          <reference field="2" count="1" selected="0">
            <x v="435"/>
          </reference>
          <reference field="3" count="1" selected="0">
            <x v="428"/>
          </reference>
        </references>
      </pivotArea>
    </format>
    <format dxfId="76">
      <pivotArea dataOnly="0" labelOnly="1" outline="0" fieldPosition="0">
        <references count="4">
          <reference field="0" count="1" selected="0">
            <x v="2"/>
          </reference>
          <reference field="1" count="1">
            <x v="3"/>
          </reference>
          <reference field="2" count="1" selected="0">
            <x v="436"/>
          </reference>
          <reference field="3" count="1" selected="0">
            <x v="57"/>
          </reference>
        </references>
      </pivotArea>
    </format>
    <format dxfId="75">
      <pivotArea dataOnly="0" labelOnly="1" outline="0" fieldPosition="0">
        <references count="4">
          <reference field="0" count="1" selected="0">
            <x v="15"/>
          </reference>
          <reference field="1" count="1">
            <x v="17"/>
          </reference>
          <reference field="2" count="1" selected="0">
            <x v="436"/>
          </reference>
          <reference field="3" count="1" selected="0">
            <x v="57"/>
          </reference>
        </references>
      </pivotArea>
    </format>
    <format dxfId="74">
      <pivotArea dataOnly="0" labelOnly="1" outline="0" fieldPosition="0">
        <references count="4">
          <reference field="0" count="1" selected="0">
            <x v="26"/>
          </reference>
          <reference field="1" count="1">
            <x v="28"/>
          </reference>
          <reference field="2" count="1" selected="0">
            <x v="436"/>
          </reference>
          <reference field="3" count="1" selected="0">
            <x v="57"/>
          </reference>
        </references>
      </pivotArea>
    </format>
    <format dxfId="73">
      <pivotArea dataOnly="0" labelOnly="1" outline="0" fieldPosition="0">
        <references count="4">
          <reference field="0" count="1" selected="0">
            <x v="71"/>
          </reference>
          <reference field="1" count="1">
            <x v="75"/>
          </reference>
          <reference field="2" count="1" selected="0">
            <x v="436"/>
          </reference>
          <reference field="3" count="1" selected="0">
            <x v="57"/>
          </reference>
        </references>
      </pivotArea>
    </format>
    <format dxfId="72">
      <pivotArea dataOnly="0" labelOnly="1" outline="0" fieldPosition="0">
        <references count="4">
          <reference field="0" count="1" selected="0">
            <x v="75"/>
          </reference>
          <reference field="1" count="1">
            <x v="79"/>
          </reference>
          <reference field="2" count="1" selected="0">
            <x v="436"/>
          </reference>
          <reference field="3" count="1" selected="0">
            <x v="57"/>
          </reference>
        </references>
      </pivotArea>
    </format>
    <format dxfId="71">
      <pivotArea dataOnly="0" labelOnly="1" outline="0" fieldPosition="0">
        <references count="4">
          <reference field="0" count="1" selected="0">
            <x v="87"/>
          </reference>
          <reference field="1" count="1">
            <x v="91"/>
          </reference>
          <reference field="2" count="1" selected="0">
            <x v="436"/>
          </reference>
          <reference field="3" count="1" selected="0">
            <x v="57"/>
          </reference>
        </references>
      </pivotArea>
    </format>
    <format dxfId="70">
      <pivotArea dataOnly="0" labelOnly="1" outline="0" fieldPosition="0">
        <references count="4">
          <reference field="0" count="1" selected="0">
            <x v="93"/>
          </reference>
          <reference field="1" count="1">
            <x v="97"/>
          </reference>
          <reference field="2" count="1" selected="0">
            <x v="436"/>
          </reference>
          <reference field="3" count="1" selected="0">
            <x v="57"/>
          </reference>
        </references>
      </pivotArea>
    </format>
    <format dxfId="69">
      <pivotArea dataOnly="0" labelOnly="1" outline="0" fieldPosition="0">
        <references count="4">
          <reference field="0" count="1" selected="0">
            <x v="94"/>
          </reference>
          <reference field="1" count="1">
            <x v="98"/>
          </reference>
          <reference field="2" count="1" selected="0">
            <x v="436"/>
          </reference>
          <reference field="3" count="1" selected="0">
            <x v="57"/>
          </reference>
        </references>
      </pivotArea>
    </format>
    <format dxfId="68">
      <pivotArea dataOnly="0" labelOnly="1" outline="0" fieldPosition="0">
        <references count="4">
          <reference field="0" count="1" selected="0">
            <x v="101"/>
          </reference>
          <reference field="1" count="1">
            <x v="105"/>
          </reference>
          <reference field="2" count="1" selected="0">
            <x v="436"/>
          </reference>
          <reference field="3" count="1" selected="0">
            <x v="57"/>
          </reference>
        </references>
      </pivotArea>
    </format>
    <format dxfId="67">
      <pivotArea dataOnly="0" labelOnly="1" outline="0" fieldPosition="0">
        <references count="4">
          <reference field="0" count="1" selected="0">
            <x v="166"/>
          </reference>
          <reference field="1" count="1">
            <x v="169"/>
          </reference>
          <reference field="2" count="1" selected="0">
            <x v="436"/>
          </reference>
          <reference field="3" count="1" selected="0">
            <x v="57"/>
          </reference>
        </references>
      </pivotArea>
    </format>
    <format dxfId="66">
      <pivotArea dataOnly="0" labelOnly="1" outline="0" fieldPosition="0">
        <references count="4">
          <reference field="0" count="1" selected="0">
            <x v="200"/>
          </reference>
          <reference field="1" count="1">
            <x v="203"/>
          </reference>
          <reference field="2" count="1" selected="0">
            <x v="436"/>
          </reference>
          <reference field="3" count="1" selected="0">
            <x v="57"/>
          </reference>
        </references>
      </pivotArea>
    </format>
    <format dxfId="65">
      <pivotArea dataOnly="0" labelOnly="1" outline="0" fieldPosition="0">
        <references count="4">
          <reference field="0" count="1" selected="0">
            <x v="211"/>
          </reference>
          <reference field="1" count="1">
            <x v="213"/>
          </reference>
          <reference field="2" count="1" selected="0">
            <x v="436"/>
          </reference>
          <reference field="3" count="1" selected="0">
            <x v="57"/>
          </reference>
        </references>
      </pivotArea>
    </format>
    <format dxfId="64">
      <pivotArea dataOnly="0" labelOnly="1" outline="0" fieldPosition="0">
        <references count="4">
          <reference field="0" count="1" selected="0">
            <x v="217"/>
          </reference>
          <reference field="1" count="1">
            <x v="220"/>
          </reference>
          <reference field="2" count="1" selected="0">
            <x v="436"/>
          </reference>
          <reference field="3" count="1" selected="0">
            <x v="57"/>
          </reference>
        </references>
      </pivotArea>
    </format>
    <format dxfId="63">
      <pivotArea dataOnly="0" labelOnly="1" outline="0" fieldPosition="0">
        <references count="4">
          <reference field="0" count="1" selected="0">
            <x v="244"/>
          </reference>
          <reference field="1" count="1">
            <x v="247"/>
          </reference>
          <reference field="2" count="1" selected="0">
            <x v="436"/>
          </reference>
          <reference field="3" count="1" selected="0">
            <x v="57"/>
          </reference>
        </references>
      </pivotArea>
    </format>
    <format dxfId="62">
      <pivotArea dataOnly="0" labelOnly="1" outline="0" fieldPosition="0">
        <references count="4">
          <reference field="0" count="1" selected="0">
            <x v="246"/>
          </reference>
          <reference field="1" count="1">
            <x v="249"/>
          </reference>
          <reference field="2" count="1" selected="0">
            <x v="436"/>
          </reference>
          <reference field="3" count="1" selected="0">
            <x v="57"/>
          </reference>
        </references>
      </pivotArea>
    </format>
    <format dxfId="61">
      <pivotArea dataOnly="0" labelOnly="1" outline="0" fieldPosition="0">
        <references count="4">
          <reference field="0" count="1" selected="0">
            <x v="264"/>
          </reference>
          <reference field="1" count="1">
            <x v="267"/>
          </reference>
          <reference field="2" count="1" selected="0">
            <x v="436"/>
          </reference>
          <reference field="3" count="1" selected="0">
            <x v="57"/>
          </reference>
        </references>
      </pivotArea>
    </format>
    <format dxfId="60">
      <pivotArea dataOnly="0" labelOnly="1" outline="0" fieldPosition="0">
        <references count="4">
          <reference field="0" count="1" selected="0">
            <x v="272"/>
          </reference>
          <reference field="1" count="1">
            <x v="275"/>
          </reference>
          <reference field="2" count="1" selected="0">
            <x v="436"/>
          </reference>
          <reference field="3" count="1" selected="0">
            <x v="57"/>
          </reference>
        </references>
      </pivotArea>
    </format>
    <format dxfId="59">
      <pivotArea dataOnly="0" labelOnly="1" outline="0" fieldPosition="0">
        <references count="4">
          <reference field="0" count="1" selected="0">
            <x v="291"/>
          </reference>
          <reference field="1" count="1">
            <x v="295"/>
          </reference>
          <reference field="2" count="1" selected="0">
            <x v="436"/>
          </reference>
          <reference field="3" count="1" selected="0">
            <x v="57"/>
          </reference>
        </references>
      </pivotArea>
    </format>
    <format dxfId="58">
      <pivotArea dataOnly="0" labelOnly="1" outline="0" fieldPosition="0">
        <references count="4">
          <reference field="0" count="1" selected="0">
            <x v="292"/>
          </reference>
          <reference field="1" count="1">
            <x v="296"/>
          </reference>
          <reference field="2" count="1" selected="0">
            <x v="436"/>
          </reference>
          <reference field="3" count="1" selected="0">
            <x v="57"/>
          </reference>
        </references>
      </pivotArea>
    </format>
    <format dxfId="57">
      <pivotArea dataOnly="0" labelOnly="1" outline="0" fieldPosition="0">
        <references count="4">
          <reference field="0" count="1" selected="0">
            <x v="330"/>
          </reference>
          <reference field="1" count="1">
            <x v="337"/>
          </reference>
          <reference field="2" count="1" selected="0">
            <x v="436"/>
          </reference>
          <reference field="3" count="1" selected="0">
            <x v="57"/>
          </reference>
        </references>
      </pivotArea>
    </format>
    <format dxfId="56">
      <pivotArea dataOnly="0" labelOnly="1" outline="0" fieldPosition="0">
        <references count="4">
          <reference field="0" count="1" selected="0">
            <x v="17"/>
          </reference>
          <reference field="1" count="1">
            <x v="19"/>
          </reference>
          <reference field="2" count="1" selected="0">
            <x v="437"/>
          </reference>
          <reference field="3" count="1" selected="0">
            <x v="264"/>
          </reference>
        </references>
      </pivotArea>
    </format>
    <format dxfId="55">
      <pivotArea dataOnly="0" labelOnly="1" outline="0" fieldPosition="0">
        <references count="4">
          <reference field="0" count="1" selected="0">
            <x v="24"/>
          </reference>
          <reference field="1" count="1">
            <x v="26"/>
          </reference>
          <reference field="2" count="1" selected="0">
            <x v="437"/>
          </reference>
          <reference field="3" count="1" selected="0">
            <x v="264"/>
          </reference>
        </references>
      </pivotArea>
    </format>
    <format dxfId="54">
      <pivotArea dataOnly="0" labelOnly="1" outline="0" fieldPosition="0">
        <references count="4">
          <reference field="0" count="1" selected="0">
            <x v="39"/>
          </reference>
          <reference field="1" count="1">
            <x v="43"/>
          </reference>
          <reference field="2" count="1" selected="0">
            <x v="437"/>
          </reference>
          <reference field="3" count="1" selected="0">
            <x v="264"/>
          </reference>
        </references>
      </pivotArea>
    </format>
    <format dxfId="53">
      <pivotArea dataOnly="0" labelOnly="1" outline="0" fieldPosition="0">
        <references count="4">
          <reference field="0" count="1" selected="0">
            <x v="45"/>
          </reference>
          <reference field="1" count="1">
            <x v="49"/>
          </reference>
          <reference field="2" count="1" selected="0">
            <x v="437"/>
          </reference>
          <reference field="3" count="1" selected="0">
            <x v="264"/>
          </reference>
        </references>
      </pivotArea>
    </format>
    <format dxfId="52">
      <pivotArea dataOnly="0" labelOnly="1" outline="0" fieldPosition="0">
        <references count="4">
          <reference field="0" count="1" selected="0">
            <x v="49"/>
          </reference>
          <reference field="1" count="1">
            <x v="53"/>
          </reference>
          <reference field="2" count="1" selected="0">
            <x v="437"/>
          </reference>
          <reference field="3" count="1" selected="0">
            <x v="264"/>
          </reference>
        </references>
      </pivotArea>
    </format>
    <format dxfId="51">
      <pivotArea dataOnly="0" labelOnly="1" outline="0" fieldPosition="0">
        <references count="4">
          <reference field="0" count="1" selected="0">
            <x v="64"/>
          </reference>
          <reference field="1" count="1">
            <x v="68"/>
          </reference>
          <reference field="2" count="1" selected="0">
            <x v="437"/>
          </reference>
          <reference field="3" count="1" selected="0">
            <x v="264"/>
          </reference>
        </references>
      </pivotArea>
    </format>
    <format dxfId="50">
      <pivotArea dataOnly="0" labelOnly="1" outline="0" fieldPosition="0">
        <references count="4">
          <reference field="0" count="1" selected="0">
            <x v="72"/>
          </reference>
          <reference field="1" count="1">
            <x v="76"/>
          </reference>
          <reference field="2" count="1" selected="0">
            <x v="437"/>
          </reference>
          <reference field="3" count="1" selected="0">
            <x v="264"/>
          </reference>
        </references>
      </pivotArea>
    </format>
    <format dxfId="49">
      <pivotArea dataOnly="0" labelOnly="1" outline="0" fieldPosition="0">
        <references count="4">
          <reference field="0" count="1" selected="0">
            <x v="77"/>
          </reference>
          <reference field="1" count="1">
            <x v="81"/>
          </reference>
          <reference field="2" count="1" selected="0">
            <x v="437"/>
          </reference>
          <reference field="3" count="1" selected="0">
            <x v="264"/>
          </reference>
        </references>
      </pivotArea>
    </format>
    <format dxfId="48">
      <pivotArea dataOnly="0" labelOnly="1" outline="0" fieldPosition="0">
        <references count="4">
          <reference field="0" count="1" selected="0">
            <x v="98"/>
          </reference>
          <reference field="1" count="1">
            <x v="102"/>
          </reference>
          <reference field="2" count="1" selected="0">
            <x v="437"/>
          </reference>
          <reference field="3" count="1" selected="0">
            <x v="264"/>
          </reference>
        </references>
      </pivotArea>
    </format>
    <format dxfId="47">
      <pivotArea dataOnly="0" labelOnly="1" outline="0" fieldPosition="0">
        <references count="4">
          <reference field="0" count="1" selected="0">
            <x v="100"/>
          </reference>
          <reference field="1" count="1">
            <x v="104"/>
          </reference>
          <reference field="2" count="1" selected="0">
            <x v="437"/>
          </reference>
          <reference field="3" count="1" selected="0">
            <x v="264"/>
          </reference>
        </references>
      </pivotArea>
    </format>
    <format dxfId="46">
      <pivotArea dataOnly="0" labelOnly="1" outline="0" fieldPosition="0">
        <references count="4">
          <reference field="0" count="1" selected="0">
            <x v="132"/>
          </reference>
          <reference field="1" count="1">
            <x v="135"/>
          </reference>
          <reference field="2" count="1" selected="0">
            <x v="437"/>
          </reference>
          <reference field="3" count="1" selected="0">
            <x v="264"/>
          </reference>
        </references>
      </pivotArea>
    </format>
    <format dxfId="45">
      <pivotArea dataOnly="0" labelOnly="1" outline="0" fieldPosition="0">
        <references count="4">
          <reference field="0" count="1" selected="0">
            <x v="174"/>
          </reference>
          <reference field="1" count="1">
            <x v="177"/>
          </reference>
          <reference field="2" count="1" selected="0">
            <x v="437"/>
          </reference>
          <reference field="3" count="1" selected="0">
            <x v="264"/>
          </reference>
        </references>
      </pivotArea>
    </format>
    <format dxfId="44">
      <pivotArea dataOnly="0" labelOnly="1" outline="0" fieldPosition="0">
        <references count="4">
          <reference field="0" count="1" selected="0">
            <x v="176"/>
          </reference>
          <reference field="1" count="1">
            <x v="179"/>
          </reference>
          <reference field="2" count="1" selected="0">
            <x v="437"/>
          </reference>
          <reference field="3" count="1" selected="0">
            <x v="264"/>
          </reference>
        </references>
      </pivotArea>
    </format>
    <format dxfId="43">
      <pivotArea dataOnly="0" labelOnly="1" outline="0" fieldPosition="0">
        <references count="4">
          <reference field="0" count="1" selected="0">
            <x v="186"/>
          </reference>
          <reference field="1" count="1">
            <x v="189"/>
          </reference>
          <reference field="2" count="1" selected="0">
            <x v="437"/>
          </reference>
          <reference field="3" count="1" selected="0">
            <x v="264"/>
          </reference>
        </references>
      </pivotArea>
    </format>
    <format dxfId="42">
      <pivotArea dataOnly="0" labelOnly="1" outline="0" fieldPosition="0">
        <references count="4">
          <reference field="0" count="1" selected="0">
            <x v="188"/>
          </reference>
          <reference field="1" count="1">
            <x v="191"/>
          </reference>
          <reference field="2" count="1" selected="0">
            <x v="437"/>
          </reference>
          <reference field="3" count="1" selected="0">
            <x v="264"/>
          </reference>
        </references>
      </pivotArea>
    </format>
    <format dxfId="41">
      <pivotArea dataOnly="0" labelOnly="1" outline="0" fieldPosition="0">
        <references count="4">
          <reference field="0" count="1" selected="0">
            <x v="198"/>
          </reference>
          <reference field="1" count="1">
            <x v="201"/>
          </reference>
          <reference field="2" count="1" selected="0">
            <x v="437"/>
          </reference>
          <reference field="3" count="1" selected="0">
            <x v="264"/>
          </reference>
        </references>
      </pivotArea>
    </format>
    <format dxfId="40">
      <pivotArea dataOnly="0" labelOnly="1" outline="0" fieldPosition="0">
        <references count="4">
          <reference field="0" count="1" selected="0">
            <x v="207"/>
          </reference>
          <reference field="1" count="1">
            <x v="210"/>
          </reference>
          <reference field="2" count="1" selected="0">
            <x v="437"/>
          </reference>
          <reference field="3" count="1" selected="0">
            <x v="264"/>
          </reference>
        </references>
      </pivotArea>
    </format>
    <format dxfId="39">
      <pivotArea dataOnly="0" labelOnly="1" outline="0" fieldPosition="0">
        <references count="4">
          <reference field="0" count="1" selected="0">
            <x v="219"/>
          </reference>
          <reference field="1" count="1">
            <x v="222"/>
          </reference>
          <reference field="2" count="1" selected="0">
            <x v="437"/>
          </reference>
          <reference field="3" count="1" selected="0">
            <x v="264"/>
          </reference>
        </references>
      </pivotArea>
    </format>
    <format dxfId="38">
      <pivotArea dataOnly="0" labelOnly="1" outline="0" fieldPosition="0">
        <references count="4">
          <reference field="0" count="1" selected="0">
            <x v="237"/>
          </reference>
          <reference field="1" count="1">
            <x v="240"/>
          </reference>
          <reference field="2" count="1" selected="0">
            <x v="437"/>
          </reference>
          <reference field="3" count="1" selected="0">
            <x v="264"/>
          </reference>
        </references>
      </pivotArea>
    </format>
    <format dxfId="37">
      <pivotArea dataOnly="0" labelOnly="1" outline="0" fieldPosition="0">
        <references count="4">
          <reference field="0" count="1" selected="0">
            <x v="242"/>
          </reference>
          <reference field="1" count="1">
            <x v="245"/>
          </reference>
          <reference field="2" count="1" selected="0">
            <x v="437"/>
          </reference>
          <reference field="3" count="1" selected="0">
            <x v="264"/>
          </reference>
        </references>
      </pivotArea>
    </format>
    <format dxfId="36">
      <pivotArea dataOnly="0" labelOnly="1" outline="0" fieldPosition="0">
        <references count="4">
          <reference field="0" count="1" selected="0">
            <x v="243"/>
          </reference>
          <reference field="1" count="1">
            <x v="246"/>
          </reference>
          <reference field="2" count="1" selected="0">
            <x v="437"/>
          </reference>
          <reference field="3" count="1" selected="0">
            <x v="264"/>
          </reference>
        </references>
      </pivotArea>
    </format>
    <format dxfId="35">
      <pivotArea dataOnly="0" labelOnly="1" outline="0" fieldPosition="0">
        <references count="4">
          <reference field="0" count="1" selected="0">
            <x v="265"/>
          </reference>
          <reference field="1" count="1">
            <x v="268"/>
          </reference>
          <reference field="2" count="1" selected="0">
            <x v="437"/>
          </reference>
          <reference field="3" count="1" selected="0">
            <x v="264"/>
          </reference>
        </references>
      </pivotArea>
    </format>
    <format dxfId="34">
      <pivotArea dataOnly="0" labelOnly="1" outline="0" fieldPosition="0">
        <references count="4">
          <reference field="0" count="1" selected="0">
            <x v="284"/>
          </reference>
          <reference field="1" count="1">
            <x v="288"/>
          </reference>
          <reference field="2" count="1" selected="0">
            <x v="437"/>
          </reference>
          <reference field="3" count="1" selected="0">
            <x v="264"/>
          </reference>
        </references>
      </pivotArea>
    </format>
    <format dxfId="33">
      <pivotArea dataOnly="0" labelOnly="1" outline="0" fieldPosition="0">
        <references count="4">
          <reference field="0" count="1" selected="0">
            <x v="306"/>
          </reference>
          <reference field="1" count="1">
            <x v="310"/>
          </reference>
          <reference field="2" count="1" selected="0">
            <x v="437"/>
          </reference>
          <reference field="3" count="1" selected="0">
            <x v="264"/>
          </reference>
        </references>
      </pivotArea>
    </format>
    <format dxfId="32">
      <pivotArea dataOnly="0" labelOnly="1" outline="0" fieldPosition="0">
        <references count="4">
          <reference field="0" count="1" selected="0">
            <x v="316"/>
          </reference>
          <reference field="1" count="1">
            <x v="320"/>
          </reference>
          <reference field="2" count="1" selected="0">
            <x v="437"/>
          </reference>
          <reference field="3" count="1" selected="0">
            <x v="264"/>
          </reference>
        </references>
      </pivotArea>
    </format>
    <format dxfId="31">
      <pivotArea dataOnly="0" labelOnly="1" outline="0" fieldPosition="0">
        <references count="4">
          <reference field="0" count="1" selected="0">
            <x v="334"/>
          </reference>
          <reference field="1" count="1">
            <x v="338"/>
          </reference>
          <reference field="2" count="1" selected="0">
            <x v="437"/>
          </reference>
          <reference field="3" count="1" selected="0">
            <x v="264"/>
          </reference>
        </references>
      </pivotArea>
    </format>
    <format dxfId="30">
      <pivotArea dataOnly="0" labelOnly="1" outline="0" fieldPosition="0">
        <references count="4">
          <reference field="0" count="1" selected="0">
            <x v="335"/>
          </reference>
          <reference field="1" count="1">
            <x v="339"/>
          </reference>
          <reference field="2" count="1" selected="0">
            <x v="437"/>
          </reference>
          <reference field="3" count="1" selected="0">
            <x v="264"/>
          </reference>
        </references>
      </pivotArea>
    </format>
    <format dxfId="29">
      <pivotArea dataOnly="0" labelOnly="1" outline="0" fieldPosition="0">
        <references count="4">
          <reference field="0" count="1" selected="0">
            <x v="349"/>
          </reference>
          <reference field="1" count="1">
            <x v="353"/>
          </reference>
          <reference field="2" count="1" selected="0">
            <x v="437"/>
          </reference>
          <reference field="3" count="1" selected="0">
            <x v="264"/>
          </reference>
        </references>
      </pivotArea>
    </format>
    <format dxfId="28">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EA4E64-9817-41F9-97BB-C3B3CCCBB7AF}" name="Table1" displayName="Table1" ref="B27:B465" totalsRowShown="0" headerRowDxfId="936" dataDxfId="935">
  <autoFilter ref="B27:B465" xr:uid="{79EA4E64-9817-41F9-97BB-C3B3CCCBB7AF}">
    <filterColumn colId="0" hiddenButton="1"/>
  </autoFilter>
  <tableColumns count="1">
    <tableColumn id="1" xr3:uid="{21BC9CAC-4328-446D-B06A-44698570218C}" name="District" dataDxfId="93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2C55B4-3E02-4C5D-A5BF-7F14A8F70FD3}" name="Table2" displayName="Table2" ref="D27:D465" totalsRowShown="0" headerRowDxfId="933" dataDxfId="932">
  <autoFilter ref="D27:D465" xr:uid="{702C55B4-3E02-4C5D-A5BF-7F14A8F70FD3}">
    <filterColumn colId="0" hiddenButton="1"/>
  </autoFilter>
  <tableColumns count="1">
    <tableColumn id="1" xr3:uid="{D39EF111-2F2D-46FD-A990-458F5777DDEA}" name="LEA Number" dataDxfId="931"/>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070E4B-909D-4908-814A-9DD478249597}" name="Table3" displayName="Table3" ref="A8:I21" totalsRowShown="0" headerRowDxfId="930" dataDxfId="928" headerRowBorderDxfId="929" tableBorderDxfId="927" headerRowCellStyle="Normal_a&amp;f newfound07" dataCellStyle="Normal_a&amp;f newfound07">
  <autoFilter ref="A8:I21" xr:uid="{04070E4B-909D-4908-814A-9DD47824959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8BE59B9F-CC1D-42A9-BA46-34865238767D}" name="#" dataDxfId="926" dataCellStyle="Normal_a&amp;f newfound07"/>
    <tableColumn id="2" xr3:uid="{441B8F41-CC97-4578-9AF4-69C163F8BC93}" name="Line Description" dataDxfId="925" dataCellStyle="Normal_a&amp;f newfound07"/>
    <tableColumn id="3" xr3:uid="{7BB340A8-741F-46A6-B7C5-47A2DA3712F1}" name="Pre-school" dataDxfId="924" dataCellStyle="Normal_a&amp;f newfound07"/>
    <tableColumn id="4" xr3:uid="{8F839A23-FB89-4CDE-8BEC-B854A650DA6E}" name="Kindergarten Half-Day" dataDxfId="923" dataCellStyle="Normal_a&amp;f newfound07"/>
    <tableColumn id="5" xr3:uid="{E585D4CF-7FFA-4F84-8C37-76386495E11E}" name="Kindergarten Full-Day" dataDxfId="922" dataCellStyle="Normal_a&amp;f newfound07"/>
    <tableColumn id="6" xr3:uid="{005D1C49-BDA0-4EC0-9121-F86D733E4E34}" name="Elementary" dataDxfId="921" dataCellStyle="Normal_a&amp;f newfound07"/>
    <tableColumn id="7" xr3:uid="{0DD6C2EC-5E97-4689-9A57-9C274FC5E4CD}" name=" Junior/Middle" dataDxfId="920" dataCellStyle="Normal_a&amp;f newfound07"/>
    <tableColumn id="8" xr3:uid="{C3A2FE8A-E299-43F1-A0C5-F6B3E31DE988}" name="High School" dataDxfId="919" dataCellStyle="Normal_a&amp;f newfound07"/>
    <tableColumn id="9" xr3:uid="{74DC5F80-5268-42BA-BEAD-61F012B71C07}" name="Vocational" dataDxfId="918" dataCellStyle="Normal_a&amp;f newfound07"/>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6389AA-F7CC-4D25-BF87-30C824149B35}" name="Table4" displayName="Table4" ref="K8:Q21" totalsRowShown="0" headerRowDxfId="917" dataDxfId="915" headerRowBorderDxfId="916" tableBorderDxfId="914" headerRowCellStyle="Normal_a&amp;f newfound07" dataCellStyle="Normal_a&amp;f newfound07">
  <autoFilter ref="K8:Q21" xr:uid="{B36389AA-F7CC-4D25-BF87-30C824149B3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E02058D-ED61-4697-AC71-7643AF444BFF}" name="Special Ed _x000a_In-District" dataDxfId="913" dataCellStyle="Normal_a&amp;f newfound07"/>
    <tableColumn id="2" xr3:uid="{03A534D1-701A-4C9B-AB3A-12EF734BE17F}" name="Special Ed Tuitioned-Out" dataDxfId="912" dataCellStyle="Normal_a&amp;f newfound07"/>
    <tableColumn id="3" xr3:uid="{4D9C150A-B914-47B2-9874-4E0526ED2D82}" name="English learners_x000a_PK-5" dataDxfId="911" dataCellStyle="Normal_a&amp;f newfound07"/>
    <tableColumn id="4" xr3:uid="{A7AFAA1B-3FC4-405F-A3DC-72AA47963209}" name="English learners_x000a_6-8" dataDxfId="910" dataCellStyle="Normal_a&amp;f newfound07"/>
    <tableColumn id="5" xr3:uid="{0AFD5980-0771-4FA5-8E91-170A73692DEA}" name="English_x000a_learners_x000a_High School/Voc" dataDxfId="909" dataCellStyle="Normal_a&amp;f newfound07"/>
    <tableColumn id="6" xr3:uid="{26D61668-70EC-4607-A2E9-98A4FD1C5897}" name="Low income" dataDxfId="908" dataCellStyle="Normal_a&amp;f newfound07"/>
    <tableColumn id="7" xr3:uid="{FBC28050-C74A-4BF9-89A8-030961168F22}" name="TOTAL" dataDxfId="907" dataCellStyle="Normal_a&amp;f newfound07"/>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9E2ADA2-E6A7-4AC0-8B6D-AB88BDEF48E2}" name="Table5" displayName="Table5" ref="K29:L41" totalsRowShown="0" headerRowBorderDxfId="906" tableBorderDxfId="905">
  <autoFilter ref="K29:L41" xr:uid="{F9E2ADA2-E6A7-4AC0-8B6D-AB88BDEF48E2}">
    <filterColumn colId="0" hiddenButton="1"/>
    <filterColumn colId="1" hiddenButton="1"/>
  </autoFilter>
  <tableColumns count="2">
    <tableColumn id="1" xr3:uid="{1A8C30C2-5311-45B6-B516-F8F0257D2A2A}" name="Low-income group" dataDxfId="904" dataCellStyle="Normal_a&amp;f newfound07"/>
    <tableColumn id="2" xr3:uid="{5E1AEC23-6C46-4C4C-AE2C-0E20A10C6511}" name="Low-income %" dataDxfId="903" dataCellStyle="Normal_a&amp;f newfound07"/>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01F8DB-8B19-4297-AAF6-88FFA6C101CD}" name="Table6" displayName="Table6" ref="F10:J15" totalsRowShown="0" headerRowDxfId="902" dataDxfId="901">
  <autoFilter ref="F10:J15" xr:uid="{C901F8DB-8B19-4297-AAF6-88FFA6C101CD}">
    <filterColumn colId="0" hiddenButton="1"/>
    <filterColumn colId="1" hiddenButton="1"/>
    <filterColumn colId="2" hiddenButton="1"/>
    <filterColumn colId="3" hiddenButton="1"/>
    <filterColumn colId="4" hiddenButton="1"/>
  </autoFilter>
  <tableColumns count="5">
    <tableColumn id="1" xr3:uid="{B0C3177E-3814-461A-964E-95C3A8729719}" name="Line Description" dataDxfId="900"/>
    <tableColumn id="2" xr3:uid="{80D2626B-E2E7-4370-AE29-7FE183DE7B3C}" name="FY24" dataDxfId="899"/>
    <tableColumn id="3" xr3:uid="{FD96F82C-04D6-4E8C-B9CE-5E0DDE6AE3EC}" name="FY25" dataDxfId="898"/>
    <tableColumn id="4" xr3:uid="{7BECB617-4977-4A92-A718-4D17A9F86645}" name="Change" dataDxfId="897">
      <calculatedColumnFormula>H11-G11</calculatedColumnFormula>
    </tableColumn>
    <tableColumn id="5" xr3:uid="{8148CD34-CC67-422E-9187-B8B3B540268E}" name="Pct Chg" dataDxfId="896">
      <calculatedColumnFormula>IF(G11&gt;0, I11/G11, 0)</calculatedColumnFormula>
    </tableColumn>
  </tableColumns>
  <tableStyleInfo name="TableStyleLight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F27C50B-BC58-4D7F-892D-175E50E41807}" name="Table7" displayName="Table7" ref="K9:AC16" totalsRowShown="0" headerRowDxfId="895" dataDxfId="893" headerRowBorderDxfId="894">
  <autoFilter ref="K9:AC16" xr:uid="{DF27C50B-BC58-4D7F-892D-175E50E4180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D2BE9201-B83B-4D3E-BA42-63C1928453AD}" name="Description" dataDxfId="892"/>
    <tableColumn id="2" xr3:uid="{A8CFEEF1-4D1C-4E20-94C5-E0D3A91FF2CE}" name="FY07" dataDxfId="891"/>
    <tableColumn id="3" xr3:uid="{BA78A889-55C2-4A27-B0DB-18E3C98661DF}" name="FY08" dataDxfId="890"/>
    <tableColumn id="4" xr3:uid="{BE3633D1-61B5-46F7-87C9-C455220F5C0B}" name="FY09" dataDxfId="889"/>
    <tableColumn id="5" xr3:uid="{22E970A3-BD66-4229-A743-982933805361}" name="FY10" dataDxfId="888"/>
    <tableColumn id="6" xr3:uid="{D0F4DA4B-BD94-41DA-89F3-373E7C9DF577}" name="FY11" dataDxfId="887"/>
    <tableColumn id="7" xr3:uid="{40AAE847-EF12-4169-9E96-C6322352AB24}" name="FY12" dataDxfId="886"/>
    <tableColumn id="8" xr3:uid="{9345C781-066A-4B8B-9AF6-6FBF88C22724}" name="FY13" dataDxfId="885"/>
    <tableColumn id="9" xr3:uid="{79674019-9CE8-4B2C-A9A4-F16C7DA0803D}" name="FY14" dataDxfId="884"/>
    <tableColumn id="10" xr3:uid="{66C3F26F-411D-41E7-96BC-3A9976627559}" name="FY15" dataDxfId="883"/>
    <tableColumn id="11" xr3:uid="{75324077-FF95-4603-87B3-C7FD7863BA63}" name="FY16" dataDxfId="882"/>
    <tableColumn id="12" xr3:uid="{16C0B8CF-56B9-4ACF-8D3A-A8628FDE2581}" name="FY17" dataDxfId="881"/>
    <tableColumn id="13" xr3:uid="{39E94CFE-C8C8-4BAF-B41D-DED41229D86C}" name="FY18" dataDxfId="880"/>
    <tableColumn id="14" xr3:uid="{674754C8-39B6-4642-AE22-2C42712011C3}" name="FY19" dataDxfId="879"/>
    <tableColumn id="15" xr3:uid="{E88BF4BE-A709-4922-8892-B70CDC6CC2F3}" name="FY20" dataDxfId="878"/>
    <tableColumn id="16" xr3:uid="{78826302-1C96-45DA-9EE4-0ADBF1E77F0A}" name="FY21" dataDxfId="877"/>
    <tableColumn id="17" xr3:uid="{98126965-0D43-4724-A79D-267EE3E4EB6A}" name="FY22" dataDxfId="876"/>
    <tableColumn id="18" xr3:uid="{307D4555-6695-4F68-8DC9-09241E3758F4}" name="FY23" dataDxfId="875"/>
    <tableColumn id="19" xr3:uid="{C95BF3A8-DA79-413F-8018-A4F42CAC7EBD}" name="FY25" dataDxfId="874"/>
  </tableColumns>
  <tableStyleInfo name="TableStyleLight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713C371-8142-4943-9EC5-A3F5CEFDB8F2}" name="Table8" displayName="Table8" ref="L44:AC46" totalsRowShown="0" headerRowDxfId="873" dataDxfId="872" tableBorderDxfId="871">
  <autoFilter ref="L44:AC46" xr:uid="{A713C371-8142-4943-9EC5-A3F5CEFDB8F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332896F0-F758-4950-820B-E68A3E8287C6}" name="FY07" dataDxfId="870"/>
    <tableColumn id="2" xr3:uid="{6053565B-C4F3-41A6-A28B-907930BC3022}" name="FY08" dataDxfId="869"/>
    <tableColumn id="3" xr3:uid="{45CFC515-E0D1-4AF0-B24D-C0B963591731}" name="FY09" dataDxfId="868"/>
    <tableColumn id="4" xr3:uid="{68CF9302-1556-4DB5-BB97-03F8A28B31CF}" name="FY10" dataDxfId="867"/>
    <tableColumn id="5" xr3:uid="{0ECB6353-6590-4284-9F65-B6E2686E1851}" name="FY11" dataDxfId="866"/>
    <tableColumn id="6" xr3:uid="{E0EFA742-D524-4C1C-87DF-ABE1651A8A6C}" name="FY12" dataDxfId="865"/>
    <tableColumn id="7" xr3:uid="{EE186BFF-6C2F-4193-8EE4-4267AAAE3F3F}" name="FY13" dataDxfId="864"/>
    <tableColumn id="8" xr3:uid="{90582420-EC9F-4972-A361-3D795A8BD737}" name="FY14" dataDxfId="863"/>
    <tableColumn id="9" xr3:uid="{EA95A2B3-D41C-4991-8FB1-D6743AB81C91}" name="FY15" dataDxfId="862"/>
    <tableColumn id="10" xr3:uid="{6B13C26B-BD52-44D1-93E6-3D8F0D56D8CF}" name="FY16" dataDxfId="861"/>
    <tableColumn id="11" xr3:uid="{D30E211E-6CC3-404B-B94D-FD8C90EB8A84}" name="FY17" dataDxfId="860"/>
    <tableColumn id="12" xr3:uid="{887C22B4-48F2-4F3A-9E0D-5FDD631646DC}" name="FY18" dataDxfId="859"/>
    <tableColumn id="13" xr3:uid="{61BC59C3-34B2-445C-B327-31F88E46EB95}" name="FY19" dataDxfId="858"/>
    <tableColumn id="14" xr3:uid="{4FCEB90F-6FAD-4146-BE3F-65DB7AF13DFA}" name="FY20" dataDxfId="857"/>
    <tableColumn id="15" xr3:uid="{810AC9A4-136D-458D-9564-B82B6042881C}" name="FY21" dataDxfId="856"/>
    <tableColumn id="16" xr3:uid="{8A14E1DF-512D-4EB1-A7E6-FFE67595D0EF}" name="FY22" dataDxfId="855"/>
    <tableColumn id="17" xr3:uid="{98F47304-CAFD-451F-B0C6-1F40B4A2D30D}" name="FY23" dataDxfId="854"/>
    <tableColumn id="18" xr3:uid="{6DC1281F-981C-4F6E-B72C-161F6FCF912F}" name="FY25" dataDxfId="853">
      <calculatedColumnFormula>'Aid436'!AE447/1000000</calculatedColumnFormula>
    </tableColumn>
  </tableColumns>
  <tableStyleInfo name="TableStyleLight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EB3E7C4-49A7-4C88-AEC8-3A5078FBF340}" name="Table11" displayName="Table11" ref="E17:I67" totalsRowShown="0" headerRowDxfId="852" dataDxfId="851">
  <autoFilter ref="E17:I67" xr:uid="{5EB3E7C4-49A7-4C88-AEC8-3A5078FBF340}">
    <filterColumn colId="0" hiddenButton="1"/>
    <filterColumn colId="1" hiddenButton="1"/>
    <filterColumn colId="2" hiddenButton="1"/>
    <filterColumn colId="3" hiddenButton="1"/>
    <filterColumn colId="4" hiddenButton="1"/>
  </autoFilter>
  <tableColumns count="5">
    <tableColumn id="1" xr3:uid="{75638A63-D6B0-47F4-BA79-6878EFB6B7BD}" name="LEA" dataDxfId="850">
      <calculatedColumnFormula>IF($C18&lt;=$B$17, VLOOKUP($B18, regdetail, 5), " ")</calculatedColumnFormula>
    </tableColumn>
    <tableColumn id="2" xr3:uid="{9D35CEAB-AC8A-4DD2-9BB8-EDC69052B5D4}" name="Member" dataDxfId="849">
      <calculatedColumnFormula>IF($C18&lt;=$B$17, VLOOKUP($B18, regdetail, 6), " ")</calculatedColumnFormula>
    </tableColumn>
    <tableColumn id="3" xr3:uid="{38FB1FF3-798C-4135-8C59-A4F8F3795CF2}" name="FY24" dataDxfId="848">
      <calculatedColumnFormula>IF($C18&lt;=$B$17,VLOOKUP(A18&amp;$B$14, localcont!A9:X1763, 18, FALSE), "")</calculatedColumnFormula>
    </tableColumn>
    <tableColumn id="4" xr3:uid="{8B2F28E6-56F8-478C-9589-3987084B0D1B}" name="FY25" dataDxfId="847">
      <calculatedColumnFormula>IF($C18&lt;=$B$17,VLOOKUP(A18&amp;$B$14, localcont!$A$10:$X$1764, 23, FALSE), "")</calculatedColumnFormula>
    </tableColumn>
    <tableColumn id="5" xr3:uid="{AC0A4F0D-9DC0-42F9-8049-FED99F7054E4}" name="Change" dataDxfId="846">
      <calculatedColumnFormula>IF($C18&lt;=$B$17, H18-G18, " ")</calculatedColumnFormula>
    </tableColumn>
  </tableColumns>
  <tableStyleInfo name="TableStyleLight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AAE0C30-98AB-4F86-8347-D80971DE3903}" name="Table12" displayName="Table12" ref="J17:L67" totalsRowShown="0" headerRowDxfId="845" dataDxfId="844">
  <autoFilter ref="J17:L67" xr:uid="{8AAE0C30-98AB-4F86-8347-D80971DE3903}">
    <filterColumn colId="0" hiddenButton="1"/>
    <filterColumn colId="1" hiddenButton="1"/>
    <filterColumn colId="2" hiddenButton="1"/>
  </autoFilter>
  <tableColumns count="3">
    <tableColumn id="1" xr3:uid="{F36274AE-2294-43EC-8BC9-E489F4A0C434}" name="FY24" dataDxfId="843">
      <calculatedColumnFormula>IF($C18&lt;=$B$17,VLOOKUP(A18&amp;$B$14, localcont!$A$10:$X$1764, 15, FALSE), "")</calculatedColumnFormula>
    </tableColumn>
    <tableColumn id="2" xr3:uid="{0D7B255C-5397-4A06-B7D7-54B2F4AC00E1}" name="FY25" dataDxfId="842">
      <calculatedColumnFormula>IF($C18&lt;=$B$17,VLOOKUP(A18&amp;$B$14, localcont!$A$10:$X$1764, 14, FALSE),"")</calculatedColumnFormula>
    </tableColumn>
    <tableColumn id="3" xr3:uid="{2C2B877F-A205-4BE4-ADDE-CE4FFB3B2D3B}" name="Change" dataDxfId="841">
      <calculatedColumnFormula>IF($C18&lt;=$B$17, K18-J18, " ")</calculatedColumnFormula>
    </tableColumn>
  </tableColumns>
  <tableStyleInfo name="TableStyleLight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D4C6B48-741B-4166-ACD2-1EFE260D7CA2}" name="Table13" displayName="Table13" ref="A7:P327" totalsRowShown="0" headerRowDxfId="840" dataDxfId="839">
  <autoFilter ref="A7:P327" xr:uid="{8D4C6B48-741B-4166-ACD2-1EFE260D7CA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4F35FA42-D639-43B0-9623-B49DAC9E9A8B}" name="LEA" dataDxfId="838"/>
    <tableColumn id="2" xr3:uid="{F8191B52-85DC-4B16-9825-B9986BE5CF4F}" name="Doperating strict name" dataDxfId="837"/>
    <tableColumn id="3" xr3:uid="{F84EED6C-548F-496B-8D1D-973DAB69CC81}" name="FY24 Foundation Enrollment" dataDxfId="836">
      <calculatedColumnFormula>VLOOKUP(A8,aidcalc,14,FALSE)</calculatedColumnFormula>
    </tableColumn>
    <tableColumn id="4" xr3:uid="{54FED202-F288-46A0-B499-72A0E707F4DB}" name="FY25 Foundation Enrollment" dataDxfId="835">
      <calculatedColumnFormula>VLOOKUP(A8,aidcalc,15,FALSE)</calculatedColumnFormula>
    </tableColumn>
    <tableColumn id="5" xr3:uid="{D50150C3-520C-4E90-A11D-675E109E8F5A}" name="change" dataDxfId="834">
      <calculatedColumnFormula>D8-C8</calculatedColumnFormula>
    </tableColumn>
    <tableColumn id="6" xr3:uid="{8BEEAE30-12C4-44DA-811B-240D587657DB}" name="FY 24 Foundation Budget" dataDxfId="833">
      <calculatedColumnFormula>VLOOKUP(A8,aidcalc,4,FALSE)</calculatedColumnFormula>
    </tableColumn>
    <tableColumn id="7" xr3:uid="{440C4D2D-CD83-4078-9C30-09F174FBC3B8}" name="FY 25 Foundation Budget" dataDxfId="832">
      <calculatedColumnFormula>VLOOKUP(A8,aidcalc,9,FALSE)</calculatedColumnFormula>
    </tableColumn>
    <tableColumn id="8" xr3:uid="{4FAE2204-3648-4281-BF59-F57322505CB8}" name="change per pupil" dataDxfId="831">
      <calculatedColumnFormula>(G8-F8)/$D8</calculatedColumnFormula>
    </tableColumn>
    <tableColumn id="9" xr3:uid="{0584A4F1-61A2-4F4C-BD30-1F831DB57588}" name="FY24 _x000a_Minimum Contribution" dataDxfId="830">
      <calculatedColumnFormula>VLOOKUP(A8,aidcalc,5,FALSE)</calculatedColumnFormula>
    </tableColumn>
    <tableColumn id="10" xr3:uid="{6256B53F-B2FE-478F-9496-EA3624FACDAF}" name="FY25_x000a_Minimum Contribution" dataDxfId="829">
      <calculatedColumnFormula>VLOOKUP(A8,aidcalc,10,FALSE)</calculatedColumnFormula>
    </tableColumn>
    <tableColumn id="11" xr3:uid="{09088461-1C5D-426C-9A3C-C2BC38F090AF}" name="MC change per pupil" dataDxfId="828">
      <calculatedColumnFormula>(J8-I8)/$D8</calculatedColumnFormula>
    </tableColumn>
    <tableColumn id="12" xr3:uid="{265E48F3-7D42-4FBA-B9E0-4BF4A9F1D0F9}" name="FY24 _x000a_Chapter 70 aid" dataDxfId="827"/>
    <tableColumn id="13" xr3:uid="{84862C1E-36AA-427F-B51F-87C8C48F052F}" name="FY25_x000a_Chapter 70 aid" dataDxfId="826"/>
    <tableColumn id="14" xr3:uid="{25E48983-62B5-46DD-A06C-1400B52C2044}" name="change in aid" dataDxfId="825">
      <calculatedColumnFormula>M8-L8</calculatedColumnFormula>
    </tableColumn>
    <tableColumn id="15" xr3:uid="{C30C8B83-B686-4886-85C9-13623B14ADAF}" name="change in aid per pupil" dataDxfId="824">
      <calculatedColumnFormula>(M8-L8)/$D8</calculatedColumnFormula>
    </tableColumn>
    <tableColumn id="16" xr3:uid="{78B36C4D-6C36-4835-B00A-0EF7C9E0F258}" name="% change in aid" dataDxfId="823" dataCellStyle="Percent">
      <calculatedColumnFormula>ROUND(IF(F8&gt;0,(M8-L8)/L8,100),2)</calculatedColumnFormula>
    </tableColumn>
  </tableColumns>
  <tableStyleInfo name="TableStyleLight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2CB4F85-C361-4812-9A94-BF6D0F49CBB8}" name="Table14" displayName="Table14" ref="A7:F447" totalsRowShown="0" headerRowDxfId="822" dataDxfId="820" headerRowBorderDxfId="821" tableBorderDxfId="819">
  <autoFilter ref="A7:F447" xr:uid="{E2CB4F85-C361-4812-9A94-BF6D0F49CBB8}">
    <filterColumn colId="0" hiddenButton="1"/>
    <filterColumn colId="1" hiddenButton="1"/>
    <filterColumn colId="2" hiddenButton="1"/>
    <filterColumn colId="3" hiddenButton="1"/>
    <filterColumn colId="4" hiddenButton="1"/>
    <filterColumn colId="5" hiddenButton="1"/>
  </autoFilter>
  <tableColumns count="6">
    <tableColumn id="1" xr3:uid="{90E7D5E5-CE29-44F3-ADBA-798381FE1F28}" name="LEA" dataDxfId="818"/>
    <tableColumn id="2" xr3:uid="{4E51DA87-5302-4C8A-ACEF-0490A9DD41A4}" name="District" dataDxfId="817"/>
    <tableColumn id="3" xr3:uid="{3866B860-9AFF-47E3-942C-1EF377DFAD8A}" name="Non-Op" dataDxfId="816"/>
    <tableColumn id="4" xr3:uid="{72B2E0B0-3249-4343-945A-D5F627AE2124}" name="foundation budget _x000a_FY24" dataDxfId="815"/>
    <tableColumn id="5" xr3:uid="{1168D76E-1247-4D95-AE6C-B00583190FA6}" name="required contribution FY24" dataDxfId="814"/>
    <tableColumn id="6" xr3:uid="{B6D12537-6D8E-41BB-94EE-106E8D17F1E1}" name="chapter 70_x000a_FY24" dataDxfId="813"/>
  </tableColumns>
  <tableStyleInfo name="TableStyleLight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4E1930D-EA51-425F-94A8-29F3B6436A9D}" name="Table15" displayName="Table15" ref="H7:H446" totalsRowShown="0" headerRowDxfId="812" dataDxfId="810" headerRowBorderDxfId="811" tableBorderDxfId="809">
  <autoFilter ref="H7:H446" xr:uid="{B4E1930D-EA51-425F-94A8-29F3B6436A9D}">
    <filterColumn colId="0" hiddenButton="1"/>
  </autoFilter>
  <tableColumns count="1">
    <tableColumn id="1" xr3:uid="{2ADBB0F5-2B72-4ACC-8B93-4D63E93056EB}" name="base aid" dataDxfId="808"/>
  </tableColumns>
  <tableStyleInfo name="TableStyleLight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ED55AB-62C2-46FB-B8E5-D4E927C1489E}" name="Table16" displayName="Table16" ref="I7:AG446" totalsRowShown="0" headerRowDxfId="807" dataDxfId="805" headerRowBorderDxfId="806" tableBorderDxfId="804">
  <autoFilter ref="I7:AG446" xr:uid="{04ED55AB-62C2-46FB-B8E5-D4E927C148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407E864-87A7-4F15-8E70-EFF0AA2A197A}" name="foundation budget_x000a_FY25" dataDxfId="803"/>
    <tableColumn id="2" xr3:uid="{A1108028-3AB1-40FC-8A7F-219FA779BF73}" name="required contribution_x000a_ FY25" dataDxfId="802"/>
    <tableColumn id="3" xr3:uid="{5CFE739F-DFF8-4926-BFC7-98334E11DB87}" name="foundation aid" dataDxfId="801"/>
    <tableColumn id="4" xr3:uid="{BED80E29-05B0-4820-9FD9-5B77BFF01B85}" name="foundation aid increase" dataDxfId="800"/>
    <tableColumn id="5" xr3:uid="{C38FA919-0D41-4988-8C9D-0F1DDA0D824A}" name="district target aid percentage" dataDxfId="799"/>
    <tableColumn id="6" xr3:uid="{7C89B03A-E1AE-47DC-8A90-98212DDF7C7F}" name="foundation enrollment FY24" dataDxfId="798"/>
    <tableColumn id="7" xr3:uid="{7C9E9C11-9ECE-426A-B066-CF59DB387AE9}" name="foundation enrollment FY25" dataDxfId="797"/>
    <tableColumn id="8" xr3:uid="{968E3F1D-44E2-4E66-A653-676D65E64E42}" name="operating dist foundation aid?" dataDxfId="796"/>
    <tableColumn id="9" xr3:uid="{EEDBE9CF-FE41-44A4-BAF1-DC4E97C4C3FB}" name="Min Aid Per Pupil" dataDxfId="795"/>
    <tableColumn id="10" xr3:uid="{A6D9DCFD-20B8-445A-9FD7-4DCB5330EBF3}" name="Addl Aid to Reach Min" dataDxfId="794"/>
    <tableColumn id="11" xr3:uid="{631C9A80-91FB-4DE7-A635-789DBBCAD174}" name="Aid determination from minimum aid adjustment formula" dataDxfId="793"/>
    <tableColumn id="12" xr3:uid="{29363F0F-8833-4965-BB81-CA03EE518A6B}" name="plus additional $30/pupil" dataDxfId="792"/>
    <tableColumn id="13" xr3:uid="{07E02B79-64FC-4349-9EA2-C9AEC6820841}" name="Increment above min aid" dataDxfId="791"/>
    <tableColumn id="14" xr3:uid="{0E053467-B5C8-4C9C-BCD4-6DDCEA2FEC77}" name="c70 prior to non-op reduction" dataDxfId="790">
      <calculatedColumnFormula>priorc70+ foundinc+minaidadjincrement+minaid</calculatedColumnFormula>
    </tableColumn>
    <tableColumn id="15" xr3:uid="{8FDD864F-3E3B-48AB-990C-AE7290E5F5CB}" name="non-op reduction" dataDxfId="789"/>
    <tableColumn id="16" xr3:uid="{A80FC1C7-45A0-4BFC-8CBA-5AEDC01678B6}" name="Hold harmless aid" dataDxfId="788"/>
    <tableColumn id="17" xr3:uid="{41189EFE-2281-4097-BB75-09E640B6A4DD}" name="Chapter 70_x000a_FY25" dataDxfId="787"/>
    <tableColumn id="18" xr3:uid="{3AA69D9E-BACE-4FF5-B2E3-EEDF4A2B1996}" name="c70 pct of foundation" dataDxfId="786" dataCellStyle="Comma"/>
    <tableColumn id="19" xr3:uid="{005E1B5B-F094-482F-B40B-B69F9011FC3D}" name="FY25 Required NSS" dataDxfId="785"/>
    <tableColumn id="20" xr3:uid="{321FCD15-F5BE-41D9-A3BC-13C05E9C2FB0}" name="nss percent of foundation" dataDxfId="784">
      <calculatedColumnFormula>IF(found&gt;0,AA8*100/found,0)</calculatedColumnFormula>
    </tableColumn>
    <tableColumn id="21" xr3:uid="{DA327EA7-F362-4DF4-85D8-FDED18E480BA}" name="∆ in Foundation Budget" dataDxfId="783"/>
    <tableColumn id="22" xr3:uid="{71F9D561-576D-4D50-84F7-6AB42C822853}" name="∆ in Aid" dataDxfId="782">
      <calculatedColumnFormula>Y8-F8</calculatedColumnFormula>
    </tableColumn>
    <tableColumn id="23" xr3:uid="{B7D9A0FD-ED9D-4FE5-AA74-9A62E53F97F2}" name="Aid Comp'd to Target" dataDxfId="781"/>
    <tableColumn id="24" xr3:uid="{60B99BFD-C7A4-412C-9CB9-F2396ED98042}" name="Distance from Aid Target" dataDxfId="780"/>
    <tableColumn id="25" xr3:uid="{A837A357-3F8E-4151-8887-6F339905AF72}" name="Foundation  Budget PP" dataDxfId="779"/>
  </tableColumns>
  <tableStyleInfo name="TableStyleLight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607C510-C7DF-4965-9359-637C2A52A985}" name="Table17" displayName="Table17" ref="AK7:AK446" totalsRowShown="0" headerRowDxfId="778" dataDxfId="777">
  <autoFilter ref="AK7:AK446" xr:uid="{C607C510-C7DF-4965-9359-637C2A52A985}">
    <filterColumn colId="0" hiddenButton="1"/>
  </autoFilter>
  <tableColumns count="1">
    <tableColumn id="1" xr3:uid="{E8B8CBD0-C128-4F17-B8A2-C47B59DAE9B7}" name="per pupil ∆ in Aid" dataDxfId="776">
      <calculatedColumnFormula>IFERROR(AD8/O8, 0)</calculatedColumnFormula>
    </tableColumn>
  </tableColumns>
  <tableStyleInfo name="TableStyleLight2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1A94DB4-1236-4E14-9EDD-AF325BCD3CF9}" name="Table18" displayName="Table18" ref="AM7:AS446" totalsRowShown="0" headerRowDxfId="775" dataDxfId="774" tableBorderDxfId="773">
  <autoFilter ref="AM7:AS446" xr:uid="{31A94DB4-1236-4E14-9EDD-AF325BCD3CF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74E93E9-F3C2-412E-97AA-F64343D1B9BE}" name="LEA FY25" dataDxfId="772">
      <calculatedColumnFormula>A8</calculatedColumnFormula>
    </tableColumn>
    <tableColumn id="2" xr3:uid="{6B366C35-9A54-450B-AE3B-29F762544311}" name="District FY25" dataDxfId="771">
      <calculatedColumnFormula>B8</calculatedColumnFormula>
    </tableColumn>
    <tableColumn id="3" xr3:uid="{6AE494CF-851E-490F-82EC-B8B680A264B8}" name="Non-op FY25" dataDxfId="770"/>
    <tableColumn id="4" xr3:uid="{C6B28106-887B-4DA2-B502-E5D4813018B0}" name="foundation enrollment FY25" dataDxfId="769">
      <calculatedColumnFormula>O8</calculatedColumnFormula>
    </tableColumn>
    <tableColumn id="5" xr3:uid="{D748A86B-5E47-4A02-9FE0-F9BBD8ABC84F}" name="foundation budget_x000a_FY25" dataDxfId="768">
      <calculatedColumnFormula>I8</calculatedColumnFormula>
    </tableColumn>
    <tableColumn id="6" xr3:uid="{E896C8E5-541E-4602-9369-74D54E0CA56A}" name="required contribution FY25" dataDxfId="767">
      <calculatedColumnFormula>J8</calculatedColumnFormula>
    </tableColumn>
    <tableColumn id="7" xr3:uid="{3203B298-D646-4687-B473-774E9F596233}" name="Chapter 70_x000a_FY25" dataDxfId="766">
      <calculatedColumnFormula>Y8</calculatedColumnFormula>
    </tableColumn>
  </tableColumns>
  <tableStyleInfo name="TableStyleLight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31044-5F76-4AE2-9EAA-A946E07DCCB1}" name="Table20" displayName="Table20" ref="B8:N32" totalsRowShown="0" headerRowDxfId="765" dataDxfId="763" headerRowBorderDxfId="764" tableBorderDxfId="762" headerRowCellStyle="Normal_a&amp;f newfound07">
  <autoFilter ref="B8:N32" xr:uid="{D3A31044-5F76-4AE2-9EAA-A946E07DCC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F03C4AAB-41EB-425F-BCE9-90FF569E48DE}" name="Line" dataDxfId="761" dataCellStyle="Normal_a&amp;f newfound07"/>
    <tableColumn id="2" xr3:uid="{617973FC-CA98-4FE1-A6F5-F95F50AEA6F8}" name="Adminis-tration" dataDxfId="760"/>
    <tableColumn id="3" xr3:uid="{3E036E03-DDD3-4B21-81E4-3689F7B0B995}" name="Instructional Leadership" dataDxfId="759"/>
    <tableColumn id="4" xr3:uid="{B9EB7193-72AF-4268-9BC0-C73ACEDD8D88}" name="Classroom &amp; Specialist Teachers" dataDxfId="758"/>
    <tableColumn id="5" xr3:uid="{68590040-494E-47CE-BB78-5AB8DCAFEC6D}" name="Other Teaching Services" dataDxfId="757"/>
    <tableColumn id="6" xr3:uid="{D8C7AD8D-BB87-4A7D-A211-6422524677A7}" name="Professional Development" dataDxfId="756"/>
    <tableColumn id="7" xr3:uid="{83EFCA62-D3C0-4083-AA55-11566E06871C}" name="Instructional Materials, Equipment &amp; Technology" dataDxfId="755"/>
    <tableColumn id="8" xr3:uid="{107A14E1-9837-4E44-9CDC-B584B9F9D0D6}" name="Guidance &amp; Psychological Services" dataDxfId="754"/>
    <tableColumn id="9" xr3:uid="{CBC874AF-75D2-44C7-B78B-3F8772B7CA24}" name="Pupil Services" dataDxfId="753"/>
    <tableColumn id="10" xr3:uid="{4B746D82-7B18-4FF0-AEDB-3481B020B820}" name="Operations &amp; Maintenance" dataDxfId="752"/>
    <tableColumn id="11" xr3:uid="{47C1C530-CDEF-4506-9ACA-4841727EF564}" name="Employee Benefits/Fixed Charges" dataDxfId="751"/>
    <tableColumn id="12" xr3:uid="{C5F24961-237C-4949-9B52-AFF5F2B7832C}" name="Special Education Tuition" dataDxfId="750"/>
    <tableColumn id="13" xr3:uid="{968134E1-B777-461D-9DE7-8A1523E38111}" name="Total, All Categories" dataDxfId="749"/>
  </tableColumns>
  <tableStyleInfo name="TableStyleLight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BBA192A-4930-4689-94EC-2BB035808125}" name="Table21" displayName="Table21" ref="A6:L358" totalsRowShown="0" headerRowDxfId="748" dataDxfId="747">
  <autoFilter ref="A6:L358" xr:uid="{DBBA192A-4930-4689-94EC-2BB035808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BD33BADA-302D-4150-A042-6C7658227372}" name="LEA" dataDxfId="746"/>
    <tableColumn id="2" xr3:uid="{BD7D3707-08EB-47F4-AD81-7D56F5F01BFA}" name="Town" dataDxfId="745"/>
    <tableColumn id="3" xr3:uid="{46017567-EFB0-4F0B-A5A7-3016EC15D2FC}" name="total EQV 2022" dataDxfId="744"/>
    <tableColumn id="4" xr3:uid="{6E360992-8436-463A-82A0-9A281FEE6AA7}" name="local effort from property wealth" dataDxfId="743"/>
    <tableColumn id="5" xr3:uid="{DBB575D3-7511-4168-BEDF-5FAB139A8FDC}" name="DOR total income 2021" dataDxfId="742" dataCellStyle="Comma"/>
    <tableColumn id="6" xr3:uid="{2676C4E9-DB78-449D-B2F7-2DBB85D3C9E4}" name="local effort from income wealth" dataDxfId="741"/>
    <tableColumn id="7" xr3:uid="{719B98A4-077A-4ED1-8952-B5E91AC68AD4}" name="combined effort yield" dataDxfId="740"/>
    <tableColumn id="8" xr3:uid="{B1EBA87E-1CEF-4C0D-9492-7691784D5BF0}" name="FY25_x000a_ foundation" dataDxfId="739"/>
    <tableColumn id="9" xr3:uid="{8403EB16-8048-4300-B6C6-248D5E82815E}" name="CEY % Found" dataDxfId="738" dataCellStyle="Percent">
      <calculatedColumnFormula>IF(H7=0,0,G7/H7)</calculatedColumnFormula>
    </tableColumn>
    <tableColumn id="10" xr3:uid="{EAF34B98-62DE-429D-8582-4A88E1342F18}" name="maximum local contribution foundation pct=82.5%" dataDxfId="737"/>
    <tableColumn id="11" xr3:uid="{0636AEED-57F8-4DD9-AB8F-82C45A5BF95B}" name="target local contribution (lesser of max local or effort yield)" dataDxfId="736"/>
    <tableColumn id="12" xr3:uid="{0811BCA8-6275-4CF3-8F1F-510FC582C3C0}" name="target local share" dataDxfId="735"/>
  </tableColumns>
  <tableStyleInfo name="TableStyleLight1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7D49F88-A39E-40B5-A4FE-31A5BC57AF1E}" name="Table23" displayName="Table23" ref="N6:N358" totalsRowShown="0" headerRowDxfId="734" dataDxfId="733">
  <autoFilter ref="N6:N358" xr:uid="{C7D49F88-A39E-40B5-A4FE-31A5BC57AF1E}">
    <filterColumn colId="0" hiddenButton="1"/>
  </autoFilter>
  <tableColumns count="1">
    <tableColumn id="1" xr3:uid="{2972F16B-0E4D-4EFF-A559-8EDA89F1B146}" name="required local contribution FY24" dataDxfId="732"/>
  </tableColumns>
  <tableStyleInfo name="TableStyleLight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EE4065A-B205-4B21-BF85-62C114F9320F}" name="Table24" displayName="Table24" ref="O6:Y358" totalsRowShown="0" headerRowDxfId="731" dataDxfId="729" headerRowBorderDxfId="730" tableBorderDxfId="728">
  <autoFilter ref="O6:Y358" xr:uid="{1EE4065A-B205-4B21-BF85-62C114F932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33DE944-A76A-4923-8B16-956D55EFD8F1}" name="mrgf FY25" dataDxfId="727"/>
    <tableColumn id="2" xr3:uid="{30EEFD6C-9982-4DBE-84E8-B0C653A79FCF}" name="preliminary contribution FY25" dataDxfId="726"/>
    <tableColumn id="3" xr3:uid="{6ED63038-0942-416E-B53D-E5963E899373}" name="preliminary contribution percentage of foundation" dataDxfId="725">
      <calculatedColumnFormula>IF(H7=0,0,P7*100/H7)</calculatedColumnFormula>
    </tableColumn>
    <tableColumn id="4" xr3:uid="{08CF6903-FC89-4AA9-8184-C8F76B79831D}" name="shortfall from target local share" dataDxfId="724"/>
    <tableColumn id="5" xr3:uid="{97697626-AF55-46FC-BC42-666129DD9C5E}" name="percentage increment toward target" dataDxfId="723"/>
    <tableColumn id="6" xr3:uid="{6C3BDCA6-0CF4-498F-9A46-2A53186DC324}" name="dollar increment toward target" dataDxfId="722"/>
    <tableColumn id="7" xr3:uid="{26B46648-B0E2-4212-A1F9-D2B013BC2EC5}" name="excess effort" dataDxfId="721"/>
    <tableColumn id="8" xr3:uid="{AA8E822F-6B1A-41B0-98D0-693E9E1E7A51}" name="excess effort times effort reduction %" dataDxfId="720"/>
    <tableColumn id="9" xr3:uid="{626C4E7F-A8D0-45FF-B044-59CB0914DF93}" name="CEY% &gt; 175% increment" dataDxfId="719"/>
    <tableColumn id="10" xr3:uid="{4A8A1BCE-E238-4B2D-B25D-24767DE9442F}" name="required contribution FY25" dataDxfId="718"/>
    <tableColumn id="11" xr3:uid="{75E5897C-F3D9-4E12-8003-C3C252F1DA24}" name="percentage of foundation" dataDxfId="717">
      <calculatedColumnFormula>IF(H7=0,0,X7*100/H7)</calculatedColumnFormula>
    </tableColumn>
  </tableColumns>
  <tableStyleInfo name="TableStyleLight1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B36FA9-C7C2-4871-8DA6-6DE5A75EB3EA}" name="Table25" displayName="Table25" ref="AA6:AD358" totalsRowShown="0" headerRowDxfId="716" dataDxfId="714" headerRowBorderDxfId="715" tableBorderDxfId="713">
  <autoFilter ref="AA6:AD358" xr:uid="{51B36FA9-C7C2-4871-8DA6-6DE5A75EB3EA}">
    <filterColumn colId="0" hiddenButton="1"/>
    <filterColumn colId="1" hiddenButton="1"/>
    <filterColumn colId="2" hiddenButton="1"/>
    <filterColumn colId="3" hiddenButton="1"/>
  </autoFilter>
  <tableColumns count="4">
    <tableColumn id="1" xr3:uid="{BF42C7E5-4447-413A-A24C-DD49541F774B}" name="Before below effort shortfall" dataDxfId="712"/>
    <tableColumn id="2" xr3:uid="{5952B2D7-B6FB-4A85-8116-AE285204A708}" name="After Impl below effort shortfall" dataDxfId="711"/>
    <tableColumn id="3" xr3:uid="{72D4B740-7693-4DFC-8A78-D0DA082F753E}" name="After Impl above effort excess" dataDxfId="710"/>
    <tableColumn id="4" xr3:uid="{FBDCD830-72A2-45E2-894A-81B154D7ACE4}" name="distance from target" dataDxfId="709"/>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F64765C-516D-4A25-BEEE-48F6B7C4E64A}" name="Table26" displayName="Table26" ref="AG6:AM358" totalsRowShown="0" headerRowDxfId="708" dataDxfId="706" headerRowBorderDxfId="707" tableBorderDxfId="705" dataCellStyle="Percent">
  <autoFilter ref="AG6:AM358" xr:uid="{4F64765C-516D-4A25-BEEE-48F6B7C4E64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15C5B4-7007-49AF-ACA8-9E5C9CBD6A51}" name="Town code" dataDxfId="704" dataCellStyle="Percent">
      <calculatedColumnFormula>TEXT(A7,"000")</calculatedColumnFormula>
    </tableColumn>
    <tableColumn id="2" xr3:uid="{F83E15B5-0957-442C-AB75-DAAD1D5A42E8}" name="Town" dataDxfId="703" dataCellStyle="Percent">
      <calculatedColumnFormula>B7</calculatedColumnFormula>
    </tableColumn>
    <tableColumn id="3" xr3:uid="{3FD3AD50-1ACA-4205-8AB8-EA42578342F3}" name="CEY% found _x000a_FY25" dataDxfId="702" dataCellStyle="Percent">
      <calculatedColumnFormula>I7</calculatedColumnFormula>
    </tableColumn>
    <tableColumn id="4" xr3:uid="{BCCE56D0-7C7D-4E5C-910F-63BA2CB5B44D}" name="target local share_x000a_ FY25" dataDxfId="701" dataCellStyle="Percent">
      <calculatedColumnFormula>L7</calculatedColumnFormula>
    </tableColumn>
    <tableColumn id="5" xr3:uid="{2F558EEB-87EC-42F6-8CC5-C74222963C31}" name="MRGF_x000a_ FY25" dataDxfId="700" dataCellStyle="Percent">
      <calculatedColumnFormula>O7</calculatedColumnFormula>
    </tableColumn>
    <tableColumn id="6" xr3:uid="{9DE3A0C5-1ACB-4924-B217-FF15E43DBA98}" name="RLC_x000a_FY25" dataDxfId="699">
      <calculatedColumnFormula>X7</calculatedColumnFormula>
    </tableColumn>
    <tableColumn id="7" xr3:uid="{790C6DCA-E1A0-44A3-8DFA-899105DF6AE8}" name="distance from target" dataDxfId="698">
      <calculatedColumnFormula>AD7</calculatedColumnFormula>
    </tableColumn>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B50D672-71C5-45EE-889B-C8BD16E1001A}" name="Table27" displayName="Table27" ref="A7:S446" totalsRowShown="0">
  <autoFilter ref="A7:S446" xr:uid="{DB50D672-71C5-45EE-889B-C8BD16E1001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3E535422-826A-4530-87E9-BFEBDBF7E263}" name="LEA" dataDxfId="18" dataCellStyle="Normal_a&amp;f newfound07"/>
    <tableColumn id="2" xr3:uid="{71EBEACE-6206-4DD6-A422-166AE3E91DCD}" name="District Name" dataDxfId="17" dataCellStyle="Normal_a&amp;f newfound07"/>
    <tableColumn id="3" xr3:uid="{083C85FD-A5F2-4A80-97FD-D6F22D0FE234}" name="PK" dataDxfId="16"/>
    <tableColumn id="4" xr3:uid="{DBE61E02-6A67-4EA4-B53D-CAD600E73159}" name="K Half" dataDxfId="15"/>
    <tableColumn id="5" xr3:uid="{A4F0CBEB-4899-40A4-BB14-C2435258D570}" name="K Full" dataDxfId="14"/>
    <tableColumn id="6" xr3:uid="{D6B73CEF-6CA3-4B89-9FD8-DE314D46DF6D}" name="Elem" dataDxfId="13"/>
    <tableColumn id="7" xr3:uid="{E85EED0C-361B-4420-A54C-FEFBF65DB789}" name="Jr/Middle" dataDxfId="12"/>
    <tableColumn id="8" xr3:uid="{D655F24D-BD75-4C4D-B5BC-496536BC2E62}" name="High School" dataDxfId="11"/>
    <tableColumn id="9" xr3:uid="{B3FAC289-F835-453A-B0CE-59C2B1F355A0}" name="Vocational" dataDxfId="10"/>
    <tableColumn id="10" xr3:uid="{3A34C336-EEE2-41C6-9435-5A0C8EA90D36}" name="Assumed Special Education In-District" dataDxfId="9"/>
    <tableColumn id="11" xr3:uid="{76DEFC5C-B63F-4130-BAFE-4725541FBE96}" name="Assumed Special Education Tuition" dataDxfId="8"/>
    <tableColumn id="12" xr3:uid="{F12782C3-72A8-4D5E-AB9D-110207AD03F1}" name="EL PK-5" dataDxfId="7"/>
    <tableColumn id="13" xr3:uid="{96579F45-1196-4D6D-BE75-98AC7432D1FC}" name="EL 6-8" dataDxfId="6"/>
    <tableColumn id="14" xr3:uid="{D7D9BA41-0781-4283-B453-BC7CF5BB4632}" name="EL high school/voc" dataDxfId="5"/>
    <tableColumn id="15" xr3:uid="{F3F19D19-785F-46EE-8179-60F52660FB48}" name="Low-Income" dataDxfId="4"/>
    <tableColumn id="16" xr3:uid="{6A424FB5-3492-4BC4-817D-2E03BE9BE06E}" name="Total Foundation Enrollment" dataDxfId="3" dataCellStyle="Percent"/>
    <tableColumn id="17" xr3:uid="{DB5388B2-C8C4-4FF7-B927-AB308DA25005}" name="WAF" dataDxfId="2"/>
    <tableColumn id="18" xr3:uid="{07DC6211-6E35-4B9C-8AA8-CCD66707D07D}" name="Group" dataDxfId="1"/>
    <tableColumn id="19" xr3:uid="{1BD01867-6A3E-4B19-BA3D-29745D9C928A}" name="Percentage" dataDxfId="0" dataCellStyle="Percent"/>
  </tableColumns>
  <tableStyleInfo name="TableStyleLight1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FE5185F-C365-4B2B-B684-8E4BB2D22409}" name="Table28" displayName="Table28" ref="U7:AF446" totalsRowShown="0" headerRowDxfId="697" dataDxfId="695" headerRowBorderDxfId="696" tableBorderDxfId="694" headerRowCellStyle="Normal_a&amp;f newfound07">
  <autoFilter ref="U7:AF446" xr:uid="{0FE5185F-C365-4B2B-B684-8E4BB2D224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4824085F-1484-41C8-A85D-6F5B4F37FE68}" name="Administration" dataDxfId="693"/>
    <tableColumn id="2" xr3:uid="{54D58469-8F4E-479A-B115-DB8F2E7C4AFD}" name="Instructional Leadership" dataDxfId="692"/>
    <tableColumn id="3" xr3:uid="{19817FAB-8660-4433-99A3-DD96A5618ED4}" name="Classroom &amp; Specialist Teachers" dataDxfId="691"/>
    <tableColumn id="4" xr3:uid="{BC1F68C2-D9C4-45C1-ACDC-45BA5BDED665}" name="Other Teaching Services" dataDxfId="690"/>
    <tableColumn id="5" xr3:uid="{596A7AAC-4252-4F31-8949-30646256E964}" name="Professional Development" dataDxfId="689"/>
    <tableColumn id="6" xr3:uid="{6DE6ADC1-BE45-4BC8-BAEC-D1127408DAAF}" name="Instructional Materials, Equipment &amp; Technology" dataDxfId="688"/>
    <tableColumn id="7" xr3:uid="{AF66CF1E-20FA-47C7-9A1A-55A9BA2A95DE}" name="Guidance &amp; Psychological Services" dataDxfId="687"/>
    <tableColumn id="8" xr3:uid="{75421FCF-E1FF-4D17-86FB-B30619488274}" name="Pupil Services" dataDxfId="686"/>
    <tableColumn id="9" xr3:uid="{E800D10E-C90C-4839-BDF3-930353020142}" name="Operations &amp; Maintenance" dataDxfId="685"/>
    <tableColumn id="10" xr3:uid="{59E321C3-E018-481E-B9C8-4299A057DE48}" name="Employee Benefits &amp; Fixed Charges" dataDxfId="684"/>
    <tableColumn id="11" xr3:uid="{A224F1AE-5DB3-4AEF-A04B-1F45900119A9}" name="Special Education Tuition" dataDxfId="683"/>
    <tableColumn id="12" xr3:uid="{442ECE22-286D-4BC5-BF71-A8E951A469CF}" name="Total Foundation Budget" dataDxfId="682"/>
  </tableColumns>
  <tableStyleInfo name="TableStyleLight1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B6E2E00-C7F0-4789-80C0-1832BF98F305}" name="Table29" displayName="Table29" ref="AI7:AL445" totalsRowShown="0" headerRowDxfId="681" dataDxfId="679" headerRowBorderDxfId="680" tableBorderDxfId="678" headerRowCellStyle="Normal_a&amp;f newfound07" dataCellStyle="Normal_a&amp;f newfound07">
  <autoFilter ref="AI7:AL445" xr:uid="{0B6E2E00-C7F0-4789-80C0-1832BF98F305}">
    <filterColumn colId="0" hiddenButton="1"/>
    <filterColumn colId="1" hiddenButton="1"/>
    <filterColumn colId="2" hiddenButton="1"/>
    <filterColumn colId="3" hiddenButton="1"/>
  </autoFilter>
  <tableColumns count="4">
    <tableColumn id="1" xr3:uid="{04A59B75-969F-4D07-93D1-1A5B70F7C93A}" name="Total _x000a_Low-Income Enrollment" dataDxfId="677" dataCellStyle="Normal_a&amp;f newfound07"/>
    <tableColumn id="2" xr3:uid="{5C2B1AEC-6D45-4493-8658-4F0CA406FDBE}" name="Total Enrollment of Students Attending School in the District _x000a_plus the Total Resident Students Attending Charter Schools" dataDxfId="676" dataCellStyle="Normal_a&amp;f newfound07"/>
    <tableColumn id="3" xr3:uid="{78D1E906-5BD9-4CA2-B8E5-E6EBA1714426}" name="Low-Income % _x000a_for Group Assignment" dataDxfId="675" dataCellStyle="Normal_a&amp;f newfound07"/>
    <tableColumn id="4" xr3:uid="{61AB5D2E-215E-4B81-ABBC-CDD3ED950566}" name="Low-Income_x000a_Group" dataDxfId="674" dataCellStyle="Normal_a&amp;f newfound07"/>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Meghan.Ryan2@mass.gov" TargetMode="External"/><Relationship Id="rId1" Type="http://schemas.openxmlformats.org/officeDocument/2006/relationships/hyperlink" Target="mailto:rodonnell@doe.mass.edu"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vmlDrawing" Target="../drawings/vmlDrawing2.vml"/><Relationship Id="rId1" Type="http://schemas.openxmlformats.org/officeDocument/2006/relationships/printerSettings" Target="../printerSettings/printerSettings14.bin"/><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17.bin"/><Relationship Id="rId4"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60"/>
  <sheetViews>
    <sheetView topLeftCell="A33" zoomScale="80" zoomScaleNormal="80" workbookViewId="0">
      <selection activeCell="B60" sqref="B60"/>
    </sheetView>
  </sheetViews>
  <sheetFormatPr defaultColWidth="8.875" defaultRowHeight="12.75"/>
  <cols>
    <col min="1" max="1" width="26" style="216" bestFit="1" customWidth="1"/>
    <col min="2" max="2" width="62.875" style="216" customWidth="1"/>
    <col min="3" max="3" width="55.25" style="216" customWidth="1"/>
    <col min="4" max="4" width="45" style="216" customWidth="1"/>
    <col min="5" max="16384" width="8.875" style="217"/>
  </cols>
  <sheetData>
    <row r="1" spans="1:5">
      <c r="A1" s="216" t="s">
        <v>2311</v>
      </c>
    </row>
    <row r="2" spans="1:5" s="216" customFormat="1">
      <c r="A2" s="220"/>
      <c r="B2" s="220"/>
    </row>
    <row r="3" spans="1:5">
      <c r="A3" s="218" t="s">
        <v>1601</v>
      </c>
      <c r="B3" s="218" t="s">
        <v>1602</v>
      </c>
      <c r="C3" s="218" t="s">
        <v>1603</v>
      </c>
      <c r="D3" s="218" t="s">
        <v>1604</v>
      </c>
    </row>
    <row r="4" spans="1:5" ht="51">
      <c r="A4" s="219" t="s">
        <v>679</v>
      </c>
      <c r="B4" s="219" t="s">
        <v>1605</v>
      </c>
      <c r="C4" s="219"/>
      <c r="D4" s="463"/>
    </row>
    <row r="5" spans="1:5">
      <c r="A5" s="219" t="s">
        <v>1606</v>
      </c>
      <c r="B5" s="219" t="s">
        <v>1607</v>
      </c>
      <c r="C5" s="219" t="s">
        <v>1608</v>
      </c>
      <c r="D5" s="463"/>
    </row>
    <row r="6" spans="1:5" ht="25.5">
      <c r="A6" s="219" t="s">
        <v>1609</v>
      </c>
      <c r="B6" s="219" t="s">
        <v>1610</v>
      </c>
      <c r="C6" s="219" t="s">
        <v>1611</v>
      </c>
      <c r="D6" s="219" t="s">
        <v>2331</v>
      </c>
    </row>
    <row r="7" spans="1:5">
      <c r="A7" s="219" t="s">
        <v>75</v>
      </c>
      <c r="B7" s="219" t="s">
        <v>1612</v>
      </c>
      <c r="C7" s="219" t="s">
        <v>1613</v>
      </c>
      <c r="D7" s="464"/>
    </row>
    <row r="8" spans="1:5">
      <c r="A8" s="219" t="s">
        <v>1614</v>
      </c>
      <c r="B8" s="219" t="s">
        <v>1615</v>
      </c>
      <c r="C8" s="219" t="s">
        <v>1616</v>
      </c>
      <c r="D8" s="464"/>
    </row>
    <row r="9" spans="1:5" ht="25.5">
      <c r="A9" s="219" t="s">
        <v>76</v>
      </c>
      <c r="B9" s="219" t="s">
        <v>1617</v>
      </c>
      <c r="C9" s="219" t="s">
        <v>1618</v>
      </c>
      <c r="D9" s="464"/>
    </row>
    <row r="10" spans="1:5">
      <c r="A10" s="219" t="s">
        <v>74</v>
      </c>
      <c r="B10" s="219" t="s">
        <v>1619</v>
      </c>
      <c r="C10" s="219" t="s">
        <v>1620</v>
      </c>
      <c r="D10" s="464"/>
    </row>
    <row r="11" spans="1:5" ht="38.25">
      <c r="A11" s="219" t="s">
        <v>1621</v>
      </c>
      <c r="B11" s="219" t="s">
        <v>2151</v>
      </c>
      <c r="C11" s="219" t="s">
        <v>2093</v>
      </c>
      <c r="D11" s="464"/>
    </row>
    <row r="12" spans="1:5" ht="63.75">
      <c r="A12" s="219" t="s">
        <v>1622</v>
      </c>
      <c r="B12" s="219" t="s">
        <v>1623</v>
      </c>
      <c r="C12" s="219" t="s">
        <v>1624</v>
      </c>
      <c r="D12" s="464" t="s">
        <v>2302</v>
      </c>
    </row>
    <row r="13" spans="1:5">
      <c r="A13" s="223"/>
      <c r="B13" s="223"/>
      <c r="C13" s="223"/>
      <c r="D13" s="465"/>
    </row>
    <row r="14" spans="1:5">
      <c r="A14" s="219" t="s">
        <v>2332</v>
      </c>
      <c r="B14" s="219" t="s">
        <v>1625</v>
      </c>
      <c r="C14" s="219" t="s">
        <v>1626</v>
      </c>
      <c r="D14" s="464" t="s">
        <v>2333</v>
      </c>
    </row>
    <row r="15" spans="1:5" ht="38.25">
      <c r="A15" s="219" t="s">
        <v>1627</v>
      </c>
      <c r="B15" s="219" t="s">
        <v>1628</v>
      </c>
      <c r="C15" s="219" t="s">
        <v>1629</v>
      </c>
      <c r="D15" s="464" t="s">
        <v>2334</v>
      </c>
    </row>
    <row r="16" spans="1:5" ht="38.25">
      <c r="A16" s="219" t="s">
        <v>1630</v>
      </c>
      <c r="B16" s="219" t="s">
        <v>1631</v>
      </c>
      <c r="C16" s="219" t="s">
        <v>2094</v>
      </c>
      <c r="D16" s="427" t="s">
        <v>2301</v>
      </c>
      <c r="E16" s="427"/>
    </row>
    <row r="17" spans="1:4" ht="25.5">
      <c r="A17" s="219" t="s">
        <v>1632</v>
      </c>
      <c r="B17" s="219" t="s">
        <v>1633</v>
      </c>
      <c r="C17" s="219"/>
      <c r="D17" s="464" t="s">
        <v>2329</v>
      </c>
    </row>
    <row r="18" spans="1:4" ht="38.25">
      <c r="A18" s="219" t="s">
        <v>1634</v>
      </c>
      <c r="B18" s="219" t="s">
        <v>1635</v>
      </c>
      <c r="C18" s="219"/>
      <c r="D18" s="464" t="s">
        <v>2322</v>
      </c>
    </row>
    <row r="19" spans="1:4" ht="25.5">
      <c r="A19" s="219" t="s">
        <v>1636</v>
      </c>
      <c r="B19" s="219" t="s">
        <v>1637</v>
      </c>
      <c r="C19" s="219" t="s">
        <v>2330</v>
      </c>
      <c r="D19" s="219"/>
    </row>
    <row r="21" spans="1:4">
      <c r="A21" s="218" t="s">
        <v>1638</v>
      </c>
      <c r="B21" s="218" t="s">
        <v>1639</v>
      </c>
      <c r="C21" s="218" t="s">
        <v>2168</v>
      </c>
      <c r="D21" s="218" t="s">
        <v>1604</v>
      </c>
    </row>
    <row r="22" spans="1:4" ht="12.75" customHeight="1">
      <c r="A22" s="216" t="s">
        <v>1640</v>
      </c>
      <c r="B22" s="216" t="s">
        <v>1641</v>
      </c>
      <c r="C22" s="503" t="s">
        <v>2324</v>
      </c>
      <c r="D22" s="448" t="s">
        <v>2169</v>
      </c>
    </row>
    <row r="23" spans="1:4">
      <c r="A23" s="216" t="s">
        <v>1642</v>
      </c>
      <c r="B23" s="216" t="s">
        <v>1643</v>
      </c>
      <c r="C23" s="216">
        <v>2022</v>
      </c>
    </row>
    <row r="24" spans="1:4">
      <c r="A24" s="216" t="s">
        <v>1644</v>
      </c>
      <c r="B24" s="216" t="s">
        <v>1645</v>
      </c>
      <c r="C24" s="216">
        <v>2022</v>
      </c>
    </row>
    <row r="25" spans="1:4">
      <c r="A25" s="216" t="s">
        <v>1646</v>
      </c>
      <c r="B25" s="216" t="s">
        <v>1645</v>
      </c>
      <c r="C25" s="216">
        <v>2021</v>
      </c>
      <c r="D25" s="310">
        <v>45273</v>
      </c>
    </row>
    <row r="26" spans="1:4">
      <c r="A26" s="216" t="s">
        <v>2245</v>
      </c>
      <c r="B26" s="216" t="s">
        <v>2152</v>
      </c>
      <c r="C26" s="446">
        <v>45200</v>
      </c>
      <c r="D26" s="216" t="s">
        <v>2330</v>
      </c>
    </row>
    <row r="27" spans="1:4">
      <c r="A27" s="216" t="s">
        <v>1647</v>
      </c>
      <c r="B27" s="216" t="s">
        <v>1648</v>
      </c>
      <c r="C27" s="216">
        <v>2025</v>
      </c>
      <c r="D27" s="216" t="s">
        <v>2336</v>
      </c>
    </row>
    <row r="29" spans="1:4">
      <c r="B29" s="447"/>
    </row>
    <row r="30" spans="1:4" ht="12.75" customHeight="1">
      <c r="A30" s="6" t="s">
        <v>2299</v>
      </c>
      <c r="C30" s="105"/>
    </row>
    <row r="31" spans="1:4">
      <c r="A31" s="511" t="s">
        <v>2317</v>
      </c>
    </row>
    <row r="32" spans="1:4">
      <c r="A32" s="216" t="s">
        <v>2318</v>
      </c>
    </row>
    <row r="33" spans="1:3" ht="38.25">
      <c r="A33" s="216" t="s">
        <v>2323</v>
      </c>
      <c r="B33" s="300"/>
    </row>
    <row r="34" spans="1:3">
      <c r="A34" s="310">
        <v>45281</v>
      </c>
    </row>
    <row r="35" spans="1:3">
      <c r="A35" s="125" t="s">
        <v>2325</v>
      </c>
      <c r="B35" s="124"/>
      <c r="C35" s="107"/>
    </row>
    <row r="36" spans="1:3">
      <c r="A36" s="6"/>
      <c r="B36" s="6"/>
      <c r="C36" s="296"/>
    </row>
    <row r="37" spans="1:3">
      <c r="A37" s="6" t="s">
        <v>2327</v>
      </c>
      <c r="B37" s="6"/>
      <c r="C37" s="296"/>
    </row>
    <row r="38" spans="1:3">
      <c r="A38" s="6"/>
      <c r="B38" s="6"/>
      <c r="C38" s="296"/>
    </row>
    <row r="39" spans="1:3">
      <c r="A39" s="16" t="s">
        <v>2338</v>
      </c>
      <c r="B39" s="6"/>
      <c r="C39" s="296"/>
    </row>
    <row r="40" spans="1:3">
      <c r="A40" s="6"/>
      <c r="B40" s="6"/>
      <c r="C40" s="296"/>
    </row>
    <row r="41" spans="1:3">
      <c r="A41" s="6" t="s">
        <v>2339</v>
      </c>
      <c r="B41" s="6"/>
      <c r="C41" s="296"/>
    </row>
    <row r="42" spans="1:3">
      <c r="A42" s="6"/>
      <c r="B42" s="6"/>
      <c r="C42" s="296"/>
    </row>
    <row r="43" spans="1:3">
      <c r="A43" s="16" t="s">
        <v>2340</v>
      </c>
      <c r="B43" s="6"/>
      <c r="C43" s="296"/>
    </row>
    <row r="44" spans="1:3">
      <c r="A44" s="6"/>
      <c r="B44" s="6"/>
      <c r="C44" s="296"/>
    </row>
    <row r="45" spans="1:3">
      <c r="A45" s="6"/>
      <c r="B45" s="6"/>
      <c r="C45" s="296"/>
    </row>
    <row r="46" spans="1:3">
      <c r="A46" s="6"/>
      <c r="B46" s="6"/>
      <c r="C46" s="296"/>
    </row>
    <row r="47" spans="1:3">
      <c r="A47" s="6"/>
      <c r="B47" s="6"/>
      <c r="C47" s="296"/>
    </row>
    <row r="48" spans="1:3">
      <c r="A48" s="6"/>
      <c r="B48" s="6"/>
      <c r="C48" s="296"/>
    </row>
    <row r="49" spans="1:3">
      <c r="A49" s="6"/>
      <c r="B49" s="6"/>
      <c r="C49" s="296"/>
    </row>
    <row r="50" spans="1:3">
      <c r="A50" s="6"/>
      <c r="B50" s="6"/>
      <c r="C50" s="296"/>
    </row>
    <row r="51" spans="1:3">
      <c r="A51" s="10"/>
      <c r="B51" s="10"/>
      <c r="C51" s="74"/>
    </row>
    <row r="53" spans="1:3">
      <c r="A53" s="310"/>
    </row>
    <row r="60" spans="1:3" ht="25.5">
      <c r="A60" s="216" t="s">
        <v>2341</v>
      </c>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466"/>
  <sheetViews>
    <sheetView showGridLines="0" tabSelected="1" zoomScaleNormal="100" workbookViewId="0"/>
  </sheetViews>
  <sheetFormatPr defaultColWidth="9" defaultRowHeight="12.75" customHeight="1"/>
  <cols>
    <col min="1" max="1" width="4.375" style="160" customWidth="1"/>
    <col min="2" max="2" width="27.75" style="160" customWidth="1"/>
    <col min="3" max="3" width="8.75" style="160" hidden="1" customWidth="1"/>
    <col min="4" max="4" width="11.125" style="160" customWidth="1"/>
    <col min="5" max="5" width="26.875" style="160" customWidth="1"/>
    <col min="6" max="9" width="9" style="160"/>
    <col min="10" max="10" width="12" style="160" customWidth="1"/>
    <col min="11" max="16384" width="9" style="160"/>
  </cols>
  <sheetData>
    <row r="1" spans="1:10" ht="29.45" customHeight="1">
      <c r="A1" s="159" t="s">
        <v>524</v>
      </c>
      <c r="J1" s="524"/>
    </row>
    <row r="2" spans="1:10" s="243" customFormat="1" ht="29.45" customHeight="1">
      <c r="A2" s="242" t="str">
        <f>parameters!B1&amp; " Chapter 70 and Net School Spending Formula Spreadsheet"</f>
        <v>FY25 Chapter 70 and Net School Spending Formula Spreadsheet</v>
      </c>
      <c r="J2" s="621" t="s">
        <v>1547</v>
      </c>
    </row>
    <row r="3" spans="1:10" ht="15.75" customHeight="1">
      <c r="A3" s="161"/>
      <c r="B3" s="309" t="s">
        <v>2109</v>
      </c>
      <c r="C3" s="160" t="s">
        <v>2108</v>
      </c>
    </row>
    <row r="4" spans="1:10" ht="20.100000000000001" customHeight="1">
      <c r="A4" s="626">
        <f>C4</f>
        <v>999</v>
      </c>
      <c r="B4" s="311" t="s">
        <v>2110</v>
      </c>
      <c r="C4" s="160">
        <f>VLOOKUP(B4,leas!$E$4:$F$445,2,FALSE)</f>
        <v>999</v>
      </c>
    </row>
    <row r="5" spans="1:10" ht="7.5" customHeight="1">
      <c r="A5" s="159"/>
    </row>
    <row r="6" spans="1:10" ht="18.75" customHeight="1">
      <c r="B6" s="160" t="s">
        <v>2114</v>
      </c>
    </row>
    <row r="7" spans="1:10" ht="12.75" customHeight="1">
      <c r="B7" s="160" t="s">
        <v>2113</v>
      </c>
    </row>
    <row r="8" spans="1:10" ht="12.75" customHeight="1">
      <c r="B8" s="160" t="s">
        <v>2116</v>
      </c>
    </row>
    <row r="9" spans="1:10" ht="8.25" customHeight="1"/>
    <row r="10" spans="1:10" ht="12.75" customHeight="1">
      <c r="B10" s="160" t="s">
        <v>678</v>
      </c>
      <c r="C10" s="162"/>
      <c r="D10" s="162"/>
    </row>
    <row r="11" spans="1:10" ht="12.75" customHeight="1">
      <c r="B11" s="163"/>
    </row>
    <row r="12" spans="1:10" ht="12.75" customHeight="1">
      <c r="B12" s="164" t="s">
        <v>74</v>
      </c>
    </row>
    <row r="13" spans="1:10" ht="12.75" customHeight="1">
      <c r="B13" s="164" t="s">
        <v>75</v>
      </c>
    </row>
    <row r="14" spans="1:10" ht="12.75" customHeight="1">
      <c r="B14" s="164" t="s">
        <v>2234</v>
      </c>
    </row>
    <row r="15" spans="1:10" ht="12.75" customHeight="1">
      <c r="B15" s="164" t="s">
        <v>76</v>
      </c>
    </row>
    <row r="16" spans="1:10" ht="12.75" customHeight="1">
      <c r="B16" s="164"/>
    </row>
    <row r="17" spans="1:7" ht="12.75" customHeight="1">
      <c r="B17" s="164" t="s">
        <v>2235</v>
      </c>
      <c r="D17" s="160" t="s">
        <v>2236</v>
      </c>
    </row>
    <row r="18" spans="1:7" ht="12.75" customHeight="1">
      <c r="B18" s="164"/>
    </row>
    <row r="19" spans="1:7" ht="12.75" customHeight="1">
      <c r="B19" s="160" t="s">
        <v>401</v>
      </c>
    </row>
    <row r="20" spans="1:7" ht="12.75" customHeight="1">
      <c r="B20" s="160" t="s">
        <v>1591</v>
      </c>
    </row>
    <row r="22" spans="1:7" ht="12.75" customHeight="1">
      <c r="B22" s="160" t="s">
        <v>77</v>
      </c>
    </row>
    <row r="23" spans="1:7" ht="12.75" customHeight="1">
      <c r="D23" s="164"/>
    </row>
    <row r="24" spans="1:7" ht="12.75" customHeight="1">
      <c r="B24" s="160" t="s">
        <v>2104</v>
      </c>
      <c r="D24" s="164" t="s">
        <v>2211</v>
      </c>
      <c r="G24" s="160" t="s">
        <v>2105</v>
      </c>
    </row>
    <row r="25" spans="1:7" ht="12.75" customHeight="1">
      <c r="B25" s="160" t="s">
        <v>2345</v>
      </c>
      <c r="D25" s="164" t="s">
        <v>2346</v>
      </c>
      <c r="G25" s="160" t="s">
        <v>2347</v>
      </c>
    </row>
    <row r="26" spans="1:7" ht="12.75" customHeight="1">
      <c r="D26" s="164"/>
    </row>
    <row r="27" spans="1:7" ht="12.75" customHeight="1">
      <c r="A27" s="162"/>
      <c r="B27" s="537" t="s">
        <v>594</v>
      </c>
      <c r="D27" s="537" t="s">
        <v>2178</v>
      </c>
    </row>
    <row r="28" spans="1:7" ht="12.75" customHeight="1">
      <c r="B28" s="160" t="s">
        <v>1120</v>
      </c>
      <c r="D28" s="160">
        <v>1</v>
      </c>
    </row>
    <row r="29" spans="1:7" ht="12.75" customHeight="1">
      <c r="B29" s="160" t="s">
        <v>1121</v>
      </c>
      <c r="D29" s="160">
        <v>2</v>
      </c>
    </row>
    <row r="30" spans="1:7" ht="12.75" customHeight="1">
      <c r="B30" s="160" t="s">
        <v>1470</v>
      </c>
      <c r="D30" s="160">
        <v>600</v>
      </c>
    </row>
    <row r="31" spans="1:7" ht="12.75" customHeight="1">
      <c r="B31" s="160" t="s">
        <v>1122</v>
      </c>
      <c r="D31" s="160">
        <v>3</v>
      </c>
    </row>
    <row r="32" spans="1:7" ht="12.75" customHeight="1">
      <c r="B32" s="160" t="s">
        <v>1123</v>
      </c>
      <c r="D32" s="160">
        <v>4</v>
      </c>
    </row>
    <row r="33" spans="2:4" ht="12.75" customHeight="1">
      <c r="B33" s="160" t="s">
        <v>1124</v>
      </c>
      <c r="D33" s="160">
        <v>5</v>
      </c>
    </row>
    <row r="34" spans="2:4" ht="12.75" customHeight="1">
      <c r="B34" s="160" t="s">
        <v>1125</v>
      </c>
      <c r="D34" s="160">
        <v>6</v>
      </c>
    </row>
    <row r="35" spans="2:4" ht="12.75" customHeight="1">
      <c r="B35" s="160" t="s">
        <v>1126</v>
      </c>
      <c r="D35" s="160">
        <v>7</v>
      </c>
    </row>
    <row r="36" spans="2:4" ht="12.75" customHeight="1">
      <c r="B36" s="160" t="s">
        <v>1127</v>
      </c>
      <c r="D36" s="160">
        <v>8</v>
      </c>
    </row>
    <row r="37" spans="2:4" ht="12.75" customHeight="1">
      <c r="B37" s="160" t="s">
        <v>1472</v>
      </c>
      <c r="D37" s="160">
        <v>605</v>
      </c>
    </row>
    <row r="38" spans="2:4" ht="12.75" customHeight="1">
      <c r="B38" s="160" t="s">
        <v>1128</v>
      </c>
      <c r="D38" s="160">
        <v>9</v>
      </c>
    </row>
    <row r="39" spans="2:4" ht="12.75" customHeight="1">
      <c r="B39" s="160" t="s">
        <v>785</v>
      </c>
      <c r="D39" s="160">
        <v>104</v>
      </c>
    </row>
    <row r="40" spans="2:4" ht="12.75" customHeight="1">
      <c r="B40" s="160" t="s">
        <v>1129</v>
      </c>
      <c r="D40" s="160">
        <v>10</v>
      </c>
    </row>
    <row r="41" spans="2:4" ht="12.75" customHeight="1">
      <c r="B41" s="160" t="s">
        <v>1130</v>
      </c>
      <c r="D41" s="160">
        <v>11</v>
      </c>
    </row>
    <row r="42" spans="2:4" ht="12.75" customHeight="1">
      <c r="B42" s="160" t="s">
        <v>1473</v>
      </c>
      <c r="D42" s="160">
        <v>610</v>
      </c>
    </row>
    <row r="43" spans="2:4" ht="12.75" customHeight="1">
      <c r="B43" s="160" t="s">
        <v>1131</v>
      </c>
      <c r="D43" s="160">
        <v>12</v>
      </c>
    </row>
    <row r="44" spans="2:4" ht="12.75" customHeight="1">
      <c r="B44" s="160" t="s">
        <v>1132</v>
      </c>
      <c r="D44" s="160">
        <v>13</v>
      </c>
    </row>
    <row r="45" spans="2:4" ht="12.75" customHeight="1">
      <c r="B45" s="160" t="s">
        <v>1133</v>
      </c>
      <c r="D45" s="160">
        <v>14</v>
      </c>
    </row>
    <row r="46" spans="2:4" ht="12.75" customHeight="1">
      <c r="B46" s="160" t="s">
        <v>1519</v>
      </c>
      <c r="D46" s="160">
        <v>801</v>
      </c>
    </row>
    <row r="47" spans="2:4" ht="12.75" customHeight="1">
      <c r="B47" s="160" t="s">
        <v>1134</v>
      </c>
      <c r="D47" s="160">
        <v>15</v>
      </c>
    </row>
    <row r="48" spans="2:4" ht="12.75" customHeight="1">
      <c r="B48" s="160" t="s">
        <v>1474</v>
      </c>
      <c r="D48" s="160">
        <v>615</v>
      </c>
    </row>
    <row r="49" spans="2:4" ht="12.75" customHeight="1">
      <c r="B49" s="160" t="s">
        <v>1135</v>
      </c>
      <c r="D49" s="160">
        <v>16</v>
      </c>
    </row>
    <row r="50" spans="2:4" ht="12.75" customHeight="1">
      <c r="B50" s="160" t="s">
        <v>1136</v>
      </c>
      <c r="D50" s="160">
        <v>17</v>
      </c>
    </row>
    <row r="51" spans="2:4" ht="12.75" customHeight="1">
      <c r="B51" s="160" t="s">
        <v>1137</v>
      </c>
      <c r="D51" s="160">
        <v>18</v>
      </c>
    </row>
    <row r="52" spans="2:4" ht="12.75" customHeight="1">
      <c r="B52" s="160" t="s">
        <v>1138</v>
      </c>
      <c r="D52" s="160">
        <v>19</v>
      </c>
    </row>
    <row r="53" spans="2:4" ht="12.75" customHeight="1">
      <c r="B53" s="160" t="s">
        <v>1039</v>
      </c>
      <c r="D53" s="160">
        <v>616</v>
      </c>
    </row>
    <row r="54" spans="2:4" ht="12.75" customHeight="1">
      <c r="B54" s="160" t="s">
        <v>1139</v>
      </c>
      <c r="D54" s="160">
        <v>20</v>
      </c>
    </row>
    <row r="55" spans="2:4" ht="12.75" customHeight="1">
      <c r="B55" s="160" t="s">
        <v>1140</v>
      </c>
      <c r="D55" s="160">
        <v>21</v>
      </c>
    </row>
    <row r="56" spans="2:4" ht="12.75" customHeight="1">
      <c r="B56" s="160" t="s">
        <v>1141</v>
      </c>
      <c r="D56" s="160">
        <v>22</v>
      </c>
    </row>
    <row r="57" spans="2:4" ht="12.75" customHeight="1">
      <c r="B57" s="160" t="s">
        <v>1142</v>
      </c>
      <c r="D57" s="160">
        <v>23</v>
      </c>
    </row>
    <row r="58" spans="2:4" ht="12.75" customHeight="1">
      <c r="B58" s="160" t="s">
        <v>1143</v>
      </c>
      <c r="D58" s="160">
        <v>24</v>
      </c>
    </row>
    <row r="59" spans="2:4" ht="12.75" customHeight="1">
      <c r="B59" s="160" t="s">
        <v>1144</v>
      </c>
      <c r="D59" s="160">
        <v>25</v>
      </c>
    </row>
    <row r="60" spans="2:4" ht="12.75" customHeight="1">
      <c r="B60" s="160" t="s">
        <v>1145</v>
      </c>
      <c r="D60" s="160">
        <v>26</v>
      </c>
    </row>
    <row r="61" spans="2:4" ht="12.75" customHeight="1">
      <c r="B61" s="160" t="s">
        <v>1146</v>
      </c>
      <c r="D61" s="160">
        <v>27</v>
      </c>
    </row>
    <row r="62" spans="2:4" ht="12.75" customHeight="1">
      <c r="B62" s="160" t="s">
        <v>1475</v>
      </c>
      <c r="D62" s="160">
        <v>618</v>
      </c>
    </row>
    <row r="63" spans="2:4" ht="12.75" customHeight="1">
      <c r="B63" s="160" t="s">
        <v>1147</v>
      </c>
      <c r="D63" s="160">
        <v>28</v>
      </c>
    </row>
    <row r="64" spans="2:4" ht="12.75" customHeight="1">
      <c r="B64" s="160" t="s">
        <v>1476</v>
      </c>
      <c r="D64" s="160">
        <v>620</v>
      </c>
    </row>
    <row r="65" spans="2:4" ht="12.75" customHeight="1">
      <c r="B65" s="160" t="s">
        <v>1148</v>
      </c>
      <c r="D65" s="160">
        <v>29</v>
      </c>
    </row>
    <row r="66" spans="2:4" ht="12.75" customHeight="1">
      <c r="B66" s="160" t="s">
        <v>1149</v>
      </c>
      <c r="D66" s="160">
        <v>30</v>
      </c>
    </row>
    <row r="67" spans="2:4" ht="12.75" customHeight="1">
      <c r="B67" s="160" t="s">
        <v>1150</v>
      </c>
      <c r="D67" s="160">
        <v>31</v>
      </c>
    </row>
    <row r="68" spans="2:4" ht="12.75" customHeight="1">
      <c r="B68" s="160" t="s">
        <v>1151</v>
      </c>
      <c r="D68" s="160">
        <v>32</v>
      </c>
    </row>
    <row r="69" spans="2:4" ht="12.75" customHeight="1">
      <c r="B69" s="160" t="s">
        <v>1477</v>
      </c>
      <c r="D69" s="160">
        <v>622</v>
      </c>
    </row>
    <row r="70" spans="2:4" ht="12.75" customHeight="1">
      <c r="B70" s="160" t="s">
        <v>1520</v>
      </c>
      <c r="D70" s="160">
        <v>805</v>
      </c>
    </row>
    <row r="71" spans="2:4" ht="12.75" customHeight="1">
      <c r="B71" s="160" t="s">
        <v>1152</v>
      </c>
      <c r="D71" s="160">
        <v>33</v>
      </c>
    </row>
    <row r="72" spans="2:4" ht="12.75" customHeight="1">
      <c r="B72" s="160" t="s">
        <v>1521</v>
      </c>
      <c r="D72" s="160">
        <v>806</v>
      </c>
    </row>
    <row r="73" spans="2:4" ht="12.75" customHeight="1">
      <c r="B73" s="160" t="s">
        <v>1153</v>
      </c>
      <c r="D73" s="160">
        <v>34</v>
      </c>
    </row>
    <row r="74" spans="2:4" ht="12.75" customHeight="1">
      <c r="B74" s="160" t="s">
        <v>1154</v>
      </c>
      <c r="D74" s="160">
        <v>35</v>
      </c>
    </row>
    <row r="75" spans="2:4" ht="12.75" customHeight="1">
      <c r="B75" s="160" t="s">
        <v>1155</v>
      </c>
      <c r="D75" s="160">
        <v>36</v>
      </c>
    </row>
    <row r="76" spans="2:4" ht="12.75" customHeight="1">
      <c r="B76" s="160" t="s">
        <v>1156</v>
      </c>
      <c r="D76" s="160">
        <v>37</v>
      </c>
    </row>
    <row r="77" spans="2:4" ht="12.75" customHeight="1">
      <c r="B77" s="160" t="s">
        <v>1157</v>
      </c>
      <c r="D77" s="160">
        <v>38</v>
      </c>
    </row>
    <row r="78" spans="2:4" ht="12.75" customHeight="1">
      <c r="B78" s="160" t="s">
        <v>1158</v>
      </c>
      <c r="D78" s="160">
        <v>39</v>
      </c>
    </row>
    <row r="79" spans="2:4" ht="12.75" customHeight="1">
      <c r="B79" s="160" t="s">
        <v>1159</v>
      </c>
      <c r="D79" s="160">
        <v>40</v>
      </c>
    </row>
    <row r="80" spans="2:4" ht="12.75" customHeight="1">
      <c r="B80" s="160" t="s">
        <v>1160</v>
      </c>
      <c r="D80" s="160">
        <v>41</v>
      </c>
    </row>
    <row r="81" spans="2:4" ht="12.75" customHeight="1">
      <c r="B81" s="160" t="s">
        <v>1161</v>
      </c>
      <c r="D81" s="160">
        <v>42</v>
      </c>
    </row>
    <row r="82" spans="2:4" ht="12.75" customHeight="1">
      <c r="B82" s="160" t="s">
        <v>1478</v>
      </c>
      <c r="D82" s="160">
        <v>625</v>
      </c>
    </row>
    <row r="83" spans="2:4" ht="12.75" customHeight="1">
      <c r="B83" s="160" t="s">
        <v>1162</v>
      </c>
      <c r="D83" s="160">
        <v>43</v>
      </c>
    </row>
    <row r="84" spans="2:4" ht="12.75" customHeight="1">
      <c r="B84" s="160" t="s">
        <v>1544</v>
      </c>
      <c r="D84" s="160">
        <v>910</v>
      </c>
    </row>
    <row r="85" spans="2:4" ht="12.75" customHeight="1">
      <c r="B85" s="160" t="s">
        <v>1522</v>
      </c>
      <c r="D85" s="160">
        <v>810</v>
      </c>
    </row>
    <row r="86" spans="2:4" ht="12.75" customHeight="1">
      <c r="B86" s="160" t="s">
        <v>1163</v>
      </c>
      <c r="D86" s="160">
        <v>44</v>
      </c>
    </row>
    <row r="87" spans="2:4" ht="12.75" customHeight="1">
      <c r="B87" s="160" t="s">
        <v>1164</v>
      </c>
      <c r="D87" s="160">
        <v>45</v>
      </c>
    </row>
    <row r="88" spans="2:4" ht="12.75" customHeight="1">
      <c r="B88" s="160" t="s">
        <v>1165</v>
      </c>
      <c r="D88" s="160">
        <v>46</v>
      </c>
    </row>
    <row r="89" spans="2:4" ht="12.75" customHeight="1">
      <c r="B89" s="160" t="s">
        <v>1166</v>
      </c>
      <c r="D89" s="160">
        <v>47</v>
      </c>
    </row>
    <row r="90" spans="2:4" ht="12.75" customHeight="1">
      <c r="B90" s="160" t="s">
        <v>1167</v>
      </c>
      <c r="D90" s="160">
        <v>48</v>
      </c>
    </row>
    <row r="91" spans="2:4" ht="12.75" customHeight="1">
      <c r="B91" s="160" t="s">
        <v>1168</v>
      </c>
      <c r="D91" s="160">
        <v>49</v>
      </c>
    </row>
    <row r="92" spans="2:4" ht="12.75" customHeight="1">
      <c r="B92" s="160" t="s">
        <v>1169</v>
      </c>
      <c r="D92" s="160">
        <v>50</v>
      </c>
    </row>
    <row r="93" spans="2:4" ht="12.75" customHeight="1">
      <c r="B93" s="160" t="s">
        <v>1523</v>
      </c>
      <c r="D93" s="160">
        <v>815</v>
      </c>
    </row>
    <row r="94" spans="2:4" ht="12.75" customHeight="1">
      <c r="B94" s="160" t="s">
        <v>1170</v>
      </c>
      <c r="D94" s="160">
        <v>51</v>
      </c>
    </row>
    <row r="95" spans="2:4" ht="12.75" customHeight="1">
      <c r="B95" s="160" t="s">
        <v>1171</v>
      </c>
      <c r="D95" s="160">
        <v>52</v>
      </c>
    </row>
    <row r="96" spans="2:4" ht="12.75" customHeight="1">
      <c r="B96" s="160" t="s">
        <v>1479</v>
      </c>
      <c r="D96" s="160">
        <v>635</v>
      </c>
    </row>
    <row r="97" spans="2:4" ht="12.75" customHeight="1">
      <c r="B97" s="160" t="s">
        <v>1172</v>
      </c>
      <c r="D97" s="160">
        <v>53</v>
      </c>
    </row>
    <row r="98" spans="2:4" ht="12.75" customHeight="1">
      <c r="B98" s="160" t="s">
        <v>1173</v>
      </c>
      <c r="D98" s="160">
        <v>54</v>
      </c>
    </row>
    <row r="99" spans="2:4" ht="12.75" customHeight="1">
      <c r="B99" s="160" t="s">
        <v>1174</v>
      </c>
      <c r="D99" s="160">
        <v>55</v>
      </c>
    </row>
    <row r="100" spans="2:4" ht="12.75" customHeight="1">
      <c r="B100" s="160" t="s">
        <v>1175</v>
      </c>
      <c r="D100" s="160">
        <v>56</v>
      </c>
    </row>
    <row r="101" spans="2:4" ht="12.75" customHeight="1">
      <c r="B101" s="160" t="s">
        <v>1176</v>
      </c>
      <c r="D101" s="160">
        <v>57</v>
      </c>
    </row>
    <row r="102" spans="2:4" ht="12.75" customHeight="1">
      <c r="B102" s="160" t="s">
        <v>1177</v>
      </c>
      <c r="D102" s="160">
        <v>58</v>
      </c>
    </row>
    <row r="103" spans="2:4" ht="12.75" customHeight="1">
      <c r="B103" s="160" t="s">
        <v>1178</v>
      </c>
      <c r="D103" s="160">
        <v>59</v>
      </c>
    </row>
    <row r="104" spans="2:4" ht="12.75" customHeight="1">
      <c r="B104" s="160" t="s">
        <v>1179</v>
      </c>
      <c r="D104" s="160">
        <v>60</v>
      </c>
    </row>
    <row r="105" spans="2:4" ht="12.75" customHeight="1">
      <c r="B105" s="160" t="s">
        <v>1044</v>
      </c>
      <c r="D105" s="160">
        <v>632</v>
      </c>
    </row>
    <row r="106" spans="2:4" ht="12.75" customHeight="1">
      <c r="B106" s="160" t="s">
        <v>1180</v>
      </c>
      <c r="D106" s="160">
        <v>61</v>
      </c>
    </row>
    <row r="107" spans="2:4" ht="12.75" customHeight="1">
      <c r="B107" s="160" t="s">
        <v>1181</v>
      </c>
      <c r="D107" s="160">
        <v>62</v>
      </c>
    </row>
    <row r="108" spans="2:4" ht="12.75" customHeight="1">
      <c r="B108" s="160" t="s">
        <v>1182</v>
      </c>
      <c r="D108" s="160">
        <v>63</v>
      </c>
    </row>
    <row r="109" spans="2:4" ht="12.75" customHeight="1">
      <c r="B109" s="160" t="s">
        <v>1183</v>
      </c>
      <c r="D109" s="160">
        <v>64</v>
      </c>
    </row>
    <row r="110" spans="2:4" ht="12.75" customHeight="1">
      <c r="B110" s="160" t="s">
        <v>1184</v>
      </c>
      <c r="D110" s="160">
        <v>65</v>
      </c>
    </row>
    <row r="111" spans="2:4" ht="12.75" customHeight="1">
      <c r="B111" s="160" t="s">
        <v>1185</v>
      </c>
      <c r="D111" s="160">
        <v>66</v>
      </c>
    </row>
    <row r="112" spans="2:4" ht="12.75" customHeight="1">
      <c r="B112" s="160" t="s">
        <v>1186</v>
      </c>
      <c r="D112" s="160">
        <v>67</v>
      </c>
    </row>
    <row r="113" spans="2:4" ht="12.75" customHeight="1">
      <c r="B113" s="160" t="s">
        <v>1480</v>
      </c>
      <c r="D113" s="160">
        <v>640</v>
      </c>
    </row>
    <row r="114" spans="2:4" ht="12.75" customHeight="1">
      <c r="B114" s="160" t="s">
        <v>1187</v>
      </c>
      <c r="D114" s="160">
        <v>68</v>
      </c>
    </row>
    <row r="115" spans="2:4" ht="12.75" customHeight="1">
      <c r="B115" s="160" t="s">
        <v>1188</v>
      </c>
      <c r="D115" s="160">
        <v>69</v>
      </c>
    </row>
    <row r="116" spans="2:4" ht="12.75" customHeight="1">
      <c r="B116" s="160" t="s">
        <v>1189</v>
      </c>
      <c r="D116" s="160">
        <v>70</v>
      </c>
    </row>
    <row r="117" spans="2:4" ht="12.75" customHeight="1">
      <c r="B117" s="160" t="s">
        <v>1190</v>
      </c>
      <c r="D117" s="160">
        <v>71</v>
      </c>
    </row>
    <row r="118" spans="2:4" ht="12.75" customHeight="1">
      <c r="B118" s="160" t="s">
        <v>1191</v>
      </c>
      <c r="D118" s="160">
        <v>72</v>
      </c>
    </row>
    <row r="119" spans="2:4" ht="12.75" customHeight="1">
      <c r="B119" s="160" t="s">
        <v>1192</v>
      </c>
      <c r="D119" s="160">
        <v>73</v>
      </c>
    </row>
    <row r="120" spans="2:4" ht="12.75" customHeight="1">
      <c r="B120" s="160" t="s">
        <v>1193</v>
      </c>
      <c r="D120" s="160">
        <v>74</v>
      </c>
    </row>
    <row r="121" spans="2:4" ht="12.75" customHeight="1">
      <c r="B121" s="160" t="s">
        <v>1194</v>
      </c>
      <c r="D121" s="160">
        <v>75</v>
      </c>
    </row>
    <row r="122" spans="2:4" ht="12.75" customHeight="1">
      <c r="B122" s="160" t="s">
        <v>1481</v>
      </c>
      <c r="D122" s="160">
        <v>645</v>
      </c>
    </row>
    <row r="123" spans="2:4" ht="12.75" customHeight="1">
      <c r="B123" s="160" t="s">
        <v>1195</v>
      </c>
      <c r="D123" s="160">
        <v>76</v>
      </c>
    </row>
    <row r="124" spans="2:4" ht="12.75" customHeight="1">
      <c r="B124" s="160" t="s">
        <v>1482</v>
      </c>
      <c r="D124" s="160">
        <v>650</v>
      </c>
    </row>
    <row r="125" spans="2:4" ht="12.75" customHeight="1">
      <c r="B125" s="160" t="s">
        <v>1196</v>
      </c>
      <c r="D125" s="160">
        <v>77</v>
      </c>
    </row>
    <row r="126" spans="2:4" ht="12.75" customHeight="1">
      <c r="B126" s="160" t="s">
        <v>1197</v>
      </c>
      <c r="D126" s="160">
        <v>78</v>
      </c>
    </row>
    <row r="127" spans="2:4" ht="12.75" customHeight="1">
      <c r="B127" s="160" t="s">
        <v>1483</v>
      </c>
      <c r="D127" s="160">
        <v>655</v>
      </c>
    </row>
    <row r="128" spans="2:4" ht="12.75" customHeight="1">
      <c r="B128" s="160" t="s">
        <v>1198</v>
      </c>
      <c r="D128" s="160">
        <v>79</v>
      </c>
    </row>
    <row r="129" spans="2:4" ht="12.75" customHeight="1">
      <c r="B129" s="160" t="s">
        <v>1199</v>
      </c>
      <c r="D129" s="160">
        <v>80</v>
      </c>
    </row>
    <row r="130" spans="2:4" ht="12.75" customHeight="1">
      <c r="B130" s="160" t="s">
        <v>1484</v>
      </c>
      <c r="D130" s="160">
        <v>658</v>
      </c>
    </row>
    <row r="131" spans="2:4" ht="12.75" customHeight="1">
      <c r="B131" s="160" t="s">
        <v>1200</v>
      </c>
      <c r="D131" s="160">
        <v>81</v>
      </c>
    </row>
    <row r="132" spans="2:4" ht="12.75" customHeight="1">
      <c r="B132" s="160" t="s">
        <v>1201</v>
      </c>
      <c r="D132" s="160">
        <v>82</v>
      </c>
    </row>
    <row r="133" spans="2:4" ht="12.75" customHeight="1">
      <c r="B133" s="160" t="s">
        <v>1202</v>
      </c>
      <c r="D133" s="160">
        <v>83</v>
      </c>
    </row>
    <row r="134" spans="2:4" ht="12.75" customHeight="1">
      <c r="B134" s="160" t="s">
        <v>1203</v>
      </c>
      <c r="D134" s="160">
        <v>84</v>
      </c>
    </row>
    <row r="135" spans="2:4" ht="12.75" customHeight="1">
      <c r="B135" s="160" t="s">
        <v>1206</v>
      </c>
      <c r="D135" s="160">
        <v>87</v>
      </c>
    </row>
    <row r="136" spans="2:4" ht="12.75" customHeight="1">
      <c r="B136" s="160" t="s">
        <v>1204</v>
      </c>
      <c r="D136" s="160">
        <v>85</v>
      </c>
    </row>
    <row r="137" spans="2:4" ht="12.75" customHeight="1">
      <c r="B137" s="160" t="s">
        <v>1205</v>
      </c>
      <c r="D137" s="160">
        <v>86</v>
      </c>
    </row>
    <row r="138" spans="2:4" ht="12.75" customHeight="1">
      <c r="B138" s="160" t="s">
        <v>1207</v>
      </c>
      <c r="D138" s="160">
        <v>88</v>
      </c>
    </row>
    <row r="139" spans="2:4" ht="12.75" customHeight="1">
      <c r="B139" s="160" t="s">
        <v>1208</v>
      </c>
      <c r="D139" s="160">
        <v>89</v>
      </c>
    </row>
    <row r="140" spans="2:4" ht="12.75" customHeight="1">
      <c r="B140" s="160" t="s">
        <v>1209</v>
      </c>
      <c r="D140" s="160">
        <v>90</v>
      </c>
    </row>
    <row r="141" spans="2:4" ht="12.75" customHeight="1">
      <c r="B141" s="160" t="s">
        <v>1210</v>
      </c>
      <c r="D141" s="160">
        <v>91</v>
      </c>
    </row>
    <row r="142" spans="2:4" ht="12.75" customHeight="1">
      <c r="B142" s="160" t="s">
        <v>1211</v>
      </c>
      <c r="D142" s="160">
        <v>92</v>
      </c>
    </row>
    <row r="143" spans="2:4" ht="12.75" customHeight="1">
      <c r="B143" s="160" t="s">
        <v>1097</v>
      </c>
      <c r="D143" s="160">
        <v>817</v>
      </c>
    </row>
    <row r="144" spans="2:4" ht="12.75" customHeight="1">
      <c r="B144" s="160" t="s">
        <v>1212</v>
      </c>
      <c r="D144" s="160">
        <v>93</v>
      </c>
    </row>
    <row r="145" spans="2:4" ht="12.75" customHeight="1">
      <c r="B145" s="160" t="s">
        <v>1213</v>
      </c>
      <c r="D145" s="160">
        <v>94</v>
      </c>
    </row>
    <row r="146" spans="2:4" ht="12.75" customHeight="1">
      <c r="B146" s="160" t="s">
        <v>1214</v>
      </c>
      <c r="D146" s="160">
        <v>95</v>
      </c>
    </row>
    <row r="147" spans="2:4" ht="12.75" customHeight="1">
      <c r="B147" s="160" t="s">
        <v>1215</v>
      </c>
      <c r="D147" s="160">
        <v>96</v>
      </c>
    </row>
    <row r="148" spans="2:4" ht="12.75" customHeight="1">
      <c r="B148" s="160" t="s">
        <v>1052</v>
      </c>
      <c r="D148" s="160">
        <v>662</v>
      </c>
    </row>
    <row r="149" spans="2:4" ht="12.75" customHeight="1">
      <c r="B149" s="160" t="s">
        <v>1216</v>
      </c>
      <c r="D149" s="160">
        <v>97</v>
      </c>
    </row>
    <row r="150" spans="2:4" ht="12.75" customHeight="1">
      <c r="B150" s="160" t="s">
        <v>1217</v>
      </c>
      <c r="D150" s="160">
        <v>98</v>
      </c>
    </row>
    <row r="151" spans="2:4" ht="12.75" customHeight="1">
      <c r="B151" s="160" t="s">
        <v>1218</v>
      </c>
      <c r="D151" s="160">
        <v>99</v>
      </c>
    </row>
    <row r="152" spans="2:4" ht="12.75" customHeight="1">
      <c r="B152" s="160" t="s">
        <v>1219</v>
      </c>
      <c r="D152" s="160">
        <v>100</v>
      </c>
    </row>
    <row r="153" spans="2:4" ht="12.75" customHeight="1">
      <c r="B153" s="160" t="s">
        <v>1220</v>
      </c>
      <c r="D153" s="160">
        <v>101</v>
      </c>
    </row>
    <row r="154" spans="2:4" ht="12.75" customHeight="1">
      <c r="B154" s="160" t="s">
        <v>1524</v>
      </c>
      <c r="D154" s="160">
        <v>818</v>
      </c>
    </row>
    <row r="155" spans="2:4" ht="12.75" customHeight="1">
      <c r="B155" s="160" t="s">
        <v>1221</v>
      </c>
      <c r="D155" s="160">
        <v>102</v>
      </c>
    </row>
    <row r="156" spans="2:4" ht="12.75" customHeight="1">
      <c r="B156" s="160" t="s">
        <v>1486</v>
      </c>
      <c r="D156" s="160">
        <v>665</v>
      </c>
    </row>
    <row r="157" spans="2:4" ht="12.75" customHeight="1">
      <c r="B157" s="160" t="s">
        <v>1487</v>
      </c>
      <c r="D157" s="160">
        <v>670</v>
      </c>
    </row>
    <row r="158" spans="2:4" ht="12.75" customHeight="1">
      <c r="B158" s="160" t="s">
        <v>1222</v>
      </c>
      <c r="D158" s="160">
        <v>103</v>
      </c>
    </row>
    <row r="159" spans="2:4" ht="12.75" customHeight="1">
      <c r="B159" s="160" t="s">
        <v>1488</v>
      </c>
      <c r="D159" s="160">
        <v>672</v>
      </c>
    </row>
    <row r="160" spans="2:4" ht="12.75" customHeight="1">
      <c r="B160" s="160" t="s">
        <v>1223</v>
      </c>
      <c r="D160" s="160">
        <v>105</v>
      </c>
    </row>
    <row r="161" spans="2:4" ht="12.75" customHeight="1">
      <c r="B161" s="160" t="s">
        <v>1224</v>
      </c>
      <c r="D161" s="160">
        <v>106</v>
      </c>
    </row>
    <row r="162" spans="2:4" ht="12.75" customHeight="1">
      <c r="B162" s="160" t="s">
        <v>1490</v>
      </c>
      <c r="D162" s="160">
        <v>674</v>
      </c>
    </row>
    <row r="163" spans="2:4" ht="12.75" customHeight="1">
      <c r="B163" s="160" t="s">
        <v>1225</v>
      </c>
      <c r="D163" s="160">
        <v>107</v>
      </c>
    </row>
    <row r="164" spans="2:4" ht="12.75" customHeight="1">
      <c r="B164" s="160" t="s">
        <v>1226</v>
      </c>
      <c r="D164" s="160">
        <v>108</v>
      </c>
    </row>
    <row r="165" spans="2:4" ht="12.75" customHeight="1">
      <c r="B165" s="160" t="s">
        <v>1227</v>
      </c>
      <c r="D165" s="160">
        <v>109</v>
      </c>
    </row>
    <row r="166" spans="2:4" ht="12.75" customHeight="1">
      <c r="B166" s="160" t="s">
        <v>1228</v>
      </c>
      <c r="D166" s="160">
        <v>110</v>
      </c>
    </row>
    <row r="167" spans="2:4" ht="12.75" customHeight="1">
      <c r="B167" s="160" t="s">
        <v>1229</v>
      </c>
      <c r="D167" s="160">
        <v>111</v>
      </c>
    </row>
    <row r="168" spans="2:4" ht="12.75" customHeight="1">
      <c r="B168" s="160" t="s">
        <v>1230</v>
      </c>
      <c r="D168" s="160">
        <v>112</v>
      </c>
    </row>
    <row r="169" spans="2:4" ht="12.75" customHeight="1">
      <c r="B169" s="160" t="s">
        <v>1231</v>
      </c>
      <c r="D169" s="160">
        <v>113</v>
      </c>
    </row>
    <row r="170" spans="2:4" ht="12.75" customHeight="1">
      <c r="B170" s="160" t="s">
        <v>1525</v>
      </c>
      <c r="D170" s="160">
        <v>821</v>
      </c>
    </row>
    <row r="171" spans="2:4" ht="12.75" customHeight="1">
      <c r="B171" s="160" t="s">
        <v>1526</v>
      </c>
      <c r="D171" s="160">
        <v>823</v>
      </c>
    </row>
    <row r="172" spans="2:4" ht="12.75" customHeight="1">
      <c r="B172" s="160" t="s">
        <v>1528</v>
      </c>
      <c r="D172" s="160">
        <v>828</v>
      </c>
    </row>
    <row r="173" spans="2:4" ht="12.75" customHeight="1">
      <c r="B173" s="160" t="s">
        <v>1527</v>
      </c>
      <c r="D173" s="160">
        <v>825</v>
      </c>
    </row>
    <row r="174" spans="2:4" ht="12.75" customHeight="1">
      <c r="B174" s="160" t="s">
        <v>1232</v>
      </c>
      <c r="D174" s="160">
        <v>114</v>
      </c>
    </row>
    <row r="175" spans="2:4" ht="12.75" customHeight="1">
      <c r="B175" s="160" t="s">
        <v>1233</v>
      </c>
      <c r="D175" s="160">
        <v>115</v>
      </c>
    </row>
    <row r="176" spans="2:4" ht="12.75" customHeight="1">
      <c r="B176" s="160" t="s">
        <v>1489</v>
      </c>
      <c r="D176" s="160">
        <v>673</v>
      </c>
    </row>
    <row r="177" spans="2:4" ht="12.75" customHeight="1">
      <c r="B177" s="160" t="s">
        <v>1234</v>
      </c>
      <c r="D177" s="160">
        <v>116</v>
      </c>
    </row>
    <row r="178" spans="2:4" ht="12.75" customHeight="1">
      <c r="B178" s="160" t="s">
        <v>1235</v>
      </c>
      <c r="D178" s="160">
        <v>117</v>
      </c>
    </row>
    <row r="179" spans="2:4" ht="12.75" customHeight="1">
      <c r="B179" s="160" t="s">
        <v>1236</v>
      </c>
      <c r="D179" s="160">
        <v>118</v>
      </c>
    </row>
    <row r="180" spans="2:4" ht="12.75" customHeight="1">
      <c r="B180" s="160" t="s">
        <v>1237</v>
      </c>
      <c r="D180" s="160">
        <v>119</v>
      </c>
    </row>
    <row r="181" spans="2:4" ht="12.75" customHeight="1">
      <c r="B181" s="160" t="s">
        <v>1491</v>
      </c>
      <c r="D181" s="160">
        <v>675</v>
      </c>
    </row>
    <row r="182" spans="2:4" ht="12.75" customHeight="1">
      <c r="B182" s="160" t="s">
        <v>1238</v>
      </c>
      <c r="D182" s="160">
        <v>120</v>
      </c>
    </row>
    <row r="183" spans="2:4" ht="12.75" customHeight="1">
      <c r="B183" s="160" t="s">
        <v>1492</v>
      </c>
      <c r="D183" s="160">
        <v>680</v>
      </c>
    </row>
    <row r="184" spans="2:4" ht="12.75" customHeight="1">
      <c r="B184" s="160" t="s">
        <v>1493</v>
      </c>
      <c r="D184" s="160">
        <v>683</v>
      </c>
    </row>
    <row r="185" spans="2:4" ht="12.75" customHeight="1">
      <c r="B185" s="160" t="s">
        <v>1239</v>
      </c>
      <c r="D185" s="160">
        <v>121</v>
      </c>
    </row>
    <row r="186" spans="2:4" ht="12.75" customHeight="1">
      <c r="B186" s="160" t="s">
        <v>1240</v>
      </c>
      <c r="D186" s="160">
        <v>122</v>
      </c>
    </row>
    <row r="187" spans="2:4" ht="12.75" customHeight="1">
      <c r="B187" s="160" t="s">
        <v>1241</v>
      </c>
      <c r="D187" s="160">
        <v>123</v>
      </c>
    </row>
    <row r="188" spans="2:4" ht="12.75" customHeight="1">
      <c r="B188" s="160" t="s">
        <v>1242</v>
      </c>
      <c r="D188" s="160">
        <v>124</v>
      </c>
    </row>
    <row r="189" spans="2:4" ht="12.75" customHeight="1">
      <c r="B189" s="160" t="s">
        <v>1243</v>
      </c>
      <c r="D189" s="160">
        <v>125</v>
      </c>
    </row>
    <row r="190" spans="2:4" ht="12.75" customHeight="1">
      <c r="B190" s="160" t="s">
        <v>1244</v>
      </c>
      <c r="D190" s="160">
        <v>126</v>
      </c>
    </row>
    <row r="191" spans="2:4" ht="12.75" customHeight="1">
      <c r="B191" s="160" t="s">
        <v>1245</v>
      </c>
      <c r="D191" s="160">
        <v>127</v>
      </c>
    </row>
    <row r="192" spans="2:4" ht="12.75" customHeight="1">
      <c r="B192" s="160" t="s">
        <v>1246</v>
      </c>
      <c r="D192" s="160">
        <v>128</v>
      </c>
    </row>
    <row r="193" spans="2:4" ht="12.75" customHeight="1">
      <c r="B193" s="160" t="s">
        <v>1494</v>
      </c>
      <c r="D193" s="160">
        <v>685</v>
      </c>
    </row>
    <row r="194" spans="2:4" ht="12.75" customHeight="1">
      <c r="B194" s="160" t="s">
        <v>1247</v>
      </c>
      <c r="D194" s="160">
        <v>129</v>
      </c>
    </row>
    <row r="195" spans="2:4" ht="12.75" customHeight="1">
      <c r="B195" s="160" t="s">
        <v>1248</v>
      </c>
      <c r="D195" s="160">
        <v>130</v>
      </c>
    </row>
    <row r="196" spans="2:4" ht="12.75" customHeight="1">
      <c r="B196" s="160" t="s">
        <v>1249</v>
      </c>
      <c r="D196" s="160">
        <v>131</v>
      </c>
    </row>
    <row r="197" spans="2:4" ht="12.75" customHeight="1">
      <c r="B197" s="160" t="s">
        <v>1250</v>
      </c>
      <c r="D197" s="160">
        <v>132</v>
      </c>
    </row>
    <row r="198" spans="2:4" ht="12.75" customHeight="1">
      <c r="B198" s="160" t="s">
        <v>1251</v>
      </c>
      <c r="D198" s="160">
        <v>133</v>
      </c>
    </row>
    <row r="199" spans="2:4" ht="12.75" customHeight="1">
      <c r="B199" s="160" t="s">
        <v>1252</v>
      </c>
      <c r="D199" s="160">
        <v>134</v>
      </c>
    </row>
    <row r="200" spans="2:4" ht="12.75" customHeight="1">
      <c r="B200" s="160" t="s">
        <v>1253</v>
      </c>
      <c r="D200" s="160">
        <v>135</v>
      </c>
    </row>
    <row r="201" spans="2:4" ht="12.75" customHeight="1">
      <c r="B201" s="160" t="s">
        <v>1254</v>
      </c>
      <c r="D201" s="160">
        <v>136</v>
      </c>
    </row>
    <row r="202" spans="2:4" ht="12.75" customHeight="1">
      <c r="B202" s="160" t="s">
        <v>1255</v>
      </c>
      <c r="D202" s="160">
        <v>137</v>
      </c>
    </row>
    <row r="203" spans="2:4" ht="12.75" customHeight="1">
      <c r="B203" s="160" t="s">
        <v>2176</v>
      </c>
      <c r="D203" s="160">
        <v>603</v>
      </c>
    </row>
    <row r="204" spans="2:4" ht="12.75" customHeight="1">
      <c r="B204" s="160" t="s">
        <v>1256</v>
      </c>
      <c r="D204" s="160">
        <v>138</v>
      </c>
    </row>
    <row r="205" spans="2:4" ht="12.75" customHeight="1">
      <c r="B205" s="160" t="s">
        <v>1257</v>
      </c>
      <c r="D205" s="160">
        <v>139</v>
      </c>
    </row>
    <row r="206" spans="2:4" ht="12.75" customHeight="1">
      <c r="B206" s="160" t="s">
        <v>1258</v>
      </c>
      <c r="D206" s="160">
        <v>140</v>
      </c>
    </row>
    <row r="207" spans="2:4" ht="12.75" customHeight="1">
      <c r="B207" s="160" t="s">
        <v>1259</v>
      </c>
      <c r="D207" s="160">
        <v>141</v>
      </c>
    </row>
    <row r="208" spans="2:4" ht="12.75" customHeight="1">
      <c r="B208" s="160" t="s">
        <v>1260</v>
      </c>
      <c r="D208" s="160">
        <v>142</v>
      </c>
    </row>
    <row r="209" spans="2:4" ht="12.75" customHeight="1">
      <c r="B209" s="160" t="s">
        <v>1261</v>
      </c>
      <c r="D209" s="160">
        <v>143</v>
      </c>
    </row>
    <row r="210" spans="2:4" ht="12.75" customHeight="1">
      <c r="B210" s="160" t="s">
        <v>1262</v>
      </c>
      <c r="D210" s="160">
        <v>144</v>
      </c>
    </row>
    <row r="211" spans="2:4" ht="12.75" customHeight="1">
      <c r="B211" s="160" t="s">
        <v>1495</v>
      </c>
      <c r="D211" s="160">
        <v>690</v>
      </c>
    </row>
    <row r="212" spans="2:4" ht="12.75" customHeight="1">
      <c r="B212" s="160" t="s">
        <v>1263</v>
      </c>
      <c r="D212" s="160">
        <v>145</v>
      </c>
    </row>
    <row r="213" spans="2:4" ht="12.75" customHeight="1">
      <c r="B213" s="160" t="s">
        <v>1264</v>
      </c>
      <c r="D213" s="160">
        <v>146</v>
      </c>
    </row>
    <row r="214" spans="2:4" ht="12.75" customHeight="1">
      <c r="B214" s="160" t="s">
        <v>1265</v>
      </c>
      <c r="D214" s="160">
        <v>147</v>
      </c>
    </row>
    <row r="215" spans="2:4" ht="12.75" customHeight="1">
      <c r="B215" s="160" t="s">
        <v>1266</v>
      </c>
      <c r="D215" s="160">
        <v>148</v>
      </c>
    </row>
    <row r="216" spans="2:4" ht="12.75" customHeight="1">
      <c r="B216" s="160" t="s">
        <v>1267</v>
      </c>
      <c r="D216" s="160">
        <v>149</v>
      </c>
    </row>
    <row r="217" spans="2:4" ht="12.75" customHeight="1">
      <c r="B217" s="160" t="s">
        <v>1268</v>
      </c>
      <c r="D217" s="160">
        <v>150</v>
      </c>
    </row>
    <row r="218" spans="2:4" ht="12.75" customHeight="1">
      <c r="B218" s="160" t="s">
        <v>1269</v>
      </c>
      <c r="D218" s="160">
        <v>151</v>
      </c>
    </row>
    <row r="219" spans="2:4" ht="12.75" customHeight="1">
      <c r="B219" s="160" t="s">
        <v>1270</v>
      </c>
      <c r="D219" s="160">
        <v>152</v>
      </c>
    </row>
    <row r="220" spans="2:4" ht="12.75" customHeight="1">
      <c r="B220" s="160" t="s">
        <v>1271</v>
      </c>
      <c r="D220" s="160">
        <v>153</v>
      </c>
    </row>
    <row r="221" spans="2:4" ht="12.75" customHeight="1">
      <c r="B221" s="160" t="s">
        <v>1272</v>
      </c>
      <c r="D221" s="160">
        <v>154</v>
      </c>
    </row>
    <row r="222" spans="2:4" ht="12.75" customHeight="1">
      <c r="B222" s="160" t="s">
        <v>1273</v>
      </c>
      <c r="D222" s="160">
        <v>155</v>
      </c>
    </row>
    <row r="223" spans="2:4" ht="12.75" customHeight="1">
      <c r="B223" s="160" t="s">
        <v>1274</v>
      </c>
      <c r="D223" s="160">
        <v>156</v>
      </c>
    </row>
    <row r="224" spans="2:4" ht="12.75" customHeight="1">
      <c r="B224" s="160" t="s">
        <v>1275</v>
      </c>
      <c r="D224" s="160">
        <v>157</v>
      </c>
    </row>
    <row r="225" spans="2:4" ht="12.75" customHeight="1">
      <c r="B225" s="160" t="s">
        <v>1496</v>
      </c>
      <c r="D225" s="160">
        <v>695</v>
      </c>
    </row>
    <row r="226" spans="2:4" ht="12.75" customHeight="1">
      <c r="B226" s="160" t="s">
        <v>1276</v>
      </c>
      <c r="D226" s="160">
        <v>158</v>
      </c>
    </row>
    <row r="227" spans="2:4" ht="12.75" customHeight="1">
      <c r="B227" s="160" t="s">
        <v>1277</v>
      </c>
      <c r="D227" s="160">
        <v>159</v>
      </c>
    </row>
    <row r="228" spans="2:4" ht="12.75" customHeight="1">
      <c r="B228" s="160" t="s">
        <v>1278</v>
      </c>
      <c r="D228" s="160">
        <v>160</v>
      </c>
    </row>
    <row r="229" spans="2:4" ht="12.75" customHeight="1">
      <c r="B229" s="160" t="s">
        <v>1279</v>
      </c>
      <c r="D229" s="160">
        <v>161</v>
      </c>
    </row>
    <row r="230" spans="2:4" ht="12.75" customHeight="1">
      <c r="B230" s="160" t="s">
        <v>1280</v>
      </c>
      <c r="D230" s="160">
        <v>162</v>
      </c>
    </row>
    <row r="231" spans="2:4" ht="12.75" customHeight="1">
      <c r="B231" s="160" t="s">
        <v>1281</v>
      </c>
      <c r="D231" s="160">
        <v>163</v>
      </c>
    </row>
    <row r="232" spans="2:4" ht="12.75" customHeight="1">
      <c r="B232" s="160" t="s">
        <v>1282</v>
      </c>
      <c r="D232" s="160">
        <v>164</v>
      </c>
    </row>
    <row r="233" spans="2:4" ht="12.75" customHeight="1">
      <c r="B233" s="160" t="s">
        <v>1283</v>
      </c>
      <c r="D233" s="160">
        <v>165</v>
      </c>
    </row>
    <row r="234" spans="2:4" ht="12.75" customHeight="1">
      <c r="B234" s="160" t="s">
        <v>1284</v>
      </c>
      <c r="D234" s="160">
        <v>166</v>
      </c>
    </row>
    <row r="235" spans="2:4" ht="12.75" customHeight="1">
      <c r="B235" s="160" t="s">
        <v>1064</v>
      </c>
      <c r="D235" s="160">
        <v>698</v>
      </c>
    </row>
    <row r="236" spans="2:4" ht="12.75" customHeight="1">
      <c r="B236" s="160" t="s">
        <v>1285</v>
      </c>
      <c r="D236" s="160">
        <v>167</v>
      </c>
    </row>
    <row r="237" spans="2:4" ht="12.75" customHeight="1">
      <c r="B237" s="160" t="s">
        <v>1286</v>
      </c>
      <c r="D237" s="160">
        <v>168</v>
      </c>
    </row>
    <row r="238" spans="2:4" ht="12.75" customHeight="1">
      <c r="B238" s="160" t="s">
        <v>1287</v>
      </c>
      <c r="D238" s="160">
        <v>169</v>
      </c>
    </row>
    <row r="239" spans="2:4" ht="12.75" customHeight="1">
      <c r="B239" s="160" t="s">
        <v>1288</v>
      </c>
      <c r="D239" s="160">
        <v>170</v>
      </c>
    </row>
    <row r="240" spans="2:4" ht="12.75" customHeight="1">
      <c r="B240" s="160" t="s">
        <v>1289</v>
      </c>
      <c r="D240" s="160">
        <v>171</v>
      </c>
    </row>
    <row r="241" spans="2:4" ht="12.75" customHeight="1">
      <c r="B241" s="160" t="s">
        <v>1497</v>
      </c>
      <c r="D241" s="160">
        <v>700</v>
      </c>
    </row>
    <row r="242" spans="2:4" ht="12.75" customHeight="1">
      <c r="B242" s="160" t="s">
        <v>1498</v>
      </c>
      <c r="D242" s="160">
        <v>705</v>
      </c>
    </row>
    <row r="243" spans="2:4" ht="12.75" customHeight="1">
      <c r="B243" s="160" t="s">
        <v>1290</v>
      </c>
      <c r="D243" s="160">
        <v>172</v>
      </c>
    </row>
    <row r="244" spans="2:4" ht="12.75" customHeight="1">
      <c r="B244" s="160" t="s">
        <v>1291</v>
      </c>
      <c r="D244" s="160">
        <v>173</v>
      </c>
    </row>
    <row r="245" spans="2:4" ht="12.75" customHeight="1">
      <c r="B245" s="160" t="s">
        <v>1292</v>
      </c>
      <c r="D245" s="160">
        <v>174</v>
      </c>
    </row>
    <row r="246" spans="2:4" ht="12.75" customHeight="1">
      <c r="B246" s="160" t="s">
        <v>1293</v>
      </c>
      <c r="D246" s="160">
        <v>175</v>
      </c>
    </row>
    <row r="247" spans="2:4" ht="12.75" customHeight="1">
      <c r="B247" s="160" t="s">
        <v>1294</v>
      </c>
      <c r="D247" s="160">
        <v>176</v>
      </c>
    </row>
    <row r="248" spans="2:4" ht="12.75" customHeight="1">
      <c r="B248" s="160" t="s">
        <v>1295</v>
      </c>
      <c r="D248" s="160">
        <v>177</v>
      </c>
    </row>
    <row r="249" spans="2:4" ht="12.75" customHeight="1">
      <c r="B249" s="160" t="s">
        <v>1296</v>
      </c>
      <c r="D249" s="160">
        <v>178</v>
      </c>
    </row>
    <row r="250" spans="2:4" ht="12.75" customHeight="1">
      <c r="B250" s="160" t="s">
        <v>1297</v>
      </c>
      <c r="D250" s="160">
        <v>179</v>
      </c>
    </row>
    <row r="251" spans="2:4" ht="12.75" customHeight="1">
      <c r="B251" s="160" t="s">
        <v>1499</v>
      </c>
      <c r="D251" s="160">
        <v>710</v>
      </c>
    </row>
    <row r="252" spans="2:4" ht="12.75" customHeight="1">
      <c r="B252" s="160" t="s">
        <v>1298</v>
      </c>
      <c r="D252" s="160">
        <v>180</v>
      </c>
    </row>
    <row r="253" spans="2:4" ht="12.75" customHeight="1">
      <c r="B253" s="160" t="s">
        <v>1299</v>
      </c>
      <c r="D253" s="160">
        <v>181</v>
      </c>
    </row>
    <row r="254" spans="2:4" ht="12.75" customHeight="1">
      <c r="B254" s="160" t="s">
        <v>1300</v>
      </c>
      <c r="D254" s="160">
        <v>182</v>
      </c>
    </row>
    <row r="255" spans="2:4" ht="12.75" customHeight="1">
      <c r="B255" s="160" t="s">
        <v>1301</v>
      </c>
      <c r="D255" s="160">
        <v>183</v>
      </c>
    </row>
    <row r="256" spans="2:4" ht="12.75" customHeight="1">
      <c r="B256" s="160" t="s">
        <v>1302</v>
      </c>
      <c r="D256" s="160">
        <v>184</v>
      </c>
    </row>
    <row r="257" spans="2:4" ht="12.75" customHeight="1">
      <c r="B257" s="160" t="s">
        <v>1303</v>
      </c>
      <c r="D257" s="160">
        <v>185</v>
      </c>
    </row>
    <row r="258" spans="2:4" ht="12.75" customHeight="1">
      <c r="B258" s="160" t="s">
        <v>1304</v>
      </c>
      <c r="D258" s="160">
        <v>186</v>
      </c>
    </row>
    <row r="259" spans="2:4" ht="12.75" customHeight="1">
      <c r="B259" s="160" t="s">
        <v>1305</v>
      </c>
      <c r="D259" s="160">
        <v>187</v>
      </c>
    </row>
    <row r="260" spans="2:4" ht="12.75" customHeight="1">
      <c r="B260" s="160" t="s">
        <v>1306</v>
      </c>
      <c r="D260" s="160">
        <v>188</v>
      </c>
    </row>
    <row r="261" spans="2:4" ht="12.75" customHeight="1">
      <c r="B261" s="160" t="s">
        <v>1307</v>
      </c>
      <c r="D261" s="160">
        <v>189</v>
      </c>
    </row>
    <row r="262" spans="2:4" ht="12.75" customHeight="1">
      <c r="B262" s="160" t="s">
        <v>1530</v>
      </c>
      <c r="D262" s="160">
        <v>830</v>
      </c>
    </row>
    <row r="263" spans="2:4" ht="12.75" customHeight="1">
      <c r="B263" s="160" t="s">
        <v>1501</v>
      </c>
      <c r="D263" s="160">
        <v>717</v>
      </c>
    </row>
    <row r="264" spans="2:4" ht="12.75" customHeight="1">
      <c r="B264" s="160" t="s">
        <v>1068</v>
      </c>
      <c r="D264" s="160">
        <v>712</v>
      </c>
    </row>
    <row r="265" spans="2:4" ht="12.75" customHeight="1">
      <c r="B265" s="160" t="s">
        <v>1308</v>
      </c>
      <c r="D265" s="160">
        <v>190</v>
      </c>
    </row>
    <row r="266" spans="2:4" ht="12.75" customHeight="1">
      <c r="B266" s="160" t="s">
        <v>1309</v>
      </c>
      <c r="D266" s="160">
        <v>191</v>
      </c>
    </row>
    <row r="267" spans="2:4" ht="12.75" customHeight="1">
      <c r="B267" s="160" t="s">
        <v>1531</v>
      </c>
      <c r="D267" s="160">
        <v>832</v>
      </c>
    </row>
    <row r="268" spans="2:4" ht="12.75" customHeight="1">
      <c r="B268" s="160" t="s">
        <v>1310</v>
      </c>
      <c r="D268" s="160">
        <v>192</v>
      </c>
    </row>
    <row r="269" spans="2:4" ht="12.75" customHeight="1">
      <c r="B269" s="160" t="s">
        <v>1311</v>
      </c>
      <c r="D269" s="160">
        <v>193</v>
      </c>
    </row>
    <row r="270" spans="2:4" ht="12.75" customHeight="1">
      <c r="B270" s="160" t="s">
        <v>1312</v>
      </c>
      <c r="D270" s="160">
        <v>194</v>
      </c>
    </row>
    <row r="271" spans="2:4" ht="12.75" customHeight="1">
      <c r="B271" s="160" t="s">
        <v>1500</v>
      </c>
      <c r="D271" s="160">
        <v>715</v>
      </c>
    </row>
    <row r="272" spans="2:4" ht="12.75" customHeight="1">
      <c r="B272" s="160" t="s">
        <v>1313</v>
      </c>
      <c r="D272" s="160">
        <v>195</v>
      </c>
    </row>
    <row r="273" spans="2:4" ht="12.75" customHeight="1">
      <c r="B273" s="160" t="s">
        <v>1314</v>
      </c>
      <c r="D273" s="160">
        <v>196</v>
      </c>
    </row>
    <row r="274" spans="2:4" ht="12.75" customHeight="1">
      <c r="B274" s="160" t="s">
        <v>1315</v>
      </c>
      <c r="D274" s="160">
        <v>197</v>
      </c>
    </row>
    <row r="275" spans="2:4" ht="12.75" customHeight="1">
      <c r="B275" s="160" t="s">
        <v>1502</v>
      </c>
      <c r="D275" s="160">
        <v>720</v>
      </c>
    </row>
    <row r="276" spans="2:4" ht="12.75" customHeight="1">
      <c r="B276" s="160" t="s">
        <v>1503</v>
      </c>
      <c r="D276" s="160">
        <v>725</v>
      </c>
    </row>
    <row r="277" spans="2:4" ht="12.75" customHeight="1">
      <c r="B277" s="160" t="s">
        <v>1533</v>
      </c>
      <c r="D277" s="160">
        <v>852</v>
      </c>
    </row>
    <row r="278" spans="2:4" ht="12.75" customHeight="1">
      <c r="B278" s="160" t="s">
        <v>1316</v>
      </c>
      <c r="D278" s="160">
        <v>198</v>
      </c>
    </row>
    <row r="279" spans="2:4" ht="12.75" customHeight="1">
      <c r="B279" s="160" t="s">
        <v>1485</v>
      </c>
      <c r="D279" s="160">
        <v>660</v>
      </c>
    </row>
    <row r="280" spans="2:4" ht="12.75" customHeight="1">
      <c r="B280" s="160" t="s">
        <v>1317</v>
      </c>
      <c r="D280" s="160">
        <v>199</v>
      </c>
    </row>
    <row r="281" spans="2:4" ht="12.75" customHeight="1">
      <c r="B281" s="160" t="s">
        <v>1318</v>
      </c>
      <c r="D281" s="160">
        <v>200</v>
      </c>
    </row>
    <row r="282" spans="2:4" ht="12.75" customHeight="1">
      <c r="B282" s="160" t="s">
        <v>1319</v>
      </c>
      <c r="D282" s="160">
        <v>201</v>
      </c>
    </row>
    <row r="283" spans="2:4" ht="12.75" customHeight="1">
      <c r="B283" s="160" t="s">
        <v>1320</v>
      </c>
      <c r="D283" s="160">
        <v>202</v>
      </c>
    </row>
    <row r="284" spans="2:4" ht="12.75" customHeight="1">
      <c r="B284" s="160" t="s">
        <v>1323</v>
      </c>
      <c r="D284" s="160">
        <v>205</v>
      </c>
    </row>
    <row r="285" spans="2:4" ht="12.75" customHeight="1">
      <c r="B285" s="160" t="s">
        <v>1324</v>
      </c>
      <c r="D285" s="160">
        <v>206</v>
      </c>
    </row>
    <row r="286" spans="2:4" ht="12.75" customHeight="1">
      <c r="B286" s="160" t="s">
        <v>1504</v>
      </c>
      <c r="D286" s="160">
        <v>728</v>
      </c>
    </row>
    <row r="287" spans="2:4" ht="12.75" customHeight="1">
      <c r="B287" s="160" t="s">
        <v>1321</v>
      </c>
      <c r="D287" s="160">
        <v>203</v>
      </c>
    </row>
    <row r="288" spans="2:4" ht="12.75" customHeight="1">
      <c r="B288" s="160" t="s">
        <v>1322</v>
      </c>
      <c r="D288" s="160">
        <v>204</v>
      </c>
    </row>
    <row r="289" spans="2:4" ht="12.75" customHeight="1">
      <c r="B289" s="160" t="s">
        <v>1325</v>
      </c>
      <c r="D289" s="160">
        <v>207</v>
      </c>
    </row>
    <row r="290" spans="2:4" ht="12.75" customHeight="1">
      <c r="B290" s="160" t="s">
        <v>1326</v>
      </c>
      <c r="D290" s="160">
        <v>208</v>
      </c>
    </row>
    <row r="291" spans="2:4" ht="12.75" customHeight="1">
      <c r="B291" s="160" t="s">
        <v>1545</v>
      </c>
      <c r="D291" s="160">
        <v>915</v>
      </c>
    </row>
    <row r="292" spans="2:4" ht="12.75" customHeight="1">
      <c r="B292" s="160" t="s">
        <v>1327</v>
      </c>
      <c r="D292" s="160">
        <v>209</v>
      </c>
    </row>
    <row r="293" spans="2:4" ht="12.75" customHeight="1">
      <c r="B293" s="160" t="s">
        <v>1329</v>
      </c>
      <c r="D293" s="160">
        <v>211</v>
      </c>
    </row>
    <row r="294" spans="2:4" ht="12.75" customHeight="1">
      <c r="B294" s="160" t="s">
        <v>1330</v>
      </c>
      <c r="D294" s="160">
        <v>212</v>
      </c>
    </row>
    <row r="295" spans="2:4" ht="12.75" customHeight="1">
      <c r="B295" s="160" t="s">
        <v>1333</v>
      </c>
      <c r="D295" s="160">
        <v>215</v>
      </c>
    </row>
    <row r="296" spans="2:4" ht="12.75" customHeight="1">
      <c r="B296" s="160" t="s">
        <v>1506</v>
      </c>
      <c r="D296" s="160">
        <v>735</v>
      </c>
    </row>
    <row r="297" spans="2:4" ht="12.75" customHeight="1">
      <c r="B297" s="160" t="s">
        <v>1335</v>
      </c>
      <c r="D297" s="160">
        <v>217</v>
      </c>
    </row>
    <row r="298" spans="2:4" ht="12.75" customHeight="1">
      <c r="B298" s="160" t="s">
        <v>1328</v>
      </c>
      <c r="D298" s="160">
        <v>210</v>
      </c>
    </row>
    <row r="299" spans="2:4" ht="12.75" customHeight="1">
      <c r="B299" s="160" t="s">
        <v>1469</v>
      </c>
      <c r="D299" s="160">
        <v>406</v>
      </c>
    </row>
    <row r="300" spans="2:4" ht="12.75" customHeight="1">
      <c r="B300" s="160" t="s">
        <v>1505</v>
      </c>
      <c r="D300" s="160">
        <v>730</v>
      </c>
    </row>
    <row r="301" spans="2:4" ht="12.75" customHeight="1">
      <c r="B301" s="160" t="s">
        <v>1331</v>
      </c>
      <c r="D301" s="160">
        <v>213</v>
      </c>
    </row>
    <row r="302" spans="2:4" ht="12.75" customHeight="1">
      <c r="B302" s="160" t="s">
        <v>1332</v>
      </c>
      <c r="D302" s="160">
        <v>214</v>
      </c>
    </row>
    <row r="303" spans="2:4" ht="12.75" customHeight="1">
      <c r="B303" s="160" t="s">
        <v>1534</v>
      </c>
      <c r="D303" s="160">
        <v>853</v>
      </c>
    </row>
    <row r="304" spans="2:4" ht="12.75" customHeight="1">
      <c r="B304" s="160" t="s">
        <v>1532</v>
      </c>
      <c r="D304" s="160">
        <v>851</v>
      </c>
    </row>
    <row r="305" spans="2:4" ht="12.75" customHeight="1">
      <c r="B305" s="160" t="s">
        <v>1334</v>
      </c>
      <c r="D305" s="160">
        <v>216</v>
      </c>
    </row>
    <row r="306" spans="2:4" ht="12.75" customHeight="1">
      <c r="B306" s="160" t="s">
        <v>1336</v>
      </c>
      <c r="D306" s="160">
        <v>218</v>
      </c>
    </row>
    <row r="307" spans="2:4" ht="12.75" customHeight="1">
      <c r="B307" s="160" t="s">
        <v>1337</v>
      </c>
      <c r="D307" s="160">
        <v>219</v>
      </c>
    </row>
    <row r="308" spans="2:4" ht="12.75" customHeight="1">
      <c r="B308" s="160" t="s">
        <v>1338</v>
      </c>
      <c r="D308" s="160">
        <v>220</v>
      </c>
    </row>
    <row r="309" spans="2:4" ht="12.75" customHeight="1">
      <c r="B309" s="160" t="s">
        <v>1339</v>
      </c>
      <c r="D309" s="160">
        <v>221</v>
      </c>
    </row>
    <row r="310" spans="2:4" ht="12.75" customHeight="1">
      <c r="B310" s="160" t="s">
        <v>1340</v>
      </c>
      <c r="D310" s="160">
        <v>222</v>
      </c>
    </row>
    <row r="311" spans="2:4" ht="12.75" customHeight="1">
      <c r="B311" s="160" t="s">
        <v>1535</v>
      </c>
      <c r="D311" s="160">
        <v>855</v>
      </c>
    </row>
    <row r="312" spans="2:4" ht="12.75" customHeight="1">
      <c r="B312" s="160" t="s">
        <v>1507</v>
      </c>
      <c r="D312" s="160">
        <v>740</v>
      </c>
    </row>
    <row r="313" spans="2:4" ht="12.75" customHeight="1">
      <c r="B313" s="160" t="s">
        <v>1341</v>
      </c>
      <c r="D313" s="160">
        <v>223</v>
      </c>
    </row>
    <row r="314" spans="2:4" ht="12.75" customHeight="1">
      <c r="B314" s="160" t="s">
        <v>1342</v>
      </c>
      <c r="D314" s="160">
        <v>224</v>
      </c>
    </row>
    <row r="315" spans="2:4" ht="12.75" customHeight="1">
      <c r="B315" s="160" t="s">
        <v>1343</v>
      </c>
      <c r="D315" s="160">
        <v>225</v>
      </c>
    </row>
    <row r="316" spans="2:4" ht="12.75" customHeight="1">
      <c r="B316" s="160" t="s">
        <v>1344</v>
      </c>
      <c r="D316" s="160">
        <v>226</v>
      </c>
    </row>
    <row r="317" spans="2:4" ht="12.75" customHeight="1">
      <c r="B317" s="160" t="s">
        <v>1345</v>
      </c>
      <c r="D317" s="160">
        <v>227</v>
      </c>
    </row>
    <row r="318" spans="2:4" ht="12.75" customHeight="1">
      <c r="B318" s="160" t="s">
        <v>1536</v>
      </c>
      <c r="D318" s="160">
        <v>860</v>
      </c>
    </row>
    <row r="319" spans="2:4" ht="12.75" customHeight="1">
      <c r="B319" s="160" t="s">
        <v>1346</v>
      </c>
      <c r="D319" s="160">
        <v>228</v>
      </c>
    </row>
    <row r="320" spans="2:4" ht="12.75" customHeight="1">
      <c r="B320" s="160" t="s">
        <v>1347</v>
      </c>
      <c r="D320" s="160">
        <v>229</v>
      </c>
    </row>
    <row r="321" spans="2:4" ht="12.75" customHeight="1">
      <c r="B321" s="160" t="s">
        <v>1348</v>
      </c>
      <c r="D321" s="160">
        <v>230</v>
      </c>
    </row>
    <row r="322" spans="2:4" ht="12.75" customHeight="1">
      <c r="B322" s="160" t="s">
        <v>1349</v>
      </c>
      <c r="D322" s="160">
        <v>231</v>
      </c>
    </row>
    <row r="323" spans="2:4" ht="12.75" customHeight="1">
      <c r="B323" s="160" t="s">
        <v>1508</v>
      </c>
      <c r="D323" s="160">
        <v>745</v>
      </c>
    </row>
    <row r="324" spans="2:4" ht="12.75" customHeight="1">
      <c r="B324" s="160" t="s">
        <v>1350</v>
      </c>
      <c r="D324" s="160">
        <v>232</v>
      </c>
    </row>
    <row r="325" spans="2:4" ht="12.75" customHeight="1">
      <c r="B325" s="160" t="s">
        <v>1351</v>
      </c>
      <c r="D325" s="160">
        <v>233</v>
      </c>
    </row>
    <row r="326" spans="2:4" ht="12.75" customHeight="1">
      <c r="B326" s="160" t="s">
        <v>1352</v>
      </c>
      <c r="D326" s="160">
        <v>234</v>
      </c>
    </row>
    <row r="327" spans="2:4" ht="12.75" customHeight="1">
      <c r="B327" s="160" t="s">
        <v>1353</v>
      </c>
      <c r="D327" s="160">
        <v>235</v>
      </c>
    </row>
    <row r="328" spans="2:4" ht="12.75" customHeight="1">
      <c r="B328" s="160" t="s">
        <v>1509</v>
      </c>
      <c r="D328" s="160">
        <v>750</v>
      </c>
    </row>
    <row r="329" spans="2:4" ht="12.75" customHeight="1">
      <c r="B329" s="160" t="s">
        <v>1354</v>
      </c>
      <c r="D329" s="160">
        <v>236</v>
      </c>
    </row>
    <row r="330" spans="2:4" ht="12.75" customHeight="1">
      <c r="B330" s="160" t="s">
        <v>1355</v>
      </c>
      <c r="D330" s="160">
        <v>237</v>
      </c>
    </row>
    <row r="331" spans="2:4" ht="12.75" customHeight="1">
      <c r="B331" s="160" t="s">
        <v>1356</v>
      </c>
      <c r="D331" s="160">
        <v>238</v>
      </c>
    </row>
    <row r="332" spans="2:4" ht="12.75" customHeight="1">
      <c r="B332" s="160" t="s">
        <v>1357</v>
      </c>
      <c r="D332" s="160">
        <v>239</v>
      </c>
    </row>
    <row r="333" spans="2:4" ht="12.75" customHeight="1">
      <c r="B333" s="160" t="s">
        <v>1358</v>
      </c>
      <c r="D333" s="160">
        <v>240</v>
      </c>
    </row>
    <row r="334" spans="2:4" ht="12.75" customHeight="1">
      <c r="B334" s="160" t="s">
        <v>1359</v>
      </c>
      <c r="D334" s="160">
        <v>241</v>
      </c>
    </row>
    <row r="335" spans="2:4" ht="12.75" customHeight="1">
      <c r="B335" s="160" t="s">
        <v>1360</v>
      </c>
      <c r="D335" s="160">
        <v>242</v>
      </c>
    </row>
    <row r="336" spans="2:4" ht="12.75" customHeight="1">
      <c r="B336" s="160" t="s">
        <v>1510</v>
      </c>
      <c r="D336" s="160">
        <v>753</v>
      </c>
    </row>
    <row r="337" spans="2:4" ht="12.75" customHeight="1">
      <c r="B337" s="160" t="s">
        <v>1090</v>
      </c>
      <c r="D337" s="160">
        <v>778</v>
      </c>
    </row>
    <row r="338" spans="2:4" ht="12.75" customHeight="1">
      <c r="B338" s="160" t="s">
        <v>1361</v>
      </c>
      <c r="D338" s="160">
        <v>243</v>
      </c>
    </row>
    <row r="339" spans="2:4" ht="12.75" customHeight="1">
      <c r="B339" s="160" t="s">
        <v>1511</v>
      </c>
      <c r="D339" s="160">
        <v>755</v>
      </c>
    </row>
    <row r="340" spans="2:4" ht="12.75" customHeight="1">
      <c r="B340" s="160" t="s">
        <v>1362</v>
      </c>
      <c r="D340" s="160">
        <v>244</v>
      </c>
    </row>
    <row r="341" spans="2:4" ht="12.75" customHeight="1">
      <c r="B341" s="160" t="s">
        <v>1363</v>
      </c>
      <c r="D341" s="160">
        <v>245</v>
      </c>
    </row>
    <row r="342" spans="2:4" ht="12.75" customHeight="1">
      <c r="B342" s="160" t="s">
        <v>1364</v>
      </c>
      <c r="D342" s="160">
        <v>246</v>
      </c>
    </row>
    <row r="343" spans="2:4" ht="12.75" customHeight="1">
      <c r="B343" s="160" t="s">
        <v>1365</v>
      </c>
      <c r="D343" s="160">
        <v>247</v>
      </c>
    </row>
    <row r="344" spans="2:4" ht="12.75" customHeight="1">
      <c r="B344" s="160" t="s">
        <v>1366</v>
      </c>
      <c r="D344" s="160">
        <v>248</v>
      </c>
    </row>
    <row r="345" spans="2:4" ht="12.75" customHeight="1">
      <c r="B345" s="160" t="s">
        <v>1367</v>
      </c>
      <c r="D345" s="160">
        <v>249</v>
      </c>
    </row>
    <row r="346" spans="2:4" ht="12.75" customHeight="1">
      <c r="B346" s="160" t="s">
        <v>1368</v>
      </c>
      <c r="D346" s="160">
        <v>250</v>
      </c>
    </row>
    <row r="347" spans="2:4" ht="12.75" customHeight="1">
      <c r="B347" s="160" t="s">
        <v>1369</v>
      </c>
      <c r="D347" s="160">
        <v>251</v>
      </c>
    </row>
    <row r="348" spans="2:4" ht="12.75" customHeight="1">
      <c r="B348" s="160" t="s">
        <v>1370</v>
      </c>
      <c r="D348" s="160">
        <v>252</v>
      </c>
    </row>
    <row r="349" spans="2:4" ht="12.75" customHeight="1">
      <c r="B349" s="160" t="s">
        <v>1371</v>
      </c>
      <c r="D349" s="160">
        <v>253</v>
      </c>
    </row>
    <row r="350" spans="2:4" ht="12.75" customHeight="1">
      <c r="B350" s="160" t="s">
        <v>1372</v>
      </c>
      <c r="D350" s="160">
        <v>254</v>
      </c>
    </row>
    <row r="351" spans="2:4" ht="12.75" customHeight="1">
      <c r="B351" s="160" t="s">
        <v>1373</v>
      </c>
      <c r="D351" s="160">
        <v>255</v>
      </c>
    </row>
    <row r="352" spans="2:4" ht="12.75" customHeight="1">
      <c r="B352" s="160" t="s">
        <v>1374</v>
      </c>
      <c r="D352" s="160">
        <v>256</v>
      </c>
    </row>
    <row r="353" spans="2:4" ht="12.75" customHeight="1">
      <c r="B353" s="160" t="s">
        <v>1375</v>
      </c>
      <c r="D353" s="160">
        <v>257</v>
      </c>
    </row>
    <row r="354" spans="2:4" ht="12.75" customHeight="1">
      <c r="B354" s="160" t="s">
        <v>1376</v>
      </c>
      <c r="D354" s="160">
        <v>258</v>
      </c>
    </row>
    <row r="355" spans="2:4" ht="12.75" customHeight="1">
      <c r="B355" s="160" t="s">
        <v>1377</v>
      </c>
      <c r="D355" s="160">
        <v>259</v>
      </c>
    </row>
    <row r="356" spans="2:4" ht="12.75" customHeight="1">
      <c r="B356" s="160" t="s">
        <v>1378</v>
      </c>
      <c r="D356" s="160">
        <v>260</v>
      </c>
    </row>
    <row r="357" spans="2:4" ht="12.75" customHeight="1">
      <c r="B357" s="160" t="s">
        <v>1379</v>
      </c>
      <c r="D357" s="160">
        <v>261</v>
      </c>
    </row>
    <row r="358" spans="2:4" ht="12.75" customHeight="1">
      <c r="B358" s="160" t="s">
        <v>1380</v>
      </c>
      <c r="D358" s="160">
        <v>262</v>
      </c>
    </row>
    <row r="359" spans="2:4" ht="12.75" customHeight="1">
      <c r="B359" s="160" t="s">
        <v>1381</v>
      </c>
      <c r="D359" s="160">
        <v>263</v>
      </c>
    </row>
    <row r="360" spans="2:4" ht="12.75" customHeight="1">
      <c r="B360" s="160" t="s">
        <v>1382</v>
      </c>
      <c r="D360" s="160">
        <v>264</v>
      </c>
    </row>
    <row r="361" spans="2:4" ht="12.75" customHeight="1">
      <c r="B361" s="160" t="s">
        <v>1383</v>
      </c>
      <c r="D361" s="160">
        <v>265</v>
      </c>
    </row>
    <row r="362" spans="2:4" ht="12.75" customHeight="1">
      <c r="B362" s="160" t="s">
        <v>1384</v>
      </c>
      <c r="D362" s="160">
        <v>266</v>
      </c>
    </row>
    <row r="363" spans="2:4" ht="12.75" customHeight="1">
      <c r="B363" s="160" t="s">
        <v>1537</v>
      </c>
      <c r="D363" s="160">
        <v>871</v>
      </c>
    </row>
    <row r="364" spans="2:4" ht="12.75" customHeight="1">
      <c r="B364" s="160" t="s">
        <v>1385</v>
      </c>
      <c r="D364" s="160">
        <v>267</v>
      </c>
    </row>
    <row r="365" spans="2:4" ht="12.75" customHeight="1">
      <c r="B365" s="160" t="s">
        <v>1386</v>
      </c>
      <c r="D365" s="160">
        <v>268</v>
      </c>
    </row>
    <row r="366" spans="2:4" ht="12.75" customHeight="1">
      <c r="B366" s="160" t="s">
        <v>1387</v>
      </c>
      <c r="D366" s="160">
        <v>269</v>
      </c>
    </row>
    <row r="367" spans="2:4" ht="12.75" customHeight="1">
      <c r="B367" s="160" t="s">
        <v>1388</v>
      </c>
      <c r="D367" s="160">
        <v>270</v>
      </c>
    </row>
    <row r="368" spans="2:4" ht="12.75" customHeight="1">
      <c r="B368" s="160" t="s">
        <v>1389</v>
      </c>
      <c r="D368" s="160">
        <v>271</v>
      </c>
    </row>
    <row r="369" spans="2:4" ht="12.75" customHeight="1">
      <c r="B369" s="160" t="s">
        <v>1390</v>
      </c>
      <c r="D369" s="160">
        <v>272</v>
      </c>
    </row>
    <row r="370" spans="2:4" ht="12.75" customHeight="1">
      <c r="B370" s="160" t="s">
        <v>1512</v>
      </c>
      <c r="D370" s="160">
        <v>760</v>
      </c>
    </row>
    <row r="371" spans="2:4" ht="12.75" customHeight="1">
      <c r="B371" s="160" t="s">
        <v>1391</v>
      </c>
      <c r="D371" s="160">
        <v>273</v>
      </c>
    </row>
    <row r="372" spans="2:4" ht="12.75" customHeight="1">
      <c r="B372" s="160" t="s">
        <v>1082</v>
      </c>
      <c r="D372" s="160">
        <v>763</v>
      </c>
    </row>
    <row r="373" spans="2:4" ht="12.75" customHeight="1">
      <c r="B373" s="160" t="s">
        <v>1392</v>
      </c>
      <c r="D373" s="160">
        <v>274</v>
      </c>
    </row>
    <row r="374" spans="2:4" ht="12.75" customHeight="1">
      <c r="B374" s="160" t="s">
        <v>1396</v>
      </c>
      <c r="D374" s="160">
        <v>278</v>
      </c>
    </row>
    <row r="375" spans="2:4" ht="12.75" customHeight="1">
      <c r="B375" s="160" t="s">
        <v>1529</v>
      </c>
      <c r="D375" s="160">
        <v>829</v>
      </c>
    </row>
    <row r="376" spans="2:4" ht="12.75" customHeight="1">
      <c r="B376" s="160" t="s">
        <v>1539</v>
      </c>
      <c r="D376" s="160">
        <v>873</v>
      </c>
    </row>
    <row r="377" spans="2:4" ht="12.75" customHeight="1">
      <c r="B377" s="160" t="s">
        <v>1393</v>
      </c>
      <c r="D377" s="160">
        <v>275</v>
      </c>
    </row>
    <row r="378" spans="2:4" ht="12.75" customHeight="1">
      <c r="B378" s="160" t="s">
        <v>1394</v>
      </c>
      <c r="D378" s="160">
        <v>276</v>
      </c>
    </row>
    <row r="379" spans="2:4" ht="12.75" customHeight="1">
      <c r="B379" s="160" t="s">
        <v>1395</v>
      </c>
      <c r="D379" s="160">
        <v>277</v>
      </c>
    </row>
    <row r="380" spans="2:4" ht="12.75" customHeight="1">
      <c r="B380" s="160" t="s">
        <v>1538</v>
      </c>
      <c r="D380" s="160">
        <v>872</v>
      </c>
    </row>
    <row r="381" spans="2:4" ht="12.75" customHeight="1">
      <c r="B381" s="160" t="s">
        <v>1513</v>
      </c>
      <c r="D381" s="160">
        <v>765</v>
      </c>
    </row>
    <row r="382" spans="2:4" ht="12.75" customHeight="1">
      <c r="B382" s="160" t="s">
        <v>1540</v>
      </c>
      <c r="D382" s="160">
        <v>876</v>
      </c>
    </row>
    <row r="383" spans="2:4" ht="12.75" customHeight="1">
      <c r="B383" s="160" t="s">
        <v>1397</v>
      </c>
      <c r="D383" s="160">
        <v>279</v>
      </c>
    </row>
    <row r="384" spans="2:4" ht="12.75" customHeight="1">
      <c r="B384" s="160" t="s">
        <v>1084</v>
      </c>
      <c r="D384" s="160">
        <v>766</v>
      </c>
    </row>
    <row r="385" spans="2:4" ht="12.75" customHeight="1">
      <c r="B385" s="160" t="s">
        <v>1398</v>
      </c>
      <c r="D385" s="160">
        <v>280</v>
      </c>
    </row>
    <row r="386" spans="2:4" ht="12.75" customHeight="1">
      <c r="B386" s="160" t="s">
        <v>1514</v>
      </c>
      <c r="D386" s="160">
        <v>767</v>
      </c>
    </row>
    <row r="387" spans="2:4" ht="12.75" customHeight="1">
      <c r="B387" s="160" t="s">
        <v>1399</v>
      </c>
      <c r="D387" s="160">
        <v>281</v>
      </c>
    </row>
    <row r="388" spans="2:4" ht="12.75" customHeight="1">
      <c r="B388" s="160" t="s">
        <v>1400</v>
      </c>
      <c r="D388" s="160">
        <v>282</v>
      </c>
    </row>
    <row r="389" spans="2:4" ht="12.75" customHeight="1">
      <c r="B389" s="160" t="s">
        <v>1401</v>
      </c>
      <c r="D389" s="160">
        <v>283</v>
      </c>
    </row>
    <row r="390" spans="2:4" ht="12.75" customHeight="1">
      <c r="B390" s="160" t="s">
        <v>1402</v>
      </c>
      <c r="D390" s="160">
        <v>284</v>
      </c>
    </row>
    <row r="391" spans="2:4" ht="12.75" customHeight="1">
      <c r="B391" s="160" t="s">
        <v>1403</v>
      </c>
      <c r="D391" s="160">
        <v>285</v>
      </c>
    </row>
    <row r="392" spans="2:4" ht="12.75" customHeight="1">
      <c r="B392" s="160" t="s">
        <v>1404</v>
      </c>
      <c r="D392" s="160">
        <v>286</v>
      </c>
    </row>
    <row r="393" spans="2:4" ht="12.75" customHeight="1">
      <c r="B393" s="160" t="s">
        <v>1405</v>
      </c>
      <c r="D393" s="160">
        <v>287</v>
      </c>
    </row>
    <row r="394" spans="2:4" ht="12.75" customHeight="1">
      <c r="B394" s="160" t="s">
        <v>1406</v>
      </c>
      <c r="D394" s="160">
        <v>288</v>
      </c>
    </row>
    <row r="395" spans="2:4" ht="12.75" customHeight="1">
      <c r="B395" s="160" t="s">
        <v>1407</v>
      </c>
      <c r="D395" s="160">
        <v>289</v>
      </c>
    </row>
    <row r="396" spans="2:4" ht="12.75" customHeight="1">
      <c r="B396" s="160" t="s">
        <v>1408</v>
      </c>
      <c r="D396" s="160">
        <v>290</v>
      </c>
    </row>
    <row r="397" spans="2:4" ht="12.75" customHeight="1">
      <c r="B397" s="160" t="s">
        <v>1409</v>
      </c>
      <c r="D397" s="160">
        <v>291</v>
      </c>
    </row>
    <row r="398" spans="2:4" ht="12.75" customHeight="1">
      <c r="B398" s="160" t="s">
        <v>1410</v>
      </c>
      <c r="D398" s="160">
        <v>292</v>
      </c>
    </row>
    <row r="399" spans="2:4" ht="12.75" customHeight="1">
      <c r="B399" s="160" t="s">
        <v>1515</v>
      </c>
      <c r="D399" s="160">
        <v>770</v>
      </c>
    </row>
    <row r="400" spans="2:4" ht="12.75" customHeight="1">
      <c r="B400" s="160" t="s">
        <v>1411</v>
      </c>
      <c r="D400" s="160">
        <v>293</v>
      </c>
    </row>
    <row r="401" spans="2:4" ht="12.75" customHeight="1">
      <c r="B401" s="160" t="s">
        <v>1412</v>
      </c>
      <c r="D401" s="160">
        <v>294</v>
      </c>
    </row>
    <row r="402" spans="2:4" ht="12.75" customHeight="1">
      <c r="B402" s="160" t="s">
        <v>1413</v>
      </c>
      <c r="D402" s="160">
        <v>295</v>
      </c>
    </row>
    <row r="403" spans="2:4" ht="12.75" customHeight="1">
      <c r="B403" s="160" t="s">
        <v>1414</v>
      </c>
      <c r="D403" s="160">
        <v>296</v>
      </c>
    </row>
    <row r="404" spans="2:4" ht="12.75" customHeight="1">
      <c r="B404" s="160" t="s">
        <v>1415</v>
      </c>
      <c r="D404" s="160">
        <v>297</v>
      </c>
    </row>
    <row r="405" spans="2:4" ht="12.75" customHeight="1">
      <c r="B405" s="160" t="s">
        <v>1416</v>
      </c>
      <c r="D405" s="160">
        <v>298</v>
      </c>
    </row>
    <row r="406" spans="2:4" ht="12.75" customHeight="1">
      <c r="B406" s="160" t="s">
        <v>1417</v>
      </c>
      <c r="D406" s="160">
        <v>299</v>
      </c>
    </row>
    <row r="407" spans="2:4" ht="12.75" customHeight="1">
      <c r="B407" s="160" t="s">
        <v>1541</v>
      </c>
      <c r="D407" s="160">
        <v>878</v>
      </c>
    </row>
    <row r="408" spans="2:4" ht="12.75" customHeight="1">
      <c r="B408" s="160" t="s">
        <v>1516</v>
      </c>
      <c r="D408" s="160">
        <v>773</v>
      </c>
    </row>
    <row r="409" spans="2:4" ht="12.75" customHeight="1">
      <c r="B409" s="160" t="s">
        <v>1418</v>
      </c>
      <c r="D409" s="160">
        <v>300</v>
      </c>
    </row>
    <row r="410" spans="2:4" ht="12.75" customHeight="1">
      <c r="B410" s="160" t="s">
        <v>1419</v>
      </c>
      <c r="D410" s="160">
        <v>301</v>
      </c>
    </row>
    <row r="411" spans="2:4" ht="12.75" customHeight="1">
      <c r="B411" s="160" t="s">
        <v>1420</v>
      </c>
      <c r="D411" s="160">
        <v>302</v>
      </c>
    </row>
    <row r="412" spans="2:4" ht="12.75" customHeight="1">
      <c r="B412" s="160" t="s">
        <v>1088</v>
      </c>
      <c r="D412" s="160">
        <v>774</v>
      </c>
    </row>
    <row r="413" spans="2:4" ht="12.75" customHeight="1">
      <c r="B413" s="160" t="s">
        <v>1542</v>
      </c>
      <c r="D413" s="160">
        <v>879</v>
      </c>
    </row>
    <row r="414" spans="2:4" ht="12.75" customHeight="1">
      <c r="B414" s="160" t="s">
        <v>1421</v>
      </c>
      <c r="D414" s="160">
        <v>303</v>
      </c>
    </row>
    <row r="415" spans="2:4" ht="12.75" customHeight="1">
      <c r="B415" s="160" t="s">
        <v>1422</v>
      </c>
      <c r="D415" s="160">
        <v>304</v>
      </c>
    </row>
    <row r="416" spans="2:4" ht="12.75" customHeight="1">
      <c r="B416" s="160" t="s">
        <v>1517</v>
      </c>
      <c r="D416" s="160">
        <v>775</v>
      </c>
    </row>
    <row r="417" spans="2:4" ht="12.75" customHeight="1">
      <c r="B417" s="160" t="s">
        <v>1423</v>
      </c>
      <c r="D417" s="160">
        <v>305</v>
      </c>
    </row>
    <row r="418" spans="2:4" ht="12.75" customHeight="1">
      <c r="B418" s="160" t="s">
        <v>1424</v>
      </c>
      <c r="D418" s="160">
        <v>306</v>
      </c>
    </row>
    <row r="419" spans="2:4" ht="12.75" customHeight="1">
      <c r="B419" s="160" t="s">
        <v>1425</v>
      </c>
      <c r="D419" s="160">
        <v>307</v>
      </c>
    </row>
    <row r="420" spans="2:4" ht="12.75" customHeight="1">
      <c r="B420" s="160" t="s">
        <v>1426</v>
      </c>
      <c r="D420" s="160">
        <v>308</v>
      </c>
    </row>
    <row r="421" spans="2:4" ht="12.75" customHeight="1">
      <c r="B421" s="160" t="s">
        <v>1427</v>
      </c>
      <c r="D421" s="160">
        <v>309</v>
      </c>
    </row>
    <row r="422" spans="2:4" ht="12.75" customHeight="1">
      <c r="B422" s="160" t="s">
        <v>1428</v>
      </c>
      <c r="D422" s="160">
        <v>310</v>
      </c>
    </row>
    <row r="423" spans="2:4" ht="12.75" customHeight="1">
      <c r="B423" s="160" t="s">
        <v>1429</v>
      </c>
      <c r="D423" s="160">
        <v>311</v>
      </c>
    </row>
    <row r="424" spans="2:4" ht="12.75" customHeight="1">
      <c r="B424" s="160" t="s">
        <v>1430</v>
      </c>
      <c r="D424" s="160">
        <v>312</v>
      </c>
    </row>
    <row r="425" spans="2:4" ht="12.75" customHeight="1">
      <c r="B425" s="160" t="s">
        <v>1431</v>
      </c>
      <c r="D425" s="160">
        <v>313</v>
      </c>
    </row>
    <row r="426" spans="2:4" ht="12.75" customHeight="1">
      <c r="B426" s="160" t="s">
        <v>1432</v>
      </c>
      <c r="D426" s="160">
        <v>314</v>
      </c>
    </row>
    <row r="427" spans="2:4" ht="12.75" customHeight="1">
      <c r="B427" s="160" t="s">
        <v>1433</v>
      </c>
      <c r="D427" s="160">
        <v>315</v>
      </c>
    </row>
    <row r="428" spans="2:4" ht="12.75" customHeight="1">
      <c r="B428" s="160" t="s">
        <v>1434</v>
      </c>
      <c r="D428" s="160">
        <v>316</v>
      </c>
    </row>
    <row r="429" spans="2:4" ht="12.75" customHeight="1">
      <c r="B429" s="160" t="s">
        <v>1435</v>
      </c>
      <c r="D429" s="160">
        <v>317</v>
      </c>
    </row>
    <row r="430" spans="2:4" ht="12.75" customHeight="1">
      <c r="B430" s="160" t="s">
        <v>1436</v>
      </c>
      <c r="D430" s="160">
        <v>318</v>
      </c>
    </row>
    <row r="431" spans="2:4" ht="12.75" customHeight="1">
      <c r="B431" s="160" t="s">
        <v>1437</v>
      </c>
      <c r="D431" s="160">
        <v>319</v>
      </c>
    </row>
    <row r="432" spans="2:4" ht="12.75" customHeight="1">
      <c r="B432" s="160" t="s">
        <v>1438</v>
      </c>
      <c r="D432" s="160">
        <v>320</v>
      </c>
    </row>
    <row r="433" spans="2:4" ht="12.75" customHeight="1">
      <c r="B433" s="160" t="s">
        <v>1440</v>
      </c>
      <c r="D433" s="160">
        <v>322</v>
      </c>
    </row>
    <row r="434" spans="2:4" ht="12.75" customHeight="1">
      <c r="B434" s="160" t="s">
        <v>1441</v>
      </c>
      <c r="D434" s="160">
        <v>323</v>
      </c>
    </row>
    <row r="435" spans="2:4" ht="12.75" customHeight="1">
      <c r="B435" s="160" t="s">
        <v>1442</v>
      </c>
      <c r="D435" s="160">
        <v>324</v>
      </c>
    </row>
    <row r="436" spans="2:4" ht="12.75" customHeight="1">
      <c r="B436" s="160" t="s">
        <v>1447</v>
      </c>
      <c r="D436" s="160">
        <v>329</v>
      </c>
    </row>
    <row r="437" spans="2:4" ht="12.75" customHeight="1">
      <c r="B437" s="160" t="s">
        <v>1450</v>
      </c>
      <c r="D437" s="160">
        <v>332</v>
      </c>
    </row>
    <row r="438" spans="2:4" ht="12.75" customHeight="1">
      <c r="B438" s="160" t="s">
        <v>1451</v>
      </c>
      <c r="D438" s="160">
        <v>333</v>
      </c>
    </row>
    <row r="439" spans="2:4" ht="12.75" customHeight="1">
      <c r="B439" s="160" t="s">
        <v>1452</v>
      </c>
      <c r="D439" s="160">
        <v>334</v>
      </c>
    </row>
    <row r="440" spans="2:4" ht="12.75" customHeight="1">
      <c r="B440" s="160" t="s">
        <v>1439</v>
      </c>
      <c r="D440" s="160">
        <v>321</v>
      </c>
    </row>
    <row r="441" spans="2:4" ht="12.75" customHeight="1">
      <c r="B441" s="160" t="s">
        <v>1443</v>
      </c>
      <c r="D441" s="160">
        <v>325</v>
      </c>
    </row>
    <row r="442" spans="2:4" ht="12.75" customHeight="1">
      <c r="B442" s="160" t="s">
        <v>1444</v>
      </c>
      <c r="D442" s="160">
        <v>326</v>
      </c>
    </row>
    <row r="443" spans="2:4" ht="12.75" customHeight="1">
      <c r="B443" s="160" t="s">
        <v>1445</v>
      </c>
      <c r="D443" s="160">
        <v>327</v>
      </c>
    </row>
    <row r="444" spans="2:4" ht="12.75" customHeight="1">
      <c r="B444" s="160" t="s">
        <v>1446</v>
      </c>
      <c r="D444" s="160">
        <v>328</v>
      </c>
    </row>
    <row r="445" spans="2:4" ht="12.75" customHeight="1">
      <c r="B445" s="160" t="s">
        <v>1448</v>
      </c>
      <c r="D445" s="160">
        <v>330</v>
      </c>
    </row>
    <row r="446" spans="2:4" ht="12.75" customHeight="1">
      <c r="B446" s="160" t="s">
        <v>1449</v>
      </c>
      <c r="D446" s="160">
        <v>331</v>
      </c>
    </row>
    <row r="447" spans="2:4" ht="12.75" customHeight="1">
      <c r="B447" s="160" t="s">
        <v>1453</v>
      </c>
      <c r="D447" s="160">
        <v>335</v>
      </c>
    </row>
    <row r="448" spans="2:4" ht="12.75" customHeight="1">
      <c r="B448" s="160" t="s">
        <v>1454</v>
      </c>
      <c r="D448" s="160">
        <v>336</v>
      </c>
    </row>
    <row r="449" spans="2:4" ht="12.75" customHeight="1">
      <c r="B449" s="160" t="s">
        <v>1455</v>
      </c>
      <c r="D449" s="160">
        <v>337</v>
      </c>
    </row>
    <row r="450" spans="2:4" ht="12.75" customHeight="1">
      <c r="B450" s="160" t="s">
        <v>1456</v>
      </c>
      <c r="D450" s="160">
        <v>338</v>
      </c>
    </row>
    <row r="451" spans="2:4" ht="12.75" customHeight="1">
      <c r="B451" s="160" t="s">
        <v>1518</v>
      </c>
      <c r="D451" s="160">
        <v>780</v>
      </c>
    </row>
    <row r="452" spans="2:4" ht="12.75" customHeight="1">
      <c r="B452" s="160" t="s">
        <v>1543</v>
      </c>
      <c r="D452" s="160">
        <v>885</v>
      </c>
    </row>
    <row r="453" spans="2:4" ht="12.75" customHeight="1">
      <c r="B453" s="160" t="s">
        <v>1457</v>
      </c>
      <c r="D453" s="160">
        <v>339</v>
      </c>
    </row>
    <row r="454" spans="2:4" ht="12.75" customHeight="1">
      <c r="B454" s="160" t="s">
        <v>1458</v>
      </c>
      <c r="D454" s="160">
        <v>340</v>
      </c>
    </row>
    <row r="455" spans="2:4" ht="12.75" customHeight="1">
      <c r="B455" s="160" t="s">
        <v>1459</v>
      </c>
      <c r="D455" s="160">
        <v>341</v>
      </c>
    </row>
    <row r="456" spans="2:4" ht="12.75" customHeight="1">
      <c r="B456" s="160" t="s">
        <v>1460</v>
      </c>
      <c r="D456" s="160">
        <v>342</v>
      </c>
    </row>
    <row r="457" spans="2:4" ht="12.75" customHeight="1">
      <c r="B457" s="160" t="s">
        <v>1461</v>
      </c>
      <c r="D457" s="160">
        <v>343</v>
      </c>
    </row>
    <row r="458" spans="2:4" ht="12.75" customHeight="1">
      <c r="B458" s="160" t="s">
        <v>1462</v>
      </c>
      <c r="D458" s="160">
        <v>344</v>
      </c>
    </row>
    <row r="459" spans="2:4" ht="12.75" customHeight="1">
      <c r="B459" s="160" t="s">
        <v>1463</v>
      </c>
      <c r="D459" s="160">
        <v>345</v>
      </c>
    </row>
    <row r="460" spans="2:4" ht="12.75" customHeight="1">
      <c r="B460" s="160" t="s">
        <v>1464</v>
      </c>
      <c r="D460" s="160">
        <v>346</v>
      </c>
    </row>
    <row r="461" spans="2:4" ht="12.75" customHeight="1">
      <c r="B461" s="160" t="s">
        <v>1028</v>
      </c>
      <c r="D461" s="160">
        <v>347</v>
      </c>
    </row>
    <row r="462" spans="2:4" ht="12.75" customHeight="1">
      <c r="B462" s="160" t="s">
        <v>1465</v>
      </c>
      <c r="D462" s="160">
        <v>348</v>
      </c>
    </row>
    <row r="463" spans="2:4" ht="12.75" customHeight="1">
      <c r="B463" s="160" t="s">
        <v>1466</v>
      </c>
      <c r="D463" s="160">
        <v>349</v>
      </c>
    </row>
    <row r="464" spans="2:4" ht="12.75" customHeight="1">
      <c r="B464" s="160" t="s">
        <v>1467</v>
      </c>
      <c r="D464" s="160">
        <v>350</v>
      </c>
    </row>
    <row r="465" spans="1:4" ht="12.75" customHeight="1">
      <c r="B465" s="160" t="s">
        <v>1468</v>
      </c>
      <c r="D465" s="160">
        <v>351</v>
      </c>
    </row>
    <row r="466" spans="1:4" ht="12.75" customHeight="1">
      <c r="A466" s="160" t="s">
        <v>2580</v>
      </c>
    </row>
  </sheetData>
  <sortState xmlns:xlrd2="http://schemas.microsoft.com/office/spreadsheetml/2017/richdata2" ref="B28:D465">
    <sortCondition ref="B28:B465"/>
  </sortState>
  <phoneticPr fontId="0" type="noConversion"/>
  <dataValidations count="1">
    <dataValidation type="list" allowBlank="1" showInputMessage="1" showErrorMessage="1" sqref="B4" xr:uid="{00000000-0002-0000-0300-000000000000}">
      <formula1>lealist</formula1>
    </dataValidation>
  </dataValidations>
  <hyperlinks>
    <hyperlink ref="B12" location="Summary!A1" display="Summary" xr:uid="{00000000-0004-0000-0300-000000000000}"/>
    <hyperlink ref="D24" r:id="rId1" display="rodonnell@doe.mass.edu" xr:uid="{00000000-0004-0000-0300-000001000000}"/>
    <hyperlink ref="B15" location="'Regional Allocation'!A1" display="Regional Allocation" xr:uid="{00000000-0004-0000-0300-000003000000}"/>
    <hyperlink ref="B17" location="'Regional District Members'!A1" display="Regional District Detail" xr:uid="{00000000-0004-0000-0300-000004000000}"/>
    <hyperlink ref="B14" location="'municipal contribution'!A1" display="Municipal Contribution Requirement" xr:uid="{00000000-0004-0000-0300-000005000000}"/>
    <hyperlink ref="B13" location="'Foundation Budget'!A1" display="Foundation Budget" xr:uid="{00000000-0004-0000-0300-000006000000}"/>
    <hyperlink ref="D25" r:id="rId2" xr:uid="{6712931E-71A8-4365-939E-2FA3B0795274}"/>
  </hyperlinks>
  <pageMargins left="0.75" right="0.75" top="1" bottom="1" header="0.5" footer="0.5"/>
  <pageSetup orientation="portrait" r:id="rId3"/>
  <headerFooter alignWithMargins="0"/>
  <drawing r:id="rId4"/>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CX1784"/>
  <sheetViews>
    <sheetView showGridLines="0" workbookViewId="0">
      <pane xSplit="8" ySplit="9" topLeftCell="I10" activePane="bottomRight" state="frozen"/>
      <selection activeCell="C15" sqref="C15"/>
      <selection pane="topRight" activeCell="C15" sqref="C15"/>
      <selection pane="bottomLeft" activeCell="C15" sqref="C15"/>
      <selection pane="bottomRight" activeCell="C10" sqref="C10"/>
    </sheetView>
  </sheetViews>
  <sheetFormatPr defaultColWidth="9" defaultRowHeight="12.75"/>
  <cols>
    <col min="1" max="3" width="9" style="6"/>
    <col min="4" max="5" width="5.625" style="6" customWidth="1"/>
    <col min="6" max="6" width="15.125" style="6" customWidth="1"/>
    <col min="7" max="7" width="5.625" style="6" customWidth="1"/>
    <col min="8" max="8" width="17.375" style="6" customWidth="1"/>
    <col min="9" max="9" width="14.125" style="6" bestFit="1" customWidth="1"/>
    <col min="10" max="10" width="12.625" style="6" customWidth="1"/>
    <col min="11" max="11" width="14.125" style="6" bestFit="1" customWidth="1"/>
    <col min="12" max="16" width="12.625" style="6" customWidth="1"/>
    <col min="17" max="17" width="11.75" style="6" customWidth="1"/>
    <col min="18" max="19" width="12.625" style="6" customWidth="1"/>
    <col min="20" max="21" width="5.625" style="6" customWidth="1"/>
    <col min="22" max="22" width="9.625" style="6" customWidth="1"/>
    <col min="23" max="23" width="12.625" style="6" customWidth="1"/>
    <col min="24" max="24" width="14" style="6" customWidth="1"/>
    <col min="25" max="25" width="5.5" style="6" customWidth="1"/>
    <col min="26" max="26" width="10.5" style="6" bestFit="1" customWidth="1"/>
    <col min="27" max="27" width="4" style="6" bestFit="1" customWidth="1"/>
    <col min="28" max="28" width="5.625" style="6" bestFit="1" customWidth="1"/>
    <col min="29" max="29" width="9.75" style="6" bestFit="1" customWidth="1"/>
    <col min="30" max="30" width="14.25" style="6" customWidth="1"/>
    <col min="31" max="31" width="12.125" style="6" customWidth="1"/>
    <col min="32" max="32" width="9.5" style="6" customWidth="1"/>
    <col min="33" max="33" width="4" style="6" customWidth="1"/>
    <col min="34" max="34" width="5.625" style="6" customWidth="1"/>
    <col min="35" max="35" width="9.75" style="6" customWidth="1"/>
    <col min="36" max="36" width="14.125" style="6" customWidth="1"/>
    <col min="37" max="37" width="13.5" style="6" bestFit="1" customWidth="1"/>
    <col min="38" max="38" width="9.5" style="6" bestFit="1" customWidth="1"/>
    <col min="39" max="39" width="4" style="6" customWidth="1"/>
    <col min="40" max="40" width="5.625" style="6" customWidth="1"/>
    <col min="41" max="41" width="9.75" style="6" customWidth="1"/>
    <col min="42" max="42" width="14.125" style="6" customWidth="1"/>
    <col min="43" max="43" width="13.5" style="6" bestFit="1" customWidth="1"/>
    <col min="44" max="44" width="9.5" style="6" bestFit="1" customWidth="1"/>
    <col min="45" max="45" width="4" style="6" customWidth="1"/>
    <col min="46" max="46" width="5.625" style="6" customWidth="1"/>
    <col min="47" max="47" width="9.75" style="6" customWidth="1"/>
    <col min="48" max="48" width="14.125" style="6" customWidth="1"/>
    <col min="49" max="49" width="13.5" style="6" bestFit="1" customWidth="1"/>
    <col min="50" max="50" width="9.5" style="6" bestFit="1" customWidth="1"/>
    <col min="51" max="51" width="4" style="6" customWidth="1"/>
    <col min="52" max="52" width="5.625" style="6" customWidth="1"/>
    <col min="53" max="53" width="9.75" style="6" customWidth="1"/>
    <col min="54" max="54" width="14.125" style="6" customWidth="1"/>
    <col min="55" max="55" width="13.5" style="6" bestFit="1" customWidth="1"/>
    <col min="56" max="56" width="9.5" style="6" bestFit="1" customWidth="1"/>
    <col min="57" max="57" width="4" style="6" customWidth="1"/>
    <col min="58" max="58" width="5.625" style="6" customWidth="1"/>
    <col min="59" max="59" width="9.75" style="6" customWidth="1"/>
    <col min="60" max="60" width="14.125" style="6" customWidth="1"/>
    <col min="61" max="61" width="13.5" style="6" bestFit="1" customWidth="1"/>
    <col min="62" max="62" width="9.5" style="6" bestFit="1" customWidth="1"/>
    <col min="63" max="63" width="4" style="6" customWidth="1"/>
    <col min="64" max="64" width="5.625" style="6" customWidth="1"/>
    <col min="65" max="65" width="9.75" style="6" customWidth="1"/>
    <col min="66" max="66" width="14.125" style="6" customWidth="1"/>
    <col min="67" max="67" width="13.5" style="6" bestFit="1" customWidth="1"/>
    <col min="68" max="68" width="9.5" style="6" bestFit="1" customWidth="1"/>
    <col min="69" max="69" width="4" style="6" customWidth="1"/>
    <col min="70" max="70" width="5.625" style="6" customWidth="1"/>
    <col min="71" max="71" width="9.75" style="6" customWidth="1"/>
    <col min="72" max="72" width="14.125" style="6" customWidth="1"/>
    <col min="73" max="73" width="2.875" style="6" customWidth="1"/>
    <col min="74" max="74" width="9.5" style="6" bestFit="1" customWidth="1"/>
    <col min="75" max="75" width="4" style="6" customWidth="1"/>
    <col min="76" max="76" width="5.625" style="6" customWidth="1"/>
    <col min="77" max="77" width="9.75" style="6" customWidth="1"/>
    <col min="78" max="78" width="14" style="6" customWidth="1"/>
    <col min="79" max="79" width="2.75" style="6" customWidth="1"/>
    <col min="80" max="80" width="5.375" style="6" customWidth="1"/>
    <col min="81" max="81" width="4" style="6" customWidth="1"/>
    <col min="82" max="82" width="5.625" style="6" customWidth="1"/>
    <col min="83" max="83" width="9.75" style="6" customWidth="1"/>
    <col min="84" max="84" width="14.125" style="6" customWidth="1"/>
    <col min="85" max="85" width="3.5" style="6" customWidth="1"/>
    <col min="86" max="86" width="5.375" style="6" customWidth="1"/>
    <col min="87" max="87" width="4" style="6" customWidth="1"/>
    <col min="88" max="88" width="5.625" style="6" customWidth="1"/>
    <col min="89" max="90" width="15.625" style="6" customWidth="1"/>
    <col min="91" max="93" width="9" style="6" customWidth="1"/>
    <col min="94" max="99" width="9" style="6"/>
    <col min="100" max="100" width="12" style="6" bestFit="1" customWidth="1"/>
    <col min="101" max="101" width="10.375" style="6" bestFit="1" customWidth="1"/>
    <col min="102" max="102" width="11.125" style="6" bestFit="1" customWidth="1"/>
    <col min="103" max="16384" width="9" style="6"/>
  </cols>
  <sheetData>
    <row r="1" spans="1:102" s="82" customFormat="1" ht="14.25" customHeight="1">
      <c r="A1" s="83"/>
      <c r="B1" s="83"/>
      <c r="C1" s="83"/>
      <c r="D1" s="83"/>
      <c r="E1" s="83"/>
      <c r="F1" s="83"/>
      <c r="G1" s="83"/>
      <c r="H1" s="83"/>
      <c r="I1" s="305" t="s">
        <v>2315</v>
      </c>
      <c r="J1" s="305" t="s">
        <v>2315</v>
      </c>
      <c r="K1" s="83"/>
      <c r="L1" s="83"/>
      <c r="M1" s="83"/>
      <c r="N1" s="83"/>
      <c r="O1" s="305" t="s">
        <v>2315</v>
      </c>
      <c r="P1" s="83"/>
      <c r="Q1" s="83"/>
      <c r="R1" s="305" t="s">
        <v>2315</v>
      </c>
      <c r="S1" s="305"/>
      <c r="T1" s="83"/>
      <c r="U1" s="83"/>
      <c r="V1" s="83"/>
      <c r="W1" s="83"/>
      <c r="X1" s="83"/>
      <c r="Y1" s="83"/>
      <c r="Z1" s="305"/>
      <c r="AA1" s="83"/>
      <c r="AB1" s="83"/>
      <c r="AC1" s="83"/>
      <c r="AD1" s="83"/>
      <c r="AE1" s="83"/>
      <c r="AF1" s="305"/>
      <c r="AG1" s="83"/>
      <c r="AH1" s="83"/>
      <c r="AI1" s="83"/>
      <c r="AJ1" s="83"/>
      <c r="AK1" s="83"/>
      <c r="AL1" s="305"/>
      <c r="AM1" s="83"/>
      <c r="AN1" s="83"/>
      <c r="AO1" s="83"/>
      <c r="AP1" s="83"/>
      <c r="AQ1" s="83"/>
      <c r="AR1" s="305"/>
      <c r="AS1" s="83"/>
      <c r="AT1" s="83"/>
      <c r="AU1" s="83"/>
      <c r="AV1" s="83"/>
      <c r="AW1" s="83"/>
      <c r="AX1" s="305"/>
      <c r="AY1" s="83"/>
      <c r="AZ1" s="83"/>
      <c r="BA1" s="83"/>
      <c r="BB1" s="83"/>
      <c r="BC1" s="83"/>
      <c r="BD1" s="305"/>
      <c r="BE1" s="83"/>
      <c r="BF1" s="83"/>
      <c r="BG1" s="83"/>
      <c r="BH1" s="83"/>
      <c r="BI1" s="83"/>
      <c r="BJ1" s="305"/>
      <c r="BK1" s="83"/>
      <c r="BL1" s="83"/>
      <c r="BM1" s="83"/>
      <c r="BN1" s="83"/>
      <c r="BO1" s="83"/>
      <c r="BP1" s="305"/>
      <c r="BQ1" s="83"/>
      <c r="BR1" s="83"/>
      <c r="BS1" s="83"/>
      <c r="BT1" s="83"/>
      <c r="BU1" s="83"/>
      <c r="BV1" s="305"/>
      <c r="BW1" s="83"/>
      <c r="BX1" s="83"/>
      <c r="BY1" s="83"/>
      <c r="BZ1" s="83"/>
      <c r="CA1" s="83"/>
      <c r="CB1" s="83"/>
      <c r="CC1" s="83"/>
      <c r="CD1" s="83"/>
      <c r="CE1" s="83"/>
      <c r="CF1" s="83"/>
      <c r="CG1" s="83"/>
      <c r="CH1" s="83"/>
      <c r="CI1" s="83"/>
      <c r="CJ1" s="83"/>
      <c r="CM1" s="152" t="s">
        <v>1592</v>
      </c>
      <c r="CN1" s="207">
        <v>1</v>
      </c>
      <c r="CO1" s="207">
        <v>2</v>
      </c>
    </row>
    <row r="2" spans="1:102" ht="14.25" customHeight="1">
      <c r="I2" s="459"/>
      <c r="O2" s="459"/>
      <c r="V2" s="7"/>
      <c r="W2" s="84"/>
      <c r="Z2" s="212"/>
      <c r="AF2" s="16"/>
      <c r="CN2" s="207">
        <v>2</v>
      </c>
      <c r="CO2" s="207">
        <v>8</v>
      </c>
    </row>
    <row r="3" spans="1:102" s="7" customFormat="1" ht="26.25" customHeight="1">
      <c r="D3" s="55">
        <v>1</v>
      </c>
      <c r="E3" s="55">
        <v>2</v>
      </c>
      <c r="F3" s="55">
        <v>3</v>
      </c>
      <c r="G3" s="55">
        <v>4</v>
      </c>
      <c r="H3" s="55">
        <v>5</v>
      </c>
      <c r="I3" s="55">
        <v>6</v>
      </c>
      <c r="J3" s="55">
        <v>7</v>
      </c>
      <c r="K3" s="55">
        <v>8</v>
      </c>
      <c r="L3" s="55">
        <v>9</v>
      </c>
      <c r="M3" s="55">
        <v>10</v>
      </c>
      <c r="N3" s="55">
        <v>11</v>
      </c>
      <c r="O3" s="55">
        <v>12</v>
      </c>
      <c r="P3" s="55">
        <v>13</v>
      </c>
      <c r="Q3" s="55">
        <v>14</v>
      </c>
      <c r="R3" s="55">
        <v>15</v>
      </c>
      <c r="S3" s="55">
        <v>16</v>
      </c>
      <c r="T3" s="55">
        <v>17</v>
      </c>
      <c r="U3" s="55">
        <v>18</v>
      </c>
      <c r="V3" s="55">
        <v>19</v>
      </c>
      <c r="W3" s="55">
        <v>20</v>
      </c>
      <c r="X3" s="55">
        <v>21</v>
      </c>
      <c r="Y3" s="142">
        <v>1</v>
      </c>
      <c r="Z3" s="142"/>
      <c r="AA3" s="142"/>
      <c r="AB3" s="142"/>
      <c r="AC3" s="142"/>
      <c r="AD3" s="142"/>
      <c r="AE3" s="142"/>
      <c r="AF3" s="142"/>
      <c r="AG3" s="142"/>
      <c r="AH3" s="142"/>
      <c r="AI3" s="142"/>
      <c r="AJ3" s="142"/>
      <c r="AK3" s="142"/>
      <c r="AL3" s="142"/>
      <c r="AM3" s="142"/>
      <c r="AN3" s="142"/>
      <c r="AO3" s="142"/>
      <c r="AP3" s="142"/>
      <c r="AQ3" s="142"/>
      <c r="AR3" s="142"/>
      <c r="AS3" s="142"/>
      <c r="AT3" s="142"/>
      <c r="AU3" s="142"/>
      <c r="AV3" s="142"/>
      <c r="AW3" s="142"/>
      <c r="AX3" s="142"/>
      <c r="AY3" s="142"/>
      <c r="AZ3" s="142"/>
      <c r="BA3" s="142"/>
      <c r="BB3" s="142"/>
      <c r="BC3" s="142"/>
      <c r="BD3" s="142">
        <v>32</v>
      </c>
      <c r="BE3" s="142">
        <v>33</v>
      </c>
      <c r="BF3" s="142">
        <v>34</v>
      </c>
      <c r="BG3" s="142">
        <v>35</v>
      </c>
      <c r="BH3" s="142">
        <v>36</v>
      </c>
      <c r="BI3" s="142">
        <v>37</v>
      </c>
      <c r="BJ3" s="142">
        <v>38</v>
      </c>
      <c r="BK3" s="142">
        <v>39</v>
      </c>
      <c r="BL3" s="142">
        <v>40</v>
      </c>
      <c r="BM3" s="142">
        <v>41</v>
      </c>
      <c r="BN3" s="142">
        <v>42</v>
      </c>
      <c r="BO3" s="142">
        <v>43</v>
      </c>
      <c r="BP3" s="142">
        <v>44</v>
      </c>
      <c r="BQ3" s="142">
        <v>45</v>
      </c>
      <c r="BR3" s="142">
        <v>46</v>
      </c>
      <c r="BS3" s="142">
        <v>47</v>
      </c>
      <c r="BT3" s="142">
        <v>48</v>
      </c>
      <c r="BU3" s="142">
        <v>49</v>
      </c>
      <c r="BV3" s="142">
        <v>50</v>
      </c>
      <c r="BW3" s="142">
        <v>51</v>
      </c>
      <c r="BX3" s="142">
        <v>52</v>
      </c>
      <c r="BY3" s="142">
        <v>53</v>
      </c>
      <c r="BZ3" s="142">
        <v>54</v>
      </c>
      <c r="CA3" s="142">
        <v>55</v>
      </c>
      <c r="CB3" s="142">
        <v>56</v>
      </c>
      <c r="CC3" s="142">
        <v>57</v>
      </c>
      <c r="CD3" s="142">
        <v>58</v>
      </c>
      <c r="CE3" s="142">
        <v>59</v>
      </c>
      <c r="CF3" s="142">
        <v>60</v>
      </c>
      <c r="CG3" s="142">
        <v>61</v>
      </c>
      <c r="CH3" s="142">
        <v>62</v>
      </c>
      <c r="CI3" s="142">
        <v>63</v>
      </c>
      <c r="CJ3" s="142">
        <v>64</v>
      </c>
      <c r="CK3" s="142">
        <v>65</v>
      </c>
      <c r="CL3" s="142">
        <v>66</v>
      </c>
      <c r="CM3" s="142"/>
      <c r="CN3" s="207">
        <v>3</v>
      </c>
      <c r="CO3" s="207">
        <v>14</v>
      </c>
      <c r="CR3" s="142"/>
      <c r="CS3" s="142"/>
      <c r="CT3" s="142"/>
      <c r="CU3" s="142"/>
      <c r="CV3" s="142"/>
    </row>
    <row r="4" spans="1:102">
      <c r="E4" s="14"/>
      <c r="G4" s="14" t="s">
        <v>606</v>
      </c>
      <c r="K4" s="14" t="s">
        <v>608</v>
      </c>
      <c r="N4" s="14" t="s">
        <v>605</v>
      </c>
      <c r="O4" s="14" t="s">
        <v>2212</v>
      </c>
      <c r="P4" s="14"/>
      <c r="Q4" s="14"/>
      <c r="R4" s="14" t="s">
        <v>417</v>
      </c>
      <c r="S4" s="14"/>
      <c r="V4" s="14"/>
      <c r="W4" s="14" t="s">
        <v>609</v>
      </c>
      <c r="CN4" s="208">
        <v>4</v>
      </c>
      <c r="CO4" s="208">
        <v>20</v>
      </c>
    </row>
    <row r="5" spans="1:102" s="144" customFormat="1">
      <c r="I5" s="107"/>
      <c r="J5" s="107"/>
      <c r="K5" s="145"/>
      <c r="O5" s="107"/>
      <c r="R5" s="107"/>
      <c r="Z5" s="629">
        <v>1</v>
      </c>
      <c r="AA5" s="629"/>
      <c r="AB5" s="629"/>
      <c r="AC5" s="629"/>
      <c r="AD5" s="629"/>
      <c r="AE5" s="146"/>
      <c r="AF5" s="629">
        <v>2</v>
      </c>
      <c r="AG5" s="629"/>
      <c r="AH5" s="629"/>
      <c r="AI5" s="629"/>
      <c r="AJ5" s="629"/>
      <c r="AL5" s="629"/>
      <c r="AM5" s="629"/>
      <c r="AN5" s="629"/>
      <c r="AO5" s="629"/>
      <c r="AP5" s="629"/>
      <c r="AR5" s="629"/>
      <c r="AS5" s="629"/>
      <c r="AT5" s="629"/>
      <c r="AU5" s="629"/>
      <c r="AV5" s="629"/>
      <c r="AX5" s="629"/>
      <c r="AY5" s="629"/>
      <c r="AZ5" s="629"/>
      <c r="BA5" s="629"/>
      <c r="BB5" s="629"/>
      <c r="BD5" s="629">
        <v>6</v>
      </c>
      <c r="BE5" s="629"/>
      <c r="BF5" s="629"/>
      <c r="BG5" s="629"/>
      <c r="BH5" s="629"/>
      <c r="BJ5" s="629">
        <v>7</v>
      </c>
      <c r="BK5" s="629"/>
      <c r="BL5" s="629"/>
      <c r="BM5" s="629"/>
      <c r="BN5" s="629"/>
      <c r="BP5" s="629">
        <v>8</v>
      </c>
      <c r="BQ5" s="629"/>
      <c r="BR5" s="629"/>
      <c r="BS5" s="629"/>
      <c r="BT5" s="629"/>
      <c r="BV5" s="629">
        <v>9</v>
      </c>
      <c r="BW5" s="629"/>
      <c r="BX5" s="629"/>
      <c r="BY5" s="629"/>
      <c r="BZ5" s="629"/>
      <c r="CB5" s="629">
        <v>10</v>
      </c>
      <c r="CC5" s="629"/>
      <c r="CD5" s="629"/>
      <c r="CE5" s="629"/>
      <c r="CF5" s="629"/>
      <c r="CH5" s="629">
        <v>11</v>
      </c>
      <c r="CI5" s="629"/>
      <c r="CJ5" s="629"/>
      <c r="CK5" s="629"/>
      <c r="CL5" s="629"/>
      <c r="CM5" s="146"/>
      <c r="CN5" s="209">
        <v>5</v>
      </c>
      <c r="CO5" s="209">
        <v>26</v>
      </c>
      <c r="CR5" s="629"/>
      <c r="CS5" s="629"/>
      <c r="CT5" s="629"/>
      <c r="CU5" s="629"/>
      <c r="CV5" s="629"/>
    </row>
    <row r="6" spans="1:102" ht="65.099999999999994" customHeight="1">
      <c r="I6" s="140"/>
      <c r="J6" s="140"/>
      <c r="K6" s="7"/>
      <c r="O6" s="140"/>
      <c r="P6" s="12"/>
      <c r="Q6" s="12"/>
      <c r="R6" s="140"/>
      <c r="S6" s="140"/>
      <c r="T6" s="631">
        <f>parameters!$C$6</f>
        <v>1</v>
      </c>
      <c r="U6" s="632"/>
      <c r="V6" s="632"/>
      <c r="W6" s="632"/>
      <c r="X6" s="632"/>
      <c r="Z6" s="630" t="s">
        <v>2343</v>
      </c>
      <c r="AA6" s="630"/>
      <c r="AB6" s="630"/>
      <c r="AC6" s="630"/>
      <c r="AD6" s="630"/>
      <c r="AE6" s="322"/>
      <c r="AF6" s="630"/>
      <c r="AG6" s="630"/>
      <c r="AH6" s="630"/>
      <c r="AI6" s="630"/>
      <c r="AJ6" s="630"/>
      <c r="AK6" s="322"/>
      <c r="AL6" s="630"/>
      <c r="AM6" s="630"/>
      <c r="AN6" s="630"/>
      <c r="AO6" s="630"/>
      <c r="AP6" s="630"/>
      <c r="AQ6" s="322"/>
      <c r="AR6" s="630"/>
      <c r="AS6" s="630"/>
      <c r="AT6" s="630"/>
      <c r="AU6" s="630"/>
      <c r="AV6" s="630"/>
      <c r="AW6" s="322"/>
      <c r="AX6" s="630"/>
      <c r="AY6" s="630"/>
      <c r="AZ6" s="630"/>
      <c r="BA6" s="630"/>
      <c r="BB6" s="630"/>
      <c r="BC6" s="322"/>
      <c r="BD6" s="630"/>
      <c r="BE6" s="630"/>
      <c r="BF6" s="630"/>
      <c r="BG6" s="630"/>
      <c r="BH6" s="630"/>
      <c r="BI6" s="322"/>
      <c r="BJ6" s="630"/>
      <c r="BK6" s="630"/>
      <c r="BL6" s="630"/>
      <c r="BM6" s="630"/>
      <c r="BN6" s="630"/>
      <c r="BO6" s="322"/>
      <c r="BP6" s="630"/>
      <c r="BQ6" s="630"/>
      <c r="BR6" s="630"/>
      <c r="BS6" s="630"/>
      <c r="BT6" s="630"/>
      <c r="BV6" s="630"/>
      <c r="BW6" s="630"/>
      <c r="BX6" s="630"/>
      <c r="BY6" s="630"/>
      <c r="BZ6" s="630"/>
      <c r="CB6" s="634"/>
      <c r="CC6" s="634"/>
      <c r="CD6" s="634"/>
      <c r="CE6" s="634"/>
      <c r="CF6" s="634"/>
      <c r="CH6" s="633"/>
      <c r="CI6" s="633"/>
      <c r="CJ6" s="633"/>
      <c r="CK6" s="633"/>
      <c r="CL6" s="633"/>
      <c r="CM6" s="143"/>
      <c r="CN6" s="208">
        <v>6</v>
      </c>
      <c r="CO6" s="208">
        <v>32</v>
      </c>
      <c r="CR6" s="633"/>
      <c r="CS6" s="633"/>
      <c r="CT6" s="633"/>
      <c r="CU6" s="633"/>
      <c r="CV6" s="633"/>
    </row>
    <row r="7" spans="1:102">
      <c r="I7" s="85" t="str">
        <f>PYr</f>
        <v>FY24</v>
      </c>
      <c r="J7" s="12" t="str">
        <f>PYr</f>
        <v>FY24</v>
      </c>
      <c r="K7" s="85" t="str">
        <f>CYr</f>
        <v>FY25</v>
      </c>
      <c r="L7" s="85" t="str">
        <f>CYr</f>
        <v>FY25</v>
      </c>
      <c r="M7" s="85" t="str">
        <f>CYr</f>
        <v>FY25</v>
      </c>
      <c r="N7" s="85" t="str">
        <f>CYr</f>
        <v>FY25</v>
      </c>
      <c r="O7" s="12" t="str">
        <f>PYr</f>
        <v>FY24</v>
      </c>
      <c r="Q7" s="12"/>
      <c r="R7" s="12"/>
      <c r="S7" s="12"/>
      <c r="T7" s="13"/>
      <c r="W7" s="14"/>
      <c r="X7" s="12"/>
      <c r="CN7" s="208">
        <v>7</v>
      </c>
      <c r="CO7" s="208">
        <v>38</v>
      </c>
      <c r="CW7" s="85"/>
      <c r="CX7" s="85"/>
    </row>
    <row r="8" spans="1:102">
      <c r="I8" s="85" t="s">
        <v>615</v>
      </c>
      <c r="J8" s="12" t="s">
        <v>65</v>
      </c>
      <c r="K8" s="85" t="s">
        <v>615</v>
      </c>
      <c r="L8" s="12" t="s">
        <v>65</v>
      </c>
      <c r="M8" s="12" t="s">
        <v>603</v>
      </c>
      <c r="N8" s="12" t="s">
        <v>610</v>
      </c>
      <c r="O8" s="12" t="s">
        <v>610</v>
      </c>
      <c r="P8" s="12" t="str">
        <f>PYr&amp;" to "&amp;CYr</f>
        <v>FY24 to FY25</v>
      </c>
      <c r="Q8" s="12" t="s">
        <v>611</v>
      </c>
      <c r="R8" s="12" t="str">
        <f>PYr</f>
        <v>FY24</v>
      </c>
      <c r="S8" s="12" t="str">
        <f>CYr</f>
        <v>FY25</v>
      </c>
      <c r="T8" s="10"/>
      <c r="U8" s="10"/>
      <c r="V8" s="10"/>
      <c r="W8" s="86" t="s">
        <v>633</v>
      </c>
      <c r="X8" s="12" t="s">
        <v>108</v>
      </c>
      <c r="Z8" s="10"/>
      <c r="AA8" s="10"/>
      <c r="AB8" s="10"/>
      <c r="AC8" s="86"/>
      <c r="AD8" s="12"/>
      <c r="AE8" s="12"/>
      <c r="AF8" s="10"/>
      <c r="AG8" s="10"/>
      <c r="AH8" s="10"/>
      <c r="AI8" s="86"/>
      <c r="AJ8" s="12"/>
      <c r="AK8" s="12"/>
      <c r="AL8" s="10"/>
      <c r="AM8" s="10"/>
      <c r="AN8" s="10"/>
      <c r="AO8" s="86"/>
      <c r="AP8" s="12"/>
      <c r="AQ8" s="12"/>
      <c r="AR8" s="10"/>
      <c r="AS8" s="10"/>
      <c r="AT8" s="10"/>
      <c r="AU8" s="86"/>
      <c r="AV8" s="12"/>
      <c r="AW8" s="12"/>
      <c r="AX8" s="10"/>
      <c r="AY8" s="10"/>
      <c r="AZ8" s="10"/>
      <c r="BA8" s="86"/>
      <c r="BB8" s="12"/>
      <c r="BC8" s="12"/>
      <c r="BD8" s="10"/>
      <c r="BE8" s="10"/>
      <c r="BF8" s="10"/>
      <c r="BG8" s="86" t="s">
        <v>633</v>
      </c>
      <c r="BH8" s="12" t="s">
        <v>108</v>
      </c>
      <c r="BI8" s="12"/>
      <c r="BJ8" s="10"/>
      <c r="BK8" s="10"/>
      <c r="BL8" s="10"/>
      <c r="BM8" s="86" t="s">
        <v>633</v>
      </c>
      <c r="BN8" s="12" t="s">
        <v>108</v>
      </c>
      <c r="BO8" s="12"/>
      <c r="BP8" s="10"/>
      <c r="BQ8" s="10"/>
      <c r="BR8" s="10"/>
      <c r="BS8" s="86" t="s">
        <v>633</v>
      </c>
      <c r="BT8" s="12" t="s">
        <v>108</v>
      </c>
      <c r="BV8" s="10"/>
      <c r="BW8" s="10"/>
      <c r="BX8" s="10"/>
      <c r="BY8" s="86" t="s">
        <v>633</v>
      </c>
      <c r="BZ8" s="12" t="s">
        <v>108</v>
      </c>
      <c r="CB8" s="10"/>
      <c r="CC8" s="10"/>
      <c r="CD8" s="10"/>
      <c r="CE8" s="86" t="s">
        <v>633</v>
      </c>
      <c r="CF8" s="12" t="s">
        <v>108</v>
      </c>
      <c r="CH8" s="10"/>
      <c r="CI8" s="10"/>
      <c r="CJ8" s="10"/>
      <c r="CK8" s="86" t="s">
        <v>633</v>
      </c>
      <c r="CL8" s="12" t="s">
        <v>108</v>
      </c>
      <c r="CM8" s="12"/>
      <c r="CN8" s="208">
        <v>8</v>
      </c>
      <c r="CO8" s="208">
        <v>44</v>
      </c>
      <c r="CR8" s="10"/>
      <c r="CS8" s="10"/>
      <c r="CT8" s="10"/>
      <c r="CU8" s="86"/>
      <c r="CV8" s="12"/>
      <c r="CW8" s="12"/>
      <c r="CX8" s="12"/>
    </row>
    <row r="9" spans="1:102">
      <c r="A9" s="10" t="s">
        <v>2090</v>
      </c>
      <c r="B9" s="222" t="s">
        <v>58</v>
      </c>
      <c r="C9" s="10" t="s">
        <v>57</v>
      </c>
      <c r="D9" s="87" t="s">
        <v>59</v>
      </c>
      <c r="E9" s="87" t="s">
        <v>58</v>
      </c>
      <c r="F9" s="87" t="s">
        <v>600</v>
      </c>
      <c r="G9" s="87" t="s">
        <v>57</v>
      </c>
      <c r="H9" s="87" t="s">
        <v>601</v>
      </c>
      <c r="I9" s="87" t="s">
        <v>2348</v>
      </c>
      <c r="J9" s="12" t="s">
        <v>2349</v>
      </c>
      <c r="K9" s="87" t="s">
        <v>2350</v>
      </c>
      <c r="L9" s="12" t="s">
        <v>2351</v>
      </c>
      <c r="M9" s="12" t="s">
        <v>2352</v>
      </c>
      <c r="N9" s="12" t="s">
        <v>2352</v>
      </c>
      <c r="O9" s="12" t="s">
        <v>2353</v>
      </c>
      <c r="P9" s="12" t="s">
        <v>612</v>
      </c>
      <c r="Q9" s="12" t="s">
        <v>612</v>
      </c>
      <c r="R9" s="12" t="s">
        <v>2354</v>
      </c>
      <c r="S9" s="12" t="s">
        <v>2355</v>
      </c>
      <c r="T9" s="10" t="s">
        <v>58</v>
      </c>
      <c r="U9" s="10" t="s">
        <v>57</v>
      </c>
      <c r="V9" s="10" t="s">
        <v>59</v>
      </c>
      <c r="W9" s="86" t="s">
        <v>630</v>
      </c>
      <c r="X9" s="12" t="s">
        <v>107</v>
      </c>
      <c r="Z9" s="10"/>
      <c r="AA9" s="10"/>
      <c r="AB9" s="10"/>
      <c r="AC9" s="86"/>
      <c r="AD9" s="12"/>
      <c r="AE9" s="12"/>
      <c r="AF9" s="10"/>
      <c r="AG9" s="10"/>
      <c r="AH9" s="10"/>
      <c r="AI9" s="86"/>
      <c r="AJ9" s="12"/>
      <c r="AK9" s="12"/>
      <c r="AL9" s="10"/>
      <c r="AM9" s="10"/>
      <c r="AN9" s="10"/>
      <c r="AO9" s="86"/>
      <c r="AP9" s="12"/>
      <c r="AQ9" s="12"/>
      <c r="AR9" s="10"/>
      <c r="AS9" s="10"/>
      <c r="AT9" s="10"/>
      <c r="AU9" s="86"/>
      <c r="AV9" s="12"/>
      <c r="AW9" s="12"/>
      <c r="AX9" s="10"/>
      <c r="AY9" s="10"/>
      <c r="AZ9" s="10"/>
      <c r="BA9" s="86"/>
      <c r="BB9" s="12"/>
      <c r="BC9" s="12"/>
      <c r="BD9" s="10" t="s">
        <v>58</v>
      </c>
      <c r="BE9" s="10" t="s">
        <v>57</v>
      </c>
      <c r="BF9" s="10" t="s">
        <v>59</v>
      </c>
      <c r="BG9" s="86" t="s">
        <v>630</v>
      </c>
      <c r="BH9" s="12" t="s">
        <v>107</v>
      </c>
      <c r="BI9" s="12"/>
      <c r="BJ9" s="10" t="s">
        <v>58</v>
      </c>
      <c r="BK9" s="10" t="s">
        <v>57</v>
      </c>
      <c r="BL9" s="10" t="s">
        <v>59</v>
      </c>
      <c r="BM9" s="86" t="s">
        <v>630</v>
      </c>
      <c r="BN9" s="12" t="s">
        <v>107</v>
      </c>
      <c r="BO9" s="12"/>
      <c r="BP9" s="10" t="s">
        <v>58</v>
      </c>
      <c r="BQ9" s="10" t="s">
        <v>57</v>
      </c>
      <c r="BR9" s="10" t="s">
        <v>59</v>
      </c>
      <c r="BS9" s="86" t="s">
        <v>630</v>
      </c>
      <c r="BT9" s="12" t="s">
        <v>107</v>
      </c>
      <c r="BV9" s="10" t="s">
        <v>58</v>
      </c>
      <c r="BW9" s="10" t="s">
        <v>57</v>
      </c>
      <c r="BX9" s="10" t="s">
        <v>59</v>
      </c>
      <c r="BY9" s="86" t="s">
        <v>630</v>
      </c>
      <c r="BZ9" s="12" t="s">
        <v>107</v>
      </c>
      <c r="CB9" s="10" t="s">
        <v>58</v>
      </c>
      <c r="CC9" s="10" t="s">
        <v>57</v>
      </c>
      <c r="CD9" s="10" t="s">
        <v>59</v>
      </c>
      <c r="CE9" s="86" t="s">
        <v>630</v>
      </c>
      <c r="CF9" s="12" t="s">
        <v>107</v>
      </c>
      <c r="CH9" s="10" t="s">
        <v>58</v>
      </c>
      <c r="CI9" s="10" t="s">
        <v>57</v>
      </c>
      <c r="CJ9" s="10" t="s">
        <v>59</v>
      </c>
      <c r="CK9" s="86" t="s">
        <v>630</v>
      </c>
      <c r="CL9" s="12" t="s">
        <v>107</v>
      </c>
      <c r="CM9" s="12"/>
      <c r="CN9" s="208">
        <v>9</v>
      </c>
      <c r="CO9" s="208">
        <v>50</v>
      </c>
      <c r="CR9" s="10"/>
      <c r="CS9" s="10"/>
      <c r="CT9" s="10"/>
      <c r="CU9" s="86"/>
      <c r="CV9" s="12"/>
      <c r="CW9" s="12"/>
      <c r="CX9" s="12"/>
    </row>
    <row r="10" spans="1:102">
      <c r="A10" s="6" t="str">
        <f t="shared" ref="A10:A73" si="0">B10&amp;C10</f>
        <v>00010001</v>
      </c>
      <c r="B10" s="6" t="s">
        <v>1651</v>
      </c>
      <c r="C10" s="6" t="s">
        <v>1651</v>
      </c>
      <c r="D10" s="6">
        <v>1</v>
      </c>
      <c r="E10" s="6">
        <v>1</v>
      </c>
      <c r="F10" s="6" t="s">
        <v>1120</v>
      </c>
      <c r="G10" s="6">
        <v>1</v>
      </c>
      <c r="H10" s="6" t="s">
        <v>682</v>
      </c>
      <c r="I10" s="33">
        <v>31287579.078960005</v>
      </c>
      <c r="J10" s="88">
        <v>0.93586395244784271</v>
      </c>
      <c r="K10" s="89">
        <f>X10</f>
        <v>32236384.532019995</v>
      </c>
      <c r="L10" s="88">
        <f>IF(K14&gt;0, K10/K14, 0)</f>
        <v>0.93127136372731067</v>
      </c>
      <c r="M10" s="58"/>
      <c r="N10" s="9">
        <f>ROUND(M14*L10,0)</f>
        <v>17754107</v>
      </c>
      <c r="O10" s="9">
        <v>17104459</v>
      </c>
      <c r="P10" s="9">
        <f>N10-O10</f>
        <v>649648</v>
      </c>
      <c r="Q10" s="40">
        <f t="shared" ref="Q10:Q18" si="1">IF(O10&gt;0,P10*100/O10,IF(P10&gt;0,100,0))</f>
        <v>3.7981207122657312</v>
      </c>
      <c r="R10" s="9">
        <v>2206</v>
      </c>
      <c r="S10" s="9">
        <f>W10</f>
        <v>2202</v>
      </c>
      <c r="T10" s="90">
        <f t="shared" ref="T10:T73" si="2">VLOOKUP($D10, foundoptions, VLOOKUP($T$6, foundoptcell, 2, FALSE), FALSE)</f>
        <v>1</v>
      </c>
      <c r="U10" s="90">
        <f t="shared" ref="U10:U73" si="3">VLOOKUP($D10, foundoptions, VLOOKUP($T$6, foundoptcell, 2, FALSE)+1, FALSE)</f>
        <v>1</v>
      </c>
      <c r="V10" s="373">
        <f t="shared" ref="V10:V73" si="4">VLOOKUP($D10, foundoptions, VLOOKUP($T$6, foundoptcell, 2, FALSE)+2, FALSE)</f>
        <v>1</v>
      </c>
      <c r="W10" s="90">
        <f t="shared" ref="W10:W73" si="5">VLOOKUP($D10, foundoptions, VLOOKUP($T$6, foundoptcell, 2, FALSE)+3, FALSE)</f>
        <v>2202</v>
      </c>
      <c r="X10" s="90">
        <f t="shared" ref="X10:X73" si="6">VLOOKUP($D10, foundoptions, VLOOKUP($T$6, foundoptcell, 2, FALSE)+4, FALSE)</f>
        <v>32236384.532019995</v>
      </c>
      <c r="Y10" s="141">
        <f>D10</f>
        <v>1</v>
      </c>
      <c r="Z10" s="298">
        <v>1</v>
      </c>
      <c r="AA10" s="299">
        <v>1</v>
      </c>
      <c r="AB10" s="299">
        <v>1</v>
      </c>
      <c r="AC10" s="301">
        <v>2202</v>
      </c>
      <c r="AD10" s="301">
        <v>32236384.532019995</v>
      </c>
      <c r="AE10" s="126"/>
      <c r="AF10" s="298"/>
      <c r="AG10" s="299"/>
      <c r="AH10" s="299"/>
      <c r="AI10" s="301"/>
      <c r="AJ10" s="301"/>
      <c r="AK10" s="426"/>
      <c r="AL10" s="298"/>
      <c r="AM10" s="299"/>
      <c r="AN10" s="299"/>
      <c r="AO10" s="301"/>
      <c r="AP10" s="301"/>
      <c r="AQ10" s="426"/>
      <c r="AR10" s="298"/>
      <c r="AS10" s="299"/>
      <c r="AT10" s="299"/>
      <c r="AU10" s="301"/>
      <c r="AV10" s="301"/>
      <c r="AW10" s="88"/>
      <c r="AX10" s="298"/>
      <c r="AY10" s="299"/>
      <c r="AZ10" s="299"/>
      <c r="BA10" s="301"/>
      <c r="BB10" s="301"/>
      <c r="BC10" s="426"/>
      <c r="BD10" s="298"/>
      <c r="BE10" s="299"/>
      <c r="BF10" s="299"/>
      <c r="BG10" s="301"/>
      <c r="BH10" s="301"/>
      <c r="BI10" s="88"/>
      <c r="BJ10" s="298"/>
      <c r="BK10" s="299"/>
      <c r="BL10" s="299"/>
      <c r="BM10" s="301"/>
      <c r="BN10" s="301"/>
      <c r="BO10" s="88"/>
      <c r="BP10" s="9"/>
      <c r="BS10" s="81"/>
      <c r="BT10" s="81"/>
      <c r="BV10" s="9"/>
      <c r="BY10" s="81"/>
      <c r="BZ10" s="81"/>
      <c r="CB10" s="9"/>
      <c r="CE10" s="81"/>
      <c r="CF10" s="81"/>
      <c r="CH10" s="9"/>
      <c r="CK10" s="81"/>
      <c r="CL10" s="81"/>
      <c r="CN10" s="208">
        <v>10</v>
      </c>
      <c r="CO10" s="208">
        <v>56</v>
      </c>
      <c r="CR10" s="9"/>
      <c r="CS10" s="9"/>
      <c r="CT10" s="9"/>
      <c r="CU10" s="9"/>
      <c r="CV10" s="9"/>
      <c r="CW10" s="129"/>
      <c r="CX10" s="9"/>
    </row>
    <row r="11" spans="1:102">
      <c r="A11" s="6" t="str">
        <f t="shared" si="0"/>
        <v>00010873</v>
      </c>
      <c r="B11" s="6" t="s">
        <v>1651</v>
      </c>
      <c r="C11" s="6" t="s">
        <v>2083</v>
      </c>
      <c r="D11" s="6">
        <v>2</v>
      </c>
      <c r="E11" s="6">
        <v>1</v>
      </c>
      <c r="F11" s="6" t="s">
        <v>1120</v>
      </c>
      <c r="G11" s="6">
        <v>873</v>
      </c>
      <c r="H11" s="6" t="s">
        <v>1113</v>
      </c>
      <c r="I11" s="33">
        <v>2144180.9510361422</v>
      </c>
      <c r="J11" s="88">
        <v>6.4136047552157224E-2</v>
      </c>
      <c r="K11" s="89">
        <f>X11</f>
        <v>2379073.2041627523</v>
      </c>
      <c r="L11" s="88">
        <f>IF(K14&gt;0, K11/K14, 0)</f>
        <v>6.872863627268927E-2</v>
      </c>
      <c r="M11" s="58"/>
      <c r="N11" s="9">
        <f>ROUND(M14*L11,0)</f>
        <v>1310268</v>
      </c>
      <c r="O11" s="9">
        <v>1172192</v>
      </c>
      <c r="P11" s="9">
        <f>N11-O11</f>
        <v>138076</v>
      </c>
      <c r="Q11" s="40">
        <f t="shared" si="1"/>
        <v>11.779298954437499</v>
      </c>
      <c r="R11" s="9">
        <v>103.00000000120001</v>
      </c>
      <c r="S11" s="9">
        <f t="shared" ref="S11:S74" si="7">W11</f>
        <v>114.00000000168001</v>
      </c>
      <c r="T11" s="90">
        <f t="shared" si="2"/>
        <v>1</v>
      </c>
      <c r="U11" s="90">
        <f t="shared" si="3"/>
        <v>873</v>
      </c>
      <c r="V11" s="373">
        <f t="shared" si="4"/>
        <v>2</v>
      </c>
      <c r="W11" s="90">
        <f t="shared" si="5"/>
        <v>114.00000000168001</v>
      </c>
      <c r="X11" s="90">
        <f t="shared" si="6"/>
        <v>2379073.2041627523</v>
      </c>
      <c r="Y11" s="141">
        <f t="shared" ref="Y11:Y74" si="8">D11</f>
        <v>2</v>
      </c>
      <c r="Z11" s="298">
        <v>1</v>
      </c>
      <c r="AA11" s="299">
        <v>873</v>
      </c>
      <c r="AB11" s="299">
        <v>2</v>
      </c>
      <c r="AC11" s="301">
        <v>114.00000000168001</v>
      </c>
      <c r="AD11" s="301">
        <v>2379073.2041627523</v>
      </c>
      <c r="AE11" s="126"/>
      <c r="AF11" s="298"/>
      <c r="AG11" s="299"/>
      <c r="AH11" s="299"/>
      <c r="AI11" s="301"/>
      <c r="AJ11" s="301"/>
      <c r="AK11" s="426"/>
      <c r="AL11" s="298"/>
      <c r="AM11" s="299"/>
      <c r="AN11" s="299"/>
      <c r="AO11" s="301"/>
      <c r="AP11" s="301"/>
      <c r="AQ11" s="426"/>
      <c r="AR11" s="298"/>
      <c r="AS11" s="299"/>
      <c r="AT11" s="299"/>
      <c r="AU11" s="301"/>
      <c r="AV11" s="301"/>
      <c r="AW11" s="88"/>
      <c r="AX11" s="298"/>
      <c r="AY11" s="299"/>
      <c r="AZ11" s="299"/>
      <c r="BA11" s="301"/>
      <c r="BB11" s="301"/>
      <c r="BC11" s="426"/>
      <c r="BD11" s="298"/>
      <c r="BE11" s="299"/>
      <c r="BF11" s="299"/>
      <c r="BG11" s="301"/>
      <c r="BH11" s="301"/>
      <c r="BI11" s="88"/>
      <c r="BJ11" s="298"/>
      <c r="BK11" s="299"/>
      <c r="BL11" s="299"/>
      <c r="BM11" s="301"/>
      <c r="BN11" s="301"/>
      <c r="BO11" s="88"/>
      <c r="BP11" s="9"/>
      <c r="BS11" s="81"/>
      <c r="BT11" s="81"/>
      <c r="BV11" s="9"/>
      <c r="BY11" s="81"/>
      <c r="BZ11" s="81"/>
      <c r="CB11" s="9"/>
      <c r="CE11" s="81"/>
      <c r="CF11" s="81"/>
      <c r="CH11" s="9"/>
      <c r="CK11" s="81"/>
      <c r="CL11" s="81"/>
      <c r="CN11" s="208">
        <v>11</v>
      </c>
      <c r="CO11" s="208">
        <v>62</v>
      </c>
      <c r="CR11" s="9"/>
      <c r="CS11" s="9"/>
      <c r="CT11" s="9"/>
      <c r="CU11" s="9"/>
      <c r="CV11" s="9"/>
      <c r="CW11" s="129"/>
      <c r="CX11" s="9"/>
    </row>
    <row r="12" spans="1:102">
      <c r="A12" s="6" t="str">
        <f t="shared" si="0"/>
        <v>00010998</v>
      </c>
      <c r="B12" s="6" t="s">
        <v>1651</v>
      </c>
      <c r="C12" s="6" t="s">
        <v>2091</v>
      </c>
      <c r="D12" s="6">
        <v>3</v>
      </c>
      <c r="E12" s="6">
        <v>1</v>
      </c>
      <c r="F12" s="6" t="s">
        <v>1547</v>
      </c>
      <c r="G12" s="6">
        <v>998</v>
      </c>
      <c r="H12" s="6" t="s">
        <v>1547</v>
      </c>
      <c r="I12" s="33">
        <v>0</v>
      </c>
      <c r="J12" s="88">
        <v>0</v>
      </c>
      <c r="K12" s="89">
        <f>X12</f>
        <v>0</v>
      </c>
      <c r="L12" s="88">
        <f>IF(K14&gt;0, K12/K14, 0)</f>
        <v>0</v>
      </c>
      <c r="M12" s="58"/>
      <c r="N12" s="9">
        <f>ROUND(M14*L12,0)</f>
        <v>0</v>
      </c>
      <c r="O12" s="9">
        <v>0</v>
      </c>
      <c r="P12" s="9">
        <f>N12-O12</f>
        <v>0</v>
      </c>
      <c r="Q12" s="40">
        <f t="shared" si="1"/>
        <v>0</v>
      </c>
      <c r="R12" s="9">
        <v>0</v>
      </c>
      <c r="S12" s="9">
        <f t="shared" si="7"/>
        <v>0</v>
      </c>
      <c r="T12" s="90">
        <f t="shared" si="2"/>
        <v>1</v>
      </c>
      <c r="U12" s="90">
        <f t="shared" si="3"/>
        <v>998</v>
      </c>
      <c r="V12" s="373">
        <f t="shared" si="4"/>
        <v>3</v>
      </c>
      <c r="W12" s="90">
        <f t="shared" si="5"/>
        <v>0</v>
      </c>
      <c r="X12" s="90">
        <f t="shared" si="6"/>
        <v>0</v>
      </c>
      <c r="Y12" s="141">
        <f t="shared" si="8"/>
        <v>3</v>
      </c>
      <c r="Z12" s="298">
        <v>1</v>
      </c>
      <c r="AA12" s="299">
        <v>998</v>
      </c>
      <c r="AB12" s="299">
        <v>3</v>
      </c>
      <c r="AC12" s="301">
        <v>0</v>
      </c>
      <c r="AD12" s="301">
        <v>0</v>
      </c>
      <c r="AE12" s="126"/>
      <c r="AF12" s="298"/>
      <c r="AG12" s="299"/>
      <c r="AH12" s="299"/>
      <c r="AI12" s="301"/>
      <c r="AJ12" s="301"/>
      <c r="AK12" s="426"/>
      <c r="AL12" s="298"/>
      <c r="AM12" s="299"/>
      <c r="AN12" s="299"/>
      <c r="AO12" s="301"/>
      <c r="AP12" s="301"/>
      <c r="AQ12" s="426"/>
      <c r="AR12" s="298"/>
      <c r="AS12" s="299"/>
      <c r="AT12" s="299"/>
      <c r="AU12" s="301"/>
      <c r="AV12" s="301"/>
      <c r="AW12" s="88"/>
      <c r="AX12" s="298"/>
      <c r="AY12" s="299"/>
      <c r="AZ12" s="299"/>
      <c r="BA12" s="301"/>
      <c r="BB12" s="301"/>
      <c r="BC12" s="426"/>
      <c r="BD12" s="298"/>
      <c r="BE12" s="299"/>
      <c r="BF12" s="299"/>
      <c r="BG12" s="301"/>
      <c r="BH12" s="301"/>
      <c r="BI12" s="88"/>
      <c r="BJ12" s="298"/>
      <c r="BK12" s="299"/>
      <c r="BL12" s="299"/>
      <c r="BM12" s="301"/>
      <c r="BN12" s="301"/>
      <c r="BO12" s="88"/>
      <c r="BP12" s="9"/>
      <c r="BS12" s="81"/>
      <c r="BT12" s="81"/>
      <c r="BV12" s="9"/>
      <c r="BY12" s="81"/>
      <c r="BZ12" s="81"/>
      <c r="CB12" s="9"/>
      <c r="CE12" s="81"/>
      <c r="CF12" s="81"/>
      <c r="CH12" s="9"/>
      <c r="CK12" s="81"/>
      <c r="CL12" s="81"/>
      <c r="CR12" s="9"/>
      <c r="CS12" s="9"/>
      <c r="CT12" s="9"/>
      <c r="CU12" s="9"/>
      <c r="CV12" s="9"/>
      <c r="CW12" s="129"/>
      <c r="CX12" s="9"/>
    </row>
    <row r="13" spans="1:102">
      <c r="A13" s="6" t="str">
        <f t="shared" si="0"/>
        <v>00010998</v>
      </c>
      <c r="B13" s="6" t="s">
        <v>1651</v>
      </c>
      <c r="C13" s="6" t="s">
        <v>2091</v>
      </c>
      <c r="D13" s="6">
        <v>4</v>
      </c>
      <c r="E13" s="6">
        <v>1</v>
      </c>
      <c r="F13" s="6" t="s">
        <v>1547</v>
      </c>
      <c r="G13" s="6">
        <v>998</v>
      </c>
      <c r="H13" s="6" t="s">
        <v>1547</v>
      </c>
      <c r="I13" s="33">
        <v>0</v>
      </c>
      <c r="J13" s="88">
        <v>0</v>
      </c>
      <c r="K13" s="89">
        <f>X13</f>
        <v>0</v>
      </c>
      <c r="L13" s="88">
        <f>IF(K14&gt;0, K13/K14, 0)</f>
        <v>0</v>
      </c>
      <c r="M13" s="58"/>
      <c r="N13" s="9">
        <f>ROUND(M14*L13,0)</f>
        <v>0</v>
      </c>
      <c r="O13" s="9">
        <v>0</v>
      </c>
      <c r="P13" s="9">
        <f>N13-O13</f>
        <v>0</v>
      </c>
      <c r="Q13" s="40">
        <f t="shared" si="1"/>
        <v>0</v>
      </c>
      <c r="R13" s="9">
        <v>0</v>
      </c>
      <c r="S13" s="9">
        <f t="shared" si="7"/>
        <v>0</v>
      </c>
      <c r="T13" s="90">
        <f t="shared" si="2"/>
        <v>1</v>
      </c>
      <c r="U13" s="90">
        <f t="shared" si="3"/>
        <v>998</v>
      </c>
      <c r="V13" s="373">
        <f t="shared" si="4"/>
        <v>4</v>
      </c>
      <c r="W13" s="90">
        <f t="shared" si="5"/>
        <v>0</v>
      </c>
      <c r="X13" s="90">
        <f t="shared" si="6"/>
        <v>0</v>
      </c>
      <c r="Y13" s="141">
        <f t="shared" si="8"/>
        <v>4</v>
      </c>
      <c r="Z13" s="298">
        <v>1</v>
      </c>
      <c r="AA13" s="299">
        <v>998</v>
      </c>
      <c r="AB13" s="299">
        <v>4</v>
      </c>
      <c r="AC13" s="301">
        <v>0</v>
      </c>
      <c r="AD13" s="301">
        <v>0</v>
      </c>
      <c r="AE13" s="126"/>
      <c r="AF13" s="298"/>
      <c r="AG13" s="299"/>
      <c r="AH13" s="299"/>
      <c r="AI13" s="301"/>
      <c r="AJ13" s="301"/>
      <c r="AK13" s="426"/>
      <c r="AL13" s="298"/>
      <c r="AM13" s="299"/>
      <c r="AN13" s="299"/>
      <c r="AO13" s="301"/>
      <c r="AP13" s="301"/>
      <c r="AQ13" s="426"/>
      <c r="AR13" s="298"/>
      <c r="AS13" s="299"/>
      <c r="AT13" s="299"/>
      <c r="AU13" s="301"/>
      <c r="AV13" s="301"/>
      <c r="AW13" s="88"/>
      <c r="AX13" s="298"/>
      <c r="AY13" s="299"/>
      <c r="AZ13" s="299"/>
      <c r="BA13" s="301"/>
      <c r="BB13" s="301"/>
      <c r="BC13" s="426"/>
      <c r="BD13" s="298"/>
      <c r="BE13" s="299"/>
      <c r="BF13" s="299"/>
      <c r="BG13" s="301"/>
      <c r="BH13" s="301"/>
      <c r="BI13" s="88"/>
      <c r="BJ13" s="298"/>
      <c r="BK13" s="299"/>
      <c r="BL13" s="299"/>
      <c r="BM13" s="301"/>
      <c r="BN13" s="301"/>
      <c r="BO13" s="88"/>
      <c r="BP13" s="9"/>
      <c r="BS13" s="81"/>
      <c r="BT13" s="81"/>
      <c r="BV13" s="9"/>
      <c r="BY13" s="81"/>
      <c r="BZ13" s="81"/>
      <c r="CB13" s="9"/>
      <c r="CE13" s="81"/>
      <c r="CF13" s="81"/>
      <c r="CH13" s="9"/>
      <c r="CK13" s="81"/>
      <c r="CL13" s="81"/>
      <c r="CR13" s="9"/>
      <c r="CS13" s="9"/>
      <c r="CT13" s="9"/>
      <c r="CU13" s="9"/>
      <c r="CV13" s="9"/>
      <c r="CW13" s="129"/>
      <c r="CX13" s="9"/>
    </row>
    <row r="14" spans="1:102">
      <c r="A14" s="6" t="str">
        <f t="shared" si="0"/>
        <v>00010999</v>
      </c>
      <c r="B14" s="6" t="s">
        <v>1651</v>
      </c>
      <c r="C14" s="6" t="s">
        <v>2092</v>
      </c>
      <c r="D14" s="6">
        <v>5</v>
      </c>
      <c r="E14" s="10">
        <v>1</v>
      </c>
      <c r="F14" s="10" t="s">
        <v>1120</v>
      </c>
      <c r="G14" s="10">
        <v>999</v>
      </c>
      <c r="H14" s="10" t="s">
        <v>593</v>
      </c>
      <c r="I14" s="92">
        <v>33431760.029996149</v>
      </c>
      <c r="J14" s="472">
        <v>0.99999999999999989</v>
      </c>
      <c r="K14" s="53">
        <f>SUM(K10:K13)</f>
        <v>34615457.736182749</v>
      </c>
      <c r="L14" s="91">
        <f>SUM(L10:L13)</f>
        <v>1</v>
      </c>
      <c r="M14" s="79">
        <f>VLOOKUP(E14,town351,24)</f>
        <v>19064375</v>
      </c>
      <c r="N14" s="79">
        <f>SUM(N10:N13)</f>
        <v>19064375</v>
      </c>
      <c r="O14" s="79">
        <v>18276651</v>
      </c>
      <c r="P14" s="79">
        <f>SUM(P10:P13)</f>
        <v>787724</v>
      </c>
      <c r="Q14" s="39">
        <f t="shared" si="1"/>
        <v>4.3100018706928314</v>
      </c>
      <c r="R14" s="9">
        <v>2309.0000000012001</v>
      </c>
      <c r="S14" s="9">
        <f t="shared" si="7"/>
        <v>2316.0000000016798</v>
      </c>
      <c r="T14" s="90">
        <f t="shared" si="2"/>
        <v>1</v>
      </c>
      <c r="U14" s="90">
        <f t="shared" si="3"/>
        <v>999</v>
      </c>
      <c r="V14" s="373">
        <f t="shared" si="4"/>
        <v>5</v>
      </c>
      <c r="W14" s="90">
        <f t="shared" si="5"/>
        <v>2316.0000000016798</v>
      </c>
      <c r="X14" s="90">
        <f t="shared" si="6"/>
        <v>34615457.736182749</v>
      </c>
      <c r="Y14" s="141">
        <f t="shared" si="8"/>
        <v>5</v>
      </c>
      <c r="Z14" s="298">
        <v>1</v>
      </c>
      <c r="AA14" s="299">
        <v>999</v>
      </c>
      <c r="AB14" s="299">
        <v>5</v>
      </c>
      <c r="AC14" s="301">
        <v>2316.0000000016798</v>
      </c>
      <c r="AD14" s="301">
        <v>34615457.736182749</v>
      </c>
      <c r="AE14" s="126"/>
      <c r="AF14" s="298"/>
      <c r="AG14" s="299"/>
      <c r="AH14" s="299"/>
      <c r="AI14" s="301"/>
      <c r="AJ14" s="301"/>
      <c r="AK14" s="426"/>
      <c r="AL14" s="298"/>
      <c r="AM14" s="299"/>
      <c r="AN14" s="299"/>
      <c r="AO14" s="301"/>
      <c r="AP14" s="301"/>
      <c r="AQ14" s="426"/>
      <c r="AR14" s="298"/>
      <c r="AS14" s="299"/>
      <c r="AT14" s="299"/>
      <c r="AU14" s="301"/>
      <c r="AV14" s="301"/>
      <c r="AW14" s="91"/>
      <c r="AX14" s="298"/>
      <c r="AY14" s="299"/>
      <c r="AZ14" s="299"/>
      <c r="BA14" s="301"/>
      <c r="BB14" s="301"/>
      <c r="BC14" s="426"/>
      <c r="BD14" s="298"/>
      <c r="BE14" s="299"/>
      <c r="BF14" s="299"/>
      <c r="BG14" s="301"/>
      <c r="BH14" s="301"/>
      <c r="BI14" s="91"/>
      <c r="BJ14" s="298"/>
      <c r="BK14" s="299"/>
      <c r="BL14" s="299"/>
      <c r="BM14" s="301"/>
      <c r="BN14" s="301"/>
      <c r="BO14" s="91"/>
      <c r="BP14" s="9"/>
      <c r="BS14" s="81"/>
      <c r="BT14" s="81"/>
      <c r="BV14" s="9"/>
      <c r="BY14" s="81"/>
      <c r="BZ14" s="81"/>
      <c r="CB14" s="9"/>
      <c r="CE14" s="81"/>
      <c r="CF14" s="81"/>
      <c r="CH14" s="9"/>
      <c r="CK14" s="81"/>
      <c r="CL14" s="81"/>
      <c r="CR14" s="9"/>
      <c r="CS14" s="9"/>
      <c r="CT14" s="9"/>
      <c r="CU14" s="9"/>
      <c r="CV14" s="9"/>
      <c r="CW14" s="129"/>
      <c r="CX14" s="9"/>
    </row>
    <row r="15" spans="1:102">
      <c r="A15" s="6" t="str">
        <f t="shared" si="0"/>
        <v>00020002</v>
      </c>
      <c r="B15" s="6" t="s">
        <v>1652</v>
      </c>
      <c r="C15" s="6" t="s">
        <v>1652</v>
      </c>
      <c r="D15" s="6">
        <v>6</v>
      </c>
      <c r="E15" s="6">
        <v>2</v>
      </c>
      <c r="F15" s="6" t="s">
        <v>1121</v>
      </c>
      <c r="G15" s="6">
        <v>2</v>
      </c>
      <c r="H15" s="6" t="s">
        <v>683</v>
      </c>
      <c r="I15" s="33">
        <v>0</v>
      </c>
      <c r="J15" s="88">
        <v>0</v>
      </c>
      <c r="K15" s="89">
        <f t="shared" ref="K15:K78" si="9">X15</f>
        <v>0</v>
      </c>
      <c r="L15" s="88">
        <f>IF(K19&gt;0, K15/K19, 0)</f>
        <v>0</v>
      </c>
      <c r="M15" s="58"/>
      <c r="N15" s="9">
        <f>ROUND(M19*L15,0)</f>
        <v>0</v>
      </c>
      <c r="O15" s="9">
        <v>0</v>
      </c>
      <c r="P15" s="9">
        <f>N15-O15</f>
        <v>0</v>
      </c>
      <c r="Q15" s="40">
        <f t="shared" si="1"/>
        <v>0</v>
      </c>
      <c r="R15" s="9">
        <v>0</v>
      </c>
      <c r="S15" s="9">
        <f t="shared" si="7"/>
        <v>0</v>
      </c>
      <c r="T15" s="90">
        <f t="shared" si="2"/>
        <v>2</v>
      </c>
      <c r="U15" s="90">
        <f t="shared" si="3"/>
        <v>2</v>
      </c>
      <c r="V15" s="373">
        <f t="shared" si="4"/>
        <v>6</v>
      </c>
      <c r="W15" s="90">
        <f t="shared" si="5"/>
        <v>0</v>
      </c>
      <c r="X15" s="90">
        <f t="shared" si="6"/>
        <v>0</v>
      </c>
      <c r="Y15" s="141">
        <f t="shared" si="8"/>
        <v>6</v>
      </c>
      <c r="Z15" s="298">
        <v>2</v>
      </c>
      <c r="AA15" s="299">
        <v>2</v>
      </c>
      <c r="AB15" s="299">
        <v>6</v>
      </c>
      <c r="AC15" s="301">
        <v>0</v>
      </c>
      <c r="AD15" s="301">
        <v>0</v>
      </c>
      <c r="AE15" s="126"/>
      <c r="AF15" s="298"/>
      <c r="AG15" s="299"/>
      <c r="AH15" s="299"/>
      <c r="AI15" s="301"/>
      <c r="AJ15" s="301"/>
      <c r="AK15" s="426"/>
      <c r="AL15" s="298"/>
      <c r="AM15" s="299"/>
      <c r="AN15" s="299"/>
      <c r="AO15" s="301"/>
      <c r="AP15" s="301"/>
      <c r="AQ15" s="426"/>
      <c r="AR15" s="298"/>
      <c r="AS15" s="299"/>
      <c r="AT15" s="299"/>
      <c r="AU15" s="301"/>
      <c r="AV15" s="301"/>
      <c r="AW15" s="88"/>
      <c r="AX15" s="298"/>
      <c r="AY15" s="299"/>
      <c r="AZ15" s="299"/>
      <c r="BA15" s="301"/>
      <c r="BB15" s="301"/>
      <c r="BC15" s="426"/>
      <c r="BD15" s="298"/>
      <c r="BE15" s="299"/>
      <c r="BF15" s="299"/>
      <c r="BG15" s="301"/>
      <c r="BH15" s="301"/>
      <c r="BI15" s="88"/>
      <c r="BJ15" s="298"/>
      <c r="BK15" s="299"/>
      <c r="BL15" s="299"/>
      <c r="BM15" s="301"/>
      <c r="BN15" s="301"/>
      <c r="BO15" s="88"/>
      <c r="BP15" s="9"/>
      <c r="BS15" s="81"/>
      <c r="BT15" s="81"/>
      <c r="BV15" s="9"/>
      <c r="BY15" s="81"/>
      <c r="BZ15" s="81"/>
      <c r="CB15" s="9"/>
      <c r="CE15" s="81"/>
      <c r="CF15" s="81"/>
      <c r="CH15" s="9"/>
      <c r="CK15" s="81"/>
      <c r="CL15" s="81"/>
      <c r="CR15" s="9"/>
      <c r="CS15" s="9"/>
      <c r="CT15" s="9"/>
      <c r="CU15" s="9"/>
      <c r="CV15" s="9"/>
      <c r="CW15" s="129"/>
      <c r="CX15" s="9"/>
    </row>
    <row r="16" spans="1:102">
      <c r="A16" s="6" t="str">
        <f t="shared" si="0"/>
        <v>00020600</v>
      </c>
      <c r="B16" s="6" t="s">
        <v>1652</v>
      </c>
      <c r="C16" s="6" t="s">
        <v>2004</v>
      </c>
      <c r="D16" s="6">
        <v>7</v>
      </c>
      <c r="E16" s="6">
        <v>2</v>
      </c>
      <c r="F16" s="6" t="s">
        <v>1121</v>
      </c>
      <c r="G16" s="6">
        <v>600</v>
      </c>
      <c r="H16" s="6" t="s">
        <v>1035</v>
      </c>
      <c r="I16" s="33">
        <v>53374954.457589768</v>
      </c>
      <c r="J16" s="88">
        <v>0.96674512149895697</v>
      </c>
      <c r="K16" s="89">
        <f t="shared" si="9"/>
        <v>54000661.217694253</v>
      </c>
      <c r="L16" s="88">
        <f>IF(K19&gt;0, K16/K19, 0)</f>
        <v>0.96384266033791588</v>
      </c>
      <c r="M16" s="58"/>
      <c r="N16" s="9">
        <f>ROUND(M19*L16,0)</f>
        <v>43461158</v>
      </c>
      <c r="O16" s="9">
        <v>41971918</v>
      </c>
      <c r="P16" s="9">
        <f>N16-O16</f>
        <v>1489240</v>
      </c>
      <c r="Q16" s="40">
        <f t="shared" si="1"/>
        <v>3.5481819058161697</v>
      </c>
      <c r="R16" s="9">
        <v>4160.1883460620002</v>
      </c>
      <c r="S16" s="9">
        <f t="shared" si="7"/>
        <v>4082.2802850480002</v>
      </c>
      <c r="T16" s="90">
        <f t="shared" si="2"/>
        <v>2</v>
      </c>
      <c r="U16" s="90">
        <f t="shared" si="3"/>
        <v>600</v>
      </c>
      <c r="V16" s="373">
        <f t="shared" si="4"/>
        <v>7</v>
      </c>
      <c r="W16" s="90">
        <f t="shared" si="5"/>
        <v>4082.2802850480002</v>
      </c>
      <c r="X16" s="90">
        <f t="shared" si="6"/>
        <v>54000661.217694253</v>
      </c>
      <c r="Y16" s="141">
        <f t="shared" si="8"/>
        <v>7</v>
      </c>
      <c r="Z16" s="298">
        <v>2</v>
      </c>
      <c r="AA16" s="299">
        <v>600</v>
      </c>
      <c r="AB16" s="299">
        <v>7</v>
      </c>
      <c r="AC16" s="301">
        <v>4082.2802850480002</v>
      </c>
      <c r="AD16" s="301">
        <v>54000661.217694253</v>
      </c>
      <c r="AE16" s="126"/>
      <c r="AF16" s="298"/>
      <c r="AG16" s="299"/>
      <c r="AH16" s="299"/>
      <c r="AI16" s="301"/>
      <c r="AJ16" s="301"/>
      <c r="AK16" s="426"/>
      <c r="AL16" s="298"/>
      <c r="AM16" s="299"/>
      <c r="AN16" s="299"/>
      <c r="AO16" s="301"/>
      <c r="AP16" s="301"/>
      <c r="AQ16" s="426"/>
      <c r="AR16" s="298"/>
      <c r="AS16" s="299"/>
      <c r="AT16" s="299"/>
      <c r="AU16" s="301"/>
      <c r="AV16" s="301"/>
      <c r="AW16" s="88"/>
      <c r="AX16" s="298"/>
      <c r="AY16" s="299"/>
      <c r="AZ16" s="299"/>
      <c r="BA16" s="301"/>
      <c r="BB16" s="301"/>
      <c r="BC16" s="426"/>
      <c r="BD16" s="298"/>
      <c r="BE16" s="299"/>
      <c r="BF16" s="299"/>
      <c r="BG16" s="301"/>
      <c r="BH16" s="301"/>
      <c r="BI16" s="88"/>
      <c r="BJ16" s="298"/>
      <c r="BK16" s="299"/>
      <c r="BL16" s="299"/>
      <c r="BM16" s="301"/>
      <c r="BN16" s="301"/>
      <c r="BO16" s="88"/>
      <c r="BP16" s="9"/>
      <c r="BS16" s="81"/>
      <c r="BT16" s="81"/>
      <c r="BV16" s="9"/>
      <c r="BY16" s="81"/>
      <c r="BZ16" s="81"/>
      <c r="CB16" s="9"/>
      <c r="CE16" s="81"/>
      <c r="CF16" s="81"/>
      <c r="CH16" s="9"/>
      <c r="CK16" s="81"/>
      <c r="CL16" s="81"/>
      <c r="CR16" s="9"/>
      <c r="CS16" s="9"/>
      <c r="CT16" s="9"/>
      <c r="CU16" s="9"/>
      <c r="CV16" s="9"/>
      <c r="CW16" s="129"/>
      <c r="CX16" s="9"/>
    </row>
    <row r="17" spans="1:102">
      <c r="A17" s="6" t="str">
        <f t="shared" si="0"/>
        <v>00020830</v>
      </c>
      <c r="B17" s="6" t="s">
        <v>1652</v>
      </c>
      <c r="C17" s="6" t="s">
        <v>2074</v>
      </c>
      <c r="D17" s="6">
        <v>8</v>
      </c>
      <c r="E17" s="6">
        <v>2</v>
      </c>
      <c r="F17" s="6" t="s">
        <v>1121</v>
      </c>
      <c r="G17" s="6">
        <v>830</v>
      </c>
      <c r="H17" s="6" t="s">
        <v>1104</v>
      </c>
      <c r="I17" s="33">
        <v>1836034.7376087203</v>
      </c>
      <c r="J17" s="88">
        <v>3.3254878501042938E-2</v>
      </c>
      <c r="K17" s="89">
        <f t="shared" si="9"/>
        <v>2025766.5799320068</v>
      </c>
      <c r="L17" s="88">
        <f>IF(K19&gt;0, K17/K19, 0)</f>
        <v>3.6157339662084169E-2</v>
      </c>
      <c r="M17" s="58"/>
      <c r="N17" s="9">
        <f>ROUND(M19*L17,0)</f>
        <v>1630390</v>
      </c>
      <c r="O17" s="9">
        <v>1443784</v>
      </c>
      <c r="P17" s="9">
        <f>N17-O17</f>
        <v>186606</v>
      </c>
      <c r="Q17" s="40">
        <f t="shared" si="1"/>
        <v>12.924786533165626</v>
      </c>
      <c r="R17" s="9">
        <v>88.000000002180002</v>
      </c>
      <c r="S17" s="9">
        <f t="shared" si="7"/>
        <v>96.999999997739991</v>
      </c>
      <c r="T17" s="90">
        <f t="shared" si="2"/>
        <v>2</v>
      </c>
      <c r="U17" s="90">
        <f t="shared" si="3"/>
        <v>830</v>
      </c>
      <c r="V17" s="373">
        <f t="shared" si="4"/>
        <v>8</v>
      </c>
      <c r="W17" s="90">
        <f t="shared" si="5"/>
        <v>96.999999997739991</v>
      </c>
      <c r="X17" s="90">
        <f t="shared" si="6"/>
        <v>2025766.5799320068</v>
      </c>
      <c r="Y17" s="141">
        <f t="shared" si="8"/>
        <v>8</v>
      </c>
      <c r="Z17" s="298">
        <v>2</v>
      </c>
      <c r="AA17" s="299">
        <v>830</v>
      </c>
      <c r="AB17" s="299">
        <v>8</v>
      </c>
      <c r="AC17" s="301">
        <v>96.999999997739991</v>
      </c>
      <c r="AD17" s="301">
        <v>2025766.5799320068</v>
      </c>
      <c r="AE17" s="126"/>
      <c r="AF17" s="298"/>
      <c r="AG17" s="299"/>
      <c r="AH17" s="299"/>
      <c r="AI17" s="301"/>
      <c r="AJ17" s="301"/>
      <c r="AK17" s="426"/>
      <c r="AL17" s="298"/>
      <c r="AM17" s="299"/>
      <c r="AN17" s="299"/>
      <c r="AO17" s="301"/>
      <c r="AP17" s="301"/>
      <c r="AQ17" s="426"/>
      <c r="AR17" s="298"/>
      <c r="AS17" s="299"/>
      <c r="AT17" s="299"/>
      <c r="AU17" s="301"/>
      <c r="AV17" s="301"/>
      <c r="AW17" s="88"/>
      <c r="AX17" s="298"/>
      <c r="AY17" s="299"/>
      <c r="AZ17" s="299"/>
      <c r="BA17" s="301"/>
      <c r="BB17" s="301"/>
      <c r="BC17" s="426"/>
      <c r="BD17" s="298"/>
      <c r="BE17" s="299"/>
      <c r="BF17" s="299"/>
      <c r="BG17" s="301"/>
      <c r="BH17" s="301"/>
      <c r="BI17" s="88"/>
      <c r="BJ17" s="298"/>
      <c r="BK17" s="299"/>
      <c r="BL17" s="299"/>
      <c r="BM17" s="301"/>
      <c r="BN17" s="301"/>
      <c r="BO17" s="88"/>
      <c r="BP17" s="9"/>
      <c r="BS17" s="81"/>
      <c r="BT17" s="81"/>
      <c r="BV17" s="9"/>
      <c r="BY17" s="81"/>
      <c r="BZ17" s="81"/>
      <c r="CB17" s="9"/>
      <c r="CE17" s="81"/>
      <c r="CF17" s="81"/>
      <c r="CH17" s="9"/>
      <c r="CK17" s="81"/>
      <c r="CL17" s="81"/>
      <c r="CR17" s="9"/>
      <c r="CS17" s="9"/>
      <c r="CT17" s="9"/>
      <c r="CU17" s="9"/>
      <c r="CV17" s="9"/>
      <c r="CW17" s="129"/>
      <c r="CX17" s="9"/>
    </row>
    <row r="18" spans="1:102">
      <c r="A18" s="6" t="str">
        <f t="shared" si="0"/>
        <v>00020998</v>
      </c>
      <c r="B18" s="6" t="s">
        <v>1652</v>
      </c>
      <c r="C18" s="6" t="s">
        <v>2091</v>
      </c>
      <c r="D18" s="6">
        <v>9</v>
      </c>
      <c r="E18" s="6">
        <v>2</v>
      </c>
      <c r="F18" s="6" t="s">
        <v>1547</v>
      </c>
      <c r="G18" s="6">
        <v>998</v>
      </c>
      <c r="H18" s="6" t="s">
        <v>1547</v>
      </c>
      <c r="I18" s="33">
        <v>0</v>
      </c>
      <c r="J18" s="88">
        <v>0</v>
      </c>
      <c r="K18" s="89">
        <f t="shared" si="9"/>
        <v>0</v>
      </c>
      <c r="L18" s="88">
        <f>IF(K19&gt;0, K18/K19, 0)</f>
        <v>0</v>
      </c>
      <c r="M18" s="58"/>
      <c r="N18" s="9">
        <f>ROUND(M19*L18,0)</f>
        <v>0</v>
      </c>
      <c r="O18" s="9">
        <v>0</v>
      </c>
      <c r="P18" s="9">
        <f>N18-O18</f>
        <v>0</v>
      </c>
      <c r="Q18" s="40">
        <f t="shared" si="1"/>
        <v>0</v>
      </c>
      <c r="R18" s="9">
        <v>0</v>
      </c>
      <c r="S18" s="9">
        <f t="shared" si="7"/>
        <v>0</v>
      </c>
      <c r="T18" s="90">
        <f t="shared" si="2"/>
        <v>2</v>
      </c>
      <c r="U18" s="90">
        <f t="shared" si="3"/>
        <v>998</v>
      </c>
      <c r="V18" s="373">
        <f t="shared" si="4"/>
        <v>9</v>
      </c>
      <c r="W18" s="90">
        <f t="shared" si="5"/>
        <v>0</v>
      </c>
      <c r="X18" s="90">
        <f t="shared" si="6"/>
        <v>0</v>
      </c>
      <c r="Y18" s="141">
        <f t="shared" si="8"/>
        <v>9</v>
      </c>
      <c r="Z18" s="298">
        <v>2</v>
      </c>
      <c r="AA18" s="299">
        <v>998</v>
      </c>
      <c r="AB18" s="299">
        <v>9</v>
      </c>
      <c r="AC18" s="301">
        <v>0</v>
      </c>
      <c r="AD18" s="301">
        <v>0</v>
      </c>
      <c r="AE18" s="126"/>
      <c r="AF18" s="298"/>
      <c r="AG18" s="299"/>
      <c r="AH18" s="299"/>
      <c r="AI18" s="301"/>
      <c r="AJ18" s="301"/>
      <c r="AK18" s="426"/>
      <c r="AL18" s="298"/>
      <c r="AM18" s="299"/>
      <c r="AN18" s="299"/>
      <c r="AO18" s="301"/>
      <c r="AP18" s="301"/>
      <c r="AQ18" s="426"/>
      <c r="AR18" s="298"/>
      <c r="AS18" s="299"/>
      <c r="AT18" s="299"/>
      <c r="AU18" s="301"/>
      <c r="AV18" s="301"/>
      <c r="AW18" s="88"/>
      <c r="AX18" s="298"/>
      <c r="AY18" s="299"/>
      <c r="AZ18" s="299"/>
      <c r="BA18" s="301"/>
      <c r="BB18" s="301"/>
      <c r="BC18" s="426"/>
      <c r="BD18" s="298"/>
      <c r="BE18" s="299"/>
      <c r="BF18" s="299"/>
      <c r="BG18" s="301"/>
      <c r="BH18" s="301"/>
      <c r="BI18" s="88"/>
      <c r="BJ18" s="298"/>
      <c r="BK18" s="299"/>
      <c r="BL18" s="299"/>
      <c r="BM18" s="301"/>
      <c r="BN18" s="301"/>
      <c r="BO18" s="88"/>
      <c r="BP18" s="9"/>
      <c r="BS18" s="81"/>
      <c r="BT18" s="81"/>
      <c r="BV18" s="9"/>
      <c r="BY18" s="81"/>
      <c r="BZ18" s="81"/>
      <c r="CB18" s="9"/>
      <c r="CE18" s="81"/>
      <c r="CF18" s="81"/>
      <c r="CH18" s="9"/>
      <c r="CK18" s="81"/>
      <c r="CL18" s="81"/>
      <c r="CR18" s="9"/>
      <c r="CS18" s="9"/>
      <c r="CT18" s="9"/>
      <c r="CU18" s="9"/>
      <c r="CV18" s="9"/>
      <c r="CW18" s="129"/>
      <c r="CX18" s="9"/>
    </row>
    <row r="19" spans="1:102">
      <c r="A19" s="6" t="str">
        <f t="shared" si="0"/>
        <v>00020999</v>
      </c>
      <c r="B19" s="6" t="s">
        <v>1652</v>
      </c>
      <c r="C19" s="6" t="s">
        <v>2092</v>
      </c>
      <c r="D19" s="6">
        <v>10</v>
      </c>
      <c r="E19" s="10">
        <v>2</v>
      </c>
      <c r="F19" s="10" t="s">
        <v>1121</v>
      </c>
      <c r="G19" s="10">
        <v>999</v>
      </c>
      <c r="H19" s="10" t="s">
        <v>593</v>
      </c>
      <c r="I19" s="92">
        <v>55210989.195198491</v>
      </c>
      <c r="J19" s="472">
        <v>0.99999999999999989</v>
      </c>
      <c r="K19" s="53">
        <f>SUM(K15:K18)</f>
        <v>56026427.797626257</v>
      </c>
      <c r="L19" s="91">
        <f>SUM(L15:L18)</f>
        <v>1</v>
      </c>
      <c r="M19" s="79">
        <f>VLOOKUP(E19,town351,24)</f>
        <v>45091548</v>
      </c>
      <c r="N19" s="79">
        <f>SUM(N15:N18)</f>
        <v>45091548</v>
      </c>
      <c r="O19" s="79">
        <v>43415702</v>
      </c>
      <c r="P19" s="79">
        <f>SUM(P15:P18)</f>
        <v>1675846</v>
      </c>
      <c r="Q19" s="39">
        <f t="shared" ref="Q19:Q79" si="10">IF(O19&gt;0,P19*100/O19,IF(P19&gt;0,100,0))</f>
        <v>3.8599997761178662</v>
      </c>
      <c r="R19" s="9">
        <v>4248.1883460641802</v>
      </c>
      <c r="S19" s="9">
        <f t="shared" si="7"/>
        <v>4179.2802850457401</v>
      </c>
      <c r="T19" s="90">
        <f t="shared" si="2"/>
        <v>2</v>
      </c>
      <c r="U19" s="90">
        <f t="shared" si="3"/>
        <v>999</v>
      </c>
      <c r="V19" s="373">
        <f t="shared" si="4"/>
        <v>10</v>
      </c>
      <c r="W19" s="90">
        <f t="shared" si="5"/>
        <v>4179.2802850457401</v>
      </c>
      <c r="X19" s="90">
        <f t="shared" si="6"/>
        <v>56026427.797626257</v>
      </c>
      <c r="Y19" s="141">
        <f t="shared" si="8"/>
        <v>10</v>
      </c>
      <c r="Z19" s="298">
        <v>2</v>
      </c>
      <c r="AA19" s="299">
        <v>999</v>
      </c>
      <c r="AB19" s="299">
        <v>10</v>
      </c>
      <c r="AC19" s="301">
        <v>4179.2802850457401</v>
      </c>
      <c r="AD19" s="301">
        <v>56026427.797626257</v>
      </c>
      <c r="AE19" s="126"/>
      <c r="AF19" s="298"/>
      <c r="AG19" s="299"/>
      <c r="AH19" s="299"/>
      <c r="AI19" s="301"/>
      <c r="AJ19" s="301"/>
      <c r="AK19" s="426"/>
      <c r="AL19" s="298"/>
      <c r="AM19" s="299"/>
      <c r="AN19" s="299"/>
      <c r="AO19" s="301"/>
      <c r="AP19" s="301"/>
      <c r="AQ19" s="426"/>
      <c r="AR19" s="298"/>
      <c r="AS19" s="299"/>
      <c r="AT19" s="299"/>
      <c r="AU19" s="301"/>
      <c r="AV19" s="301"/>
      <c r="AW19" s="91"/>
      <c r="AX19" s="298"/>
      <c r="AY19" s="299"/>
      <c r="AZ19" s="299"/>
      <c r="BA19" s="301"/>
      <c r="BB19" s="301"/>
      <c r="BC19" s="426"/>
      <c r="BD19" s="298"/>
      <c r="BE19" s="299"/>
      <c r="BF19" s="299"/>
      <c r="BG19" s="301"/>
      <c r="BH19" s="301"/>
      <c r="BI19" s="91"/>
      <c r="BJ19" s="298"/>
      <c r="BK19" s="299"/>
      <c r="BL19" s="299"/>
      <c r="BM19" s="301"/>
      <c r="BN19" s="301"/>
      <c r="BO19" s="91"/>
      <c r="BP19" s="9"/>
      <c r="BS19" s="81"/>
      <c r="BT19" s="81"/>
      <c r="BV19" s="9"/>
      <c r="BY19" s="81"/>
      <c r="BZ19" s="81"/>
      <c r="CB19" s="9"/>
      <c r="CE19" s="81"/>
      <c r="CF19" s="81"/>
      <c r="CH19" s="9"/>
      <c r="CK19" s="81"/>
      <c r="CL19" s="81"/>
      <c r="CR19" s="9"/>
      <c r="CS19" s="9"/>
      <c r="CT19" s="9"/>
      <c r="CU19" s="9"/>
      <c r="CV19" s="9"/>
      <c r="CW19" s="129"/>
      <c r="CX19" s="9"/>
    </row>
    <row r="20" spans="1:102">
      <c r="A20" s="6" t="str">
        <f t="shared" si="0"/>
        <v>00030003</v>
      </c>
      <c r="B20" s="6" t="s">
        <v>1653</v>
      </c>
      <c r="C20" s="6" t="s">
        <v>1653</v>
      </c>
      <c r="D20" s="6">
        <v>11</v>
      </c>
      <c r="E20" s="6">
        <v>3</v>
      </c>
      <c r="F20" s="6" t="s">
        <v>1122</v>
      </c>
      <c r="G20" s="6">
        <v>3</v>
      </c>
      <c r="H20" s="6" t="s">
        <v>684</v>
      </c>
      <c r="I20" s="33">
        <v>15911255.389999999</v>
      </c>
      <c r="J20" s="88">
        <v>0.81846525705829687</v>
      </c>
      <c r="K20" s="89">
        <f>X20</f>
        <v>15622821.810000001</v>
      </c>
      <c r="L20" s="88">
        <f>IF(K24&gt;0, K20/K24, 0)</f>
        <v>0.79037639148818972</v>
      </c>
      <c r="M20" s="58"/>
      <c r="N20" s="9">
        <f>ROUND(M24*L20,0)</f>
        <v>8852864</v>
      </c>
      <c r="O20" s="9">
        <v>8740925</v>
      </c>
      <c r="P20" s="9">
        <f>N20-O20</f>
        <v>111939</v>
      </c>
      <c r="Q20" s="40">
        <f t="shared" si="10"/>
        <v>1.2806310544936605</v>
      </c>
      <c r="R20" s="9">
        <v>1221</v>
      </c>
      <c r="S20" s="9">
        <f t="shared" si="7"/>
        <v>1173</v>
      </c>
      <c r="T20" s="90">
        <f t="shared" si="2"/>
        <v>3</v>
      </c>
      <c r="U20" s="90">
        <f t="shared" si="3"/>
        <v>3</v>
      </c>
      <c r="V20" s="373">
        <f t="shared" si="4"/>
        <v>11</v>
      </c>
      <c r="W20" s="90">
        <f t="shared" si="5"/>
        <v>1173</v>
      </c>
      <c r="X20" s="90">
        <f t="shared" si="6"/>
        <v>15622821.810000001</v>
      </c>
      <c r="Y20" s="141">
        <f t="shared" si="8"/>
        <v>11</v>
      </c>
      <c r="Z20" s="298">
        <v>3</v>
      </c>
      <c r="AA20" s="299">
        <v>3</v>
      </c>
      <c r="AB20" s="299">
        <v>11</v>
      </c>
      <c r="AC20" s="301">
        <v>1173</v>
      </c>
      <c r="AD20" s="301">
        <v>15622821.810000001</v>
      </c>
      <c r="AE20" s="126"/>
      <c r="AF20" s="298"/>
      <c r="AG20" s="299"/>
      <c r="AH20" s="299"/>
      <c r="AI20" s="301"/>
      <c r="AJ20" s="301"/>
      <c r="AK20" s="426"/>
      <c r="AL20" s="298"/>
      <c r="AM20" s="299"/>
      <c r="AN20" s="299"/>
      <c r="AO20" s="301"/>
      <c r="AP20" s="301"/>
      <c r="AQ20" s="426"/>
      <c r="AR20" s="298"/>
      <c r="AS20" s="299"/>
      <c r="AT20" s="299"/>
      <c r="AU20" s="301"/>
      <c r="AV20" s="301"/>
      <c r="AW20" s="88"/>
      <c r="AX20" s="298"/>
      <c r="AY20" s="299"/>
      <c r="AZ20" s="299"/>
      <c r="BA20" s="301"/>
      <c r="BB20" s="301"/>
      <c r="BC20" s="426"/>
      <c r="BD20" s="298"/>
      <c r="BE20" s="299"/>
      <c r="BF20" s="299"/>
      <c r="BG20" s="301"/>
      <c r="BH20" s="301"/>
      <c r="BI20" s="88"/>
      <c r="BJ20" s="298"/>
      <c r="BK20" s="299"/>
      <c r="BL20" s="299"/>
      <c r="BM20" s="301"/>
      <c r="BN20" s="301"/>
      <c r="BO20" s="88"/>
      <c r="BP20" s="9"/>
      <c r="BS20" s="81"/>
      <c r="BT20" s="81"/>
      <c r="BV20" s="9"/>
      <c r="BY20" s="81"/>
      <c r="BZ20" s="81"/>
      <c r="CB20" s="9"/>
      <c r="CE20" s="81"/>
      <c r="CF20" s="81"/>
      <c r="CH20" s="9"/>
      <c r="CK20" s="81"/>
      <c r="CL20" s="81"/>
      <c r="CR20" s="9"/>
      <c r="CS20" s="9"/>
      <c r="CT20" s="9"/>
      <c r="CU20" s="9"/>
      <c r="CV20" s="9"/>
      <c r="CW20" s="129"/>
      <c r="CX20" s="9"/>
    </row>
    <row r="21" spans="1:102">
      <c r="A21" s="6" t="str">
        <f t="shared" si="0"/>
        <v>00030855</v>
      </c>
      <c r="B21" s="6" t="s">
        <v>1653</v>
      </c>
      <c r="C21" s="6" t="s">
        <v>2079</v>
      </c>
      <c r="D21" s="6">
        <v>12</v>
      </c>
      <c r="E21" s="6">
        <v>3</v>
      </c>
      <c r="F21" s="6" t="s">
        <v>1122</v>
      </c>
      <c r="G21" s="6">
        <v>855</v>
      </c>
      <c r="H21" s="6" t="s">
        <v>1109</v>
      </c>
      <c r="I21" s="33">
        <v>3264388.4537164452</v>
      </c>
      <c r="J21" s="88">
        <v>0.16791814784070078</v>
      </c>
      <c r="K21" s="89">
        <f t="shared" si="9"/>
        <v>3747380.4963533846</v>
      </c>
      <c r="L21" s="88">
        <f>IF(K24&gt;0, K21/K24, 0)</f>
        <v>0.18958425758560254</v>
      </c>
      <c r="M21" s="58"/>
      <c r="N21" s="9">
        <f>ROUND(M24*L21,0)</f>
        <v>2123499</v>
      </c>
      <c r="O21" s="9">
        <v>1793308</v>
      </c>
      <c r="P21" s="9">
        <f>N21-O21</f>
        <v>330191</v>
      </c>
      <c r="Q21" s="40">
        <f t="shared" si="10"/>
        <v>18.412397647253009</v>
      </c>
      <c r="R21" s="9">
        <v>167.99999999946002</v>
      </c>
      <c r="S21" s="9">
        <f t="shared" si="7"/>
        <v>189.99999999847998</v>
      </c>
      <c r="T21" s="90">
        <f t="shared" si="2"/>
        <v>3</v>
      </c>
      <c r="U21" s="90">
        <f t="shared" si="3"/>
        <v>855</v>
      </c>
      <c r="V21" s="373">
        <f t="shared" si="4"/>
        <v>12</v>
      </c>
      <c r="W21" s="90">
        <f t="shared" si="5"/>
        <v>189.99999999847998</v>
      </c>
      <c r="X21" s="90">
        <f t="shared" si="6"/>
        <v>3747380.4963533846</v>
      </c>
      <c r="Y21" s="141">
        <f t="shared" si="8"/>
        <v>12</v>
      </c>
      <c r="Z21" s="298">
        <v>3</v>
      </c>
      <c r="AA21" s="299">
        <v>855</v>
      </c>
      <c r="AB21" s="299">
        <v>12</v>
      </c>
      <c r="AC21" s="301">
        <v>189.99999999847998</v>
      </c>
      <c r="AD21" s="301">
        <v>3747380.4963533846</v>
      </c>
      <c r="AE21" s="126"/>
      <c r="AF21" s="298"/>
      <c r="AG21" s="299"/>
      <c r="AH21" s="299"/>
      <c r="AI21" s="301"/>
      <c r="AJ21" s="301"/>
      <c r="AK21" s="426"/>
      <c r="AL21" s="298"/>
      <c r="AM21" s="299"/>
      <c r="AN21" s="299"/>
      <c r="AO21" s="301"/>
      <c r="AP21" s="301"/>
      <c r="AQ21" s="426"/>
      <c r="AR21" s="298"/>
      <c r="AS21" s="299"/>
      <c r="AT21" s="299"/>
      <c r="AU21" s="301"/>
      <c r="AV21" s="301"/>
      <c r="AW21" s="88"/>
      <c r="AX21" s="298"/>
      <c r="AY21" s="299"/>
      <c r="AZ21" s="299"/>
      <c r="BA21" s="301"/>
      <c r="BB21" s="301"/>
      <c r="BC21" s="426"/>
      <c r="BD21" s="298"/>
      <c r="BE21" s="299"/>
      <c r="BF21" s="299"/>
      <c r="BG21" s="301"/>
      <c r="BH21" s="301"/>
      <c r="BI21" s="88"/>
      <c r="BJ21" s="298"/>
      <c r="BK21" s="299"/>
      <c r="BL21" s="299"/>
      <c r="BM21" s="301"/>
      <c r="BN21" s="301"/>
      <c r="BO21" s="88"/>
      <c r="BP21" s="9"/>
      <c r="BS21" s="81"/>
      <c r="BT21" s="81"/>
      <c r="BV21" s="9"/>
      <c r="BY21" s="81"/>
      <c r="BZ21" s="81"/>
      <c r="CB21" s="9"/>
      <c r="CE21" s="81"/>
      <c r="CF21" s="81"/>
      <c r="CH21" s="9"/>
      <c r="CK21" s="81"/>
      <c r="CL21" s="81"/>
      <c r="CR21" s="9"/>
      <c r="CS21" s="9"/>
      <c r="CT21" s="9"/>
      <c r="CU21" s="9"/>
      <c r="CV21" s="9"/>
      <c r="CW21" s="129"/>
      <c r="CX21" s="9"/>
    </row>
    <row r="22" spans="1:102">
      <c r="A22" s="6" t="str">
        <f t="shared" si="0"/>
        <v>00030910</v>
      </c>
      <c r="B22" s="6" t="s">
        <v>1653</v>
      </c>
      <c r="C22" s="6" t="s">
        <v>2088</v>
      </c>
      <c r="D22" s="6">
        <v>13</v>
      </c>
      <c r="E22" s="6">
        <v>3</v>
      </c>
      <c r="F22" s="6" t="s">
        <v>1122</v>
      </c>
      <c r="G22" s="6">
        <v>910</v>
      </c>
      <c r="H22" s="6" t="s">
        <v>1118</v>
      </c>
      <c r="I22" s="33">
        <v>264711.44660797651</v>
      </c>
      <c r="J22" s="88">
        <v>1.3616595101002344E-2</v>
      </c>
      <c r="K22" s="89">
        <f t="shared" si="9"/>
        <v>396103.94753659435</v>
      </c>
      <c r="L22" s="88">
        <f>IF(K24&gt;0, K22/K24, 0)</f>
        <v>2.0039350926207653E-2</v>
      </c>
      <c r="M22" s="58"/>
      <c r="N22" s="9">
        <f>ROUND(M24*L22,0)</f>
        <v>224457</v>
      </c>
      <c r="O22" s="9">
        <v>145421</v>
      </c>
      <c r="P22" s="9">
        <f>N22-O22</f>
        <v>79036</v>
      </c>
      <c r="Q22" s="40">
        <f t="shared" si="10"/>
        <v>54.349784419031636</v>
      </c>
      <c r="R22" s="9">
        <v>12.999999997790001</v>
      </c>
      <c r="S22" s="9">
        <f t="shared" si="7"/>
        <v>19.000000001990003</v>
      </c>
      <c r="T22" s="90">
        <f t="shared" si="2"/>
        <v>3</v>
      </c>
      <c r="U22" s="90">
        <f t="shared" si="3"/>
        <v>910</v>
      </c>
      <c r="V22" s="373">
        <f t="shared" si="4"/>
        <v>13</v>
      </c>
      <c r="W22" s="90">
        <f t="shared" si="5"/>
        <v>19.000000001990003</v>
      </c>
      <c r="X22" s="90">
        <f t="shared" si="6"/>
        <v>396103.94753659435</v>
      </c>
      <c r="Y22" s="141">
        <f t="shared" si="8"/>
        <v>13</v>
      </c>
      <c r="Z22" s="298">
        <v>3</v>
      </c>
      <c r="AA22" s="299">
        <v>910</v>
      </c>
      <c r="AB22" s="299">
        <v>13</v>
      </c>
      <c r="AC22" s="301">
        <v>19.000000001990003</v>
      </c>
      <c r="AD22" s="301">
        <v>396103.94753659435</v>
      </c>
      <c r="AE22" s="126"/>
      <c r="AF22" s="298"/>
      <c r="AG22" s="299"/>
      <c r="AH22" s="299"/>
      <c r="AI22" s="301"/>
      <c r="AJ22" s="301"/>
      <c r="AK22" s="426"/>
      <c r="AL22" s="298"/>
      <c r="AM22" s="299"/>
      <c r="AN22" s="299"/>
      <c r="AO22" s="301"/>
      <c r="AP22" s="301"/>
      <c r="AQ22" s="426"/>
      <c r="AR22" s="298"/>
      <c r="AS22" s="299"/>
      <c r="AT22" s="299"/>
      <c r="AU22" s="301"/>
      <c r="AV22" s="301"/>
      <c r="AW22" s="88"/>
      <c r="AX22" s="298"/>
      <c r="AY22" s="299"/>
      <c r="AZ22" s="299"/>
      <c r="BA22" s="301"/>
      <c r="BB22" s="301"/>
      <c r="BC22" s="426"/>
      <c r="BD22" s="298"/>
      <c r="BE22" s="299"/>
      <c r="BF22" s="299"/>
      <c r="BG22" s="301"/>
      <c r="BH22" s="301"/>
      <c r="BI22" s="88"/>
      <c r="BJ22" s="298"/>
      <c r="BK22" s="299"/>
      <c r="BL22" s="299"/>
      <c r="BM22" s="301"/>
      <c r="BN22" s="301"/>
      <c r="BO22" s="88"/>
      <c r="BP22" s="9"/>
      <c r="BS22" s="81"/>
      <c r="BT22" s="81"/>
      <c r="BV22" s="9"/>
      <c r="BY22" s="81"/>
      <c r="BZ22" s="81"/>
      <c r="CB22" s="9"/>
      <c r="CE22" s="81"/>
      <c r="CF22" s="81"/>
      <c r="CH22" s="9"/>
      <c r="CK22" s="81"/>
      <c r="CL22" s="81"/>
      <c r="CR22" s="9"/>
      <c r="CS22" s="9"/>
      <c r="CT22" s="9"/>
      <c r="CU22" s="9"/>
      <c r="CV22" s="9"/>
      <c r="CW22" s="129"/>
      <c r="CX22" s="9"/>
    </row>
    <row r="23" spans="1:102">
      <c r="A23" s="6" t="str">
        <f t="shared" si="0"/>
        <v>00030998</v>
      </c>
      <c r="B23" s="6" t="s">
        <v>1653</v>
      </c>
      <c r="C23" s="6" t="s">
        <v>2091</v>
      </c>
      <c r="D23" s="6">
        <v>14</v>
      </c>
      <c r="E23" s="6">
        <v>3</v>
      </c>
      <c r="F23" s="6" t="s">
        <v>1547</v>
      </c>
      <c r="G23" s="6">
        <v>998</v>
      </c>
      <c r="H23" s="6" t="s">
        <v>1547</v>
      </c>
      <c r="I23" s="33">
        <v>0</v>
      </c>
      <c r="J23" s="88">
        <v>0</v>
      </c>
      <c r="K23" s="89">
        <f t="shared" si="9"/>
        <v>0</v>
      </c>
      <c r="L23" s="88">
        <f>IF(K24&gt;0, K23/K24, 0)</f>
        <v>0</v>
      </c>
      <c r="M23" s="58"/>
      <c r="N23" s="9">
        <f>ROUND(M24*L23,0)</f>
        <v>0</v>
      </c>
      <c r="O23" s="9">
        <v>0</v>
      </c>
      <c r="P23" s="9">
        <f>N23-O23</f>
        <v>0</v>
      </c>
      <c r="Q23" s="40">
        <f t="shared" si="10"/>
        <v>0</v>
      </c>
      <c r="R23" s="9">
        <v>0</v>
      </c>
      <c r="S23" s="9">
        <f t="shared" si="7"/>
        <v>0</v>
      </c>
      <c r="T23" s="90">
        <f t="shared" si="2"/>
        <v>3</v>
      </c>
      <c r="U23" s="90">
        <f t="shared" si="3"/>
        <v>998</v>
      </c>
      <c r="V23" s="373">
        <f t="shared" si="4"/>
        <v>14</v>
      </c>
      <c r="W23" s="90">
        <f t="shared" si="5"/>
        <v>0</v>
      </c>
      <c r="X23" s="90">
        <f t="shared" si="6"/>
        <v>0</v>
      </c>
      <c r="Y23" s="141">
        <f t="shared" si="8"/>
        <v>14</v>
      </c>
      <c r="Z23" s="298">
        <v>3</v>
      </c>
      <c r="AA23" s="299">
        <v>998</v>
      </c>
      <c r="AB23" s="299">
        <v>14</v>
      </c>
      <c r="AC23" s="301">
        <v>0</v>
      </c>
      <c r="AD23" s="301">
        <v>0</v>
      </c>
      <c r="AE23" s="126"/>
      <c r="AF23" s="298"/>
      <c r="AG23" s="299"/>
      <c r="AH23" s="299"/>
      <c r="AI23" s="301"/>
      <c r="AJ23" s="301"/>
      <c r="AK23" s="426"/>
      <c r="AL23" s="298"/>
      <c r="AM23" s="299"/>
      <c r="AN23" s="299"/>
      <c r="AO23" s="301"/>
      <c r="AP23" s="301"/>
      <c r="AQ23" s="426"/>
      <c r="AR23" s="298"/>
      <c r="AS23" s="299"/>
      <c r="AT23" s="299"/>
      <c r="AU23" s="301"/>
      <c r="AV23" s="301"/>
      <c r="AW23" s="88"/>
      <c r="AX23" s="298"/>
      <c r="AY23" s="299"/>
      <c r="AZ23" s="299"/>
      <c r="BA23" s="301"/>
      <c r="BB23" s="301"/>
      <c r="BC23" s="426"/>
      <c r="BD23" s="298"/>
      <c r="BE23" s="299"/>
      <c r="BF23" s="299"/>
      <c r="BG23" s="301"/>
      <c r="BH23" s="301"/>
      <c r="BI23" s="88"/>
      <c r="BJ23" s="298"/>
      <c r="BK23" s="299"/>
      <c r="BL23" s="299"/>
      <c r="BM23" s="301"/>
      <c r="BN23" s="301"/>
      <c r="BO23" s="88"/>
      <c r="BP23" s="9"/>
      <c r="BS23" s="81"/>
      <c r="BT23" s="81"/>
      <c r="BV23" s="9"/>
      <c r="BY23" s="81"/>
      <c r="BZ23" s="81"/>
      <c r="CB23" s="9"/>
      <c r="CE23" s="81"/>
      <c r="CF23" s="81"/>
      <c r="CH23" s="9"/>
      <c r="CK23" s="81"/>
      <c r="CL23" s="81"/>
      <c r="CR23" s="9"/>
      <c r="CS23" s="9"/>
      <c r="CT23" s="9"/>
      <c r="CU23" s="9"/>
      <c r="CV23" s="9"/>
      <c r="CW23" s="129"/>
      <c r="CX23" s="9"/>
    </row>
    <row r="24" spans="1:102">
      <c r="A24" s="6" t="str">
        <f t="shared" si="0"/>
        <v>00030999</v>
      </c>
      <c r="B24" s="6" t="s">
        <v>1653</v>
      </c>
      <c r="C24" s="6" t="s">
        <v>2092</v>
      </c>
      <c r="D24" s="6">
        <v>15</v>
      </c>
      <c r="E24" s="10">
        <v>3</v>
      </c>
      <c r="F24" s="10" t="s">
        <v>1122</v>
      </c>
      <c r="G24" s="10">
        <v>999</v>
      </c>
      <c r="H24" s="10" t="s">
        <v>593</v>
      </c>
      <c r="I24" s="92">
        <v>19440355.29032442</v>
      </c>
      <c r="J24" s="472">
        <v>1</v>
      </c>
      <c r="K24" s="53">
        <f>SUM(K20:K23)</f>
        <v>19766306.253889982</v>
      </c>
      <c r="L24" s="91">
        <f>SUM(L20:L23)</f>
        <v>0.99999999999999989</v>
      </c>
      <c r="M24" s="79">
        <f>VLOOKUP(E24,town351,24)</f>
        <v>11200821</v>
      </c>
      <c r="N24" s="79">
        <f>SUM(N20:N23)</f>
        <v>11200820</v>
      </c>
      <c r="O24" s="79">
        <v>10679654</v>
      </c>
      <c r="P24" s="79">
        <f>SUM(P20:P23)</f>
        <v>521166</v>
      </c>
      <c r="Q24" s="39">
        <f t="shared" si="10"/>
        <v>4.8799895577141355</v>
      </c>
      <c r="R24" s="9">
        <v>1401.9999999972499</v>
      </c>
      <c r="S24" s="9">
        <f t="shared" si="7"/>
        <v>1382.00000000047</v>
      </c>
      <c r="T24" s="90">
        <f t="shared" si="2"/>
        <v>3</v>
      </c>
      <c r="U24" s="90">
        <f t="shared" si="3"/>
        <v>999</v>
      </c>
      <c r="V24" s="373">
        <f t="shared" si="4"/>
        <v>15</v>
      </c>
      <c r="W24" s="90">
        <f t="shared" si="5"/>
        <v>1382.00000000047</v>
      </c>
      <c r="X24" s="90">
        <f t="shared" si="6"/>
        <v>19766306.253889982</v>
      </c>
      <c r="Y24" s="141">
        <f t="shared" si="8"/>
        <v>15</v>
      </c>
      <c r="Z24" s="298">
        <v>3</v>
      </c>
      <c r="AA24" s="299">
        <v>999</v>
      </c>
      <c r="AB24" s="299">
        <v>15</v>
      </c>
      <c r="AC24" s="301">
        <v>1382.00000000047</v>
      </c>
      <c r="AD24" s="301">
        <v>19766306.253889982</v>
      </c>
      <c r="AE24" s="126"/>
      <c r="AF24" s="298"/>
      <c r="AG24" s="299"/>
      <c r="AH24" s="299"/>
      <c r="AI24" s="301"/>
      <c r="AJ24" s="301"/>
      <c r="AK24" s="426"/>
      <c r="AL24" s="298"/>
      <c r="AM24" s="299"/>
      <c r="AN24" s="299"/>
      <c r="AO24" s="301"/>
      <c r="AP24" s="301"/>
      <c r="AQ24" s="426"/>
      <c r="AR24" s="298"/>
      <c r="AS24" s="299"/>
      <c r="AT24" s="299"/>
      <c r="AU24" s="301"/>
      <c r="AV24" s="301"/>
      <c r="AW24" s="91"/>
      <c r="AX24" s="298"/>
      <c r="AY24" s="299"/>
      <c r="AZ24" s="299"/>
      <c r="BA24" s="301"/>
      <c r="BB24" s="301"/>
      <c r="BC24" s="426"/>
      <c r="BD24" s="298"/>
      <c r="BE24" s="299"/>
      <c r="BF24" s="299"/>
      <c r="BG24" s="301"/>
      <c r="BH24" s="301"/>
      <c r="BI24" s="91"/>
      <c r="BJ24" s="298"/>
      <c r="BK24" s="299"/>
      <c r="BL24" s="299"/>
      <c r="BM24" s="301"/>
      <c r="BN24" s="301"/>
      <c r="BO24" s="91"/>
      <c r="BP24" s="9"/>
      <c r="BS24" s="81"/>
      <c r="BT24" s="81"/>
      <c r="BV24" s="9"/>
      <c r="BY24" s="81"/>
      <c r="BZ24" s="81"/>
      <c r="CB24" s="9"/>
      <c r="CE24" s="81"/>
      <c r="CF24" s="81"/>
      <c r="CH24" s="9"/>
      <c r="CK24" s="81"/>
      <c r="CL24" s="81"/>
      <c r="CR24" s="9"/>
      <c r="CS24" s="9"/>
      <c r="CT24" s="9"/>
      <c r="CU24" s="9"/>
      <c r="CV24" s="9"/>
      <c r="CW24" s="129"/>
      <c r="CX24" s="9"/>
    </row>
    <row r="25" spans="1:102">
      <c r="A25" s="6" t="str">
        <f t="shared" si="0"/>
        <v>00040004</v>
      </c>
      <c r="B25" s="6" t="s">
        <v>1654</v>
      </c>
      <c r="C25" s="6" t="s">
        <v>1654</v>
      </c>
      <c r="D25" s="6">
        <v>16</v>
      </c>
      <c r="E25" s="6">
        <v>4</v>
      </c>
      <c r="F25" s="6" t="s">
        <v>1123</v>
      </c>
      <c r="G25" s="6">
        <v>4</v>
      </c>
      <c r="H25" s="6" t="s">
        <v>685</v>
      </c>
      <c r="I25" s="33">
        <v>0</v>
      </c>
      <c r="J25" s="88">
        <v>0</v>
      </c>
      <c r="K25" s="89">
        <f>X25</f>
        <v>0</v>
      </c>
      <c r="L25" s="88">
        <f>IF(K29&gt;0, K25/K29, 0)</f>
        <v>0</v>
      </c>
      <c r="M25" s="58"/>
      <c r="N25" s="9">
        <f>ROUND(M29*L25,0)</f>
        <v>0</v>
      </c>
      <c r="O25" s="9">
        <v>0</v>
      </c>
      <c r="P25" s="9">
        <f>N25-O25</f>
        <v>0</v>
      </c>
      <c r="Q25" s="40">
        <f t="shared" si="10"/>
        <v>0</v>
      </c>
      <c r="R25" s="9">
        <v>0</v>
      </c>
      <c r="S25" s="9">
        <f t="shared" si="7"/>
        <v>0</v>
      </c>
      <c r="T25" s="90">
        <f t="shared" si="2"/>
        <v>4</v>
      </c>
      <c r="U25" s="90">
        <f t="shared" si="3"/>
        <v>4</v>
      </c>
      <c r="V25" s="373">
        <f t="shared" si="4"/>
        <v>16</v>
      </c>
      <c r="W25" s="90">
        <f t="shared" si="5"/>
        <v>0</v>
      </c>
      <c r="X25" s="90">
        <f t="shared" si="6"/>
        <v>0</v>
      </c>
      <c r="Y25" s="141">
        <f t="shared" si="8"/>
        <v>16</v>
      </c>
      <c r="Z25" s="298">
        <v>4</v>
      </c>
      <c r="AA25" s="299">
        <v>4</v>
      </c>
      <c r="AB25" s="299">
        <v>16</v>
      </c>
      <c r="AC25" s="301">
        <v>0</v>
      </c>
      <c r="AD25" s="301">
        <v>0</v>
      </c>
      <c r="AE25" s="126"/>
      <c r="AF25" s="298"/>
      <c r="AG25" s="299"/>
      <c r="AH25" s="299"/>
      <c r="AI25" s="301"/>
      <c r="AJ25" s="301"/>
      <c r="AK25" s="426"/>
      <c r="AL25" s="298"/>
      <c r="AM25" s="299"/>
      <c r="AN25" s="299"/>
      <c r="AO25" s="301"/>
      <c r="AP25" s="301"/>
      <c r="AQ25" s="426"/>
      <c r="AR25" s="298"/>
      <c r="AS25" s="299"/>
      <c r="AT25" s="299"/>
      <c r="AU25" s="301"/>
      <c r="AV25" s="301"/>
      <c r="AW25" s="88"/>
      <c r="AX25" s="298"/>
      <c r="AY25" s="299"/>
      <c r="AZ25" s="299"/>
      <c r="BA25" s="301"/>
      <c r="BB25" s="301"/>
      <c r="BC25" s="426"/>
      <c r="BD25" s="298"/>
      <c r="BE25" s="299"/>
      <c r="BF25" s="299"/>
      <c r="BG25" s="301"/>
      <c r="BH25" s="301"/>
      <c r="BI25" s="88"/>
      <c r="BJ25" s="298"/>
      <c r="BK25" s="299"/>
      <c r="BL25" s="299"/>
      <c r="BM25" s="301"/>
      <c r="BN25" s="301"/>
      <c r="BO25" s="88"/>
      <c r="BP25" s="9"/>
      <c r="BS25" s="81"/>
      <c r="BT25" s="81"/>
      <c r="BV25" s="9"/>
      <c r="BY25" s="81"/>
      <c r="BZ25" s="81"/>
      <c r="CB25" s="9"/>
      <c r="CE25" s="81"/>
      <c r="CF25" s="81"/>
      <c r="CH25" s="9"/>
      <c r="CK25" s="81"/>
      <c r="CL25" s="81"/>
      <c r="CR25" s="9"/>
      <c r="CS25" s="9"/>
      <c r="CT25" s="9"/>
      <c r="CU25" s="9"/>
      <c r="CV25" s="9"/>
      <c r="CW25" s="129"/>
      <c r="CX25" s="9"/>
    </row>
    <row r="26" spans="1:102">
      <c r="A26" s="6" t="str">
        <f t="shared" si="0"/>
        <v>00040603</v>
      </c>
      <c r="B26" s="6" t="s">
        <v>1654</v>
      </c>
      <c r="C26" s="6" t="s">
        <v>2005</v>
      </c>
      <c r="D26" s="6">
        <v>17</v>
      </c>
      <c r="E26" s="6">
        <v>4</v>
      </c>
      <c r="F26" s="6" t="s">
        <v>1123</v>
      </c>
      <c r="G26" s="6">
        <v>603</v>
      </c>
      <c r="H26" s="6" t="s">
        <v>2176</v>
      </c>
      <c r="I26" s="33">
        <v>12998538.142637189</v>
      </c>
      <c r="J26" s="88">
        <v>0.81549770499619512</v>
      </c>
      <c r="K26" s="89">
        <f t="shared" si="9"/>
        <v>13561431.972144121</v>
      </c>
      <c r="L26" s="88">
        <f>IF(K29&gt;0, K26/K29, 0)</f>
        <v>0.81222854921500109</v>
      </c>
      <c r="M26" s="58"/>
      <c r="N26" s="9">
        <f>ROUND(M29*L26,0)</f>
        <v>4059948</v>
      </c>
      <c r="O26" s="9">
        <v>3947597</v>
      </c>
      <c r="P26" s="9">
        <f>N26-O26</f>
        <v>112351</v>
      </c>
      <c r="Q26" s="40">
        <f t="shared" si="10"/>
        <v>2.846060527455057</v>
      </c>
      <c r="R26" s="9">
        <v>856.0834752950999</v>
      </c>
      <c r="S26" s="9">
        <f t="shared" si="7"/>
        <v>860.18312236076997</v>
      </c>
      <c r="T26" s="90">
        <f t="shared" si="2"/>
        <v>4</v>
      </c>
      <c r="U26" s="90">
        <f t="shared" si="3"/>
        <v>603</v>
      </c>
      <c r="V26" s="373">
        <f t="shared" si="4"/>
        <v>17</v>
      </c>
      <c r="W26" s="90">
        <f t="shared" si="5"/>
        <v>860.18312236076997</v>
      </c>
      <c r="X26" s="90">
        <f t="shared" si="6"/>
        <v>13561431.972144121</v>
      </c>
      <c r="Y26" s="141">
        <f t="shared" si="8"/>
        <v>17</v>
      </c>
      <c r="Z26" s="298">
        <v>4</v>
      </c>
      <c r="AA26" s="299">
        <v>603</v>
      </c>
      <c r="AB26" s="299">
        <v>17</v>
      </c>
      <c r="AC26" s="301">
        <v>860.18312236076997</v>
      </c>
      <c r="AD26" s="301">
        <v>13561431.972144121</v>
      </c>
      <c r="AE26" s="126"/>
      <c r="AF26" s="298"/>
      <c r="AG26" s="299"/>
      <c r="AH26" s="299"/>
      <c r="AI26" s="301"/>
      <c r="AJ26" s="301"/>
      <c r="AK26" s="426"/>
      <c r="AL26" s="298"/>
      <c r="AM26" s="299"/>
      <c r="AN26" s="299"/>
      <c r="AO26" s="301"/>
      <c r="AP26" s="301"/>
      <c r="AQ26" s="426"/>
      <c r="AR26" s="298"/>
      <c r="AS26" s="299"/>
      <c r="AT26" s="299"/>
      <c r="AU26" s="301"/>
      <c r="AV26" s="301"/>
      <c r="AW26" s="88"/>
      <c r="AX26" s="298"/>
      <c r="AY26" s="299"/>
      <c r="AZ26" s="299"/>
      <c r="BA26" s="301"/>
      <c r="BB26" s="301"/>
      <c r="BC26" s="426"/>
      <c r="BD26" s="298"/>
      <c r="BE26" s="299"/>
      <c r="BF26" s="299"/>
      <c r="BG26" s="301"/>
      <c r="BH26" s="301"/>
      <c r="BI26" s="88"/>
      <c r="BJ26" s="298"/>
      <c r="BK26" s="299"/>
      <c r="BL26" s="299"/>
      <c r="BM26" s="301"/>
      <c r="BN26" s="301"/>
      <c r="BO26" s="88"/>
      <c r="BP26" s="9"/>
      <c r="BS26" s="81"/>
      <c r="BT26" s="81"/>
      <c r="BV26" s="9"/>
      <c r="BY26" s="81"/>
      <c r="BZ26" s="81"/>
      <c r="CB26" s="9"/>
      <c r="CE26" s="81"/>
      <c r="CF26" s="81"/>
      <c r="CH26" s="9"/>
      <c r="CK26" s="81"/>
      <c r="CL26" s="81"/>
      <c r="CR26" s="9"/>
      <c r="CS26" s="9"/>
      <c r="CT26" s="9"/>
      <c r="CU26" s="9"/>
      <c r="CV26" s="9"/>
      <c r="CW26" s="129"/>
      <c r="CX26" s="9"/>
    </row>
    <row r="27" spans="1:102">
      <c r="A27" s="6" t="str">
        <f t="shared" si="0"/>
        <v>00040851</v>
      </c>
      <c r="B27" s="6" t="s">
        <v>1654</v>
      </c>
      <c r="C27" s="6" t="s">
        <v>2076</v>
      </c>
      <c r="D27" s="6">
        <v>18</v>
      </c>
      <c r="E27" s="6">
        <v>4</v>
      </c>
      <c r="F27" s="6" t="s">
        <v>1123</v>
      </c>
      <c r="G27" s="6">
        <v>851</v>
      </c>
      <c r="H27" s="6" t="s">
        <v>1106</v>
      </c>
      <c r="I27" s="33">
        <v>2940854.5288576209</v>
      </c>
      <c r="J27" s="88">
        <v>0.18450229500380488</v>
      </c>
      <c r="K27" s="89">
        <f t="shared" si="9"/>
        <v>3135139.4365448644</v>
      </c>
      <c r="L27" s="88">
        <f>IF(K29&gt;0, K27/K29, 0)</f>
        <v>0.18777145078499896</v>
      </c>
      <c r="M27" s="58"/>
      <c r="N27" s="9">
        <f>ROUND(M29*L27,0)</f>
        <v>938581</v>
      </c>
      <c r="O27" s="9">
        <v>893124</v>
      </c>
      <c r="P27" s="9">
        <f>N27-O27</f>
        <v>45457</v>
      </c>
      <c r="Q27" s="40">
        <f t="shared" si="10"/>
        <v>5.0896628015818628</v>
      </c>
      <c r="R27" s="9">
        <v>138.99999999977999</v>
      </c>
      <c r="S27" s="9">
        <f t="shared" si="7"/>
        <v>142.99999999871002</v>
      </c>
      <c r="T27" s="90">
        <f t="shared" si="2"/>
        <v>4</v>
      </c>
      <c r="U27" s="90">
        <f t="shared" si="3"/>
        <v>851</v>
      </c>
      <c r="V27" s="373">
        <f t="shared" si="4"/>
        <v>18</v>
      </c>
      <c r="W27" s="90">
        <f t="shared" si="5"/>
        <v>142.99999999871002</v>
      </c>
      <c r="X27" s="90">
        <f t="shared" si="6"/>
        <v>3135139.4365448644</v>
      </c>
      <c r="Y27" s="141">
        <f t="shared" si="8"/>
        <v>18</v>
      </c>
      <c r="Z27" s="298">
        <v>4</v>
      </c>
      <c r="AA27" s="299">
        <v>851</v>
      </c>
      <c r="AB27" s="299">
        <v>18</v>
      </c>
      <c r="AC27" s="301">
        <v>142.99999999871002</v>
      </c>
      <c r="AD27" s="301">
        <v>3135139.4365448644</v>
      </c>
      <c r="AE27" s="126"/>
      <c r="AF27" s="298"/>
      <c r="AG27" s="299"/>
      <c r="AH27" s="299"/>
      <c r="AI27" s="301"/>
      <c r="AJ27" s="301"/>
      <c r="AK27" s="426"/>
      <c r="AL27" s="298"/>
      <c r="AM27" s="299"/>
      <c r="AN27" s="299"/>
      <c r="AO27" s="301"/>
      <c r="AP27" s="301"/>
      <c r="AQ27" s="426"/>
      <c r="AR27" s="298"/>
      <c r="AS27" s="299"/>
      <c r="AT27" s="299"/>
      <c r="AU27" s="301"/>
      <c r="AV27" s="301"/>
      <c r="AW27" s="88"/>
      <c r="AX27" s="298"/>
      <c r="AY27" s="299"/>
      <c r="AZ27" s="299"/>
      <c r="BA27" s="301"/>
      <c r="BB27" s="301"/>
      <c r="BC27" s="426"/>
      <c r="BD27" s="298"/>
      <c r="BE27" s="299"/>
      <c r="BF27" s="299"/>
      <c r="BG27" s="301"/>
      <c r="BH27" s="301"/>
      <c r="BI27" s="88"/>
      <c r="BJ27" s="298"/>
      <c r="BK27" s="299"/>
      <c r="BL27" s="299"/>
      <c r="BM27" s="301"/>
      <c r="BN27" s="301"/>
      <c r="BO27" s="88"/>
      <c r="BP27" s="9"/>
      <c r="BS27" s="81"/>
      <c r="BT27" s="81"/>
      <c r="BV27" s="9"/>
      <c r="BY27" s="81"/>
      <c r="BZ27" s="81"/>
      <c r="CB27" s="9"/>
      <c r="CE27" s="81"/>
      <c r="CF27" s="81"/>
      <c r="CH27" s="9"/>
      <c r="CK27" s="81"/>
      <c r="CL27" s="81"/>
      <c r="CR27" s="9"/>
      <c r="CS27" s="9"/>
      <c r="CT27" s="9"/>
      <c r="CU27" s="9"/>
      <c r="CV27" s="9"/>
      <c r="CW27" s="129"/>
      <c r="CX27" s="9"/>
    </row>
    <row r="28" spans="1:102">
      <c r="A28" s="6" t="str">
        <f t="shared" si="0"/>
        <v>00040998</v>
      </c>
      <c r="B28" s="6" t="s">
        <v>1654</v>
      </c>
      <c r="C28" s="6" t="s">
        <v>2091</v>
      </c>
      <c r="D28" s="6">
        <v>19</v>
      </c>
      <c r="E28" s="6">
        <v>4</v>
      </c>
      <c r="F28" s="6" t="s">
        <v>1547</v>
      </c>
      <c r="G28" s="6">
        <v>998</v>
      </c>
      <c r="H28" s="6" t="s">
        <v>1547</v>
      </c>
      <c r="I28" s="33">
        <v>0</v>
      </c>
      <c r="J28" s="88">
        <v>0</v>
      </c>
      <c r="K28" s="89">
        <f t="shared" si="9"/>
        <v>0</v>
      </c>
      <c r="L28" s="88">
        <f>IF(K29&gt;0, K28/K29, 0)</f>
        <v>0</v>
      </c>
      <c r="M28" s="58"/>
      <c r="N28" s="9">
        <f>ROUND(M29*L28,0)</f>
        <v>0</v>
      </c>
      <c r="O28" s="9">
        <v>0</v>
      </c>
      <c r="P28" s="9">
        <f>N28-O28</f>
        <v>0</v>
      </c>
      <c r="Q28" s="40">
        <f t="shared" si="10"/>
        <v>0</v>
      </c>
      <c r="R28" s="9">
        <v>0</v>
      </c>
      <c r="S28" s="9">
        <f t="shared" si="7"/>
        <v>0</v>
      </c>
      <c r="T28" s="90">
        <f t="shared" si="2"/>
        <v>4</v>
      </c>
      <c r="U28" s="90">
        <f t="shared" si="3"/>
        <v>998</v>
      </c>
      <c r="V28" s="373">
        <f t="shared" si="4"/>
        <v>19</v>
      </c>
      <c r="W28" s="90">
        <f t="shared" si="5"/>
        <v>0</v>
      </c>
      <c r="X28" s="90">
        <f t="shared" si="6"/>
        <v>0</v>
      </c>
      <c r="Y28" s="141">
        <f t="shared" si="8"/>
        <v>19</v>
      </c>
      <c r="Z28" s="298">
        <v>4</v>
      </c>
      <c r="AA28" s="299">
        <v>998</v>
      </c>
      <c r="AB28" s="299">
        <v>19</v>
      </c>
      <c r="AC28" s="301">
        <v>0</v>
      </c>
      <c r="AD28" s="301">
        <v>0</v>
      </c>
      <c r="AE28" s="126"/>
      <c r="AF28" s="298"/>
      <c r="AG28" s="299"/>
      <c r="AH28" s="299"/>
      <c r="AI28" s="301"/>
      <c r="AJ28" s="301"/>
      <c r="AK28" s="426"/>
      <c r="AL28" s="298"/>
      <c r="AM28" s="299"/>
      <c r="AN28" s="299"/>
      <c r="AO28" s="301"/>
      <c r="AP28" s="301"/>
      <c r="AQ28" s="426"/>
      <c r="AR28" s="298"/>
      <c r="AS28" s="299"/>
      <c r="AT28" s="299"/>
      <c r="AU28" s="301"/>
      <c r="AV28" s="301"/>
      <c r="AW28" s="88"/>
      <c r="AX28" s="298"/>
      <c r="AY28" s="299"/>
      <c r="AZ28" s="299"/>
      <c r="BA28" s="301"/>
      <c r="BB28" s="301"/>
      <c r="BC28" s="426"/>
      <c r="BD28" s="298"/>
      <c r="BE28" s="299"/>
      <c r="BF28" s="299"/>
      <c r="BG28" s="301"/>
      <c r="BH28" s="301"/>
      <c r="BI28" s="88"/>
      <c r="BJ28" s="298"/>
      <c r="BK28" s="299"/>
      <c r="BL28" s="299"/>
      <c r="BM28" s="301"/>
      <c r="BN28" s="301"/>
      <c r="BO28" s="88"/>
      <c r="BP28" s="9"/>
      <c r="BS28" s="81"/>
      <c r="BT28" s="81"/>
      <c r="BV28" s="9"/>
      <c r="BY28" s="81"/>
      <c r="BZ28" s="81"/>
      <c r="CB28" s="9"/>
      <c r="CE28" s="81"/>
      <c r="CF28" s="81"/>
      <c r="CH28" s="9"/>
      <c r="CK28" s="81"/>
      <c r="CL28" s="81"/>
      <c r="CR28" s="9"/>
      <c r="CS28" s="9"/>
      <c r="CT28" s="9"/>
      <c r="CU28" s="9"/>
      <c r="CV28" s="9"/>
      <c r="CW28" s="129"/>
      <c r="CX28" s="9"/>
    </row>
    <row r="29" spans="1:102">
      <c r="A29" s="6" t="str">
        <f t="shared" si="0"/>
        <v>00040999</v>
      </c>
      <c r="B29" s="6" t="s">
        <v>1654</v>
      </c>
      <c r="C29" s="6" t="s">
        <v>2092</v>
      </c>
      <c r="D29" s="6">
        <v>20</v>
      </c>
      <c r="E29" s="10">
        <v>4</v>
      </c>
      <c r="F29" s="10" t="s">
        <v>1123</v>
      </c>
      <c r="G29" s="10">
        <v>999</v>
      </c>
      <c r="H29" s="10" t="s">
        <v>593</v>
      </c>
      <c r="I29" s="92">
        <v>15939392.67149481</v>
      </c>
      <c r="J29" s="472">
        <v>1</v>
      </c>
      <c r="K29" s="53">
        <f>SUM(K25:K28)</f>
        <v>16696571.408688985</v>
      </c>
      <c r="L29" s="91">
        <f>SUM(L25:L28)</f>
        <v>1</v>
      </c>
      <c r="M29" s="79">
        <f>VLOOKUP(E29,town351,24)</f>
        <v>4998529</v>
      </c>
      <c r="N29" s="79">
        <f>SUM(N25:N28)</f>
        <v>4998529</v>
      </c>
      <c r="O29" s="79">
        <v>4840721</v>
      </c>
      <c r="P29" s="79">
        <f>SUM(P25:P28)</f>
        <v>157808</v>
      </c>
      <c r="Q29" s="39">
        <f t="shared" si="10"/>
        <v>3.2600102340126607</v>
      </c>
      <c r="R29" s="9">
        <v>995.08347529487992</v>
      </c>
      <c r="S29" s="9">
        <f t="shared" si="7"/>
        <v>1003.18312235948</v>
      </c>
      <c r="T29" s="90">
        <f t="shared" si="2"/>
        <v>4</v>
      </c>
      <c r="U29" s="90">
        <f t="shared" si="3"/>
        <v>999</v>
      </c>
      <c r="V29" s="373">
        <f t="shared" si="4"/>
        <v>20</v>
      </c>
      <c r="W29" s="90">
        <f t="shared" si="5"/>
        <v>1003.18312235948</v>
      </c>
      <c r="X29" s="90">
        <f t="shared" si="6"/>
        <v>16696571.408688985</v>
      </c>
      <c r="Y29" s="141">
        <f t="shared" si="8"/>
        <v>20</v>
      </c>
      <c r="Z29" s="298">
        <v>4</v>
      </c>
      <c r="AA29" s="299">
        <v>999</v>
      </c>
      <c r="AB29" s="299">
        <v>20</v>
      </c>
      <c r="AC29" s="301">
        <v>1003.18312235948</v>
      </c>
      <c r="AD29" s="301">
        <v>16696571.408688985</v>
      </c>
      <c r="AE29" s="126"/>
      <c r="AF29" s="298"/>
      <c r="AG29" s="299"/>
      <c r="AH29" s="299"/>
      <c r="AI29" s="301"/>
      <c r="AJ29" s="301"/>
      <c r="AK29" s="426"/>
      <c r="AL29" s="298"/>
      <c r="AM29" s="299"/>
      <c r="AN29" s="299"/>
      <c r="AO29" s="301"/>
      <c r="AP29" s="301"/>
      <c r="AQ29" s="426"/>
      <c r="AR29" s="298"/>
      <c r="AS29" s="299"/>
      <c r="AT29" s="299"/>
      <c r="AU29" s="301"/>
      <c r="AV29" s="301"/>
      <c r="AW29" s="91"/>
      <c r="AX29" s="298"/>
      <c r="AY29" s="299"/>
      <c r="AZ29" s="299"/>
      <c r="BA29" s="301"/>
      <c r="BB29" s="301"/>
      <c r="BC29" s="426"/>
      <c r="BD29" s="298"/>
      <c r="BE29" s="299"/>
      <c r="BF29" s="299"/>
      <c r="BG29" s="301"/>
      <c r="BH29" s="301"/>
      <c r="BI29" s="91"/>
      <c r="BJ29" s="298"/>
      <c r="BK29" s="299"/>
      <c r="BL29" s="299"/>
      <c r="BM29" s="301"/>
      <c r="BN29" s="301"/>
      <c r="BO29" s="91"/>
      <c r="BP29" s="9"/>
      <c r="BS29" s="81"/>
      <c r="BT29" s="81"/>
      <c r="BV29" s="9"/>
      <c r="BY29" s="81"/>
      <c r="BZ29" s="81"/>
      <c r="CB29" s="9"/>
      <c r="CE29" s="81"/>
      <c r="CF29" s="81"/>
      <c r="CH29" s="9"/>
      <c r="CK29" s="81"/>
      <c r="CL29" s="81"/>
      <c r="CR29" s="9"/>
      <c r="CS29" s="9"/>
      <c r="CT29" s="9"/>
      <c r="CU29" s="9"/>
      <c r="CV29" s="9"/>
      <c r="CW29" s="129"/>
      <c r="CX29" s="9"/>
    </row>
    <row r="30" spans="1:102">
      <c r="A30" s="6" t="str">
        <f t="shared" si="0"/>
        <v>00050005</v>
      </c>
      <c r="B30" s="6" t="s">
        <v>1655</v>
      </c>
      <c r="C30" s="6" t="s">
        <v>1655</v>
      </c>
      <c r="D30" s="6">
        <v>21</v>
      </c>
      <c r="E30" s="6">
        <v>5</v>
      </c>
      <c r="F30" s="6" t="s">
        <v>1124</v>
      </c>
      <c r="G30" s="6">
        <v>5</v>
      </c>
      <c r="H30" s="6" t="s">
        <v>686</v>
      </c>
      <c r="I30" s="33">
        <v>50397491.299999997</v>
      </c>
      <c r="J30" s="88">
        <v>1</v>
      </c>
      <c r="K30" s="89">
        <f>X30</f>
        <v>52988778.250000007</v>
      </c>
      <c r="L30" s="88">
        <f>IF(K34&gt;0, K30/K34, 0)</f>
        <v>1</v>
      </c>
      <c r="M30" s="58"/>
      <c r="N30" s="9">
        <f>ROUND(M34*L30,0)</f>
        <v>26903037</v>
      </c>
      <c r="O30" s="9">
        <v>25373043</v>
      </c>
      <c r="P30" s="9">
        <f>N30-O30</f>
        <v>1529994</v>
      </c>
      <c r="Q30" s="40">
        <f t="shared" si="10"/>
        <v>6.0299980573871252</v>
      </c>
      <c r="R30" s="9">
        <v>3421</v>
      </c>
      <c r="S30" s="9">
        <f t="shared" si="7"/>
        <v>3486</v>
      </c>
      <c r="T30" s="90">
        <f t="shared" si="2"/>
        <v>5</v>
      </c>
      <c r="U30" s="90">
        <f t="shared" si="3"/>
        <v>5</v>
      </c>
      <c r="V30" s="373">
        <f t="shared" si="4"/>
        <v>21</v>
      </c>
      <c r="W30" s="90">
        <f t="shared" si="5"/>
        <v>3486</v>
      </c>
      <c r="X30" s="90">
        <f t="shared" si="6"/>
        <v>52988778.250000007</v>
      </c>
      <c r="Y30" s="141">
        <f t="shared" si="8"/>
        <v>21</v>
      </c>
      <c r="Z30" s="298">
        <v>5</v>
      </c>
      <c r="AA30" s="299">
        <v>5</v>
      </c>
      <c r="AB30" s="299">
        <v>21</v>
      </c>
      <c r="AC30" s="301">
        <v>3486</v>
      </c>
      <c r="AD30" s="301">
        <v>52988778.250000007</v>
      </c>
      <c r="AE30" s="126"/>
      <c r="AF30" s="298"/>
      <c r="AG30" s="299"/>
      <c r="AH30" s="299"/>
      <c r="AI30" s="301"/>
      <c r="AJ30" s="301"/>
      <c r="AK30" s="426"/>
      <c r="AL30" s="298"/>
      <c r="AM30" s="299"/>
      <c r="AN30" s="299"/>
      <c r="AO30" s="301"/>
      <c r="AP30" s="301"/>
      <c r="AQ30" s="426"/>
      <c r="AR30" s="298"/>
      <c r="AS30" s="299"/>
      <c r="AT30" s="299"/>
      <c r="AU30" s="301"/>
      <c r="AV30" s="301"/>
      <c r="AW30" s="88"/>
      <c r="AX30" s="298"/>
      <c r="AY30" s="299"/>
      <c r="AZ30" s="299"/>
      <c r="BA30" s="301"/>
      <c r="BB30" s="301"/>
      <c r="BC30" s="426"/>
      <c r="BD30" s="298"/>
      <c r="BE30" s="299"/>
      <c r="BF30" s="299"/>
      <c r="BG30" s="301"/>
      <c r="BH30" s="301"/>
      <c r="BI30" s="88"/>
      <c r="BJ30" s="298"/>
      <c r="BK30" s="299"/>
      <c r="BL30" s="299"/>
      <c r="BM30" s="301"/>
      <c r="BN30" s="301"/>
      <c r="BO30" s="88"/>
      <c r="BP30" s="9"/>
      <c r="BS30" s="81"/>
      <c r="BT30" s="81"/>
      <c r="BV30" s="9"/>
      <c r="BY30" s="81"/>
      <c r="BZ30" s="81"/>
      <c r="CB30" s="9"/>
      <c r="CE30" s="81"/>
      <c r="CF30" s="81"/>
      <c r="CH30" s="9"/>
      <c r="CK30" s="81"/>
      <c r="CL30" s="81"/>
      <c r="CR30" s="9"/>
      <c r="CS30" s="9"/>
      <c r="CT30" s="9"/>
      <c r="CU30" s="9"/>
      <c r="CV30" s="9"/>
      <c r="CW30" s="129"/>
      <c r="CX30" s="9"/>
    </row>
    <row r="31" spans="1:102">
      <c r="A31" s="6" t="str">
        <f t="shared" si="0"/>
        <v>00050998</v>
      </c>
      <c r="B31" s="6" t="s">
        <v>1655</v>
      </c>
      <c r="C31" s="6" t="s">
        <v>2091</v>
      </c>
      <c r="D31" s="6">
        <v>22</v>
      </c>
      <c r="E31" s="6">
        <v>5</v>
      </c>
      <c r="F31" s="6" t="s">
        <v>1547</v>
      </c>
      <c r="G31" s="6">
        <v>998</v>
      </c>
      <c r="H31" s="6" t="s">
        <v>1547</v>
      </c>
      <c r="I31" s="33">
        <v>0</v>
      </c>
      <c r="J31" s="88">
        <v>0</v>
      </c>
      <c r="K31" s="89">
        <f t="shared" si="9"/>
        <v>0</v>
      </c>
      <c r="L31" s="88">
        <f>IF(K34&gt;0, K31/K34, 0)</f>
        <v>0</v>
      </c>
      <c r="M31" s="58"/>
      <c r="N31" s="9">
        <f>ROUND(M34*L31,0)</f>
        <v>0</v>
      </c>
      <c r="O31" s="9">
        <v>0</v>
      </c>
      <c r="P31" s="9">
        <f>N31-O31</f>
        <v>0</v>
      </c>
      <c r="Q31" s="40">
        <f t="shared" si="10"/>
        <v>0</v>
      </c>
      <c r="R31" s="9">
        <v>0</v>
      </c>
      <c r="S31" s="9">
        <f t="shared" si="7"/>
        <v>0</v>
      </c>
      <c r="T31" s="90">
        <f t="shared" si="2"/>
        <v>5</v>
      </c>
      <c r="U31" s="90">
        <f t="shared" si="3"/>
        <v>998</v>
      </c>
      <c r="V31" s="373">
        <f t="shared" si="4"/>
        <v>22</v>
      </c>
      <c r="W31" s="90">
        <f t="shared" si="5"/>
        <v>0</v>
      </c>
      <c r="X31" s="90">
        <f t="shared" si="6"/>
        <v>0</v>
      </c>
      <c r="Y31" s="141">
        <f t="shared" si="8"/>
        <v>22</v>
      </c>
      <c r="Z31" s="298">
        <v>5</v>
      </c>
      <c r="AA31" s="299">
        <v>998</v>
      </c>
      <c r="AB31" s="299">
        <v>22</v>
      </c>
      <c r="AC31" s="301">
        <v>0</v>
      </c>
      <c r="AD31" s="301">
        <v>0</v>
      </c>
      <c r="AE31" s="126"/>
      <c r="AF31" s="298"/>
      <c r="AG31" s="299"/>
      <c r="AH31" s="299"/>
      <c r="AI31" s="301"/>
      <c r="AJ31" s="301"/>
      <c r="AK31" s="426"/>
      <c r="AL31" s="298"/>
      <c r="AM31" s="299"/>
      <c r="AN31" s="299"/>
      <c r="AO31" s="301"/>
      <c r="AP31" s="301"/>
      <c r="AQ31" s="426"/>
      <c r="AR31" s="298"/>
      <c r="AS31" s="299"/>
      <c r="AT31" s="299"/>
      <c r="AU31" s="301"/>
      <c r="AV31" s="301"/>
      <c r="AW31" s="88"/>
      <c r="AX31" s="298"/>
      <c r="AY31" s="299"/>
      <c r="AZ31" s="299"/>
      <c r="BA31" s="301"/>
      <c r="BB31" s="301"/>
      <c r="BC31" s="426"/>
      <c r="BD31" s="298"/>
      <c r="BE31" s="299"/>
      <c r="BF31" s="299"/>
      <c r="BG31" s="301"/>
      <c r="BH31" s="301"/>
      <c r="BI31" s="88"/>
      <c r="BJ31" s="298"/>
      <c r="BK31" s="299"/>
      <c r="BL31" s="299"/>
      <c r="BM31" s="301"/>
      <c r="BN31" s="301"/>
      <c r="BO31" s="88"/>
      <c r="BP31" s="9"/>
      <c r="BS31" s="81"/>
      <c r="BT31" s="81"/>
      <c r="BV31" s="9"/>
      <c r="BY31" s="81"/>
      <c r="BZ31" s="81"/>
      <c r="CB31" s="9"/>
      <c r="CE31" s="81"/>
      <c r="CF31" s="81"/>
      <c r="CH31" s="9"/>
      <c r="CK31" s="81"/>
      <c r="CL31" s="81"/>
      <c r="CR31" s="9"/>
      <c r="CS31" s="9"/>
      <c r="CT31" s="9"/>
      <c r="CU31" s="9"/>
      <c r="CV31" s="9"/>
      <c r="CW31" s="129"/>
      <c r="CX31" s="9"/>
    </row>
    <row r="32" spans="1:102">
      <c r="A32" s="6" t="str">
        <f t="shared" si="0"/>
        <v>00050998</v>
      </c>
      <c r="B32" s="6" t="s">
        <v>1655</v>
      </c>
      <c r="C32" s="6" t="s">
        <v>2091</v>
      </c>
      <c r="D32" s="6">
        <v>23</v>
      </c>
      <c r="E32" s="6">
        <v>5</v>
      </c>
      <c r="F32" s="6" t="s">
        <v>1547</v>
      </c>
      <c r="G32" s="6">
        <v>998</v>
      </c>
      <c r="H32" s="6" t="s">
        <v>1547</v>
      </c>
      <c r="I32" s="33">
        <v>0</v>
      </c>
      <c r="J32" s="88">
        <v>0</v>
      </c>
      <c r="K32" s="89">
        <f t="shared" si="9"/>
        <v>0</v>
      </c>
      <c r="L32" s="88">
        <f>IF(K34&gt;0, K32/K34, 0)</f>
        <v>0</v>
      </c>
      <c r="M32" s="58"/>
      <c r="N32" s="9">
        <f>ROUND(M34*L32,0)</f>
        <v>0</v>
      </c>
      <c r="O32" s="9">
        <v>0</v>
      </c>
      <c r="P32" s="9">
        <f>N32-O32</f>
        <v>0</v>
      </c>
      <c r="Q32" s="40">
        <f t="shared" si="10"/>
        <v>0</v>
      </c>
      <c r="R32" s="9">
        <v>0</v>
      </c>
      <c r="S32" s="9">
        <f t="shared" si="7"/>
        <v>0</v>
      </c>
      <c r="T32" s="90">
        <f t="shared" si="2"/>
        <v>5</v>
      </c>
      <c r="U32" s="90">
        <f t="shared" si="3"/>
        <v>998</v>
      </c>
      <c r="V32" s="373">
        <f t="shared" si="4"/>
        <v>23</v>
      </c>
      <c r="W32" s="90">
        <f t="shared" si="5"/>
        <v>0</v>
      </c>
      <c r="X32" s="90">
        <f t="shared" si="6"/>
        <v>0</v>
      </c>
      <c r="Y32" s="141">
        <f t="shared" si="8"/>
        <v>23</v>
      </c>
      <c r="Z32" s="298">
        <v>5</v>
      </c>
      <c r="AA32" s="299">
        <v>998</v>
      </c>
      <c r="AB32" s="299">
        <v>23</v>
      </c>
      <c r="AC32" s="301">
        <v>0</v>
      </c>
      <c r="AD32" s="301">
        <v>0</v>
      </c>
      <c r="AE32" s="126"/>
      <c r="AF32" s="298"/>
      <c r="AG32" s="299"/>
      <c r="AH32" s="299"/>
      <c r="AI32" s="301"/>
      <c r="AJ32" s="301"/>
      <c r="AK32" s="426"/>
      <c r="AL32" s="298"/>
      <c r="AM32" s="299"/>
      <c r="AN32" s="299"/>
      <c r="AO32" s="301"/>
      <c r="AP32" s="301"/>
      <c r="AQ32" s="426"/>
      <c r="AR32" s="298"/>
      <c r="AS32" s="299"/>
      <c r="AT32" s="299"/>
      <c r="AU32" s="301"/>
      <c r="AV32" s="301"/>
      <c r="AW32" s="88"/>
      <c r="AX32" s="298"/>
      <c r="AY32" s="299"/>
      <c r="AZ32" s="299"/>
      <c r="BA32" s="301"/>
      <c r="BB32" s="301"/>
      <c r="BC32" s="426"/>
      <c r="BD32" s="298"/>
      <c r="BE32" s="299"/>
      <c r="BF32" s="299"/>
      <c r="BG32" s="301"/>
      <c r="BH32" s="301"/>
      <c r="BI32" s="88"/>
      <c r="BJ32" s="298"/>
      <c r="BK32" s="299"/>
      <c r="BL32" s="299"/>
      <c r="BM32" s="301"/>
      <c r="BN32" s="301"/>
      <c r="BO32" s="88"/>
      <c r="BP32" s="9"/>
      <c r="BS32" s="81"/>
      <c r="BT32" s="81"/>
      <c r="BV32" s="9"/>
      <c r="BY32" s="81"/>
      <c r="BZ32" s="81"/>
      <c r="CB32" s="9"/>
      <c r="CE32" s="81"/>
      <c r="CF32" s="81"/>
      <c r="CH32" s="9"/>
      <c r="CK32" s="81"/>
      <c r="CL32" s="81"/>
      <c r="CR32" s="9"/>
      <c r="CS32" s="9"/>
      <c r="CT32" s="9"/>
      <c r="CU32" s="9"/>
      <c r="CV32" s="9"/>
      <c r="CW32" s="129"/>
      <c r="CX32" s="9"/>
    </row>
    <row r="33" spans="1:102">
      <c r="A33" s="6" t="str">
        <f t="shared" si="0"/>
        <v>00050998</v>
      </c>
      <c r="B33" s="6" t="s">
        <v>1655</v>
      </c>
      <c r="C33" s="6" t="s">
        <v>2091</v>
      </c>
      <c r="D33" s="6">
        <v>24</v>
      </c>
      <c r="E33" s="6">
        <v>5</v>
      </c>
      <c r="F33" s="6" t="s">
        <v>1547</v>
      </c>
      <c r="G33" s="6">
        <v>998</v>
      </c>
      <c r="H33" s="6" t="s">
        <v>1547</v>
      </c>
      <c r="I33" s="33">
        <v>0</v>
      </c>
      <c r="J33" s="88">
        <v>0</v>
      </c>
      <c r="K33" s="89">
        <f t="shared" si="9"/>
        <v>0</v>
      </c>
      <c r="L33" s="88">
        <f>IF(K34&gt;0, K33/K34, 0)</f>
        <v>0</v>
      </c>
      <c r="M33" s="58"/>
      <c r="N33" s="9">
        <f>ROUND(M34*L33,0)</f>
        <v>0</v>
      </c>
      <c r="O33" s="9">
        <v>0</v>
      </c>
      <c r="P33" s="9">
        <f>N33-O33</f>
        <v>0</v>
      </c>
      <c r="Q33" s="40">
        <f t="shared" si="10"/>
        <v>0</v>
      </c>
      <c r="R33" s="9">
        <v>0</v>
      </c>
      <c r="S33" s="9">
        <f t="shared" si="7"/>
        <v>0</v>
      </c>
      <c r="T33" s="90">
        <f t="shared" si="2"/>
        <v>5</v>
      </c>
      <c r="U33" s="90">
        <f t="shared" si="3"/>
        <v>998</v>
      </c>
      <c r="V33" s="373">
        <f t="shared" si="4"/>
        <v>24</v>
      </c>
      <c r="W33" s="90">
        <f t="shared" si="5"/>
        <v>0</v>
      </c>
      <c r="X33" s="90">
        <f t="shared" si="6"/>
        <v>0</v>
      </c>
      <c r="Y33" s="141">
        <f t="shared" si="8"/>
        <v>24</v>
      </c>
      <c r="Z33" s="298">
        <v>5</v>
      </c>
      <c r="AA33" s="299">
        <v>998</v>
      </c>
      <c r="AB33" s="299">
        <v>24</v>
      </c>
      <c r="AC33" s="301">
        <v>0</v>
      </c>
      <c r="AD33" s="301">
        <v>0</v>
      </c>
      <c r="AE33" s="126"/>
      <c r="AF33" s="298"/>
      <c r="AG33" s="299"/>
      <c r="AH33" s="299"/>
      <c r="AI33" s="301"/>
      <c r="AJ33" s="301"/>
      <c r="AK33" s="426"/>
      <c r="AL33" s="298"/>
      <c r="AM33" s="299"/>
      <c r="AN33" s="299"/>
      <c r="AO33" s="301"/>
      <c r="AP33" s="301"/>
      <c r="AQ33" s="426"/>
      <c r="AR33" s="298"/>
      <c r="AS33" s="299"/>
      <c r="AT33" s="299"/>
      <c r="AU33" s="301"/>
      <c r="AV33" s="301"/>
      <c r="AW33" s="88"/>
      <c r="AX33" s="298"/>
      <c r="AY33" s="299"/>
      <c r="AZ33" s="299"/>
      <c r="BA33" s="301"/>
      <c r="BB33" s="301"/>
      <c r="BC33" s="426"/>
      <c r="BD33" s="298"/>
      <c r="BE33" s="299"/>
      <c r="BF33" s="299"/>
      <c r="BG33" s="301"/>
      <c r="BH33" s="301"/>
      <c r="BI33" s="88"/>
      <c r="BJ33" s="298"/>
      <c r="BK33" s="299"/>
      <c r="BL33" s="299"/>
      <c r="BM33" s="301"/>
      <c r="BN33" s="301"/>
      <c r="BO33" s="88"/>
      <c r="BP33" s="9"/>
      <c r="BS33" s="81"/>
      <c r="BT33" s="81"/>
      <c r="BV33" s="9"/>
      <c r="BY33" s="81"/>
      <c r="BZ33" s="81"/>
      <c r="CB33" s="9"/>
      <c r="CE33" s="81"/>
      <c r="CF33" s="81"/>
      <c r="CH33" s="9"/>
      <c r="CK33" s="81"/>
      <c r="CL33" s="81"/>
      <c r="CR33" s="9"/>
      <c r="CS33" s="9"/>
      <c r="CT33" s="9"/>
      <c r="CU33" s="9"/>
      <c r="CV33" s="9"/>
      <c r="CW33" s="129"/>
      <c r="CX33" s="9"/>
    </row>
    <row r="34" spans="1:102">
      <c r="A34" s="6" t="str">
        <f t="shared" si="0"/>
        <v>00050999</v>
      </c>
      <c r="B34" s="6" t="s">
        <v>1655</v>
      </c>
      <c r="C34" s="6" t="s">
        <v>2092</v>
      </c>
      <c r="D34" s="6">
        <v>25</v>
      </c>
      <c r="E34" s="10">
        <v>5</v>
      </c>
      <c r="F34" s="10" t="s">
        <v>1124</v>
      </c>
      <c r="G34" s="10">
        <v>999</v>
      </c>
      <c r="H34" s="10" t="s">
        <v>593</v>
      </c>
      <c r="I34" s="92">
        <v>50397491.299999997</v>
      </c>
      <c r="J34" s="472">
        <v>1</v>
      </c>
      <c r="K34" s="53">
        <f>SUM(K30:K33)</f>
        <v>52988778.250000007</v>
      </c>
      <c r="L34" s="91">
        <f>SUM(L30:L33)</f>
        <v>1</v>
      </c>
      <c r="M34" s="79">
        <f>VLOOKUP(E34,town351,24)</f>
        <v>26903037</v>
      </c>
      <c r="N34" s="79">
        <f>SUM(N30:N33)</f>
        <v>26903037</v>
      </c>
      <c r="O34" s="79">
        <v>25373043</v>
      </c>
      <c r="P34" s="79">
        <f>SUM(P30:P33)</f>
        <v>1529994</v>
      </c>
      <c r="Q34" s="39">
        <f t="shared" si="10"/>
        <v>6.0299980573871252</v>
      </c>
      <c r="R34" s="9">
        <v>3421</v>
      </c>
      <c r="S34" s="9">
        <f t="shared" si="7"/>
        <v>3486</v>
      </c>
      <c r="T34" s="90">
        <f t="shared" si="2"/>
        <v>5</v>
      </c>
      <c r="U34" s="90">
        <f t="shared" si="3"/>
        <v>999</v>
      </c>
      <c r="V34" s="373">
        <f t="shared" si="4"/>
        <v>25</v>
      </c>
      <c r="W34" s="90">
        <f t="shared" si="5"/>
        <v>3486</v>
      </c>
      <c r="X34" s="90">
        <f t="shared" si="6"/>
        <v>52988778.250000007</v>
      </c>
      <c r="Y34" s="141">
        <f t="shared" si="8"/>
        <v>25</v>
      </c>
      <c r="Z34" s="298">
        <v>5</v>
      </c>
      <c r="AA34" s="299">
        <v>999</v>
      </c>
      <c r="AB34" s="299">
        <v>25</v>
      </c>
      <c r="AC34" s="301">
        <v>3486</v>
      </c>
      <c r="AD34" s="301">
        <v>52988778.250000007</v>
      </c>
      <c r="AE34" s="126"/>
      <c r="AF34" s="298"/>
      <c r="AG34" s="299"/>
      <c r="AH34" s="299"/>
      <c r="AI34" s="301"/>
      <c r="AJ34" s="301"/>
      <c r="AK34" s="426"/>
      <c r="AL34" s="298"/>
      <c r="AM34" s="299"/>
      <c r="AN34" s="299"/>
      <c r="AO34" s="301"/>
      <c r="AP34" s="301"/>
      <c r="AQ34" s="426"/>
      <c r="AR34" s="298"/>
      <c r="AS34" s="299"/>
      <c r="AT34" s="299"/>
      <c r="AU34" s="301"/>
      <c r="AV34" s="301"/>
      <c r="AW34" s="91"/>
      <c r="AX34" s="298"/>
      <c r="AY34" s="299"/>
      <c r="AZ34" s="299"/>
      <c r="BA34" s="301"/>
      <c r="BB34" s="301"/>
      <c r="BC34" s="426"/>
      <c r="BD34" s="298"/>
      <c r="BE34" s="299"/>
      <c r="BF34" s="299"/>
      <c r="BG34" s="301"/>
      <c r="BH34" s="301"/>
      <c r="BI34" s="91"/>
      <c r="BJ34" s="298"/>
      <c r="BK34" s="299"/>
      <c r="BL34" s="299"/>
      <c r="BM34" s="301"/>
      <c r="BN34" s="301"/>
      <c r="BO34" s="91"/>
      <c r="BP34" s="9"/>
      <c r="BS34" s="81"/>
      <c r="BT34" s="81"/>
      <c r="BV34" s="9"/>
      <c r="BY34" s="81"/>
      <c r="BZ34" s="81"/>
      <c r="CB34" s="9"/>
      <c r="CE34" s="81"/>
      <c r="CF34" s="81"/>
      <c r="CH34" s="9"/>
      <c r="CK34" s="81"/>
      <c r="CL34" s="81"/>
      <c r="CR34" s="9"/>
      <c r="CS34" s="9"/>
      <c r="CT34" s="9"/>
      <c r="CU34" s="9"/>
      <c r="CV34" s="9"/>
      <c r="CW34" s="129"/>
      <c r="CX34" s="9"/>
    </row>
    <row r="35" spans="1:102">
      <c r="A35" s="6" t="str">
        <f t="shared" si="0"/>
        <v>00060006</v>
      </c>
      <c r="B35" s="6" t="s">
        <v>1656</v>
      </c>
      <c r="C35" s="6" t="s">
        <v>1656</v>
      </c>
      <c r="D35" s="6">
        <v>26</v>
      </c>
      <c r="E35" s="6">
        <v>6</v>
      </c>
      <c r="F35" s="6" t="s">
        <v>1125</v>
      </c>
      <c r="G35" s="6">
        <v>6</v>
      </c>
      <c r="H35" s="6" t="s">
        <v>687</v>
      </c>
      <c r="I35" s="33">
        <v>0</v>
      </c>
      <c r="J35" s="88">
        <v>0</v>
      </c>
      <c r="K35" s="89">
        <f>X35</f>
        <v>0</v>
      </c>
      <c r="L35" s="88">
        <f>IF(K39&gt;0, K35/K39, 0)</f>
        <v>0</v>
      </c>
      <c r="M35" s="58"/>
      <c r="N35" s="9">
        <f>ROUND(M39*L35,0)</f>
        <v>0</v>
      </c>
      <c r="O35" s="9">
        <v>0</v>
      </c>
      <c r="P35" s="9">
        <f>N35-O35</f>
        <v>0</v>
      </c>
      <c r="Q35" s="40">
        <f t="shared" si="10"/>
        <v>0</v>
      </c>
      <c r="R35" s="9">
        <v>0</v>
      </c>
      <c r="S35" s="9">
        <f t="shared" si="7"/>
        <v>0</v>
      </c>
      <c r="T35" s="90">
        <f t="shared" si="2"/>
        <v>6</v>
      </c>
      <c r="U35" s="90">
        <f t="shared" si="3"/>
        <v>6</v>
      </c>
      <c r="V35" s="373">
        <f t="shared" si="4"/>
        <v>26</v>
      </c>
      <c r="W35" s="90">
        <f t="shared" si="5"/>
        <v>0</v>
      </c>
      <c r="X35" s="90">
        <f t="shared" si="6"/>
        <v>0</v>
      </c>
      <c r="Y35" s="141">
        <f t="shared" si="8"/>
        <v>26</v>
      </c>
      <c r="Z35" s="298">
        <v>6</v>
      </c>
      <c r="AA35" s="299">
        <v>6</v>
      </c>
      <c r="AB35" s="299">
        <v>26</v>
      </c>
      <c r="AC35" s="301">
        <v>0</v>
      </c>
      <c r="AD35" s="301">
        <v>0</v>
      </c>
      <c r="AE35" s="126"/>
      <c r="AF35" s="298"/>
      <c r="AG35" s="299"/>
      <c r="AH35" s="299"/>
      <c r="AI35" s="301"/>
      <c r="AJ35" s="301"/>
      <c r="AK35" s="426"/>
      <c r="AL35" s="298"/>
      <c r="AM35" s="299"/>
      <c r="AN35" s="299"/>
      <c r="AO35" s="301"/>
      <c r="AP35" s="301"/>
      <c r="AQ35" s="426"/>
      <c r="AR35" s="298"/>
      <c r="AS35" s="299"/>
      <c r="AT35" s="299"/>
      <c r="AU35" s="301"/>
      <c r="AV35" s="301"/>
      <c r="AW35" s="88"/>
      <c r="AX35" s="298"/>
      <c r="AY35" s="299"/>
      <c r="AZ35" s="299"/>
      <c r="BA35" s="301"/>
      <c r="BB35" s="301"/>
      <c r="BC35" s="426"/>
      <c r="BD35" s="298"/>
      <c r="BE35" s="299"/>
      <c r="BF35" s="299"/>
      <c r="BG35" s="301"/>
      <c r="BH35" s="301"/>
      <c r="BI35" s="88"/>
      <c r="BJ35" s="298"/>
      <c r="BK35" s="299"/>
      <c r="BL35" s="299"/>
      <c r="BM35" s="301"/>
      <c r="BN35" s="301"/>
      <c r="BO35" s="88"/>
      <c r="BP35" s="9"/>
      <c r="BS35" s="81"/>
      <c r="BT35" s="81"/>
      <c r="BV35" s="9"/>
      <c r="BY35" s="81"/>
      <c r="BZ35" s="81"/>
      <c r="CB35" s="9"/>
      <c r="CE35" s="81"/>
      <c r="CF35" s="81"/>
      <c r="CH35" s="9"/>
      <c r="CK35" s="81"/>
      <c r="CL35" s="81"/>
      <c r="CR35" s="9"/>
      <c r="CS35" s="9"/>
      <c r="CT35" s="9"/>
      <c r="CU35" s="9"/>
      <c r="CV35" s="9"/>
      <c r="CW35" s="129"/>
      <c r="CX35" s="9"/>
    </row>
    <row r="36" spans="1:102">
      <c r="A36" s="6" t="str">
        <f t="shared" si="0"/>
        <v>00060765</v>
      </c>
      <c r="B36" s="6" t="s">
        <v>1656</v>
      </c>
      <c r="C36" s="6" t="s">
        <v>2053</v>
      </c>
      <c r="D36" s="6">
        <v>27</v>
      </c>
      <c r="E36" s="6">
        <v>6</v>
      </c>
      <c r="F36" s="6" t="s">
        <v>1125</v>
      </c>
      <c r="G36" s="6">
        <v>765</v>
      </c>
      <c r="H36" s="6" t="s">
        <v>1083</v>
      </c>
      <c r="I36" s="33">
        <v>278259.71248189872</v>
      </c>
      <c r="J36" s="88">
        <v>1</v>
      </c>
      <c r="K36" s="89">
        <f t="shared" si="9"/>
        <v>279039.06521057821</v>
      </c>
      <c r="L36" s="88">
        <f>IF(K39&gt;0, K36/K39, 0)</f>
        <v>1</v>
      </c>
      <c r="M36" s="58"/>
      <c r="N36" s="9">
        <f>ROUND(M39*L36,0)</f>
        <v>230207</v>
      </c>
      <c r="O36" s="9">
        <v>229564</v>
      </c>
      <c r="P36" s="9">
        <f>N36-O36</f>
        <v>643</v>
      </c>
      <c r="Q36" s="40">
        <f t="shared" si="10"/>
        <v>0.28009618232823963</v>
      </c>
      <c r="R36" s="9">
        <v>19.398496240650001</v>
      </c>
      <c r="S36" s="9">
        <f t="shared" si="7"/>
        <v>19.17304747136</v>
      </c>
      <c r="T36" s="90">
        <f t="shared" si="2"/>
        <v>6</v>
      </c>
      <c r="U36" s="90">
        <f t="shared" si="3"/>
        <v>765</v>
      </c>
      <c r="V36" s="373">
        <f t="shared" si="4"/>
        <v>27</v>
      </c>
      <c r="W36" s="90">
        <f t="shared" si="5"/>
        <v>19.17304747136</v>
      </c>
      <c r="X36" s="90">
        <f t="shared" si="6"/>
        <v>279039.06521057821</v>
      </c>
      <c r="Y36" s="141">
        <f t="shared" si="8"/>
        <v>27</v>
      </c>
      <c r="Z36" s="298">
        <v>6</v>
      </c>
      <c r="AA36" s="299">
        <v>765</v>
      </c>
      <c r="AB36" s="299">
        <v>27</v>
      </c>
      <c r="AC36" s="301">
        <v>19.17304747136</v>
      </c>
      <c r="AD36" s="301">
        <v>279039.06521057821</v>
      </c>
      <c r="AE36" s="126"/>
      <c r="AF36" s="298"/>
      <c r="AG36" s="299"/>
      <c r="AH36" s="299"/>
      <c r="AI36" s="301"/>
      <c r="AJ36" s="301"/>
      <c r="AK36" s="426"/>
      <c r="AL36" s="298"/>
      <c r="AM36" s="299"/>
      <c r="AN36" s="299"/>
      <c r="AO36" s="301"/>
      <c r="AP36" s="301"/>
      <c r="AQ36" s="426"/>
      <c r="AR36" s="298"/>
      <c r="AS36" s="299"/>
      <c r="AT36" s="299"/>
      <c r="AU36" s="301"/>
      <c r="AV36" s="301"/>
      <c r="AW36" s="88"/>
      <c r="AX36" s="298"/>
      <c r="AY36" s="299"/>
      <c r="AZ36" s="299"/>
      <c r="BA36" s="301"/>
      <c r="BB36" s="301"/>
      <c r="BC36" s="426"/>
      <c r="BD36" s="298"/>
      <c r="BE36" s="299"/>
      <c r="BF36" s="299"/>
      <c r="BG36" s="301"/>
      <c r="BH36" s="301"/>
      <c r="BI36" s="88"/>
      <c r="BJ36" s="298"/>
      <c r="BK36" s="299"/>
      <c r="BL36" s="299"/>
      <c r="BM36" s="301"/>
      <c r="BN36" s="301"/>
      <c r="BO36" s="88"/>
      <c r="BP36" s="9"/>
      <c r="BS36" s="81"/>
      <c r="BT36" s="81"/>
      <c r="BV36" s="9"/>
      <c r="BY36" s="81"/>
      <c r="BZ36" s="81"/>
      <c r="CB36" s="9"/>
      <c r="CE36" s="81"/>
      <c r="CF36" s="81"/>
      <c r="CH36" s="9"/>
      <c r="CK36" s="81"/>
      <c r="CL36" s="81"/>
      <c r="CR36" s="9"/>
      <c r="CS36" s="9"/>
      <c r="CT36" s="9"/>
      <c r="CU36" s="9"/>
      <c r="CV36" s="9"/>
      <c r="CW36" s="129"/>
      <c r="CX36" s="9"/>
    </row>
    <row r="37" spans="1:102">
      <c r="A37" s="6" t="str">
        <f t="shared" si="0"/>
        <v>00060998</v>
      </c>
      <c r="B37" s="6" t="s">
        <v>1656</v>
      </c>
      <c r="C37" s="6" t="s">
        <v>2091</v>
      </c>
      <c r="D37" s="6">
        <v>28</v>
      </c>
      <c r="E37" s="6">
        <v>6</v>
      </c>
      <c r="F37" s="6" t="s">
        <v>1547</v>
      </c>
      <c r="G37" s="6">
        <v>998</v>
      </c>
      <c r="H37" s="6" t="s">
        <v>1547</v>
      </c>
      <c r="I37" s="33">
        <v>0</v>
      </c>
      <c r="J37" s="88">
        <v>0</v>
      </c>
      <c r="K37" s="89">
        <f t="shared" si="9"/>
        <v>0</v>
      </c>
      <c r="L37" s="88">
        <f>IF(K39&gt;0, K37/K39, 0)</f>
        <v>0</v>
      </c>
      <c r="M37" s="58"/>
      <c r="N37" s="9">
        <f>ROUND(M39*L37,0)</f>
        <v>0</v>
      </c>
      <c r="O37" s="9">
        <v>0</v>
      </c>
      <c r="P37" s="9">
        <f>N37-O37</f>
        <v>0</v>
      </c>
      <c r="Q37" s="40">
        <f t="shared" si="10"/>
        <v>0</v>
      </c>
      <c r="R37" s="9">
        <v>0</v>
      </c>
      <c r="S37" s="9">
        <f t="shared" si="7"/>
        <v>0</v>
      </c>
      <c r="T37" s="90">
        <f t="shared" si="2"/>
        <v>6</v>
      </c>
      <c r="U37" s="90">
        <f t="shared" si="3"/>
        <v>998</v>
      </c>
      <c r="V37" s="373">
        <f t="shared" si="4"/>
        <v>28</v>
      </c>
      <c r="W37" s="90">
        <f t="shared" si="5"/>
        <v>0</v>
      </c>
      <c r="X37" s="90">
        <f t="shared" si="6"/>
        <v>0</v>
      </c>
      <c r="Y37" s="141">
        <f t="shared" si="8"/>
        <v>28</v>
      </c>
      <c r="Z37" s="298">
        <v>6</v>
      </c>
      <c r="AA37" s="299">
        <v>998</v>
      </c>
      <c r="AB37" s="299">
        <v>28</v>
      </c>
      <c r="AC37" s="301">
        <v>0</v>
      </c>
      <c r="AD37" s="301">
        <v>0</v>
      </c>
      <c r="AE37" s="126"/>
      <c r="AF37" s="298"/>
      <c r="AG37" s="299"/>
      <c r="AH37" s="299"/>
      <c r="AI37" s="301"/>
      <c r="AJ37" s="301"/>
      <c r="AK37" s="426"/>
      <c r="AL37" s="298"/>
      <c r="AM37" s="299"/>
      <c r="AN37" s="299"/>
      <c r="AO37" s="301"/>
      <c r="AP37" s="301"/>
      <c r="AQ37" s="426"/>
      <c r="AR37" s="298"/>
      <c r="AS37" s="299"/>
      <c r="AT37" s="299"/>
      <c r="AU37" s="301"/>
      <c r="AV37" s="301"/>
      <c r="AW37" s="88"/>
      <c r="AX37" s="298"/>
      <c r="AY37" s="299"/>
      <c r="AZ37" s="299"/>
      <c r="BA37" s="301"/>
      <c r="BB37" s="301"/>
      <c r="BC37" s="426"/>
      <c r="BD37" s="298"/>
      <c r="BE37" s="299"/>
      <c r="BF37" s="299"/>
      <c r="BG37" s="301"/>
      <c r="BH37" s="301"/>
      <c r="BI37" s="88"/>
      <c r="BJ37" s="298"/>
      <c r="BK37" s="299"/>
      <c r="BL37" s="299"/>
      <c r="BM37" s="301"/>
      <c r="BN37" s="301"/>
      <c r="BO37" s="88"/>
      <c r="BP37" s="9"/>
      <c r="BS37" s="81"/>
      <c r="BT37" s="81"/>
      <c r="BV37" s="9"/>
      <c r="BY37" s="81"/>
      <c r="BZ37" s="81"/>
      <c r="CB37" s="9"/>
      <c r="CE37" s="81"/>
      <c r="CF37" s="81"/>
      <c r="CH37" s="9"/>
      <c r="CK37" s="81"/>
      <c r="CL37" s="81"/>
      <c r="CR37" s="9"/>
      <c r="CS37" s="9"/>
      <c r="CT37" s="9"/>
      <c r="CU37" s="9"/>
      <c r="CV37" s="9"/>
      <c r="CW37" s="129"/>
      <c r="CX37" s="9"/>
    </row>
    <row r="38" spans="1:102">
      <c r="A38" s="6" t="str">
        <f t="shared" si="0"/>
        <v>00060998</v>
      </c>
      <c r="B38" s="6" t="s">
        <v>1656</v>
      </c>
      <c r="C38" s="6" t="s">
        <v>2091</v>
      </c>
      <c r="D38" s="6">
        <v>29</v>
      </c>
      <c r="E38" s="6">
        <v>6</v>
      </c>
      <c r="F38" s="6" t="s">
        <v>1547</v>
      </c>
      <c r="G38" s="6">
        <v>998</v>
      </c>
      <c r="H38" s="6" t="s">
        <v>1547</v>
      </c>
      <c r="I38" s="33">
        <v>0</v>
      </c>
      <c r="J38" s="88">
        <v>0</v>
      </c>
      <c r="K38" s="89">
        <f t="shared" si="9"/>
        <v>0</v>
      </c>
      <c r="L38" s="88">
        <f>IF(K39&gt;0, K38/K39, 0)</f>
        <v>0</v>
      </c>
      <c r="M38" s="58"/>
      <c r="N38" s="9">
        <f>ROUND(M39*L38,0)</f>
        <v>0</v>
      </c>
      <c r="O38" s="9">
        <v>0</v>
      </c>
      <c r="P38" s="9">
        <f>N38-O38</f>
        <v>0</v>
      </c>
      <c r="Q38" s="40">
        <f t="shared" si="10"/>
        <v>0</v>
      </c>
      <c r="R38" s="9">
        <v>0</v>
      </c>
      <c r="S38" s="9">
        <f t="shared" si="7"/>
        <v>0</v>
      </c>
      <c r="T38" s="90">
        <f t="shared" si="2"/>
        <v>6</v>
      </c>
      <c r="U38" s="90">
        <f t="shared" si="3"/>
        <v>998</v>
      </c>
      <c r="V38" s="373">
        <f t="shared" si="4"/>
        <v>29</v>
      </c>
      <c r="W38" s="90">
        <f t="shared" si="5"/>
        <v>0</v>
      </c>
      <c r="X38" s="90">
        <f t="shared" si="6"/>
        <v>0</v>
      </c>
      <c r="Y38" s="141">
        <f t="shared" si="8"/>
        <v>29</v>
      </c>
      <c r="Z38" s="298">
        <v>6</v>
      </c>
      <c r="AA38" s="299">
        <v>998</v>
      </c>
      <c r="AB38" s="299">
        <v>29</v>
      </c>
      <c r="AC38" s="301">
        <v>0</v>
      </c>
      <c r="AD38" s="301">
        <v>0</v>
      </c>
      <c r="AE38" s="126"/>
      <c r="AF38" s="298"/>
      <c r="AG38" s="299"/>
      <c r="AH38" s="299"/>
      <c r="AI38" s="301"/>
      <c r="AJ38" s="301"/>
      <c r="AK38" s="426"/>
      <c r="AL38" s="298"/>
      <c r="AM38" s="299"/>
      <c r="AN38" s="299"/>
      <c r="AO38" s="301"/>
      <c r="AP38" s="301"/>
      <c r="AQ38" s="426"/>
      <c r="AR38" s="298"/>
      <c r="AS38" s="299"/>
      <c r="AT38" s="299"/>
      <c r="AU38" s="301"/>
      <c r="AV38" s="301"/>
      <c r="AW38" s="88"/>
      <c r="AX38" s="298"/>
      <c r="AY38" s="299"/>
      <c r="AZ38" s="299"/>
      <c r="BA38" s="301"/>
      <c r="BB38" s="301"/>
      <c r="BC38" s="426"/>
      <c r="BD38" s="298"/>
      <c r="BE38" s="299"/>
      <c r="BF38" s="299"/>
      <c r="BG38" s="301"/>
      <c r="BH38" s="301"/>
      <c r="BI38" s="88"/>
      <c r="BJ38" s="298"/>
      <c r="BK38" s="299"/>
      <c r="BL38" s="299"/>
      <c r="BM38" s="301"/>
      <c r="BN38" s="301"/>
      <c r="BO38" s="88"/>
      <c r="BP38" s="9"/>
      <c r="BS38" s="81"/>
      <c r="BT38" s="81"/>
      <c r="BV38" s="9"/>
      <c r="BY38" s="81"/>
      <c r="BZ38" s="81"/>
      <c r="CB38" s="9"/>
      <c r="CE38" s="81"/>
      <c r="CF38" s="81"/>
      <c r="CH38" s="9"/>
      <c r="CK38" s="81"/>
      <c r="CL38" s="81"/>
      <c r="CR38" s="9"/>
      <c r="CS38" s="9"/>
      <c r="CT38" s="9"/>
      <c r="CU38" s="9"/>
      <c r="CV38" s="9"/>
      <c r="CW38" s="129"/>
      <c r="CX38" s="9"/>
    </row>
    <row r="39" spans="1:102">
      <c r="A39" s="6" t="str">
        <f t="shared" si="0"/>
        <v>00060999</v>
      </c>
      <c r="B39" s="6" t="s">
        <v>1656</v>
      </c>
      <c r="C39" s="6" t="s">
        <v>2092</v>
      </c>
      <c r="D39" s="6">
        <v>30</v>
      </c>
      <c r="E39" s="10">
        <v>6</v>
      </c>
      <c r="F39" s="10" t="s">
        <v>1125</v>
      </c>
      <c r="G39" s="10">
        <v>999</v>
      </c>
      <c r="H39" s="10" t="s">
        <v>593</v>
      </c>
      <c r="I39" s="92">
        <v>278259.71248189872</v>
      </c>
      <c r="J39" s="472">
        <v>1</v>
      </c>
      <c r="K39" s="53">
        <f>SUM(K35:K38)</f>
        <v>279039.06521057821</v>
      </c>
      <c r="L39" s="91">
        <f>SUM(L35:L38)</f>
        <v>1</v>
      </c>
      <c r="M39" s="79">
        <f>VLOOKUP(E39,town351,24)</f>
        <v>230207</v>
      </c>
      <c r="N39" s="79">
        <f>SUM(N35:N38)</f>
        <v>230207</v>
      </c>
      <c r="O39" s="79">
        <v>229564</v>
      </c>
      <c r="P39" s="79">
        <f>SUM(P35:P38)</f>
        <v>643</v>
      </c>
      <c r="Q39" s="39">
        <f t="shared" si="10"/>
        <v>0.28009618232823963</v>
      </c>
      <c r="R39" s="9">
        <v>19.398496240650001</v>
      </c>
      <c r="S39" s="9">
        <f t="shared" si="7"/>
        <v>19.17304747136</v>
      </c>
      <c r="T39" s="90">
        <f t="shared" si="2"/>
        <v>6</v>
      </c>
      <c r="U39" s="90">
        <f t="shared" si="3"/>
        <v>999</v>
      </c>
      <c r="V39" s="373">
        <f t="shared" si="4"/>
        <v>30</v>
      </c>
      <c r="W39" s="90">
        <f t="shared" si="5"/>
        <v>19.17304747136</v>
      </c>
      <c r="X39" s="90">
        <f t="shared" si="6"/>
        <v>279039.06521057821</v>
      </c>
      <c r="Y39" s="141">
        <f t="shared" si="8"/>
        <v>30</v>
      </c>
      <c r="Z39" s="298">
        <v>6</v>
      </c>
      <c r="AA39" s="299">
        <v>999</v>
      </c>
      <c r="AB39" s="299">
        <v>30</v>
      </c>
      <c r="AC39" s="301">
        <v>19.17304747136</v>
      </c>
      <c r="AD39" s="301">
        <v>279039.06521057821</v>
      </c>
      <c r="AE39" s="126"/>
      <c r="AF39" s="298"/>
      <c r="AG39" s="299"/>
      <c r="AH39" s="299"/>
      <c r="AI39" s="301"/>
      <c r="AJ39" s="301"/>
      <c r="AK39" s="426"/>
      <c r="AL39" s="298"/>
      <c r="AM39" s="299"/>
      <c r="AN39" s="299"/>
      <c r="AO39" s="301"/>
      <c r="AP39" s="301"/>
      <c r="AQ39" s="426"/>
      <c r="AR39" s="298"/>
      <c r="AS39" s="299"/>
      <c r="AT39" s="299"/>
      <c r="AU39" s="301"/>
      <c r="AV39" s="301"/>
      <c r="AW39" s="91"/>
      <c r="AX39" s="298"/>
      <c r="AY39" s="299"/>
      <c r="AZ39" s="299"/>
      <c r="BA39" s="301"/>
      <c r="BB39" s="301"/>
      <c r="BC39" s="426"/>
      <c r="BD39" s="298"/>
      <c r="BE39" s="299"/>
      <c r="BF39" s="299"/>
      <c r="BG39" s="301"/>
      <c r="BH39" s="301"/>
      <c r="BI39" s="91"/>
      <c r="BJ39" s="298"/>
      <c r="BK39" s="299"/>
      <c r="BL39" s="299"/>
      <c r="BM39" s="301"/>
      <c r="BN39" s="301"/>
      <c r="BO39" s="91"/>
      <c r="BP39" s="9"/>
      <c r="BS39" s="81"/>
      <c r="BT39" s="81"/>
      <c r="BV39" s="9"/>
      <c r="BY39" s="81"/>
      <c r="BZ39" s="81"/>
      <c r="CB39" s="9"/>
      <c r="CE39" s="81"/>
      <c r="CF39" s="81"/>
      <c r="CH39" s="9"/>
      <c r="CK39" s="81"/>
      <c r="CL39" s="81"/>
      <c r="CR39" s="9"/>
      <c r="CS39" s="9"/>
      <c r="CT39" s="9"/>
      <c r="CU39" s="9"/>
      <c r="CV39" s="9"/>
      <c r="CW39" s="129"/>
      <c r="CX39" s="9"/>
    </row>
    <row r="40" spans="1:102">
      <c r="A40" s="6" t="str">
        <f t="shared" si="0"/>
        <v>00070007</v>
      </c>
      <c r="B40" s="6" t="s">
        <v>1657</v>
      </c>
      <c r="C40" s="6" t="s">
        <v>1657</v>
      </c>
      <c r="D40" s="6">
        <v>31</v>
      </c>
      <c r="E40" s="6">
        <v>7</v>
      </c>
      <c r="F40" s="6" t="s">
        <v>1126</v>
      </c>
      <c r="G40" s="6">
        <v>7</v>
      </c>
      <c r="H40" s="6" t="s">
        <v>688</v>
      </c>
      <c r="I40" s="33">
        <v>24965747.029999997</v>
      </c>
      <c r="J40" s="88">
        <v>0.91118219970739744</v>
      </c>
      <c r="K40" s="89">
        <f>X40</f>
        <v>26495878.260000002</v>
      </c>
      <c r="L40" s="88">
        <f>IF(K44&gt;0, K40/K44, 0)</f>
        <v>0.90984164389155453</v>
      </c>
      <c r="M40" s="58"/>
      <c r="N40" s="9">
        <f>ROUND(M44*L40,0)</f>
        <v>19160041</v>
      </c>
      <c r="O40" s="9">
        <v>18234602</v>
      </c>
      <c r="P40" s="9">
        <f>N40-O40</f>
        <v>925439</v>
      </c>
      <c r="Q40" s="40">
        <f t="shared" si="10"/>
        <v>5.075180692180723</v>
      </c>
      <c r="R40" s="9">
        <v>1847</v>
      </c>
      <c r="S40" s="9">
        <f t="shared" si="7"/>
        <v>1898</v>
      </c>
      <c r="T40" s="90">
        <f t="shared" si="2"/>
        <v>7</v>
      </c>
      <c r="U40" s="90">
        <f t="shared" si="3"/>
        <v>7</v>
      </c>
      <c r="V40" s="373">
        <f t="shared" si="4"/>
        <v>31</v>
      </c>
      <c r="W40" s="90">
        <f t="shared" si="5"/>
        <v>1898</v>
      </c>
      <c r="X40" s="90">
        <f t="shared" si="6"/>
        <v>26495878.260000002</v>
      </c>
      <c r="Y40" s="141">
        <f t="shared" si="8"/>
        <v>31</v>
      </c>
      <c r="Z40" s="298">
        <v>7</v>
      </c>
      <c r="AA40" s="299">
        <v>7</v>
      </c>
      <c r="AB40" s="299">
        <v>31</v>
      </c>
      <c r="AC40" s="301">
        <v>1898</v>
      </c>
      <c r="AD40" s="301">
        <v>26495878.260000002</v>
      </c>
      <c r="AE40" s="126"/>
      <c r="AF40" s="298"/>
      <c r="AG40" s="299"/>
      <c r="AH40" s="299"/>
      <c r="AI40" s="301"/>
      <c r="AJ40" s="301"/>
      <c r="AK40" s="426"/>
      <c r="AL40" s="298"/>
      <c r="AM40" s="299"/>
      <c r="AN40" s="299"/>
      <c r="AO40" s="301"/>
      <c r="AP40" s="301"/>
      <c r="AQ40" s="426"/>
      <c r="AR40" s="298"/>
      <c r="AS40" s="299"/>
      <c r="AT40" s="299"/>
      <c r="AU40" s="301"/>
      <c r="AV40" s="301"/>
      <c r="AW40" s="88"/>
      <c r="AX40" s="298"/>
      <c r="AY40" s="299"/>
      <c r="AZ40" s="299"/>
      <c r="BA40" s="301"/>
      <c r="BB40" s="301"/>
      <c r="BC40" s="426"/>
      <c r="BD40" s="298"/>
      <c r="BE40" s="299"/>
      <c r="BF40" s="299"/>
      <c r="BG40" s="301"/>
      <c r="BH40" s="301"/>
      <c r="BI40" s="88"/>
      <c r="BJ40" s="298"/>
      <c r="BK40" s="299"/>
      <c r="BL40" s="299"/>
      <c r="BM40" s="301"/>
      <c r="BN40" s="301"/>
      <c r="BO40" s="88"/>
      <c r="BP40" s="9"/>
      <c r="BS40" s="81"/>
      <c r="BT40" s="81"/>
      <c r="BV40" s="9"/>
      <c r="BY40" s="81"/>
      <c r="BZ40" s="81"/>
      <c r="CB40" s="9"/>
      <c r="CE40" s="81"/>
      <c r="CF40" s="81"/>
      <c r="CH40" s="9"/>
      <c r="CK40" s="81"/>
      <c r="CL40" s="81"/>
      <c r="CR40" s="9"/>
      <c r="CS40" s="9"/>
      <c r="CT40" s="9"/>
      <c r="CU40" s="9"/>
      <c r="CV40" s="9"/>
      <c r="CW40" s="129"/>
      <c r="CX40" s="9"/>
    </row>
    <row r="41" spans="1:102">
      <c r="A41" s="6" t="str">
        <f t="shared" si="0"/>
        <v>00070885</v>
      </c>
      <c r="B41" s="6" t="s">
        <v>1657</v>
      </c>
      <c r="C41" s="6" t="s">
        <v>2087</v>
      </c>
      <c r="D41" s="6">
        <v>32</v>
      </c>
      <c r="E41" s="6">
        <v>7</v>
      </c>
      <c r="F41" s="6" t="s">
        <v>1126</v>
      </c>
      <c r="G41" s="6">
        <v>885</v>
      </c>
      <c r="H41" s="6" t="s">
        <v>1117</v>
      </c>
      <c r="I41" s="33">
        <v>2433544.8328317194</v>
      </c>
      <c r="J41" s="88">
        <v>8.8817800292602625E-2</v>
      </c>
      <c r="K41" s="89">
        <f t="shared" si="9"/>
        <v>2625539.1183829177</v>
      </c>
      <c r="L41" s="88">
        <f>IF(K44&gt;0, K41/K44, 0)</f>
        <v>9.01583561084454E-2</v>
      </c>
      <c r="M41" s="58"/>
      <c r="N41" s="9">
        <f>ROUND(M44*L41,0)</f>
        <v>1898614</v>
      </c>
      <c r="O41" s="9">
        <v>1777424</v>
      </c>
      <c r="P41" s="9">
        <f>N41-O41</f>
        <v>121190</v>
      </c>
      <c r="Q41" s="40">
        <f t="shared" si="10"/>
        <v>6.8182943405737744</v>
      </c>
      <c r="R41" s="9">
        <v>116.999999997</v>
      </c>
      <c r="S41" s="9">
        <f t="shared" si="7"/>
        <v>123.28963892991</v>
      </c>
      <c r="T41" s="90">
        <f t="shared" si="2"/>
        <v>7</v>
      </c>
      <c r="U41" s="90">
        <f t="shared" si="3"/>
        <v>885</v>
      </c>
      <c r="V41" s="373">
        <f t="shared" si="4"/>
        <v>32</v>
      </c>
      <c r="W41" s="90">
        <f t="shared" si="5"/>
        <v>123.28963892991</v>
      </c>
      <c r="X41" s="90">
        <f t="shared" si="6"/>
        <v>2625539.1183829177</v>
      </c>
      <c r="Y41" s="141">
        <f t="shared" si="8"/>
        <v>32</v>
      </c>
      <c r="Z41" s="298">
        <v>7</v>
      </c>
      <c r="AA41" s="299">
        <v>885</v>
      </c>
      <c r="AB41" s="299">
        <v>32</v>
      </c>
      <c r="AC41" s="301">
        <v>123.28963892991</v>
      </c>
      <c r="AD41" s="301">
        <v>2625539.1183829177</v>
      </c>
      <c r="AE41" s="126"/>
      <c r="AF41" s="298"/>
      <c r="AG41" s="299"/>
      <c r="AH41" s="299"/>
      <c r="AI41" s="301"/>
      <c r="AJ41" s="301"/>
      <c r="AK41" s="426"/>
      <c r="AL41" s="298"/>
      <c r="AM41" s="299"/>
      <c r="AN41" s="299"/>
      <c r="AO41" s="301"/>
      <c r="AP41" s="301"/>
      <c r="AQ41" s="426"/>
      <c r="AR41" s="298"/>
      <c r="AS41" s="299"/>
      <c r="AT41" s="299"/>
      <c r="AU41" s="301"/>
      <c r="AV41" s="301"/>
      <c r="AW41" s="88"/>
      <c r="AX41" s="298"/>
      <c r="AY41" s="299"/>
      <c r="AZ41" s="299"/>
      <c r="BA41" s="301"/>
      <c r="BB41" s="301"/>
      <c r="BC41" s="426"/>
      <c r="BD41" s="298"/>
      <c r="BE41" s="299"/>
      <c r="BF41" s="299"/>
      <c r="BG41" s="301"/>
      <c r="BH41" s="301"/>
      <c r="BI41" s="88"/>
      <c r="BJ41" s="298"/>
      <c r="BK41" s="299"/>
      <c r="BL41" s="299"/>
      <c r="BM41" s="301"/>
      <c r="BN41" s="301"/>
      <c r="BO41" s="88"/>
      <c r="BP41" s="9"/>
      <c r="BS41" s="81"/>
      <c r="BT41" s="81"/>
      <c r="BV41" s="9"/>
      <c r="BY41" s="81"/>
      <c r="BZ41" s="81"/>
      <c r="CB41" s="9"/>
      <c r="CE41" s="81"/>
      <c r="CF41" s="81"/>
      <c r="CH41" s="9"/>
      <c r="CK41" s="81"/>
      <c r="CL41" s="81"/>
      <c r="CR41" s="9"/>
      <c r="CS41" s="9"/>
      <c r="CT41" s="9"/>
      <c r="CU41" s="9"/>
      <c r="CV41" s="9"/>
      <c r="CW41" s="129"/>
      <c r="CX41" s="9"/>
    </row>
    <row r="42" spans="1:102">
      <c r="A42" s="6" t="str">
        <f t="shared" si="0"/>
        <v>00070998</v>
      </c>
      <c r="B42" s="6" t="s">
        <v>1657</v>
      </c>
      <c r="C42" s="6" t="s">
        <v>2091</v>
      </c>
      <c r="D42" s="6">
        <v>33</v>
      </c>
      <c r="E42" s="6">
        <v>7</v>
      </c>
      <c r="F42" s="6" t="s">
        <v>1547</v>
      </c>
      <c r="G42" s="6">
        <v>998</v>
      </c>
      <c r="I42" s="33">
        <v>0</v>
      </c>
      <c r="J42" s="88">
        <v>0</v>
      </c>
      <c r="K42" s="89">
        <f t="shared" si="9"/>
        <v>0</v>
      </c>
      <c r="L42" s="88">
        <f>IF(K44&gt;0, K42/K44, 0)</f>
        <v>0</v>
      </c>
      <c r="M42" s="58"/>
      <c r="N42" s="9">
        <f>ROUND(M44*L42,0)</f>
        <v>0</v>
      </c>
      <c r="O42" s="9">
        <v>0</v>
      </c>
      <c r="P42" s="9">
        <f>N42-O42</f>
        <v>0</v>
      </c>
      <c r="Q42" s="40">
        <f t="shared" si="10"/>
        <v>0</v>
      </c>
      <c r="R42" s="9">
        <v>0</v>
      </c>
      <c r="S42" s="9">
        <f t="shared" si="7"/>
        <v>0</v>
      </c>
      <c r="T42" s="90">
        <f t="shared" si="2"/>
        <v>7</v>
      </c>
      <c r="U42" s="90">
        <f t="shared" si="3"/>
        <v>998</v>
      </c>
      <c r="V42" s="373">
        <f t="shared" si="4"/>
        <v>33</v>
      </c>
      <c r="W42" s="90">
        <f t="shared" si="5"/>
        <v>0</v>
      </c>
      <c r="X42" s="90">
        <f t="shared" si="6"/>
        <v>0</v>
      </c>
      <c r="Y42" s="141">
        <f t="shared" si="8"/>
        <v>33</v>
      </c>
      <c r="Z42" s="298">
        <v>7</v>
      </c>
      <c r="AA42" s="299">
        <v>998</v>
      </c>
      <c r="AB42" s="299">
        <v>33</v>
      </c>
      <c r="AC42" s="301">
        <v>0</v>
      </c>
      <c r="AD42" s="301">
        <v>0</v>
      </c>
      <c r="AE42" s="126"/>
      <c r="AF42" s="298"/>
      <c r="AG42" s="299"/>
      <c r="AH42" s="299"/>
      <c r="AI42" s="301"/>
      <c r="AJ42" s="301"/>
      <c r="AK42" s="426"/>
      <c r="AL42" s="298"/>
      <c r="AM42" s="299"/>
      <c r="AN42" s="299"/>
      <c r="AO42" s="301"/>
      <c r="AP42" s="301"/>
      <c r="AQ42" s="426"/>
      <c r="AR42" s="298"/>
      <c r="AS42" s="299"/>
      <c r="AT42" s="299"/>
      <c r="AU42" s="301"/>
      <c r="AV42" s="301"/>
      <c r="AW42" s="88"/>
      <c r="AX42" s="298"/>
      <c r="AY42" s="299"/>
      <c r="AZ42" s="299"/>
      <c r="BA42" s="301"/>
      <c r="BB42" s="301"/>
      <c r="BC42" s="426"/>
      <c r="BD42" s="298"/>
      <c r="BE42" s="299"/>
      <c r="BF42" s="299"/>
      <c r="BG42" s="301"/>
      <c r="BH42" s="301"/>
      <c r="BI42" s="88"/>
      <c r="BJ42" s="298"/>
      <c r="BK42" s="299"/>
      <c r="BL42" s="299"/>
      <c r="BM42" s="301"/>
      <c r="BN42" s="301"/>
      <c r="BO42" s="88"/>
      <c r="BP42" s="9"/>
      <c r="BS42" s="81"/>
      <c r="BT42" s="81"/>
      <c r="BV42" s="9"/>
      <c r="BY42" s="81"/>
      <c r="BZ42" s="81"/>
      <c r="CB42" s="9"/>
      <c r="CE42" s="81"/>
      <c r="CF42" s="81"/>
      <c r="CH42" s="9"/>
      <c r="CK42" s="81"/>
      <c r="CL42" s="81"/>
      <c r="CR42" s="9"/>
      <c r="CS42" s="9"/>
      <c r="CT42" s="9"/>
      <c r="CU42" s="9"/>
      <c r="CV42" s="9"/>
      <c r="CW42" s="129"/>
      <c r="CX42" s="9"/>
    </row>
    <row r="43" spans="1:102">
      <c r="A43" s="6" t="str">
        <f t="shared" si="0"/>
        <v>00070998</v>
      </c>
      <c r="B43" s="6" t="s">
        <v>1657</v>
      </c>
      <c r="C43" s="6" t="s">
        <v>2091</v>
      </c>
      <c r="D43" s="6">
        <v>34</v>
      </c>
      <c r="E43" s="6">
        <v>7</v>
      </c>
      <c r="F43" s="6" t="s">
        <v>1547</v>
      </c>
      <c r="G43" s="6">
        <v>998</v>
      </c>
      <c r="H43" s="6" t="s">
        <v>1547</v>
      </c>
      <c r="I43" s="33">
        <v>0</v>
      </c>
      <c r="J43" s="88">
        <v>0</v>
      </c>
      <c r="K43" s="89">
        <f t="shared" si="9"/>
        <v>0</v>
      </c>
      <c r="L43" s="88">
        <f>IF(K44&gt;0, K43/K44, 0)</f>
        <v>0</v>
      </c>
      <c r="M43" s="58"/>
      <c r="N43" s="9">
        <f>ROUND(M44*L43,0)</f>
        <v>0</v>
      </c>
      <c r="O43" s="9">
        <v>0</v>
      </c>
      <c r="P43" s="9">
        <f>N43-O43</f>
        <v>0</v>
      </c>
      <c r="Q43" s="40">
        <f t="shared" si="10"/>
        <v>0</v>
      </c>
      <c r="R43" s="9">
        <v>0</v>
      </c>
      <c r="S43" s="9">
        <f t="shared" si="7"/>
        <v>0</v>
      </c>
      <c r="T43" s="90">
        <f t="shared" si="2"/>
        <v>7</v>
      </c>
      <c r="U43" s="90">
        <f t="shared" si="3"/>
        <v>998</v>
      </c>
      <c r="V43" s="373">
        <f t="shared" si="4"/>
        <v>34</v>
      </c>
      <c r="W43" s="90">
        <f t="shared" si="5"/>
        <v>0</v>
      </c>
      <c r="X43" s="90">
        <f t="shared" si="6"/>
        <v>0</v>
      </c>
      <c r="Y43" s="141">
        <f t="shared" si="8"/>
        <v>34</v>
      </c>
      <c r="Z43" s="298">
        <v>7</v>
      </c>
      <c r="AA43" s="299">
        <v>998</v>
      </c>
      <c r="AB43" s="299">
        <v>34</v>
      </c>
      <c r="AC43" s="301">
        <v>0</v>
      </c>
      <c r="AD43" s="301">
        <v>0</v>
      </c>
      <c r="AE43" s="126"/>
      <c r="AF43" s="298"/>
      <c r="AG43" s="299"/>
      <c r="AH43" s="299"/>
      <c r="AI43" s="301"/>
      <c r="AJ43" s="301"/>
      <c r="AK43" s="426"/>
      <c r="AL43" s="298"/>
      <c r="AM43" s="299"/>
      <c r="AN43" s="299"/>
      <c r="AO43" s="301"/>
      <c r="AP43" s="301"/>
      <c r="AQ43" s="426"/>
      <c r="AR43" s="298"/>
      <c r="AS43" s="299"/>
      <c r="AT43" s="299"/>
      <c r="AU43" s="301"/>
      <c r="AV43" s="301"/>
      <c r="AW43" s="88"/>
      <c r="AX43" s="298"/>
      <c r="AY43" s="299"/>
      <c r="AZ43" s="299"/>
      <c r="BA43" s="301"/>
      <c r="BB43" s="301"/>
      <c r="BC43" s="426"/>
      <c r="BD43" s="298"/>
      <c r="BE43" s="299"/>
      <c r="BF43" s="299"/>
      <c r="BG43" s="301"/>
      <c r="BH43" s="301"/>
      <c r="BI43" s="88"/>
      <c r="BJ43" s="298"/>
      <c r="BK43" s="299"/>
      <c r="BL43" s="299"/>
      <c r="BM43" s="301"/>
      <c r="BN43" s="301"/>
      <c r="BO43" s="88"/>
      <c r="BP43" s="9"/>
      <c r="BS43" s="81"/>
      <c r="BT43" s="81"/>
      <c r="BV43" s="9"/>
      <c r="BY43" s="81"/>
      <c r="BZ43" s="81"/>
      <c r="CB43" s="9"/>
      <c r="CE43" s="81"/>
      <c r="CF43" s="81"/>
      <c r="CH43" s="9"/>
      <c r="CK43" s="81"/>
      <c r="CL43" s="81"/>
      <c r="CR43" s="9"/>
      <c r="CS43" s="9"/>
      <c r="CT43" s="9"/>
      <c r="CU43" s="9"/>
      <c r="CV43" s="9"/>
      <c r="CW43" s="129"/>
      <c r="CX43" s="9"/>
    </row>
    <row r="44" spans="1:102">
      <c r="A44" s="6" t="str">
        <f t="shared" si="0"/>
        <v>00070999</v>
      </c>
      <c r="B44" s="6" t="s">
        <v>1657</v>
      </c>
      <c r="C44" s="6" t="s">
        <v>2092</v>
      </c>
      <c r="D44" s="6">
        <v>35</v>
      </c>
      <c r="E44" s="10">
        <v>7</v>
      </c>
      <c r="F44" s="10" t="s">
        <v>1126</v>
      </c>
      <c r="G44" s="10">
        <v>999</v>
      </c>
      <c r="H44" s="10" t="s">
        <v>593</v>
      </c>
      <c r="I44" s="92">
        <v>27399291.862831715</v>
      </c>
      <c r="J44" s="472">
        <v>1</v>
      </c>
      <c r="K44" s="53">
        <f>SUM(K40:K43)</f>
        <v>29121417.378382921</v>
      </c>
      <c r="L44" s="91">
        <f>SUM(L40:L43)</f>
        <v>0.99999999999999989</v>
      </c>
      <c r="M44" s="79">
        <f>VLOOKUP(E44,town351,24)</f>
        <v>21058655</v>
      </c>
      <c r="N44" s="79">
        <f>SUM(N40:N43)</f>
        <v>21058655</v>
      </c>
      <c r="O44" s="79">
        <v>20012026</v>
      </c>
      <c r="P44" s="79">
        <f>SUM(P40:P43)</f>
        <v>1046629</v>
      </c>
      <c r="Q44" s="39">
        <f t="shared" si="10"/>
        <v>5.2300002008792115</v>
      </c>
      <c r="R44" s="9">
        <v>1963.999999997</v>
      </c>
      <c r="S44" s="9">
        <f t="shared" si="7"/>
        <v>2021.2896389299101</v>
      </c>
      <c r="T44" s="90">
        <f t="shared" si="2"/>
        <v>7</v>
      </c>
      <c r="U44" s="90">
        <f t="shared" si="3"/>
        <v>999</v>
      </c>
      <c r="V44" s="373">
        <f t="shared" si="4"/>
        <v>35</v>
      </c>
      <c r="W44" s="90">
        <f t="shared" si="5"/>
        <v>2021.2896389299101</v>
      </c>
      <c r="X44" s="90">
        <f t="shared" si="6"/>
        <v>29121417.378382921</v>
      </c>
      <c r="Y44" s="141">
        <f t="shared" si="8"/>
        <v>35</v>
      </c>
      <c r="Z44" s="298">
        <v>7</v>
      </c>
      <c r="AA44" s="299">
        <v>999</v>
      </c>
      <c r="AB44" s="299">
        <v>35</v>
      </c>
      <c r="AC44" s="301">
        <v>2021.2896389299101</v>
      </c>
      <c r="AD44" s="301">
        <v>29121417.378382921</v>
      </c>
      <c r="AE44" s="126"/>
      <c r="AF44" s="298"/>
      <c r="AG44" s="299"/>
      <c r="AH44" s="299"/>
      <c r="AI44" s="301"/>
      <c r="AJ44" s="301"/>
      <c r="AK44" s="426"/>
      <c r="AL44" s="298"/>
      <c r="AM44" s="299"/>
      <c r="AN44" s="299"/>
      <c r="AO44" s="301"/>
      <c r="AP44" s="301"/>
      <c r="AQ44" s="426"/>
      <c r="AR44" s="298"/>
      <c r="AS44" s="299"/>
      <c r="AT44" s="299"/>
      <c r="AU44" s="301"/>
      <c r="AV44" s="301"/>
      <c r="AW44" s="91"/>
      <c r="AX44" s="298"/>
      <c r="AY44" s="299"/>
      <c r="AZ44" s="299"/>
      <c r="BA44" s="301"/>
      <c r="BB44" s="301"/>
      <c r="BC44" s="426"/>
      <c r="BD44" s="298"/>
      <c r="BE44" s="299"/>
      <c r="BF44" s="299"/>
      <c r="BG44" s="301"/>
      <c r="BH44" s="301"/>
      <c r="BI44" s="91"/>
      <c r="BJ44" s="298"/>
      <c r="BK44" s="299"/>
      <c r="BL44" s="299"/>
      <c r="BM44" s="301"/>
      <c r="BN44" s="301"/>
      <c r="BO44" s="91"/>
      <c r="BP44" s="9"/>
      <c r="BS44" s="81"/>
      <c r="BT44" s="81"/>
      <c r="BV44" s="9"/>
      <c r="BY44" s="81"/>
      <c r="BZ44" s="81"/>
      <c r="CB44" s="9"/>
      <c r="CE44" s="81"/>
      <c r="CF44" s="81"/>
      <c r="CH44" s="9"/>
      <c r="CK44" s="81"/>
      <c r="CL44" s="81"/>
      <c r="CR44" s="9"/>
      <c r="CS44" s="9"/>
      <c r="CT44" s="9"/>
      <c r="CU44" s="9"/>
      <c r="CV44" s="9"/>
      <c r="CW44" s="129"/>
      <c r="CX44" s="9"/>
    </row>
    <row r="45" spans="1:102">
      <c r="A45" s="6" t="str">
        <f t="shared" si="0"/>
        <v>00080008</v>
      </c>
      <c r="B45" s="6" t="s">
        <v>1658</v>
      </c>
      <c r="C45" s="6" t="s">
        <v>1658</v>
      </c>
      <c r="D45" s="6">
        <v>36</v>
      </c>
      <c r="E45" s="6">
        <v>8</v>
      </c>
      <c r="F45" s="6" t="s">
        <v>1127</v>
      </c>
      <c r="G45" s="6">
        <v>8</v>
      </c>
      <c r="H45" s="6" t="s">
        <v>689</v>
      </c>
      <c r="I45" s="33">
        <v>14207190.940000001</v>
      </c>
      <c r="J45" s="88">
        <v>0.50104736599661925</v>
      </c>
      <c r="K45" s="89">
        <f>X45</f>
        <v>13476149.789999999</v>
      </c>
      <c r="L45" s="88">
        <f>IF(K49&gt;0, K45/K49, 0)</f>
        <v>0.49163929392107136</v>
      </c>
      <c r="M45" s="58"/>
      <c r="N45" s="9">
        <f>ROUND(M49*L45,0)</f>
        <v>11117824</v>
      </c>
      <c r="O45" s="9">
        <v>11168148</v>
      </c>
      <c r="P45" s="9">
        <f>N45-O45</f>
        <v>-50324</v>
      </c>
      <c r="Q45" s="40">
        <f t="shared" si="10"/>
        <v>-0.45060291106457401</v>
      </c>
      <c r="R45" s="9">
        <v>1055</v>
      </c>
      <c r="S45" s="9">
        <f t="shared" si="7"/>
        <v>984</v>
      </c>
      <c r="T45" s="90">
        <f t="shared" si="2"/>
        <v>8</v>
      </c>
      <c r="U45" s="90">
        <f t="shared" si="3"/>
        <v>8</v>
      </c>
      <c r="V45" s="373">
        <f t="shared" si="4"/>
        <v>36</v>
      </c>
      <c r="W45" s="90">
        <f t="shared" si="5"/>
        <v>984</v>
      </c>
      <c r="X45" s="90">
        <f t="shared" si="6"/>
        <v>13476149.789999999</v>
      </c>
      <c r="Y45" s="141">
        <f t="shared" si="8"/>
        <v>36</v>
      </c>
      <c r="Z45" s="298">
        <v>8</v>
      </c>
      <c r="AA45" s="299">
        <v>8</v>
      </c>
      <c r="AB45" s="299">
        <v>36</v>
      </c>
      <c r="AC45" s="301">
        <v>984</v>
      </c>
      <c r="AD45" s="301">
        <v>13476149.789999999</v>
      </c>
      <c r="AE45" s="126"/>
      <c r="AF45" s="298"/>
      <c r="AG45" s="299"/>
      <c r="AH45" s="299"/>
      <c r="AI45" s="301"/>
      <c r="AJ45" s="301"/>
      <c r="AK45" s="426"/>
      <c r="AL45" s="298"/>
      <c r="AM45" s="299"/>
      <c r="AN45" s="299"/>
      <c r="AO45" s="301"/>
      <c r="AP45" s="301"/>
      <c r="AQ45" s="426"/>
      <c r="AR45" s="298"/>
      <c r="AS45" s="299"/>
      <c r="AT45" s="299"/>
      <c r="AU45" s="301"/>
      <c r="AV45" s="301"/>
      <c r="AW45" s="88"/>
      <c r="AX45" s="298"/>
      <c r="AY45" s="299"/>
      <c r="AZ45" s="299"/>
      <c r="BA45" s="301"/>
      <c r="BB45" s="301"/>
      <c r="BC45" s="426"/>
      <c r="BD45" s="298"/>
      <c r="BE45" s="299"/>
      <c r="BF45" s="299"/>
      <c r="BG45" s="301"/>
      <c r="BH45" s="301"/>
      <c r="BI45" s="88"/>
      <c r="BJ45" s="298"/>
      <c r="BK45" s="299"/>
      <c r="BL45" s="299"/>
      <c r="BM45" s="301"/>
      <c r="BN45" s="301"/>
      <c r="BO45" s="88"/>
      <c r="BP45" s="9"/>
      <c r="BS45" s="81"/>
      <c r="BT45" s="81"/>
      <c r="BV45" s="9"/>
      <c r="BY45" s="81"/>
      <c r="BZ45" s="81"/>
      <c r="CB45" s="9"/>
      <c r="CE45" s="81"/>
      <c r="CF45" s="81"/>
      <c r="CH45" s="9"/>
      <c r="CK45" s="81"/>
      <c r="CL45" s="81"/>
      <c r="CR45" s="9"/>
      <c r="CS45" s="9"/>
      <c r="CT45" s="9"/>
      <c r="CU45" s="9"/>
      <c r="CV45" s="9"/>
      <c r="CW45" s="129"/>
      <c r="CX45" s="9"/>
    </row>
    <row r="46" spans="1:102">
      <c r="A46" s="6" t="str">
        <f t="shared" si="0"/>
        <v>00080605</v>
      </c>
      <c r="B46" s="6" t="s">
        <v>1658</v>
      </c>
      <c r="C46" s="6" t="s">
        <v>2006</v>
      </c>
      <c r="D46" s="6">
        <v>37</v>
      </c>
      <c r="E46" s="6">
        <v>8</v>
      </c>
      <c r="F46" s="6" t="s">
        <v>1127</v>
      </c>
      <c r="G46" s="6">
        <v>605</v>
      </c>
      <c r="H46" s="6" t="s">
        <v>1036</v>
      </c>
      <c r="I46" s="33">
        <v>14147794.844110202</v>
      </c>
      <c r="J46" s="88">
        <v>0.49895263400338075</v>
      </c>
      <c r="K46" s="89">
        <f t="shared" si="9"/>
        <v>13934494.47018699</v>
      </c>
      <c r="L46" s="88">
        <f>IF(K49&gt;0, K46/K49, 0)</f>
        <v>0.50836070607892858</v>
      </c>
      <c r="M46" s="58"/>
      <c r="N46" s="9">
        <f>ROUND(M49*L46,0)</f>
        <v>11495958</v>
      </c>
      <c r="O46" s="9">
        <v>11121458</v>
      </c>
      <c r="P46" s="9">
        <f>N46-O46</f>
        <v>374500</v>
      </c>
      <c r="Q46" s="40">
        <f t="shared" si="10"/>
        <v>3.3673642430695687</v>
      </c>
      <c r="R46" s="9">
        <v>997.00000000146008</v>
      </c>
      <c r="S46" s="9">
        <f t="shared" si="7"/>
        <v>963.99999999453996</v>
      </c>
      <c r="T46" s="90">
        <f t="shared" si="2"/>
        <v>8</v>
      </c>
      <c r="U46" s="90">
        <f t="shared" si="3"/>
        <v>605</v>
      </c>
      <c r="V46" s="373">
        <f t="shared" si="4"/>
        <v>37</v>
      </c>
      <c r="W46" s="90">
        <f t="shared" si="5"/>
        <v>963.99999999453996</v>
      </c>
      <c r="X46" s="90">
        <f t="shared" si="6"/>
        <v>13934494.47018699</v>
      </c>
      <c r="Y46" s="141">
        <f t="shared" si="8"/>
        <v>37</v>
      </c>
      <c r="Z46" s="298">
        <v>8</v>
      </c>
      <c r="AA46" s="299">
        <v>605</v>
      </c>
      <c r="AB46" s="299">
        <v>37</v>
      </c>
      <c r="AC46" s="301">
        <v>963.99999999453996</v>
      </c>
      <c r="AD46" s="301">
        <v>13934494.47018699</v>
      </c>
      <c r="AE46" s="126"/>
      <c r="AF46" s="298"/>
      <c r="AG46" s="299"/>
      <c r="AH46" s="299"/>
      <c r="AI46" s="301"/>
      <c r="AJ46" s="301"/>
      <c r="AK46" s="426"/>
      <c r="AL46" s="298"/>
      <c r="AM46" s="299"/>
      <c r="AN46" s="299"/>
      <c r="AO46" s="301"/>
      <c r="AP46" s="301"/>
      <c r="AQ46" s="426"/>
      <c r="AR46" s="298"/>
      <c r="AS46" s="299"/>
      <c r="AT46" s="299"/>
      <c r="AU46" s="301"/>
      <c r="AV46" s="301"/>
      <c r="AW46" s="88"/>
      <c r="AX46" s="298"/>
      <c r="AY46" s="299"/>
      <c r="AZ46" s="299"/>
      <c r="BA46" s="301"/>
      <c r="BB46" s="301"/>
      <c r="BC46" s="426"/>
      <c r="BD46" s="298"/>
      <c r="BE46" s="299"/>
      <c r="BF46" s="299"/>
      <c r="BG46" s="301"/>
      <c r="BH46" s="301"/>
      <c r="BI46" s="88"/>
      <c r="BJ46" s="298"/>
      <c r="BK46" s="299"/>
      <c r="BL46" s="299"/>
      <c r="BM46" s="301"/>
      <c r="BN46" s="301"/>
      <c r="BO46" s="88"/>
      <c r="BP46" s="9"/>
      <c r="BS46" s="81"/>
      <c r="BT46" s="81"/>
      <c r="BV46" s="9"/>
      <c r="BY46" s="81"/>
      <c r="BZ46" s="81"/>
      <c r="CB46" s="9"/>
      <c r="CE46" s="81"/>
      <c r="CF46" s="81"/>
      <c r="CH46" s="9"/>
      <c r="CK46" s="81"/>
      <c r="CL46" s="81"/>
      <c r="CR46" s="9"/>
      <c r="CS46" s="9"/>
      <c r="CT46" s="9"/>
      <c r="CU46" s="9"/>
      <c r="CV46" s="9"/>
      <c r="CW46" s="129"/>
      <c r="CX46" s="9"/>
    </row>
    <row r="47" spans="1:102">
      <c r="A47" s="6" t="str">
        <f t="shared" si="0"/>
        <v>00080998</v>
      </c>
      <c r="B47" s="6" t="s">
        <v>1658</v>
      </c>
      <c r="C47" s="6" t="s">
        <v>2091</v>
      </c>
      <c r="D47" s="6">
        <v>38</v>
      </c>
      <c r="E47" s="6">
        <v>8</v>
      </c>
      <c r="F47" s="6" t="s">
        <v>1547</v>
      </c>
      <c r="G47" s="6">
        <v>998</v>
      </c>
      <c r="H47" s="6" t="s">
        <v>1547</v>
      </c>
      <c r="I47" s="33">
        <v>0</v>
      </c>
      <c r="J47" s="88">
        <v>0</v>
      </c>
      <c r="K47" s="89">
        <f t="shared" si="9"/>
        <v>0</v>
      </c>
      <c r="L47" s="88">
        <f>IF(K49&gt;0, K47/K49, 0)</f>
        <v>0</v>
      </c>
      <c r="M47" s="58"/>
      <c r="N47" s="9">
        <f>ROUND(M49*L47,0)</f>
        <v>0</v>
      </c>
      <c r="O47" s="9">
        <v>0</v>
      </c>
      <c r="P47" s="9">
        <f>N47-O47</f>
        <v>0</v>
      </c>
      <c r="Q47" s="40">
        <f t="shared" si="10"/>
        <v>0</v>
      </c>
      <c r="R47" s="9">
        <v>0</v>
      </c>
      <c r="S47" s="9">
        <f t="shared" si="7"/>
        <v>0</v>
      </c>
      <c r="T47" s="90">
        <f t="shared" si="2"/>
        <v>8</v>
      </c>
      <c r="U47" s="90">
        <f t="shared" si="3"/>
        <v>998</v>
      </c>
      <c r="V47" s="373">
        <f t="shared" si="4"/>
        <v>38</v>
      </c>
      <c r="W47" s="90">
        <f t="shared" si="5"/>
        <v>0</v>
      </c>
      <c r="X47" s="90">
        <f t="shared" si="6"/>
        <v>0</v>
      </c>
      <c r="Y47" s="141">
        <f t="shared" si="8"/>
        <v>38</v>
      </c>
      <c r="Z47" s="298">
        <v>8</v>
      </c>
      <c r="AA47" s="299">
        <v>998</v>
      </c>
      <c r="AB47" s="299">
        <v>38</v>
      </c>
      <c r="AC47" s="301">
        <v>0</v>
      </c>
      <c r="AD47" s="301">
        <v>0</v>
      </c>
      <c r="AE47" s="126"/>
      <c r="AF47" s="298"/>
      <c r="AG47" s="299"/>
      <c r="AH47" s="299"/>
      <c r="AI47" s="301"/>
      <c r="AJ47" s="301"/>
      <c r="AK47" s="426"/>
      <c r="AL47" s="298"/>
      <c r="AM47" s="299"/>
      <c r="AN47" s="299"/>
      <c r="AO47" s="301"/>
      <c r="AP47" s="301"/>
      <c r="AQ47" s="426"/>
      <c r="AR47" s="298"/>
      <c r="AS47" s="299"/>
      <c r="AT47" s="299"/>
      <c r="AU47" s="301"/>
      <c r="AV47" s="301"/>
      <c r="AW47" s="88"/>
      <c r="AX47" s="298"/>
      <c r="AY47" s="299"/>
      <c r="AZ47" s="299"/>
      <c r="BA47" s="301"/>
      <c r="BB47" s="301"/>
      <c r="BC47" s="426"/>
      <c r="BD47" s="298"/>
      <c r="BE47" s="299"/>
      <c r="BF47" s="299"/>
      <c r="BG47" s="301"/>
      <c r="BH47" s="301"/>
      <c r="BI47" s="88"/>
      <c r="BJ47" s="298"/>
      <c r="BK47" s="299"/>
      <c r="BL47" s="299"/>
      <c r="BM47" s="301"/>
      <c r="BN47" s="301"/>
      <c r="BO47" s="88"/>
      <c r="BP47" s="9"/>
      <c r="BS47" s="81"/>
      <c r="BT47" s="81"/>
      <c r="BV47" s="9"/>
      <c r="BY47" s="81"/>
      <c r="BZ47" s="81"/>
      <c r="CB47" s="9"/>
      <c r="CE47" s="81"/>
      <c r="CF47" s="81"/>
      <c r="CH47" s="9"/>
      <c r="CK47" s="81"/>
      <c r="CL47" s="81"/>
      <c r="CR47" s="9"/>
      <c r="CS47" s="9"/>
      <c r="CT47" s="9"/>
      <c r="CU47" s="9"/>
      <c r="CV47" s="9"/>
      <c r="CW47" s="129"/>
      <c r="CX47" s="9"/>
    </row>
    <row r="48" spans="1:102">
      <c r="A48" s="6" t="str">
        <f t="shared" si="0"/>
        <v>00080998</v>
      </c>
      <c r="B48" s="6" t="s">
        <v>1658</v>
      </c>
      <c r="C48" s="6" t="s">
        <v>2091</v>
      </c>
      <c r="D48" s="6">
        <v>39</v>
      </c>
      <c r="E48" s="6">
        <v>8</v>
      </c>
      <c r="F48" s="6" t="s">
        <v>1547</v>
      </c>
      <c r="G48" s="6">
        <v>998</v>
      </c>
      <c r="H48" s="6" t="s">
        <v>1547</v>
      </c>
      <c r="I48" s="33">
        <v>0</v>
      </c>
      <c r="J48" s="88">
        <v>0</v>
      </c>
      <c r="K48" s="89">
        <f t="shared" si="9"/>
        <v>0</v>
      </c>
      <c r="L48" s="88">
        <f>IF(K49&gt;0, K48/K49, 0)</f>
        <v>0</v>
      </c>
      <c r="M48" s="58"/>
      <c r="N48" s="9">
        <f>ROUND(M49*L48,0)</f>
        <v>0</v>
      </c>
      <c r="O48" s="9">
        <v>0</v>
      </c>
      <c r="P48" s="9">
        <f>N48-O48</f>
        <v>0</v>
      </c>
      <c r="Q48" s="40">
        <f t="shared" si="10"/>
        <v>0</v>
      </c>
      <c r="R48" s="9">
        <v>0</v>
      </c>
      <c r="S48" s="9">
        <f t="shared" si="7"/>
        <v>0</v>
      </c>
      <c r="T48" s="90">
        <f t="shared" si="2"/>
        <v>8</v>
      </c>
      <c r="U48" s="90">
        <f t="shared" si="3"/>
        <v>998</v>
      </c>
      <c r="V48" s="373">
        <f t="shared" si="4"/>
        <v>39</v>
      </c>
      <c r="W48" s="90">
        <f t="shared" si="5"/>
        <v>0</v>
      </c>
      <c r="X48" s="90">
        <f t="shared" si="6"/>
        <v>0</v>
      </c>
      <c r="Y48" s="141">
        <f t="shared" si="8"/>
        <v>39</v>
      </c>
      <c r="Z48" s="298">
        <v>8</v>
      </c>
      <c r="AA48" s="299">
        <v>998</v>
      </c>
      <c r="AB48" s="299">
        <v>39</v>
      </c>
      <c r="AC48" s="301">
        <v>0</v>
      </c>
      <c r="AD48" s="301">
        <v>0</v>
      </c>
      <c r="AE48" s="126"/>
      <c r="AF48" s="298"/>
      <c r="AG48" s="299"/>
      <c r="AH48" s="299"/>
      <c r="AI48" s="301"/>
      <c r="AJ48" s="301"/>
      <c r="AK48" s="426"/>
      <c r="AL48" s="298"/>
      <c r="AM48" s="299"/>
      <c r="AN48" s="299"/>
      <c r="AO48" s="301"/>
      <c r="AP48" s="301"/>
      <c r="AQ48" s="426"/>
      <c r="AR48" s="298"/>
      <c r="AS48" s="299"/>
      <c r="AT48" s="299"/>
      <c r="AU48" s="301"/>
      <c r="AV48" s="301"/>
      <c r="AW48" s="88"/>
      <c r="AX48" s="298"/>
      <c r="AY48" s="299"/>
      <c r="AZ48" s="299"/>
      <c r="BA48" s="301"/>
      <c r="BB48" s="301"/>
      <c r="BC48" s="426"/>
      <c r="BD48" s="298"/>
      <c r="BE48" s="299"/>
      <c r="BF48" s="299"/>
      <c r="BG48" s="301"/>
      <c r="BH48" s="301"/>
      <c r="BI48" s="88"/>
      <c r="BJ48" s="298"/>
      <c r="BK48" s="299"/>
      <c r="BL48" s="299"/>
      <c r="BM48" s="301"/>
      <c r="BN48" s="301"/>
      <c r="BO48" s="88"/>
      <c r="BP48" s="9"/>
      <c r="BS48" s="81"/>
      <c r="BT48" s="81"/>
      <c r="BV48" s="9"/>
      <c r="BY48" s="81"/>
      <c r="BZ48" s="81"/>
      <c r="CB48" s="9"/>
      <c r="CE48" s="81"/>
      <c r="CF48" s="81"/>
      <c r="CH48" s="9"/>
      <c r="CK48" s="81"/>
      <c r="CL48" s="81"/>
      <c r="CR48" s="9"/>
      <c r="CS48" s="9"/>
      <c r="CT48" s="9"/>
      <c r="CU48" s="9"/>
      <c r="CV48" s="9"/>
      <c r="CW48" s="129"/>
      <c r="CX48" s="9"/>
    </row>
    <row r="49" spans="1:102">
      <c r="A49" s="6" t="str">
        <f t="shared" si="0"/>
        <v>00080999</v>
      </c>
      <c r="B49" s="6" t="s">
        <v>1658</v>
      </c>
      <c r="C49" s="6" t="s">
        <v>2092</v>
      </c>
      <c r="D49" s="6">
        <v>40</v>
      </c>
      <c r="E49" s="10">
        <v>8</v>
      </c>
      <c r="F49" s="10" t="s">
        <v>1127</v>
      </c>
      <c r="G49" s="10">
        <v>999</v>
      </c>
      <c r="H49" s="10" t="s">
        <v>593</v>
      </c>
      <c r="I49" s="92">
        <v>28354985.784110203</v>
      </c>
      <c r="J49" s="472">
        <v>1</v>
      </c>
      <c r="K49" s="53">
        <f>SUM(K45:K48)</f>
        <v>27410644.260186989</v>
      </c>
      <c r="L49" s="91">
        <f>SUM(L45:L48)</f>
        <v>1</v>
      </c>
      <c r="M49" s="79">
        <f>VLOOKUP(E49,town351,24)</f>
        <v>22613782</v>
      </c>
      <c r="N49" s="79">
        <f>SUM(N45:N48)</f>
        <v>22613782</v>
      </c>
      <c r="O49" s="79">
        <v>22289606</v>
      </c>
      <c r="P49" s="79">
        <f>SUM(P45:P48)</f>
        <v>324176</v>
      </c>
      <c r="Q49" s="39">
        <f t="shared" si="10"/>
        <v>1.4543819213314044</v>
      </c>
      <c r="R49" s="9">
        <v>2052.0000000014602</v>
      </c>
      <c r="S49" s="9">
        <f t="shared" si="7"/>
        <v>1947.9999999945398</v>
      </c>
      <c r="T49" s="90">
        <f t="shared" si="2"/>
        <v>8</v>
      </c>
      <c r="U49" s="90">
        <f t="shared" si="3"/>
        <v>999</v>
      </c>
      <c r="V49" s="373">
        <f t="shared" si="4"/>
        <v>40</v>
      </c>
      <c r="W49" s="90">
        <f t="shared" si="5"/>
        <v>1947.9999999945398</v>
      </c>
      <c r="X49" s="90">
        <f t="shared" si="6"/>
        <v>27410644.260186989</v>
      </c>
      <c r="Y49" s="141">
        <f t="shared" si="8"/>
        <v>40</v>
      </c>
      <c r="Z49" s="298">
        <v>8</v>
      </c>
      <c r="AA49" s="299">
        <v>999</v>
      </c>
      <c r="AB49" s="299">
        <v>40</v>
      </c>
      <c r="AC49" s="301">
        <v>1947.9999999945398</v>
      </c>
      <c r="AD49" s="301">
        <v>27410644.260186989</v>
      </c>
      <c r="AE49" s="126"/>
      <c r="AF49" s="298"/>
      <c r="AG49" s="299"/>
      <c r="AH49" s="299"/>
      <c r="AI49" s="301"/>
      <c r="AJ49" s="301"/>
      <c r="AK49" s="426"/>
      <c r="AL49" s="298"/>
      <c r="AM49" s="299"/>
      <c r="AN49" s="299"/>
      <c r="AO49" s="301"/>
      <c r="AP49" s="301"/>
      <c r="AQ49" s="426"/>
      <c r="AR49" s="298"/>
      <c r="AS49" s="299"/>
      <c r="AT49" s="299"/>
      <c r="AU49" s="301"/>
      <c r="AV49" s="301"/>
      <c r="AW49" s="91"/>
      <c r="AX49" s="298"/>
      <c r="AY49" s="299"/>
      <c r="AZ49" s="299"/>
      <c r="BA49" s="301"/>
      <c r="BB49" s="301"/>
      <c r="BC49" s="426"/>
      <c r="BD49" s="298"/>
      <c r="BE49" s="299"/>
      <c r="BF49" s="299"/>
      <c r="BG49" s="301"/>
      <c r="BH49" s="301"/>
      <c r="BI49" s="91"/>
      <c r="BJ49" s="298"/>
      <c r="BK49" s="299"/>
      <c r="BL49" s="299"/>
      <c r="BM49" s="301"/>
      <c r="BN49" s="301"/>
      <c r="BO49" s="91"/>
      <c r="BP49" s="9"/>
      <c r="BS49" s="81"/>
      <c r="BT49" s="81"/>
      <c r="BV49" s="9"/>
      <c r="BY49" s="81"/>
      <c r="BZ49" s="81"/>
      <c r="CB49" s="9"/>
      <c r="CE49" s="81"/>
      <c r="CF49" s="81"/>
      <c r="CH49" s="9"/>
      <c r="CK49" s="81"/>
      <c r="CL49" s="81"/>
      <c r="CR49" s="9"/>
      <c r="CS49" s="9"/>
      <c r="CT49" s="9"/>
      <c r="CU49" s="9"/>
      <c r="CV49" s="9"/>
      <c r="CW49" s="129"/>
      <c r="CX49" s="9"/>
    </row>
    <row r="50" spans="1:102">
      <c r="A50" s="6" t="str">
        <f t="shared" si="0"/>
        <v>00090009</v>
      </c>
      <c r="B50" s="6" t="s">
        <v>1659</v>
      </c>
      <c r="C50" s="6" t="s">
        <v>1659</v>
      </c>
      <c r="D50" s="6">
        <v>41</v>
      </c>
      <c r="E50" s="6">
        <v>9</v>
      </c>
      <c r="F50" s="6" t="s">
        <v>1128</v>
      </c>
      <c r="G50" s="6">
        <v>9</v>
      </c>
      <c r="H50" s="6" t="s">
        <v>690</v>
      </c>
      <c r="I50" s="33">
        <v>72244408.493600011</v>
      </c>
      <c r="J50" s="88">
        <v>0.98203971390325528</v>
      </c>
      <c r="K50" s="89">
        <f>X50</f>
        <v>72595075.473940015</v>
      </c>
      <c r="L50" s="88">
        <f>IF(K54&gt;0, K50/K54, 0)</f>
        <v>0.98275477644106901</v>
      </c>
      <c r="M50" s="58"/>
      <c r="N50" s="9">
        <f>ROUND(M54*L50,0)</f>
        <v>59890937</v>
      </c>
      <c r="O50" s="9">
        <v>58293608</v>
      </c>
      <c r="P50" s="9">
        <f>N50-O50</f>
        <v>1597329</v>
      </c>
      <c r="Q50" s="40">
        <f t="shared" si="10"/>
        <v>2.7401443396675669</v>
      </c>
      <c r="R50" s="9">
        <v>5554</v>
      </c>
      <c r="S50" s="9">
        <f t="shared" si="7"/>
        <v>5465</v>
      </c>
      <c r="T50" s="90">
        <f t="shared" si="2"/>
        <v>9</v>
      </c>
      <c r="U50" s="90">
        <f t="shared" si="3"/>
        <v>9</v>
      </c>
      <c r="V50" s="373">
        <f t="shared" si="4"/>
        <v>41</v>
      </c>
      <c r="W50" s="90">
        <f t="shared" si="5"/>
        <v>5465</v>
      </c>
      <c r="X50" s="90">
        <f t="shared" si="6"/>
        <v>72595075.473940015</v>
      </c>
      <c r="Y50" s="141">
        <f t="shared" si="8"/>
        <v>41</v>
      </c>
      <c r="Z50" s="298">
        <v>9</v>
      </c>
      <c r="AA50" s="299">
        <v>9</v>
      </c>
      <c r="AB50" s="299">
        <v>41</v>
      </c>
      <c r="AC50" s="301">
        <v>5465</v>
      </c>
      <c r="AD50" s="301">
        <v>72595075.473940015</v>
      </c>
      <c r="AE50" s="126"/>
      <c r="AF50" s="298"/>
      <c r="AG50" s="299"/>
      <c r="AH50" s="299"/>
      <c r="AI50" s="301"/>
      <c r="AJ50" s="301"/>
      <c r="AK50" s="426"/>
      <c r="AL50" s="298"/>
      <c r="AM50" s="299"/>
      <c r="AN50" s="299"/>
      <c r="AO50" s="301"/>
      <c r="AP50" s="301"/>
      <c r="AQ50" s="426"/>
      <c r="AR50" s="298"/>
      <c r="AS50" s="299"/>
      <c r="AT50" s="299"/>
      <c r="AU50" s="301"/>
      <c r="AV50" s="301"/>
      <c r="AW50" s="88"/>
      <c r="AX50" s="298"/>
      <c r="AY50" s="299"/>
      <c r="AZ50" s="299"/>
      <c r="BA50" s="301"/>
      <c r="BB50" s="301"/>
      <c r="BC50" s="426"/>
      <c r="BD50" s="298"/>
      <c r="BE50" s="299"/>
      <c r="BF50" s="299"/>
      <c r="BG50" s="301"/>
      <c r="BH50" s="301"/>
      <c r="BI50" s="88"/>
      <c r="BJ50" s="298"/>
      <c r="BK50" s="299"/>
      <c r="BL50" s="299"/>
      <c r="BM50" s="301"/>
      <c r="BN50" s="301"/>
      <c r="BO50" s="88"/>
      <c r="BP50" s="9"/>
      <c r="BS50" s="81"/>
      <c r="BT50" s="81"/>
      <c r="BV50" s="9"/>
      <c r="BY50" s="81"/>
      <c r="BZ50" s="81"/>
      <c r="CB50" s="9"/>
      <c r="CE50" s="81"/>
      <c r="CF50" s="81"/>
      <c r="CH50" s="9"/>
      <c r="CK50" s="81"/>
      <c r="CL50" s="81"/>
      <c r="CR50" s="9"/>
      <c r="CS50" s="9"/>
      <c r="CT50" s="9"/>
      <c r="CU50" s="9"/>
      <c r="CV50" s="9"/>
      <c r="CW50" s="129"/>
      <c r="CX50" s="9"/>
    </row>
    <row r="51" spans="1:102">
      <c r="A51" s="6" t="str">
        <f t="shared" si="0"/>
        <v>00090823</v>
      </c>
      <c r="B51" s="6" t="s">
        <v>1659</v>
      </c>
      <c r="C51" s="6" t="s">
        <v>2070</v>
      </c>
      <c r="D51" s="6">
        <v>42</v>
      </c>
      <c r="E51" s="6">
        <v>9</v>
      </c>
      <c r="F51" s="6" t="s">
        <v>1128</v>
      </c>
      <c r="G51" s="6">
        <v>823</v>
      </c>
      <c r="H51" s="6" t="s">
        <v>1100</v>
      </c>
      <c r="I51" s="33">
        <v>1321260.4613289325</v>
      </c>
      <c r="J51" s="88">
        <v>1.7960286096744684E-2</v>
      </c>
      <c r="K51" s="89">
        <f t="shared" si="9"/>
        <v>1273886.7679272341</v>
      </c>
      <c r="L51" s="88">
        <f>IF(K54&gt;0, K51/K54, 0)</f>
        <v>1.7245223558931006E-2</v>
      </c>
      <c r="M51" s="58"/>
      <c r="N51" s="9">
        <f>ROUND(M54*L51,0)</f>
        <v>1050957</v>
      </c>
      <c r="O51" s="9">
        <v>1066118</v>
      </c>
      <c r="P51" s="9">
        <f>N51-O51</f>
        <v>-15161</v>
      </c>
      <c r="Q51" s="40">
        <f t="shared" si="10"/>
        <v>-1.4220752299464037</v>
      </c>
      <c r="R51" s="9">
        <v>52.0000000056</v>
      </c>
      <c r="S51" s="9">
        <f t="shared" si="7"/>
        <v>49.00000000336</v>
      </c>
      <c r="T51" s="90">
        <f t="shared" si="2"/>
        <v>9</v>
      </c>
      <c r="U51" s="90">
        <f t="shared" si="3"/>
        <v>823</v>
      </c>
      <c r="V51" s="373">
        <f t="shared" si="4"/>
        <v>42</v>
      </c>
      <c r="W51" s="90">
        <f t="shared" si="5"/>
        <v>49.00000000336</v>
      </c>
      <c r="X51" s="90">
        <f t="shared" si="6"/>
        <v>1273886.7679272341</v>
      </c>
      <c r="Y51" s="141">
        <f t="shared" si="8"/>
        <v>42</v>
      </c>
      <c r="Z51" s="298">
        <v>9</v>
      </c>
      <c r="AA51" s="299">
        <v>823</v>
      </c>
      <c r="AB51" s="299">
        <v>42</v>
      </c>
      <c r="AC51" s="301">
        <v>49.00000000336</v>
      </c>
      <c r="AD51" s="301">
        <v>1273886.7679272341</v>
      </c>
      <c r="AE51" s="126"/>
      <c r="AF51" s="298"/>
      <c r="AG51" s="299"/>
      <c r="AH51" s="299"/>
      <c r="AI51" s="301"/>
      <c r="AJ51" s="301"/>
      <c r="AK51" s="426"/>
      <c r="AL51" s="298"/>
      <c r="AM51" s="299"/>
      <c r="AN51" s="299"/>
      <c r="AO51" s="301"/>
      <c r="AP51" s="301"/>
      <c r="AQ51" s="426"/>
      <c r="AR51" s="298"/>
      <c r="AS51" s="299"/>
      <c r="AT51" s="299"/>
      <c r="AU51" s="301"/>
      <c r="AV51" s="301"/>
      <c r="AW51" s="88"/>
      <c r="AX51" s="298"/>
      <c r="AY51" s="299"/>
      <c r="AZ51" s="299"/>
      <c r="BA51" s="301"/>
      <c r="BB51" s="301"/>
      <c r="BC51" s="426"/>
      <c r="BD51" s="298"/>
      <c r="BE51" s="299"/>
      <c r="BF51" s="299"/>
      <c r="BG51" s="301"/>
      <c r="BH51" s="301"/>
      <c r="BI51" s="88"/>
      <c r="BJ51" s="298"/>
      <c r="BK51" s="299"/>
      <c r="BL51" s="299"/>
      <c r="BM51" s="301"/>
      <c r="BN51" s="301"/>
      <c r="BO51" s="88"/>
      <c r="BP51" s="9"/>
      <c r="BS51" s="81"/>
      <c r="BT51" s="81"/>
      <c r="BV51" s="9"/>
      <c r="BY51" s="81"/>
      <c r="BZ51" s="81"/>
      <c r="CB51" s="9"/>
      <c r="CE51" s="81"/>
      <c r="CF51" s="81"/>
      <c r="CH51" s="9"/>
      <c r="CK51" s="81"/>
      <c r="CL51" s="81"/>
      <c r="CR51" s="9"/>
      <c r="CS51" s="9"/>
      <c r="CT51" s="9"/>
      <c r="CU51" s="9"/>
      <c r="CV51" s="9"/>
      <c r="CW51" s="129"/>
      <c r="CX51" s="9"/>
    </row>
    <row r="52" spans="1:102">
      <c r="A52" s="6" t="str">
        <f t="shared" si="0"/>
        <v>00090998</v>
      </c>
      <c r="B52" s="6" t="s">
        <v>1659</v>
      </c>
      <c r="C52" s="6" t="s">
        <v>2091</v>
      </c>
      <c r="D52" s="6">
        <v>43</v>
      </c>
      <c r="E52" s="6">
        <v>9</v>
      </c>
      <c r="F52" s="6" t="s">
        <v>1547</v>
      </c>
      <c r="G52" s="6">
        <v>998</v>
      </c>
      <c r="I52" s="33">
        <v>0</v>
      </c>
      <c r="J52" s="88">
        <v>0</v>
      </c>
      <c r="K52" s="89">
        <f t="shared" si="9"/>
        <v>0</v>
      </c>
      <c r="L52" s="88">
        <f>IF(K54&gt;0, K52/K54, 0)</f>
        <v>0</v>
      </c>
      <c r="M52" s="58"/>
      <c r="N52" s="9">
        <f>ROUND(M54*L52,0)</f>
        <v>0</v>
      </c>
      <c r="O52" s="9">
        <v>0</v>
      </c>
      <c r="P52" s="9">
        <f>N52-O52</f>
        <v>0</v>
      </c>
      <c r="Q52" s="40">
        <f t="shared" si="10"/>
        <v>0</v>
      </c>
      <c r="R52" s="9">
        <v>0</v>
      </c>
      <c r="S52" s="9">
        <f t="shared" si="7"/>
        <v>0</v>
      </c>
      <c r="T52" s="90">
        <f t="shared" si="2"/>
        <v>9</v>
      </c>
      <c r="U52" s="90">
        <f t="shared" si="3"/>
        <v>998</v>
      </c>
      <c r="V52" s="373">
        <f t="shared" si="4"/>
        <v>43</v>
      </c>
      <c r="W52" s="90">
        <f t="shared" si="5"/>
        <v>0</v>
      </c>
      <c r="X52" s="90">
        <f t="shared" si="6"/>
        <v>0</v>
      </c>
      <c r="Y52" s="141">
        <f t="shared" si="8"/>
        <v>43</v>
      </c>
      <c r="Z52" s="298">
        <v>9</v>
      </c>
      <c r="AA52" s="299">
        <v>998</v>
      </c>
      <c r="AB52" s="299">
        <v>43</v>
      </c>
      <c r="AC52" s="301">
        <v>0</v>
      </c>
      <c r="AD52" s="301">
        <v>0</v>
      </c>
      <c r="AE52" s="126"/>
      <c r="AF52" s="298"/>
      <c r="AG52" s="299"/>
      <c r="AH52" s="299"/>
      <c r="AI52" s="301"/>
      <c r="AJ52" s="301"/>
      <c r="AK52" s="426"/>
      <c r="AL52" s="298"/>
      <c r="AM52" s="299"/>
      <c r="AN52" s="299"/>
      <c r="AO52" s="301"/>
      <c r="AP52" s="301"/>
      <c r="AQ52" s="426"/>
      <c r="AR52" s="298"/>
      <c r="AS52" s="299"/>
      <c r="AT52" s="299"/>
      <c r="AU52" s="301"/>
      <c r="AV52" s="301"/>
      <c r="AW52" s="88"/>
      <c r="AX52" s="298"/>
      <c r="AY52" s="299"/>
      <c r="AZ52" s="299"/>
      <c r="BA52" s="301"/>
      <c r="BB52" s="301"/>
      <c r="BC52" s="426"/>
      <c r="BD52" s="298"/>
      <c r="BE52" s="299"/>
      <c r="BF52" s="299"/>
      <c r="BG52" s="301"/>
      <c r="BH52" s="301"/>
      <c r="BI52" s="88"/>
      <c r="BJ52" s="298"/>
      <c r="BK52" s="299"/>
      <c r="BL52" s="299"/>
      <c r="BM52" s="301"/>
      <c r="BN52" s="301"/>
      <c r="BO52" s="88"/>
      <c r="BP52" s="9"/>
      <c r="BS52" s="81"/>
      <c r="BT52" s="81"/>
      <c r="BV52" s="9"/>
      <c r="BY52" s="81"/>
      <c r="BZ52" s="81"/>
      <c r="CB52" s="9"/>
      <c r="CE52" s="81"/>
      <c r="CF52" s="81"/>
      <c r="CH52" s="9"/>
      <c r="CK52" s="81"/>
      <c r="CL52" s="81"/>
      <c r="CR52" s="9"/>
      <c r="CS52" s="9"/>
      <c r="CT52" s="9"/>
      <c r="CU52" s="9"/>
      <c r="CV52" s="9"/>
      <c r="CW52" s="129"/>
      <c r="CX52" s="9"/>
    </row>
    <row r="53" spans="1:102">
      <c r="A53" s="6" t="str">
        <f t="shared" si="0"/>
        <v>00090998</v>
      </c>
      <c r="B53" s="6" t="s">
        <v>1659</v>
      </c>
      <c r="C53" s="6" t="s">
        <v>2091</v>
      </c>
      <c r="D53" s="6">
        <v>44</v>
      </c>
      <c r="E53" s="6">
        <v>9</v>
      </c>
      <c r="F53" s="6" t="s">
        <v>1547</v>
      </c>
      <c r="G53" s="6">
        <v>998</v>
      </c>
      <c r="H53" s="6" t="s">
        <v>1547</v>
      </c>
      <c r="I53" s="33">
        <v>0</v>
      </c>
      <c r="J53" s="88">
        <v>0</v>
      </c>
      <c r="K53" s="89">
        <f t="shared" si="9"/>
        <v>0</v>
      </c>
      <c r="L53" s="88">
        <f>IF(K54&gt;0, K53/K54, 0)</f>
        <v>0</v>
      </c>
      <c r="M53" s="58"/>
      <c r="N53" s="9">
        <f>ROUND(M54*L53,0)</f>
        <v>0</v>
      </c>
      <c r="O53" s="9">
        <v>0</v>
      </c>
      <c r="P53" s="9">
        <f>N53-O53</f>
        <v>0</v>
      </c>
      <c r="Q53" s="40">
        <f t="shared" si="10"/>
        <v>0</v>
      </c>
      <c r="R53" s="9">
        <v>0</v>
      </c>
      <c r="S53" s="9">
        <f t="shared" si="7"/>
        <v>0</v>
      </c>
      <c r="T53" s="90">
        <f t="shared" si="2"/>
        <v>9</v>
      </c>
      <c r="U53" s="90">
        <f t="shared" si="3"/>
        <v>998</v>
      </c>
      <c r="V53" s="373">
        <f t="shared" si="4"/>
        <v>44</v>
      </c>
      <c r="W53" s="90">
        <f t="shared" si="5"/>
        <v>0</v>
      </c>
      <c r="X53" s="90">
        <f t="shared" si="6"/>
        <v>0</v>
      </c>
      <c r="Y53" s="141">
        <f t="shared" si="8"/>
        <v>44</v>
      </c>
      <c r="Z53" s="298">
        <v>9</v>
      </c>
      <c r="AA53" s="299">
        <v>998</v>
      </c>
      <c r="AB53" s="299">
        <v>44</v>
      </c>
      <c r="AC53" s="301">
        <v>0</v>
      </c>
      <c r="AD53" s="301">
        <v>0</v>
      </c>
      <c r="AE53" s="126"/>
      <c r="AF53" s="298"/>
      <c r="AG53" s="299"/>
      <c r="AH53" s="299"/>
      <c r="AI53" s="301"/>
      <c r="AJ53" s="301"/>
      <c r="AK53" s="426"/>
      <c r="AL53" s="298"/>
      <c r="AM53" s="299"/>
      <c r="AN53" s="299"/>
      <c r="AO53" s="301"/>
      <c r="AP53" s="301"/>
      <c r="AQ53" s="426"/>
      <c r="AR53" s="298"/>
      <c r="AS53" s="299"/>
      <c r="AT53" s="299"/>
      <c r="AU53" s="301"/>
      <c r="AV53" s="301"/>
      <c r="AW53" s="88"/>
      <c r="AX53" s="298"/>
      <c r="AY53" s="299"/>
      <c r="AZ53" s="299"/>
      <c r="BA53" s="301"/>
      <c r="BB53" s="301"/>
      <c r="BC53" s="426"/>
      <c r="BD53" s="298"/>
      <c r="BE53" s="299"/>
      <c r="BF53" s="299"/>
      <c r="BG53" s="301"/>
      <c r="BH53" s="301"/>
      <c r="BI53" s="88"/>
      <c r="BJ53" s="298"/>
      <c r="BK53" s="299"/>
      <c r="BL53" s="299"/>
      <c r="BM53" s="301"/>
      <c r="BN53" s="301"/>
      <c r="BO53" s="88"/>
      <c r="BP53" s="9"/>
      <c r="BS53" s="81"/>
      <c r="BT53" s="81"/>
      <c r="BV53" s="9"/>
      <c r="BY53" s="81"/>
      <c r="BZ53" s="81"/>
      <c r="CB53" s="9"/>
      <c r="CE53" s="81"/>
      <c r="CF53" s="81"/>
      <c r="CH53" s="9"/>
      <c r="CK53" s="81"/>
      <c r="CL53" s="81"/>
      <c r="CR53" s="9"/>
      <c r="CS53" s="9"/>
      <c r="CT53" s="9"/>
      <c r="CU53" s="9"/>
      <c r="CV53" s="9"/>
      <c r="CW53" s="129"/>
      <c r="CX53" s="9"/>
    </row>
    <row r="54" spans="1:102">
      <c r="A54" s="6" t="str">
        <f t="shared" si="0"/>
        <v>00090999</v>
      </c>
      <c r="B54" s="6" t="s">
        <v>1659</v>
      </c>
      <c r="C54" s="6" t="s">
        <v>2092</v>
      </c>
      <c r="D54" s="6">
        <v>45</v>
      </c>
      <c r="E54" s="10">
        <v>9</v>
      </c>
      <c r="F54" s="10" t="s">
        <v>1128</v>
      </c>
      <c r="G54" s="10">
        <v>999</v>
      </c>
      <c r="H54" s="10" t="s">
        <v>593</v>
      </c>
      <c r="I54" s="92">
        <v>73565668.954928949</v>
      </c>
      <c r="J54" s="472">
        <v>1</v>
      </c>
      <c r="K54" s="53">
        <f>SUM(K50:K53)</f>
        <v>73868962.241867244</v>
      </c>
      <c r="L54" s="91">
        <f>SUM(L50:L53)</f>
        <v>1</v>
      </c>
      <c r="M54" s="79">
        <f>VLOOKUP(E54,town351,24)</f>
        <v>60941894</v>
      </c>
      <c r="N54" s="79">
        <f>SUM(N50:N53)</f>
        <v>60941894</v>
      </c>
      <c r="O54" s="79">
        <v>59359726</v>
      </c>
      <c r="P54" s="79">
        <f>SUM(P50:P53)</f>
        <v>1582168</v>
      </c>
      <c r="Q54" s="39">
        <f t="shared" si="10"/>
        <v>2.6653896616706083</v>
      </c>
      <c r="R54" s="9">
        <v>5606.0000000055998</v>
      </c>
      <c r="S54" s="9">
        <f t="shared" si="7"/>
        <v>5514.0000000033597</v>
      </c>
      <c r="T54" s="90">
        <f t="shared" si="2"/>
        <v>9</v>
      </c>
      <c r="U54" s="90">
        <f t="shared" si="3"/>
        <v>999</v>
      </c>
      <c r="V54" s="373">
        <f t="shared" si="4"/>
        <v>45</v>
      </c>
      <c r="W54" s="90">
        <f t="shared" si="5"/>
        <v>5514.0000000033597</v>
      </c>
      <c r="X54" s="90">
        <f t="shared" si="6"/>
        <v>73868962.241867244</v>
      </c>
      <c r="Y54" s="141">
        <f t="shared" si="8"/>
        <v>45</v>
      </c>
      <c r="Z54" s="298">
        <v>9</v>
      </c>
      <c r="AA54" s="299">
        <v>999</v>
      </c>
      <c r="AB54" s="299">
        <v>45</v>
      </c>
      <c r="AC54" s="301">
        <v>5514.0000000033597</v>
      </c>
      <c r="AD54" s="301">
        <v>73868962.241867244</v>
      </c>
      <c r="AE54" s="126"/>
      <c r="AF54" s="298"/>
      <c r="AG54" s="299"/>
      <c r="AH54" s="299"/>
      <c r="AI54" s="301"/>
      <c r="AJ54" s="301"/>
      <c r="AK54" s="426"/>
      <c r="AL54" s="298"/>
      <c r="AM54" s="299"/>
      <c r="AN54" s="299"/>
      <c r="AO54" s="301"/>
      <c r="AP54" s="301"/>
      <c r="AQ54" s="426"/>
      <c r="AR54" s="298"/>
      <c r="AS54" s="299"/>
      <c r="AT54" s="299"/>
      <c r="AU54" s="301"/>
      <c r="AV54" s="301"/>
      <c r="AW54" s="91"/>
      <c r="AX54" s="298"/>
      <c r="AY54" s="299"/>
      <c r="AZ54" s="299"/>
      <c r="BA54" s="301"/>
      <c r="BB54" s="301"/>
      <c r="BC54" s="426"/>
      <c r="BD54" s="298"/>
      <c r="BE54" s="299"/>
      <c r="BF54" s="299"/>
      <c r="BG54" s="301"/>
      <c r="BH54" s="301"/>
      <c r="BI54" s="91"/>
      <c r="BJ54" s="298"/>
      <c r="BK54" s="299"/>
      <c r="BL54" s="299"/>
      <c r="BM54" s="301"/>
      <c r="BN54" s="301"/>
      <c r="BO54" s="91"/>
      <c r="BP54" s="9"/>
      <c r="BS54" s="81"/>
      <c r="BT54" s="81"/>
      <c r="BV54" s="9"/>
      <c r="BY54" s="81"/>
      <c r="BZ54" s="81"/>
      <c r="CB54" s="9"/>
      <c r="CE54" s="81"/>
      <c r="CF54" s="81"/>
      <c r="CH54" s="9"/>
      <c r="CK54" s="81"/>
      <c r="CL54" s="81"/>
      <c r="CR54" s="9"/>
      <c r="CS54" s="9"/>
      <c r="CT54" s="9"/>
      <c r="CU54" s="9"/>
      <c r="CV54" s="9"/>
      <c r="CW54" s="129"/>
      <c r="CX54" s="9"/>
    </row>
    <row r="55" spans="1:102">
      <c r="A55" s="6" t="str">
        <f t="shared" si="0"/>
        <v>00100010</v>
      </c>
      <c r="B55" s="6" t="s">
        <v>1660</v>
      </c>
      <c r="C55" s="6" t="s">
        <v>1660</v>
      </c>
      <c r="D55" s="6">
        <v>46</v>
      </c>
      <c r="E55" s="6">
        <v>10</v>
      </c>
      <c r="F55" s="6" t="s">
        <v>1129</v>
      </c>
      <c r="G55" s="6">
        <v>10</v>
      </c>
      <c r="H55" s="6" t="s">
        <v>691</v>
      </c>
      <c r="I55" s="33">
        <v>74896748.635400012</v>
      </c>
      <c r="J55" s="88">
        <v>0.94274840919034142</v>
      </c>
      <c r="K55" s="89">
        <f>X55</f>
        <v>77449420.442229986</v>
      </c>
      <c r="L55" s="88">
        <f>IF(K59&gt;0, K55/K59, 0)</f>
        <v>0.94496140753477254</v>
      </c>
      <c r="M55" s="58"/>
      <c r="N55" s="9">
        <f>ROUND(M59*L55,0)</f>
        <v>58893679</v>
      </c>
      <c r="O55" s="9">
        <v>56193340</v>
      </c>
      <c r="P55" s="9">
        <f>N55-O55</f>
        <v>2700339</v>
      </c>
      <c r="Q55" s="40">
        <f t="shared" si="10"/>
        <v>4.8054431361438921</v>
      </c>
      <c r="R55" s="9">
        <v>6002</v>
      </c>
      <c r="S55" s="9">
        <f t="shared" si="7"/>
        <v>6021</v>
      </c>
      <c r="T55" s="90">
        <f t="shared" si="2"/>
        <v>10</v>
      </c>
      <c r="U55" s="90">
        <f t="shared" si="3"/>
        <v>10</v>
      </c>
      <c r="V55" s="373">
        <f t="shared" si="4"/>
        <v>46</v>
      </c>
      <c r="W55" s="90">
        <f t="shared" si="5"/>
        <v>6021</v>
      </c>
      <c r="X55" s="90">
        <f t="shared" si="6"/>
        <v>77449420.442229986</v>
      </c>
      <c r="Y55" s="141">
        <f t="shared" si="8"/>
        <v>46</v>
      </c>
      <c r="Z55" s="298">
        <v>10</v>
      </c>
      <c r="AA55" s="299">
        <v>10</v>
      </c>
      <c r="AB55" s="299">
        <v>46</v>
      </c>
      <c r="AC55" s="301">
        <v>6021</v>
      </c>
      <c r="AD55" s="301">
        <v>77449420.442229986</v>
      </c>
      <c r="AE55" s="126"/>
      <c r="AF55" s="298"/>
      <c r="AG55" s="299"/>
      <c r="AH55" s="299"/>
      <c r="AI55" s="301"/>
      <c r="AJ55" s="301"/>
      <c r="AK55" s="426"/>
      <c r="AL55" s="298"/>
      <c r="AM55" s="299"/>
      <c r="AN55" s="299"/>
      <c r="AO55" s="301"/>
      <c r="AP55" s="301"/>
      <c r="AQ55" s="426"/>
      <c r="AR55" s="298"/>
      <c r="AS55" s="299"/>
      <c r="AT55" s="299"/>
      <c r="AU55" s="301"/>
      <c r="AV55" s="301"/>
      <c r="AW55" s="88"/>
      <c r="AX55" s="298"/>
      <c r="AY55" s="299"/>
      <c r="AZ55" s="299"/>
      <c r="BA55" s="301"/>
      <c r="BB55" s="301"/>
      <c r="BC55" s="426"/>
      <c r="BD55" s="298"/>
      <c r="BE55" s="299"/>
      <c r="BF55" s="299"/>
      <c r="BG55" s="301"/>
      <c r="BH55" s="301"/>
      <c r="BI55" s="88"/>
      <c r="BJ55" s="298"/>
      <c r="BK55" s="299"/>
      <c r="BL55" s="299"/>
      <c r="BM55" s="301"/>
      <c r="BN55" s="301"/>
      <c r="BO55" s="88"/>
      <c r="BP55" s="9"/>
      <c r="BS55" s="81"/>
      <c r="BT55" s="81"/>
      <c r="BV55" s="9"/>
      <c r="BY55" s="81"/>
      <c r="BZ55" s="81"/>
      <c r="CB55" s="9"/>
      <c r="CE55" s="81"/>
      <c r="CF55" s="81"/>
      <c r="CH55" s="9"/>
      <c r="CK55" s="81"/>
      <c r="CL55" s="81"/>
      <c r="CR55" s="9"/>
      <c r="CS55" s="9"/>
      <c r="CT55" s="9"/>
      <c r="CU55" s="9"/>
      <c r="CV55" s="9"/>
      <c r="CW55" s="129"/>
      <c r="CX55" s="9"/>
    </row>
    <row r="56" spans="1:102">
      <c r="A56" s="6" t="str">
        <f t="shared" si="0"/>
        <v>00100830</v>
      </c>
      <c r="B56" s="6" t="s">
        <v>1660</v>
      </c>
      <c r="C56" s="6" t="s">
        <v>2074</v>
      </c>
      <c r="D56" s="6">
        <v>47</v>
      </c>
      <c r="E56" s="6">
        <v>10</v>
      </c>
      <c r="F56" s="6" t="s">
        <v>1129</v>
      </c>
      <c r="G56" s="6">
        <v>830</v>
      </c>
      <c r="H56" s="6" t="s">
        <v>1104</v>
      </c>
      <c r="I56" s="33">
        <v>4548358.7816715501</v>
      </c>
      <c r="J56" s="88">
        <v>5.725159080965854E-2</v>
      </c>
      <c r="K56" s="89">
        <f t="shared" si="9"/>
        <v>4510985.3740043854</v>
      </c>
      <c r="L56" s="88">
        <f>IF(K59&gt;0, K56/K59, 0)</f>
        <v>5.5038592465227507E-2</v>
      </c>
      <c r="M56" s="58"/>
      <c r="N56" s="9">
        <f>ROUND(M59*L56,0)</f>
        <v>3430220</v>
      </c>
      <c r="O56" s="9">
        <v>3412531</v>
      </c>
      <c r="P56" s="9">
        <f>N56-O56</f>
        <v>17689</v>
      </c>
      <c r="Q56" s="40">
        <f t="shared" si="10"/>
        <v>0.51835426549971264</v>
      </c>
      <c r="R56" s="9">
        <v>217.99999999907999</v>
      </c>
      <c r="S56" s="9">
        <f t="shared" si="7"/>
        <v>216.00000000143999</v>
      </c>
      <c r="T56" s="90">
        <f t="shared" si="2"/>
        <v>10</v>
      </c>
      <c r="U56" s="90">
        <f t="shared" si="3"/>
        <v>830</v>
      </c>
      <c r="V56" s="373">
        <f t="shared" si="4"/>
        <v>47</v>
      </c>
      <c r="W56" s="90">
        <f t="shared" si="5"/>
        <v>216.00000000143999</v>
      </c>
      <c r="X56" s="90">
        <f t="shared" si="6"/>
        <v>4510985.3740043854</v>
      </c>
      <c r="Y56" s="141">
        <f t="shared" si="8"/>
        <v>47</v>
      </c>
      <c r="Z56" s="298">
        <v>10</v>
      </c>
      <c r="AA56" s="299">
        <v>830</v>
      </c>
      <c r="AB56" s="299">
        <v>47</v>
      </c>
      <c r="AC56" s="301">
        <v>216.00000000143999</v>
      </c>
      <c r="AD56" s="301">
        <v>4510985.3740043854</v>
      </c>
      <c r="AE56" s="126"/>
      <c r="AF56" s="298"/>
      <c r="AG56" s="299"/>
      <c r="AH56" s="299"/>
      <c r="AI56" s="301"/>
      <c r="AJ56" s="301"/>
      <c r="AK56" s="426"/>
      <c r="AL56" s="298"/>
      <c r="AM56" s="299"/>
      <c r="AN56" s="299"/>
      <c r="AO56" s="301"/>
      <c r="AP56" s="301"/>
      <c r="AQ56" s="426"/>
      <c r="AR56" s="298"/>
      <c r="AS56" s="299"/>
      <c r="AT56" s="299"/>
      <c r="AU56" s="301"/>
      <c r="AV56" s="301"/>
      <c r="AW56" s="88"/>
      <c r="AX56" s="298"/>
      <c r="AY56" s="299"/>
      <c r="AZ56" s="299"/>
      <c r="BA56" s="301"/>
      <c r="BB56" s="301"/>
      <c r="BC56" s="426"/>
      <c r="BD56" s="298"/>
      <c r="BE56" s="299"/>
      <c r="BF56" s="299"/>
      <c r="BG56" s="301"/>
      <c r="BH56" s="301"/>
      <c r="BI56" s="88"/>
      <c r="BJ56" s="298"/>
      <c r="BK56" s="299"/>
      <c r="BL56" s="299"/>
      <c r="BM56" s="301"/>
      <c r="BN56" s="301"/>
      <c r="BO56" s="88"/>
      <c r="BP56" s="9"/>
      <c r="BS56" s="81"/>
      <c r="BT56" s="81"/>
      <c r="BV56" s="9"/>
      <c r="BY56" s="81"/>
      <c r="BZ56" s="81"/>
      <c r="CB56" s="9"/>
      <c r="CE56" s="81"/>
      <c r="CF56" s="81"/>
      <c r="CH56" s="9"/>
      <c r="CK56" s="81"/>
      <c r="CL56" s="81"/>
      <c r="CR56" s="9"/>
      <c r="CS56" s="9"/>
      <c r="CT56" s="9"/>
      <c r="CU56" s="9"/>
      <c r="CV56" s="9"/>
      <c r="CW56" s="129"/>
      <c r="CX56" s="9"/>
    </row>
    <row r="57" spans="1:102">
      <c r="A57" s="6" t="str">
        <f t="shared" si="0"/>
        <v>00100998</v>
      </c>
      <c r="B57" s="6" t="s">
        <v>1660</v>
      </c>
      <c r="C57" s="6" t="s">
        <v>2091</v>
      </c>
      <c r="D57" s="6">
        <v>48</v>
      </c>
      <c r="E57" s="6">
        <v>10</v>
      </c>
      <c r="F57" s="6" t="s">
        <v>1547</v>
      </c>
      <c r="G57" s="6">
        <v>998</v>
      </c>
      <c r="H57" s="6" t="s">
        <v>1547</v>
      </c>
      <c r="I57" s="33">
        <v>0</v>
      </c>
      <c r="J57" s="88">
        <v>0</v>
      </c>
      <c r="K57" s="89">
        <f t="shared" si="9"/>
        <v>0</v>
      </c>
      <c r="L57" s="88">
        <f>IF(K59&gt;0, K57/K59, 0)</f>
        <v>0</v>
      </c>
      <c r="M57" s="58"/>
      <c r="N57" s="9">
        <f>ROUND(M59*L57,0)</f>
        <v>0</v>
      </c>
      <c r="O57" s="9">
        <v>0</v>
      </c>
      <c r="P57" s="9">
        <f>N57-O57</f>
        <v>0</v>
      </c>
      <c r="Q57" s="40">
        <f t="shared" si="10"/>
        <v>0</v>
      </c>
      <c r="R57" s="9">
        <v>0</v>
      </c>
      <c r="S57" s="9">
        <f t="shared" si="7"/>
        <v>0</v>
      </c>
      <c r="T57" s="90">
        <f t="shared" si="2"/>
        <v>10</v>
      </c>
      <c r="U57" s="90">
        <f t="shared" si="3"/>
        <v>998</v>
      </c>
      <c r="V57" s="373">
        <f t="shared" si="4"/>
        <v>48</v>
      </c>
      <c r="W57" s="90">
        <f t="shared" si="5"/>
        <v>0</v>
      </c>
      <c r="X57" s="90">
        <f t="shared" si="6"/>
        <v>0</v>
      </c>
      <c r="Y57" s="141">
        <f t="shared" si="8"/>
        <v>48</v>
      </c>
      <c r="Z57" s="298">
        <v>10</v>
      </c>
      <c r="AA57" s="299">
        <v>998</v>
      </c>
      <c r="AB57" s="299">
        <v>48</v>
      </c>
      <c r="AC57" s="301">
        <v>0</v>
      </c>
      <c r="AD57" s="301">
        <v>0</v>
      </c>
      <c r="AE57" s="126"/>
      <c r="AF57" s="298"/>
      <c r="AG57" s="299"/>
      <c r="AH57" s="299"/>
      <c r="AI57" s="301"/>
      <c r="AJ57" s="301"/>
      <c r="AK57" s="426"/>
      <c r="AL57" s="298"/>
      <c r="AM57" s="299"/>
      <c r="AN57" s="299"/>
      <c r="AO57" s="301"/>
      <c r="AP57" s="301"/>
      <c r="AQ57" s="426"/>
      <c r="AR57" s="298"/>
      <c r="AS57" s="299"/>
      <c r="AT57" s="299"/>
      <c r="AU57" s="301"/>
      <c r="AV57" s="301"/>
      <c r="AW57" s="88"/>
      <c r="AX57" s="298"/>
      <c r="AY57" s="299"/>
      <c r="AZ57" s="299"/>
      <c r="BA57" s="301"/>
      <c r="BB57" s="301"/>
      <c r="BC57" s="426"/>
      <c r="BD57" s="298"/>
      <c r="BE57" s="299"/>
      <c r="BF57" s="299"/>
      <c r="BG57" s="301"/>
      <c r="BH57" s="301"/>
      <c r="BI57" s="88"/>
      <c r="BJ57" s="298"/>
      <c r="BK57" s="299"/>
      <c r="BL57" s="299"/>
      <c r="BM57" s="301"/>
      <c r="BN57" s="301"/>
      <c r="BO57" s="88"/>
      <c r="BP57" s="9"/>
      <c r="BS57" s="81"/>
      <c r="BT57" s="81"/>
      <c r="BV57" s="9"/>
      <c r="BY57" s="81"/>
      <c r="BZ57" s="81"/>
      <c r="CB57" s="9"/>
      <c r="CE57" s="81"/>
      <c r="CF57" s="81"/>
      <c r="CH57" s="9"/>
      <c r="CK57" s="81"/>
      <c r="CL57" s="81"/>
      <c r="CR57" s="9"/>
      <c r="CS57" s="9"/>
      <c r="CT57" s="9"/>
      <c r="CU57" s="9"/>
      <c r="CV57" s="9"/>
      <c r="CW57" s="129"/>
      <c r="CX57" s="9"/>
    </row>
    <row r="58" spans="1:102">
      <c r="A58" s="6" t="str">
        <f t="shared" si="0"/>
        <v>00100998</v>
      </c>
      <c r="B58" s="6" t="s">
        <v>1660</v>
      </c>
      <c r="C58" s="6" t="s">
        <v>2091</v>
      </c>
      <c r="D58" s="6">
        <v>49</v>
      </c>
      <c r="E58" s="6">
        <v>10</v>
      </c>
      <c r="F58" s="6" t="s">
        <v>1547</v>
      </c>
      <c r="G58" s="6">
        <v>998</v>
      </c>
      <c r="H58" s="6" t="s">
        <v>1547</v>
      </c>
      <c r="I58" s="33">
        <v>0</v>
      </c>
      <c r="J58" s="88">
        <v>0</v>
      </c>
      <c r="K58" s="89">
        <f t="shared" si="9"/>
        <v>0</v>
      </c>
      <c r="L58" s="88">
        <f>IF(K59&gt;0, K58/K59, 0)</f>
        <v>0</v>
      </c>
      <c r="M58" s="58"/>
      <c r="N58" s="9">
        <f>ROUND(M59*L58,0)</f>
        <v>0</v>
      </c>
      <c r="O58" s="9">
        <v>0</v>
      </c>
      <c r="P58" s="9">
        <f>N58-O58</f>
        <v>0</v>
      </c>
      <c r="Q58" s="40">
        <f t="shared" si="10"/>
        <v>0</v>
      </c>
      <c r="R58" s="9">
        <v>0</v>
      </c>
      <c r="S58" s="9">
        <f t="shared" si="7"/>
        <v>0</v>
      </c>
      <c r="T58" s="90">
        <f t="shared" si="2"/>
        <v>10</v>
      </c>
      <c r="U58" s="90">
        <f t="shared" si="3"/>
        <v>998</v>
      </c>
      <c r="V58" s="373">
        <f t="shared" si="4"/>
        <v>49</v>
      </c>
      <c r="W58" s="90">
        <f t="shared" si="5"/>
        <v>0</v>
      </c>
      <c r="X58" s="90">
        <f t="shared" si="6"/>
        <v>0</v>
      </c>
      <c r="Y58" s="141">
        <f t="shared" si="8"/>
        <v>49</v>
      </c>
      <c r="Z58" s="298">
        <v>10</v>
      </c>
      <c r="AA58" s="299">
        <v>998</v>
      </c>
      <c r="AB58" s="299">
        <v>49</v>
      </c>
      <c r="AC58" s="301">
        <v>0</v>
      </c>
      <c r="AD58" s="301">
        <v>0</v>
      </c>
      <c r="AE58" s="126"/>
      <c r="AF58" s="298"/>
      <c r="AG58" s="299"/>
      <c r="AH58" s="299"/>
      <c r="AI58" s="301"/>
      <c r="AJ58" s="301"/>
      <c r="AK58" s="426"/>
      <c r="AL58" s="298"/>
      <c r="AM58" s="299"/>
      <c r="AN58" s="299"/>
      <c r="AO58" s="301"/>
      <c r="AP58" s="301"/>
      <c r="AQ58" s="426"/>
      <c r="AR58" s="298"/>
      <c r="AS58" s="299"/>
      <c r="AT58" s="299"/>
      <c r="AU58" s="301"/>
      <c r="AV58" s="301"/>
      <c r="AW58" s="88"/>
      <c r="AX58" s="298"/>
      <c r="AY58" s="299"/>
      <c r="AZ58" s="299"/>
      <c r="BA58" s="301"/>
      <c r="BB58" s="301"/>
      <c r="BC58" s="426"/>
      <c r="BD58" s="298"/>
      <c r="BE58" s="299"/>
      <c r="BF58" s="299"/>
      <c r="BG58" s="301"/>
      <c r="BH58" s="301"/>
      <c r="BI58" s="88"/>
      <c r="BJ58" s="298"/>
      <c r="BK58" s="299"/>
      <c r="BL58" s="299"/>
      <c r="BM58" s="301"/>
      <c r="BN58" s="301"/>
      <c r="BO58" s="88"/>
      <c r="BP58" s="9"/>
      <c r="BS58" s="81"/>
      <c r="BT58" s="81"/>
      <c r="BV58" s="9"/>
      <c r="BY58" s="81"/>
      <c r="BZ58" s="81"/>
      <c r="CB58" s="9"/>
      <c r="CE58" s="81"/>
      <c r="CF58" s="81"/>
      <c r="CH58" s="9"/>
      <c r="CK58" s="81"/>
      <c r="CL58" s="81"/>
      <c r="CR58" s="9"/>
      <c r="CS58" s="9"/>
      <c r="CT58" s="9"/>
      <c r="CU58" s="9"/>
      <c r="CV58" s="9"/>
      <c r="CW58" s="129"/>
      <c r="CX58" s="9"/>
    </row>
    <row r="59" spans="1:102">
      <c r="A59" s="6" t="str">
        <f t="shared" si="0"/>
        <v>00100999</v>
      </c>
      <c r="B59" s="6" t="s">
        <v>1660</v>
      </c>
      <c r="C59" s="6" t="s">
        <v>2092</v>
      </c>
      <c r="D59" s="6">
        <v>50</v>
      </c>
      <c r="E59" s="10">
        <v>10</v>
      </c>
      <c r="F59" s="10" t="s">
        <v>1129</v>
      </c>
      <c r="G59" s="10">
        <v>999</v>
      </c>
      <c r="H59" s="10" t="s">
        <v>593</v>
      </c>
      <c r="I59" s="92">
        <v>79445107.417071566</v>
      </c>
      <c r="J59" s="472">
        <v>1</v>
      </c>
      <c r="K59" s="53">
        <f>SUM(K55:K58)</f>
        <v>81960405.816234365</v>
      </c>
      <c r="L59" s="91">
        <f>SUM(L55:L58)</f>
        <v>1</v>
      </c>
      <c r="M59" s="79">
        <f>VLOOKUP(E59,town351,24)</f>
        <v>62323899</v>
      </c>
      <c r="N59" s="79">
        <f>SUM(N55:N58)</f>
        <v>62323899</v>
      </c>
      <c r="O59" s="79">
        <v>59605871</v>
      </c>
      <c r="P59" s="79">
        <f>SUM(P55:P58)</f>
        <v>2718028</v>
      </c>
      <c r="Q59" s="39">
        <f t="shared" si="10"/>
        <v>4.5600004737788327</v>
      </c>
      <c r="R59" s="9">
        <v>6219.9999999990796</v>
      </c>
      <c r="S59" s="9">
        <f t="shared" si="7"/>
        <v>6237.0000000014397</v>
      </c>
      <c r="T59" s="90">
        <f t="shared" si="2"/>
        <v>10</v>
      </c>
      <c r="U59" s="90">
        <f t="shared" si="3"/>
        <v>999</v>
      </c>
      <c r="V59" s="373">
        <f t="shared" si="4"/>
        <v>50</v>
      </c>
      <c r="W59" s="90">
        <f t="shared" si="5"/>
        <v>6237.0000000014397</v>
      </c>
      <c r="X59" s="90">
        <f t="shared" si="6"/>
        <v>81960405.816234365</v>
      </c>
      <c r="Y59" s="141">
        <f t="shared" si="8"/>
        <v>50</v>
      </c>
      <c r="Z59" s="298">
        <v>10</v>
      </c>
      <c r="AA59" s="299">
        <v>999</v>
      </c>
      <c r="AB59" s="299">
        <v>50</v>
      </c>
      <c r="AC59" s="301">
        <v>6237.0000000014397</v>
      </c>
      <c r="AD59" s="301">
        <v>81960405.816234365</v>
      </c>
      <c r="AE59" s="126"/>
      <c r="AF59" s="298"/>
      <c r="AG59" s="299"/>
      <c r="AH59" s="299"/>
      <c r="AI59" s="301"/>
      <c r="AJ59" s="301"/>
      <c r="AK59" s="426"/>
      <c r="AL59" s="298"/>
      <c r="AM59" s="299"/>
      <c r="AN59" s="299"/>
      <c r="AO59" s="301"/>
      <c r="AP59" s="301"/>
      <c r="AQ59" s="426"/>
      <c r="AR59" s="298"/>
      <c r="AS59" s="299"/>
      <c r="AT59" s="299"/>
      <c r="AU59" s="301"/>
      <c r="AV59" s="301"/>
      <c r="AW59" s="91"/>
      <c r="AX59" s="298"/>
      <c r="AY59" s="299"/>
      <c r="AZ59" s="299"/>
      <c r="BA59" s="301"/>
      <c r="BB59" s="301"/>
      <c r="BC59" s="426"/>
      <c r="BD59" s="298"/>
      <c r="BE59" s="299"/>
      <c r="BF59" s="299"/>
      <c r="BG59" s="301"/>
      <c r="BH59" s="301"/>
      <c r="BI59" s="91"/>
      <c r="BJ59" s="298"/>
      <c r="BK59" s="299"/>
      <c r="BL59" s="299"/>
      <c r="BM59" s="301"/>
      <c r="BN59" s="301"/>
      <c r="BO59" s="91"/>
      <c r="BP59" s="9"/>
      <c r="BS59" s="81"/>
      <c r="BT59" s="81"/>
      <c r="BV59" s="9"/>
      <c r="BY59" s="81"/>
      <c r="BZ59" s="81"/>
      <c r="CB59" s="9"/>
      <c r="CE59" s="81"/>
      <c r="CF59" s="81"/>
      <c r="CH59" s="9"/>
      <c r="CK59" s="81"/>
      <c r="CL59" s="81"/>
      <c r="CR59" s="9"/>
      <c r="CS59" s="9"/>
      <c r="CT59" s="9"/>
      <c r="CU59" s="9"/>
      <c r="CV59" s="9"/>
      <c r="CW59" s="129"/>
      <c r="CX59" s="9"/>
    </row>
    <row r="60" spans="1:102">
      <c r="A60" s="6" t="str">
        <f t="shared" si="0"/>
        <v>00110011</v>
      </c>
      <c r="B60" s="6" t="s">
        <v>1661</v>
      </c>
      <c r="C60" s="6" t="s">
        <v>1661</v>
      </c>
      <c r="D60" s="6">
        <v>51</v>
      </c>
      <c r="E60" s="6">
        <v>11</v>
      </c>
      <c r="F60" s="6" t="s">
        <v>1130</v>
      </c>
      <c r="G60" s="6">
        <v>11</v>
      </c>
      <c r="H60" s="6" t="s">
        <v>692</v>
      </c>
      <c r="I60" s="33">
        <v>0</v>
      </c>
      <c r="J60" s="88">
        <v>0</v>
      </c>
      <c r="K60" s="89">
        <f>X60</f>
        <v>0</v>
      </c>
      <c r="L60" s="88">
        <f>IF(K64&gt;0, K60/K64, 0)</f>
        <v>0</v>
      </c>
      <c r="M60" s="58"/>
      <c r="N60" s="9">
        <f>ROUND(M64*L60,0)</f>
        <v>0</v>
      </c>
      <c r="O60" s="9">
        <v>0</v>
      </c>
      <c r="P60" s="9">
        <f>N60-O60</f>
        <v>0</v>
      </c>
      <c r="Q60" s="40">
        <f t="shared" si="10"/>
        <v>0</v>
      </c>
      <c r="R60" s="9">
        <v>0</v>
      </c>
      <c r="S60" s="9">
        <f t="shared" si="7"/>
        <v>0</v>
      </c>
      <c r="T60" s="90">
        <f t="shared" si="2"/>
        <v>11</v>
      </c>
      <c r="U60" s="90">
        <f t="shared" si="3"/>
        <v>11</v>
      </c>
      <c r="V60" s="373">
        <f t="shared" si="4"/>
        <v>51</v>
      </c>
      <c r="W60" s="90">
        <f t="shared" si="5"/>
        <v>0</v>
      </c>
      <c r="X60" s="90">
        <f t="shared" si="6"/>
        <v>0</v>
      </c>
      <c r="Y60" s="141">
        <f t="shared" si="8"/>
        <v>51</v>
      </c>
      <c r="Z60" s="298">
        <v>11</v>
      </c>
      <c r="AA60" s="299">
        <v>11</v>
      </c>
      <c r="AB60" s="299">
        <v>51</v>
      </c>
      <c r="AC60" s="301">
        <v>0</v>
      </c>
      <c r="AD60" s="301">
        <v>0</v>
      </c>
      <c r="AE60" s="126"/>
      <c r="AF60" s="298"/>
      <c r="AG60" s="299"/>
      <c r="AH60" s="299"/>
      <c r="AI60" s="301"/>
      <c r="AJ60" s="301"/>
      <c r="AK60" s="426"/>
      <c r="AL60" s="298"/>
      <c r="AM60" s="299"/>
      <c r="AN60" s="299"/>
      <c r="AO60" s="301"/>
      <c r="AP60" s="301"/>
      <c r="AQ60" s="426"/>
      <c r="AR60" s="298"/>
      <c r="AS60" s="299"/>
      <c r="AT60" s="299"/>
      <c r="AU60" s="301"/>
      <c r="AV60" s="301"/>
      <c r="AW60" s="88"/>
      <c r="AX60" s="298"/>
      <c r="AY60" s="299"/>
      <c r="AZ60" s="299"/>
      <c r="BA60" s="301"/>
      <c r="BB60" s="301"/>
      <c r="BC60" s="426"/>
      <c r="BD60" s="298"/>
      <c r="BE60" s="299"/>
      <c r="BF60" s="299"/>
      <c r="BG60" s="301"/>
      <c r="BH60" s="301"/>
      <c r="BI60" s="88"/>
      <c r="BJ60" s="298"/>
      <c r="BK60" s="299"/>
      <c r="BL60" s="299"/>
      <c r="BM60" s="301"/>
      <c r="BN60" s="301"/>
      <c r="BO60" s="88"/>
      <c r="BP60" s="9"/>
      <c r="BS60" s="81"/>
      <c r="BT60" s="81"/>
      <c r="BV60" s="9"/>
      <c r="BY60" s="81"/>
      <c r="BZ60" s="81"/>
      <c r="CB60" s="9"/>
      <c r="CE60" s="81"/>
      <c r="CF60" s="81"/>
      <c r="CH60" s="9"/>
      <c r="CK60" s="81"/>
      <c r="CL60" s="81"/>
      <c r="CR60" s="9"/>
      <c r="CS60" s="9"/>
      <c r="CT60" s="9"/>
      <c r="CU60" s="9"/>
      <c r="CV60" s="9"/>
      <c r="CW60" s="129"/>
      <c r="CX60" s="9"/>
    </row>
    <row r="61" spans="1:102">
      <c r="A61" s="6" t="str">
        <f t="shared" si="0"/>
        <v>00110610</v>
      </c>
      <c r="B61" s="6" t="s">
        <v>1661</v>
      </c>
      <c r="C61" s="6" t="s">
        <v>2007</v>
      </c>
      <c r="D61" s="6">
        <v>52</v>
      </c>
      <c r="E61" s="6">
        <v>11</v>
      </c>
      <c r="F61" s="6" t="s">
        <v>1130</v>
      </c>
      <c r="G61" s="6">
        <v>610</v>
      </c>
      <c r="H61" s="6" t="s">
        <v>1037</v>
      </c>
      <c r="I61" s="33">
        <v>13603235.593604924</v>
      </c>
      <c r="J61" s="88">
        <v>0.90360775886285738</v>
      </c>
      <c r="K61" s="89">
        <f t="shared" si="9"/>
        <v>13011229.302688826</v>
      </c>
      <c r="L61" s="88">
        <f>IF(K64&gt;0, K61/K64, 0)</f>
        <v>0.90937040680580283</v>
      </c>
      <c r="M61" s="58"/>
      <c r="N61" s="9">
        <f>ROUND(M64*L61,0)</f>
        <v>5969244</v>
      </c>
      <c r="O61" s="9">
        <v>5653276</v>
      </c>
      <c r="P61" s="9">
        <f>N61-O61</f>
        <v>315968</v>
      </c>
      <c r="Q61" s="40">
        <f t="shared" si="10"/>
        <v>5.5891132858187005</v>
      </c>
      <c r="R61" s="9">
        <v>1047.1046962601399</v>
      </c>
      <c r="S61" s="9">
        <f t="shared" si="7"/>
        <v>982.89473684642996</v>
      </c>
      <c r="T61" s="90">
        <f t="shared" si="2"/>
        <v>11</v>
      </c>
      <c r="U61" s="90">
        <f t="shared" si="3"/>
        <v>610</v>
      </c>
      <c r="V61" s="373">
        <f t="shared" si="4"/>
        <v>52</v>
      </c>
      <c r="W61" s="90">
        <f t="shared" si="5"/>
        <v>982.89473684642996</v>
      </c>
      <c r="X61" s="90">
        <f t="shared" si="6"/>
        <v>13011229.302688826</v>
      </c>
      <c r="Y61" s="141">
        <f t="shared" si="8"/>
        <v>52</v>
      </c>
      <c r="Z61" s="298">
        <v>11</v>
      </c>
      <c r="AA61" s="299">
        <v>610</v>
      </c>
      <c r="AB61" s="299">
        <v>52</v>
      </c>
      <c r="AC61" s="301">
        <v>982.89473684642996</v>
      </c>
      <c r="AD61" s="301">
        <v>13011229.302688826</v>
      </c>
      <c r="AE61" s="126"/>
      <c r="AF61" s="298"/>
      <c r="AG61" s="299"/>
      <c r="AH61" s="299"/>
      <c r="AI61" s="301"/>
      <c r="AJ61" s="301"/>
      <c r="AK61" s="426"/>
      <c r="AL61" s="298"/>
      <c r="AM61" s="299"/>
      <c r="AN61" s="299"/>
      <c r="AO61" s="301"/>
      <c r="AP61" s="301"/>
      <c r="AQ61" s="426"/>
      <c r="AR61" s="298"/>
      <c r="AS61" s="299"/>
      <c r="AT61" s="299"/>
      <c r="AU61" s="301"/>
      <c r="AV61" s="301"/>
      <c r="AW61" s="88"/>
      <c r="AX61" s="298"/>
      <c r="AY61" s="299"/>
      <c r="AZ61" s="299"/>
      <c r="BA61" s="301"/>
      <c r="BB61" s="301"/>
      <c r="BC61" s="426"/>
      <c r="BD61" s="298"/>
      <c r="BE61" s="299"/>
      <c r="BF61" s="299"/>
      <c r="BG61" s="301"/>
      <c r="BH61" s="301"/>
      <c r="BI61" s="88"/>
      <c r="BJ61" s="298"/>
      <c r="BK61" s="299"/>
      <c r="BL61" s="299"/>
      <c r="BM61" s="301"/>
      <c r="BN61" s="301"/>
      <c r="BO61" s="88"/>
      <c r="BP61" s="9"/>
      <c r="BS61" s="81"/>
      <c r="BT61" s="81"/>
      <c r="BV61" s="9"/>
      <c r="BY61" s="81"/>
      <c r="BZ61" s="81"/>
      <c r="CB61" s="9"/>
      <c r="CE61" s="81"/>
      <c r="CF61" s="81"/>
      <c r="CH61" s="9"/>
      <c r="CK61" s="81"/>
      <c r="CL61" s="81"/>
      <c r="CR61" s="9"/>
      <c r="CS61" s="9"/>
      <c r="CT61" s="9"/>
      <c r="CU61" s="9"/>
      <c r="CV61" s="9"/>
      <c r="CW61" s="129"/>
      <c r="CX61" s="9"/>
    </row>
    <row r="62" spans="1:102">
      <c r="A62" s="6" t="str">
        <f t="shared" si="0"/>
        <v>00110832</v>
      </c>
      <c r="B62" s="6" t="s">
        <v>1661</v>
      </c>
      <c r="C62" s="6" t="s">
        <v>2075</v>
      </c>
      <c r="D62" s="6">
        <v>53</v>
      </c>
      <c r="E62" s="6">
        <v>11</v>
      </c>
      <c r="F62" s="6" t="s">
        <v>1130</v>
      </c>
      <c r="G62" s="6">
        <v>832</v>
      </c>
      <c r="H62" s="6" t="s">
        <v>1105</v>
      </c>
      <c r="I62" s="33">
        <v>1451123.4025195427</v>
      </c>
      <c r="J62" s="88">
        <v>9.6392241137142676E-2</v>
      </c>
      <c r="K62" s="89">
        <f t="shared" si="9"/>
        <v>1296723.9859949888</v>
      </c>
      <c r="L62" s="88">
        <f>IF(K64&gt;0, K62/K64, 0)</f>
        <v>9.0629593194197111E-2</v>
      </c>
      <c r="M62" s="58"/>
      <c r="N62" s="9">
        <f>ROUND(M64*L62,0)</f>
        <v>594906</v>
      </c>
      <c r="O62" s="9">
        <v>603063</v>
      </c>
      <c r="P62" s="9">
        <f>N62-O62</f>
        <v>-8157</v>
      </c>
      <c r="Q62" s="40">
        <f t="shared" si="10"/>
        <v>-1.3525950025121753</v>
      </c>
      <c r="R62" s="9">
        <v>72.098427886750002</v>
      </c>
      <c r="S62" s="9">
        <f t="shared" si="7"/>
        <v>63.999999993599999</v>
      </c>
      <c r="T62" s="90">
        <f t="shared" si="2"/>
        <v>11</v>
      </c>
      <c r="U62" s="90">
        <f t="shared" si="3"/>
        <v>832</v>
      </c>
      <c r="V62" s="373">
        <f t="shared" si="4"/>
        <v>53</v>
      </c>
      <c r="W62" s="90">
        <f t="shared" si="5"/>
        <v>63.999999993599999</v>
      </c>
      <c r="X62" s="90">
        <f t="shared" si="6"/>
        <v>1296723.9859949888</v>
      </c>
      <c r="Y62" s="141">
        <f t="shared" si="8"/>
        <v>53</v>
      </c>
      <c r="Z62" s="298">
        <v>11</v>
      </c>
      <c r="AA62" s="299">
        <v>832</v>
      </c>
      <c r="AB62" s="299">
        <v>53</v>
      </c>
      <c r="AC62" s="301">
        <v>63.999999993599999</v>
      </c>
      <c r="AD62" s="301">
        <v>1296723.9859949888</v>
      </c>
      <c r="AE62" s="126"/>
      <c r="AF62" s="298"/>
      <c r="AG62" s="299"/>
      <c r="AH62" s="299"/>
      <c r="AI62" s="301"/>
      <c r="AJ62" s="301"/>
      <c r="AK62" s="426"/>
      <c r="AL62" s="298"/>
      <c r="AM62" s="299"/>
      <c r="AN62" s="299"/>
      <c r="AO62" s="301"/>
      <c r="AP62" s="301"/>
      <c r="AQ62" s="426"/>
      <c r="AR62" s="298"/>
      <c r="AS62" s="299"/>
      <c r="AT62" s="299"/>
      <c r="AU62" s="301"/>
      <c r="AV62" s="301"/>
      <c r="AW62" s="88"/>
      <c r="AX62" s="298"/>
      <c r="AY62" s="299"/>
      <c r="AZ62" s="299"/>
      <c r="BA62" s="301"/>
      <c r="BB62" s="301"/>
      <c r="BC62" s="426"/>
      <c r="BD62" s="298"/>
      <c r="BE62" s="299"/>
      <c r="BF62" s="299"/>
      <c r="BG62" s="301"/>
      <c r="BH62" s="301"/>
      <c r="BI62" s="88"/>
      <c r="BJ62" s="298"/>
      <c r="BK62" s="299"/>
      <c r="BL62" s="299"/>
      <c r="BM62" s="301"/>
      <c r="BN62" s="301"/>
      <c r="BO62" s="88"/>
      <c r="BP62" s="9"/>
      <c r="BS62" s="81"/>
      <c r="BT62" s="81"/>
      <c r="BV62" s="9"/>
      <c r="BY62" s="81"/>
      <c r="BZ62" s="81"/>
      <c r="CB62" s="9"/>
      <c r="CE62" s="81"/>
      <c r="CF62" s="81"/>
      <c r="CH62" s="9"/>
      <c r="CK62" s="81"/>
      <c r="CL62" s="81"/>
      <c r="CR62" s="9"/>
      <c r="CS62" s="9"/>
      <c r="CT62" s="9"/>
      <c r="CU62" s="9"/>
      <c r="CV62" s="9"/>
      <c r="CW62" s="129"/>
      <c r="CX62" s="9"/>
    </row>
    <row r="63" spans="1:102">
      <c r="A63" s="6" t="str">
        <f t="shared" si="0"/>
        <v>00110998</v>
      </c>
      <c r="B63" s="6" t="s">
        <v>1661</v>
      </c>
      <c r="C63" s="6" t="s">
        <v>2091</v>
      </c>
      <c r="D63" s="6">
        <v>54</v>
      </c>
      <c r="E63" s="6">
        <v>11</v>
      </c>
      <c r="F63" s="6" t="s">
        <v>1547</v>
      </c>
      <c r="G63" s="6">
        <v>998</v>
      </c>
      <c r="H63" s="6" t="s">
        <v>1547</v>
      </c>
      <c r="I63" s="33">
        <v>0</v>
      </c>
      <c r="J63" s="88">
        <v>0</v>
      </c>
      <c r="K63" s="89">
        <f t="shared" si="9"/>
        <v>0</v>
      </c>
      <c r="L63" s="88">
        <f>IF(K64&gt;0, K63/K64, 0)</f>
        <v>0</v>
      </c>
      <c r="M63" s="58"/>
      <c r="N63" s="9">
        <f>ROUND(M64*L63,0)</f>
        <v>0</v>
      </c>
      <c r="O63" s="9">
        <v>0</v>
      </c>
      <c r="P63" s="9">
        <f>N63-O63</f>
        <v>0</v>
      </c>
      <c r="Q63" s="40">
        <f t="shared" si="10"/>
        <v>0</v>
      </c>
      <c r="R63" s="9">
        <v>0</v>
      </c>
      <c r="S63" s="9">
        <f t="shared" si="7"/>
        <v>0</v>
      </c>
      <c r="T63" s="90">
        <f t="shared" si="2"/>
        <v>11</v>
      </c>
      <c r="U63" s="90">
        <f t="shared" si="3"/>
        <v>998</v>
      </c>
      <c r="V63" s="373">
        <f t="shared" si="4"/>
        <v>54</v>
      </c>
      <c r="W63" s="90">
        <f t="shared" si="5"/>
        <v>0</v>
      </c>
      <c r="X63" s="90">
        <f t="shared" si="6"/>
        <v>0</v>
      </c>
      <c r="Y63" s="141">
        <f t="shared" si="8"/>
        <v>54</v>
      </c>
      <c r="Z63" s="298">
        <v>11</v>
      </c>
      <c r="AA63" s="299">
        <v>998</v>
      </c>
      <c r="AB63" s="299">
        <v>54</v>
      </c>
      <c r="AC63" s="301">
        <v>0</v>
      </c>
      <c r="AD63" s="301">
        <v>0</v>
      </c>
      <c r="AE63" s="126"/>
      <c r="AF63" s="298"/>
      <c r="AG63" s="299"/>
      <c r="AH63" s="299"/>
      <c r="AI63" s="301"/>
      <c r="AJ63" s="301"/>
      <c r="AK63" s="426"/>
      <c r="AL63" s="298"/>
      <c r="AM63" s="299"/>
      <c r="AN63" s="299"/>
      <c r="AO63" s="301"/>
      <c r="AP63" s="301"/>
      <c r="AQ63" s="426"/>
      <c r="AR63" s="298"/>
      <c r="AS63" s="299"/>
      <c r="AT63" s="299"/>
      <c r="AU63" s="301"/>
      <c r="AV63" s="301"/>
      <c r="AW63" s="88"/>
      <c r="AX63" s="298"/>
      <c r="AY63" s="299"/>
      <c r="AZ63" s="299"/>
      <c r="BA63" s="301"/>
      <c r="BB63" s="301"/>
      <c r="BC63" s="426"/>
      <c r="BD63" s="298"/>
      <c r="BE63" s="299"/>
      <c r="BF63" s="299"/>
      <c r="BG63" s="301"/>
      <c r="BH63" s="301"/>
      <c r="BI63" s="88"/>
      <c r="BJ63" s="298"/>
      <c r="BK63" s="299"/>
      <c r="BL63" s="299"/>
      <c r="BM63" s="301"/>
      <c r="BN63" s="301"/>
      <c r="BO63" s="88"/>
      <c r="BP63" s="9"/>
      <c r="BS63" s="81"/>
      <c r="BT63" s="81"/>
      <c r="BV63" s="9"/>
      <c r="BY63" s="81"/>
      <c r="BZ63" s="81"/>
      <c r="CB63" s="9"/>
      <c r="CE63" s="81"/>
      <c r="CF63" s="81"/>
      <c r="CH63" s="9"/>
      <c r="CK63" s="81"/>
      <c r="CL63" s="81"/>
      <c r="CR63" s="9"/>
      <c r="CS63" s="9"/>
      <c r="CT63" s="9"/>
      <c r="CU63" s="9"/>
      <c r="CV63" s="9"/>
      <c r="CW63" s="129"/>
      <c r="CX63" s="9"/>
    </row>
    <row r="64" spans="1:102">
      <c r="A64" s="6" t="str">
        <f t="shared" si="0"/>
        <v>00110999</v>
      </c>
      <c r="B64" s="6" t="s">
        <v>1661</v>
      </c>
      <c r="C64" s="6" t="s">
        <v>2092</v>
      </c>
      <c r="D64" s="6">
        <v>55</v>
      </c>
      <c r="E64" s="10">
        <v>11</v>
      </c>
      <c r="F64" s="10" t="s">
        <v>1130</v>
      </c>
      <c r="G64" s="10">
        <v>999</v>
      </c>
      <c r="H64" s="10" t="s">
        <v>593</v>
      </c>
      <c r="I64" s="92">
        <v>15054358.996124467</v>
      </c>
      <c r="J64" s="472">
        <v>1</v>
      </c>
      <c r="K64" s="53">
        <f>SUM(K60:K63)</f>
        <v>14307953.288683815</v>
      </c>
      <c r="L64" s="91">
        <f>SUM(L60:L63)</f>
        <v>1</v>
      </c>
      <c r="M64" s="79">
        <f>VLOOKUP(E64,town351,24)</f>
        <v>6564150</v>
      </c>
      <c r="N64" s="79">
        <f>SUM(N60:N63)</f>
        <v>6564150</v>
      </c>
      <c r="O64" s="79">
        <v>6256339</v>
      </c>
      <c r="P64" s="79">
        <f>SUM(P60:P63)</f>
        <v>307811</v>
      </c>
      <c r="Q64" s="39">
        <f t="shared" si="10"/>
        <v>4.9199859534465764</v>
      </c>
      <c r="R64" s="9">
        <v>1119.2031241468899</v>
      </c>
      <c r="S64" s="9">
        <f t="shared" si="7"/>
        <v>1046.89473684003</v>
      </c>
      <c r="T64" s="90">
        <f t="shared" si="2"/>
        <v>11</v>
      </c>
      <c r="U64" s="90">
        <f t="shared" si="3"/>
        <v>999</v>
      </c>
      <c r="V64" s="373">
        <f t="shared" si="4"/>
        <v>55</v>
      </c>
      <c r="W64" s="90">
        <f t="shared" si="5"/>
        <v>1046.89473684003</v>
      </c>
      <c r="X64" s="90">
        <f t="shared" si="6"/>
        <v>14307953.288683815</v>
      </c>
      <c r="Y64" s="141">
        <f t="shared" si="8"/>
        <v>55</v>
      </c>
      <c r="Z64" s="298">
        <v>11</v>
      </c>
      <c r="AA64" s="299">
        <v>999</v>
      </c>
      <c r="AB64" s="299">
        <v>55</v>
      </c>
      <c r="AC64" s="301">
        <v>1046.89473684003</v>
      </c>
      <c r="AD64" s="301">
        <v>14307953.288683815</v>
      </c>
      <c r="AE64" s="126"/>
      <c r="AF64" s="298"/>
      <c r="AG64" s="299"/>
      <c r="AH64" s="299"/>
      <c r="AI64" s="301"/>
      <c r="AJ64" s="301"/>
      <c r="AK64" s="426"/>
      <c r="AL64" s="298"/>
      <c r="AM64" s="299"/>
      <c r="AN64" s="299"/>
      <c r="AO64" s="301"/>
      <c r="AP64" s="301"/>
      <c r="AQ64" s="426"/>
      <c r="AR64" s="298"/>
      <c r="AS64" s="299"/>
      <c r="AT64" s="299"/>
      <c r="AU64" s="301"/>
      <c r="AV64" s="301"/>
      <c r="AW64" s="91"/>
      <c r="AX64" s="298"/>
      <c r="AY64" s="299"/>
      <c r="AZ64" s="299"/>
      <c r="BA64" s="301"/>
      <c r="BB64" s="301"/>
      <c r="BC64" s="426"/>
      <c r="BD64" s="298"/>
      <c r="BE64" s="299"/>
      <c r="BF64" s="299"/>
      <c r="BG64" s="301"/>
      <c r="BH64" s="301"/>
      <c r="BI64" s="91"/>
      <c r="BJ64" s="298"/>
      <c r="BK64" s="299"/>
      <c r="BL64" s="299"/>
      <c r="BM64" s="301"/>
      <c r="BN64" s="301"/>
      <c r="BO64" s="91"/>
      <c r="BP64" s="9"/>
      <c r="BS64" s="81"/>
      <c r="BT64" s="81"/>
      <c r="BV64" s="9"/>
      <c r="BY64" s="81"/>
      <c r="BZ64" s="81"/>
      <c r="CB64" s="9"/>
      <c r="CE64" s="81"/>
      <c r="CF64" s="81"/>
      <c r="CH64" s="9"/>
      <c r="CK64" s="81"/>
      <c r="CL64" s="81"/>
      <c r="CR64" s="9"/>
      <c r="CS64" s="9"/>
      <c r="CT64" s="9"/>
      <c r="CU64" s="9"/>
      <c r="CV64" s="9"/>
      <c r="CW64" s="129"/>
      <c r="CX64" s="9"/>
    </row>
    <row r="65" spans="1:102">
      <c r="A65" s="6" t="str">
        <f t="shared" si="0"/>
        <v>00120012</v>
      </c>
      <c r="B65" s="6" t="s">
        <v>1662</v>
      </c>
      <c r="C65" s="6" t="s">
        <v>1662</v>
      </c>
      <c r="D65" s="6">
        <v>56</v>
      </c>
      <c r="E65" s="6">
        <v>12</v>
      </c>
      <c r="F65" s="6" t="s">
        <v>1131</v>
      </c>
      <c r="G65" s="6">
        <v>12</v>
      </c>
      <c r="H65" s="6" t="s">
        <v>693</v>
      </c>
      <c r="I65" s="33">
        <v>0</v>
      </c>
      <c r="J65" s="88">
        <v>0</v>
      </c>
      <c r="K65" s="89">
        <f>X65</f>
        <v>0</v>
      </c>
      <c r="L65" s="88">
        <f>IF(K69&gt;0, K65/K69, 0)</f>
        <v>0</v>
      </c>
      <c r="M65" s="58"/>
      <c r="N65" s="9">
        <f>ROUND(M69*L65,0)</f>
        <v>0</v>
      </c>
      <c r="O65" s="9">
        <v>0</v>
      </c>
      <c r="P65" s="9">
        <f>N65-O65</f>
        <v>0</v>
      </c>
      <c r="Q65" s="40">
        <f t="shared" si="10"/>
        <v>0</v>
      </c>
      <c r="R65" s="9">
        <v>0</v>
      </c>
      <c r="S65" s="9">
        <f t="shared" si="7"/>
        <v>0</v>
      </c>
      <c r="T65" s="90">
        <f t="shared" si="2"/>
        <v>12</v>
      </c>
      <c r="U65" s="90">
        <f t="shared" si="3"/>
        <v>12</v>
      </c>
      <c r="V65" s="373">
        <f t="shared" si="4"/>
        <v>56</v>
      </c>
      <c r="W65" s="90">
        <f t="shared" si="5"/>
        <v>0</v>
      </c>
      <c r="X65" s="90">
        <f t="shared" si="6"/>
        <v>0</v>
      </c>
      <c r="Y65" s="141">
        <f t="shared" si="8"/>
        <v>56</v>
      </c>
      <c r="Z65" s="298">
        <v>12</v>
      </c>
      <c r="AA65" s="299">
        <v>12</v>
      </c>
      <c r="AB65" s="299">
        <v>56</v>
      </c>
      <c r="AC65" s="301">
        <v>0</v>
      </c>
      <c r="AD65" s="301">
        <v>0</v>
      </c>
      <c r="AE65" s="126"/>
      <c r="AF65" s="298"/>
      <c r="AG65" s="299"/>
      <c r="AH65" s="299"/>
      <c r="AI65" s="301"/>
      <c r="AJ65" s="301"/>
      <c r="AK65" s="426"/>
      <c r="AL65" s="298"/>
      <c r="AM65" s="299"/>
      <c r="AN65" s="299"/>
      <c r="AO65" s="301"/>
      <c r="AP65" s="301"/>
      <c r="AQ65" s="426"/>
      <c r="AR65" s="298"/>
      <c r="AS65" s="299"/>
      <c r="AT65" s="299"/>
      <c r="AU65" s="301"/>
      <c r="AV65" s="301"/>
      <c r="AW65" s="88"/>
      <c r="AX65" s="298"/>
      <c r="AY65" s="299"/>
      <c r="AZ65" s="299"/>
      <c r="BA65" s="301"/>
      <c r="BB65" s="301"/>
      <c r="BC65" s="426"/>
      <c r="BD65" s="298"/>
      <c r="BE65" s="299"/>
      <c r="BF65" s="299"/>
      <c r="BG65" s="301"/>
      <c r="BH65" s="301"/>
      <c r="BI65" s="88"/>
      <c r="BJ65" s="298"/>
      <c r="BK65" s="299"/>
      <c r="BL65" s="299"/>
      <c r="BM65" s="301"/>
      <c r="BN65" s="301"/>
      <c r="BO65" s="88"/>
      <c r="BP65" s="9"/>
      <c r="BS65" s="81"/>
      <c r="BT65" s="81"/>
      <c r="BV65" s="9"/>
      <c r="BY65" s="81"/>
      <c r="BZ65" s="81"/>
      <c r="CB65" s="9"/>
      <c r="CE65" s="81"/>
      <c r="CF65" s="81"/>
      <c r="CH65" s="9"/>
      <c r="CK65" s="81"/>
      <c r="CL65" s="81"/>
      <c r="CR65" s="9"/>
      <c r="CS65" s="9"/>
      <c r="CT65" s="9"/>
      <c r="CU65" s="9"/>
      <c r="CV65" s="9"/>
      <c r="CW65" s="129"/>
      <c r="CX65" s="9"/>
    </row>
    <row r="66" spans="1:102">
      <c r="A66" s="6" t="str">
        <f t="shared" si="0"/>
        <v>00120735</v>
      </c>
      <c r="B66" s="6" t="s">
        <v>1662</v>
      </c>
      <c r="C66" s="6" t="s">
        <v>2045</v>
      </c>
      <c r="D66" s="6">
        <v>57</v>
      </c>
      <c r="E66" s="6">
        <v>12</v>
      </c>
      <c r="F66" s="6" t="s">
        <v>1131</v>
      </c>
      <c r="G66" s="6">
        <v>735</v>
      </c>
      <c r="H66" s="6" t="s">
        <v>1075</v>
      </c>
      <c r="I66" s="33">
        <v>5218991.297808446</v>
      </c>
      <c r="J66" s="88">
        <v>0.87497858126248218</v>
      </c>
      <c r="K66" s="89">
        <f t="shared" si="9"/>
        <v>5451782.323509953</v>
      </c>
      <c r="L66" s="88">
        <f>IF(K69&gt;0, K66/K69, 0)</f>
        <v>0.89669197903745923</v>
      </c>
      <c r="M66" s="58"/>
      <c r="N66" s="9">
        <f>ROUND(M69*L66,0)</f>
        <v>2832572</v>
      </c>
      <c r="O66" s="9">
        <v>2618646</v>
      </c>
      <c r="P66" s="9">
        <f>N66-O66</f>
        <v>213926</v>
      </c>
      <c r="Q66" s="40">
        <f t="shared" si="10"/>
        <v>8.1693363669621633</v>
      </c>
      <c r="R66" s="9">
        <v>398.46575342808001</v>
      </c>
      <c r="S66" s="9">
        <f t="shared" si="7"/>
        <v>405.97392688316995</v>
      </c>
      <c r="T66" s="90">
        <f t="shared" si="2"/>
        <v>12</v>
      </c>
      <c r="U66" s="90">
        <f t="shared" si="3"/>
        <v>735</v>
      </c>
      <c r="V66" s="373">
        <f t="shared" si="4"/>
        <v>57</v>
      </c>
      <c r="W66" s="90">
        <f t="shared" si="5"/>
        <v>405.97392688316995</v>
      </c>
      <c r="X66" s="90">
        <f t="shared" si="6"/>
        <v>5451782.323509953</v>
      </c>
      <c r="Y66" s="141">
        <f t="shared" si="8"/>
        <v>57</v>
      </c>
      <c r="Z66" s="298">
        <v>12</v>
      </c>
      <c r="AA66" s="299">
        <v>735</v>
      </c>
      <c r="AB66" s="299">
        <v>57</v>
      </c>
      <c r="AC66" s="301">
        <v>405.97392688316995</v>
      </c>
      <c r="AD66" s="301">
        <v>5451782.323509953</v>
      </c>
      <c r="AE66" s="126"/>
      <c r="AF66" s="298"/>
      <c r="AG66" s="299"/>
      <c r="AH66" s="299"/>
      <c r="AI66" s="301"/>
      <c r="AJ66" s="301"/>
      <c r="AK66" s="426"/>
      <c r="AL66" s="298"/>
      <c r="AM66" s="299"/>
      <c r="AN66" s="299"/>
      <c r="AO66" s="301"/>
      <c r="AP66" s="301"/>
      <c r="AQ66" s="426"/>
      <c r="AR66" s="298"/>
      <c r="AS66" s="299"/>
      <c r="AT66" s="299"/>
      <c r="AU66" s="301"/>
      <c r="AV66" s="301"/>
      <c r="AW66" s="88"/>
      <c r="AX66" s="298"/>
      <c r="AY66" s="299"/>
      <c r="AZ66" s="299"/>
      <c r="BA66" s="301"/>
      <c r="BB66" s="301"/>
      <c r="BC66" s="426"/>
      <c r="BD66" s="298"/>
      <c r="BE66" s="299"/>
      <c r="BF66" s="299"/>
      <c r="BG66" s="301"/>
      <c r="BH66" s="301"/>
      <c r="BI66" s="88"/>
      <c r="BJ66" s="298"/>
      <c r="BK66" s="299"/>
      <c r="BL66" s="299"/>
      <c r="BM66" s="301"/>
      <c r="BN66" s="301"/>
      <c r="BO66" s="88"/>
      <c r="BP66" s="9"/>
      <c r="BS66" s="81"/>
      <c r="BT66" s="81"/>
      <c r="BV66" s="9"/>
      <c r="BY66" s="81"/>
      <c r="BZ66" s="81"/>
      <c r="CB66" s="9"/>
      <c r="CE66" s="81"/>
      <c r="CF66" s="81"/>
      <c r="CH66" s="9"/>
      <c r="CK66" s="81"/>
      <c r="CL66" s="81"/>
      <c r="CR66" s="9"/>
      <c r="CS66" s="9"/>
      <c r="CT66" s="9"/>
      <c r="CU66" s="9"/>
      <c r="CV66" s="9"/>
      <c r="CW66" s="129"/>
      <c r="CX66" s="9"/>
    </row>
    <row r="67" spans="1:102">
      <c r="A67" s="6" t="str">
        <f t="shared" si="0"/>
        <v>00120832</v>
      </c>
      <c r="B67" s="6" t="s">
        <v>1662</v>
      </c>
      <c r="C67" s="6" t="s">
        <v>2075</v>
      </c>
      <c r="D67" s="6">
        <v>58</v>
      </c>
      <c r="E67" s="6">
        <v>12</v>
      </c>
      <c r="F67" s="6" t="s">
        <v>1131</v>
      </c>
      <c r="G67" s="6">
        <v>832</v>
      </c>
      <c r="H67" s="6" t="s">
        <v>1105</v>
      </c>
      <c r="I67" s="33">
        <v>745716.19283447799</v>
      </c>
      <c r="J67" s="88">
        <v>0.12502141873751779</v>
      </c>
      <c r="K67" s="89">
        <f t="shared" si="9"/>
        <v>628100.68086585123</v>
      </c>
      <c r="L67" s="88">
        <f>IF(K69&gt;0, K67/K69, 0)</f>
        <v>0.10330802096254081</v>
      </c>
      <c r="M67" s="58"/>
      <c r="N67" s="9">
        <f>ROUND(M69*L67,0)</f>
        <v>326341</v>
      </c>
      <c r="O67" s="9">
        <v>374166</v>
      </c>
      <c r="P67" s="9">
        <f>N67-O67</f>
        <v>-47825</v>
      </c>
      <c r="Q67" s="40">
        <f t="shared" si="10"/>
        <v>-12.781759967501056</v>
      </c>
      <c r="R67" s="9">
        <v>37.050580991049998</v>
      </c>
      <c r="S67" s="9">
        <f t="shared" si="7"/>
        <v>31.00000000428</v>
      </c>
      <c r="T67" s="90">
        <f t="shared" si="2"/>
        <v>12</v>
      </c>
      <c r="U67" s="90">
        <f t="shared" si="3"/>
        <v>832</v>
      </c>
      <c r="V67" s="373">
        <f t="shared" si="4"/>
        <v>58</v>
      </c>
      <c r="W67" s="90">
        <f t="shared" si="5"/>
        <v>31.00000000428</v>
      </c>
      <c r="X67" s="90">
        <f t="shared" si="6"/>
        <v>628100.68086585123</v>
      </c>
      <c r="Y67" s="141">
        <f t="shared" si="8"/>
        <v>58</v>
      </c>
      <c r="Z67" s="298">
        <v>12</v>
      </c>
      <c r="AA67" s="299">
        <v>832</v>
      </c>
      <c r="AB67" s="299">
        <v>58</v>
      </c>
      <c r="AC67" s="301">
        <v>31.00000000428</v>
      </c>
      <c r="AD67" s="301">
        <v>628100.68086585123</v>
      </c>
      <c r="AE67" s="126"/>
      <c r="AF67" s="298"/>
      <c r="AG67" s="299"/>
      <c r="AH67" s="299"/>
      <c r="AI67" s="301"/>
      <c r="AJ67" s="301"/>
      <c r="AK67" s="426"/>
      <c r="AL67" s="298"/>
      <c r="AM67" s="299"/>
      <c r="AN67" s="299"/>
      <c r="AO67" s="301"/>
      <c r="AP67" s="301"/>
      <c r="AQ67" s="426"/>
      <c r="AR67" s="298"/>
      <c r="AS67" s="299"/>
      <c r="AT67" s="299"/>
      <c r="AU67" s="301"/>
      <c r="AV67" s="301"/>
      <c r="AW67" s="88"/>
      <c r="AX67" s="298"/>
      <c r="AY67" s="299"/>
      <c r="AZ67" s="299"/>
      <c r="BA67" s="301"/>
      <c r="BB67" s="301"/>
      <c r="BC67" s="426"/>
      <c r="BD67" s="298"/>
      <c r="BE67" s="299"/>
      <c r="BF67" s="299"/>
      <c r="BG67" s="301"/>
      <c r="BH67" s="301"/>
      <c r="BI67" s="88"/>
      <c r="BJ67" s="298"/>
      <c r="BK67" s="299"/>
      <c r="BL67" s="299"/>
      <c r="BM67" s="301"/>
      <c r="BN67" s="301"/>
      <c r="BO67" s="88"/>
      <c r="BP67" s="9"/>
      <c r="BS67" s="81"/>
      <c r="BT67" s="81"/>
      <c r="BV67" s="9"/>
      <c r="BY67" s="81"/>
      <c r="BZ67" s="81"/>
      <c r="CB67" s="9"/>
      <c r="CE67" s="81"/>
      <c r="CF67" s="81"/>
      <c r="CH67" s="9"/>
      <c r="CK67" s="81"/>
      <c r="CL67" s="81"/>
      <c r="CR67" s="9"/>
      <c r="CS67" s="9"/>
      <c r="CT67" s="9"/>
      <c r="CU67" s="9"/>
      <c r="CV67" s="9"/>
      <c r="CW67" s="129"/>
      <c r="CX67" s="9"/>
    </row>
    <row r="68" spans="1:102">
      <c r="A68" s="6" t="str">
        <f t="shared" si="0"/>
        <v>00120998</v>
      </c>
      <c r="B68" s="6" t="s">
        <v>1662</v>
      </c>
      <c r="C68" s="6" t="s">
        <v>2091</v>
      </c>
      <c r="D68" s="6">
        <v>59</v>
      </c>
      <c r="E68" s="6">
        <v>12</v>
      </c>
      <c r="F68" s="6" t="s">
        <v>1547</v>
      </c>
      <c r="G68" s="6">
        <v>998</v>
      </c>
      <c r="H68" s="6" t="s">
        <v>1547</v>
      </c>
      <c r="I68" s="33">
        <v>0</v>
      </c>
      <c r="J68" s="88">
        <v>0</v>
      </c>
      <c r="K68" s="89">
        <f t="shared" si="9"/>
        <v>0</v>
      </c>
      <c r="L68" s="88">
        <f>IF(K69&gt;0, K68/K69, 0)</f>
        <v>0</v>
      </c>
      <c r="M68" s="58"/>
      <c r="N68" s="9">
        <f>ROUND(M69*L68,0)</f>
        <v>0</v>
      </c>
      <c r="O68" s="9">
        <v>0</v>
      </c>
      <c r="P68" s="9">
        <f>N68-O68</f>
        <v>0</v>
      </c>
      <c r="Q68" s="40">
        <f t="shared" si="10"/>
        <v>0</v>
      </c>
      <c r="R68" s="9">
        <v>0</v>
      </c>
      <c r="S68" s="9">
        <f t="shared" si="7"/>
        <v>0</v>
      </c>
      <c r="T68" s="90">
        <f t="shared" si="2"/>
        <v>12</v>
      </c>
      <c r="U68" s="90">
        <f t="shared" si="3"/>
        <v>998</v>
      </c>
      <c r="V68" s="373">
        <f t="shared" si="4"/>
        <v>59</v>
      </c>
      <c r="W68" s="90">
        <f t="shared" si="5"/>
        <v>0</v>
      </c>
      <c r="X68" s="90">
        <f t="shared" si="6"/>
        <v>0</v>
      </c>
      <c r="Y68" s="141">
        <f t="shared" si="8"/>
        <v>59</v>
      </c>
      <c r="Z68" s="298">
        <v>12</v>
      </c>
      <c r="AA68" s="299">
        <v>998</v>
      </c>
      <c r="AB68" s="299">
        <v>59</v>
      </c>
      <c r="AC68" s="301">
        <v>0</v>
      </c>
      <c r="AD68" s="301">
        <v>0</v>
      </c>
      <c r="AE68" s="126"/>
      <c r="AF68" s="298"/>
      <c r="AG68" s="299"/>
      <c r="AH68" s="299"/>
      <c r="AI68" s="301"/>
      <c r="AJ68" s="301"/>
      <c r="AK68" s="426"/>
      <c r="AL68" s="298"/>
      <c r="AM68" s="299"/>
      <c r="AN68" s="299"/>
      <c r="AO68" s="301"/>
      <c r="AP68" s="301"/>
      <c r="AQ68" s="426"/>
      <c r="AR68" s="298"/>
      <c r="AS68" s="299"/>
      <c r="AT68" s="299"/>
      <c r="AU68" s="301"/>
      <c r="AV68" s="301"/>
      <c r="AW68" s="88"/>
      <c r="AX68" s="298"/>
      <c r="AY68" s="299"/>
      <c r="AZ68" s="299"/>
      <c r="BA68" s="301"/>
      <c r="BB68" s="301"/>
      <c r="BC68" s="426"/>
      <c r="BD68" s="298"/>
      <c r="BE68" s="299"/>
      <c r="BF68" s="299"/>
      <c r="BG68" s="301"/>
      <c r="BH68" s="301"/>
      <c r="BI68" s="88"/>
      <c r="BJ68" s="298"/>
      <c r="BK68" s="299"/>
      <c r="BL68" s="299"/>
      <c r="BM68" s="301"/>
      <c r="BN68" s="301"/>
      <c r="BO68" s="88"/>
      <c r="BP68" s="9"/>
      <c r="BS68" s="81"/>
      <c r="BT68" s="81"/>
      <c r="BV68" s="9"/>
      <c r="BY68" s="81"/>
      <c r="BZ68" s="81"/>
      <c r="CB68" s="9"/>
      <c r="CE68" s="81"/>
      <c r="CF68" s="81"/>
      <c r="CH68" s="9"/>
      <c r="CK68" s="81"/>
      <c r="CL68" s="81"/>
      <c r="CR68" s="9"/>
      <c r="CS68" s="9"/>
      <c r="CT68" s="9"/>
      <c r="CU68" s="9"/>
      <c r="CV68" s="9"/>
      <c r="CW68" s="129"/>
      <c r="CX68" s="9"/>
    </row>
    <row r="69" spans="1:102">
      <c r="A69" s="6" t="str">
        <f t="shared" si="0"/>
        <v>00120999</v>
      </c>
      <c r="B69" s="6" t="s">
        <v>1662</v>
      </c>
      <c r="C69" s="6" t="s">
        <v>2092</v>
      </c>
      <c r="D69" s="6">
        <v>60</v>
      </c>
      <c r="E69" s="10">
        <v>12</v>
      </c>
      <c r="F69" s="10" t="s">
        <v>1131</v>
      </c>
      <c r="G69" s="10">
        <v>999</v>
      </c>
      <c r="H69" s="10" t="s">
        <v>593</v>
      </c>
      <c r="I69" s="92">
        <v>5964707.4906429239</v>
      </c>
      <c r="J69" s="472">
        <v>1</v>
      </c>
      <c r="K69" s="53">
        <f>SUM(K65:K68)</f>
        <v>6079883.0043758042</v>
      </c>
      <c r="L69" s="91">
        <f>SUM(L65:L68)</f>
        <v>1</v>
      </c>
      <c r="M69" s="79">
        <f>VLOOKUP(E69,town351,24)</f>
        <v>3158913</v>
      </c>
      <c r="N69" s="79">
        <f>SUM(N65:N68)</f>
        <v>3158913</v>
      </c>
      <c r="O69" s="79">
        <v>2992812</v>
      </c>
      <c r="P69" s="79">
        <f>SUM(P65:P68)</f>
        <v>166101</v>
      </c>
      <c r="Q69" s="39">
        <f t="shared" si="10"/>
        <v>5.5499977947161403</v>
      </c>
      <c r="R69" s="9">
        <v>435.51633441912998</v>
      </c>
      <c r="S69" s="9">
        <f t="shared" si="7"/>
        <v>436.97392688744998</v>
      </c>
      <c r="T69" s="90">
        <f t="shared" si="2"/>
        <v>12</v>
      </c>
      <c r="U69" s="90">
        <f t="shared" si="3"/>
        <v>999</v>
      </c>
      <c r="V69" s="373">
        <f t="shared" si="4"/>
        <v>60</v>
      </c>
      <c r="W69" s="90">
        <f t="shared" si="5"/>
        <v>436.97392688744998</v>
      </c>
      <c r="X69" s="90">
        <f t="shared" si="6"/>
        <v>6079883.0043758042</v>
      </c>
      <c r="Y69" s="141">
        <f t="shared" si="8"/>
        <v>60</v>
      </c>
      <c r="Z69" s="298">
        <v>12</v>
      </c>
      <c r="AA69" s="299">
        <v>999</v>
      </c>
      <c r="AB69" s="299">
        <v>60</v>
      </c>
      <c r="AC69" s="301">
        <v>436.97392688744998</v>
      </c>
      <c r="AD69" s="301">
        <v>6079883.0043758042</v>
      </c>
      <c r="AE69" s="126"/>
      <c r="AF69" s="298"/>
      <c r="AG69" s="299"/>
      <c r="AH69" s="299"/>
      <c r="AI69" s="301"/>
      <c r="AJ69" s="301"/>
      <c r="AK69" s="426"/>
      <c r="AL69" s="298"/>
      <c r="AM69" s="299"/>
      <c r="AN69" s="299"/>
      <c r="AO69" s="301"/>
      <c r="AP69" s="301"/>
      <c r="AQ69" s="426"/>
      <c r="AR69" s="298"/>
      <c r="AS69" s="299"/>
      <c r="AT69" s="299"/>
      <c r="AU69" s="301"/>
      <c r="AV69" s="301"/>
      <c r="AW69" s="91"/>
      <c r="AX69" s="298"/>
      <c r="AY69" s="299"/>
      <c r="AZ69" s="299"/>
      <c r="BA69" s="301"/>
      <c r="BB69" s="301"/>
      <c r="BC69" s="426"/>
      <c r="BD69" s="298"/>
      <c r="BE69" s="299"/>
      <c r="BF69" s="299"/>
      <c r="BG69" s="301"/>
      <c r="BH69" s="301"/>
      <c r="BI69" s="91"/>
      <c r="BJ69" s="298"/>
      <c r="BK69" s="299"/>
      <c r="BL69" s="299"/>
      <c r="BM69" s="301"/>
      <c r="BN69" s="301"/>
      <c r="BO69" s="91"/>
      <c r="BP69" s="9"/>
      <c r="BS69" s="81"/>
      <c r="BT69" s="81"/>
      <c r="BV69" s="9"/>
      <c r="BY69" s="81"/>
      <c r="BZ69" s="81"/>
      <c r="CB69" s="9"/>
      <c r="CE69" s="81"/>
      <c r="CF69" s="81"/>
      <c r="CH69" s="9"/>
      <c r="CK69" s="81"/>
      <c r="CL69" s="81"/>
      <c r="CR69" s="9"/>
      <c r="CS69" s="9"/>
      <c r="CT69" s="9"/>
      <c r="CU69" s="9"/>
      <c r="CV69" s="9"/>
      <c r="CW69" s="129"/>
      <c r="CX69" s="9"/>
    </row>
    <row r="70" spans="1:102">
      <c r="A70" s="6" t="str">
        <f t="shared" si="0"/>
        <v>00130013</v>
      </c>
      <c r="B70" s="6" t="s">
        <v>1663</v>
      </c>
      <c r="C70" s="6" t="s">
        <v>1663</v>
      </c>
      <c r="D70" s="6">
        <v>61</v>
      </c>
      <c r="E70" s="6">
        <v>13</v>
      </c>
      <c r="F70" s="6" t="s">
        <v>1132</v>
      </c>
      <c r="G70" s="6">
        <v>13</v>
      </c>
      <c r="H70" s="6" t="s">
        <v>694</v>
      </c>
      <c r="I70" s="33">
        <v>245151</v>
      </c>
      <c r="J70" s="88">
        <v>0.1113203452122954</v>
      </c>
      <c r="K70" s="89">
        <f>X70</f>
        <v>216797.25000000006</v>
      </c>
      <c r="L70" s="88">
        <f>IF(K74&gt;0, K70/K74, 0)</f>
        <v>9.2162458565063554E-2</v>
      </c>
      <c r="M70" s="58"/>
      <c r="N70" s="9">
        <f>ROUND(M74*L70,0)</f>
        <v>158626</v>
      </c>
      <c r="O70" s="9">
        <v>179015</v>
      </c>
      <c r="P70" s="9">
        <f>N70-O70</f>
        <v>-20389</v>
      </c>
      <c r="Q70" s="40">
        <f t="shared" si="10"/>
        <v>-11.389548361869117</v>
      </c>
      <c r="R70" s="9">
        <v>13</v>
      </c>
      <c r="S70" s="9">
        <f t="shared" si="7"/>
        <v>11</v>
      </c>
      <c r="T70" s="90">
        <f t="shared" si="2"/>
        <v>13</v>
      </c>
      <c r="U70" s="90">
        <f t="shared" si="3"/>
        <v>13</v>
      </c>
      <c r="V70" s="373">
        <f t="shared" si="4"/>
        <v>61</v>
      </c>
      <c r="W70" s="90">
        <f t="shared" si="5"/>
        <v>11</v>
      </c>
      <c r="X70" s="90">
        <f t="shared" si="6"/>
        <v>216797.25000000006</v>
      </c>
      <c r="Y70" s="141">
        <f t="shared" si="8"/>
        <v>61</v>
      </c>
      <c r="Z70" s="298">
        <v>13</v>
      </c>
      <c r="AA70" s="299">
        <v>13</v>
      </c>
      <c r="AB70" s="299">
        <v>61</v>
      </c>
      <c r="AC70" s="301">
        <v>11</v>
      </c>
      <c r="AD70" s="301">
        <v>216797.25000000006</v>
      </c>
      <c r="AE70" s="126"/>
      <c r="AF70" s="298"/>
      <c r="AG70" s="299"/>
      <c r="AH70" s="299"/>
      <c r="AI70" s="301"/>
      <c r="AJ70" s="301"/>
      <c r="AK70" s="426"/>
      <c r="AL70" s="298"/>
      <c r="AM70" s="299"/>
      <c r="AN70" s="299"/>
      <c r="AO70" s="301"/>
      <c r="AP70" s="301"/>
      <c r="AQ70" s="426"/>
      <c r="AR70" s="298"/>
      <c r="AS70" s="299"/>
      <c r="AT70" s="299"/>
      <c r="AU70" s="301"/>
      <c r="AV70" s="301"/>
      <c r="AW70" s="88"/>
      <c r="AX70" s="298"/>
      <c r="AY70" s="299"/>
      <c r="AZ70" s="299"/>
      <c r="BA70" s="301"/>
      <c r="BB70" s="301"/>
      <c r="BC70" s="426"/>
      <c r="BD70" s="298"/>
      <c r="BE70" s="299"/>
      <c r="BF70" s="299"/>
      <c r="BG70" s="301"/>
      <c r="BH70" s="301"/>
      <c r="BI70" s="88"/>
      <c r="BJ70" s="298"/>
      <c r="BK70" s="299"/>
      <c r="BL70" s="299"/>
      <c r="BM70" s="301"/>
      <c r="BN70" s="301"/>
      <c r="BO70" s="88"/>
      <c r="BP70" s="9"/>
      <c r="BS70" s="81"/>
      <c r="BT70" s="81"/>
      <c r="BV70" s="9"/>
      <c r="BY70" s="81"/>
      <c r="BZ70" s="81"/>
      <c r="CB70" s="9"/>
      <c r="CE70" s="81"/>
      <c r="CF70" s="81"/>
      <c r="CH70" s="9"/>
      <c r="CK70" s="81"/>
      <c r="CL70" s="81"/>
      <c r="CR70" s="9"/>
      <c r="CS70" s="9"/>
      <c r="CT70" s="9"/>
      <c r="CU70" s="9"/>
      <c r="CV70" s="9"/>
      <c r="CW70" s="129"/>
      <c r="CX70" s="9"/>
    </row>
    <row r="71" spans="1:102">
      <c r="A71" s="6" t="str">
        <f t="shared" si="0"/>
        <v>00130717</v>
      </c>
      <c r="B71" s="6" t="s">
        <v>1663</v>
      </c>
      <c r="C71" s="6" t="s">
        <v>2040</v>
      </c>
      <c r="D71" s="6">
        <v>62</v>
      </c>
      <c r="E71" s="6">
        <v>13</v>
      </c>
      <c r="F71" s="6" t="s">
        <v>1132</v>
      </c>
      <c r="G71" s="6">
        <v>717</v>
      </c>
      <c r="H71" s="6" t="s">
        <v>1070</v>
      </c>
      <c r="I71" s="33">
        <v>1957060.9993652601</v>
      </c>
      <c r="J71" s="88">
        <v>0.88867965478770472</v>
      </c>
      <c r="K71" s="89">
        <f t="shared" si="9"/>
        <v>2135540.7125007357</v>
      </c>
      <c r="L71" s="88">
        <f>IF(K74&gt;0, K71/K74, 0)</f>
        <v>0.90783754143493645</v>
      </c>
      <c r="M71" s="58"/>
      <c r="N71" s="9">
        <f>ROUND(M74*L71,0)</f>
        <v>1562527</v>
      </c>
      <c r="O71" s="9">
        <v>1429088</v>
      </c>
      <c r="P71" s="9">
        <f>N71-O71</f>
        <v>133439</v>
      </c>
      <c r="Q71" s="40">
        <f t="shared" si="10"/>
        <v>9.3373536129335637</v>
      </c>
      <c r="R71" s="9">
        <v>136.01341463240999</v>
      </c>
      <c r="S71" s="9">
        <f t="shared" si="7"/>
        <v>141.641791044</v>
      </c>
      <c r="T71" s="90">
        <f t="shared" si="2"/>
        <v>13</v>
      </c>
      <c r="U71" s="90">
        <f t="shared" si="3"/>
        <v>717</v>
      </c>
      <c r="V71" s="373">
        <f t="shared" si="4"/>
        <v>62</v>
      </c>
      <c r="W71" s="90">
        <f t="shared" si="5"/>
        <v>141.641791044</v>
      </c>
      <c r="X71" s="90">
        <f t="shared" si="6"/>
        <v>2135540.7125007357</v>
      </c>
      <c r="Y71" s="141">
        <f t="shared" si="8"/>
        <v>62</v>
      </c>
      <c r="Z71" s="298">
        <v>13</v>
      </c>
      <c r="AA71" s="299">
        <v>717</v>
      </c>
      <c r="AB71" s="299">
        <v>62</v>
      </c>
      <c r="AC71" s="301">
        <v>141.641791044</v>
      </c>
      <c r="AD71" s="301">
        <v>2135540.7125007357</v>
      </c>
      <c r="AE71" s="126"/>
      <c r="AF71" s="298"/>
      <c r="AG71" s="299"/>
      <c r="AH71" s="299"/>
      <c r="AI71" s="301"/>
      <c r="AJ71" s="301"/>
      <c r="AK71" s="426"/>
      <c r="AL71" s="298"/>
      <c r="AM71" s="299"/>
      <c r="AN71" s="299"/>
      <c r="AO71" s="301"/>
      <c r="AP71" s="301"/>
      <c r="AQ71" s="426"/>
      <c r="AR71" s="298"/>
      <c r="AS71" s="299"/>
      <c r="AT71" s="299"/>
      <c r="AU71" s="301"/>
      <c r="AV71" s="301"/>
      <c r="AW71" s="88"/>
      <c r="AX71" s="298"/>
      <c r="AY71" s="299"/>
      <c r="AZ71" s="299"/>
      <c r="BA71" s="301"/>
      <c r="BB71" s="301"/>
      <c r="BC71" s="426"/>
      <c r="BD71" s="298"/>
      <c r="BE71" s="299"/>
      <c r="BF71" s="299"/>
      <c r="BG71" s="301"/>
      <c r="BH71" s="301"/>
      <c r="BI71" s="88"/>
      <c r="BJ71" s="298"/>
      <c r="BK71" s="299"/>
      <c r="BL71" s="299"/>
      <c r="BM71" s="301"/>
      <c r="BN71" s="301"/>
      <c r="BO71" s="88"/>
      <c r="BP71" s="9"/>
      <c r="BS71" s="81"/>
      <c r="BT71" s="81"/>
      <c r="BV71" s="9"/>
      <c r="BY71" s="81"/>
      <c r="BZ71" s="81"/>
      <c r="CB71" s="9"/>
      <c r="CE71" s="81"/>
      <c r="CF71" s="81"/>
      <c r="CH71" s="9"/>
      <c r="CK71" s="81"/>
      <c r="CL71" s="81"/>
      <c r="CR71" s="9"/>
      <c r="CS71" s="9"/>
      <c r="CT71" s="9"/>
      <c r="CU71" s="9"/>
      <c r="CV71" s="9"/>
      <c r="CW71" s="129"/>
      <c r="CX71" s="9"/>
    </row>
    <row r="72" spans="1:102">
      <c r="A72" s="6" t="str">
        <f t="shared" si="0"/>
        <v>00130998</v>
      </c>
      <c r="B72" s="6" t="s">
        <v>1663</v>
      </c>
      <c r="C72" s="6" t="s">
        <v>2091</v>
      </c>
      <c r="D72" s="6">
        <v>63</v>
      </c>
      <c r="E72" s="6">
        <v>13</v>
      </c>
      <c r="F72" s="6" t="s">
        <v>1547</v>
      </c>
      <c r="G72" s="6">
        <v>998</v>
      </c>
      <c r="H72" s="6" t="s">
        <v>1547</v>
      </c>
      <c r="I72" s="33">
        <v>0</v>
      </c>
      <c r="J72" s="88">
        <v>0</v>
      </c>
      <c r="K72" s="89">
        <f t="shared" si="9"/>
        <v>0</v>
      </c>
      <c r="L72" s="88">
        <f>IF(K74&gt;0, K72/K74, 0)</f>
        <v>0</v>
      </c>
      <c r="M72" s="58"/>
      <c r="N72" s="9">
        <f>ROUND(M74*L72,0)</f>
        <v>0</v>
      </c>
      <c r="O72" s="9">
        <v>0</v>
      </c>
      <c r="P72" s="9">
        <f>N72-O72</f>
        <v>0</v>
      </c>
      <c r="Q72" s="40">
        <f t="shared" si="10"/>
        <v>0</v>
      </c>
      <c r="R72" s="9">
        <v>0</v>
      </c>
      <c r="S72" s="9">
        <f t="shared" si="7"/>
        <v>0</v>
      </c>
      <c r="T72" s="90">
        <f t="shared" si="2"/>
        <v>13</v>
      </c>
      <c r="U72" s="90">
        <f t="shared" si="3"/>
        <v>998</v>
      </c>
      <c r="V72" s="373">
        <f t="shared" si="4"/>
        <v>63</v>
      </c>
      <c r="W72" s="90">
        <f t="shared" si="5"/>
        <v>0</v>
      </c>
      <c r="X72" s="90">
        <f t="shared" si="6"/>
        <v>0</v>
      </c>
      <c r="Y72" s="141">
        <f t="shared" si="8"/>
        <v>63</v>
      </c>
      <c r="Z72" s="298">
        <v>13</v>
      </c>
      <c r="AA72" s="299">
        <v>998</v>
      </c>
      <c r="AB72" s="299">
        <v>63</v>
      </c>
      <c r="AC72" s="301">
        <v>0</v>
      </c>
      <c r="AD72" s="301">
        <v>0</v>
      </c>
      <c r="AE72" s="126"/>
      <c r="AF72" s="298"/>
      <c r="AG72" s="299"/>
      <c r="AH72" s="299"/>
      <c r="AI72" s="301"/>
      <c r="AJ72" s="301"/>
      <c r="AK72" s="426"/>
      <c r="AL72" s="298"/>
      <c r="AM72" s="299"/>
      <c r="AN72" s="299"/>
      <c r="AO72" s="301"/>
      <c r="AP72" s="301"/>
      <c r="AQ72" s="426"/>
      <c r="AR72" s="298"/>
      <c r="AS72" s="299"/>
      <c r="AT72" s="299"/>
      <c r="AU72" s="301"/>
      <c r="AV72" s="301"/>
      <c r="AW72" s="88"/>
      <c r="AX72" s="298"/>
      <c r="AY72" s="299"/>
      <c r="AZ72" s="299"/>
      <c r="BA72" s="301"/>
      <c r="BB72" s="301"/>
      <c r="BC72" s="426"/>
      <c r="BD72" s="298"/>
      <c r="BE72" s="299"/>
      <c r="BF72" s="299"/>
      <c r="BG72" s="301"/>
      <c r="BH72" s="301"/>
      <c r="BI72" s="88"/>
      <c r="BJ72" s="298"/>
      <c r="BK72" s="299"/>
      <c r="BL72" s="299"/>
      <c r="BM72" s="301"/>
      <c r="BN72" s="301"/>
      <c r="BO72" s="88"/>
      <c r="BP72" s="9"/>
      <c r="BS72" s="81"/>
      <c r="BT72" s="81"/>
      <c r="BV72" s="9"/>
      <c r="BY72" s="81"/>
      <c r="BZ72" s="81"/>
      <c r="CB72" s="9"/>
      <c r="CE72" s="81"/>
      <c r="CF72" s="81"/>
      <c r="CH72" s="9"/>
      <c r="CK72" s="81"/>
      <c r="CL72" s="81"/>
      <c r="CR72" s="9"/>
      <c r="CS72" s="9"/>
      <c r="CT72" s="9"/>
      <c r="CU72" s="9"/>
      <c r="CV72" s="9"/>
      <c r="CW72" s="129"/>
      <c r="CX72" s="9"/>
    </row>
    <row r="73" spans="1:102">
      <c r="A73" s="6" t="str">
        <f t="shared" si="0"/>
        <v>00130998</v>
      </c>
      <c r="B73" s="6" t="s">
        <v>1663</v>
      </c>
      <c r="C73" s="6" t="s">
        <v>2091</v>
      </c>
      <c r="D73" s="6">
        <v>64</v>
      </c>
      <c r="E73" s="6">
        <v>13</v>
      </c>
      <c r="F73" s="6" t="s">
        <v>1547</v>
      </c>
      <c r="G73" s="6">
        <v>998</v>
      </c>
      <c r="H73" s="6" t="s">
        <v>1547</v>
      </c>
      <c r="I73" s="33">
        <v>0</v>
      </c>
      <c r="J73" s="88">
        <v>0</v>
      </c>
      <c r="K73" s="89">
        <f t="shared" si="9"/>
        <v>0</v>
      </c>
      <c r="L73" s="88">
        <f>IF(K74&gt;0, K73/K74, 0)</f>
        <v>0</v>
      </c>
      <c r="M73" s="58"/>
      <c r="N73" s="9">
        <f>ROUND(M74*L73,0)</f>
        <v>0</v>
      </c>
      <c r="O73" s="9">
        <v>0</v>
      </c>
      <c r="P73" s="9">
        <f>N73-O73</f>
        <v>0</v>
      </c>
      <c r="Q73" s="40">
        <f t="shared" si="10"/>
        <v>0</v>
      </c>
      <c r="R73" s="9">
        <v>0</v>
      </c>
      <c r="S73" s="9">
        <f t="shared" si="7"/>
        <v>0</v>
      </c>
      <c r="T73" s="90">
        <f t="shared" si="2"/>
        <v>13</v>
      </c>
      <c r="U73" s="90">
        <f t="shared" si="3"/>
        <v>998</v>
      </c>
      <c r="V73" s="373">
        <f t="shared" si="4"/>
        <v>64</v>
      </c>
      <c r="W73" s="90">
        <f t="shared" si="5"/>
        <v>0</v>
      </c>
      <c r="X73" s="90">
        <f t="shared" si="6"/>
        <v>0</v>
      </c>
      <c r="Y73" s="141">
        <f t="shared" si="8"/>
        <v>64</v>
      </c>
      <c r="Z73" s="298">
        <v>13</v>
      </c>
      <c r="AA73" s="299">
        <v>998</v>
      </c>
      <c r="AB73" s="299">
        <v>64</v>
      </c>
      <c r="AC73" s="301">
        <v>0</v>
      </c>
      <c r="AD73" s="301">
        <v>0</v>
      </c>
      <c r="AE73" s="126"/>
      <c r="AF73" s="298"/>
      <c r="AG73" s="299"/>
      <c r="AH73" s="299"/>
      <c r="AI73" s="301"/>
      <c r="AJ73" s="301"/>
      <c r="AK73" s="426"/>
      <c r="AL73" s="298"/>
      <c r="AM73" s="299"/>
      <c r="AN73" s="299"/>
      <c r="AO73" s="301"/>
      <c r="AP73" s="301"/>
      <c r="AQ73" s="426"/>
      <c r="AR73" s="298"/>
      <c r="AS73" s="299"/>
      <c r="AT73" s="299"/>
      <c r="AU73" s="301"/>
      <c r="AV73" s="301"/>
      <c r="AW73" s="88"/>
      <c r="AX73" s="298"/>
      <c r="AY73" s="299"/>
      <c r="AZ73" s="299"/>
      <c r="BA73" s="301"/>
      <c r="BB73" s="301"/>
      <c r="BC73" s="426"/>
      <c r="BD73" s="298"/>
      <c r="BE73" s="299"/>
      <c r="BF73" s="299"/>
      <c r="BG73" s="301"/>
      <c r="BH73" s="301"/>
      <c r="BI73" s="88"/>
      <c r="BJ73" s="298"/>
      <c r="BK73" s="299"/>
      <c r="BL73" s="299"/>
      <c r="BM73" s="301"/>
      <c r="BN73" s="301"/>
      <c r="BO73" s="88"/>
      <c r="BP73" s="9"/>
      <c r="BS73" s="81"/>
      <c r="BT73" s="81"/>
      <c r="BV73" s="9"/>
      <c r="BY73" s="81"/>
      <c r="BZ73" s="81"/>
      <c r="CB73" s="9"/>
      <c r="CE73" s="81"/>
      <c r="CF73" s="81"/>
      <c r="CH73" s="9"/>
      <c r="CK73" s="81"/>
      <c r="CL73" s="81"/>
      <c r="CR73" s="9"/>
      <c r="CS73" s="9"/>
      <c r="CT73" s="9"/>
      <c r="CU73" s="9"/>
      <c r="CV73" s="9"/>
      <c r="CW73" s="129"/>
      <c r="CX73" s="9"/>
    </row>
    <row r="74" spans="1:102">
      <c r="A74" s="6" t="str">
        <f t="shared" ref="A74:A137" si="11">B74&amp;C74</f>
        <v>00130999</v>
      </c>
      <c r="B74" s="6" t="s">
        <v>1663</v>
      </c>
      <c r="C74" s="6" t="s">
        <v>2092</v>
      </c>
      <c r="D74" s="6">
        <v>65</v>
      </c>
      <c r="E74" s="10">
        <v>13</v>
      </c>
      <c r="F74" s="10" t="s">
        <v>1132</v>
      </c>
      <c r="G74" s="10">
        <v>999</v>
      </c>
      <c r="H74" s="10" t="s">
        <v>593</v>
      </c>
      <c r="I74" s="92">
        <v>2202211.9993652599</v>
      </c>
      <c r="J74" s="472">
        <v>1.0000000000000002</v>
      </c>
      <c r="K74" s="53">
        <f>SUM(K70:K73)</f>
        <v>2352337.9625007357</v>
      </c>
      <c r="L74" s="91">
        <f>SUM(L70:L73)</f>
        <v>1</v>
      </c>
      <c r="M74" s="79">
        <f>VLOOKUP(E74,town351,24)</f>
        <v>1721153</v>
      </c>
      <c r="N74" s="79">
        <f>SUM(N70:N73)</f>
        <v>1721153</v>
      </c>
      <c r="O74" s="79">
        <v>1608103</v>
      </c>
      <c r="P74" s="79">
        <f>SUM(P70:P73)</f>
        <v>113050</v>
      </c>
      <c r="Q74" s="39">
        <f t="shared" si="10"/>
        <v>7.0300223306591683</v>
      </c>
      <c r="R74" s="9">
        <v>149.01341463240999</v>
      </c>
      <c r="S74" s="9">
        <f t="shared" si="7"/>
        <v>152.641791044</v>
      </c>
      <c r="T74" s="90">
        <f t="shared" ref="T74:T137" si="12">VLOOKUP($D74, foundoptions, VLOOKUP($T$6, foundoptcell, 2, FALSE), FALSE)</f>
        <v>13</v>
      </c>
      <c r="U74" s="90">
        <f t="shared" ref="U74:U137" si="13">VLOOKUP($D74, foundoptions, VLOOKUP($T$6, foundoptcell, 2, FALSE)+1, FALSE)</f>
        <v>999</v>
      </c>
      <c r="V74" s="373">
        <f t="shared" ref="V74:V137" si="14">VLOOKUP($D74, foundoptions, VLOOKUP($T$6, foundoptcell, 2, FALSE)+2, FALSE)</f>
        <v>65</v>
      </c>
      <c r="W74" s="90">
        <f t="shared" ref="W74:W137" si="15">VLOOKUP($D74, foundoptions, VLOOKUP($T$6, foundoptcell, 2, FALSE)+3, FALSE)</f>
        <v>152.641791044</v>
      </c>
      <c r="X74" s="90">
        <f t="shared" ref="X74:X137" si="16">VLOOKUP($D74, foundoptions, VLOOKUP($T$6, foundoptcell, 2, FALSE)+4, FALSE)</f>
        <v>2352337.9625007357</v>
      </c>
      <c r="Y74" s="141">
        <f t="shared" si="8"/>
        <v>65</v>
      </c>
      <c r="Z74" s="298">
        <v>13</v>
      </c>
      <c r="AA74" s="299">
        <v>999</v>
      </c>
      <c r="AB74" s="299">
        <v>65</v>
      </c>
      <c r="AC74" s="301">
        <v>152.641791044</v>
      </c>
      <c r="AD74" s="301">
        <v>2352337.9625007357</v>
      </c>
      <c r="AE74" s="126"/>
      <c r="AF74" s="298"/>
      <c r="AG74" s="299"/>
      <c r="AH74" s="299"/>
      <c r="AI74" s="301"/>
      <c r="AJ74" s="301"/>
      <c r="AK74" s="426"/>
      <c r="AL74" s="298"/>
      <c r="AM74" s="299"/>
      <c r="AN74" s="299"/>
      <c r="AO74" s="301"/>
      <c r="AP74" s="301"/>
      <c r="AQ74" s="426"/>
      <c r="AR74" s="298"/>
      <c r="AS74" s="299"/>
      <c r="AT74" s="299"/>
      <c r="AU74" s="301"/>
      <c r="AV74" s="301"/>
      <c r="AW74" s="91"/>
      <c r="AX74" s="298"/>
      <c r="AY74" s="299"/>
      <c r="AZ74" s="299"/>
      <c r="BA74" s="301"/>
      <c r="BB74" s="301"/>
      <c r="BC74" s="426"/>
      <c r="BD74" s="298"/>
      <c r="BE74" s="299"/>
      <c r="BF74" s="299"/>
      <c r="BG74" s="301"/>
      <c r="BH74" s="301"/>
      <c r="BI74" s="91"/>
      <c r="BJ74" s="298"/>
      <c r="BK74" s="299"/>
      <c r="BL74" s="299"/>
      <c r="BM74" s="301"/>
      <c r="BN74" s="301"/>
      <c r="BO74" s="91"/>
      <c r="BP74" s="9"/>
      <c r="BS74" s="81"/>
      <c r="BT74" s="81"/>
      <c r="BV74" s="9"/>
      <c r="BY74" s="81"/>
      <c r="BZ74" s="81"/>
      <c r="CB74" s="9"/>
      <c r="CE74" s="81"/>
      <c r="CF74" s="81"/>
      <c r="CH74" s="9"/>
      <c r="CK74" s="81"/>
      <c r="CL74" s="81"/>
      <c r="CR74" s="9"/>
      <c r="CS74" s="9"/>
      <c r="CT74" s="9"/>
      <c r="CU74" s="9"/>
      <c r="CV74" s="9"/>
      <c r="CW74" s="129"/>
      <c r="CX74" s="9"/>
    </row>
    <row r="75" spans="1:102">
      <c r="A75" s="6" t="str">
        <f t="shared" si="11"/>
        <v>00140014</v>
      </c>
      <c r="B75" s="6" t="s">
        <v>1664</v>
      </c>
      <c r="C75" s="6" t="s">
        <v>1664</v>
      </c>
      <c r="D75" s="6">
        <v>66</v>
      </c>
      <c r="E75" s="6">
        <v>14</v>
      </c>
      <c r="F75" s="6" t="s">
        <v>1133</v>
      </c>
      <c r="G75" s="6">
        <v>14</v>
      </c>
      <c r="H75" s="6" t="s">
        <v>695</v>
      </c>
      <c r="I75" s="33">
        <v>36758230.609999992</v>
      </c>
      <c r="J75" s="88">
        <v>0.96451883830644969</v>
      </c>
      <c r="K75" s="89">
        <f>X75</f>
        <v>37765344.57</v>
      </c>
      <c r="L75" s="88">
        <f>IF(K79&gt;0, K75/K79, 0)</f>
        <v>0.96274562764079952</v>
      </c>
      <c r="M75" s="58"/>
      <c r="N75" s="9">
        <f>ROUND(M79*L75,0)</f>
        <v>26791174</v>
      </c>
      <c r="O75" s="9">
        <v>25484731</v>
      </c>
      <c r="P75" s="9">
        <f>N75-O75</f>
        <v>1306443</v>
      </c>
      <c r="Q75" s="40">
        <f t="shared" si="10"/>
        <v>5.1263754755739823</v>
      </c>
      <c r="R75" s="9">
        <v>2839</v>
      </c>
      <c r="S75" s="9">
        <f t="shared" ref="S75:S138" si="17">W75</f>
        <v>2857</v>
      </c>
      <c r="T75" s="90">
        <f t="shared" si="12"/>
        <v>14</v>
      </c>
      <c r="U75" s="90">
        <f t="shared" si="13"/>
        <v>14</v>
      </c>
      <c r="V75" s="373">
        <f t="shared" si="14"/>
        <v>66</v>
      </c>
      <c r="W75" s="90">
        <f t="shared" si="15"/>
        <v>2857</v>
      </c>
      <c r="X75" s="90">
        <f t="shared" si="16"/>
        <v>37765344.57</v>
      </c>
      <c r="Y75" s="141">
        <f t="shared" ref="Y75:Y138" si="18">D75</f>
        <v>66</v>
      </c>
      <c r="Z75" s="298">
        <v>14</v>
      </c>
      <c r="AA75" s="299">
        <v>14</v>
      </c>
      <c r="AB75" s="299">
        <v>66</v>
      </c>
      <c r="AC75" s="301">
        <v>2857</v>
      </c>
      <c r="AD75" s="301">
        <v>37765344.57</v>
      </c>
      <c r="AE75" s="126"/>
      <c r="AF75" s="298"/>
      <c r="AG75" s="299"/>
      <c r="AH75" s="299"/>
      <c r="AI75" s="301"/>
      <c r="AJ75" s="301"/>
      <c r="AK75" s="426"/>
      <c r="AL75" s="298"/>
      <c r="AM75" s="299"/>
      <c r="AN75" s="299"/>
      <c r="AO75" s="301"/>
      <c r="AP75" s="301"/>
      <c r="AQ75" s="426"/>
      <c r="AR75" s="298"/>
      <c r="AS75" s="299"/>
      <c r="AT75" s="299"/>
      <c r="AU75" s="301"/>
      <c r="AV75" s="301"/>
      <c r="AW75" s="88"/>
      <c r="AX75" s="298"/>
      <c r="AY75" s="299"/>
      <c r="AZ75" s="299"/>
      <c r="BA75" s="301"/>
      <c r="BB75" s="301"/>
      <c r="BC75" s="426"/>
      <c r="BD75" s="298"/>
      <c r="BE75" s="299"/>
      <c r="BF75" s="299"/>
      <c r="BG75" s="301"/>
      <c r="BH75" s="301"/>
      <c r="BI75" s="88"/>
      <c r="BJ75" s="298"/>
      <c r="BK75" s="299"/>
      <c r="BL75" s="299"/>
      <c r="BM75" s="301"/>
      <c r="BN75" s="301"/>
      <c r="BO75" s="88"/>
      <c r="BP75" s="9"/>
      <c r="BS75" s="81"/>
      <c r="BT75" s="81"/>
      <c r="BV75" s="9"/>
      <c r="BY75" s="81"/>
      <c r="BZ75" s="81"/>
      <c r="CB75" s="9"/>
      <c r="CE75" s="81"/>
      <c r="CF75" s="81"/>
      <c r="CH75" s="9"/>
      <c r="CK75" s="81"/>
      <c r="CL75" s="81"/>
      <c r="CR75" s="9"/>
      <c r="CS75" s="9"/>
      <c r="CT75" s="9"/>
      <c r="CU75" s="9"/>
      <c r="CV75" s="9"/>
      <c r="CW75" s="129"/>
      <c r="CX75" s="9"/>
    </row>
    <row r="76" spans="1:102">
      <c r="A76" s="6" t="str">
        <f t="shared" si="11"/>
        <v>00140829</v>
      </c>
      <c r="B76" s="6" t="s">
        <v>1664</v>
      </c>
      <c r="C76" s="6" t="s">
        <v>2073</v>
      </c>
      <c r="D76" s="6">
        <v>67</v>
      </c>
      <c r="E76" s="6">
        <v>14</v>
      </c>
      <c r="F76" s="6" t="s">
        <v>1133</v>
      </c>
      <c r="G76" s="6">
        <v>829</v>
      </c>
      <c r="H76" s="6" t="s">
        <v>1103</v>
      </c>
      <c r="I76" s="33">
        <v>1352202.4371574153</v>
      </c>
      <c r="J76" s="88">
        <v>3.5481161693550312E-2</v>
      </c>
      <c r="K76" s="89">
        <f t="shared" si="9"/>
        <v>1461366.5006528683</v>
      </c>
      <c r="L76" s="88">
        <f>IF(K79&gt;0, K76/K79, 0)</f>
        <v>3.7254372359200337E-2</v>
      </c>
      <c r="M76" s="58"/>
      <c r="N76" s="9">
        <f>ROUND(M79*L76,0)</f>
        <v>1036710</v>
      </c>
      <c r="O76" s="9">
        <v>937491</v>
      </c>
      <c r="P76" s="9">
        <f>N76-O76</f>
        <v>99219</v>
      </c>
      <c r="Q76" s="40">
        <f t="shared" si="10"/>
        <v>10.583461601231372</v>
      </c>
      <c r="R76" s="9">
        <v>59.211217180719999</v>
      </c>
      <c r="S76" s="9">
        <f t="shared" si="17"/>
        <v>62.214780602810002</v>
      </c>
      <c r="T76" s="90">
        <f t="shared" si="12"/>
        <v>14</v>
      </c>
      <c r="U76" s="90">
        <f t="shared" si="13"/>
        <v>829</v>
      </c>
      <c r="V76" s="373">
        <f t="shared" si="14"/>
        <v>67</v>
      </c>
      <c r="W76" s="90">
        <f t="shared" si="15"/>
        <v>62.214780602810002</v>
      </c>
      <c r="X76" s="90">
        <f t="shared" si="16"/>
        <v>1461366.5006528683</v>
      </c>
      <c r="Y76" s="141">
        <f t="shared" si="18"/>
        <v>67</v>
      </c>
      <c r="Z76" s="298">
        <v>14</v>
      </c>
      <c r="AA76" s="299">
        <v>829</v>
      </c>
      <c r="AB76" s="299">
        <v>67</v>
      </c>
      <c r="AC76" s="301">
        <v>62.214780602810002</v>
      </c>
      <c r="AD76" s="301">
        <v>1461366.5006528683</v>
      </c>
      <c r="AE76" s="126"/>
      <c r="AF76" s="298"/>
      <c r="AG76" s="299"/>
      <c r="AH76" s="299"/>
      <c r="AI76" s="301"/>
      <c r="AJ76" s="301"/>
      <c r="AK76" s="426"/>
      <c r="AL76" s="298"/>
      <c r="AM76" s="299"/>
      <c r="AN76" s="299"/>
      <c r="AO76" s="301"/>
      <c r="AP76" s="301"/>
      <c r="AQ76" s="426"/>
      <c r="AR76" s="298"/>
      <c r="AS76" s="299"/>
      <c r="AT76" s="299"/>
      <c r="AU76" s="301"/>
      <c r="AV76" s="301"/>
      <c r="AW76" s="88"/>
      <c r="AX76" s="298"/>
      <c r="AY76" s="299"/>
      <c r="AZ76" s="299"/>
      <c r="BA76" s="301"/>
      <c r="BB76" s="301"/>
      <c r="BC76" s="426"/>
      <c r="BD76" s="298"/>
      <c r="BE76" s="299"/>
      <c r="BF76" s="299"/>
      <c r="BG76" s="301"/>
      <c r="BH76" s="301"/>
      <c r="BI76" s="88"/>
      <c r="BJ76" s="298"/>
      <c r="BK76" s="299"/>
      <c r="BL76" s="299"/>
      <c r="BM76" s="301"/>
      <c r="BN76" s="301"/>
      <c r="BO76" s="88"/>
      <c r="BP76" s="9"/>
      <c r="BS76" s="81"/>
      <c r="BT76" s="81"/>
      <c r="BV76" s="9"/>
      <c r="BY76" s="81"/>
      <c r="BZ76" s="81"/>
      <c r="CB76" s="9"/>
      <c r="CE76" s="81"/>
      <c r="CF76" s="81"/>
      <c r="CH76" s="9"/>
      <c r="CK76" s="81"/>
      <c r="CL76" s="81"/>
      <c r="CR76" s="9"/>
      <c r="CS76" s="9"/>
      <c r="CT76" s="9"/>
      <c r="CU76" s="9"/>
      <c r="CV76" s="9"/>
      <c r="CW76" s="129"/>
      <c r="CX76" s="9"/>
    </row>
    <row r="77" spans="1:102">
      <c r="A77" s="6" t="str">
        <f t="shared" si="11"/>
        <v>00140998</v>
      </c>
      <c r="B77" s="6" t="s">
        <v>1664</v>
      </c>
      <c r="C77" s="6" t="s">
        <v>2091</v>
      </c>
      <c r="D77" s="6">
        <v>68</v>
      </c>
      <c r="E77" s="6">
        <v>14</v>
      </c>
      <c r="F77" s="6" t="s">
        <v>1547</v>
      </c>
      <c r="G77" s="6">
        <v>998</v>
      </c>
      <c r="H77" s="6" t="s">
        <v>1547</v>
      </c>
      <c r="I77" s="33">
        <v>0</v>
      </c>
      <c r="J77" s="88">
        <v>0</v>
      </c>
      <c r="K77" s="89">
        <f t="shared" si="9"/>
        <v>0</v>
      </c>
      <c r="L77" s="88">
        <f>IF(K79&gt;0, K77/K79, 0)</f>
        <v>0</v>
      </c>
      <c r="M77" s="58"/>
      <c r="N77" s="9">
        <f>ROUND(M79*L77,0)</f>
        <v>0</v>
      </c>
      <c r="O77" s="9">
        <v>0</v>
      </c>
      <c r="P77" s="9">
        <f>N77-O77</f>
        <v>0</v>
      </c>
      <c r="Q77" s="40">
        <f t="shared" si="10"/>
        <v>0</v>
      </c>
      <c r="R77" s="9">
        <v>0</v>
      </c>
      <c r="S77" s="9">
        <f t="shared" si="17"/>
        <v>0</v>
      </c>
      <c r="T77" s="90">
        <f t="shared" si="12"/>
        <v>14</v>
      </c>
      <c r="U77" s="90">
        <f t="shared" si="13"/>
        <v>998</v>
      </c>
      <c r="V77" s="373">
        <f t="shared" si="14"/>
        <v>68</v>
      </c>
      <c r="W77" s="90">
        <f t="shared" si="15"/>
        <v>0</v>
      </c>
      <c r="X77" s="90">
        <f t="shared" si="16"/>
        <v>0</v>
      </c>
      <c r="Y77" s="141">
        <f t="shared" si="18"/>
        <v>68</v>
      </c>
      <c r="Z77" s="298">
        <v>14</v>
      </c>
      <c r="AA77" s="299">
        <v>998</v>
      </c>
      <c r="AB77" s="299">
        <v>68</v>
      </c>
      <c r="AC77" s="301">
        <v>0</v>
      </c>
      <c r="AD77" s="301">
        <v>0</v>
      </c>
      <c r="AE77" s="126"/>
      <c r="AF77" s="298"/>
      <c r="AG77" s="299"/>
      <c r="AH77" s="299"/>
      <c r="AI77" s="301"/>
      <c r="AJ77" s="301"/>
      <c r="AK77" s="426"/>
      <c r="AL77" s="298"/>
      <c r="AM77" s="299"/>
      <c r="AN77" s="299"/>
      <c r="AO77" s="301"/>
      <c r="AP77" s="301"/>
      <c r="AQ77" s="426"/>
      <c r="AR77" s="298"/>
      <c r="AS77" s="299"/>
      <c r="AT77" s="299"/>
      <c r="AU77" s="301"/>
      <c r="AV77" s="301"/>
      <c r="AW77" s="88"/>
      <c r="AX77" s="298"/>
      <c r="AY77" s="299"/>
      <c r="AZ77" s="299"/>
      <c r="BA77" s="301"/>
      <c r="BB77" s="301"/>
      <c r="BC77" s="426"/>
      <c r="BD77" s="298"/>
      <c r="BE77" s="299"/>
      <c r="BF77" s="299"/>
      <c r="BG77" s="301"/>
      <c r="BH77" s="301"/>
      <c r="BI77" s="88"/>
      <c r="BJ77" s="298"/>
      <c r="BK77" s="299"/>
      <c r="BL77" s="299"/>
      <c r="BM77" s="301"/>
      <c r="BN77" s="301"/>
      <c r="BO77" s="88"/>
      <c r="BP77" s="9"/>
      <c r="BS77" s="81"/>
      <c r="BT77" s="81"/>
      <c r="BV77" s="9"/>
      <c r="BY77" s="81"/>
      <c r="BZ77" s="81"/>
      <c r="CB77" s="9"/>
      <c r="CE77" s="81"/>
      <c r="CF77" s="81"/>
      <c r="CH77" s="9"/>
      <c r="CK77" s="81"/>
      <c r="CL77" s="81"/>
      <c r="CR77" s="9"/>
      <c r="CS77" s="9"/>
      <c r="CT77" s="9"/>
      <c r="CU77" s="9"/>
      <c r="CV77" s="9"/>
      <c r="CW77" s="129"/>
      <c r="CX77" s="9"/>
    </row>
    <row r="78" spans="1:102">
      <c r="A78" s="6" t="str">
        <f t="shared" si="11"/>
        <v>00140998</v>
      </c>
      <c r="B78" s="6" t="s">
        <v>1664</v>
      </c>
      <c r="C78" s="6" t="s">
        <v>2091</v>
      </c>
      <c r="D78" s="6">
        <v>69</v>
      </c>
      <c r="E78" s="6">
        <v>14</v>
      </c>
      <c r="F78" s="6" t="s">
        <v>1547</v>
      </c>
      <c r="G78" s="6">
        <v>998</v>
      </c>
      <c r="H78" s="6" t="s">
        <v>1547</v>
      </c>
      <c r="I78" s="33">
        <v>0</v>
      </c>
      <c r="J78" s="88">
        <v>0</v>
      </c>
      <c r="K78" s="89">
        <f t="shared" si="9"/>
        <v>0</v>
      </c>
      <c r="L78" s="88">
        <f>IF(K79&gt;0, K78/K79, 0)</f>
        <v>0</v>
      </c>
      <c r="M78" s="58"/>
      <c r="N78" s="9">
        <f>ROUND(M79*L78,0)</f>
        <v>0</v>
      </c>
      <c r="O78" s="9">
        <v>0</v>
      </c>
      <c r="P78" s="9">
        <f>N78-O78</f>
        <v>0</v>
      </c>
      <c r="Q78" s="40">
        <f t="shared" si="10"/>
        <v>0</v>
      </c>
      <c r="R78" s="9">
        <v>0</v>
      </c>
      <c r="S78" s="9">
        <f t="shared" si="17"/>
        <v>0</v>
      </c>
      <c r="T78" s="90">
        <f t="shared" si="12"/>
        <v>14</v>
      </c>
      <c r="U78" s="90">
        <f t="shared" si="13"/>
        <v>998</v>
      </c>
      <c r="V78" s="373">
        <f t="shared" si="14"/>
        <v>69</v>
      </c>
      <c r="W78" s="90">
        <f t="shared" si="15"/>
        <v>0</v>
      </c>
      <c r="X78" s="90">
        <f t="shared" si="16"/>
        <v>0</v>
      </c>
      <c r="Y78" s="141">
        <f t="shared" si="18"/>
        <v>69</v>
      </c>
      <c r="Z78" s="298">
        <v>14</v>
      </c>
      <c r="AA78" s="299">
        <v>998</v>
      </c>
      <c r="AB78" s="299">
        <v>69</v>
      </c>
      <c r="AC78" s="301">
        <v>0</v>
      </c>
      <c r="AD78" s="301">
        <v>0</v>
      </c>
      <c r="AE78" s="126"/>
      <c r="AF78" s="298"/>
      <c r="AG78" s="299"/>
      <c r="AH78" s="299"/>
      <c r="AI78" s="301"/>
      <c r="AJ78" s="301"/>
      <c r="AK78" s="426"/>
      <c r="AL78" s="298"/>
      <c r="AM78" s="299"/>
      <c r="AN78" s="299"/>
      <c r="AO78" s="301"/>
      <c r="AP78" s="301"/>
      <c r="AQ78" s="426"/>
      <c r="AR78" s="298"/>
      <c r="AS78" s="299"/>
      <c r="AT78" s="299"/>
      <c r="AU78" s="301"/>
      <c r="AV78" s="301"/>
      <c r="AW78" s="88"/>
      <c r="AX78" s="298"/>
      <c r="AY78" s="299"/>
      <c r="AZ78" s="299"/>
      <c r="BA78" s="301"/>
      <c r="BB78" s="301"/>
      <c r="BC78" s="426"/>
      <c r="BD78" s="298"/>
      <c r="BE78" s="299"/>
      <c r="BF78" s="299"/>
      <c r="BG78" s="301"/>
      <c r="BH78" s="301"/>
      <c r="BI78" s="88"/>
      <c r="BJ78" s="298"/>
      <c r="BK78" s="299"/>
      <c r="BL78" s="299"/>
      <c r="BM78" s="301"/>
      <c r="BN78" s="301"/>
      <c r="BO78" s="88"/>
      <c r="BP78" s="9"/>
      <c r="BS78" s="81"/>
      <c r="BT78" s="81"/>
      <c r="BV78" s="9"/>
      <c r="BY78" s="81"/>
      <c r="BZ78" s="81"/>
      <c r="CB78" s="9"/>
      <c r="CE78" s="81"/>
      <c r="CF78" s="81"/>
      <c r="CH78" s="9"/>
      <c r="CK78" s="81"/>
      <c r="CL78" s="81"/>
      <c r="CR78" s="9"/>
      <c r="CS78" s="9"/>
      <c r="CT78" s="9"/>
      <c r="CU78" s="9"/>
      <c r="CV78" s="9"/>
      <c r="CW78" s="129"/>
      <c r="CX78" s="9"/>
    </row>
    <row r="79" spans="1:102">
      <c r="A79" s="6" t="str">
        <f t="shared" si="11"/>
        <v>00140999</v>
      </c>
      <c r="B79" s="6" t="s">
        <v>1664</v>
      </c>
      <c r="C79" s="6" t="s">
        <v>2092</v>
      </c>
      <c r="D79" s="6">
        <v>70</v>
      </c>
      <c r="E79" s="10">
        <v>14</v>
      </c>
      <c r="F79" s="10" t="s">
        <v>1133</v>
      </c>
      <c r="G79" s="10">
        <v>999</v>
      </c>
      <c r="H79" s="10" t="s">
        <v>593</v>
      </c>
      <c r="I79" s="92">
        <v>38110433.047157407</v>
      </c>
      <c r="J79" s="472">
        <v>1</v>
      </c>
      <c r="K79" s="53">
        <f>SUM(K75:K78)</f>
        <v>39226711.070652872</v>
      </c>
      <c r="L79" s="91">
        <f>SUM(L75:L78)</f>
        <v>0.99999999999999989</v>
      </c>
      <c r="M79" s="79">
        <f>VLOOKUP(E79,town351,24)</f>
        <v>27827884</v>
      </c>
      <c r="N79" s="79">
        <f>SUM(N75:N78)</f>
        <v>27827884</v>
      </c>
      <c r="O79" s="79">
        <v>26422222</v>
      </c>
      <c r="P79" s="79">
        <f>SUM(P75:P78)</f>
        <v>1405662</v>
      </c>
      <c r="Q79" s="39">
        <f t="shared" si="10"/>
        <v>5.3199992037005819</v>
      </c>
      <c r="R79" s="9">
        <v>2898.2112171807198</v>
      </c>
      <c r="S79" s="9">
        <f t="shared" si="17"/>
        <v>2919.2147806028102</v>
      </c>
      <c r="T79" s="90">
        <f t="shared" si="12"/>
        <v>14</v>
      </c>
      <c r="U79" s="90">
        <f t="shared" si="13"/>
        <v>999</v>
      </c>
      <c r="V79" s="373">
        <f t="shared" si="14"/>
        <v>70</v>
      </c>
      <c r="W79" s="90">
        <f t="shared" si="15"/>
        <v>2919.2147806028102</v>
      </c>
      <c r="X79" s="90">
        <f t="shared" si="16"/>
        <v>39226711.070652872</v>
      </c>
      <c r="Y79" s="141">
        <f t="shared" si="18"/>
        <v>70</v>
      </c>
      <c r="Z79" s="298">
        <v>14</v>
      </c>
      <c r="AA79" s="299">
        <v>999</v>
      </c>
      <c r="AB79" s="299">
        <v>70</v>
      </c>
      <c r="AC79" s="301">
        <v>2919.2147806028102</v>
      </c>
      <c r="AD79" s="301">
        <v>39226711.070652872</v>
      </c>
      <c r="AE79" s="126"/>
      <c r="AF79" s="298"/>
      <c r="AG79" s="299"/>
      <c r="AH79" s="299"/>
      <c r="AI79" s="301"/>
      <c r="AJ79" s="301"/>
      <c r="AK79" s="426"/>
      <c r="AL79" s="298"/>
      <c r="AM79" s="299"/>
      <c r="AN79" s="299"/>
      <c r="AO79" s="301"/>
      <c r="AP79" s="301"/>
      <c r="AQ79" s="426"/>
      <c r="AR79" s="298"/>
      <c r="AS79" s="299"/>
      <c r="AT79" s="299"/>
      <c r="AU79" s="301"/>
      <c r="AV79" s="301"/>
      <c r="AW79" s="91"/>
      <c r="AX79" s="298"/>
      <c r="AY79" s="299"/>
      <c r="AZ79" s="299"/>
      <c r="BA79" s="301"/>
      <c r="BB79" s="301"/>
      <c r="BC79" s="426"/>
      <c r="BD79" s="298"/>
      <c r="BE79" s="299"/>
      <c r="BF79" s="299"/>
      <c r="BG79" s="301"/>
      <c r="BH79" s="301"/>
      <c r="BI79" s="91"/>
      <c r="BJ79" s="298"/>
      <c r="BK79" s="299"/>
      <c r="BL79" s="299"/>
      <c r="BM79" s="301"/>
      <c r="BN79" s="301"/>
      <c r="BO79" s="91"/>
      <c r="BP79" s="9"/>
      <c r="BS79" s="81"/>
      <c r="BT79" s="81"/>
      <c r="BV79" s="9"/>
      <c r="BY79" s="81"/>
      <c r="BZ79" s="81"/>
      <c r="CB79" s="9"/>
      <c r="CE79" s="81"/>
      <c r="CF79" s="81"/>
      <c r="CH79" s="9"/>
      <c r="CK79" s="81"/>
      <c r="CL79" s="81"/>
      <c r="CR79" s="9"/>
      <c r="CS79" s="9"/>
      <c r="CT79" s="9"/>
      <c r="CU79" s="9"/>
      <c r="CV79" s="9"/>
      <c r="CW79" s="129"/>
      <c r="CX79" s="9"/>
    </row>
    <row r="80" spans="1:102">
      <c r="A80" s="6" t="str">
        <f t="shared" si="11"/>
        <v>00150015</v>
      </c>
      <c r="B80" s="6" t="s">
        <v>1665</v>
      </c>
      <c r="C80" s="6" t="s">
        <v>1665</v>
      </c>
      <c r="D80" s="6">
        <v>71</v>
      </c>
      <c r="E80" s="6">
        <v>15</v>
      </c>
      <c r="F80" s="6" t="s">
        <v>1134</v>
      </c>
      <c r="G80" s="6">
        <v>15</v>
      </c>
      <c r="H80" s="6" t="s">
        <v>696</v>
      </c>
      <c r="I80" s="33">
        <v>0</v>
      </c>
      <c r="J80" s="88">
        <v>0</v>
      </c>
      <c r="K80" s="89">
        <f t="shared" ref="K80:K143" si="19">X80</f>
        <v>0</v>
      </c>
      <c r="L80" s="88">
        <f>IF(K84&gt;0, K80/K84, 0)</f>
        <v>0</v>
      </c>
      <c r="M80" s="58"/>
      <c r="N80" s="9">
        <f>ROUND(M84*L80,0)</f>
        <v>0</v>
      </c>
      <c r="O80" s="9">
        <v>0</v>
      </c>
      <c r="P80" s="9">
        <f>N80-O80</f>
        <v>0</v>
      </c>
      <c r="Q80" s="40">
        <f>IF(O80&gt;0,P80*100/O80,IF(P80&gt;0,100,0))</f>
        <v>0</v>
      </c>
      <c r="R80" s="9">
        <v>0</v>
      </c>
      <c r="S80" s="9">
        <f t="shared" si="17"/>
        <v>0</v>
      </c>
      <c r="T80" s="90">
        <f t="shared" si="12"/>
        <v>15</v>
      </c>
      <c r="U80" s="90">
        <f t="shared" si="13"/>
        <v>15</v>
      </c>
      <c r="V80" s="373">
        <f t="shared" si="14"/>
        <v>71</v>
      </c>
      <c r="W80" s="90">
        <f t="shared" si="15"/>
        <v>0</v>
      </c>
      <c r="X80" s="90">
        <f t="shared" si="16"/>
        <v>0</v>
      </c>
      <c r="Y80" s="141">
        <f t="shared" si="18"/>
        <v>71</v>
      </c>
      <c r="Z80" s="298">
        <v>15</v>
      </c>
      <c r="AA80" s="299">
        <v>15</v>
      </c>
      <c r="AB80" s="299">
        <v>71</v>
      </c>
      <c r="AC80" s="301">
        <v>0</v>
      </c>
      <c r="AD80" s="301">
        <v>0</v>
      </c>
      <c r="AE80" s="126"/>
      <c r="AF80" s="298"/>
      <c r="AG80" s="299"/>
      <c r="AH80" s="299"/>
      <c r="AI80" s="301"/>
      <c r="AJ80" s="301"/>
      <c r="AK80" s="426"/>
      <c r="AL80" s="298"/>
      <c r="AM80" s="299"/>
      <c r="AN80" s="299"/>
      <c r="AO80" s="301"/>
      <c r="AP80" s="301"/>
      <c r="AQ80" s="426"/>
      <c r="AR80" s="298"/>
      <c r="AS80" s="299"/>
      <c r="AT80" s="299"/>
      <c r="AU80" s="301"/>
      <c r="AV80" s="301"/>
      <c r="AW80" s="88"/>
      <c r="AX80" s="298"/>
      <c r="AY80" s="299"/>
      <c r="AZ80" s="299"/>
      <c r="BA80" s="301"/>
      <c r="BB80" s="301"/>
      <c r="BC80" s="426"/>
      <c r="BD80" s="298"/>
      <c r="BE80" s="299"/>
      <c r="BF80" s="299"/>
      <c r="BG80" s="301"/>
      <c r="BH80" s="301"/>
      <c r="BI80" s="88"/>
      <c r="BJ80" s="298"/>
      <c r="BK80" s="299"/>
      <c r="BL80" s="299"/>
      <c r="BM80" s="301"/>
      <c r="BN80" s="301"/>
      <c r="BO80" s="88"/>
      <c r="BP80" s="9"/>
      <c r="BS80" s="81"/>
      <c r="BT80" s="81"/>
      <c r="BV80" s="9"/>
      <c r="BY80" s="81"/>
      <c r="BZ80" s="81"/>
      <c r="CB80" s="9"/>
      <c r="CE80" s="81"/>
      <c r="CF80" s="81"/>
      <c r="CH80" s="9"/>
      <c r="CK80" s="81"/>
      <c r="CL80" s="81"/>
      <c r="CR80" s="9"/>
      <c r="CS80" s="9"/>
      <c r="CT80" s="9"/>
      <c r="CU80" s="9"/>
      <c r="CV80" s="9"/>
      <c r="CW80" s="129"/>
      <c r="CX80" s="9"/>
    </row>
    <row r="81" spans="1:102">
      <c r="A81" s="6" t="str">
        <f t="shared" si="11"/>
        <v>00150615</v>
      </c>
      <c r="B81" s="6" t="s">
        <v>1665</v>
      </c>
      <c r="C81" s="6" t="s">
        <v>2008</v>
      </c>
      <c r="D81" s="6">
        <v>72</v>
      </c>
      <c r="E81" s="6">
        <v>15</v>
      </c>
      <c r="F81" s="6" t="s">
        <v>1134</v>
      </c>
      <c r="G81" s="6">
        <v>615</v>
      </c>
      <c r="H81" s="6" t="s">
        <v>1038</v>
      </c>
      <c r="I81" s="33">
        <v>25947947.695697732</v>
      </c>
      <c r="J81" s="88">
        <v>0.92062654116875831</v>
      </c>
      <c r="K81" s="89">
        <f t="shared" si="19"/>
        <v>26801046.441643428</v>
      </c>
      <c r="L81" s="88">
        <f>IF(K84&gt;0, K81/K84, 0)</f>
        <v>0.92710805906569471</v>
      </c>
      <c r="M81" s="58"/>
      <c r="N81" s="9">
        <f>ROUND(M84*L81,0)</f>
        <v>4034378</v>
      </c>
      <c r="O81" s="9">
        <v>3730491</v>
      </c>
      <c r="P81" s="9">
        <f>N81-O81</f>
        <v>303887</v>
      </c>
      <c r="Q81" s="40">
        <f>IF(O81&gt;0,P81*100/O81,IF(P81&gt;0,100,0))</f>
        <v>8.1460322515186334</v>
      </c>
      <c r="R81" s="9">
        <v>1632.08773903158</v>
      </c>
      <c r="S81" s="9">
        <f t="shared" si="17"/>
        <v>1656.3036504438901</v>
      </c>
      <c r="T81" s="90">
        <f t="shared" si="12"/>
        <v>15</v>
      </c>
      <c r="U81" s="90">
        <f t="shared" si="13"/>
        <v>615</v>
      </c>
      <c r="V81" s="373">
        <f t="shared" si="14"/>
        <v>72</v>
      </c>
      <c r="W81" s="90">
        <f t="shared" si="15"/>
        <v>1656.3036504438901</v>
      </c>
      <c r="X81" s="90">
        <f t="shared" si="16"/>
        <v>26801046.441643428</v>
      </c>
      <c r="Y81" s="141">
        <f t="shared" si="18"/>
        <v>72</v>
      </c>
      <c r="Z81" s="298">
        <v>15</v>
      </c>
      <c r="AA81" s="299">
        <v>615</v>
      </c>
      <c r="AB81" s="299">
        <v>72</v>
      </c>
      <c r="AC81" s="301">
        <v>1656.3036504438901</v>
      </c>
      <c r="AD81" s="301">
        <v>26801046.441643428</v>
      </c>
      <c r="AE81" s="126"/>
      <c r="AF81" s="298"/>
      <c r="AG81" s="299"/>
      <c r="AH81" s="299"/>
      <c r="AI81" s="301"/>
      <c r="AJ81" s="301"/>
      <c r="AK81" s="426"/>
      <c r="AL81" s="298"/>
      <c r="AM81" s="299"/>
      <c r="AN81" s="299"/>
      <c r="AO81" s="301"/>
      <c r="AP81" s="301"/>
      <c r="AQ81" s="426"/>
      <c r="AR81" s="298"/>
      <c r="AS81" s="299"/>
      <c r="AT81" s="299"/>
      <c r="AU81" s="301"/>
      <c r="AV81" s="301"/>
      <c r="AW81" s="88"/>
      <c r="AX81" s="298"/>
      <c r="AY81" s="299"/>
      <c r="AZ81" s="299"/>
      <c r="BA81" s="301"/>
      <c r="BB81" s="301"/>
      <c r="BC81" s="426"/>
      <c r="BD81" s="298"/>
      <c r="BE81" s="299"/>
      <c r="BF81" s="299"/>
      <c r="BG81" s="301"/>
      <c r="BH81" s="301"/>
      <c r="BI81" s="88"/>
      <c r="BJ81" s="298"/>
      <c r="BK81" s="299"/>
      <c r="BL81" s="299"/>
      <c r="BM81" s="301"/>
      <c r="BN81" s="301"/>
      <c r="BO81" s="88"/>
      <c r="BP81" s="9"/>
      <c r="BS81" s="81"/>
      <c r="BT81" s="81"/>
      <c r="BV81" s="9"/>
      <c r="BY81" s="81"/>
      <c r="BZ81" s="81"/>
      <c r="CB81" s="9"/>
      <c r="CE81" s="81"/>
      <c r="CF81" s="81"/>
      <c r="CH81" s="9"/>
      <c r="CK81" s="81"/>
      <c r="CL81" s="81"/>
      <c r="CR81" s="9"/>
      <c r="CS81" s="9"/>
      <c r="CT81" s="9"/>
      <c r="CU81" s="9"/>
      <c r="CV81" s="9"/>
      <c r="CW81" s="129"/>
      <c r="CX81" s="9"/>
    </row>
    <row r="82" spans="1:102">
      <c r="A82" s="6" t="str">
        <f t="shared" si="11"/>
        <v>00150832</v>
      </c>
      <c r="B82" s="6" t="s">
        <v>1665</v>
      </c>
      <c r="C82" s="6" t="s">
        <v>2075</v>
      </c>
      <c r="D82" s="6">
        <v>73</v>
      </c>
      <c r="E82" s="6">
        <v>15</v>
      </c>
      <c r="F82" s="6" t="s">
        <v>1134</v>
      </c>
      <c r="G82" s="6">
        <v>832</v>
      </c>
      <c r="H82" s="6" t="s">
        <v>1105</v>
      </c>
      <c r="I82" s="33">
        <v>2237148.5787982941</v>
      </c>
      <c r="J82" s="88">
        <v>7.9373458831241694E-2</v>
      </c>
      <c r="K82" s="89">
        <f t="shared" si="19"/>
        <v>2107176.4775409135</v>
      </c>
      <c r="L82" s="88">
        <f>IF(K84&gt;0, K82/K84, 0)</f>
        <v>7.2891940934305219E-2</v>
      </c>
      <c r="M82" s="58"/>
      <c r="N82" s="9">
        <f>ROUND(M84*L82,0)</f>
        <v>317195</v>
      </c>
      <c r="O82" s="9">
        <v>321631</v>
      </c>
      <c r="P82" s="9">
        <f>N82-O82</f>
        <v>-4436</v>
      </c>
      <c r="Q82" s="40">
        <f>IF(O82&gt;0,P82*100/O82,IF(P82&gt;0,100,0))</f>
        <v>-1.3792202866017269</v>
      </c>
      <c r="R82" s="9">
        <v>111.15174298780001</v>
      </c>
      <c r="S82" s="9">
        <f t="shared" si="17"/>
        <v>104.00000000435999</v>
      </c>
      <c r="T82" s="90">
        <f t="shared" si="12"/>
        <v>15</v>
      </c>
      <c r="U82" s="90">
        <f t="shared" si="13"/>
        <v>832</v>
      </c>
      <c r="V82" s="373">
        <f t="shared" si="14"/>
        <v>73</v>
      </c>
      <c r="W82" s="90">
        <f t="shared" si="15"/>
        <v>104.00000000435999</v>
      </c>
      <c r="X82" s="90">
        <f t="shared" si="16"/>
        <v>2107176.4775409135</v>
      </c>
      <c r="Y82" s="141">
        <f t="shared" si="18"/>
        <v>73</v>
      </c>
      <c r="Z82" s="298">
        <v>15</v>
      </c>
      <c r="AA82" s="299">
        <v>832</v>
      </c>
      <c r="AB82" s="299">
        <v>73</v>
      </c>
      <c r="AC82" s="301">
        <v>104.00000000435999</v>
      </c>
      <c r="AD82" s="301">
        <v>2107176.4775409135</v>
      </c>
      <c r="AE82" s="126"/>
      <c r="AF82" s="298"/>
      <c r="AG82" s="299"/>
      <c r="AH82" s="299"/>
      <c r="AI82" s="301"/>
      <c r="AJ82" s="301"/>
      <c r="AK82" s="426"/>
      <c r="AL82" s="298"/>
      <c r="AM82" s="299"/>
      <c r="AN82" s="299"/>
      <c r="AO82" s="301"/>
      <c r="AP82" s="301"/>
      <c r="AQ82" s="426"/>
      <c r="AR82" s="298"/>
      <c r="AS82" s="299"/>
      <c r="AT82" s="299"/>
      <c r="AU82" s="301"/>
      <c r="AV82" s="301"/>
      <c r="AW82" s="88"/>
      <c r="AX82" s="298"/>
      <c r="AY82" s="299"/>
      <c r="AZ82" s="299"/>
      <c r="BA82" s="301"/>
      <c r="BB82" s="301"/>
      <c r="BC82" s="426"/>
      <c r="BD82" s="298"/>
      <c r="BE82" s="299"/>
      <c r="BF82" s="299"/>
      <c r="BG82" s="301"/>
      <c r="BH82" s="301"/>
      <c r="BI82" s="88"/>
      <c r="BJ82" s="298"/>
      <c r="BK82" s="299"/>
      <c r="BL82" s="299"/>
      <c r="BM82" s="301"/>
      <c r="BN82" s="301"/>
      <c r="BO82" s="88"/>
      <c r="BP82" s="9"/>
      <c r="BS82" s="81"/>
      <c r="BT82" s="81"/>
      <c r="BV82" s="9"/>
      <c r="BY82" s="81"/>
      <c r="BZ82" s="81"/>
      <c r="CB82" s="9"/>
      <c r="CE82" s="81"/>
      <c r="CF82" s="81"/>
      <c r="CH82" s="9"/>
      <c r="CK82" s="81"/>
      <c r="CL82" s="81"/>
      <c r="CR82" s="9"/>
      <c r="CS82" s="9"/>
      <c r="CT82" s="9"/>
      <c r="CU82" s="9"/>
      <c r="CV82" s="9"/>
      <c r="CW82" s="129"/>
      <c r="CX82" s="9"/>
    </row>
    <row r="83" spans="1:102">
      <c r="A83" s="6" t="str">
        <f t="shared" si="11"/>
        <v>00150998</v>
      </c>
      <c r="B83" s="6" t="s">
        <v>1665</v>
      </c>
      <c r="C83" s="6" t="s">
        <v>2091</v>
      </c>
      <c r="D83" s="6">
        <v>74</v>
      </c>
      <c r="E83" s="6">
        <v>15</v>
      </c>
      <c r="F83" s="6" t="s">
        <v>1547</v>
      </c>
      <c r="G83" s="6">
        <v>998</v>
      </c>
      <c r="H83" s="6" t="s">
        <v>1547</v>
      </c>
      <c r="I83" s="33">
        <v>0</v>
      </c>
      <c r="J83" s="88">
        <v>0</v>
      </c>
      <c r="K83" s="89">
        <f t="shared" si="19"/>
        <v>0</v>
      </c>
      <c r="L83" s="88">
        <f>IF(K84&gt;0, K83/K84, 0)</f>
        <v>0</v>
      </c>
      <c r="M83" s="58"/>
      <c r="N83" s="9">
        <f>ROUND(M84*L83,0)</f>
        <v>0</v>
      </c>
      <c r="O83" s="9">
        <v>0</v>
      </c>
      <c r="P83" s="9">
        <f>N83-O83</f>
        <v>0</v>
      </c>
      <c r="Q83" s="40">
        <f>IF(O83&gt;0,P83*100/O83,IF(P83&gt;0,100,0))</f>
        <v>0</v>
      </c>
      <c r="R83" s="9">
        <v>0</v>
      </c>
      <c r="S83" s="9">
        <f t="shared" si="17"/>
        <v>0</v>
      </c>
      <c r="T83" s="90">
        <f t="shared" si="12"/>
        <v>15</v>
      </c>
      <c r="U83" s="90">
        <f t="shared" si="13"/>
        <v>998</v>
      </c>
      <c r="V83" s="373">
        <f t="shared" si="14"/>
        <v>74</v>
      </c>
      <c r="W83" s="90">
        <f t="shared" si="15"/>
        <v>0</v>
      </c>
      <c r="X83" s="90">
        <f t="shared" si="16"/>
        <v>0</v>
      </c>
      <c r="Y83" s="141">
        <f t="shared" si="18"/>
        <v>74</v>
      </c>
      <c r="Z83" s="298">
        <v>15</v>
      </c>
      <c r="AA83" s="299">
        <v>998</v>
      </c>
      <c r="AB83" s="299">
        <v>74</v>
      </c>
      <c r="AC83" s="301">
        <v>0</v>
      </c>
      <c r="AD83" s="301">
        <v>0</v>
      </c>
      <c r="AE83" s="126"/>
      <c r="AF83" s="298"/>
      <c r="AG83" s="299"/>
      <c r="AH83" s="299"/>
      <c r="AI83" s="301"/>
      <c r="AJ83" s="301"/>
      <c r="AK83" s="426"/>
      <c r="AL83" s="298"/>
      <c r="AM83" s="299"/>
      <c r="AN83" s="299"/>
      <c r="AO83" s="301"/>
      <c r="AP83" s="301"/>
      <c r="AQ83" s="426"/>
      <c r="AR83" s="298"/>
      <c r="AS83" s="299"/>
      <c r="AT83" s="299"/>
      <c r="AU83" s="301"/>
      <c r="AV83" s="301"/>
      <c r="AW83" s="88"/>
      <c r="AX83" s="298"/>
      <c r="AY83" s="299"/>
      <c r="AZ83" s="299"/>
      <c r="BA83" s="301"/>
      <c r="BB83" s="301"/>
      <c r="BC83" s="426"/>
      <c r="BD83" s="298"/>
      <c r="BE83" s="299"/>
      <c r="BF83" s="299"/>
      <c r="BG83" s="301"/>
      <c r="BH83" s="301"/>
      <c r="BI83" s="88"/>
      <c r="BJ83" s="298"/>
      <c r="BK83" s="299"/>
      <c r="BL83" s="299"/>
      <c r="BM83" s="301"/>
      <c r="BN83" s="301"/>
      <c r="BO83" s="88"/>
      <c r="BP83" s="9"/>
      <c r="BS83" s="81"/>
      <c r="BT83" s="81"/>
      <c r="BV83" s="9"/>
      <c r="BY83" s="81"/>
      <c r="BZ83" s="81"/>
      <c r="CB83" s="9"/>
      <c r="CE83" s="81"/>
      <c r="CF83" s="81"/>
      <c r="CH83" s="9"/>
      <c r="CK83" s="81"/>
      <c r="CL83" s="81"/>
      <c r="CR83" s="9"/>
      <c r="CS83" s="9"/>
      <c r="CT83" s="9"/>
      <c r="CU83" s="9"/>
      <c r="CV83" s="9"/>
      <c r="CW83" s="129"/>
      <c r="CX83" s="9"/>
    </row>
    <row r="84" spans="1:102">
      <c r="A84" s="6" t="str">
        <f t="shared" si="11"/>
        <v>00150999</v>
      </c>
      <c r="B84" s="6" t="s">
        <v>1665</v>
      </c>
      <c r="C84" s="6" t="s">
        <v>2092</v>
      </c>
      <c r="D84" s="6">
        <v>75</v>
      </c>
      <c r="E84" s="10">
        <v>15</v>
      </c>
      <c r="F84" s="10" t="s">
        <v>1134</v>
      </c>
      <c r="G84" s="10">
        <v>999</v>
      </c>
      <c r="H84" s="10" t="s">
        <v>593</v>
      </c>
      <c r="I84" s="92">
        <v>28185096.274496026</v>
      </c>
      <c r="J84" s="472">
        <v>1</v>
      </c>
      <c r="K84" s="53">
        <f>SUM(K80:K83)</f>
        <v>28908222.919184342</v>
      </c>
      <c r="L84" s="91">
        <f>SUM(L80:L83)</f>
        <v>0.99999999999999989</v>
      </c>
      <c r="M84" s="79">
        <f>VLOOKUP(E84,town351,24)</f>
        <v>4351573</v>
      </c>
      <c r="N84" s="79">
        <f>SUM(N80:N83)</f>
        <v>4351573</v>
      </c>
      <c r="O84" s="79">
        <v>4052122</v>
      </c>
      <c r="P84" s="79">
        <f>SUM(P80:P83)</f>
        <v>299451</v>
      </c>
      <c r="Q84" s="39">
        <f t="shared" ref="Q84:Q143" si="20">IF(O84&gt;0,P84*100/O84,IF(P84&gt;0,100,0))</f>
        <v>7.3899798673386439</v>
      </c>
      <c r="R84" s="9">
        <v>1743.2394820193799</v>
      </c>
      <c r="S84" s="9">
        <f t="shared" si="17"/>
        <v>1760.30365044825</v>
      </c>
      <c r="T84" s="90">
        <f t="shared" si="12"/>
        <v>15</v>
      </c>
      <c r="U84" s="90">
        <f t="shared" si="13"/>
        <v>999</v>
      </c>
      <c r="V84" s="373">
        <f t="shared" si="14"/>
        <v>75</v>
      </c>
      <c r="W84" s="90">
        <f t="shared" si="15"/>
        <v>1760.30365044825</v>
      </c>
      <c r="X84" s="90">
        <f t="shared" si="16"/>
        <v>28908222.919184342</v>
      </c>
      <c r="Y84" s="141">
        <f t="shared" si="18"/>
        <v>75</v>
      </c>
      <c r="Z84" s="298">
        <v>15</v>
      </c>
      <c r="AA84" s="299">
        <v>999</v>
      </c>
      <c r="AB84" s="299">
        <v>75</v>
      </c>
      <c r="AC84" s="301">
        <v>1760.30365044825</v>
      </c>
      <c r="AD84" s="301">
        <v>28908222.919184342</v>
      </c>
      <c r="AE84" s="126"/>
      <c r="AF84" s="298"/>
      <c r="AG84" s="299"/>
      <c r="AH84" s="299"/>
      <c r="AI84" s="301"/>
      <c r="AJ84" s="301"/>
      <c r="AK84" s="426"/>
      <c r="AL84" s="298"/>
      <c r="AM84" s="299"/>
      <c r="AN84" s="299"/>
      <c r="AO84" s="301"/>
      <c r="AP84" s="301"/>
      <c r="AQ84" s="426"/>
      <c r="AR84" s="298"/>
      <c r="AS84" s="299"/>
      <c r="AT84" s="299"/>
      <c r="AU84" s="301"/>
      <c r="AV84" s="301"/>
      <c r="AW84" s="91"/>
      <c r="AX84" s="298"/>
      <c r="AY84" s="299"/>
      <c r="AZ84" s="299"/>
      <c r="BA84" s="301"/>
      <c r="BB84" s="301"/>
      <c r="BC84" s="426"/>
      <c r="BD84" s="298"/>
      <c r="BE84" s="299"/>
      <c r="BF84" s="299"/>
      <c r="BG84" s="301"/>
      <c r="BH84" s="301"/>
      <c r="BI84" s="91"/>
      <c r="BJ84" s="298"/>
      <c r="BK84" s="299"/>
      <c r="BL84" s="299"/>
      <c r="BM84" s="301"/>
      <c r="BN84" s="301"/>
      <c r="BO84" s="91"/>
      <c r="BP84" s="9"/>
      <c r="BS84" s="81"/>
      <c r="BT84" s="81"/>
      <c r="BV84" s="9"/>
      <c r="BY84" s="81"/>
      <c r="BZ84" s="81"/>
      <c r="CB84" s="9"/>
      <c r="CE84" s="81"/>
      <c r="CF84" s="81"/>
      <c r="CH84" s="9"/>
      <c r="CK84" s="81"/>
      <c r="CL84" s="81"/>
      <c r="CR84" s="9"/>
      <c r="CS84" s="9"/>
      <c r="CT84" s="9"/>
      <c r="CU84" s="9"/>
      <c r="CV84" s="9"/>
      <c r="CW84" s="129"/>
      <c r="CX84" s="9"/>
    </row>
    <row r="85" spans="1:102">
      <c r="A85" s="6" t="str">
        <f t="shared" si="11"/>
        <v>00160016</v>
      </c>
      <c r="B85" s="6" t="s">
        <v>1666</v>
      </c>
      <c r="C85" s="6" t="s">
        <v>1666</v>
      </c>
      <c r="D85" s="6">
        <v>76</v>
      </c>
      <c r="E85" s="6">
        <v>16</v>
      </c>
      <c r="F85" s="6" t="s">
        <v>1135</v>
      </c>
      <c r="G85" s="6">
        <v>16</v>
      </c>
      <c r="H85" s="6" t="s">
        <v>697</v>
      </c>
      <c r="I85" s="33">
        <v>97105120.719999999</v>
      </c>
      <c r="J85" s="88">
        <v>0.99603161352710678</v>
      </c>
      <c r="K85" s="89">
        <f>X85</f>
        <v>102004503.33000001</v>
      </c>
      <c r="L85" s="88">
        <f>IF(K89&gt;0, K85/K89, 0)</f>
        <v>0.99572638363773025</v>
      </c>
      <c r="M85" s="58"/>
      <c r="N85" s="9">
        <f>ROUND(M89*L85,0)</f>
        <v>46028760</v>
      </c>
      <c r="O85" s="9">
        <v>43712969</v>
      </c>
      <c r="P85" s="9">
        <f>N85-O85</f>
        <v>2315791</v>
      </c>
      <c r="Q85" s="40">
        <f t="shared" si="20"/>
        <v>5.2977206833056796</v>
      </c>
      <c r="R85" s="9">
        <v>6238</v>
      </c>
      <c r="S85" s="9">
        <f t="shared" si="17"/>
        <v>6313</v>
      </c>
      <c r="T85" s="90">
        <f t="shared" si="12"/>
        <v>16</v>
      </c>
      <c r="U85" s="90">
        <f t="shared" si="13"/>
        <v>16</v>
      </c>
      <c r="V85" s="373">
        <f t="shared" si="14"/>
        <v>76</v>
      </c>
      <c r="W85" s="90">
        <f t="shared" si="15"/>
        <v>6313</v>
      </c>
      <c r="X85" s="90">
        <f t="shared" si="16"/>
        <v>102004503.33000001</v>
      </c>
      <c r="Y85" s="141">
        <f t="shared" si="18"/>
        <v>76</v>
      </c>
      <c r="Z85" s="298">
        <v>16</v>
      </c>
      <c r="AA85" s="299">
        <v>16</v>
      </c>
      <c r="AB85" s="299">
        <v>76</v>
      </c>
      <c r="AC85" s="301">
        <v>6313</v>
      </c>
      <c r="AD85" s="301">
        <v>102004503.33000001</v>
      </c>
      <c r="AE85" s="126"/>
      <c r="AF85" s="298"/>
      <c r="AG85" s="299"/>
      <c r="AH85" s="299"/>
      <c r="AI85" s="301"/>
      <c r="AJ85" s="301"/>
      <c r="AK85" s="426"/>
      <c r="AL85" s="298"/>
      <c r="AM85" s="299"/>
      <c r="AN85" s="299"/>
      <c r="AO85" s="301"/>
      <c r="AP85" s="301"/>
      <c r="AQ85" s="426"/>
      <c r="AR85" s="298"/>
      <c r="AS85" s="299"/>
      <c r="AT85" s="299"/>
      <c r="AU85" s="301"/>
      <c r="AV85" s="301"/>
      <c r="AW85" s="88"/>
      <c r="AX85" s="298"/>
      <c r="AY85" s="299"/>
      <c r="AZ85" s="299"/>
      <c r="BA85" s="301"/>
      <c r="BB85" s="301"/>
      <c r="BC85" s="426"/>
      <c r="BD85" s="298"/>
      <c r="BE85" s="299"/>
      <c r="BF85" s="299"/>
      <c r="BG85" s="301"/>
      <c r="BH85" s="301"/>
      <c r="BI85" s="88"/>
      <c r="BJ85" s="298"/>
      <c r="BK85" s="299"/>
      <c r="BL85" s="299"/>
      <c r="BM85" s="301"/>
      <c r="BN85" s="301"/>
      <c r="BO85" s="88"/>
      <c r="BP85" s="9"/>
      <c r="BS85" s="81"/>
      <c r="BT85" s="81"/>
      <c r="BV85" s="9"/>
      <c r="BY85" s="81"/>
      <c r="BZ85" s="81"/>
      <c r="CB85" s="9"/>
      <c r="CE85" s="81"/>
      <c r="CF85" s="81"/>
      <c r="CH85" s="9"/>
      <c r="CK85" s="81"/>
      <c r="CL85" s="81"/>
      <c r="CR85" s="9"/>
      <c r="CS85" s="9"/>
      <c r="CT85" s="9"/>
      <c r="CU85" s="9"/>
      <c r="CV85" s="9"/>
      <c r="CW85" s="129"/>
      <c r="CX85" s="9"/>
    </row>
    <row r="86" spans="1:102">
      <c r="A86" s="6" t="str">
        <f t="shared" si="11"/>
        <v>00160910</v>
      </c>
      <c r="B86" s="6" t="s">
        <v>1666</v>
      </c>
      <c r="C86" s="6" t="s">
        <v>2088</v>
      </c>
      <c r="D86" s="6">
        <v>77</v>
      </c>
      <c r="E86" s="6">
        <v>16</v>
      </c>
      <c r="F86" s="6" t="s">
        <v>1135</v>
      </c>
      <c r="G86" s="6">
        <v>910</v>
      </c>
      <c r="H86" s="6" t="s">
        <v>1118</v>
      </c>
      <c r="I86" s="33">
        <v>386885.96052620758</v>
      </c>
      <c r="J86" s="88">
        <v>3.9683864728931369E-3</v>
      </c>
      <c r="K86" s="89">
        <f t="shared" si="19"/>
        <v>437799.09985279839</v>
      </c>
      <c r="L86" s="88">
        <f>IF(K89&gt;0, K86/K89, 0)</f>
        <v>4.2736163622696839E-3</v>
      </c>
      <c r="M86" s="58"/>
      <c r="N86" s="9">
        <f>ROUND(M89*L86,0)</f>
        <v>197554</v>
      </c>
      <c r="O86" s="9">
        <v>174161</v>
      </c>
      <c r="P86" s="9">
        <f>N86-O86</f>
        <v>23393</v>
      </c>
      <c r="Q86" s="40">
        <f t="shared" si="20"/>
        <v>13.431824576110611</v>
      </c>
      <c r="R86" s="9">
        <v>19.00000000164</v>
      </c>
      <c r="S86" s="9">
        <f t="shared" si="17"/>
        <v>20.999999999510003</v>
      </c>
      <c r="T86" s="90">
        <f t="shared" si="12"/>
        <v>16</v>
      </c>
      <c r="U86" s="90">
        <f t="shared" si="13"/>
        <v>910</v>
      </c>
      <c r="V86" s="373">
        <f t="shared" si="14"/>
        <v>77</v>
      </c>
      <c r="W86" s="90">
        <f t="shared" si="15"/>
        <v>20.999999999510003</v>
      </c>
      <c r="X86" s="90">
        <f t="shared" si="16"/>
        <v>437799.09985279839</v>
      </c>
      <c r="Y86" s="141">
        <f t="shared" si="18"/>
        <v>77</v>
      </c>
      <c r="Z86" s="298">
        <v>16</v>
      </c>
      <c r="AA86" s="299">
        <v>910</v>
      </c>
      <c r="AB86" s="299">
        <v>77</v>
      </c>
      <c r="AC86" s="301">
        <v>20.999999999510003</v>
      </c>
      <c r="AD86" s="301">
        <v>437799.09985279839</v>
      </c>
      <c r="AE86" s="126"/>
      <c r="AF86" s="298"/>
      <c r="AG86" s="299"/>
      <c r="AH86" s="299"/>
      <c r="AI86" s="301"/>
      <c r="AJ86" s="301"/>
      <c r="AK86" s="426"/>
      <c r="AL86" s="298"/>
      <c r="AM86" s="299"/>
      <c r="AN86" s="299"/>
      <c r="AO86" s="301"/>
      <c r="AP86" s="301"/>
      <c r="AQ86" s="426"/>
      <c r="AR86" s="298"/>
      <c r="AS86" s="299"/>
      <c r="AT86" s="299"/>
      <c r="AU86" s="301"/>
      <c r="AV86" s="301"/>
      <c r="AW86" s="88"/>
      <c r="AX86" s="298"/>
      <c r="AY86" s="299"/>
      <c r="AZ86" s="299"/>
      <c r="BA86" s="301"/>
      <c r="BB86" s="301"/>
      <c r="BC86" s="426"/>
      <c r="BD86" s="298"/>
      <c r="BE86" s="299"/>
      <c r="BF86" s="299"/>
      <c r="BG86" s="301"/>
      <c r="BH86" s="301"/>
      <c r="BI86" s="88"/>
      <c r="BJ86" s="298"/>
      <c r="BK86" s="299"/>
      <c r="BL86" s="299"/>
      <c r="BM86" s="301"/>
      <c r="BN86" s="301"/>
      <c r="BO86" s="88"/>
      <c r="BP86" s="9"/>
      <c r="BS86" s="81"/>
      <c r="BT86" s="81"/>
      <c r="BV86" s="9"/>
      <c r="BY86" s="81"/>
      <c r="BZ86" s="81"/>
      <c r="CB86" s="9"/>
      <c r="CE86" s="81"/>
      <c r="CF86" s="81"/>
      <c r="CH86" s="9"/>
      <c r="CK86" s="81"/>
      <c r="CL86" s="81"/>
      <c r="CR86" s="9"/>
      <c r="CS86" s="9"/>
      <c r="CT86" s="9"/>
      <c r="CU86" s="9"/>
      <c r="CV86" s="9"/>
      <c r="CW86" s="129"/>
      <c r="CX86" s="9"/>
    </row>
    <row r="87" spans="1:102">
      <c r="A87" s="6" t="str">
        <f t="shared" si="11"/>
        <v>00160998</v>
      </c>
      <c r="B87" s="6" t="s">
        <v>1666</v>
      </c>
      <c r="C87" s="6" t="s">
        <v>2091</v>
      </c>
      <c r="D87" s="6">
        <v>78</v>
      </c>
      <c r="E87" s="6">
        <v>16</v>
      </c>
      <c r="F87" s="6" t="s">
        <v>1547</v>
      </c>
      <c r="G87" s="6">
        <v>998</v>
      </c>
      <c r="H87" s="6" t="s">
        <v>1547</v>
      </c>
      <c r="I87" s="33">
        <v>0</v>
      </c>
      <c r="J87" s="88">
        <v>0</v>
      </c>
      <c r="K87" s="89">
        <f t="shared" si="19"/>
        <v>0</v>
      </c>
      <c r="L87" s="88">
        <f>IF(K89&gt;0, K87/K89, 0)</f>
        <v>0</v>
      </c>
      <c r="M87" s="58"/>
      <c r="N87" s="9">
        <f>ROUND(M89*L87,0)</f>
        <v>0</v>
      </c>
      <c r="O87" s="9">
        <v>0</v>
      </c>
      <c r="P87" s="9">
        <f>N87-O87</f>
        <v>0</v>
      </c>
      <c r="Q87" s="40">
        <f t="shared" si="20"/>
        <v>0</v>
      </c>
      <c r="R87" s="9">
        <v>0</v>
      </c>
      <c r="S87" s="9">
        <f t="shared" si="17"/>
        <v>0</v>
      </c>
      <c r="T87" s="90">
        <f t="shared" si="12"/>
        <v>16</v>
      </c>
      <c r="U87" s="90">
        <f t="shared" si="13"/>
        <v>998</v>
      </c>
      <c r="V87" s="373">
        <f t="shared" si="14"/>
        <v>78</v>
      </c>
      <c r="W87" s="90">
        <f t="shared" si="15"/>
        <v>0</v>
      </c>
      <c r="X87" s="90">
        <f t="shared" si="16"/>
        <v>0</v>
      </c>
      <c r="Y87" s="141">
        <f t="shared" si="18"/>
        <v>78</v>
      </c>
      <c r="Z87" s="298">
        <v>16</v>
      </c>
      <c r="AA87" s="299">
        <v>998</v>
      </c>
      <c r="AB87" s="299">
        <v>78</v>
      </c>
      <c r="AC87" s="301">
        <v>0</v>
      </c>
      <c r="AD87" s="301">
        <v>0</v>
      </c>
      <c r="AE87" s="126"/>
      <c r="AF87" s="298"/>
      <c r="AG87" s="299"/>
      <c r="AH87" s="299"/>
      <c r="AI87" s="301"/>
      <c r="AJ87" s="301"/>
      <c r="AK87" s="426"/>
      <c r="AL87" s="298"/>
      <c r="AM87" s="299"/>
      <c r="AN87" s="299"/>
      <c r="AO87" s="301"/>
      <c r="AP87" s="301"/>
      <c r="AQ87" s="426"/>
      <c r="AR87" s="298"/>
      <c r="AS87" s="299"/>
      <c r="AT87" s="299"/>
      <c r="AU87" s="301"/>
      <c r="AV87" s="301"/>
      <c r="AW87" s="88"/>
      <c r="AX87" s="298"/>
      <c r="AY87" s="299"/>
      <c r="AZ87" s="299"/>
      <c r="BA87" s="301"/>
      <c r="BB87" s="301"/>
      <c r="BC87" s="426"/>
      <c r="BD87" s="298"/>
      <c r="BE87" s="299"/>
      <c r="BF87" s="299"/>
      <c r="BG87" s="301"/>
      <c r="BH87" s="301"/>
      <c r="BI87" s="88"/>
      <c r="BJ87" s="298"/>
      <c r="BK87" s="299"/>
      <c r="BL87" s="299"/>
      <c r="BM87" s="301"/>
      <c r="BN87" s="301"/>
      <c r="BO87" s="88"/>
      <c r="BP87" s="9"/>
      <c r="BS87" s="81"/>
      <c r="BT87" s="81"/>
      <c r="BV87" s="9"/>
      <c r="BY87" s="81"/>
      <c r="BZ87" s="81"/>
      <c r="CB87" s="9"/>
      <c r="CE87" s="81"/>
      <c r="CF87" s="81"/>
      <c r="CH87" s="9"/>
      <c r="CK87" s="81"/>
      <c r="CL87" s="81"/>
      <c r="CR87" s="9"/>
      <c r="CS87" s="9"/>
      <c r="CT87" s="9"/>
      <c r="CU87" s="9"/>
      <c r="CV87" s="9"/>
      <c r="CW87" s="129"/>
      <c r="CX87" s="9"/>
    </row>
    <row r="88" spans="1:102">
      <c r="A88" s="6" t="str">
        <f t="shared" si="11"/>
        <v>00160998</v>
      </c>
      <c r="B88" s="6" t="s">
        <v>1666</v>
      </c>
      <c r="C88" s="6" t="s">
        <v>2091</v>
      </c>
      <c r="D88" s="6">
        <v>79</v>
      </c>
      <c r="E88" s="6">
        <v>16</v>
      </c>
      <c r="F88" s="6" t="s">
        <v>1547</v>
      </c>
      <c r="G88" s="6">
        <v>998</v>
      </c>
      <c r="H88" s="6" t="s">
        <v>1547</v>
      </c>
      <c r="I88" s="33">
        <v>0</v>
      </c>
      <c r="J88" s="88">
        <v>0</v>
      </c>
      <c r="K88" s="89">
        <f t="shared" si="19"/>
        <v>0</v>
      </c>
      <c r="L88" s="88">
        <f>IF(K89&gt;0, K88/K89, 0)</f>
        <v>0</v>
      </c>
      <c r="M88" s="58"/>
      <c r="N88" s="9">
        <f>ROUND(M89*L88,0)</f>
        <v>0</v>
      </c>
      <c r="O88" s="9">
        <v>0</v>
      </c>
      <c r="P88" s="9">
        <f>N88-O88</f>
        <v>0</v>
      </c>
      <c r="Q88" s="40">
        <f t="shared" si="20"/>
        <v>0</v>
      </c>
      <c r="R88" s="9">
        <v>0</v>
      </c>
      <c r="S88" s="9">
        <f t="shared" si="17"/>
        <v>0</v>
      </c>
      <c r="T88" s="90">
        <f t="shared" si="12"/>
        <v>16</v>
      </c>
      <c r="U88" s="90">
        <f t="shared" si="13"/>
        <v>998</v>
      </c>
      <c r="V88" s="373">
        <f t="shared" si="14"/>
        <v>79</v>
      </c>
      <c r="W88" s="90">
        <f t="shared" si="15"/>
        <v>0</v>
      </c>
      <c r="X88" s="90">
        <f t="shared" si="16"/>
        <v>0</v>
      </c>
      <c r="Y88" s="141">
        <f t="shared" si="18"/>
        <v>79</v>
      </c>
      <c r="Z88" s="298">
        <v>16</v>
      </c>
      <c r="AA88" s="299">
        <v>998</v>
      </c>
      <c r="AB88" s="299">
        <v>79</v>
      </c>
      <c r="AC88" s="301">
        <v>0</v>
      </c>
      <c r="AD88" s="301">
        <v>0</v>
      </c>
      <c r="AE88" s="126"/>
      <c r="AF88" s="298"/>
      <c r="AG88" s="299"/>
      <c r="AH88" s="299"/>
      <c r="AI88" s="301"/>
      <c r="AJ88" s="301"/>
      <c r="AK88" s="426"/>
      <c r="AL88" s="298"/>
      <c r="AM88" s="299"/>
      <c r="AN88" s="299"/>
      <c r="AO88" s="301"/>
      <c r="AP88" s="301"/>
      <c r="AQ88" s="426"/>
      <c r="AR88" s="298"/>
      <c r="AS88" s="299"/>
      <c r="AT88" s="299"/>
      <c r="AU88" s="301"/>
      <c r="AV88" s="301"/>
      <c r="AW88" s="88"/>
      <c r="AX88" s="298"/>
      <c r="AY88" s="299"/>
      <c r="AZ88" s="299"/>
      <c r="BA88" s="301"/>
      <c r="BB88" s="301"/>
      <c r="BC88" s="426"/>
      <c r="BD88" s="298"/>
      <c r="BE88" s="299"/>
      <c r="BF88" s="299"/>
      <c r="BG88" s="301"/>
      <c r="BH88" s="301"/>
      <c r="BI88" s="88"/>
      <c r="BJ88" s="298"/>
      <c r="BK88" s="299"/>
      <c r="BL88" s="299"/>
      <c r="BM88" s="301"/>
      <c r="BN88" s="301"/>
      <c r="BO88" s="88"/>
      <c r="BP88" s="9"/>
      <c r="BS88" s="81"/>
      <c r="BT88" s="81"/>
      <c r="BV88" s="9"/>
      <c r="BY88" s="81"/>
      <c r="BZ88" s="81"/>
      <c r="CB88" s="9"/>
      <c r="CE88" s="81"/>
      <c r="CF88" s="81"/>
      <c r="CH88" s="9"/>
      <c r="CK88" s="81"/>
      <c r="CL88" s="81"/>
      <c r="CR88" s="9"/>
      <c r="CS88" s="9"/>
      <c r="CT88" s="9"/>
      <c r="CU88" s="9"/>
      <c r="CV88" s="9"/>
      <c r="CW88" s="129"/>
      <c r="CX88" s="9"/>
    </row>
    <row r="89" spans="1:102">
      <c r="A89" s="6" t="str">
        <f t="shared" si="11"/>
        <v>00160999</v>
      </c>
      <c r="B89" s="6" t="s">
        <v>1666</v>
      </c>
      <c r="C89" s="6" t="s">
        <v>2092</v>
      </c>
      <c r="D89" s="6">
        <v>80</v>
      </c>
      <c r="E89" s="10">
        <v>16</v>
      </c>
      <c r="F89" s="10" t="s">
        <v>1135</v>
      </c>
      <c r="G89" s="10">
        <v>999</v>
      </c>
      <c r="H89" s="10" t="s">
        <v>593</v>
      </c>
      <c r="I89" s="92">
        <v>97492006.680526212</v>
      </c>
      <c r="J89" s="472">
        <v>0.99999999999999989</v>
      </c>
      <c r="K89" s="53">
        <f>SUM(K85:K88)</f>
        <v>102442302.42985281</v>
      </c>
      <c r="L89" s="91">
        <f>SUM(L85:L88)</f>
        <v>0.99999999999999989</v>
      </c>
      <c r="M89" s="79">
        <f>VLOOKUP(E89,town351,24)</f>
        <v>46226314</v>
      </c>
      <c r="N89" s="79">
        <f>SUM(N85:N88)</f>
        <v>46226314</v>
      </c>
      <c r="O89" s="79">
        <v>43887130</v>
      </c>
      <c r="P89" s="79">
        <f>SUM(P85:P88)</f>
        <v>2339184</v>
      </c>
      <c r="Q89" s="39">
        <f t="shared" si="20"/>
        <v>5.3299999339214024</v>
      </c>
      <c r="R89" s="9">
        <v>6257.0000000016398</v>
      </c>
      <c r="S89" s="9">
        <f t="shared" si="17"/>
        <v>6333.9999999995098</v>
      </c>
      <c r="T89" s="90">
        <f t="shared" si="12"/>
        <v>16</v>
      </c>
      <c r="U89" s="90">
        <f t="shared" si="13"/>
        <v>999</v>
      </c>
      <c r="V89" s="373">
        <f t="shared" si="14"/>
        <v>80</v>
      </c>
      <c r="W89" s="90">
        <f t="shared" si="15"/>
        <v>6333.9999999995098</v>
      </c>
      <c r="X89" s="90">
        <f t="shared" si="16"/>
        <v>102442302.42985281</v>
      </c>
      <c r="Y89" s="141">
        <f t="shared" si="18"/>
        <v>80</v>
      </c>
      <c r="Z89" s="298">
        <v>16</v>
      </c>
      <c r="AA89" s="299">
        <v>999</v>
      </c>
      <c r="AB89" s="299">
        <v>80</v>
      </c>
      <c r="AC89" s="301">
        <v>6333.9999999995098</v>
      </c>
      <c r="AD89" s="301">
        <v>102442302.42985281</v>
      </c>
      <c r="AE89" s="126"/>
      <c r="AF89" s="298"/>
      <c r="AG89" s="299"/>
      <c r="AH89" s="299"/>
      <c r="AI89" s="301"/>
      <c r="AJ89" s="301"/>
      <c r="AK89" s="426"/>
      <c r="AL89" s="298"/>
      <c r="AM89" s="299"/>
      <c r="AN89" s="299"/>
      <c r="AO89" s="301"/>
      <c r="AP89" s="301"/>
      <c r="AQ89" s="426"/>
      <c r="AR89" s="298"/>
      <c r="AS89" s="299"/>
      <c r="AT89" s="299"/>
      <c r="AU89" s="301"/>
      <c r="AV89" s="301"/>
      <c r="AW89" s="91"/>
      <c r="AX89" s="298"/>
      <c r="AY89" s="299"/>
      <c r="AZ89" s="299"/>
      <c r="BA89" s="301"/>
      <c r="BB89" s="301"/>
      <c r="BC89" s="426"/>
      <c r="BD89" s="298"/>
      <c r="BE89" s="299"/>
      <c r="BF89" s="299"/>
      <c r="BG89" s="301"/>
      <c r="BH89" s="301"/>
      <c r="BI89" s="91"/>
      <c r="BJ89" s="298"/>
      <c r="BK89" s="299"/>
      <c r="BL89" s="299"/>
      <c r="BM89" s="301"/>
      <c r="BN89" s="301"/>
      <c r="BO89" s="91"/>
      <c r="BP89" s="9"/>
      <c r="BS89" s="81"/>
      <c r="BT89" s="81"/>
      <c r="BV89" s="9"/>
      <c r="BY89" s="81"/>
      <c r="BZ89" s="81"/>
      <c r="CB89" s="9"/>
      <c r="CE89" s="81"/>
      <c r="CF89" s="81"/>
      <c r="CH89" s="9"/>
      <c r="CK89" s="81"/>
      <c r="CL89" s="81"/>
      <c r="CR89" s="9"/>
      <c r="CS89" s="9"/>
      <c r="CT89" s="9"/>
      <c r="CU89" s="9"/>
      <c r="CV89" s="9"/>
      <c r="CW89" s="129"/>
      <c r="CX89" s="9"/>
    </row>
    <row r="90" spans="1:102">
      <c r="A90" s="6" t="str">
        <f t="shared" si="11"/>
        <v>00170017</v>
      </c>
      <c r="B90" s="6" t="s">
        <v>1667</v>
      </c>
      <c r="C90" s="6" t="s">
        <v>1667</v>
      </c>
      <c r="D90" s="6">
        <v>81</v>
      </c>
      <c r="E90" s="6">
        <v>17</v>
      </c>
      <c r="F90" s="6" t="s">
        <v>1136</v>
      </c>
      <c r="G90" s="6">
        <v>17</v>
      </c>
      <c r="H90" s="6" t="s">
        <v>698</v>
      </c>
      <c r="I90" s="33">
        <v>32176028.359999999</v>
      </c>
      <c r="J90" s="88">
        <v>0.9315018493685584</v>
      </c>
      <c r="K90" s="89">
        <f>X90</f>
        <v>32470504.220000003</v>
      </c>
      <c r="L90" s="88">
        <f>IF(K94&gt;0, K90/K94, 0)</f>
        <v>0.92306431545954526</v>
      </c>
      <c r="M90" s="58"/>
      <c r="N90" s="9">
        <f>ROUND(M94*L90,0)</f>
        <v>17758731</v>
      </c>
      <c r="O90" s="9">
        <v>17041707</v>
      </c>
      <c r="P90" s="9">
        <f>N90-O90</f>
        <v>717024</v>
      </c>
      <c r="Q90" s="40">
        <f t="shared" si="20"/>
        <v>4.2074658366089732</v>
      </c>
      <c r="R90" s="9">
        <v>2422</v>
      </c>
      <c r="S90" s="9">
        <f t="shared" si="17"/>
        <v>2367</v>
      </c>
      <c r="T90" s="90">
        <f t="shared" si="12"/>
        <v>17</v>
      </c>
      <c r="U90" s="90">
        <f t="shared" si="13"/>
        <v>17</v>
      </c>
      <c r="V90" s="373">
        <f t="shared" si="14"/>
        <v>81</v>
      </c>
      <c r="W90" s="90">
        <f t="shared" si="15"/>
        <v>2367</v>
      </c>
      <c r="X90" s="90">
        <f t="shared" si="16"/>
        <v>32470504.220000003</v>
      </c>
      <c r="Y90" s="141">
        <f t="shared" si="18"/>
        <v>81</v>
      </c>
      <c r="Z90" s="298">
        <v>17</v>
      </c>
      <c r="AA90" s="299">
        <v>17</v>
      </c>
      <c r="AB90" s="299">
        <v>81</v>
      </c>
      <c r="AC90" s="301">
        <v>2367</v>
      </c>
      <c r="AD90" s="301">
        <v>32470504.220000003</v>
      </c>
      <c r="AE90" s="126"/>
      <c r="AF90" s="298"/>
      <c r="AG90" s="299"/>
      <c r="AH90" s="299"/>
      <c r="AI90" s="301"/>
      <c r="AJ90" s="301"/>
      <c r="AK90" s="426"/>
      <c r="AL90" s="298"/>
      <c r="AM90" s="299"/>
      <c r="AN90" s="299"/>
      <c r="AO90" s="301"/>
      <c r="AP90" s="301"/>
      <c r="AQ90" s="426"/>
      <c r="AR90" s="298"/>
      <c r="AS90" s="299"/>
      <c r="AT90" s="299"/>
      <c r="AU90" s="301"/>
      <c r="AV90" s="301"/>
      <c r="AW90" s="88"/>
      <c r="AX90" s="298"/>
      <c r="AY90" s="299"/>
      <c r="AZ90" s="299"/>
      <c r="BA90" s="301"/>
      <c r="BB90" s="301"/>
      <c r="BC90" s="426"/>
      <c r="BD90" s="298"/>
      <c r="BE90" s="299"/>
      <c r="BF90" s="299"/>
      <c r="BG90" s="301"/>
      <c r="BH90" s="301"/>
      <c r="BI90" s="88"/>
      <c r="BJ90" s="298"/>
      <c r="BK90" s="299"/>
      <c r="BL90" s="299"/>
      <c r="BM90" s="301"/>
      <c r="BN90" s="301"/>
      <c r="BO90" s="88"/>
      <c r="BP90" s="9"/>
      <c r="BS90" s="81"/>
      <c r="BT90" s="81"/>
      <c r="BV90" s="9"/>
      <c r="BY90" s="81"/>
      <c r="BZ90" s="81"/>
      <c r="CB90" s="9"/>
      <c r="CE90" s="81"/>
      <c r="CF90" s="81"/>
      <c r="CH90" s="9"/>
      <c r="CK90" s="81"/>
      <c r="CL90" s="81"/>
      <c r="CR90" s="9"/>
      <c r="CS90" s="9"/>
      <c r="CT90" s="9"/>
      <c r="CU90" s="9"/>
      <c r="CV90" s="9"/>
      <c r="CW90" s="129"/>
      <c r="CX90" s="9"/>
    </row>
    <row r="91" spans="1:102">
      <c r="A91" s="6" t="str">
        <f t="shared" si="11"/>
        <v>00170876</v>
      </c>
      <c r="B91" s="6" t="s">
        <v>1667</v>
      </c>
      <c r="C91" s="6" t="s">
        <v>2084</v>
      </c>
      <c r="D91" s="6">
        <v>82</v>
      </c>
      <c r="E91" s="6">
        <v>17</v>
      </c>
      <c r="F91" s="6" t="s">
        <v>1136</v>
      </c>
      <c r="G91" s="6">
        <v>876</v>
      </c>
      <c r="H91" s="6" t="s">
        <v>1114</v>
      </c>
      <c r="I91" s="33">
        <v>2366069.8460436207</v>
      </c>
      <c r="J91" s="88">
        <v>6.8498150631441476E-2</v>
      </c>
      <c r="K91" s="89">
        <f t="shared" si="19"/>
        <v>2706355.8060910753</v>
      </c>
      <c r="L91" s="88">
        <f>IF(K94&gt;0, K91/K94, 0)</f>
        <v>7.6935684540454727E-2</v>
      </c>
      <c r="M91" s="58"/>
      <c r="N91" s="9">
        <f>ROUND(M94*L91,0)</f>
        <v>1480157</v>
      </c>
      <c r="O91" s="9">
        <v>1253165</v>
      </c>
      <c r="P91" s="9">
        <f>N91-O91</f>
        <v>226992</v>
      </c>
      <c r="Q91" s="40">
        <f t="shared" si="20"/>
        <v>18.113496626541597</v>
      </c>
      <c r="R91" s="9">
        <v>117.00000000304</v>
      </c>
      <c r="S91" s="9">
        <f t="shared" si="17"/>
        <v>131.00000000471999</v>
      </c>
      <c r="T91" s="90">
        <f t="shared" si="12"/>
        <v>17</v>
      </c>
      <c r="U91" s="90">
        <f t="shared" si="13"/>
        <v>876</v>
      </c>
      <c r="V91" s="373">
        <f t="shared" si="14"/>
        <v>82</v>
      </c>
      <c r="W91" s="90">
        <f t="shared" si="15"/>
        <v>131.00000000471999</v>
      </c>
      <c r="X91" s="90">
        <f t="shared" si="16"/>
        <v>2706355.8060910753</v>
      </c>
      <c r="Y91" s="141">
        <f t="shared" si="18"/>
        <v>82</v>
      </c>
      <c r="Z91" s="298">
        <v>17</v>
      </c>
      <c r="AA91" s="299">
        <v>876</v>
      </c>
      <c r="AB91" s="299">
        <v>82</v>
      </c>
      <c r="AC91" s="301">
        <v>131.00000000471999</v>
      </c>
      <c r="AD91" s="301">
        <v>2706355.8060910753</v>
      </c>
      <c r="AE91" s="126"/>
      <c r="AF91" s="298"/>
      <c r="AG91" s="299"/>
      <c r="AH91" s="299"/>
      <c r="AI91" s="301"/>
      <c r="AJ91" s="301"/>
      <c r="AK91" s="426"/>
      <c r="AL91" s="298"/>
      <c r="AM91" s="299"/>
      <c r="AN91" s="299"/>
      <c r="AO91" s="301"/>
      <c r="AP91" s="301"/>
      <c r="AQ91" s="426"/>
      <c r="AR91" s="298"/>
      <c r="AS91" s="299"/>
      <c r="AT91" s="299"/>
      <c r="AU91" s="301"/>
      <c r="AV91" s="301"/>
      <c r="AW91" s="88"/>
      <c r="AX91" s="298"/>
      <c r="AY91" s="299"/>
      <c r="AZ91" s="299"/>
      <c r="BA91" s="301"/>
      <c r="BB91" s="301"/>
      <c r="BC91" s="426"/>
      <c r="BD91" s="298"/>
      <c r="BE91" s="299"/>
      <c r="BF91" s="299"/>
      <c r="BG91" s="301"/>
      <c r="BH91" s="301"/>
      <c r="BI91" s="88"/>
      <c r="BJ91" s="298"/>
      <c r="BK91" s="299"/>
      <c r="BL91" s="299"/>
      <c r="BM91" s="301"/>
      <c r="BN91" s="301"/>
      <c r="BO91" s="88"/>
      <c r="BP91" s="9"/>
      <c r="BS91" s="81"/>
      <c r="BT91" s="81"/>
      <c r="BV91" s="9"/>
      <c r="BY91" s="81"/>
      <c r="BZ91" s="81"/>
      <c r="CB91" s="9"/>
      <c r="CE91" s="81"/>
      <c r="CF91" s="81"/>
      <c r="CH91" s="9"/>
      <c r="CK91" s="81"/>
      <c r="CL91" s="81"/>
      <c r="CR91" s="9"/>
      <c r="CS91" s="9"/>
      <c r="CT91" s="9"/>
      <c r="CU91" s="9"/>
      <c r="CV91" s="9"/>
      <c r="CW91" s="129"/>
      <c r="CX91" s="9"/>
    </row>
    <row r="92" spans="1:102">
      <c r="A92" s="6" t="str">
        <f t="shared" si="11"/>
        <v>00170998</v>
      </c>
      <c r="B92" s="6" t="s">
        <v>1667</v>
      </c>
      <c r="C92" s="6" t="s">
        <v>2091</v>
      </c>
      <c r="D92" s="6">
        <v>83</v>
      </c>
      <c r="E92" s="6">
        <v>17</v>
      </c>
      <c r="F92" s="6" t="s">
        <v>1547</v>
      </c>
      <c r="G92" s="6">
        <v>998</v>
      </c>
      <c r="H92" s="6" t="s">
        <v>1547</v>
      </c>
      <c r="I92" s="33">
        <v>0</v>
      </c>
      <c r="J92" s="88">
        <v>0</v>
      </c>
      <c r="K92" s="89">
        <f t="shared" si="19"/>
        <v>0</v>
      </c>
      <c r="L92" s="88">
        <f>IF(K94&gt;0, K92/K94, 0)</f>
        <v>0</v>
      </c>
      <c r="M92" s="58"/>
      <c r="N92" s="9">
        <f>ROUND(M94*L92,0)</f>
        <v>0</v>
      </c>
      <c r="O92" s="9">
        <v>0</v>
      </c>
      <c r="P92" s="9">
        <f>N92-O92</f>
        <v>0</v>
      </c>
      <c r="Q92" s="40">
        <f t="shared" si="20"/>
        <v>0</v>
      </c>
      <c r="R92" s="9">
        <v>0</v>
      </c>
      <c r="S92" s="9">
        <f t="shared" si="17"/>
        <v>0</v>
      </c>
      <c r="T92" s="90">
        <f t="shared" si="12"/>
        <v>17</v>
      </c>
      <c r="U92" s="90">
        <f t="shared" si="13"/>
        <v>998</v>
      </c>
      <c r="V92" s="373">
        <f t="shared" si="14"/>
        <v>83</v>
      </c>
      <c r="W92" s="90">
        <f t="shared" si="15"/>
        <v>0</v>
      </c>
      <c r="X92" s="90">
        <f t="shared" si="16"/>
        <v>0</v>
      </c>
      <c r="Y92" s="141">
        <f t="shared" si="18"/>
        <v>83</v>
      </c>
      <c r="Z92" s="298">
        <v>17</v>
      </c>
      <c r="AA92" s="299">
        <v>998</v>
      </c>
      <c r="AB92" s="299">
        <v>83</v>
      </c>
      <c r="AC92" s="301">
        <v>0</v>
      </c>
      <c r="AD92" s="301">
        <v>0</v>
      </c>
      <c r="AE92" s="126"/>
      <c r="AF92" s="298"/>
      <c r="AG92" s="299"/>
      <c r="AH92" s="299"/>
      <c r="AI92" s="301"/>
      <c r="AJ92" s="301"/>
      <c r="AK92" s="426"/>
      <c r="AL92" s="298"/>
      <c r="AM92" s="299"/>
      <c r="AN92" s="299"/>
      <c r="AO92" s="301"/>
      <c r="AP92" s="301"/>
      <c r="AQ92" s="426"/>
      <c r="AR92" s="298"/>
      <c r="AS92" s="299"/>
      <c r="AT92" s="299"/>
      <c r="AU92" s="301"/>
      <c r="AV92" s="301"/>
      <c r="AW92" s="88"/>
      <c r="AX92" s="298"/>
      <c r="AY92" s="299"/>
      <c r="AZ92" s="299"/>
      <c r="BA92" s="301"/>
      <c r="BB92" s="301"/>
      <c r="BC92" s="426"/>
      <c r="BD92" s="298"/>
      <c r="BE92" s="299"/>
      <c r="BF92" s="299"/>
      <c r="BG92" s="301"/>
      <c r="BH92" s="301"/>
      <c r="BI92" s="88"/>
      <c r="BJ92" s="298"/>
      <c r="BK92" s="299"/>
      <c r="BL92" s="299"/>
      <c r="BM92" s="301"/>
      <c r="BN92" s="301"/>
      <c r="BO92" s="88"/>
      <c r="BP92" s="9"/>
      <c r="BS92" s="81"/>
      <c r="BT92" s="81"/>
      <c r="BV92" s="9"/>
      <c r="BY92" s="81"/>
      <c r="BZ92" s="81"/>
      <c r="CB92" s="9"/>
      <c r="CE92" s="81"/>
      <c r="CF92" s="81"/>
      <c r="CH92" s="9"/>
      <c r="CK92" s="81"/>
      <c r="CL92" s="81"/>
      <c r="CR92" s="9"/>
      <c r="CS92" s="9"/>
      <c r="CT92" s="9"/>
      <c r="CU92" s="9"/>
      <c r="CV92" s="9"/>
      <c r="CW92" s="129"/>
      <c r="CX92" s="9"/>
    </row>
    <row r="93" spans="1:102">
      <c r="A93" s="6" t="str">
        <f t="shared" si="11"/>
        <v>00170998</v>
      </c>
      <c r="B93" s="6" t="s">
        <v>1667</v>
      </c>
      <c r="C93" s="6" t="s">
        <v>2091</v>
      </c>
      <c r="D93" s="6">
        <v>84</v>
      </c>
      <c r="E93" s="6">
        <v>17</v>
      </c>
      <c r="F93" s="6" t="s">
        <v>1547</v>
      </c>
      <c r="G93" s="6">
        <v>998</v>
      </c>
      <c r="H93" s="6" t="s">
        <v>1547</v>
      </c>
      <c r="I93" s="33">
        <v>0</v>
      </c>
      <c r="J93" s="88">
        <v>0</v>
      </c>
      <c r="K93" s="89">
        <f t="shared" si="19"/>
        <v>0</v>
      </c>
      <c r="L93" s="88">
        <f>IF(K94&gt;0, K93/K94, 0)</f>
        <v>0</v>
      </c>
      <c r="M93" s="58"/>
      <c r="N93" s="9">
        <f>ROUND(M94*L93,0)</f>
        <v>0</v>
      </c>
      <c r="O93" s="9">
        <v>0</v>
      </c>
      <c r="P93" s="9">
        <f>N93-O93</f>
        <v>0</v>
      </c>
      <c r="Q93" s="40">
        <f t="shared" si="20"/>
        <v>0</v>
      </c>
      <c r="R93" s="9">
        <v>0</v>
      </c>
      <c r="S93" s="9">
        <f t="shared" si="17"/>
        <v>0</v>
      </c>
      <c r="T93" s="90">
        <f t="shared" si="12"/>
        <v>17</v>
      </c>
      <c r="U93" s="90">
        <f t="shared" si="13"/>
        <v>998</v>
      </c>
      <c r="V93" s="373">
        <f t="shared" si="14"/>
        <v>84</v>
      </c>
      <c r="W93" s="90">
        <f t="shared" si="15"/>
        <v>0</v>
      </c>
      <c r="X93" s="90">
        <f t="shared" si="16"/>
        <v>0</v>
      </c>
      <c r="Y93" s="141">
        <f t="shared" si="18"/>
        <v>84</v>
      </c>
      <c r="Z93" s="298">
        <v>17</v>
      </c>
      <c r="AA93" s="299">
        <v>998</v>
      </c>
      <c r="AB93" s="299">
        <v>84</v>
      </c>
      <c r="AC93" s="301">
        <v>0</v>
      </c>
      <c r="AD93" s="301">
        <v>0</v>
      </c>
      <c r="AE93" s="126"/>
      <c r="AF93" s="298"/>
      <c r="AG93" s="299"/>
      <c r="AH93" s="299"/>
      <c r="AI93" s="301"/>
      <c r="AJ93" s="301"/>
      <c r="AK93" s="426"/>
      <c r="AL93" s="298"/>
      <c r="AM93" s="299"/>
      <c r="AN93" s="299"/>
      <c r="AO93" s="301"/>
      <c r="AP93" s="301"/>
      <c r="AQ93" s="426"/>
      <c r="AR93" s="298"/>
      <c r="AS93" s="299"/>
      <c r="AT93" s="299"/>
      <c r="AU93" s="301"/>
      <c r="AV93" s="301"/>
      <c r="AW93" s="88"/>
      <c r="AX93" s="298"/>
      <c r="AY93" s="299"/>
      <c r="AZ93" s="299"/>
      <c r="BA93" s="301"/>
      <c r="BB93" s="301"/>
      <c r="BC93" s="426"/>
      <c r="BD93" s="298"/>
      <c r="BE93" s="299"/>
      <c r="BF93" s="299"/>
      <c r="BG93" s="301"/>
      <c r="BH93" s="301"/>
      <c r="BI93" s="88"/>
      <c r="BJ93" s="298"/>
      <c r="BK93" s="299"/>
      <c r="BL93" s="299"/>
      <c r="BM93" s="301"/>
      <c r="BN93" s="301"/>
      <c r="BO93" s="88"/>
      <c r="BP93" s="9"/>
      <c r="BS93" s="81"/>
      <c r="BT93" s="81"/>
      <c r="BV93" s="9"/>
      <c r="BY93" s="81"/>
      <c r="BZ93" s="81"/>
      <c r="CB93" s="9"/>
      <c r="CE93" s="81"/>
      <c r="CF93" s="81"/>
      <c r="CH93" s="9"/>
      <c r="CK93" s="81"/>
      <c r="CL93" s="81"/>
      <c r="CR93" s="9"/>
      <c r="CS93" s="9"/>
      <c r="CT93" s="9"/>
      <c r="CU93" s="9"/>
      <c r="CV93" s="9"/>
      <c r="CW93" s="129"/>
      <c r="CX93" s="9"/>
    </row>
    <row r="94" spans="1:102">
      <c r="A94" s="6" t="str">
        <f t="shared" si="11"/>
        <v>00170999</v>
      </c>
      <c r="B94" s="6" t="s">
        <v>1667</v>
      </c>
      <c r="C94" s="6" t="s">
        <v>2092</v>
      </c>
      <c r="D94" s="6">
        <v>85</v>
      </c>
      <c r="E94" s="10">
        <v>17</v>
      </c>
      <c r="F94" s="10" t="s">
        <v>1136</v>
      </c>
      <c r="G94" s="10">
        <v>999</v>
      </c>
      <c r="H94" s="10" t="s">
        <v>593</v>
      </c>
      <c r="I94" s="92">
        <v>34542098.206043623</v>
      </c>
      <c r="J94" s="472">
        <v>0.99999999999999989</v>
      </c>
      <c r="K94" s="53">
        <f>SUM(K90:K93)</f>
        <v>35176860.026091076</v>
      </c>
      <c r="L94" s="91">
        <f>SUM(L90:L93)</f>
        <v>1</v>
      </c>
      <c r="M94" s="79">
        <f>VLOOKUP(E94,town351,24)</f>
        <v>19238888</v>
      </c>
      <c r="N94" s="79">
        <f>SUM(N90:N93)</f>
        <v>19238888</v>
      </c>
      <c r="O94" s="79">
        <v>18294872</v>
      </c>
      <c r="P94" s="79">
        <f>SUM(P90:P93)</f>
        <v>944016</v>
      </c>
      <c r="Q94" s="39">
        <f t="shared" si="20"/>
        <v>5.1600033058443922</v>
      </c>
      <c r="R94" s="9">
        <v>2539.00000000304</v>
      </c>
      <c r="S94" s="9">
        <f t="shared" si="17"/>
        <v>2498.0000000047198</v>
      </c>
      <c r="T94" s="90">
        <f t="shared" si="12"/>
        <v>17</v>
      </c>
      <c r="U94" s="90">
        <f t="shared" si="13"/>
        <v>999</v>
      </c>
      <c r="V94" s="373">
        <f t="shared" si="14"/>
        <v>85</v>
      </c>
      <c r="W94" s="90">
        <f t="shared" si="15"/>
        <v>2498.0000000047198</v>
      </c>
      <c r="X94" s="90">
        <f t="shared" si="16"/>
        <v>35176860.026091076</v>
      </c>
      <c r="Y94" s="141">
        <f t="shared" si="18"/>
        <v>85</v>
      </c>
      <c r="Z94" s="298">
        <v>17</v>
      </c>
      <c r="AA94" s="299">
        <v>999</v>
      </c>
      <c r="AB94" s="299">
        <v>85</v>
      </c>
      <c r="AC94" s="301">
        <v>2498.0000000047198</v>
      </c>
      <c r="AD94" s="301">
        <v>35176860.026091076</v>
      </c>
      <c r="AE94" s="126"/>
      <c r="AF94" s="298"/>
      <c r="AG94" s="299"/>
      <c r="AH94" s="299"/>
      <c r="AI94" s="301"/>
      <c r="AJ94" s="301"/>
      <c r="AK94" s="426"/>
      <c r="AL94" s="298"/>
      <c r="AM94" s="299"/>
      <c r="AN94" s="299"/>
      <c r="AO94" s="301"/>
      <c r="AP94" s="301"/>
      <c r="AQ94" s="426"/>
      <c r="AR94" s="298"/>
      <c r="AS94" s="299"/>
      <c r="AT94" s="299"/>
      <c r="AU94" s="301"/>
      <c r="AV94" s="301"/>
      <c r="AW94" s="91"/>
      <c r="AX94" s="298"/>
      <c r="AY94" s="299"/>
      <c r="AZ94" s="299"/>
      <c r="BA94" s="301"/>
      <c r="BB94" s="301"/>
      <c r="BC94" s="426"/>
      <c r="BD94" s="298"/>
      <c r="BE94" s="299"/>
      <c r="BF94" s="299"/>
      <c r="BG94" s="301"/>
      <c r="BH94" s="301"/>
      <c r="BI94" s="91"/>
      <c r="BJ94" s="298"/>
      <c r="BK94" s="299"/>
      <c r="BL94" s="299"/>
      <c r="BM94" s="301"/>
      <c r="BN94" s="301"/>
      <c r="BO94" s="91"/>
      <c r="BP94" s="9"/>
      <c r="BS94" s="81"/>
      <c r="BT94" s="81"/>
      <c r="BV94" s="9"/>
      <c r="BY94" s="81"/>
      <c r="BZ94" s="81"/>
      <c r="CB94" s="9"/>
      <c r="CE94" s="81"/>
      <c r="CF94" s="81"/>
      <c r="CH94" s="9"/>
      <c r="CK94" s="81"/>
      <c r="CL94" s="81"/>
      <c r="CR94" s="9"/>
      <c r="CS94" s="9"/>
      <c r="CT94" s="9"/>
      <c r="CU94" s="9"/>
      <c r="CV94" s="9"/>
      <c r="CW94" s="129"/>
      <c r="CX94" s="9"/>
    </row>
    <row r="95" spans="1:102">
      <c r="A95" s="6" t="str">
        <f t="shared" si="11"/>
        <v>00180018</v>
      </c>
      <c r="B95" s="6" t="s">
        <v>1668</v>
      </c>
      <c r="C95" s="6" t="s">
        <v>1668</v>
      </c>
      <c r="D95" s="6">
        <v>86</v>
      </c>
      <c r="E95" s="6">
        <v>18</v>
      </c>
      <c r="F95" s="6" t="s">
        <v>1137</v>
      </c>
      <c r="G95" s="6">
        <v>18</v>
      </c>
      <c r="H95" s="6" t="s">
        <v>699</v>
      </c>
      <c r="I95" s="33">
        <v>9536788.9200000018</v>
      </c>
      <c r="J95" s="88">
        <v>0.89554374588398411</v>
      </c>
      <c r="K95" s="89">
        <f>X95</f>
        <v>9514711.5199999996</v>
      </c>
      <c r="L95" s="88">
        <f>IF(K99&gt;0, K95/K99, 0)</f>
        <v>0.89913024582213574</v>
      </c>
      <c r="M95" s="58"/>
      <c r="N95" s="9">
        <f>ROUND(M99*L95,0)</f>
        <v>5674808</v>
      </c>
      <c r="O95" s="9">
        <v>5390722</v>
      </c>
      <c r="P95" s="9">
        <f>N95-O95</f>
        <v>284086</v>
      </c>
      <c r="Q95" s="40">
        <f t="shared" si="20"/>
        <v>5.269906331656502</v>
      </c>
      <c r="R95" s="9">
        <v>586</v>
      </c>
      <c r="S95" s="9">
        <f t="shared" si="17"/>
        <v>572</v>
      </c>
      <c r="T95" s="90">
        <f t="shared" si="12"/>
        <v>18</v>
      </c>
      <c r="U95" s="90">
        <f t="shared" si="13"/>
        <v>18</v>
      </c>
      <c r="V95" s="373">
        <f t="shared" si="14"/>
        <v>86</v>
      </c>
      <c r="W95" s="90">
        <f t="shared" si="15"/>
        <v>572</v>
      </c>
      <c r="X95" s="90">
        <f t="shared" si="16"/>
        <v>9514711.5199999996</v>
      </c>
      <c r="Y95" s="141">
        <f t="shared" si="18"/>
        <v>86</v>
      </c>
      <c r="Z95" s="298">
        <v>18</v>
      </c>
      <c r="AA95" s="299">
        <v>18</v>
      </c>
      <c r="AB95" s="299">
        <v>86</v>
      </c>
      <c r="AC95" s="301">
        <v>572</v>
      </c>
      <c r="AD95" s="301">
        <v>9514711.5199999996</v>
      </c>
      <c r="AE95" s="126"/>
      <c r="AF95" s="298"/>
      <c r="AG95" s="299"/>
      <c r="AH95" s="299"/>
      <c r="AI95" s="301"/>
      <c r="AJ95" s="301"/>
      <c r="AK95" s="426"/>
      <c r="AL95" s="298"/>
      <c r="AM95" s="299"/>
      <c r="AN95" s="299"/>
      <c r="AO95" s="301"/>
      <c r="AP95" s="301"/>
      <c r="AQ95" s="426"/>
      <c r="AR95" s="298"/>
      <c r="AS95" s="299"/>
      <c r="AT95" s="299"/>
      <c r="AU95" s="301"/>
      <c r="AV95" s="301"/>
      <c r="AW95" s="88"/>
      <c r="AX95" s="298"/>
      <c r="AY95" s="299"/>
      <c r="AZ95" s="299"/>
      <c r="BA95" s="301"/>
      <c r="BB95" s="301"/>
      <c r="BC95" s="426"/>
      <c r="BD95" s="298"/>
      <c r="BE95" s="299"/>
      <c r="BF95" s="299"/>
      <c r="BG95" s="301"/>
      <c r="BH95" s="301"/>
      <c r="BI95" s="88"/>
      <c r="BJ95" s="298"/>
      <c r="BK95" s="299"/>
      <c r="BL95" s="299"/>
      <c r="BM95" s="301"/>
      <c r="BN95" s="301"/>
      <c r="BO95" s="88"/>
      <c r="BP95" s="9"/>
      <c r="BS95" s="81"/>
      <c r="BT95" s="81"/>
      <c r="BV95" s="9"/>
      <c r="BY95" s="81"/>
      <c r="BZ95" s="81"/>
      <c r="CB95" s="9"/>
      <c r="CE95" s="81"/>
      <c r="CF95" s="81"/>
      <c r="CH95" s="9"/>
      <c r="CK95" s="81"/>
      <c r="CL95" s="81"/>
      <c r="CR95" s="9"/>
      <c r="CS95" s="9"/>
      <c r="CT95" s="9"/>
      <c r="CU95" s="9"/>
      <c r="CV95" s="9"/>
      <c r="CW95" s="129"/>
      <c r="CX95" s="9"/>
    </row>
    <row r="96" spans="1:102">
      <c r="A96" s="6" t="str">
        <f t="shared" si="11"/>
        <v>00180806</v>
      </c>
      <c r="B96" s="6" t="s">
        <v>1668</v>
      </c>
      <c r="C96" s="6" t="s">
        <v>2064</v>
      </c>
      <c r="D96" s="6">
        <v>87</v>
      </c>
      <c r="E96" s="6">
        <v>18</v>
      </c>
      <c r="F96" s="6" t="s">
        <v>1137</v>
      </c>
      <c r="G96" s="6">
        <v>806</v>
      </c>
      <c r="H96" s="6" t="s">
        <v>1094</v>
      </c>
      <c r="I96" s="33">
        <v>1090844.7131462945</v>
      </c>
      <c r="J96" s="88">
        <v>0.10243480995370216</v>
      </c>
      <c r="K96" s="89">
        <f t="shared" si="19"/>
        <v>1045392.6972575741</v>
      </c>
      <c r="L96" s="88">
        <f>IF(K99&gt;0, K96/K99, 0)</f>
        <v>9.8788511968029499E-2</v>
      </c>
      <c r="M96" s="58"/>
      <c r="N96" s="9">
        <f>ROUND(M99*L96,0)</f>
        <v>623498</v>
      </c>
      <c r="O96" s="9">
        <v>616606</v>
      </c>
      <c r="P96" s="9">
        <f>N96-O96</f>
        <v>6892</v>
      </c>
      <c r="Q96" s="40">
        <f t="shared" si="20"/>
        <v>1.117731582242145</v>
      </c>
      <c r="R96" s="9">
        <v>49.999999996250004</v>
      </c>
      <c r="S96" s="9">
        <f t="shared" si="17"/>
        <v>46.99999999616</v>
      </c>
      <c r="T96" s="90">
        <f t="shared" si="12"/>
        <v>18</v>
      </c>
      <c r="U96" s="90">
        <f t="shared" si="13"/>
        <v>806</v>
      </c>
      <c r="V96" s="373">
        <f t="shared" si="14"/>
        <v>87</v>
      </c>
      <c r="W96" s="90">
        <f t="shared" si="15"/>
        <v>46.99999999616</v>
      </c>
      <c r="X96" s="90">
        <f t="shared" si="16"/>
        <v>1045392.6972575741</v>
      </c>
      <c r="Y96" s="141">
        <f t="shared" si="18"/>
        <v>87</v>
      </c>
      <c r="Z96" s="298">
        <v>18</v>
      </c>
      <c r="AA96" s="299">
        <v>806</v>
      </c>
      <c r="AB96" s="299">
        <v>87</v>
      </c>
      <c r="AC96" s="301">
        <v>46.99999999616</v>
      </c>
      <c r="AD96" s="301">
        <v>1045392.6972575741</v>
      </c>
      <c r="AE96" s="126"/>
      <c r="AF96" s="298"/>
      <c r="AG96" s="299"/>
      <c r="AH96" s="299"/>
      <c r="AI96" s="301"/>
      <c r="AJ96" s="301"/>
      <c r="AK96" s="426"/>
      <c r="AL96" s="298"/>
      <c r="AM96" s="299"/>
      <c r="AN96" s="299"/>
      <c r="AO96" s="301"/>
      <c r="AP96" s="301"/>
      <c r="AQ96" s="426"/>
      <c r="AR96" s="298"/>
      <c r="AS96" s="299"/>
      <c r="AT96" s="299"/>
      <c r="AU96" s="301"/>
      <c r="AV96" s="301"/>
      <c r="AW96" s="88"/>
      <c r="AX96" s="298"/>
      <c r="AY96" s="299"/>
      <c r="AZ96" s="299"/>
      <c r="BA96" s="301"/>
      <c r="BB96" s="301"/>
      <c r="BC96" s="426"/>
      <c r="BD96" s="298"/>
      <c r="BE96" s="299"/>
      <c r="BF96" s="299"/>
      <c r="BG96" s="301"/>
      <c r="BH96" s="301"/>
      <c r="BI96" s="88"/>
      <c r="BJ96" s="298"/>
      <c r="BK96" s="299"/>
      <c r="BL96" s="299"/>
      <c r="BM96" s="301"/>
      <c r="BN96" s="301"/>
      <c r="BO96" s="88"/>
      <c r="BP96" s="9"/>
      <c r="BS96" s="81"/>
      <c r="BT96" s="81"/>
      <c r="BV96" s="9"/>
      <c r="BY96" s="81"/>
      <c r="BZ96" s="81"/>
      <c r="CB96" s="9"/>
      <c r="CE96" s="81"/>
      <c r="CF96" s="81"/>
      <c r="CH96" s="9"/>
      <c r="CK96" s="81"/>
      <c r="CL96" s="81"/>
      <c r="CR96" s="9"/>
      <c r="CS96" s="9"/>
      <c r="CT96" s="9"/>
      <c r="CU96" s="9"/>
      <c r="CV96" s="9"/>
      <c r="CW96" s="129"/>
      <c r="CX96" s="9"/>
    </row>
    <row r="97" spans="1:102">
      <c r="A97" s="6" t="str">
        <f t="shared" si="11"/>
        <v>00180915</v>
      </c>
      <c r="B97" s="6" t="s">
        <v>1668</v>
      </c>
      <c r="C97" s="6" t="s">
        <v>2089</v>
      </c>
      <c r="D97" s="6">
        <v>88</v>
      </c>
      <c r="E97" s="6">
        <v>18</v>
      </c>
      <c r="F97" s="6" t="s">
        <v>1137</v>
      </c>
      <c r="G97" s="6">
        <v>915</v>
      </c>
      <c r="H97" s="6" t="s">
        <v>1119</v>
      </c>
      <c r="I97" s="33">
        <v>21526.682954523571</v>
      </c>
      <c r="J97" s="88">
        <v>2.0214441623135921E-3</v>
      </c>
      <c r="K97" s="89">
        <f t="shared" si="19"/>
        <v>22023.971857067027</v>
      </c>
      <c r="L97" s="88">
        <f>IF(K99&gt;0, K97/K99, 0)</f>
        <v>2.0812422098347E-3</v>
      </c>
      <c r="M97" s="58"/>
      <c r="N97" s="9">
        <f>ROUND(M99*L97,0)</f>
        <v>13136</v>
      </c>
      <c r="O97" s="9">
        <v>12168</v>
      </c>
      <c r="P97" s="9">
        <f>N97-O97</f>
        <v>968</v>
      </c>
      <c r="Q97" s="40">
        <f t="shared" si="20"/>
        <v>7.9552925706771864</v>
      </c>
      <c r="R97" s="9">
        <v>1.00000000001</v>
      </c>
      <c r="S97" s="9">
        <f t="shared" si="17"/>
        <v>0.99999999888000002</v>
      </c>
      <c r="T97" s="90">
        <f t="shared" si="12"/>
        <v>18</v>
      </c>
      <c r="U97" s="90">
        <f t="shared" si="13"/>
        <v>915</v>
      </c>
      <c r="V97" s="373">
        <f t="shared" si="14"/>
        <v>88</v>
      </c>
      <c r="W97" s="90">
        <f t="shared" si="15"/>
        <v>0.99999999888000002</v>
      </c>
      <c r="X97" s="90">
        <f t="shared" si="16"/>
        <v>22023.971857067027</v>
      </c>
      <c r="Y97" s="141">
        <f t="shared" si="18"/>
        <v>88</v>
      </c>
      <c r="Z97" s="298">
        <v>18</v>
      </c>
      <c r="AA97" s="299">
        <v>915</v>
      </c>
      <c r="AB97" s="299">
        <v>88</v>
      </c>
      <c r="AC97" s="301">
        <v>0.99999999888000002</v>
      </c>
      <c r="AD97" s="301">
        <v>22023.971857067027</v>
      </c>
      <c r="AE97" s="126"/>
      <c r="AF97" s="298"/>
      <c r="AG97" s="299"/>
      <c r="AH97" s="299"/>
      <c r="AI97" s="301"/>
      <c r="AJ97" s="301"/>
      <c r="AK97" s="426"/>
      <c r="AL97" s="298"/>
      <c r="AM97" s="299"/>
      <c r="AN97" s="299"/>
      <c r="AO97" s="301"/>
      <c r="AP97" s="301"/>
      <c r="AQ97" s="426"/>
      <c r="AR97" s="298"/>
      <c r="AS97" s="299"/>
      <c r="AT97" s="299"/>
      <c r="AU97" s="301"/>
      <c r="AV97" s="301"/>
      <c r="AW97" s="88"/>
      <c r="AX97" s="298"/>
      <c r="AY97" s="299"/>
      <c r="AZ97" s="299"/>
      <c r="BA97" s="301"/>
      <c r="BB97" s="301"/>
      <c r="BC97" s="426"/>
      <c r="BD97" s="298"/>
      <c r="BE97" s="299"/>
      <c r="BF97" s="299"/>
      <c r="BG97" s="301"/>
      <c r="BH97" s="301"/>
      <c r="BI97" s="88"/>
      <c r="BJ97" s="298"/>
      <c r="BK97" s="299"/>
      <c r="BL97" s="299"/>
      <c r="BM97" s="301"/>
      <c r="BN97" s="301"/>
      <c r="BO97" s="88"/>
      <c r="BP97" s="9"/>
      <c r="BS97" s="81"/>
      <c r="BT97" s="81"/>
      <c r="BV97" s="9"/>
      <c r="BY97" s="81"/>
      <c r="BZ97" s="81"/>
      <c r="CB97" s="9"/>
      <c r="CE97" s="81"/>
      <c r="CF97" s="81"/>
      <c r="CH97" s="9"/>
      <c r="CK97" s="81"/>
      <c r="CL97" s="81"/>
      <c r="CR97" s="9"/>
      <c r="CS97" s="9"/>
      <c r="CT97" s="9"/>
      <c r="CU97" s="9"/>
      <c r="CV97" s="9"/>
      <c r="CW97" s="129"/>
      <c r="CX97" s="9"/>
    </row>
    <row r="98" spans="1:102">
      <c r="A98" s="6" t="str">
        <f t="shared" si="11"/>
        <v>00180998</v>
      </c>
      <c r="B98" s="6" t="s">
        <v>1668</v>
      </c>
      <c r="C98" s="6" t="s">
        <v>2091</v>
      </c>
      <c r="D98" s="6">
        <v>89</v>
      </c>
      <c r="E98" s="6">
        <v>18</v>
      </c>
      <c r="F98" s="6" t="s">
        <v>1547</v>
      </c>
      <c r="G98" s="6">
        <v>998</v>
      </c>
      <c r="H98" s="6" t="s">
        <v>1547</v>
      </c>
      <c r="I98" s="33">
        <v>0</v>
      </c>
      <c r="J98" s="88">
        <v>0</v>
      </c>
      <c r="K98" s="89">
        <f t="shared" si="19"/>
        <v>0</v>
      </c>
      <c r="L98" s="88">
        <f>IF(K99&gt;0, K98/K99, 0)</f>
        <v>0</v>
      </c>
      <c r="M98" s="58"/>
      <c r="N98" s="9">
        <f>ROUND(M99*L98,0)</f>
        <v>0</v>
      </c>
      <c r="O98" s="9">
        <v>0</v>
      </c>
      <c r="P98" s="9">
        <f>N98-O98</f>
        <v>0</v>
      </c>
      <c r="Q98" s="40">
        <f t="shared" si="20"/>
        <v>0</v>
      </c>
      <c r="R98" s="9">
        <v>0</v>
      </c>
      <c r="S98" s="9">
        <f t="shared" si="17"/>
        <v>0</v>
      </c>
      <c r="T98" s="90">
        <f t="shared" si="12"/>
        <v>18</v>
      </c>
      <c r="U98" s="90">
        <f t="shared" si="13"/>
        <v>998</v>
      </c>
      <c r="V98" s="373">
        <f t="shared" si="14"/>
        <v>89</v>
      </c>
      <c r="W98" s="90">
        <f t="shared" si="15"/>
        <v>0</v>
      </c>
      <c r="X98" s="90">
        <f t="shared" si="16"/>
        <v>0</v>
      </c>
      <c r="Y98" s="141">
        <f t="shared" si="18"/>
        <v>89</v>
      </c>
      <c r="Z98" s="298">
        <v>18</v>
      </c>
      <c r="AA98" s="299">
        <v>998</v>
      </c>
      <c r="AB98" s="299">
        <v>89</v>
      </c>
      <c r="AC98" s="301">
        <v>0</v>
      </c>
      <c r="AD98" s="301">
        <v>0</v>
      </c>
      <c r="AE98" s="126"/>
      <c r="AF98" s="298"/>
      <c r="AG98" s="299"/>
      <c r="AH98" s="299"/>
      <c r="AI98" s="301"/>
      <c r="AJ98" s="301"/>
      <c r="AK98" s="426"/>
      <c r="AL98" s="298"/>
      <c r="AM98" s="299"/>
      <c r="AN98" s="299"/>
      <c r="AO98" s="301"/>
      <c r="AP98" s="301"/>
      <c r="AQ98" s="426"/>
      <c r="AR98" s="298"/>
      <c r="AS98" s="299"/>
      <c r="AT98" s="299"/>
      <c r="AU98" s="301"/>
      <c r="AV98" s="301"/>
      <c r="AW98" s="88"/>
      <c r="AX98" s="298"/>
      <c r="AY98" s="299"/>
      <c r="AZ98" s="299"/>
      <c r="BA98" s="301"/>
      <c r="BB98" s="301"/>
      <c r="BC98" s="426"/>
      <c r="BD98" s="298"/>
      <c r="BE98" s="299"/>
      <c r="BF98" s="299"/>
      <c r="BG98" s="301"/>
      <c r="BH98" s="301"/>
      <c r="BI98" s="88"/>
      <c r="BJ98" s="298"/>
      <c r="BK98" s="299"/>
      <c r="BL98" s="299"/>
      <c r="BM98" s="301"/>
      <c r="BN98" s="301"/>
      <c r="BO98" s="88"/>
      <c r="BP98" s="9"/>
      <c r="BS98" s="81"/>
      <c r="BT98" s="81"/>
      <c r="BV98" s="9"/>
      <c r="BY98" s="81"/>
      <c r="BZ98" s="81"/>
      <c r="CB98" s="9"/>
      <c r="CE98" s="81"/>
      <c r="CF98" s="81"/>
      <c r="CH98" s="9"/>
      <c r="CK98" s="81"/>
      <c r="CL98" s="81"/>
      <c r="CR98" s="9"/>
      <c r="CS98" s="9"/>
      <c r="CT98" s="9"/>
      <c r="CU98" s="9"/>
      <c r="CV98" s="9"/>
      <c r="CW98" s="129"/>
      <c r="CX98" s="9"/>
    </row>
    <row r="99" spans="1:102">
      <c r="A99" s="6" t="str">
        <f t="shared" si="11"/>
        <v>00180999</v>
      </c>
      <c r="B99" s="6" t="s">
        <v>1668</v>
      </c>
      <c r="C99" s="6" t="s">
        <v>2092</v>
      </c>
      <c r="D99" s="6">
        <v>90</v>
      </c>
      <c r="E99" s="10">
        <v>18</v>
      </c>
      <c r="F99" s="10" t="s">
        <v>1137</v>
      </c>
      <c r="G99" s="10">
        <v>999</v>
      </c>
      <c r="H99" s="10" t="s">
        <v>593</v>
      </c>
      <c r="I99" s="92">
        <v>10649160.316100821</v>
      </c>
      <c r="J99" s="472">
        <v>0.99999999999999989</v>
      </c>
      <c r="K99" s="53">
        <f>SUM(K95:K98)</f>
        <v>10582128.189114641</v>
      </c>
      <c r="L99" s="91">
        <f>SUM(L95:L98)</f>
        <v>1</v>
      </c>
      <c r="M99" s="79">
        <f>VLOOKUP(E99,town351,24)</f>
        <v>6311442</v>
      </c>
      <c r="N99" s="79">
        <f>SUM(N95:N98)</f>
        <v>6311442</v>
      </c>
      <c r="O99" s="79">
        <v>6019496</v>
      </c>
      <c r="P99" s="79">
        <f>SUM(P95:P98)</f>
        <v>291946</v>
      </c>
      <c r="Q99" s="39">
        <f t="shared" si="20"/>
        <v>4.8500073760328108</v>
      </c>
      <c r="R99" s="9">
        <v>636.99999999626004</v>
      </c>
      <c r="S99" s="9">
        <f t="shared" si="17"/>
        <v>619.99999999503996</v>
      </c>
      <c r="T99" s="90">
        <f t="shared" si="12"/>
        <v>18</v>
      </c>
      <c r="U99" s="90">
        <f t="shared" si="13"/>
        <v>999</v>
      </c>
      <c r="V99" s="373">
        <f t="shared" si="14"/>
        <v>90</v>
      </c>
      <c r="W99" s="90">
        <f t="shared" si="15"/>
        <v>619.99999999503996</v>
      </c>
      <c r="X99" s="90">
        <f t="shared" si="16"/>
        <v>10582128.189114641</v>
      </c>
      <c r="Y99" s="141">
        <f t="shared" si="18"/>
        <v>90</v>
      </c>
      <c r="Z99" s="298">
        <v>18</v>
      </c>
      <c r="AA99" s="299">
        <v>999</v>
      </c>
      <c r="AB99" s="299">
        <v>90</v>
      </c>
      <c r="AC99" s="301">
        <v>619.99999999503996</v>
      </c>
      <c r="AD99" s="301">
        <v>10582128.189114641</v>
      </c>
      <c r="AE99" s="126"/>
      <c r="AF99" s="298"/>
      <c r="AG99" s="299"/>
      <c r="AH99" s="299"/>
      <c r="AI99" s="301"/>
      <c r="AJ99" s="301"/>
      <c r="AK99" s="426"/>
      <c r="AL99" s="298"/>
      <c r="AM99" s="299"/>
      <c r="AN99" s="299"/>
      <c r="AO99" s="301"/>
      <c r="AP99" s="301"/>
      <c r="AQ99" s="426"/>
      <c r="AR99" s="298"/>
      <c r="AS99" s="299"/>
      <c r="AT99" s="299"/>
      <c r="AU99" s="301"/>
      <c r="AV99" s="301"/>
      <c r="AW99" s="91"/>
      <c r="AX99" s="298"/>
      <c r="AY99" s="299"/>
      <c r="AZ99" s="299"/>
      <c r="BA99" s="301"/>
      <c r="BB99" s="301"/>
      <c r="BC99" s="426"/>
      <c r="BD99" s="298"/>
      <c r="BE99" s="299"/>
      <c r="BF99" s="299"/>
      <c r="BG99" s="301"/>
      <c r="BH99" s="301"/>
      <c r="BI99" s="91"/>
      <c r="BJ99" s="298"/>
      <c r="BK99" s="299"/>
      <c r="BL99" s="299"/>
      <c r="BM99" s="301"/>
      <c r="BN99" s="301"/>
      <c r="BO99" s="91"/>
      <c r="BP99" s="9"/>
      <c r="BS99" s="81"/>
      <c r="BT99" s="81"/>
      <c r="BV99" s="9"/>
      <c r="BY99" s="81"/>
      <c r="BZ99" s="81"/>
      <c r="CB99" s="9"/>
      <c r="CE99" s="81"/>
      <c r="CF99" s="81"/>
      <c r="CH99" s="9"/>
      <c r="CK99" s="81"/>
      <c r="CL99" s="81"/>
      <c r="CR99" s="9"/>
      <c r="CS99" s="9"/>
      <c r="CT99" s="9"/>
      <c r="CU99" s="9"/>
      <c r="CV99" s="9"/>
      <c r="CW99" s="129"/>
      <c r="CX99" s="9"/>
    </row>
    <row r="100" spans="1:102">
      <c r="A100" s="6" t="str">
        <f t="shared" si="11"/>
        <v>00190019</v>
      </c>
      <c r="B100" s="6" t="s">
        <v>1669</v>
      </c>
      <c r="C100" s="6" t="s">
        <v>1669</v>
      </c>
      <c r="D100" s="6">
        <v>91</v>
      </c>
      <c r="E100" s="6">
        <v>19</v>
      </c>
      <c r="F100" s="6" t="s">
        <v>1138</v>
      </c>
      <c r="G100" s="6">
        <v>19</v>
      </c>
      <c r="H100" s="6" t="s">
        <v>700</v>
      </c>
      <c r="I100" s="33">
        <v>0</v>
      </c>
      <c r="J100" s="88">
        <v>0</v>
      </c>
      <c r="K100" s="89">
        <f>X100</f>
        <v>0</v>
      </c>
      <c r="L100" s="88">
        <f>IF(K104&gt;0, K100/K104, 0)</f>
        <v>0</v>
      </c>
      <c r="M100" s="58"/>
      <c r="N100" s="9">
        <f>ROUND(M104*L100,0)</f>
        <v>0</v>
      </c>
      <c r="O100" s="9">
        <v>0</v>
      </c>
      <c r="P100" s="9">
        <f>N100-O100</f>
        <v>0</v>
      </c>
      <c r="Q100" s="40">
        <f t="shared" si="20"/>
        <v>0</v>
      </c>
      <c r="R100" s="9">
        <v>0</v>
      </c>
      <c r="S100" s="9">
        <f t="shared" si="17"/>
        <v>0</v>
      </c>
      <c r="T100" s="90">
        <f t="shared" si="12"/>
        <v>19</v>
      </c>
      <c r="U100" s="90">
        <f t="shared" si="13"/>
        <v>19</v>
      </c>
      <c r="V100" s="373">
        <f t="shared" si="14"/>
        <v>91</v>
      </c>
      <c r="W100" s="90">
        <f t="shared" si="15"/>
        <v>0</v>
      </c>
      <c r="X100" s="90">
        <f t="shared" si="16"/>
        <v>0</v>
      </c>
      <c r="Y100" s="141">
        <f t="shared" si="18"/>
        <v>91</v>
      </c>
      <c r="Z100" s="298">
        <v>19</v>
      </c>
      <c r="AA100" s="299">
        <v>19</v>
      </c>
      <c r="AB100" s="299">
        <v>91</v>
      </c>
      <c r="AC100" s="301">
        <v>0</v>
      </c>
      <c r="AD100" s="301">
        <v>0</v>
      </c>
      <c r="AE100" s="126"/>
      <c r="AF100" s="298"/>
      <c r="AG100" s="299"/>
      <c r="AH100" s="299"/>
      <c r="AI100" s="301"/>
      <c r="AJ100" s="301"/>
      <c r="AK100" s="426"/>
      <c r="AL100" s="298"/>
      <c r="AM100" s="299"/>
      <c r="AN100" s="299"/>
      <c r="AO100" s="301"/>
      <c r="AP100" s="301"/>
      <c r="AQ100" s="426"/>
      <c r="AR100" s="298"/>
      <c r="AS100" s="299"/>
      <c r="AT100" s="299"/>
      <c r="AU100" s="301"/>
      <c r="AV100" s="301"/>
      <c r="AW100" s="88"/>
      <c r="AX100" s="298"/>
      <c r="AY100" s="299"/>
      <c r="AZ100" s="299"/>
      <c r="BA100" s="301"/>
      <c r="BB100" s="301"/>
      <c r="BC100" s="426"/>
      <c r="BD100" s="298"/>
      <c r="BE100" s="299"/>
      <c r="BF100" s="299"/>
      <c r="BG100" s="301"/>
      <c r="BH100" s="301"/>
      <c r="BI100" s="88"/>
      <c r="BJ100" s="298"/>
      <c r="BK100" s="299"/>
      <c r="BL100" s="299"/>
      <c r="BM100" s="301"/>
      <c r="BN100" s="301"/>
      <c r="BO100" s="88"/>
      <c r="BP100" s="9"/>
      <c r="BS100" s="81"/>
      <c r="BT100" s="81"/>
      <c r="BV100" s="9"/>
      <c r="BY100" s="81"/>
      <c r="BZ100" s="81"/>
      <c r="CB100" s="9"/>
      <c r="CE100" s="81"/>
      <c r="CF100" s="81"/>
      <c r="CH100" s="9"/>
      <c r="CK100" s="81"/>
      <c r="CL100" s="81"/>
      <c r="CR100" s="9"/>
      <c r="CS100" s="9"/>
      <c r="CT100" s="9"/>
      <c r="CU100" s="9"/>
      <c r="CV100" s="9"/>
      <c r="CW100" s="129"/>
      <c r="CX100" s="9"/>
    </row>
    <row r="101" spans="1:102">
      <c r="A101" s="6" t="str">
        <f t="shared" si="11"/>
        <v>00190616</v>
      </c>
      <c r="B101" s="6" t="s">
        <v>1669</v>
      </c>
      <c r="C101" s="6" t="s">
        <v>2009</v>
      </c>
      <c r="D101" s="6">
        <v>92</v>
      </c>
      <c r="E101" s="6">
        <v>19</v>
      </c>
      <c r="F101" s="6" t="s">
        <v>1138</v>
      </c>
      <c r="G101" s="6">
        <v>616</v>
      </c>
      <c r="H101" s="6" t="s">
        <v>1039</v>
      </c>
      <c r="I101" s="33">
        <v>13108566.86880208</v>
      </c>
      <c r="J101" s="88">
        <v>0.90325983596775994</v>
      </c>
      <c r="K101" s="89">
        <f t="shared" si="19"/>
        <v>13652034.545237966</v>
      </c>
      <c r="L101" s="88">
        <f>IF(K104&gt;0, K101/K104, 0)</f>
        <v>0.9131570085482632</v>
      </c>
      <c r="M101" s="58"/>
      <c r="N101" s="9">
        <f>ROUND(M104*L101,0)</f>
        <v>9736178</v>
      </c>
      <c r="O101" s="9">
        <v>9087237</v>
      </c>
      <c r="P101" s="9">
        <f>N101-O101</f>
        <v>648941</v>
      </c>
      <c r="Q101" s="40">
        <f t="shared" si="20"/>
        <v>7.1412355592794601</v>
      </c>
      <c r="R101" s="9">
        <v>970.69120184128008</v>
      </c>
      <c r="S101" s="9">
        <f t="shared" si="17"/>
        <v>971.84885765088006</v>
      </c>
      <c r="T101" s="90">
        <f t="shared" si="12"/>
        <v>19</v>
      </c>
      <c r="U101" s="90">
        <f t="shared" si="13"/>
        <v>616</v>
      </c>
      <c r="V101" s="373">
        <f t="shared" si="14"/>
        <v>92</v>
      </c>
      <c r="W101" s="90">
        <f t="shared" si="15"/>
        <v>971.84885765088006</v>
      </c>
      <c r="X101" s="90">
        <f t="shared" si="16"/>
        <v>13652034.545237966</v>
      </c>
      <c r="Y101" s="141">
        <f t="shared" si="18"/>
        <v>92</v>
      </c>
      <c r="Z101" s="298">
        <v>19</v>
      </c>
      <c r="AA101" s="299">
        <v>616</v>
      </c>
      <c r="AB101" s="299">
        <v>92</v>
      </c>
      <c r="AC101" s="301">
        <v>971.84885765088006</v>
      </c>
      <c r="AD101" s="301">
        <v>13652034.545237966</v>
      </c>
      <c r="AE101" s="126"/>
      <c r="AF101" s="298"/>
      <c r="AG101" s="299"/>
      <c r="AH101" s="299"/>
      <c r="AI101" s="301"/>
      <c r="AJ101" s="301"/>
      <c r="AK101" s="426"/>
      <c r="AL101" s="298"/>
      <c r="AM101" s="299"/>
      <c r="AN101" s="299"/>
      <c r="AO101" s="301"/>
      <c r="AP101" s="301"/>
      <c r="AQ101" s="426"/>
      <c r="AR101" s="298"/>
      <c r="AS101" s="299"/>
      <c r="AT101" s="299"/>
      <c r="AU101" s="301"/>
      <c r="AV101" s="301"/>
      <c r="AW101" s="88"/>
      <c r="AX101" s="298"/>
      <c r="AY101" s="299"/>
      <c r="AZ101" s="299"/>
      <c r="BA101" s="301"/>
      <c r="BB101" s="301"/>
      <c r="BC101" s="426"/>
      <c r="BD101" s="298"/>
      <c r="BE101" s="299"/>
      <c r="BF101" s="299"/>
      <c r="BG101" s="301"/>
      <c r="BH101" s="301"/>
      <c r="BI101" s="88"/>
      <c r="BJ101" s="298"/>
      <c r="BK101" s="299"/>
      <c r="BL101" s="299"/>
      <c r="BM101" s="301"/>
      <c r="BN101" s="301"/>
      <c r="BO101" s="88"/>
      <c r="BP101" s="9"/>
      <c r="BS101" s="81"/>
      <c r="BT101" s="81"/>
      <c r="BV101" s="9"/>
      <c r="BY101" s="81"/>
      <c r="BZ101" s="81"/>
      <c r="CB101" s="9"/>
      <c r="CE101" s="81"/>
      <c r="CF101" s="81"/>
      <c r="CH101" s="9"/>
      <c r="CK101" s="81"/>
      <c r="CL101" s="81"/>
      <c r="CR101" s="9"/>
      <c r="CS101" s="9"/>
      <c r="CT101" s="9"/>
      <c r="CU101" s="9"/>
      <c r="CV101" s="9"/>
      <c r="CW101" s="129"/>
      <c r="CX101" s="9"/>
    </row>
    <row r="102" spans="1:102">
      <c r="A102" s="6" t="str">
        <f t="shared" si="11"/>
        <v>00190852</v>
      </c>
      <c r="B102" s="6" t="s">
        <v>1669</v>
      </c>
      <c r="C102" s="6" t="s">
        <v>2077</v>
      </c>
      <c r="D102" s="6">
        <v>93</v>
      </c>
      <c r="E102" s="6">
        <v>19</v>
      </c>
      <c r="F102" s="6" t="s">
        <v>1138</v>
      </c>
      <c r="G102" s="6">
        <v>852</v>
      </c>
      <c r="H102" s="6" t="s">
        <v>1107</v>
      </c>
      <c r="I102" s="33">
        <v>1403942.5408047966</v>
      </c>
      <c r="J102" s="88">
        <v>9.6740164032240061E-2</v>
      </c>
      <c r="K102" s="89">
        <f t="shared" si="19"/>
        <v>1298334.7969871652</v>
      </c>
      <c r="L102" s="88">
        <f>IF(K104&gt;0, K102/K104, 0)</f>
        <v>8.6842991451736823E-2</v>
      </c>
      <c r="M102" s="58"/>
      <c r="N102" s="9">
        <f>ROUND(M104*L102,0)</f>
        <v>925929</v>
      </c>
      <c r="O102" s="9">
        <v>973253</v>
      </c>
      <c r="P102" s="9">
        <f>N102-O102</f>
        <v>-47324</v>
      </c>
      <c r="Q102" s="40">
        <f t="shared" si="20"/>
        <v>-4.8624561136723958</v>
      </c>
      <c r="R102" s="9">
        <v>68.999999997499998</v>
      </c>
      <c r="S102" s="9">
        <f t="shared" si="17"/>
        <v>63.000000000189999</v>
      </c>
      <c r="T102" s="90">
        <f t="shared" si="12"/>
        <v>19</v>
      </c>
      <c r="U102" s="90">
        <f t="shared" si="13"/>
        <v>852</v>
      </c>
      <c r="V102" s="373">
        <f t="shared" si="14"/>
        <v>93</v>
      </c>
      <c r="W102" s="90">
        <f t="shared" si="15"/>
        <v>63.000000000189999</v>
      </c>
      <c r="X102" s="90">
        <f t="shared" si="16"/>
        <v>1298334.7969871652</v>
      </c>
      <c r="Y102" s="141">
        <f t="shared" si="18"/>
        <v>93</v>
      </c>
      <c r="Z102" s="298">
        <v>19</v>
      </c>
      <c r="AA102" s="299">
        <v>852</v>
      </c>
      <c r="AB102" s="299">
        <v>93</v>
      </c>
      <c r="AC102" s="301">
        <v>63.000000000189999</v>
      </c>
      <c r="AD102" s="301">
        <v>1298334.7969871652</v>
      </c>
      <c r="AE102" s="126"/>
      <c r="AF102" s="298"/>
      <c r="AG102" s="299"/>
      <c r="AH102" s="299"/>
      <c r="AI102" s="301"/>
      <c r="AJ102" s="301"/>
      <c r="AK102" s="426"/>
      <c r="AL102" s="298"/>
      <c r="AM102" s="299"/>
      <c r="AN102" s="299"/>
      <c r="AO102" s="301"/>
      <c r="AP102" s="301"/>
      <c r="AQ102" s="426"/>
      <c r="AR102" s="298"/>
      <c r="AS102" s="299"/>
      <c r="AT102" s="299"/>
      <c r="AU102" s="301"/>
      <c r="AV102" s="301"/>
      <c r="AW102" s="88"/>
      <c r="AX102" s="298"/>
      <c r="AY102" s="299"/>
      <c r="AZ102" s="299"/>
      <c r="BA102" s="301"/>
      <c r="BB102" s="301"/>
      <c r="BC102" s="426"/>
      <c r="BD102" s="298"/>
      <c r="BE102" s="299"/>
      <c r="BF102" s="299"/>
      <c r="BG102" s="301"/>
      <c r="BH102" s="301"/>
      <c r="BI102" s="88"/>
      <c r="BJ102" s="298"/>
      <c r="BK102" s="299"/>
      <c r="BL102" s="299"/>
      <c r="BM102" s="301"/>
      <c r="BN102" s="301"/>
      <c r="BO102" s="88"/>
      <c r="BP102" s="9"/>
      <c r="BS102" s="81"/>
      <c r="BT102" s="81"/>
      <c r="BV102" s="9"/>
      <c r="BY102" s="81"/>
      <c r="BZ102" s="81"/>
      <c r="CB102" s="9"/>
      <c r="CE102" s="81"/>
      <c r="CF102" s="81"/>
      <c r="CH102" s="9"/>
      <c r="CK102" s="81"/>
      <c r="CL102" s="81"/>
      <c r="CR102" s="9"/>
      <c r="CS102" s="9"/>
      <c r="CT102" s="9"/>
      <c r="CU102" s="9"/>
      <c r="CV102" s="9"/>
      <c r="CW102" s="129"/>
      <c r="CX102" s="9"/>
    </row>
    <row r="103" spans="1:102">
      <c r="A103" s="6" t="str">
        <f t="shared" si="11"/>
        <v>00190998</v>
      </c>
      <c r="B103" s="6" t="s">
        <v>1669</v>
      </c>
      <c r="C103" s="6" t="s">
        <v>2091</v>
      </c>
      <c r="D103" s="6">
        <v>94</v>
      </c>
      <c r="E103" s="6">
        <v>19</v>
      </c>
      <c r="F103" s="6" t="s">
        <v>1547</v>
      </c>
      <c r="G103" s="6">
        <v>998</v>
      </c>
      <c r="H103" s="6" t="s">
        <v>1547</v>
      </c>
      <c r="I103" s="33">
        <v>0</v>
      </c>
      <c r="J103" s="88">
        <v>0</v>
      </c>
      <c r="K103" s="89">
        <f t="shared" si="19"/>
        <v>0</v>
      </c>
      <c r="L103" s="88">
        <f>IF(K104&gt;0, K103/K104, 0)</f>
        <v>0</v>
      </c>
      <c r="M103" s="58"/>
      <c r="N103" s="9">
        <f>ROUND(M104*L103,0)</f>
        <v>0</v>
      </c>
      <c r="O103" s="9">
        <v>0</v>
      </c>
      <c r="P103" s="9">
        <f>N103-O103</f>
        <v>0</v>
      </c>
      <c r="Q103" s="40">
        <f t="shared" si="20"/>
        <v>0</v>
      </c>
      <c r="R103" s="9">
        <v>0</v>
      </c>
      <c r="S103" s="9">
        <f t="shared" si="17"/>
        <v>0</v>
      </c>
      <c r="T103" s="90">
        <f t="shared" si="12"/>
        <v>19</v>
      </c>
      <c r="U103" s="90">
        <f t="shared" si="13"/>
        <v>998</v>
      </c>
      <c r="V103" s="373">
        <f t="shared" si="14"/>
        <v>94</v>
      </c>
      <c r="W103" s="90">
        <f t="shared" si="15"/>
        <v>0</v>
      </c>
      <c r="X103" s="90">
        <f t="shared" si="16"/>
        <v>0</v>
      </c>
      <c r="Y103" s="141">
        <f t="shared" si="18"/>
        <v>94</v>
      </c>
      <c r="Z103" s="298">
        <v>19</v>
      </c>
      <c r="AA103" s="299">
        <v>998</v>
      </c>
      <c r="AB103" s="299">
        <v>94</v>
      </c>
      <c r="AC103" s="301">
        <v>0</v>
      </c>
      <c r="AD103" s="301">
        <v>0</v>
      </c>
      <c r="AE103" s="126"/>
      <c r="AF103" s="298"/>
      <c r="AG103" s="299"/>
      <c r="AH103" s="299"/>
      <c r="AI103" s="301"/>
      <c r="AJ103" s="301"/>
      <c r="AK103" s="426"/>
      <c r="AL103" s="298"/>
      <c r="AM103" s="299"/>
      <c r="AN103" s="299"/>
      <c r="AO103" s="301"/>
      <c r="AP103" s="301"/>
      <c r="AQ103" s="426"/>
      <c r="AR103" s="298"/>
      <c r="AS103" s="299"/>
      <c r="AT103" s="299"/>
      <c r="AU103" s="301"/>
      <c r="AV103" s="301"/>
      <c r="AW103" s="88"/>
      <c r="AX103" s="298"/>
      <c r="AY103" s="299"/>
      <c r="AZ103" s="299"/>
      <c r="BA103" s="301"/>
      <c r="BB103" s="301"/>
      <c r="BC103" s="426"/>
      <c r="BD103" s="298"/>
      <c r="BE103" s="299"/>
      <c r="BF103" s="299"/>
      <c r="BG103" s="301"/>
      <c r="BH103" s="301"/>
      <c r="BI103" s="88"/>
      <c r="BJ103" s="298"/>
      <c r="BK103" s="299"/>
      <c r="BL103" s="299"/>
      <c r="BM103" s="301"/>
      <c r="BN103" s="301"/>
      <c r="BO103" s="88"/>
      <c r="BP103" s="9"/>
      <c r="BS103" s="81"/>
      <c r="BT103" s="81"/>
      <c r="BV103" s="9"/>
      <c r="BY103" s="81"/>
      <c r="BZ103" s="81"/>
      <c r="CB103" s="9"/>
      <c r="CE103" s="81"/>
      <c r="CF103" s="81"/>
      <c r="CH103" s="9"/>
      <c r="CK103" s="81"/>
      <c r="CL103" s="81"/>
      <c r="CR103" s="9"/>
      <c r="CS103" s="9"/>
      <c r="CT103" s="9"/>
      <c r="CU103" s="9"/>
      <c r="CV103" s="9"/>
      <c r="CW103" s="129"/>
      <c r="CX103" s="9"/>
    </row>
    <row r="104" spans="1:102">
      <c r="A104" s="6" t="str">
        <f t="shared" si="11"/>
        <v>00190999</v>
      </c>
      <c r="B104" s="6" t="s">
        <v>1669</v>
      </c>
      <c r="C104" s="6" t="s">
        <v>2092</v>
      </c>
      <c r="D104" s="6">
        <v>95</v>
      </c>
      <c r="E104" s="10">
        <v>19</v>
      </c>
      <c r="F104" s="10" t="s">
        <v>1138</v>
      </c>
      <c r="G104" s="10">
        <v>999</v>
      </c>
      <c r="H104" s="10" t="s">
        <v>593</v>
      </c>
      <c r="I104" s="92">
        <v>14512509.409606876</v>
      </c>
      <c r="J104" s="472">
        <v>1</v>
      </c>
      <c r="K104" s="53">
        <f>SUM(K100:K103)</f>
        <v>14950369.342225131</v>
      </c>
      <c r="L104" s="91">
        <f>SUM(L100:L103)</f>
        <v>1</v>
      </c>
      <c r="M104" s="79">
        <f>VLOOKUP(E104,town351,24)</f>
        <v>10662107</v>
      </c>
      <c r="N104" s="79">
        <f>SUM(N100:N103)</f>
        <v>10662107</v>
      </c>
      <c r="O104" s="79">
        <v>10060490</v>
      </c>
      <c r="P104" s="79">
        <f>SUM(P100:P103)</f>
        <v>601617</v>
      </c>
      <c r="Q104" s="39">
        <f t="shared" si="20"/>
        <v>5.9799969981581418</v>
      </c>
      <c r="R104" s="9">
        <v>1039.69120183878</v>
      </c>
      <c r="S104" s="9">
        <f t="shared" si="17"/>
        <v>1034.8488576510701</v>
      </c>
      <c r="T104" s="90">
        <f t="shared" si="12"/>
        <v>19</v>
      </c>
      <c r="U104" s="90">
        <f t="shared" si="13"/>
        <v>999</v>
      </c>
      <c r="V104" s="373">
        <f t="shared" si="14"/>
        <v>95</v>
      </c>
      <c r="W104" s="90">
        <f t="shared" si="15"/>
        <v>1034.8488576510701</v>
      </c>
      <c r="X104" s="90">
        <f t="shared" si="16"/>
        <v>14950369.342225131</v>
      </c>
      <c r="Y104" s="141">
        <f t="shared" si="18"/>
        <v>95</v>
      </c>
      <c r="Z104" s="298">
        <v>19</v>
      </c>
      <c r="AA104" s="299">
        <v>999</v>
      </c>
      <c r="AB104" s="299">
        <v>95</v>
      </c>
      <c r="AC104" s="301">
        <v>1034.8488576510701</v>
      </c>
      <c r="AD104" s="301">
        <v>14950369.342225131</v>
      </c>
      <c r="AE104" s="126"/>
      <c r="AF104" s="298"/>
      <c r="AG104" s="299"/>
      <c r="AH104" s="299"/>
      <c r="AI104" s="301"/>
      <c r="AJ104" s="301"/>
      <c r="AK104" s="426"/>
      <c r="AL104" s="298"/>
      <c r="AM104" s="299"/>
      <c r="AN104" s="299"/>
      <c r="AO104" s="301"/>
      <c r="AP104" s="301"/>
      <c r="AQ104" s="426"/>
      <c r="AR104" s="298"/>
      <c r="AS104" s="299"/>
      <c r="AT104" s="299"/>
      <c r="AU104" s="301"/>
      <c r="AV104" s="301"/>
      <c r="AW104" s="91"/>
      <c r="AX104" s="298"/>
      <c r="AY104" s="299"/>
      <c r="AZ104" s="299"/>
      <c r="BA104" s="301"/>
      <c r="BB104" s="301"/>
      <c r="BC104" s="426"/>
      <c r="BD104" s="298"/>
      <c r="BE104" s="299"/>
      <c r="BF104" s="299"/>
      <c r="BG104" s="301"/>
      <c r="BH104" s="301"/>
      <c r="BI104" s="91"/>
      <c r="BJ104" s="298"/>
      <c r="BK104" s="299"/>
      <c r="BL104" s="299"/>
      <c r="BM104" s="301"/>
      <c r="BN104" s="301"/>
      <c r="BO104" s="91"/>
      <c r="BP104" s="9"/>
      <c r="BS104" s="81"/>
      <c r="BT104" s="81"/>
      <c r="BV104" s="9"/>
      <c r="BY104" s="81"/>
      <c r="BZ104" s="81"/>
      <c r="CB104" s="9"/>
      <c r="CE104" s="81"/>
      <c r="CF104" s="81"/>
      <c r="CH104" s="9"/>
      <c r="CK104" s="81"/>
      <c r="CL104" s="81"/>
      <c r="CR104" s="9"/>
      <c r="CS104" s="9"/>
      <c r="CT104" s="9"/>
      <c r="CU104" s="9"/>
      <c r="CV104" s="9"/>
      <c r="CW104" s="129"/>
      <c r="CX104" s="9"/>
    </row>
    <row r="105" spans="1:102">
      <c r="A105" s="6" t="str">
        <f t="shared" si="11"/>
        <v>00200020</v>
      </c>
      <c r="B105" s="6" t="s">
        <v>1670</v>
      </c>
      <c r="C105" s="6" t="s">
        <v>1670</v>
      </c>
      <c r="D105" s="6">
        <v>96</v>
      </c>
      <c r="E105" s="6">
        <v>20</v>
      </c>
      <c r="F105" s="6" t="s">
        <v>1139</v>
      </c>
      <c r="G105" s="6">
        <v>20</v>
      </c>
      <c r="H105" s="6" t="s">
        <v>701</v>
      </c>
      <c r="I105" s="33">
        <v>84542110.140000001</v>
      </c>
      <c r="J105" s="88">
        <v>0.95241611188952036</v>
      </c>
      <c r="K105" s="89">
        <f>X105</f>
        <v>88879328.449999988</v>
      </c>
      <c r="L105" s="88">
        <f>IF(K109&gt;0, K105/K109, 0)</f>
        <v>0.95744427045786751</v>
      </c>
      <c r="M105" s="58"/>
      <c r="N105" s="9">
        <f>ROUND(M109*L105,0)</f>
        <v>63910403</v>
      </c>
      <c r="O105" s="9">
        <v>59790057</v>
      </c>
      <c r="P105" s="9">
        <f>N105-O105</f>
        <v>4120346</v>
      </c>
      <c r="Q105" s="40">
        <f t="shared" si="20"/>
        <v>6.8913565344150784</v>
      </c>
      <c r="R105" s="9">
        <v>5302</v>
      </c>
      <c r="S105" s="9">
        <f t="shared" si="17"/>
        <v>5306</v>
      </c>
      <c r="T105" s="90">
        <f t="shared" si="12"/>
        <v>20</v>
      </c>
      <c r="U105" s="90">
        <f t="shared" si="13"/>
        <v>20</v>
      </c>
      <c r="V105" s="373">
        <f t="shared" si="14"/>
        <v>96</v>
      </c>
      <c r="W105" s="90">
        <f t="shared" si="15"/>
        <v>5306</v>
      </c>
      <c r="X105" s="90">
        <f t="shared" si="16"/>
        <v>88879328.449999988</v>
      </c>
      <c r="Y105" s="141">
        <f t="shared" si="18"/>
        <v>96</v>
      </c>
      <c r="Z105" s="298">
        <v>20</v>
      </c>
      <c r="AA105" s="299">
        <v>20</v>
      </c>
      <c r="AB105" s="299">
        <v>96</v>
      </c>
      <c r="AC105" s="301">
        <v>5306</v>
      </c>
      <c r="AD105" s="301">
        <v>88879328.449999988</v>
      </c>
      <c r="AE105" s="126"/>
      <c r="AF105" s="298"/>
      <c r="AG105" s="299"/>
      <c r="AH105" s="299"/>
      <c r="AI105" s="301"/>
      <c r="AJ105" s="301"/>
      <c r="AK105" s="426"/>
      <c r="AL105" s="298"/>
      <c r="AM105" s="299"/>
      <c r="AN105" s="299"/>
      <c r="AO105" s="301"/>
      <c r="AP105" s="301"/>
      <c r="AQ105" s="426"/>
      <c r="AR105" s="298"/>
      <c r="AS105" s="299"/>
      <c r="AT105" s="299"/>
      <c r="AU105" s="301"/>
      <c r="AV105" s="301"/>
      <c r="AW105" s="88"/>
      <c r="AX105" s="298"/>
      <c r="AY105" s="299"/>
      <c r="AZ105" s="299"/>
      <c r="BA105" s="301"/>
      <c r="BB105" s="301"/>
      <c r="BC105" s="426"/>
      <c r="BD105" s="298"/>
      <c r="BE105" s="299"/>
      <c r="BF105" s="299"/>
      <c r="BG105" s="301"/>
      <c r="BH105" s="301"/>
      <c r="BI105" s="88"/>
      <c r="BJ105" s="298"/>
      <c r="BK105" s="299"/>
      <c r="BL105" s="299"/>
      <c r="BM105" s="301"/>
      <c r="BN105" s="301"/>
      <c r="BO105" s="88"/>
      <c r="BP105" s="9"/>
      <c r="BS105" s="81"/>
      <c r="BT105" s="81"/>
      <c r="BV105" s="9"/>
      <c r="BY105" s="81"/>
      <c r="BZ105" s="81"/>
      <c r="CB105" s="9"/>
      <c r="CE105" s="81"/>
      <c r="CF105" s="81"/>
      <c r="CH105" s="9"/>
      <c r="CK105" s="81"/>
      <c r="CL105" s="81"/>
      <c r="CR105" s="9"/>
      <c r="CS105" s="9"/>
      <c r="CT105" s="9"/>
      <c r="CU105" s="9"/>
      <c r="CV105" s="9"/>
      <c r="CW105" s="129"/>
      <c r="CX105" s="9"/>
    </row>
    <row r="106" spans="1:102">
      <c r="A106" s="6" t="str">
        <f t="shared" si="11"/>
        <v>00200815</v>
      </c>
      <c r="B106" s="6" t="s">
        <v>1670</v>
      </c>
      <c r="C106" s="6" t="s">
        <v>2066</v>
      </c>
      <c r="D106" s="6">
        <v>97</v>
      </c>
      <c r="E106" s="6">
        <v>20</v>
      </c>
      <c r="F106" s="6" t="s">
        <v>1139</v>
      </c>
      <c r="G106" s="6">
        <v>815</v>
      </c>
      <c r="H106" s="6" t="s">
        <v>1096</v>
      </c>
      <c r="I106" s="33">
        <v>4223828.4918811265</v>
      </c>
      <c r="J106" s="88">
        <v>4.7583888110479554E-2</v>
      </c>
      <c r="K106" s="89">
        <f t="shared" si="19"/>
        <v>3950438.4538180893</v>
      </c>
      <c r="L106" s="88">
        <f>IF(K109&gt;0, K106/K109, 0)</f>
        <v>4.2555729542132555E-2</v>
      </c>
      <c r="M106" s="58"/>
      <c r="N106" s="9">
        <f>ROUND(M109*L106,0)</f>
        <v>2840639</v>
      </c>
      <c r="O106" s="9">
        <v>2987185</v>
      </c>
      <c r="P106" s="9">
        <f>N106-O106</f>
        <v>-146546</v>
      </c>
      <c r="Q106" s="40">
        <f t="shared" si="20"/>
        <v>-4.9058227059924313</v>
      </c>
      <c r="R106" s="9">
        <v>194.58170914298998</v>
      </c>
      <c r="S106" s="9">
        <f t="shared" si="17"/>
        <v>181.27177177058999</v>
      </c>
      <c r="T106" s="90">
        <f t="shared" si="12"/>
        <v>20</v>
      </c>
      <c r="U106" s="90">
        <f t="shared" si="13"/>
        <v>815</v>
      </c>
      <c r="V106" s="373">
        <f t="shared" si="14"/>
        <v>97</v>
      </c>
      <c r="W106" s="90">
        <f t="shared" si="15"/>
        <v>181.27177177058999</v>
      </c>
      <c r="X106" s="90">
        <f t="shared" si="16"/>
        <v>3950438.4538180893</v>
      </c>
      <c r="Y106" s="141">
        <f t="shared" si="18"/>
        <v>97</v>
      </c>
      <c r="Z106" s="298">
        <v>20</v>
      </c>
      <c r="AA106" s="299">
        <v>815</v>
      </c>
      <c r="AB106" s="299">
        <v>97</v>
      </c>
      <c r="AC106" s="301">
        <v>181.27177177058999</v>
      </c>
      <c r="AD106" s="301">
        <v>3950438.4538180893</v>
      </c>
      <c r="AE106" s="126"/>
      <c r="AF106" s="298"/>
      <c r="AG106" s="299"/>
      <c r="AH106" s="299"/>
      <c r="AI106" s="301"/>
      <c r="AJ106" s="301"/>
      <c r="AK106" s="426"/>
      <c r="AL106" s="298"/>
      <c r="AM106" s="299"/>
      <c r="AN106" s="299"/>
      <c r="AO106" s="301"/>
      <c r="AP106" s="301"/>
      <c r="AQ106" s="426"/>
      <c r="AR106" s="298"/>
      <c r="AS106" s="299"/>
      <c r="AT106" s="299"/>
      <c r="AU106" s="301"/>
      <c r="AV106" s="301"/>
      <c r="AW106" s="88"/>
      <c r="AX106" s="298"/>
      <c r="AY106" s="299"/>
      <c r="AZ106" s="299"/>
      <c r="BA106" s="301"/>
      <c r="BB106" s="301"/>
      <c r="BC106" s="426"/>
      <c r="BD106" s="298"/>
      <c r="BE106" s="299"/>
      <c r="BF106" s="299"/>
      <c r="BG106" s="301"/>
      <c r="BH106" s="301"/>
      <c r="BI106" s="88"/>
      <c r="BJ106" s="298"/>
      <c r="BK106" s="299"/>
      <c r="BL106" s="299"/>
      <c r="BM106" s="301"/>
      <c r="BN106" s="301"/>
      <c r="BO106" s="88"/>
      <c r="BP106" s="9"/>
      <c r="BS106" s="81"/>
      <c r="BT106" s="81"/>
      <c r="BV106" s="9"/>
      <c r="BY106" s="81"/>
      <c r="BZ106" s="81"/>
      <c r="CB106" s="9"/>
      <c r="CE106" s="81"/>
      <c r="CF106" s="81"/>
      <c r="CH106" s="9"/>
      <c r="CK106" s="81"/>
      <c r="CL106" s="81"/>
      <c r="CR106" s="9"/>
      <c r="CS106" s="9"/>
      <c r="CT106" s="9"/>
      <c r="CU106" s="9"/>
      <c r="CV106" s="9"/>
      <c r="CW106" s="129"/>
      <c r="CX106" s="9"/>
    </row>
    <row r="107" spans="1:102">
      <c r="A107" s="6" t="str">
        <f t="shared" si="11"/>
        <v>00200998</v>
      </c>
      <c r="B107" s="6" t="s">
        <v>1670</v>
      </c>
      <c r="C107" s="6" t="s">
        <v>2091</v>
      </c>
      <c r="D107" s="6">
        <v>98</v>
      </c>
      <c r="E107" s="6">
        <v>20</v>
      </c>
      <c r="F107" s="6" t="s">
        <v>1547</v>
      </c>
      <c r="G107" s="6">
        <v>998</v>
      </c>
      <c r="H107" s="6" t="s">
        <v>1547</v>
      </c>
      <c r="I107" s="33">
        <v>0</v>
      </c>
      <c r="J107" s="88">
        <v>0</v>
      </c>
      <c r="K107" s="89">
        <f t="shared" si="19"/>
        <v>0</v>
      </c>
      <c r="L107" s="88">
        <f>IF(K109&gt;0, K107/K109, 0)</f>
        <v>0</v>
      </c>
      <c r="M107" s="58"/>
      <c r="N107" s="9">
        <f>ROUND(M109*L107,0)</f>
        <v>0</v>
      </c>
      <c r="O107" s="9">
        <v>0</v>
      </c>
      <c r="P107" s="9">
        <f>N107-O107</f>
        <v>0</v>
      </c>
      <c r="Q107" s="40">
        <f t="shared" si="20"/>
        <v>0</v>
      </c>
      <c r="R107" s="9">
        <v>0</v>
      </c>
      <c r="S107" s="9">
        <f t="shared" si="17"/>
        <v>0</v>
      </c>
      <c r="T107" s="90">
        <f t="shared" si="12"/>
        <v>20</v>
      </c>
      <c r="U107" s="90">
        <f t="shared" si="13"/>
        <v>998</v>
      </c>
      <c r="V107" s="373">
        <f t="shared" si="14"/>
        <v>98</v>
      </c>
      <c r="W107" s="90">
        <f t="shared" si="15"/>
        <v>0</v>
      </c>
      <c r="X107" s="90">
        <f t="shared" si="16"/>
        <v>0</v>
      </c>
      <c r="Y107" s="141">
        <f t="shared" si="18"/>
        <v>98</v>
      </c>
      <c r="Z107" s="298">
        <v>20</v>
      </c>
      <c r="AA107" s="299">
        <v>998</v>
      </c>
      <c r="AB107" s="299">
        <v>98</v>
      </c>
      <c r="AC107" s="301">
        <v>0</v>
      </c>
      <c r="AD107" s="301">
        <v>0</v>
      </c>
      <c r="AE107" s="126"/>
      <c r="AF107" s="298"/>
      <c r="AG107" s="299"/>
      <c r="AH107" s="299"/>
      <c r="AI107" s="301"/>
      <c r="AJ107" s="301"/>
      <c r="AK107" s="426"/>
      <c r="AL107" s="298"/>
      <c r="AM107" s="299"/>
      <c r="AN107" s="299"/>
      <c r="AO107" s="301"/>
      <c r="AP107" s="301"/>
      <c r="AQ107" s="426"/>
      <c r="AR107" s="298"/>
      <c r="AS107" s="299"/>
      <c r="AT107" s="299"/>
      <c r="AU107" s="301"/>
      <c r="AV107" s="301"/>
      <c r="AW107" s="88"/>
      <c r="AX107" s="298"/>
      <c r="AY107" s="299"/>
      <c r="AZ107" s="299"/>
      <c r="BA107" s="301"/>
      <c r="BB107" s="301"/>
      <c r="BC107" s="426"/>
      <c r="BD107" s="298"/>
      <c r="BE107" s="299"/>
      <c r="BF107" s="299"/>
      <c r="BG107" s="301"/>
      <c r="BH107" s="301"/>
      <c r="BI107" s="88"/>
      <c r="BJ107" s="298"/>
      <c r="BK107" s="299"/>
      <c r="BL107" s="299"/>
      <c r="BM107" s="301"/>
      <c r="BN107" s="301"/>
      <c r="BO107" s="88"/>
      <c r="BP107" s="9"/>
      <c r="BS107" s="81"/>
      <c r="BT107" s="81"/>
      <c r="BV107" s="9"/>
      <c r="BY107" s="81"/>
      <c r="BZ107" s="81"/>
      <c r="CB107" s="9"/>
      <c r="CE107" s="81"/>
      <c r="CF107" s="81"/>
      <c r="CH107" s="9"/>
      <c r="CK107" s="81"/>
      <c r="CL107" s="81"/>
      <c r="CR107" s="9"/>
      <c r="CS107" s="9"/>
      <c r="CT107" s="9"/>
      <c r="CU107" s="9"/>
      <c r="CV107" s="9"/>
      <c r="CW107" s="129"/>
      <c r="CX107" s="9"/>
    </row>
    <row r="108" spans="1:102">
      <c r="A108" s="6" t="str">
        <f t="shared" si="11"/>
        <v>00200998</v>
      </c>
      <c r="B108" s="6" t="s">
        <v>1670</v>
      </c>
      <c r="C108" s="6" t="s">
        <v>2091</v>
      </c>
      <c r="D108" s="6">
        <v>99</v>
      </c>
      <c r="E108" s="6">
        <v>20</v>
      </c>
      <c r="F108" s="6" t="s">
        <v>1547</v>
      </c>
      <c r="G108" s="6">
        <v>998</v>
      </c>
      <c r="H108" s="6" t="s">
        <v>1547</v>
      </c>
      <c r="I108" s="33">
        <v>0</v>
      </c>
      <c r="J108" s="88">
        <v>0</v>
      </c>
      <c r="K108" s="89">
        <f t="shared" si="19"/>
        <v>0</v>
      </c>
      <c r="L108" s="88">
        <f>IF(K109&gt;0, K108/K109, 0)</f>
        <v>0</v>
      </c>
      <c r="M108" s="58"/>
      <c r="N108" s="9">
        <f>ROUND(M109*L108,0)</f>
        <v>0</v>
      </c>
      <c r="O108" s="9">
        <v>0</v>
      </c>
      <c r="P108" s="9">
        <f>N108-O108</f>
        <v>0</v>
      </c>
      <c r="Q108" s="40">
        <f t="shared" si="20"/>
        <v>0</v>
      </c>
      <c r="R108" s="9">
        <v>0</v>
      </c>
      <c r="S108" s="9">
        <f t="shared" si="17"/>
        <v>0</v>
      </c>
      <c r="T108" s="90">
        <f t="shared" si="12"/>
        <v>20</v>
      </c>
      <c r="U108" s="90">
        <f t="shared" si="13"/>
        <v>998</v>
      </c>
      <c r="V108" s="373">
        <f t="shared" si="14"/>
        <v>99</v>
      </c>
      <c r="W108" s="90">
        <f t="shared" si="15"/>
        <v>0</v>
      </c>
      <c r="X108" s="90">
        <f t="shared" si="16"/>
        <v>0</v>
      </c>
      <c r="Y108" s="141">
        <f t="shared" si="18"/>
        <v>99</v>
      </c>
      <c r="Z108" s="298">
        <v>20</v>
      </c>
      <c r="AA108" s="299">
        <v>998</v>
      </c>
      <c r="AB108" s="299">
        <v>99</v>
      </c>
      <c r="AC108" s="301">
        <v>0</v>
      </c>
      <c r="AD108" s="301">
        <v>0</v>
      </c>
      <c r="AE108" s="126"/>
      <c r="AF108" s="298"/>
      <c r="AG108" s="299"/>
      <c r="AH108" s="299"/>
      <c r="AI108" s="301"/>
      <c r="AJ108" s="301"/>
      <c r="AK108" s="426"/>
      <c r="AL108" s="298"/>
      <c r="AM108" s="299"/>
      <c r="AN108" s="299"/>
      <c r="AO108" s="301"/>
      <c r="AP108" s="301"/>
      <c r="AQ108" s="426"/>
      <c r="AR108" s="298"/>
      <c r="AS108" s="299"/>
      <c r="AT108" s="299"/>
      <c r="AU108" s="301"/>
      <c r="AV108" s="301"/>
      <c r="AW108" s="88"/>
      <c r="AX108" s="298"/>
      <c r="AY108" s="299"/>
      <c r="AZ108" s="299"/>
      <c r="BA108" s="301"/>
      <c r="BB108" s="301"/>
      <c r="BC108" s="426"/>
      <c r="BD108" s="298"/>
      <c r="BE108" s="299"/>
      <c r="BF108" s="299"/>
      <c r="BG108" s="301"/>
      <c r="BH108" s="301"/>
      <c r="BI108" s="88"/>
      <c r="BJ108" s="298"/>
      <c r="BK108" s="299"/>
      <c r="BL108" s="299"/>
      <c r="BM108" s="301"/>
      <c r="BN108" s="301"/>
      <c r="BO108" s="88"/>
      <c r="BP108" s="9"/>
      <c r="BS108" s="81"/>
      <c r="BT108" s="81"/>
      <c r="BV108" s="9"/>
      <c r="BY108" s="81"/>
      <c r="BZ108" s="81"/>
      <c r="CB108" s="9"/>
      <c r="CE108" s="81"/>
      <c r="CF108" s="81"/>
      <c r="CH108" s="9"/>
      <c r="CK108" s="81"/>
      <c r="CL108" s="81"/>
      <c r="CR108" s="9"/>
      <c r="CS108" s="9"/>
      <c r="CT108" s="9"/>
      <c r="CU108" s="9"/>
      <c r="CV108" s="9"/>
      <c r="CW108" s="129"/>
      <c r="CX108" s="9"/>
    </row>
    <row r="109" spans="1:102">
      <c r="A109" s="6" t="str">
        <f t="shared" si="11"/>
        <v>00200999</v>
      </c>
      <c r="B109" s="6" t="s">
        <v>1670</v>
      </c>
      <c r="C109" s="6" t="s">
        <v>2092</v>
      </c>
      <c r="D109" s="6">
        <v>100</v>
      </c>
      <c r="E109" s="10">
        <v>20</v>
      </c>
      <c r="F109" s="10" t="s">
        <v>1139</v>
      </c>
      <c r="G109" s="10">
        <v>999</v>
      </c>
      <c r="H109" s="10" t="s">
        <v>593</v>
      </c>
      <c r="I109" s="92">
        <v>88765938.631881133</v>
      </c>
      <c r="J109" s="472">
        <v>0.99999999999999989</v>
      </c>
      <c r="K109" s="53">
        <f>SUM(K105:K108)</f>
        <v>92829766.903818071</v>
      </c>
      <c r="L109" s="91">
        <f>SUM(L105:L108)</f>
        <v>1</v>
      </c>
      <c r="M109" s="79">
        <f>VLOOKUP(E109,town351,24)</f>
        <v>66751042</v>
      </c>
      <c r="N109" s="79">
        <f>SUM(N105:N108)</f>
        <v>66751042</v>
      </c>
      <c r="O109" s="79">
        <v>62777242</v>
      </c>
      <c r="P109" s="79">
        <f>SUM(P105:P108)</f>
        <v>3973800</v>
      </c>
      <c r="Q109" s="39">
        <f t="shared" si="20"/>
        <v>6.330000926131798</v>
      </c>
      <c r="R109" s="9">
        <v>5496.5817091429899</v>
      </c>
      <c r="S109" s="9">
        <f t="shared" si="17"/>
        <v>5487.27177177059</v>
      </c>
      <c r="T109" s="90">
        <f t="shared" si="12"/>
        <v>20</v>
      </c>
      <c r="U109" s="90">
        <f t="shared" si="13"/>
        <v>999</v>
      </c>
      <c r="V109" s="373">
        <f t="shared" si="14"/>
        <v>100</v>
      </c>
      <c r="W109" s="90">
        <f t="shared" si="15"/>
        <v>5487.27177177059</v>
      </c>
      <c r="X109" s="90">
        <f t="shared" si="16"/>
        <v>92829766.903818071</v>
      </c>
      <c r="Y109" s="141">
        <f t="shared" si="18"/>
        <v>100</v>
      </c>
      <c r="Z109" s="298">
        <v>20</v>
      </c>
      <c r="AA109" s="299">
        <v>999</v>
      </c>
      <c r="AB109" s="299">
        <v>100</v>
      </c>
      <c r="AC109" s="301">
        <v>5487.27177177059</v>
      </c>
      <c r="AD109" s="301">
        <v>92829766.903818071</v>
      </c>
      <c r="AE109" s="126"/>
      <c r="AF109" s="298"/>
      <c r="AG109" s="299"/>
      <c r="AH109" s="299"/>
      <c r="AI109" s="301"/>
      <c r="AJ109" s="301"/>
      <c r="AK109" s="426"/>
      <c r="AL109" s="298"/>
      <c r="AM109" s="299"/>
      <c r="AN109" s="299"/>
      <c r="AO109" s="301"/>
      <c r="AP109" s="301"/>
      <c r="AQ109" s="426"/>
      <c r="AR109" s="298"/>
      <c r="AS109" s="299"/>
      <c r="AT109" s="299"/>
      <c r="AU109" s="301"/>
      <c r="AV109" s="301"/>
      <c r="AW109" s="91"/>
      <c r="AX109" s="298"/>
      <c r="AY109" s="299"/>
      <c r="AZ109" s="299"/>
      <c r="BA109" s="301"/>
      <c r="BB109" s="301"/>
      <c r="BC109" s="426"/>
      <c r="BD109" s="298"/>
      <c r="BE109" s="299"/>
      <c r="BF109" s="299"/>
      <c r="BG109" s="301"/>
      <c r="BH109" s="301"/>
      <c r="BI109" s="91"/>
      <c r="BJ109" s="298"/>
      <c r="BK109" s="299"/>
      <c r="BL109" s="299"/>
      <c r="BM109" s="301"/>
      <c r="BN109" s="301"/>
      <c r="BO109" s="91"/>
      <c r="BP109" s="9"/>
      <c r="BS109" s="81"/>
      <c r="BT109" s="81"/>
      <c r="BV109" s="9"/>
      <c r="BY109" s="81"/>
      <c r="BZ109" s="81"/>
      <c r="CB109" s="9"/>
      <c r="CE109" s="81"/>
      <c r="CF109" s="81"/>
      <c r="CH109" s="9"/>
      <c r="CK109" s="81"/>
      <c r="CL109" s="81"/>
      <c r="CR109" s="9"/>
      <c r="CS109" s="9"/>
      <c r="CT109" s="9"/>
      <c r="CU109" s="9"/>
      <c r="CV109" s="9"/>
      <c r="CW109" s="129"/>
      <c r="CX109" s="9"/>
    </row>
    <row r="110" spans="1:102">
      <c r="A110" s="6" t="str">
        <f t="shared" si="11"/>
        <v>00210021</v>
      </c>
      <c r="B110" s="6" t="s">
        <v>1671</v>
      </c>
      <c r="C110" s="6" t="s">
        <v>1671</v>
      </c>
      <c r="D110" s="6">
        <v>101</v>
      </c>
      <c r="E110" s="6">
        <v>21</v>
      </c>
      <c r="F110" s="6" t="s">
        <v>1140</v>
      </c>
      <c r="G110" s="6">
        <v>21</v>
      </c>
      <c r="H110" s="6" t="s">
        <v>702</v>
      </c>
      <c r="I110" s="33">
        <v>0</v>
      </c>
      <c r="J110" s="88">
        <v>0</v>
      </c>
      <c r="K110" s="89">
        <f>X110</f>
        <v>0</v>
      </c>
      <c r="L110" s="88">
        <f>IF(K114&gt;0, K110/K114, 0)</f>
        <v>0</v>
      </c>
      <c r="M110" s="58"/>
      <c r="N110" s="9">
        <f>ROUND(M114*L110,0)</f>
        <v>0</v>
      </c>
      <c r="O110" s="9">
        <v>0</v>
      </c>
      <c r="P110" s="9">
        <f>N110-O110</f>
        <v>0</v>
      </c>
      <c r="Q110" s="40">
        <f t="shared" si="20"/>
        <v>0</v>
      </c>
      <c r="R110" s="9">
        <v>0</v>
      </c>
      <c r="S110" s="9">
        <f t="shared" si="17"/>
        <v>0</v>
      </c>
      <c r="T110" s="90">
        <f t="shared" si="12"/>
        <v>21</v>
      </c>
      <c r="U110" s="90">
        <f t="shared" si="13"/>
        <v>21</v>
      </c>
      <c r="V110" s="373">
        <f t="shared" si="14"/>
        <v>101</v>
      </c>
      <c r="W110" s="90">
        <f t="shared" si="15"/>
        <v>0</v>
      </c>
      <c r="X110" s="90">
        <f t="shared" si="16"/>
        <v>0</v>
      </c>
      <c r="Y110" s="141">
        <f t="shared" si="18"/>
        <v>101</v>
      </c>
      <c r="Z110" s="298">
        <v>21</v>
      </c>
      <c r="AA110" s="299">
        <v>21</v>
      </c>
      <c r="AB110" s="299">
        <v>101</v>
      </c>
      <c r="AC110" s="301">
        <v>0</v>
      </c>
      <c r="AD110" s="301">
        <v>0</v>
      </c>
      <c r="AE110" s="126"/>
      <c r="AF110" s="298"/>
      <c r="AG110" s="299"/>
      <c r="AH110" s="299"/>
      <c r="AI110" s="301"/>
      <c r="AJ110" s="301"/>
      <c r="AK110" s="426"/>
      <c r="AL110" s="298"/>
      <c r="AM110" s="299"/>
      <c r="AN110" s="299"/>
      <c r="AO110" s="301"/>
      <c r="AP110" s="301"/>
      <c r="AQ110" s="426"/>
      <c r="AR110" s="298"/>
      <c r="AS110" s="299"/>
      <c r="AT110" s="299"/>
      <c r="AU110" s="301"/>
      <c r="AV110" s="301"/>
      <c r="AW110" s="88"/>
      <c r="AX110" s="298"/>
      <c r="AY110" s="299"/>
      <c r="AZ110" s="299"/>
      <c r="BA110" s="301"/>
      <c r="BB110" s="301"/>
      <c r="BC110" s="426"/>
      <c r="BD110" s="298"/>
      <c r="BE110" s="299"/>
      <c r="BF110" s="299"/>
      <c r="BG110" s="301"/>
      <c r="BH110" s="301"/>
      <c r="BI110" s="88"/>
      <c r="BJ110" s="298"/>
      <c r="BK110" s="299"/>
      <c r="BL110" s="299"/>
      <c r="BM110" s="301"/>
      <c r="BN110" s="301"/>
      <c r="BO110" s="88"/>
      <c r="BP110" s="9"/>
      <c r="BS110" s="81"/>
      <c r="BT110" s="81"/>
      <c r="BV110" s="9"/>
      <c r="BY110" s="81"/>
      <c r="BZ110" s="81"/>
      <c r="CB110" s="9"/>
      <c r="CE110" s="81"/>
      <c r="CF110" s="81"/>
      <c r="CH110" s="9"/>
      <c r="CK110" s="81"/>
      <c r="CL110" s="81"/>
      <c r="CR110" s="9"/>
      <c r="CS110" s="9"/>
      <c r="CT110" s="9"/>
      <c r="CU110" s="9"/>
      <c r="CV110" s="9"/>
      <c r="CW110" s="129"/>
      <c r="CX110" s="9"/>
    </row>
    <row r="111" spans="1:102">
      <c r="A111" s="6" t="str">
        <f t="shared" si="11"/>
        <v>00210753</v>
      </c>
      <c r="B111" s="6" t="s">
        <v>1671</v>
      </c>
      <c r="C111" s="6" t="s">
        <v>2049</v>
      </c>
      <c r="D111" s="6">
        <v>102</v>
      </c>
      <c r="E111" s="6">
        <v>21</v>
      </c>
      <c r="F111" s="6" t="s">
        <v>1140</v>
      </c>
      <c r="G111" s="6">
        <v>753</v>
      </c>
      <c r="H111" s="6" t="s">
        <v>1079</v>
      </c>
      <c r="I111" s="33">
        <v>10294721.162142074</v>
      </c>
      <c r="J111" s="88">
        <v>0.92402183734006804</v>
      </c>
      <c r="K111" s="89">
        <f t="shared" si="19"/>
        <v>10417949.309446694</v>
      </c>
      <c r="L111" s="88">
        <f>IF(K114&gt;0, K111/K114, 0)</f>
        <v>0.91952493182964234</v>
      </c>
      <c r="M111" s="58"/>
      <c r="N111" s="9">
        <f>ROUND(M114*L111,0)</f>
        <v>3988915</v>
      </c>
      <c r="O111" s="9">
        <v>3851659</v>
      </c>
      <c r="P111" s="9">
        <f>N111-O111</f>
        <v>137256</v>
      </c>
      <c r="Q111" s="40">
        <f t="shared" si="20"/>
        <v>3.5635553406986444</v>
      </c>
      <c r="R111" s="9">
        <v>742.77634195727001</v>
      </c>
      <c r="S111" s="9">
        <f t="shared" si="17"/>
        <v>726.18803419117</v>
      </c>
      <c r="T111" s="90">
        <f t="shared" si="12"/>
        <v>21</v>
      </c>
      <c r="U111" s="90">
        <f t="shared" si="13"/>
        <v>753</v>
      </c>
      <c r="V111" s="373">
        <f t="shared" si="14"/>
        <v>102</v>
      </c>
      <c r="W111" s="90">
        <f t="shared" si="15"/>
        <v>726.18803419117</v>
      </c>
      <c r="X111" s="90">
        <f t="shared" si="16"/>
        <v>10417949.309446694</v>
      </c>
      <c r="Y111" s="141">
        <f t="shared" si="18"/>
        <v>102</v>
      </c>
      <c r="Z111" s="298">
        <v>21</v>
      </c>
      <c r="AA111" s="299">
        <v>753</v>
      </c>
      <c r="AB111" s="299">
        <v>102</v>
      </c>
      <c r="AC111" s="301">
        <v>726.18803419117</v>
      </c>
      <c r="AD111" s="301">
        <v>10417949.309446694</v>
      </c>
      <c r="AE111" s="126"/>
      <c r="AF111" s="298"/>
      <c r="AG111" s="299"/>
      <c r="AH111" s="299"/>
      <c r="AI111" s="301"/>
      <c r="AJ111" s="301"/>
      <c r="AK111" s="426"/>
      <c r="AL111" s="298"/>
      <c r="AM111" s="299"/>
      <c r="AN111" s="299"/>
      <c r="AO111" s="301"/>
      <c r="AP111" s="301"/>
      <c r="AQ111" s="426"/>
      <c r="AR111" s="298"/>
      <c r="AS111" s="299"/>
      <c r="AT111" s="299"/>
      <c r="AU111" s="301"/>
      <c r="AV111" s="301"/>
      <c r="AW111" s="88"/>
      <c r="AX111" s="298"/>
      <c r="AY111" s="299"/>
      <c r="AZ111" s="299"/>
      <c r="BA111" s="301"/>
      <c r="BB111" s="301"/>
      <c r="BC111" s="426"/>
      <c r="BD111" s="298"/>
      <c r="BE111" s="299"/>
      <c r="BF111" s="299"/>
      <c r="BG111" s="301"/>
      <c r="BH111" s="301"/>
      <c r="BI111" s="88"/>
      <c r="BJ111" s="298"/>
      <c r="BK111" s="299"/>
      <c r="BL111" s="299"/>
      <c r="BM111" s="301"/>
      <c r="BN111" s="301"/>
      <c r="BO111" s="88"/>
      <c r="BP111" s="9"/>
      <c r="BS111" s="81"/>
      <c r="BT111" s="81"/>
      <c r="BV111" s="9"/>
      <c r="BY111" s="81"/>
      <c r="BZ111" s="81"/>
      <c r="CB111" s="9"/>
      <c r="CE111" s="81"/>
      <c r="CF111" s="81"/>
      <c r="CH111" s="9"/>
      <c r="CK111" s="81"/>
      <c r="CL111" s="81"/>
      <c r="CR111" s="9"/>
      <c r="CS111" s="9"/>
      <c r="CT111" s="9"/>
      <c r="CU111" s="9"/>
      <c r="CV111" s="9"/>
      <c r="CW111" s="129"/>
      <c r="CX111" s="9"/>
    </row>
    <row r="112" spans="1:102">
      <c r="A112" s="6" t="str">
        <f t="shared" si="11"/>
        <v>00210832</v>
      </c>
      <c r="B112" s="6" t="s">
        <v>1671</v>
      </c>
      <c r="C112" s="6" t="s">
        <v>2075</v>
      </c>
      <c r="D112" s="6">
        <v>103</v>
      </c>
      <c r="E112" s="6">
        <v>21</v>
      </c>
      <c r="F112" s="6" t="s">
        <v>1140</v>
      </c>
      <c r="G112" s="6">
        <v>832</v>
      </c>
      <c r="H112" s="6" t="s">
        <v>1105</v>
      </c>
      <c r="I112" s="33">
        <v>846488.65144516155</v>
      </c>
      <c r="J112" s="88">
        <v>7.5978162659931986E-2</v>
      </c>
      <c r="K112" s="89">
        <f t="shared" si="19"/>
        <v>911759.05280225503</v>
      </c>
      <c r="L112" s="88">
        <f>IF(K114&gt;0, K112/K114, 0)</f>
        <v>8.0475068170357628E-2</v>
      </c>
      <c r="M112" s="58"/>
      <c r="N112" s="9">
        <f>ROUND(M114*L112,0)</f>
        <v>349102</v>
      </c>
      <c r="O112" s="9">
        <v>316705</v>
      </c>
      <c r="P112" s="9">
        <f>N112-O112</f>
        <v>32397</v>
      </c>
      <c r="Q112" s="40">
        <f t="shared" si="20"/>
        <v>10.229393283970888</v>
      </c>
      <c r="R112" s="9">
        <v>42.057416266049998</v>
      </c>
      <c r="S112" s="9">
        <f t="shared" si="17"/>
        <v>45.00000000288</v>
      </c>
      <c r="T112" s="90">
        <f t="shared" si="12"/>
        <v>21</v>
      </c>
      <c r="U112" s="90">
        <f t="shared" si="13"/>
        <v>832</v>
      </c>
      <c r="V112" s="373">
        <f t="shared" si="14"/>
        <v>103</v>
      </c>
      <c r="W112" s="90">
        <f t="shared" si="15"/>
        <v>45.00000000288</v>
      </c>
      <c r="X112" s="90">
        <f t="shared" si="16"/>
        <v>911759.05280225503</v>
      </c>
      <c r="Y112" s="141">
        <f t="shared" si="18"/>
        <v>103</v>
      </c>
      <c r="Z112" s="298">
        <v>21</v>
      </c>
      <c r="AA112" s="299">
        <v>832</v>
      </c>
      <c r="AB112" s="299">
        <v>103</v>
      </c>
      <c r="AC112" s="301">
        <v>45.00000000288</v>
      </c>
      <c r="AD112" s="301">
        <v>911759.05280225503</v>
      </c>
      <c r="AE112" s="126"/>
      <c r="AF112" s="298"/>
      <c r="AG112" s="299"/>
      <c r="AH112" s="299"/>
      <c r="AI112" s="301"/>
      <c r="AJ112" s="301"/>
      <c r="AK112" s="426"/>
      <c r="AL112" s="298"/>
      <c r="AM112" s="299"/>
      <c r="AN112" s="299"/>
      <c r="AO112" s="301"/>
      <c r="AP112" s="301"/>
      <c r="AQ112" s="426"/>
      <c r="AR112" s="298"/>
      <c r="AS112" s="299"/>
      <c r="AT112" s="299"/>
      <c r="AU112" s="301"/>
      <c r="AV112" s="301"/>
      <c r="AW112" s="88"/>
      <c r="AX112" s="298"/>
      <c r="AY112" s="299"/>
      <c r="AZ112" s="299"/>
      <c r="BA112" s="301"/>
      <c r="BB112" s="301"/>
      <c r="BC112" s="426"/>
      <c r="BD112" s="298"/>
      <c r="BE112" s="299"/>
      <c r="BF112" s="299"/>
      <c r="BG112" s="301"/>
      <c r="BH112" s="301"/>
      <c r="BI112" s="88"/>
      <c r="BJ112" s="298"/>
      <c r="BK112" s="299"/>
      <c r="BL112" s="299"/>
      <c r="BM112" s="301"/>
      <c r="BN112" s="301"/>
      <c r="BO112" s="88"/>
      <c r="BP112" s="9"/>
      <c r="BS112" s="81"/>
      <c r="BT112" s="81"/>
      <c r="BV112" s="9"/>
      <c r="BY112" s="81"/>
      <c r="BZ112" s="81"/>
      <c r="CB112" s="9"/>
      <c r="CE112" s="81"/>
      <c r="CF112" s="81"/>
      <c r="CH112" s="9"/>
      <c r="CK112" s="81"/>
      <c r="CL112" s="81"/>
      <c r="CR112" s="9"/>
      <c r="CS112" s="9"/>
      <c r="CT112" s="9"/>
      <c r="CU112" s="9"/>
      <c r="CV112" s="9"/>
      <c r="CW112" s="129"/>
      <c r="CX112" s="9"/>
    </row>
    <row r="113" spans="1:102">
      <c r="A113" s="6" t="str">
        <f t="shared" si="11"/>
        <v>00210998</v>
      </c>
      <c r="B113" s="6" t="s">
        <v>1671</v>
      </c>
      <c r="C113" s="6" t="s">
        <v>2091</v>
      </c>
      <c r="D113" s="6">
        <v>104</v>
      </c>
      <c r="E113" s="6">
        <v>21</v>
      </c>
      <c r="F113" s="6" t="s">
        <v>1547</v>
      </c>
      <c r="G113" s="6">
        <v>998</v>
      </c>
      <c r="H113" s="6" t="s">
        <v>1547</v>
      </c>
      <c r="I113" s="33">
        <v>0</v>
      </c>
      <c r="J113" s="88">
        <v>0</v>
      </c>
      <c r="K113" s="89">
        <f t="shared" si="19"/>
        <v>0</v>
      </c>
      <c r="L113" s="88">
        <f>IF(K114&gt;0, K113/K114, 0)</f>
        <v>0</v>
      </c>
      <c r="M113" s="58"/>
      <c r="N113" s="9">
        <f>ROUND(M114*L113,0)</f>
        <v>0</v>
      </c>
      <c r="O113" s="9">
        <v>0</v>
      </c>
      <c r="P113" s="9">
        <f>N113-O113</f>
        <v>0</v>
      </c>
      <c r="Q113" s="40">
        <f t="shared" si="20"/>
        <v>0</v>
      </c>
      <c r="R113" s="9">
        <v>0</v>
      </c>
      <c r="S113" s="9">
        <f t="shared" si="17"/>
        <v>0</v>
      </c>
      <c r="T113" s="90">
        <f t="shared" si="12"/>
        <v>21</v>
      </c>
      <c r="U113" s="90">
        <f t="shared" si="13"/>
        <v>998</v>
      </c>
      <c r="V113" s="373">
        <f t="shared" si="14"/>
        <v>104</v>
      </c>
      <c r="W113" s="90">
        <f t="shared" si="15"/>
        <v>0</v>
      </c>
      <c r="X113" s="90">
        <f t="shared" si="16"/>
        <v>0</v>
      </c>
      <c r="Y113" s="141">
        <f t="shared" si="18"/>
        <v>104</v>
      </c>
      <c r="Z113" s="298">
        <v>21</v>
      </c>
      <c r="AA113" s="299">
        <v>998</v>
      </c>
      <c r="AB113" s="299">
        <v>104</v>
      </c>
      <c r="AC113" s="301">
        <v>0</v>
      </c>
      <c r="AD113" s="301">
        <v>0</v>
      </c>
      <c r="AE113" s="126"/>
      <c r="AF113" s="298"/>
      <c r="AG113" s="299"/>
      <c r="AH113" s="299"/>
      <c r="AI113" s="301"/>
      <c r="AJ113" s="301"/>
      <c r="AK113" s="426"/>
      <c r="AL113" s="298"/>
      <c r="AM113" s="299"/>
      <c r="AN113" s="299"/>
      <c r="AO113" s="301"/>
      <c r="AP113" s="301"/>
      <c r="AQ113" s="426"/>
      <c r="AR113" s="298"/>
      <c r="AS113" s="299"/>
      <c r="AT113" s="299"/>
      <c r="AU113" s="301"/>
      <c r="AV113" s="301"/>
      <c r="AW113" s="88"/>
      <c r="AX113" s="298"/>
      <c r="AY113" s="299"/>
      <c r="AZ113" s="299"/>
      <c r="BA113" s="301"/>
      <c r="BB113" s="301"/>
      <c r="BC113" s="426"/>
      <c r="BD113" s="298"/>
      <c r="BE113" s="299"/>
      <c r="BF113" s="299"/>
      <c r="BG113" s="301"/>
      <c r="BH113" s="301"/>
      <c r="BI113" s="88"/>
      <c r="BJ113" s="298"/>
      <c r="BK113" s="299"/>
      <c r="BL113" s="299"/>
      <c r="BM113" s="301"/>
      <c r="BN113" s="301"/>
      <c r="BO113" s="88"/>
      <c r="BP113" s="9"/>
      <c r="BS113" s="81"/>
      <c r="BT113" s="81"/>
      <c r="BV113" s="9"/>
      <c r="BY113" s="81"/>
      <c r="BZ113" s="81"/>
      <c r="CB113" s="9"/>
      <c r="CE113" s="81"/>
      <c r="CF113" s="81"/>
      <c r="CH113" s="9"/>
      <c r="CK113" s="81"/>
      <c r="CL113" s="81"/>
      <c r="CR113" s="9"/>
      <c r="CS113" s="9"/>
      <c r="CT113" s="9"/>
      <c r="CU113" s="9"/>
      <c r="CV113" s="9"/>
      <c r="CW113" s="129"/>
      <c r="CX113" s="9"/>
    </row>
    <row r="114" spans="1:102">
      <c r="A114" s="6" t="str">
        <f t="shared" si="11"/>
        <v>00210999</v>
      </c>
      <c r="B114" s="6" t="s">
        <v>1671</v>
      </c>
      <c r="C114" s="6" t="s">
        <v>2092</v>
      </c>
      <c r="D114" s="6">
        <v>105</v>
      </c>
      <c r="E114" s="10">
        <v>21</v>
      </c>
      <c r="F114" s="10" t="s">
        <v>1140</v>
      </c>
      <c r="G114" s="10">
        <v>999</v>
      </c>
      <c r="H114" s="10" t="s">
        <v>593</v>
      </c>
      <c r="I114" s="92">
        <v>11141209.813587235</v>
      </c>
      <c r="J114" s="472">
        <v>1</v>
      </c>
      <c r="K114" s="53">
        <f>SUM(K110:K113)</f>
        <v>11329708.36224895</v>
      </c>
      <c r="L114" s="91">
        <f>SUM(L110:L113)</f>
        <v>1</v>
      </c>
      <c r="M114" s="79">
        <f>VLOOKUP(E114,town351,24)</f>
        <v>4338017</v>
      </c>
      <c r="N114" s="79">
        <f>SUM(N110:N113)</f>
        <v>4338017</v>
      </c>
      <c r="O114" s="79">
        <v>4168364</v>
      </c>
      <c r="P114" s="79">
        <f>SUM(P110:P113)</f>
        <v>169653</v>
      </c>
      <c r="Q114" s="39">
        <f t="shared" si="20"/>
        <v>4.0700140390810402</v>
      </c>
      <c r="R114" s="9">
        <v>784.83375822332005</v>
      </c>
      <c r="S114" s="9">
        <f t="shared" si="17"/>
        <v>771.18803419405003</v>
      </c>
      <c r="T114" s="90">
        <f t="shared" si="12"/>
        <v>21</v>
      </c>
      <c r="U114" s="90">
        <f t="shared" si="13"/>
        <v>999</v>
      </c>
      <c r="V114" s="373">
        <f t="shared" si="14"/>
        <v>105</v>
      </c>
      <c r="W114" s="90">
        <f t="shared" si="15"/>
        <v>771.18803419405003</v>
      </c>
      <c r="X114" s="90">
        <f t="shared" si="16"/>
        <v>11329708.36224895</v>
      </c>
      <c r="Y114" s="141">
        <f t="shared" si="18"/>
        <v>105</v>
      </c>
      <c r="Z114" s="298">
        <v>21</v>
      </c>
      <c r="AA114" s="299">
        <v>999</v>
      </c>
      <c r="AB114" s="299">
        <v>105</v>
      </c>
      <c r="AC114" s="301">
        <v>771.18803419405003</v>
      </c>
      <c r="AD114" s="301">
        <v>11329708.36224895</v>
      </c>
      <c r="AE114" s="126"/>
      <c r="AF114" s="298"/>
      <c r="AG114" s="299"/>
      <c r="AH114" s="299"/>
      <c r="AI114" s="301"/>
      <c r="AJ114" s="301"/>
      <c r="AK114" s="426"/>
      <c r="AL114" s="298"/>
      <c r="AM114" s="299"/>
      <c r="AN114" s="299"/>
      <c r="AO114" s="301"/>
      <c r="AP114" s="301"/>
      <c r="AQ114" s="426"/>
      <c r="AR114" s="298"/>
      <c r="AS114" s="299"/>
      <c r="AT114" s="299"/>
      <c r="AU114" s="301"/>
      <c r="AV114" s="301"/>
      <c r="AW114" s="91"/>
      <c r="AX114" s="298"/>
      <c r="AY114" s="299"/>
      <c r="AZ114" s="299"/>
      <c r="BA114" s="301"/>
      <c r="BB114" s="301"/>
      <c r="BC114" s="426"/>
      <c r="BD114" s="298"/>
      <c r="BE114" s="299"/>
      <c r="BF114" s="299"/>
      <c r="BG114" s="301"/>
      <c r="BH114" s="301"/>
      <c r="BI114" s="91"/>
      <c r="BJ114" s="298"/>
      <c r="BK114" s="299"/>
      <c r="BL114" s="299"/>
      <c r="BM114" s="301"/>
      <c r="BN114" s="301"/>
      <c r="BO114" s="91"/>
      <c r="BP114" s="9"/>
      <c r="BS114" s="81"/>
      <c r="BT114" s="81"/>
      <c r="BV114" s="9"/>
      <c r="BY114" s="81"/>
      <c r="BZ114" s="81"/>
      <c r="CB114" s="9"/>
      <c r="CE114" s="81"/>
      <c r="CF114" s="81"/>
      <c r="CH114" s="9"/>
      <c r="CK114" s="81"/>
      <c r="CL114" s="81"/>
      <c r="CR114" s="9"/>
      <c r="CS114" s="9"/>
      <c r="CT114" s="9"/>
      <c r="CU114" s="9"/>
      <c r="CV114" s="9"/>
      <c r="CW114" s="129"/>
      <c r="CX114" s="9"/>
    </row>
    <row r="115" spans="1:102">
      <c r="A115" s="6" t="str">
        <f t="shared" si="11"/>
        <v>00220022</v>
      </c>
      <c r="B115" s="6" t="s">
        <v>1672</v>
      </c>
      <c r="C115" s="6" t="s">
        <v>1672</v>
      </c>
      <c r="D115" s="6">
        <v>106</v>
      </c>
      <c r="E115" s="6">
        <v>22</v>
      </c>
      <c r="F115" s="6" t="s">
        <v>1141</v>
      </c>
      <c r="G115" s="6">
        <v>22</v>
      </c>
      <c r="H115" s="6" t="s">
        <v>703</v>
      </c>
      <c r="I115" s="33">
        <v>261641.76000000004</v>
      </c>
      <c r="J115" s="88">
        <v>8.3916606743312486E-2</v>
      </c>
      <c r="K115" s="89">
        <f>X115</f>
        <v>250517.91</v>
      </c>
      <c r="L115" s="88">
        <f>IF(K119&gt;0, K115/K119, 0)</f>
        <v>8.4639467633270696E-2</v>
      </c>
      <c r="M115" s="58"/>
      <c r="N115" s="9">
        <f>ROUND(M119*L115,0)</f>
        <v>198708</v>
      </c>
      <c r="O115" s="9">
        <v>189361</v>
      </c>
      <c r="P115" s="9">
        <f>N115-O115</f>
        <v>9347</v>
      </c>
      <c r="Q115" s="40">
        <f t="shared" si="20"/>
        <v>4.9360744820739226</v>
      </c>
      <c r="R115" s="9">
        <v>14</v>
      </c>
      <c r="S115" s="9">
        <f t="shared" si="17"/>
        <v>13</v>
      </c>
      <c r="T115" s="90">
        <f t="shared" si="12"/>
        <v>22</v>
      </c>
      <c r="U115" s="90">
        <f t="shared" si="13"/>
        <v>22</v>
      </c>
      <c r="V115" s="373">
        <f t="shared" si="14"/>
        <v>106</v>
      </c>
      <c r="W115" s="90">
        <f t="shared" si="15"/>
        <v>13</v>
      </c>
      <c r="X115" s="90">
        <f t="shared" si="16"/>
        <v>250517.91</v>
      </c>
      <c r="Y115" s="141">
        <f t="shared" si="18"/>
        <v>106</v>
      </c>
      <c r="Z115" s="298">
        <v>22</v>
      </c>
      <c r="AA115" s="299">
        <v>22</v>
      </c>
      <c r="AB115" s="299">
        <v>106</v>
      </c>
      <c r="AC115" s="301">
        <v>13</v>
      </c>
      <c r="AD115" s="301">
        <v>250517.91</v>
      </c>
      <c r="AE115" s="126"/>
      <c r="AF115" s="298"/>
      <c r="AG115" s="299"/>
      <c r="AH115" s="299"/>
      <c r="AI115" s="301"/>
      <c r="AJ115" s="301"/>
      <c r="AK115" s="426"/>
      <c r="AL115" s="298"/>
      <c r="AM115" s="299"/>
      <c r="AN115" s="299"/>
      <c r="AO115" s="301"/>
      <c r="AP115" s="301"/>
      <c r="AQ115" s="426"/>
      <c r="AR115" s="298"/>
      <c r="AS115" s="299"/>
      <c r="AT115" s="299"/>
      <c r="AU115" s="301"/>
      <c r="AV115" s="301"/>
      <c r="AW115" s="88"/>
      <c r="AX115" s="298"/>
      <c r="AY115" s="299"/>
      <c r="AZ115" s="299"/>
      <c r="BA115" s="301"/>
      <c r="BB115" s="301"/>
      <c r="BC115" s="426"/>
      <c r="BD115" s="298"/>
      <c r="BE115" s="299"/>
      <c r="BF115" s="299"/>
      <c r="BG115" s="301"/>
      <c r="BH115" s="301"/>
      <c r="BI115" s="88"/>
      <c r="BJ115" s="298"/>
      <c r="BK115" s="299"/>
      <c r="BL115" s="299"/>
      <c r="BM115" s="301"/>
      <c r="BN115" s="301"/>
      <c r="BO115" s="88"/>
      <c r="BP115" s="9"/>
      <c r="BS115" s="81"/>
      <c r="BT115" s="81"/>
      <c r="BV115" s="9"/>
      <c r="BY115" s="81"/>
      <c r="BZ115" s="81"/>
      <c r="CB115" s="9"/>
      <c r="CE115" s="81"/>
      <c r="CF115" s="81"/>
      <c r="CH115" s="9"/>
      <c r="CK115" s="81"/>
      <c r="CL115" s="81"/>
      <c r="CR115" s="9"/>
      <c r="CS115" s="9"/>
      <c r="CT115" s="9"/>
      <c r="CU115" s="9"/>
      <c r="CV115" s="9"/>
      <c r="CW115" s="129"/>
      <c r="CX115" s="9"/>
    </row>
    <row r="116" spans="1:102">
      <c r="A116" s="6" t="str">
        <f t="shared" si="11"/>
        <v>00220635</v>
      </c>
      <c r="B116" s="6" t="s">
        <v>1672</v>
      </c>
      <c r="C116" s="6" t="s">
        <v>2015</v>
      </c>
      <c r="D116" s="6">
        <v>107</v>
      </c>
      <c r="E116" s="6">
        <v>22</v>
      </c>
      <c r="F116" s="6" t="s">
        <v>1141</v>
      </c>
      <c r="G116" s="6">
        <v>635</v>
      </c>
      <c r="H116" s="6" t="s">
        <v>1045</v>
      </c>
      <c r="I116" s="33">
        <v>2856236.454503125</v>
      </c>
      <c r="J116" s="88">
        <v>0.91608339325668742</v>
      </c>
      <c r="K116" s="89">
        <f t="shared" si="19"/>
        <v>2709305.8814899717</v>
      </c>
      <c r="L116" s="88">
        <f>IF(K119&gt;0, K116/K119, 0)</f>
        <v>0.91536053236672921</v>
      </c>
      <c r="M116" s="58"/>
      <c r="N116" s="9">
        <f>ROUND(M119*L116,0)</f>
        <v>2148988</v>
      </c>
      <c r="O116" s="9">
        <v>2067171</v>
      </c>
      <c r="P116" s="9">
        <f>N116-O116</f>
        <v>81817</v>
      </c>
      <c r="Q116" s="40">
        <f t="shared" si="20"/>
        <v>3.9579212363176532</v>
      </c>
      <c r="R116" s="9">
        <v>199.70668396823999</v>
      </c>
      <c r="S116" s="9">
        <f t="shared" si="17"/>
        <v>184.10824742016001</v>
      </c>
      <c r="T116" s="90">
        <f t="shared" si="12"/>
        <v>22</v>
      </c>
      <c r="U116" s="90">
        <f t="shared" si="13"/>
        <v>635</v>
      </c>
      <c r="V116" s="373">
        <f t="shared" si="14"/>
        <v>107</v>
      </c>
      <c r="W116" s="90">
        <f t="shared" si="15"/>
        <v>184.10824742016001</v>
      </c>
      <c r="X116" s="90">
        <f t="shared" si="16"/>
        <v>2709305.8814899717</v>
      </c>
      <c r="Y116" s="141">
        <f t="shared" si="18"/>
        <v>107</v>
      </c>
      <c r="Z116" s="298">
        <v>22</v>
      </c>
      <c r="AA116" s="299">
        <v>635</v>
      </c>
      <c r="AB116" s="299">
        <v>107</v>
      </c>
      <c r="AC116" s="301">
        <v>184.10824742016001</v>
      </c>
      <c r="AD116" s="301">
        <v>2709305.8814899717</v>
      </c>
      <c r="AE116" s="126"/>
      <c r="AF116" s="298"/>
      <c r="AG116" s="299"/>
      <c r="AH116" s="299"/>
      <c r="AI116" s="301"/>
      <c r="AJ116" s="301"/>
      <c r="AK116" s="426"/>
      <c r="AL116" s="298"/>
      <c r="AM116" s="299"/>
      <c r="AN116" s="299"/>
      <c r="AO116" s="301"/>
      <c r="AP116" s="301"/>
      <c r="AQ116" s="426"/>
      <c r="AR116" s="298"/>
      <c r="AS116" s="299"/>
      <c r="AT116" s="299"/>
      <c r="AU116" s="301"/>
      <c r="AV116" s="301"/>
      <c r="AW116" s="88"/>
      <c r="AX116" s="298"/>
      <c r="AY116" s="299"/>
      <c r="AZ116" s="299"/>
      <c r="BA116" s="301"/>
      <c r="BB116" s="301"/>
      <c r="BC116" s="426"/>
      <c r="BD116" s="298"/>
      <c r="BE116" s="299"/>
      <c r="BF116" s="299"/>
      <c r="BG116" s="301"/>
      <c r="BH116" s="301"/>
      <c r="BI116" s="88"/>
      <c r="BJ116" s="298"/>
      <c r="BK116" s="299"/>
      <c r="BL116" s="299"/>
      <c r="BM116" s="301"/>
      <c r="BN116" s="301"/>
      <c r="BO116" s="88"/>
      <c r="BP116" s="9"/>
      <c r="BS116" s="81"/>
      <c r="BT116" s="81"/>
      <c r="BV116" s="9"/>
      <c r="BY116" s="81"/>
      <c r="BZ116" s="81"/>
      <c r="CB116" s="9"/>
      <c r="CE116" s="81"/>
      <c r="CF116" s="81"/>
      <c r="CH116" s="9"/>
      <c r="CK116" s="81"/>
      <c r="CL116" s="81"/>
      <c r="CR116" s="9"/>
      <c r="CS116" s="9"/>
      <c r="CT116" s="9"/>
      <c r="CU116" s="9"/>
      <c r="CV116" s="9"/>
      <c r="CW116" s="129"/>
      <c r="CX116" s="9"/>
    </row>
    <row r="117" spans="1:102">
      <c r="A117" s="6" t="str">
        <f t="shared" si="11"/>
        <v>00220998</v>
      </c>
      <c r="B117" s="6" t="s">
        <v>1672</v>
      </c>
      <c r="C117" s="6" t="s">
        <v>2091</v>
      </c>
      <c r="D117" s="6">
        <v>108</v>
      </c>
      <c r="E117" s="6">
        <v>22</v>
      </c>
      <c r="F117" s="6" t="s">
        <v>1547</v>
      </c>
      <c r="G117" s="6">
        <v>998</v>
      </c>
      <c r="H117" s="6" t="s">
        <v>1547</v>
      </c>
      <c r="I117" s="33">
        <v>0</v>
      </c>
      <c r="J117" s="88">
        <v>0</v>
      </c>
      <c r="K117" s="89">
        <f t="shared" si="19"/>
        <v>0</v>
      </c>
      <c r="L117" s="88">
        <f>IF(K119&gt;0, K117/K119, 0)</f>
        <v>0</v>
      </c>
      <c r="M117" s="58"/>
      <c r="N117" s="9">
        <f>ROUND(M119*L117,0)</f>
        <v>0</v>
      </c>
      <c r="O117" s="9">
        <v>0</v>
      </c>
      <c r="P117" s="9">
        <f>N117-O117</f>
        <v>0</v>
      </c>
      <c r="Q117" s="40">
        <f t="shared" si="20"/>
        <v>0</v>
      </c>
      <c r="R117" s="9">
        <v>0</v>
      </c>
      <c r="S117" s="9">
        <f t="shared" si="17"/>
        <v>0</v>
      </c>
      <c r="T117" s="90">
        <f t="shared" si="12"/>
        <v>22</v>
      </c>
      <c r="U117" s="90">
        <f t="shared" si="13"/>
        <v>998</v>
      </c>
      <c r="V117" s="373">
        <f t="shared" si="14"/>
        <v>108</v>
      </c>
      <c r="W117" s="90">
        <f t="shared" si="15"/>
        <v>0</v>
      </c>
      <c r="X117" s="90">
        <f t="shared" si="16"/>
        <v>0</v>
      </c>
      <c r="Y117" s="141">
        <f t="shared" si="18"/>
        <v>108</v>
      </c>
      <c r="Z117" s="298">
        <v>22</v>
      </c>
      <c r="AA117" s="299">
        <v>998</v>
      </c>
      <c r="AB117" s="299">
        <v>108</v>
      </c>
      <c r="AC117" s="301">
        <v>0</v>
      </c>
      <c r="AD117" s="301">
        <v>0</v>
      </c>
      <c r="AE117" s="126"/>
      <c r="AF117" s="298"/>
      <c r="AG117" s="299"/>
      <c r="AH117" s="299"/>
      <c r="AI117" s="301"/>
      <c r="AJ117" s="301"/>
      <c r="AK117" s="426"/>
      <c r="AL117" s="298"/>
      <c r="AM117" s="299"/>
      <c r="AN117" s="299"/>
      <c r="AO117" s="301"/>
      <c r="AP117" s="301"/>
      <c r="AQ117" s="426"/>
      <c r="AR117" s="298"/>
      <c r="AS117" s="299"/>
      <c r="AT117" s="299"/>
      <c r="AU117" s="301"/>
      <c r="AV117" s="301"/>
      <c r="AW117" s="88"/>
      <c r="AX117" s="298"/>
      <c r="AY117" s="299"/>
      <c r="AZ117" s="299"/>
      <c r="BA117" s="301"/>
      <c r="BB117" s="301"/>
      <c r="BC117" s="426"/>
      <c r="BD117" s="298"/>
      <c r="BE117" s="299"/>
      <c r="BF117" s="299"/>
      <c r="BG117" s="301"/>
      <c r="BH117" s="301"/>
      <c r="BI117" s="88"/>
      <c r="BJ117" s="298"/>
      <c r="BK117" s="299"/>
      <c r="BL117" s="299"/>
      <c r="BM117" s="301"/>
      <c r="BN117" s="301"/>
      <c r="BO117" s="88"/>
      <c r="BP117" s="9"/>
      <c r="BS117" s="81"/>
      <c r="BT117" s="81"/>
      <c r="BV117" s="9"/>
      <c r="BY117" s="81"/>
      <c r="BZ117" s="81"/>
      <c r="CB117" s="9"/>
      <c r="CE117" s="81"/>
      <c r="CF117" s="81"/>
      <c r="CH117" s="9"/>
      <c r="CK117" s="81"/>
      <c r="CL117" s="81"/>
      <c r="CR117" s="9"/>
      <c r="CS117" s="9"/>
      <c r="CT117" s="9"/>
      <c r="CU117" s="9"/>
      <c r="CV117" s="9"/>
      <c r="CW117" s="129"/>
      <c r="CX117" s="9"/>
    </row>
    <row r="118" spans="1:102">
      <c r="A118" s="6" t="str">
        <f t="shared" si="11"/>
        <v>00220998</v>
      </c>
      <c r="B118" s="6" t="s">
        <v>1672</v>
      </c>
      <c r="C118" s="6" t="s">
        <v>2091</v>
      </c>
      <c r="D118" s="6">
        <v>109</v>
      </c>
      <c r="E118" s="6">
        <v>22</v>
      </c>
      <c r="F118" s="6" t="s">
        <v>1547</v>
      </c>
      <c r="G118" s="6">
        <v>998</v>
      </c>
      <c r="H118" s="6" t="s">
        <v>1547</v>
      </c>
      <c r="I118" s="33">
        <v>0</v>
      </c>
      <c r="J118" s="88">
        <v>0</v>
      </c>
      <c r="K118" s="89">
        <f t="shared" si="19"/>
        <v>0</v>
      </c>
      <c r="L118" s="88">
        <f>IF(K119&gt;0, K118/K119, 0)</f>
        <v>0</v>
      </c>
      <c r="M118" s="58"/>
      <c r="N118" s="9">
        <f>ROUND(M119*L118,0)</f>
        <v>0</v>
      </c>
      <c r="O118" s="9">
        <v>0</v>
      </c>
      <c r="P118" s="9">
        <f>N118-O118</f>
        <v>0</v>
      </c>
      <c r="Q118" s="40">
        <f t="shared" si="20"/>
        <v>0</v>
      </c>
      <c r="R118" s="9">
        <v>0</v>
      </c>
      <c r="S118" s="9">
        <f t="shared" si="17"/>
        <v>0</v>
      </c>
      <c r="T118" s="90">
        <f t="shared" si="12"/>
        <v>22</v>
      </c>
      <c r="U118" s="90">
        <f t="shared" si="13"/>
        <v>998</v>
      </c>
      <c r="V118" s="373">
        <f t="shared" si="14"/>
        <v>109</v>
      </c>
      <c r="W118" s="90">
        <f t="shared" si="15"/>
        <v>0</v>
      </c>
      <c r="X118" s="90">
        <f t="shared" si="16"/>
        <v>0</v>
      </c>
      <c r="Y118" s="141">
        <f t="shared" si="18"/>
        <v>109</v>
      </c>
      <c r="Z118" s="298">
        <v>22</v>
      </c>
      <c r="AA118" s="299">
        <v>998</v>
      </c>
      <c r="AB118" s="299">
        <v>109</v>
      </c>
      <c r="AC118" s="301">
        <v>0</v>
      </c>
      <c r="AD118" s="301">
        <v>0</v>
      </c>
      <c r="AE118" s="126"/>
      <c r="AF118" s="298"/>
      <c r="AG118" s="299"/>
      <c r="AH118" s="299"/>
      <c r="AI118" s="301"/>
      <c r="AJ118" s="301"/>
      <c r="AK118" s="426"/>
      <c r="AL118" s="298"/>
      <c r="AM118" s="299"/>
      <c r="AN118" s="299"/>
      <c r="AO118" s="301"/>
      <c r="AP118" s="301"/>
      <c r="AQ118" s="426"/>
      <c r="AR118" s="298"/>
      <c r="AS118" s="299"/>
      <c r="AT118" s="299"/>
      <c r="AU118" s="301"/>
      <c r="AV118" s="301"/>
      <c r="AW118" s="88"/>
      <c r="AX118" s="298"/>
      <c r="AY118" s="299"/>
      <c r="AZ118" s="299"/>
      <c r="BA118" s="301"/>
      <c r="BB118" s="301"/>
      <c r="BC118" s="426"/>
      <c r="BD118" s="298"/>
      <c r="BE118" s="299"/>
      <c r="BF118" s="299"/>
      <c r="BG118" s="301"/>
      <c r="BH118" s="301"/>
      <c r="BI118" s="88"/>
      <c r="BJ118" s="298"/>
      <c r="BK118" s="299"/>
      <c r="BL118" s="299"/>
      <c r="BM118" s="301"/>
      <c r="BN118" s="301"/>
      <c r="BO118" s="88"/>
      <c r="BP118" s="9"/>
      <c r="BS118" s="81"/>
      <c r="BT118" s="81"/>
      <c r="BV118" s="9"/>
      <c r="BY118" s="81"/>
      <c r="BZ118" s="81"/>
      <c r="CB118" s="9"/>
      <c r="CE118" s="81"/>
      <c r="CF118" s="81"/>
      <c r="CH118" s="9"/>
      <c r="CK118" s="81"/>
      <c r="CL118" s="81"/>
      <c r="CR118" s="9"/>
      <c r="CS118" s="9"/>
      <c r="CT118" s="9"/>
      <c r="CU118" s="9"/>
      <c r="CV118" s="9"/>
      <c r="CW118" s="129"/>
      <c r="CX118" s="9"/>
    </row>
    <row r="119" spans="1:102">
      <c r="A119" s="6" t="str">
        <f t="shared" si="11"/>
        <v>00220999</v>
      </c>
      <c r="B119" s="6" t="s">
        <v>1672</v>
      </c>
      <c r="C119" s="6" t="s">
        <v>2092</v>
      </c>
      <c r="D119" s="6">
        <v>110</v>
      </c>
      <c r="E119" s="10">
        <v>22</v>
      </c>
      <c r="F119" s="10" t="s">
        <v>1141</v>
      </c>
      <c r="G119" s="10">
        <v>999</v>
      </c>
      <c r="H119" s="10" t="s">
        <v>593</v>
      </c>
      <c r="I119" s="92">
        <v>3117878.2145031253</v>
      </c>
      <c r="J119" s="472">
        <v>0.99999999999999989</v>
      </c>
      <c r="K119" s="53">
        <f>SUM(K115:K118)</f>
        <v>2959823.7914899718</v>
      </c>
      <c r="L119" s="91">
        <f>SUM(L115:L118)</f>
        <v>0.99999999999999989</v>
      </c>
      <c r="M119" s="79">
        <f>VLOOKUP(E119,town351,24)</f>
        <v>2347696</v>
      </c>
      <c r="N119" s="79">
        <f>SUM(N115:N118)</f>
        <v>2347696</v>
      </c>
      <c r="O119" s="79">
        <v>2256532</v>
      </c>
      <c r="P119" s="79">
        <f>SUM(P115:P118)</f>
        <v>91164</v>
      </c>
      <c r="Q119" s="39">
        <f t="shared" si="20"/>
        <v>4.0400047506527716</v>
      </c>
      <c r="R119" s="9">
        <v>213.70668396823999</v>
      </c>
      <c r="S119" s="9">
        <f t="shared" si="17"/>
        <v>197.10824742016001</v>
      </c>
      <c r="T119" s="90">
        <f t="shared" si="12"/>
        <v>22</v>
      </c>
      <c r="U119" s="90">
        <f t="shared" si="13"/>
        <v>999</v>
      </c>
      <c r="V119" s="373">
        <f t="shared" si="14"/>
        <v>110</v>
      </c>
      <c r="W119" s="90">
        <f t="shared" si="15"/>
        <v>197.10824742016001</v>
      </c>
      <c r="X119" s="90">
        <f t="shared" si="16"/>
        <v>2959823.7914899718</v>
      </c>
      <c r="Y119" s="141">
        <f t="shared" si="18"/>
        <v>110</v>
      </c>
      <c r="Z119" s="298">
        <v>22</v>
      </c>
      <c r="AA119" s="299">
        <v>999</v>
      </c>
      <c r="AB119" s="299">
        <v>110</v>
      </c>
      <c r="AC119" s="301">
        <v>197.10824742016001</v>
      </c>
      <c r="AD119" s="301">
        <v>2959823.7914899718</v>
      </c>
      <c r="AE119" s="126"/>
      <c r="AF119" s="298"/>
      <c r="AG119" s="299"/>
      <c r="AH119" s="299"/>
      <c r="AI119" s="301"/>
      <c r="AJ119" s="301"/>
      <c r="AK119" s="426"/>
      <c r="AL119" s="298"/>
      <c r="AM119" s="299"/>
      <c r="AN119" s="299"/>
      <c r="AO119" s="301"/>
      <c r="AP119" s="301"/>
      <c r="AQ119" s="426"/>
      <c r="AR119" s="298"/>
      <c r="AS119" s="299"/>
      <c r="AT119" s="299"/>
      <c r="AU119" s="301"/>
      <c r="AV119" s="301"/>
      <c r="AW119" s="91"/>
      <c r="AX119" s="298"/>
      <c r="AY119" s="299"/>
      <c r="AZ119" s="299"/>
      <c r="BA119" s="301"/>
      <c r="BB119" s="301"/>
      <c r="BC119" s="426"/>
      <c r="BD119" s="298"/>
      <c r="BE119" s="299"/>
      <c r="BF119" s="299"/>
      <c r="BG119" s="301"/>
      <c r="BH119" s="301"/>
      <c r="BI119" s="91"/>
      <c r="BJ119" s="298"/>
      <c r="BK119" s="299"/>
      <c r="BL119" s="299"/>
      <c r="BM119" s="301"/>
      <c r="BN119" s="301"/>
      <c r="BO119" s="91"/>
      <c r="BP119" s="9"/>
      <c r="BS119" s="81"/>
      <c r="BT119" s="81"/>
      <c r="BV119" s="9"/>
      <c r="BY119" s="81"/>
      <c r="BZ119" s="81"/>
      <c r="CB119" s="9"/>
      <c r="CE119" s="81"/>
      <c r="CF119" s="81"/>
      <c r="CH119" s="9"/>
      <c r="CK119" s="81"/>
      <c r="CL119" s="81"/>
      <c r="CR119" s="9"/>
      <c r="CS119" s="9"/>
      <c r="CT119" s="9"/>
      <c r="CU119" s="9"/>
      <c r="CV119" s="9"/>
      <c r="CW119" s="129"/>
      <c r="CX119" s="9"/>
    </row>
    <row r="120" spans="1:102">
      <c r="A120" s="6" t="str">
        <f t="shared" si="11"/>
        <v>00230023</v>
      </c>
      <c r="B120" s="6" t="s">
        <v>1673</v>
      </c>
      <c r="C120" s="6" t="s">
        <v>1673</v>
      </c>
      <c r="D120" s="6">
        <v>111</v>
      </c>
      <c r="E120" s="6">
        <v>23</v>
      </c>
      <c r="F120" s="6" t="s">
        <v>1142</v>
      </c>
      <c r="G120" s="6">
        <v>23</v>
      </c>
      <c r="H120" s="6" t="s">
        <v>704</v>
      </c>
      <c r="I120" s="33">
        <v>33265363.043120004</v>
      </c>
      <c r="J120" s="88">
        <v>0.97844643397163145</v>
      </c>
      <c r="K120" s="89">
        <f>X120</f>
        <v>34828204.54556001</v>
      </c>
      <c r="L120" s="88">
        <f>IF(K124&gt;0, K120/K124, 0)</f>
        <v>0.97835296871772304</v>
      </c>
      <c r="M120" s="58"/>
      <c r="N120" s="9">
        <f>ROUND(M124*L120,0)</f>
        <v>28733269</v>
      </c>
      <c r="O120" s="9">
        <v>27443924</v>
      </c>
      <c r="P120" s="9">
        <f>N120-O120</f>
        <v>1289345</v>
      </c>
      <c r="Q120" s="40">
        <f t="shared" si="20"/>
        <v>4.6981073114763037</v>
      </c>
      <c r="R120" s="9">
        <v>2549</v>
      </c>
      <c r="S120" s="9">
        <f t="shared" si="17"/>
        <v>2579</v>
      </c>
      <c r="T120" s="90">
        <f t="shared" si="12"/>
        <v>23</v>
      </c>
      <c r="U120" s="90">
        <f t="shared" si="13"/>
        <v>23</v>
      </c>
      <c r="V120" s="373">
        <f t="shared" si="14"/>
        <v>111</v>
      </c>
      <c r="W120" s="90">
        <f t="shared" si="15"/>
        <v>2579</v>
      </c>
      <c r="X120" s="90">
        <f t="shared" si="16"/>
        <v>34828204.54556001</v>
      </c>
      <c r="Y120" s="141">
        <f t="shared" si="18"/>
        <v>111</v>
      </c>
      <c r="Z120" s="298">
        <v>23</v>
      </c>
      <c r="AA120" s="299">
        <v>23</v>
      </c>
      <c r="AB120" s="299">
        <v>111</v>
      </c>
      <c r="AC120" s="301">
        <v>2579</v>
      </c>
      <c r="AD120" s="301">
        <v>34828204.54556001</v>
      </c>
      <c r="AE120" s="126"/>
      <c r="AF120" s="298"/>
      <c r="AG120" s="299"/>
      <c r="AH120" s="299"/>
      <c r="AI120" s="301"/>
      <c r="AJ120" s="301"/>
      <c r="AK120" s="426"/>
      <c r="AL120" s="298"/>
      <c r="AM120" s="299"/>
      <c r="AN120" s="299"/>
      <c r="AO120" s="301"/>
      <c r="AP120" s="301"/>
      <c r="AQ120" s="426"/>
      <c r="AR120" s="298"/>
      <c r="AS120" s="299"/>
      <c r="AT120" s="299"/>
      <c r="AU120" s="301"/>
      <c r="AV120" s="301"/>
      <c r="AW120" s="88"/>
      <c r="AX120" s="298"/>
      <c r="AY120" s="299"/>
      <c r="AZ120" s="299"/>
      <c r="BA120" s="301"/>
      <c r="BB120" s="301"/>
      <c r="BC120" s="426"/>
      <c r="BD120" s="298"/>
      <c r="BE120" s="299"/>
      <c r="BF120" s="299"/>
      <c r="BG120" s="301"/>
      <c r="BH120" s="301"/>
      <c r="BI120" s="88"/>
      <c r="BJ120" s="298"/>
      <c r="BK120" s="299"/>
      <c r="BL120" s="299"/>
      <c r="BM120" s="301"/>
      <c r="BN120" s="301"/>
      <c r="BO120" s="88"/>
      <c r="BP120" s="9"/>
      <c r="BS120" s="81"/>
      <c r="BT120" s="81"/>
      <c r="BV120" s="9"/>
      <c r="BY120" s="81"/>
      <c r="BZ120" s="81"/>
      <c r="CB120" s="9"/>
      <c r="CE120" s="81"/>
      <c r="CF120" s="81"/>
      <c r="CH120" s="9"/>
      <c r="CK120" s="81"/>
      <c r="CL120" s="81"/>
      <c r="CR120" s="9"/>
      <c r="CS120" s="9"/>
      <c r="CT120" s="9"/>
      <c r="CU120" s="9"/>
      <c r="CV120" s="9"/>
      <c r="CW120" s="129"/>
      <c r="CX120" s="9"/>
    </row>
    <row r="121" spans="1:102">
      <c r="A121" s="6" t="str">
        <f t="shared" si="11"/>
        <v>00230871</v>
      </c>
      <c r="B121" s="6" t="s">
        <v>1673</v>
      </c>
      <c r="C121" s="6" t="s">
        <v>2081</v>
      </c>
      <c r="D121" s="6">
        <v>112</v>
      </c>
      <c r="E121" s="6">
        <v>23</v>
      </c>
      <c r="F121" s="6" t="s">
        <v>1142</v>
      </c>
      <c r="G121" s="6">
        <v>871</v>
      </c>
      <c r="H121" s="6" t="s">
        <v>1111</v>
      </c>
      <c r="I121" s="33">
        <v>732781.24781670235</v>
      </c>
      <c r="J121" s="88">
        <v>2.1553566028368453E-2</v>
      </c>
      <c r="K121" s="89">
        <f t="shared" si="19"/>
        <v>770608.62225564034</v>
      </c>
      <c r="L121" s="88">
        <f>IF(K124&gt;0, K121/K124, 0)</f>
        <v>2.1647031282277018E-2</v>
      </c>
      <c r="M121" s="58"/>
      <c r="N121" s="9">
        <f>ROUND(M124*L121,0)</f>
        <v>635752</v>
      </c>
      <c r="O121" s="9">
        <v>604545</v>
      </c>
      <c r="P121" s="9">
        <f>N121-O121</f>
        <v>31207</v>
      </c>
      <c r="Q121" s="40">
        <f t="shared" si="20"/>
        <v>5.1620640316270912</v>
      </c>
      <c r="R121" s="9">
        <v>37.999999995300001</v>
      </c>
      <c r="S121" s="9">
        <f t="shared" si="17"/>
        <v>38.99999999808</v>
      </c>
      <c r="T121" s="90">
        <f t="shared" si="12"/>
        <v>23</v>
      </c>
      <c r="U121" s="90">
        <f t="shared" si="13"/>
        <v>871</v>
      </c>
      <c r="V121" s="373">
        <f t="shared" si="14"/>
        <v>112</v>
      </c>
      <c r="W121" s="90">
        <f t="shared" si="15"/>
        <v>38.99999999808</v>
      </c>
      <c r="X121" s="90">
        <f t="shared" si="16"/>
        <v>770608.62225564034</v>
      </c>
      <c r="Y121" s="141">
        <f t="shared" si="18"/>
        <v>112</v>
      </c>
      <c r="Z121" s="298">
        <v>23</v>
      </c>
      <c r="AA121" s="299">
        <v>871</v>
      </c>
      <c r="AB121" s="299">
        <v>112</v>
      </c>
      <c r="AC121" s="301">
        <v>38.99999999808</v>
      </c>
      <c r="AD121" s="301">
        <v>770608.62225564034</v>
      </c>
      <c r="AE121" s="126"/>
      <c r="AF121" s="298"/>
      <c r="AG121" s="299"/>
      <c r="AH121" s="299"/>
      <c r="AI121" s="301"/>
      <c r="AJ121" s="301"/>
      <c r="AK121" s="426"/>
      <c r="AL121" s="298"/>
      <c r="AM121" s="299"/>
      <c r="AN121" s="299"/>
      <c r="AO121" s="301"/>
      <c r="AP121" s="301"/>
      <c r="AQ121" s="426"/>
      <c r="AR121" s="298"/>
      <c r="AS121" s="299"/>
      <c r="AT121" s="299"/>
      <c r="AU121" s="301"/>
      <c r="AV121" s="301"/>
      <c r="AW121" s="88"/>
      <c r="AX121" s="298"/>
      <c r="AY121" s="299"/>
      <c r="AZ121" s="299"/>
      <c r="BA121" s="301"/>
      <c r="BB121" s="301"/>
      <c r="BC121" s="426"/>
      <c r="BD121" s="298"/>
      <c r="BE121" s="299"/>
      <c r="BF121" s="299"/>
      <c r="BG121" s="301"/>
      <c r="BH121" s="301"/>
      <c r="BI121" s="88"/>
      <c r="BJ121" s="298"/>
      <c r="BK121" s="299"/>
      <c r="BL121" s="299"/>
      <c r="BM121" s="301"/>
      <c r="BN121" s="301"/>
      <c r="BO121" s="88"/>
      <c r="BP121" s="9"/>
      <c r="BS121" s="81"/>
      <c r="BT121" s="81"/>
      <c r="BV121" s="9"/>
      <c r="BY121" s="81"/>
      <c r="BZ121" s="81"/>
      <c r="CB121" s="9"/>
      <c r="CE121" s="81"/>
      <c r="CF121" s="81"/>
      <c r="CH121" s="9"/>
      <c r="CK121" s="81"/>
      <c r="CL121" s="81"/>
      <c r="CR121" s="9"/>
      <c r="CS121" s="9"/>
      <c r="CT121" s="9"/>
      <c r="CU121" s="9"/>
      <c r="CV121" s="9"/>
      <c r="CW121" s="129"/>
      <c r="CX121" s="9"/>
    </row>
    <row r="122" spans="1:102">
      <c r="A122" s="6" t="str">
        <f t="shared" si="11"/>
        <v>00230998</v>
      </c>
      <c r="B122" s="6" t="s">
        <v>1673</v>
      </c>
      <c r="C122" s="6" t="s">
        <v>2091</v>
      </c>
      <c r="D122" s="6">
        <v>113</v>
      </c>
      <c r="E122" s="6">
        <v>23</v>
      </c>
      <c r="F122" s="6" t="s">
        <v>1547</v>
      </c>
      <c r="G122" s="6">
        <v>998</v>
      </c>
      <c r="I122" s="33">
        <v>0</v>
      </c>
      <c r="J122" s="88">
        <v>0</v>
      </c>
      <c r="K122" s="89">
        <f t="shared" si="19"/>
        <v>0</v>
      </c>
      <c r="L122" s="88">
        <f>IF(K124&gt;0, K122/K124, 0)</f>
        <v>0</v>
      </c>
      <c r="M122" s="58"/>
      <c r="N122" s="9">
        <f>ROUND(M124*L122,0)</f>
        <v>0</v>
      </c>
      <c r="O122" s="9">
        <v>0</v>
      </c>
      <c r="P122" s="9">
        <f>N122-O122</f>
        <v>0</v>
      </c>
      <c r="Q122" s="40">
        <f t="shared" si="20"/>
        <v>0</v>
      </c>
      <c r="R122" s="9">
        <v>0</v>
      </c>
      <c r="S122" s="9">
        <f t="shared" si="17"/>
        <v>0</v>
      </c>
      <c r="T122" s="90">
        <f t="shared" si="12"/>
        <v>23</v>
      </c>
      <c r="U122" s="90">
        <f t="shared" si="13"/>
        <v>998</v>
      </c>
      <c r="V122" s="373">
        <f t="shared" si="14"/>
        <v>113</v>
      </c>
      <c r="W122" s="90">
        <f t="shared" si="15"/>
        <v>0</v>
      </c>
      <c r="X122" s="90">
        <f t="shared" si="16"/>
        <v>0</v>
      </c>
      <c r="Y122" s="141">
        <f t="shared" si="18"/>
        <v>113</v>
      </c>
      <c r="Z122" s="298">
        <v>23</v>
      </c>
      <c r="AA122" s="299">
        <v>998</v>
      </c>
      <c r="AB122" s="299">
        <v>113</v>
      </c>
      <c r="AC122" s="301">
        <v>0</v>
      </c>
      <c r="AD122" s="301">
        <v>0</v>
      </c>
      <c r="AE122" s="126"/>
      <c r="AF122" s="298"/>
      <c r="AG122" s="299"/>
      <c r="AH122" s="299"/>
      <c r="AI122" s="301"/>
      <c r="AJ122" s="301"/>
      <c r="AK122" s="426"/>
      <c r="AL122" s="298"/>
      <c r="AM122" s="299"/>
      <c r="AN122" s="299"/>
      <c r="AO122" s="301"/>
      <c r="AP122" s="301"/>
      <c r="AQ122" s="426"/>
      <c r="AR122" s="298"/>
      <c r="AS122" s="299"/>
      <c r="AT122" s="299"/>
      <c r="AU122" s="301"/>
      <c r="AV122" s="301"/>
      <c r="AW122" s="88"/>
      <c r="AX122" s="298"/>
      <c r="AY122" s="299"/>
      <c r="AZ122" s="299"/>
      <c r="BA122" s="301"/>
      <c r="BB122" s="301"/>
      <c r="BC122" s="426"/>
      <c r="BD122" s="298"/>
      <c r="BE122" s="299"/>
      <c r="BF122" s="299"/>
      <c r="BG122" s="301"/>
      <c r="BH122" s="301"/>
      <c r="BI122" s="88"/>
      <c r="BJ122" s="298"/>
      <c r="BK122" s="299"/>
      <c r="BL122" s="299"/>
      <c r="BM122" s="301"/>
      <c r="BN122" s="301"/>
      <c r="BO122" s="88"/>
      <c r="BP122" s="9"/>
      <c r="BS122" s="81"/>
      <c r="BT122" s="81"/>
      <c r="BV122" s="9"/>
      <c r="BY122" s="81"/>
      <c r="BZ122" s="81"/>
      <c r="CB122" s="9"/>
      <c r="CE122" s="81"/>
      <c r="CF122" s="81"/>
      <c r="CH122" s="9"/>
      <c r="CK122" s="81"/>
      <c r="CL122" s="81"/>
      <c r="CR122" s="9"/>
      <c r="CS122" s="9"/>
      <c r="CT122" s="9"/>
      <c r="CU122" s="9"/>
      <c r="CV122" s="9"/>
      <c r="CW122" s="129"/>
      <c r="CX122" s="9"/>
    </row>
    <row r="123" spans="1:102">
      <c r="A123" s="6" t="str">
        <f t="shared" si="11"/>
        <v>00230998</v>
      </c>
      <c r="B123" s="6" t="s">
        <v>1673</v>
      </c>
      <c r="C123" s="6" t="s">
        <v>2091</v>
      </c>
      <c r="D123" s="6">
        <v>114</v>
      </c>
      <c r="E123" s="6">
        <v>23</v>
      </c>
      <c r="F123" s="6" t="s">
        <v>1547</v>
      </c>
      <c r="G123" s="6">
        <v>998</v>
      </c>
      <c r="H123" s="6" t="s">
        <v>1547</v>
      </c>
      <c r="I123" s="33">
        <v>0</v>
      </c>
      <c r="J123" s="88">
        <v>0</v>
      </c>
      <c r="K123" s="89">
        <f t="shared" si="19"/>
        <v>0</v>
      </c>
      <c r="L123" s="88">
        <f>IF(K124&gt;0, K123/K124, 0)</f>
        <v>0</v>
      </c>
      <c r="M123" s="58"/>
      <c r="N123" s="9">
        <f>ROUND(M124*L123,0)</f>
        <v>0</v>
      </c>
      <c r="O123" s="9">
        <v>0</v>
      </c>
      <c r="P123" s="9">
        <f>N123-O123</f>
        <v>0</v>
      </c>
      <c r="Q123" s="40">
        <f t="shared" si="20"/>
        <v>0</v>
      </c>
      <c r="R123" s="9">
        <v>0</v>
      </c>
      <c r="S123" s="9">
        <f t="shared" si="17"/>
        <v>0</v>
      </c>
      <c r="T123" s="90">
        <f t="shared" si="12"/>
        <v>23</v>
      </c>
      <c r="U123" s="90">
        <f t="shared" si="13"/>
        <v>998</v>
      </c>
      <c r="V123" s="373">
        <f t="shared" si="14"/>
        <v>114</v>
      </c>
      <c r="W123" s="90">
        <f t="shared" si="15"/>
        <v>0</v>
      </c>
      <c r="X123" s="90">
        <f t="shared" si="16"/>
        <v>0</v>
      </c>
      <c r="Y123" s="141">
        <f t="shared" si="18"/>
        <v>114</v>
      </c>
      <c r="Z123" s="298">
        <v>23</v>
      </c>
      <c r="AA123" s="299">
        <v>998</v>
      </c>
      <c r="AB123" s="299">
        <v>114</v>
      </c>
      <c r="AC123" s="301">
        <v>0</v>
      </c>
      <c r="AD123" s="301">
        <v>0</v>
      </c>
      <c r="AE123" s="126"/>
      <c r="AF123" s="298"/>
      <c r="AG123" s="299"/>
      <c r="AH123" s="299"/>
      <c r="AI123" s="301"/>
      <c r="AJ123" s="301"/>
      <c r="AK123" s="426"/>
      <c r="AL123" s="298"/>
      <c r="AM123" s="299"/>
      <c r="AN123" s="299"/>
      <c r="AO123" s="301"/>
      <c r="AP123" s="301"/>
      <c r="AQ123" s="426"/>
      <c r="AR123" s="298"/>
      <c r="AS123" s="299"/>
      <c r="AT123" s="299"/>
      <c r="AU123" s="301"/>
      <c r="AV123" s="301"/>
      <c r="AW123" s="88"/>
      <c r="AX123" s="298"/>
      <c r="AY123" s="299"/>
      <c r="AZ123" s="299"/>
      <c r="BA123" s="301"/>
      <c r="BB123" s="301"/>
      <c r="BC123" s="426"/>
      <c r="BD123" s="298"/>
      <c r="BE123" s="299"/>
      <c r="BF123" s="299"/>
      <c r="BG123" s="301"/>
      <c r="BH123" s="301"/>
      <c r="BI123" s="88"/>
      <c r="BJ123" s="298"/>
      <c r="BK123" s="299"/>
      <c r="BL123" s="299"/>
      <c r="BM123" s="301"/>
      <c r="BN123" s="301"/>
      <c r="BO123" s="88"/>
      <c r="BP123" s="9"/>
      <c r="BS123" s="81"/>
      <c r="BT123" s="81"/>
      <c r="BV123" s="9"/>
      <c r="BY123" s="81"/>
      <c r="BZ123" s="81"/>
      <c r="CB123" s="9"/>
      <c r="CE123" s="81"/>
      <c r="CF123" s="81"/>
      <c r="CH123" s="9"/>
      <c r="CK123" s="81"/>
      <c r="CL123" s="81"/>
      <c r="CR123" s="9"/>
      <c r="CS123" s="9"/>
      <c r="CT123" s="9"/>
      <c r="CU123" s="9"/>
      <c r="CV123" s="9"/>
      <c r="CW123" s="129"/>
      <c r="CX123" s="9"/>
    </row>
    <row r="124" spans="1:102">
      <c r="A124" s="6" t="str">
        <f t="shared" si="11"/>
        <v>00230999</v>
      </c>
      <c r="B124" s="6" t="s">
        <v>1673</v>
      </c>
      <c r="C124" s="6" t="s">
        <v>2092</v>
      </c>
      <c r="D124" s="6">
        <v>115</v>
      </c>
      <c r="E124" s="10">
        <v>23</v>
      </c>
      <c r="F124" s="10" t="s">
        <v>1142</v>
      </c>
      <c r="G124" s="10">
        <v>999</v>
      </c>
      <c r="H124" s="10" t="s">
        <v>593</v>
      </c>
      <c r="I124" s="92">
        <v>33998144.290936708</v>
      </c>
      <c r="J124" s="472">
        <v>0.99999999999999989</v>
      </c>
      <c r="K124" s="53">
        <f>SUM(K120:K123)</f>
        <v>35598813.167815648</v>
      </c>
      <c r="L124" s="91">
        <f>SUM(L120:L123)</f>
        <v>1</v>
      </c>
      <c r="M124" s="79">
        <f>VLOOKUP(E124,town351,24)</f>
        <v>29369021</v>
      </c>
      <c r="N124" s="79">
        <f>SUM(N120:N123)</f>
        <v>29369021</v>
      </c>
      <c r="O124" s="79">
        <v>28048469</v>
      </c>
      <c r="P124" s="79">
        <f>SUM(P120:P123)</f>
        <v>1320552</v>
      </c>
      <c r="Q124" s="39">
        <f t="shared" si="20"/>
        <v>4.7081072410761529</v>
      </c>
      <c r="R124" s="9">
        <v>2586.9999999953002</v>
      </c>
      <c r="S124" s="9">
        <f t="shared" si="17"/>
        <v>2617.9999999980801</v>
      </c>
      <c r="T124" s="90">
        <f t="shared" si="12"/>
        <v>23</v>
      </c>
      <c r="U124" s="90">
        <f t="shared" si="13"/>
        <v>999</v>
      </c>
      <c r="V124" s="373">
        <f t="shared" si="14"/>
        <v>115</v>
      </c>
      <c r="W124" s="90">
        <f t="shared" si="15"/>
        <v>2617.9999999980801</v>
      </c>
      <c r="X124" s="90">
        <f t="shared" si="16"/>
        <v>35598813.167815648</v>
      </c>
      <c r="Y124" s="141">
        <f t="shared" si="18"/>
        <v>115</v>
      </c>
      <c r="Z124" s="298">
        <v>23</v>
      </c>
      <c r="AA124" s="299">
        <v>999</v>
      </c>
      <c r="AB124" s="299">
        <v>115</v>
      </c>
      <c r="AC124" s="301">
        <v>2617.9999999980801</v>
      </c>
      <c r="AD124" s="301">
        <v>35598813.167815648</v>
      </c>
      <c r="AE124" s="126"/>
      <c r="AF124" s="298"/>
      <c r="AG124" s="299"/>
      <c r="AH124" s="299"/>
      <c r="AI124" s="301"/>
      <c r="AJ124" s="301"/>
      <c r="AK124" s="426"/>
      <c r="AL124" s="298"/>
      <c r="AM124" s="299"/>
      <c r="AN124" s="299"/>
      <c r="AO124" s="301"/>
      <c r="AP124" s="301"/>
      <c r="AQ124" s="426"/>
      <c r="AR124" s="298"/>
      <c r="AS124" s="299"/>
      <c r="AT124" s="299"/>
      <c r="AU124" s="301"/>
      <c r="AV124" s="301"/>
      <c r="AW124" s="91"/>
      <c r="AX124" s="298"/>
      <c r="AY124" s="299"/>
      <c r="AZ124" s="299"/>
      <c r="BA124" s="301"/>
      <c r="BB124" s="301"/>
      <c r="BC124" s="426"/>
      <c r="BD124" s="298"/>
      <c r="BE124" s="299"/>
      <c r="BF124" s="299"/>
      <c r="BG124" s="301"/>
      <c r="BH124" s="301"/>
      <c r="BI124" s="91"/>
      <c r="BJ124" s="298"/>
      <c r="BK124" s="299"/>
      <c r="BL124" s="299"/>
      <c r="BM124" s="301"/>
      <c r="BN124" s="301"/>
      <c r="BO124" s="91"/>
      <c r="BP124" s="9"/>
      <c r="BS124" s="81"/>
      <c r="BT124" s="81"/>
      <c r="BV124" s="9"/>
      <c r="BY124" s="81"/>
      <c r="BZ124" s="81"/>
      <c r="CB124" s="9"/>
      <c r="CE124" s="81"/>
      <c r="CF124" s="81"/>
      <c r="CH124" s="9"/>
      <c r="CK124" s="81"/>
      <c r="CL124" s="81"/>
      <c r="CR124" s="9"/>
      <c r="CS124" s="9"/>
      <c r="CT124" s="9"/>
      <c r="CU124" s="9"/>
      <c r="CV124" s="9"/>
      <c r="CW124" s="129"/>
      <c r="CX124" s="9"/>
    </row>
    <row r="125" spans="1:102">
      <c r="A125" s="6" t="str">
        <f t="shared" si="11"/>
        <v>00240024</v>
      </c>
      <c r="B125" s="6" t="s">
        <v>1674</v>
      </c>
      <c r="C125" s="6" t="s">
        <v>1674</v>
      </c>
      <c r="D125" s="6">
        <v>116</v>
      </c>
      <c r="E125" s="6">
        <v>24</v>
      </c>
      <c r="F125" s="6" t="s">
        <v>1143</v>
      </c>
      <c r="G125" s="6">
        <v>24</v>
      </c>
      <c r="H125" s="6" t="s">
        <v>705</v>
      </c>
      <c r="I125" s="33">
        <v>27713334.379999995</v>
      </c>
      <c r="J125" s="88">
        <v>0.92483591537650744</v>
      </c>
      <c r="K125" s="89">
        <f>X125</f>
        <v>27898291.619999997</v>
      </c>
      <c r="L125" s="88">
        <f>IF(K129&gt;0, K125/K129, 0)</f>
        <v>0.91692603782234705</v>
      </c>
      <c r="M125" s="58"/>
      <c r="N125" s="9">
        <f>ROUND(M129*L125,0)</f>
        <v>14251380</v>
      </c>
      <c r="O125" s="9">
        <v>13763232</v>
      </c>
      <c r="P125" s="9">
        <f>N125-O125</f>
        <v>488148</v>
      </c>
      <c r="Q125" s="40">
        <f t="shared" si="20"/>
        <v>3.546754134493991</v>
      </c>
      <c r="R125" s="9">
        <v>2152</v>
      </c>
      <c r="S125" s="9">
        <f t="shared" si="17"/>
        <v>2106</v>
      </c>
      <c r="T125" s="90">
        <f t="shared" si="12"/>
        <v>24</v>
      </c>
      <c r="U125" s="90">
        <f t="shared" si="13"/>
        <v>24</v>
      </c>
      <c r="V125" s="373">
        <f t="shared" si="14"/>
        <v>116</v>
      </c>
      <c r="W125" s="90">
        <f t="shared" si="15"/>
        <v>2106</v>
      </c>
      <c r="X125" s="90">
        <f t="shared" si="16"/>
        <v>27898291.619999997</v>
      </c>
      <c r="Y125" s="141">
        <f t="shared" si="18"/>
        <v>116</v>
      </c>
      <c r="Z125" s="298">
        <v>24</v>
      </c>
      <c r="AA125" s="299">
        <v>24</v>
      </c>
      <c r="AB125" s="299">
        <v>116</v>
      </c>
      <c r="AC125" s="301">
        <v>2106</v>
      </c>
      <c r="AD125" s="301">
        <v>27898291.619999997</v>
      </c>
      <c r="AE125" s="126"/>
      <c r="AF125" s="298"/>
      <c r="AG125" s="299"/>
      <c r="AH125" s="299"/>
      <c r="AI125" s="301"/>
      <c r="AJ125" s="301"/>
      <c r="AK125" s="426"/>
      <c r="AL125" s="298"/>
      <c r="AM125" s="299"/>
      <c r="AN125" s="299"/>
      <c r="AO125" s="301"/>
      <c r="AP125" s="301"/>
      <c r="AQ125" s="426"/>
      <c r="AR125" s="298"/>
      <c r="AS125" s="299"/>
      <c r="AT125" s="299"/>
      <c r="AU125" s="301"/>
      <c r="AV125" s="301"/>
      <c r="AW125" s="88"/>
      <c r="AX125" s="298"/>
      <c r="AY125" s="299"/>
      <c r="AZ125" s="299"/>
      <c r="BA125" s="301"/>
      <c r="BB125" s="301"/>
      <c r="BC125" s="426"/>
      <c r="BD125" s="298"/>
      <c r="BE125" s="299"/>
      <c r="BF125" s="299"/>
      <c r="BG125" s="301"/>
      <c r="BH125" s="301"/>
      <c r="BI125" s="88"/>
      <c r="BJ125" s="298"/>
      <c r="BK125" s="299"/>
      <c r="BL125" s="299"/>
      <c r="BM125" s="301"/>
      <c r="BN125" s="301"/>
      <c r="BO125" s="88"/>
      <c r="BP125" s="9"/>
      <c r="BS125" s="81"/>
      <c r="BT125" s="81"/>
      <c r="BV125" s="9"/>
      <c r="BY125" s="81"/>
      <c r="BZ125" s="81"/>
      <c r="CB125" s="9"/>
      <c r="CE125" s="81"/>
      <c r="CF125" s="81"/>
      <c r="CH125" s="9"/>
      <c r="CK125" s="81"/>
      <c r="CL125" s="81"/>
      <c r="CR125" s="9"/>
      <c r="CS125" s="9"/>
      <c r="CT125" s="9"/>
      <c r="CU125" s="9"/>
      <c r="CV125" s="9"/>
      <c r="CW125" s="129"/>
      <c r="CX125" s="9"/>
    </row>
    <row r="126" spans="1:102">
      <c r="A126" s="6" t="str">
        <f t="shared" si="11"/>
        <v>00240860</v>
      </c>
      <c r="B126" s="6" t="s">
        <v>1674</v>
      </c>
      <c r="C126" s="6" t="s">
        <v>2080</v>
      </c>
      <c r="D126" s="6">
        <v>117</v>
      </c>
      <c r="E126" s="6">
        <v>24</v>
      </c>
      <c r="F126" s="6" t="s">
        <v>1143</v>
      </c>
      <c r="G126" s="6">
        <v>860</v>
      </c>
      <c r="H126" s="6" t="s">
        <v>1110</v>
      </c>
      <c r="I126" s="33">
        <v>2252342.6868532035</v>
      </c>
      <c r="J126" s="88">
        <v>7.5164084623492541E-2</v>
      </c>
      <c r="K126" s="89">
        <f t="shared" si="19"/>
        <v>2527599.3125522411</v>
      </c>
      <c r="L126" s="88">
        <f>IF(K129&gt;0, K126/K129, 0)</f>
        <v>8.3073962177653046E-2</v>
      </c>
      <c r="M126" s="58"/>
      <c r="N126" s="9">
        <f>ROUND(M129*L126,0)</f>
        <v>1291182</v>
      </c>
      <c r="O126" s="9">
        <v>1118578</v>
      </c>
      <c r="P126" s="9">
        <f>N126-O126</f>
        <v>172604</v>
      </c>
      <c r="Q126" s="40">
        <f t="shared" si="20"/>
        <v>15.43066285945191</v>
      </c>
      <c r="R126" s="9">
        <v>106.00000000044</v>
      </c>
      <c r="S126" s="9">
        <f t="shared" si="17"/>
        <v>116.00000000295</v>
      </c>
      <c r="T126" s="90">
        <f t="shared" si="12"/>
        <v>24</v>
      </c>
      <c r="U126" s="90">
        <f t="shared" si="13"/>
        <v>860</v>
      </c>
      <c r="V126" s="373">
        <f t="shared" si="14"/>
        <v>117</v>
      </c>
      <c r="W126" s="90">
        <f t="shared" si="15"/>
        <v>116.00000000295</v>
      </c>
      <c r="X126" s="90">
        <f t="shared" si="16"/>
        <v>2527599.3125522411</v>
      </c>
      <c r="Y126" s="141">
        <f t="shared" si="18"/>
        <v>117</v>
      </c>
      <c r="Z126" s="298">
        <v>24</v>
      </c>
      <c r="AA126" s="299">
        <v>860</v>
      </c>
      <c r="AB126" s="299">
        <v>117</v>
      </c>
      <c r="AC126" s="301">
        <v>116.00000000295</v>
      </c>
      <c r="AD126" s="301">
        <v>2527599.3125522411</v>
      </c>
      <c r="AE126" s="126"/>
      <c r="AF126" s="298"/>
      <c r="AG126" s="299"/>
      <c r="AH126" s="299"/>
      <c r="AI126" s="301"/>
      <c r="AJ126" s="301"/>
      <c r="AK126" s="426"/>
      <c r="AL126" s="298"/>
      <c r="AM126" s="299"/>
      <c r="AN126" s="299"/>
      <c r="AO126" s="301"/>
      <c r="AP126" s="301"/>
      <c r="AQ126" s="426"/>
      <c r="AR126" s="298"/>
      <c r="AS126" s="299"/>
      <c r="AT126" s="299"/>
      <c r="AU126" s="301"/>
      <c r="AV126" s="301"/>
      <c r="AW126" s="88"/>
      <c r="AX126" s="298"/>
      <c r="AY126" s="299"/>
      <c r="AZ126" s="299"/>
      <c r="BA126" s="301"/>
      <c r="BB126" s="301"/>
      <c r="BC126" s="426"/>
      <c r="BD126" s="298"/>
      <c r="BE126" s="299"/>
      <c r="BF126" s="299"/>
      <c r="BG126" s="301"/>
      <c r="BH126" s="301"/>
      <c r="BI126" s="88"/>
      <c r="BJ126" s="298"/>
      <c r="BK126" s="299"/>
      <c r="BL126" s="299"/>
      <c r="BM126" s="301"/>
      <c r="BN126" s="301"/>
      <c r="BO126" s="88"/>
      <c r="BP126" s="9"/>
      <c r="BS126" s="81"/>
      <c r="BT126" s="81"/>
      <c r="BV126" s="9"/>
      <c r="BY126" s="81"/>
      <c r="BZ126" s="81"/>
      <c r="CB126" s="9"/>
      <c r="CE126" s="81"/>
      <c r="CF126" s="81"/>
      <c r="CH126" s="9"/>
      <c r="CK126" s="81"/>
      <c r="CL126" s="81"/>
      <c r="CR126" s="9"/>
      <c r="CS126" s="9"/>
      <c r="CT126" s="9"/>
      <c r="CU126" s="9"/>
      <c r="CV126" s="9"/>
      <c r="CW126" s="129"/>
      <c r="CX126" s="9"/>
    </row>
    <row r="127" spans="1:102">
      <c r="A127" s="6" t="str">
        <f t="shared" si="11"/>
        <v>00240998</v>
      </c>
      <c r="B127" s="6" t="s">
        <v>1674</v>
      </c>
      <c r="C127" s="6" t="s">
        <v>2091</v>
      </c>
      <c r="D127" s="6">
        <v>118</v>
      </c>
      <c r="E127" s="6">
        <v>24</v>
      </c>
      <c r="F127" s="6" t="s">
        <v>1547</v>
      </c>
      <c r="G127" s="6">
        <v>998</v>
      </c>
      <c r="H127" s="6" t="s">
        <v>1547</v>
      </c>
      <c r="I127" s="33">
        <v>0</v>
      </c>
      <c r="J127" s="88">
        <v>0</v>
      </c>
      <c r="K127" s="89">
        <f t="shared" si="19"/>
        <v>0</v>
      </c>
      <c r="L127" s="88">
        <f>IF(K129&gt;0, K127/K129, 0)</f>
        <v>0</v>
      </c>
      <c r="M127" s="58"/>
      <c r="N127" s="9">
        <f>ROUND(M129*L127,0)</f>
        <v>0</v>
      </c>
      <c r="O127" s="9">
        <v>0</v>
      </c>
      <c r="P127" s="9">
        <f>N127-O127</f>
        <v>0</v>
      </c>
      <c r="Q127" s="40">
        <f t="shared" si="20"/>
        <v>0</v>
      </c>
      <c r="R127" s="9">
        <v>0</v>
      </c>
      <c r="S127" s="9">
        <f t="shared" si="17"/>
        <v>0</v>
      </c>
      <c r="T127" s="90">
        <f t="shared" si="12"/>
        <v>24</v>
      </c>
      <c r="U127" s="90">
        <f t="shared" si="13"/>
        <v>998</v>
      </c>
      <c r="V127" s="373">
        <f t="shared" si="14"/>
        <v>118</v>
      </c>
      <c r="W127" s="90">
        <f t="shared" si="15"/>
        <v>0</v>
      </c>
      <c r="X127" s="90">
        <f t="shared" si="16"/>
        <v>0</v>
      </c>
      <c r="Y127" s="141">
        <f t="shared" si="18"/>
        <v>118</v>
      </c>
      <c r="Z127" s="298">
        <v>24</v>
      </c>
      <c r="AA127" s="299">
        <v>998</v>
      </c>
      <c r="AB127" s="299">
        <v>118</v>
      </c>
      <c r="AC127" s="301">
        <v>0</v>
      </c>
      <c r="AD127" s="301">
        <v>0</v>
      </c>
      <c r="AE127" s="126"/>
      <c r="AF127" s="298"/>
      <c r="AG127" s="299"/>
      <c r="AH127" s="299"/>
      <c r="AI127" s="301"/>
      <c r="AJ127" s="301"/>
      <c r="AK127" s="426"/>
      <c r="AL127" s="298"/>
      <c r="AM127" s="299"/>
      <c r="AN127" s="299"/>
      <c r="AO127" s="301"/>
      <c r="AP127" s="301"/>
      <c r="AQ127" s="426"/>
      <c r="AR127" s="298"/>
      <c r="AS127" s="299"/>
      <c r="AT127" s="299"/>
      <c r="AU127" s="301"/>
      <c r="AV127" s="301"/>
      <c r="AW127" s="88"/>
      <c r="AX127" s="298"/>
      <c r="AY127" s="299"/>
      <c r="AZ127" s="299"/>
      <c r="BA127" s="301"/>
      <c r="BB127" s="301"/>
      <c r="BC127" s="426"/>
      <c r="BD127" s="298"/>
      <c r="BE127" s="299"/>
      <c r="BF127" s="299"/>
      <c r="BG127" s="301"/>
      <c r="BH127" s="301"/>
      <c r="BI127" s="88"/>
      <c r="BJ127" s="298"/>
      <c r="BK127" s="299"/>
      <c r="BL127" s="299"/>
      <c r="BM127" s="301"/>
      <c r="BN127" s="301"/>
      <c r="BO127" s="88"/>
      <c r="BP127" s="9"/>
      <c r="BS127" s="81"/>
      <c r="BT127" s="81"/>
      <c r="BV127" s="9"/>
      <c r="BY127" s="81"/>
      <c r="BZ127" s="81"/>
      <c r="CB127" s="9"/>
      <c r="CE127" s="81"/>
      <c r="CF127" s="81"/>
      <c r="CH127" s="9"/>
      <c r="CK127" s="81"/>
      <c r="CL127" s="81"/>
      <c r="CR127" s="9"/>
      <c r="CS127" s="9"/>
      <c r="CT127" s="9"/>
      <c r="CU127" s="9"/>
      <c r="CV127" s="9"/>
      <c r="CW127" s="129"/>
      <c r="CX127" s="9"/>
    </row>
    <row r="128" spans="1:102">
      <c r="A128" s="6" t="str">
        <f t="shared" si="11"/>
        <v>00240998</v>
      </c>
      <c r="B128" s="6" t="s">
        <v>1674</v>
      </c>
      <c r="C128" s="6" t="s">
        <v>2091</v>
      </c>
      <c r="D128" s="6">
        <v>119</v>
      </c>
      <c r="E128" s="6">
        <v>24</v>
      </c>
      <c r="F128" s="6" t="s">
        <v>1547</v>
      </c>
      <c r="G128" s="6">
        <v>998</v>
      </c>
      <c r="H128" s="6" t="s">
        <v>1547</v>
      </c>
      <c r="I128" s="33">
        <v>0</v>
      </c>
      <c r="J128" s="88">
        <v>0</v>
      </c>
      <c r="K128" s="89">
        <f t="shared" si="19"/>
        <v>0</v>
      </c>
      <c r="L128" s="88">
        <f>IF(K129&gt;0, K128/K129, 0)</f>
        <v>0</v>
      </c>
      <c r="M128" s="58"/>
      <c r="N128" s="9">
        <f>ROUND(M129*L128,0)</f>
        <v>0</v>
      </c>
      <c r="O128" s="9">
        <v>0</v>
      </c>
      <c r="P128" s="9">
        <f>N128-O128</f>
        <v>0</v>
      </c>
      <c r="Q128" s="40">
        <f t="shared" si="20"/>
        <v>0</v>
      </c>
      <c r="R128" s="9">
        <v>0</v>
      </c>
      <c r="S128" s="9">
        <f t="shared" si="17"/>
        <v>0</v>
      </c>
      <c r="T128" s="90">
        <f t="shared" si="12"/>
        <v>24</v>
      </c>
      <c r="U128" s="90">
        <f t="shared" si="13"/>
        <v>998</v>
      </c>
      <c r="V128" s="373">
        <f t="shared" si="14"/>
        <v>119</v>
      </c>
      <c r="W128" s="90">
        <f t="shared" si="15"/>
        <v>0</v>
      </c>
      <c r="X128" s="90">
        <f t="shared" si="16"/>
        <v>0</v>
      </c>
      <c r="Y128" s="141">
        <f t="shared" si="18"/>
        <v>119</v>
      </c>
      <c r="Z128" s="298">
        <v>24</v>
      </c>
      <c r="AA128" s="299">
        <v>998</v>
      </c>
      <c r="AB128" s="299">
        <v>119</v>
      </c>
      <c r="AC128" s="301">
        <v>0</v>
      </c>
      <c r="AD128" s="301">
        <v>0</v>
      </c>
      <c r="AE128" s="126"/>
      <c r="AF128" s="298"/>
      <c r="AG128" s="299"/>
      <c r="AH128" s="299"/>
      <c r="AI128" s="301"/>
      <c r="AJ128" s="301"/>
      <c r="AK128" s="426"/>
      <c r="AL128" s="298"/>
      <c r="AM128" s="299"/>
      <c r="AN128" s="299"/>
      <c r="AO128" s="301"/>
      <c r="AP128" s="301"/>
      <c r="AQ128" s="426"/>
      <c r="AR128" s="298"/>
      <c r="AS128" s="299"/>
      <c r="AT128" s="299"/>
      <c r="AU128" s="301"/>
      <c r="AV128" s="301"/>
      <c r="AW128" s="88"/>
      <c r="AX128" s="298"/>
      <c r="AY128" s="299"/>
      <c r="AZ128" s="299"/>
      <c r="BA128" s="301"/>
      <c r="BB128" s="301"/>
      <c r="BC128" s="426"/>
      <c r="BD128" s="298"/>
      <c r="BE128" s="299"/>
      <c r="BF128" s="299"/>
      <c r="BG128" s="301"/>
      <c r="BH128" s="301"/>
      <c r="BI128" s="88"/>
      <c r="BJ128" s="298"/>
      <c r="BK128" s="299"/>
      <c r="BL128" s="299"/>
      <c r="BM128" s="301"/>
      <c r="BN128" s="301"/>
      <c r="BO128" s="88"/>
      <c r="BP128" s="9"/>
      <c r="BS128" s="81"/>
      <c r="BT128" s="81"/>
      <c r="BV128" s="9"/>
      <c r="BY128" s="81"/>
      <c r="BZ128" s="81"/>
      <c r="CB128" s="9"/>
      <c r="CE128" s="81"/>
      <c r="CF128" s="81"/>
      <c r="CH128" s="9"/>
      <c r="CK128" s="81"/>
      <c r="CL128" s="81"/>
      <c r="CR128" s="9"/>
      <c r="CS128" s="9"/>
      <c r="CT128" s="9"/>
      <c r="CU128" s="9"/>
      <c r="CV128" s="9"/>
      <c r="CW128" s="129"/>
      <c r="CX128" s="9"/>
    </row>
    <row r="129" spans="1:102">
      <c r="A129" s="6" t="str">
        <f t="shared" si="11"/>
        <v>00240999</v>
      </c>
      <c r="B129" s="6" t="s">
        <v>1674</v>
      </c>
      <c r="C129" s="6" t="s">
        <v>2092</v>
      </c>
      <c r="D129" s="6">
        <v>120</v>
      </c>
      <c r="E129" s="10">
        <v>24</v>
      </c>
      <c r="F129" s="10" t="s">
        <v>1143</v>
      </c>
      <c r="G129" s="10">
        <v>999</v>
      </c>
      <c r="H129" s="10" t="s">
        <v>593</v>
      </c>
      <c r="I129" s="92">
        <v>29965677.066853199</v>
      </c>
      <c r="J129" s="472">
        <v>1</v>
      </c>
      <c r="K129" s="53">
        <f>SUM(K125:K128)</f>
        <v>30425890.932552237</v>
      </c>
      <c r="L129" s="91">
        <f>SUM(L125:L128)</f>
        <v>1</v>
      </c>
      <c r="M129" s="79">
        <f>VLOOKUP(E129,town351,24)</f>
        <v>15542562</v>
      </c>
      <c r="N129" s="79">
        <f>SUM(N125:N128)</f>
        <v>15542562</v>
      </c>
      <c r="O129" s="79">
        <v>14881810</v>
      </c>
      <c r="P129" s="79">
        <f>SUM(P125:P128)</f>
        <v>660752</v>
      </c>
      <c r="Q129" s="39">
        <f t="shared" si="20"/>
        <v>4.4399975540609642</v>
      </c>
      <c r="R129" s="9">
        <v>2258.0000000004402</v>
      </c>
      <c r="S129" s="9">
        <f t="shared" si="17"/>
        <v>2222.0000000029499</v>
      </c>
      <c r="T129" s="90">
        <f t="shared" si="12"/>
        <v>24</v>
      </c>
      <c r="U129" s="90">
        <f t="shared" si="13"/>
        <v>999</v>
      </c>
      <c r="V129" s="373">
        <f t="shared" si="14"/>
        <v>120</v>
      </c>
      <c r="W129" s="90">
        <f t="shared" si="15"/>
        <v>2222.0000000029499</v>
      </c>
      <c r="X129" s="90">
        <f t="shared" si="16"/>
        <v>30425890.932552237</v>
      </c>
      <c r="Y129" s="141">
        <f t="shared" si="18"/>
        <v>120</v>
      </c>
      <c r="Z129" s="298">
        <v>24</v>
      </c>
      <c r="AA129" s="299">
        <v>999</v>
      </c>
      <c r="AB129" s="299">
        <v>120</v>
      </c>
      <c r="AC129" s="301">
        <v>2222.0000000029499</v>
      </c>
      <c r="AD129" s="301">
        <v>30425890.932552237</v>
      </c>
      <c r="AE129" s="126"/>
      <c r="AF129" s="298"/>
      <c r="AG129" s="299"/>
      <c r="AH129" s="299"/>
      <c r="AI129" s="301"/>
      <c r="AJ129" s="301"/>
      <c r="AK129" s="426"/>
      <c r="AL129" s="298"/>
      <c r="AM129" s="299"/>
      <c r="AN129" s="299"/>
      <c r="AO129" s="301"/>
      <c r="AP129" s="301"/>
      <c r="AQ129" s="426"/>
      <c r="AR129" s="298"/>
      <c r="AS129" s="299"/>
      <c r="AT129" s="299"/>
      <c r="AU129" s="301"/>
      <c r="AV129" s="301"/>
      <c r="AW129" s="91"/>
      <c r="AX129" s="298"/>
      <c r="AY129" s="299"/>
      <c r="AZ129" s="299"/>
      <c r="BA129" s="301"/>
      <c r="BB129" s="301"/>
      <c r="BC129" s="426"/>
      <c r="BD129" s="298"/>
      <c r="BE129" s="299"/>
      <c r="BF129" s="299"/>
      <c r="BG129" s="301"/>
      <c r="BH129" s="301"/>
      <c r="BI129" s="91"/>
      <c r="BJ129" s="298"/>
      <c r="BK129" s="299"/>
      <c r="BL129" s="299"/>
      <c r="BM129" s="301"/>
      <c r="BN129" s="301"/>
      <c r="BO129" s="91"/>
      <c r="BP129" s="9"/>
      <c r="BS129" s="81"/>
      <c r="BT129" s="81"/>
      <c r="BV129" s="9"/>
      <c r="BY129" s="81"/>
      <c r="BZ129" s="81"/>
      <c r="CB129" s="9"/>
      <c r="CE129" s="81"/>
      <c r="CF129" s="81"/>
      <c r="CH129" s="9"/>
      <c r="CK129" s="81"/>
      <c r="CL129" s="81"/>
      <c r="CR129" s="9"/>
      <c r="CS129" s="9"/>
      <c r="CT129" s="9"/>
      <c r="CU129" s="9"/>
      <c r="CV129" s="9"/>
      <c r="CW129" s="129"/>
      <c r="CX129" s="9"/>
    </row>
    <row r="130" spans="1:102">
      <c r="A130" s="6" t="str">
        <f t="shared" si="11"/>
        <v>00250025</v>
      </c>
      <c r="B130" s="6" t="s">
        <v>1675</v>
      </c>
      <c r="C130" s="6" t="s">
        <v>1675</v>
      </c>
      <c r="D130" s="6">
        <v>121</v>
      </c>
      <c r="E130" s="6">
        <v>25</v>
      </c>
      <c r="F130" s="6" t="s">
        <v>1144</v>
      </c>
      <c r="G130" s="6">
        <v>25</v>
      </c>
      <c r="H130" s="6" t="s">
        <v>706</v>
      </c>
      <c r="I130" s="33">
        <v>29660512.23</v>
      </c>
      <c r="J130" s="88">
        <v>0.94332109623550786</v>
      </c>
      <c r="K130" s="89">
        <f>X130</f>
        <v>30088447.590000004</v>
      </c>
      <c r="L130" s="88">
        <f>IF(K134&gt;0, K130/K134, 0)</f>
        <v>0.94412941104229153</v>
      </c>
      <c r="M130" s="58"/>
      <c r="N130" s="9">
        <f>ROUND(M134*L130,0)</f>
        <v>20822076</v>
      </c>
      <c r="O130" s="9">
        <v>19686080</v>
      </c>
      <c r="P130" s="9">
        <f>N130-O130</f>
        <v>1135996</v>
      </c>
      <c r="Q130" s="40">
        <f t="shared" si="20"/>
        <v>5.7705546254002824</v>
      </c>
      <c r="R130" s="9">
        <v>2175</v>
      </c>
      <c r="S130" s="9">
        <f t="shared" si="17"/>
        <v>2175</v>
      </c>
      <c r="T130" s="90">
        <f t="shared" si="12"/>
        <v>25</v>
      </c>
      <c r="U130" s="90">
        <f t="shared" si="13"/>
        <v>25</v>
      </c>
      <c r="V130" s="373">
        <f t="shared" si="14"/>
        <v>121</v>
      </c>
      <c r="W130" s="90">
        <f t="shared" si="15"/>
        <v>2175</v>
      </c>
      <c r="X130" s="90">
        <f t="shared" si="16"/>
        <v>30088447.590000004</v>
      </c>
      <c r="Y130" s="141">
        <f t="shared" si="18"/>
        <v>121</v>
      </c>
      <c r="Z130" s="298">
        <v>25</v>
      </c>
      <c r="AA130" s="299">
        <v>25</v>
      </c>
      <c r="AB130" s="299">
        <v>121</v>
      </c>
      <c r="AC130" s="301">
        <v>2175</v>
      </c>
      <c r="AD130" s="301">
        <v>30088447.590000004</v>
      </c>
      <c r="AE130" s="126"/>
      <c r="AF130" s="298"/>
      <c r="AG130" s="299"/>
      <c r="AH130" s="299"/>
      <c r="AI130" s="301"/>
      <c r="AJ130" s="301"/>
      <c r="AK130" s="426"/>
      <c r="AL130" s="298"/>
      <c r="AM130" s="299"/>
      <c r="AN130" s="299"/>
      <c r="AO130" s="301"/>
      <c r="AP130" s="301"/>
      <c r="AQ130" s="426"/>
      <c r="AR130" s="298"/>
      <c r="AS130" s="299"/>
      <c r="AT130" s="299"/>
      <c r="AU130" s="301"/>
      <c r="AV130" s="301"/>
      <c r="AW130" s="88"/>
      <c r="AX130" s="298"/>
      <c r="AY130" s="299"/>
      <c r="AZ130" s="299"/>
      <c r="BA130" s="301"/>
      <c r="BB130" s="301"/>
      <c r="BC130" s="426"/>
      <c r="BD130" s="298"/>
      <c r="BE130" s="299"/>
      <c r="BF130" s="299"/>
      <c r="BG130" s="301"/>
      <c r="BH130" s="301"/>
      <c r="BI130" s="88"/>
      <c r="BJ130" s="298"/>
      <c r="BK130" s="299"/>
      <c r="BL130" s="299"/>
      <c r="BM130" s="301"/>
      <c r="BN130" s="301"/>
      <c r="BO130" s="88"/>
      <c r="BP130" s="9"/>
      <c r="BS130" s="81"/>
      <c r="BT130" s="81"/>
      <c r="BV130" s="9"/>
      <c r="BY130" s="81"/>
      <c r="BZ130" s="81"/>
      <c r="CB130" s="9"/>
      <c r="CE130" s="81"/>
      <c r="CF130" s="81"/>
      <c r="CH130" s="9"/>
      <c r="CK130" s="81"/>
      <c r="CL130" s="81"/>
      <c r="CR130" s="9"/>
      <c r="CS130" s="9"/>
      <c r="CT130" s="9"/>
      <c r="CU130" s="9"/>
      <c r="CV130" s="9"/>
      <c r="CW130" s="129"/>
      <c r="CX130" s="9"/>
    </row>
    <row r="131" spans="1:102">
      <c r="A131" s="6" t="str">
        <f t="shared" si="11"/>
        <v>00250805</v>
      </c>
      <c r="B131" s="6" t="s">
        <v>1675</v>
      </c>
      <c r="C131" s="6" t="s">
        <v>2063</v>
      </c>
      <c r="D131" s="6">
        <v>122</v>
      </c>
      <c r="E131" s="6">
        <v>25</v>
      </c>
      <c r="F131" s="6" t="s">
        <v>1144</v>
      </c>
      <c r="G131" s="6">
        <v>805</v>
      </c>
      <c r="H131" s="6" t="s">
        <v>1093</v>
      </c>
      <c r="I131" s="33">
        <v>1416181.1527912768</v>
      </c>
      <c r="J131" s="88">
        <v>4.5040137781839393E-2</v>
      </c>
      <c r="K131" s="89">
        <f t="shared" si="19"/>
        <v>1472203.4469166964</v>
      </c>
      <c r="L131" s="88">
        <f>IF(K134&gt;0, K131/K134, 0)</f>
        <v>4.6195489784386444E-2</v>
      </c>
      <c r="M131" s="58"/>
      <c r="N131" s="9">
        <f>ROUND(M134*L131,0)</f>
        <v>1018807</v>
      </c>
      <c r="O131" s="9">
        <v>939938</v>
      </c>
      <c r="P131" s="9">
        <f>N131-O131</f>
        <v>78869</v>
      </c>
      <c r="Q131" s="40">
        <f t="shared" si="20"/>
        <v>8.3908725894686675</v>
      </c>
      <c r="R131" s="9">
        <v>75.000000003080004</v>
      </c>
      <c r="S131" s="9">
        <f t="shared" si="17"/>
        <v>76.000000000080007</v>
      </c>
      <c r="T131" s="90">
        <f t="shared" si="12"/>
        <v>25</v>
      </c>
      <c r="U131" s="90">
        <f t="shared" si="13"/>
        <v>805</v>
      </c>
      <c r="V131" s="373">
        <f t="shared" si="14"/>
        <v>122</v>
      </c>
      <c r="W131" s="90">
        <f t="shared" si="15"/>
        <v>76.000000000080007</v>
      </c>
      <c r="X131" s="90">
        <f t="shared" si="16"/>
        <v>1472203.4469166964</v>
      </c>
      <c r="Y131" s="141">
        <f t="shared" si="18"/>
        <v>122</v>
      </c>
      <c r="Z131" s="298">
        <v>25</v>
      </c>
      <c r="AA131" s="299">
        <v>805</v>
      </c>
      <c r="AB131" s="299">
        <v>122</v>
      </c>
      <c r="AC131" s="301">
        <v>76.000000000080007</v>
      </c>
      <c r="AD131" s="301">
        <v>1472203.4469166964</v>
      </c>
      <c r="AE131" s="126"/>
      <c r="AF131" s="298"/>
      <c r="AG131" s="299"/>
      <c r="AH131" s="299"/>
      <c r="AI131" s="301"/>
      <c r="AJ131" s="301"/>
      <c r="AK131" s="426"/>
      <c r="AL131" s="298"/>
      <c r="AM131" s="299"/>
      <c r="AN131" s="299"/>
      <c r="AO131" s="301"/>
      <c r="AP131" s="301"/>
      <c r="AQ131" s="426"/>
      <c r="AR131" s="298"/>
      <c r="AS131" s="299"/>
      <c r="AT131" s="299"/>
      <c r="AU131" s="301"/>
      <c r="AV131" s="301"/>
      <c r="AW131" s="88"/>
      <c r="AX131" s="298"/>
      <c r="AY131" s="299"/>
      <c r="AZ131" s="299"/>
      <c r="BA131" s="301"/>
      <c r="BB131" s="301"/>
      <c r="BC131" s="426"/>
      <c r="BD131" s="298"/>
      <c r="BE131" s="299"/>
      <c r="BF131" s="299"/>
      <c r="BG131" s="301"/>
      <c r="BH131" s="301"/>
      <c r="BI131" s="88"/>
      <c r="BJ131" s="298"/>
      <c r="BK131" s="299"/>
      <c r="BL131" s="299"/>
      <c r="BM131" s="301"/>
      <c r="BN131" s="301"/>
      <c r="BO131" s="88"/>
      <c r="BP131" s="9"/>
      <c r="BS131" s="81"/>
      <c r="BT131" s="81"/>
      <c r="BV131" s="9"/>
      <c r="BY131" s="81"/>
      <c r="BZ131" s="81"/>
      <c r="CB131" s="9"/>
      <c r="CE131" s="81"/>
      <c r="CF131" s="81"/>
      <c r="CH131" s="9"/>
      <c r="CK131" s="81"/>
      <c r="CL131" s="81"/>
      <c r="CR131" s="9"/>
      <c r="CS131" s="9"/>
      <c r="CT131" s="9"/>
      <c r="CU131" s="9"/>
      <c r="CV131" s="9"/>
      <c r="CW131" s="129"/>
      <c r="CX131" s="9"/>
    </row>
    <row r="132" spans="1:102">
      <c r="A132" s="6" t="str">
        <f t="shared" si="11"/>
        <v>00250915</v>
      </c>
      <c r="B132" s="6" t="s">
        <v>1675</v>
      </c>
      <c r="C132" s="6" t="s">
        <v>2089</v>
      </c>
      <c r="D132" s="6">
        <v>123</v>
      </c>
      <c r="E132" s="6">
        <v>25</v>
      </c>
      <c r="F132" s="6" t="s">
        <v>1144</v>
      </c>
      <c r="G132" s="6">
        <v>915</v>
      </c>
      <c r="H132" s="6" t="s">
        <v>1119</v>
      </c>
      <c r="I132" s="33">
        <v>365953.61022690072</v>
      </c>
      <c r="J132" s="88">
        <v>1.1638765982652814E-2</v>
      </c>
      <c r="K132" s="89">
        <f t="shared" si="19"/>
        <v>308335.60632665508</v>
      </c>
      <c r="L132" s="88">
        <f>IF(K134&gt;0, K132/K134, 0)</f>
        <v>9.6750991733220455E-3</v>
      </c>
      <c r="M132" s="58"/>
      <c r="N132" s="9">
        <f>ROUND(M134*L132,0)</f>
        <v>213377</v>
      </c>
      <c r="O132" s="9">
        <v>242888</v>
      </c>
      <c r="P132" s="9">
        <f>N132-O132</f>
        <v>-29511</v>
      </c>
      <c r="Q132" s="40">
        <f t="shared" si="20"/>
        <v>-12.150044464938572</v>
      </c>
      <c r="R132" s="9">
        <v>17.000000000170001</v>
      </c>
      <c r="S132" s="9">
        <f t="shared" si="17"/>
        <v>13.9999999992</v>
      </c>
      <c r="T132" s="90">
        <f t="shared" si="12"/>
        <v>25</v>
      </c>
      <c r="U132" s="90">
        <f t="shared" si="13"/>
        <v>915</v>
      </c>
      <c r="V132" s="373">
        <f t="shared" si="14"/>
        <v>123</v>
      </c>
      <c r="W132" s="90">
        <f t="shared" si="15"/>
        <v>13.9999999992</v>
      </c>
      <c r="X132" s="90">
        <f t="shared" si="16"/>
        <v>308335.60632665508</v>
      </c>
      <c r="Y132" s="141">
        <f t="shared" si="18"/>
        <v>123</v>
      </c>
      <c r="Z132" s="298">
        <v>25</v>
      </c>
      <c r="AA132" s="299">
        <v>915</v>
      </c>
      <c r="AB132" s="299">
        <v>123</v>
      </c>
      <c r="AC132" s="301">
        <v>13.9999999992</v>
      </c>
      <c r="AD132" s="301">
        <v>308335.60632665508</v>
      </c>
      <c r="AE132" s="126"/>
      <c r="AF132" s="298"/>
      <c r="AG132" s="299"/>
      <c r="AH132" s="299"/>
      <c r="AI132" s="301"/>
      <c r="AJ132" s="301"/>
      <c r="AK132" s="426"/>
      <c r="AL132" s="298"/>
      <c r="AM132" s="299"/>
      <c r="AN132" s="299"/>
      <c r="AO132" s="301"/>
      <c r="AP132" s="301"/>
      <c r="AQ132" s="426"/>
      <c r="AR132" s="298"/>
      <c r="AS132" s="299"/>
      <c r="AT132" s="299"/>
      <c r="AU132" s="301"/>
      <c r="AV132" s="301"/>
      <c r="AW132" s="88"/>
      <c r="AX132" s="298"/>
      <c r="AY132" s="299"/>
      <c r="AZ132" s="299"/>
      <c r="BA132" s="301"/>
      <c r="BB132" s="301"/>
      <c r="BC132" s="426"/>
      <c r="BD132" s="298"/>
      <c r="BE132" s="299"/>
      <c r="BF132" s="299"/>
      <c r="BG132" s="301"/>
      <c r="BH132" s="301"/>
      <c r="BI132" s="88"/>
      <c r="BJ132" s="298"/>
      <c r="BK132" s="299"/>
      <c r="BL132" s="299"/>
      <c r="BM132" s="301"/>
      <c r="BN132" s="301"/>
      <c r="BO132" s="88"/>
      <c r="BP132" s="9"/>
      <c r="BS132" s="81"/>
      <c r="BT132" s="81"/>
      <c r="BV132" s="9"/>
      <c r="BY132" s="81"/>
      <c r="BZ132" s="81"/>
      <c r="CB132" s="9"/>
      <c r="CE132" s="81"/>
      <c r="CF132" s="81"/>
      <c r="CH132" s="9"/>
      <c r="CK132" s="81"/>
      <c r="CL132" s="81"/>
      <c r="CR132" s="9"/>
      <c r="CS132" s="9"/>
      <c r="CT132" s="9"/>
      <c r="CU132" s="9"/>
      <c r="CV132" s="9"/>
      <c r="CW132" s="129"/>
      <c r="CX132" s="9"/>
    </row>
    <row r="133" spans="1:102">
      <c r="A133" s="6" t="str">
        <f t="shared" si="11"/>
        <v>00250998</v>
      </c>
      <c r="B133" s="6" t="s">
        <v>1675</v>
      </c>
      <c r="C133" s="6" t="s">
        <v>2091</v>
      </c>
      <c r="D133" s="6">
        <v>124</v>
      </c>
      <c r="E133" s="6">
        <v>25</v>
      </c>
      <c r="F133" s="6" t="s">
        <v>1547</v>
      </c>
      <c r="G133" s="6">
        <v>998</v>
      </c>
      <c r="H133" s="6" t="s">
        <v>1547</v>
      </c>
      <c r="I133" s="33">
        <v>0</v>
      </c>
      <c r="J133" s="88">
        <v>0</v>
      </c>
      <c r="K133" s="89">
        <f t="shared" si="19"/>
        <v>0</v>
      </c>
      <c r="L133" s="88">
        <f>IF(K134&gt;0, K133/K134, 0)</f>
        <v>0</v>
      </c>
      <c r="M133" s="58"/>
      <c r="N133" s="9">
        <f>ROUND(M134*L133,0)</f>
        <v>0</v>
      </c>
      <c r="O133" s="9">
        <v>0</v>
      </c>
      <c r="P133" s="9">
        <f>N133-O133</f>
        <v>0</v>
      </c>
      <c r="Q133" s="40">
        <f t="shared" si="20"/>
        <v>0</v>
      </c>
      <c r="R133" s="9">
        <v>0</v>
      </c>
      <c r="S133" s="9">
        <f t="shared" si="17"/>
        <v>0</v>
      </c>
      <c r="T133" s="90">
        <f t="shared" si="12"/>
        <v>25</v>
      </c>
      <c r="U133" s="90">
        <f t="shared" si="13"/>
        <v>998</v>
      </c>
      <c r="V133" s="373">
        <f t="shared" si="14"/>
        <v>124</v>
      </c>
      <c r="W133" s="90">
        <f t="shared" si="15"/>
        <v>0</v>
      </c>
      <c r="X133" s="90">
        <f t="shared" si="16"/>
        <v>0</v>
      </c>
      <c r="Y133" s="141">
        <f t="shared" si="18"/>
        <v>124</v>
      </c>
      <c r="Z133" s="298">
        <v>25</v>
      </c>
      <c r="AA133" s="299">
        <v>998</v>
      </c>
      <c r="AB133" s="299">
        <v>124</v>
      </c>
      <c r="AC133" s="301">
        <v>0</v>
      </c>
      <c r="AD133" s="301">
        <v>0</v>
      </c>
      <c r="AE133" s="126"/>
      <c r="AF133" s="298"/>
      <c r="AG133" s="299"/>
      <c r="AH133" s="299"/>
      <c r="AI133" s="301"/>
      <c r="AJ133" s="301"/>
      <c r="AK133" s="426"/>
      <c r="AL133" s="298"/>
      <c r="AM133" s="299"/>
      <c r="AN133" s="299"/>
      <c r="AO133" s="301"/>
      <c r="AP133" s="301"/>
      <c r="AQ133" s="426"/>
      <c r="AR133" s="298"/>
      <c r="AS133" s="299"/>
      <c r="AT133" s="299"/>
      <c r="AU133" s="301"/>
      <c r="AV133" s="301"/>
      <c r="AW133" s="88"/>
      <c r="AX133" s="298"/>
      <c r="AY133" s="299"/>
      <c r="AZ133" s="299"/>
      <c r="BA133" s="301"/>
      <c r="BB133" s="301"/>
      <c r="BC133" s="426"/>
      <c r="BD133" s="298"/>
      <c r="BE133" s="299"/>
      <c r="BF133" s="299"/>
      <c r="BG133" s="301"/>
      <c r="BH133" s="301"/>
      <c r="BI133" s="88"/>
      <c r="BJ133" s="298"/>
      <c r="BK133" s="299"/>
      <c r="BL133" s="299"/>
      <c r="BM133" s="301"/>
      <c r="BN133" s="301"/>
      <c r="BO133" s="88"/>
      <c r="BP133" s="9"/>
      <c r="BS133" s="81"/>
      <c r="BT133" s="81"/>
      <c r="BV133" s="9"/>
      <c r="BY133" s="81"/>
      <c r="BZ133" s="81"/>
      <c r="CB133" s="9"/>
      <c r="CE133" s="81"/>
      <c r="CF133" s="81"/>
      <c r="CH133" s="9"/>
      <c r="CK133" s="81"/>
      <c r="CL133" s="81"/>
      <c r="CR133" s="9"/>
      <c r="CS133" s="9"/>
      <c r="CT133" s="9"/>
      <c r="CU133" s="9"/>
      <c r="CV133" s="9"/>
      <c r="CW133" s="129"/>
      <c r="CX133" s="9"/>
    </row>
    <row r="134" spans="1:102">
      <c r="A134" s="6" t="str">
        <f t="shared" si="11"/>
        <v>00250999</v>
      </c>
      <c r="B134" s="6" t="s">
        <v>1675</v>
      </c>
      <c r="C134" s="6" t="s">
        <v>2092</v>
      </c>
      <c r="D134" s="6">
        <v>125</v>
      </c>
      <c r="E134" s="10">
        <v>25</v>
      </c>
      <c r="F134" s="10" t="s">
        <v>1144</v>
      </c>
      <c r="G134" s="10">
        <v>999</v>
      </c>
      <c r="H134" s="10" t="s">
        <v>593</v>
      </c>
      <c r="I134" s="92">
        <v>31442646.993018176</v>
      </c>
      <c r="J134" s="472">
        <v>1</v>
      </c>
      <c r="K134" s="53">
        <f>SUM(K130:K133)</f>
        <v>31868986.643243354</v>
      </c>
      <c r="L134" s="91">
        <f>SUM(L130:L133)</f>
        <v>1</v>
      </c>
      <c r="M134" s="79">
        <f>VLOOKUP(E134,town351,24)</f>
        <v>22054261</v>
      </c>
      <c r="N134" s="79">
        <f>SUM(N130:N133)</f>
        <v>22054260</v>
      </c>
      <c r="O134" s="79">
        <v>20868906</v>
      </c>
      <c r="P134" s="79">
        <f>SUM(P130:P133)</f>
        <v>1185354</v>
      </c>
      <c r="Q134" s="39">
        <f t="shared" si="20"/>
        <v>5.6800006670210692</v>
      </c>
      <c r="R134" s="9">
        <v>2267.0000000032501</v>
      </c>
      <c r="S134" s="9">
        <f t="shared" si="17"/>
        <v>2264.9999999992801</v>
      </c>
      <c r="T134" s="90">
        <f t="shared" si="12"/>
        <v>25</v>
      </c>
      <c r="U134" s="90">
        <f t="shared" si="13"/>
        <v>999</v>
      </c>
      <c r="V134" s="373">
        <f t="shared" si="14"/>
        <v>125</v>
      </c>
      <c r="W134" s="90">
        <f t="shared" si="15"/>
        <v>2264.9999999992801</v>
      </c>
      <c r="X134" s="90">
        <f t="shared" si="16"/>
        <v>31868986.643243354</v>
      </c>
      <c r="Y134" s="141">
        <f t="shared" si="18"/>
        <v>125</v>
      </c>
      <c r="Z134" s="298">
        <v>25</v>
      </c>
      <c r="AA134" s="299">
        <v>999</v>
      </c>
      <c r="AB134" s="299">
        <v>125</v>
      </c>
      <c r="AC134" s="301">
        <v>2264.9999999992801</v>
      </c>
      <c r="AD134" s="301">
        <v>31868986.643243354</v>
      </c>
      <c r="AE134" s="126"/>
      <c r="AF134" s="298"/>
      <c r="AG134" s="299"/>
      <c r="AH134" s="299"/>
      <c r="AI134" s="301"/>
      <c r="AJ134" s="301"/>
      <c r="AK134" s="426"/>
      <c r="AL134" s="298"/>
      <c r="AM134" s="299"/>
      <c r="AN134" s="299"/>
      <c r="AO134" s="301"/>
      <c r="AP134" s="301"/>
      <c r="AQ134" s="426"/>
      <c r="AR134" s="298"/>
      <c r="AS134" s="299"/>
      <c r="AT134" s="299"/>
      <c r="AU134" s="301"/>
      <c r="AV134" s="301"/>
      <c r="AW134" s="91"/>
      <c r="AX134" s="298"/>
      <c r="AY134" s="299"/>
      <c r="AZ134" s="299"/>
      <c r="BA134" s="301"/>
      <c r="BB134" s="301"/>
      <c r="BC134" s="426"/>
      <c r="BD134" s="298"/>
      <c r="BE134" s="299"/>
      <c r="BF134" s="299"/>
      <c r="BG134" s="301"/>
      <c r="BH134" s="301"/>
      <c r="BI134" s="91"/>
      <c r="BJ134" s="298"/>
      <c r="BK134" s="299"/>
      <c r="BL134" s="299"/>
      <c r="BM134" s="301"/>
      <c r="BN134" s="301"/>
      <c r="BO134" s="91"/>
      <c r="BP134" s="9"/>
      <c r="BS134" s="81"/>
      <c r="BT134" s="81"/>
      <c r="BV134" s="9"/>
      <c r="BY134" s="81"/>
      <c r="BZ134" s="81"/>
      <c r="CB134" s="9"/>
      <c r="CE134" s="81"/>
      <c r="CF134" s="81"/>
      <c r="CH134" s="9"/>
      <c r="CK134" s="81"/>
      <c r="CL134" s="81"/>
      <c r="CR134" s="9"/>
      <c r="CS134" s="9"/>
      <c r="CT134" s="9"/>
      <c r="CU134" s="9"/>
      <c r="CV134" s="9"/>
      <c r="CW134" s="129"/>
      <c r="CX134" s="9"/>
    </row>
    <row r="135" spans="1:102">
      <c r="A135" s="6" t="str">
        <f t="shared" si="11"/>
        <v>00260026</v>
      </c>
      <c r="B135" s="6" t="s">
        <v>1676</v>
      </c>
      <c r="C135" s="6" t="s">
        <v>1676</v>
      </c>
      <c r="D135" s="6">
        <v>126</v>
      </c>
      <c r="E135" s="6">
        <v>26</v>
      </c>
      <c r="F135" s="6" t="s">
        <v>1145</v>
      </c>
      <c r="G135" s="6">
        <v>26</v>
      </c>
      <c r="H135" s="6" t="s">
        <v>707</v>
      </c>
      <c r="I135" s="33">
        <v>57423975.883839987</v>
      </c>
      <c r="J135" s="88">
        <v>1</v>
      </c>
      <c r="K135" s="89">
        <f>X135</f>
        <v>59533725.074059986</v>
      </c>
      <c r="L135" s="88">
        <f>IF(K139&gt;0, K135/K139, 0)</f>
        <v>1</v>
      </c>
      <c r="M135" s="58"/>
      <c r="N135" s="9">
        <f>ROUND(M139*L135,0)</f>
        <v>47889465</v>
      </c>
      <c r="O135" s="9">
        <v>45639441</v>
      </c>
      <c r="P135" s="9">
        <f>N135-O135</f>
        <v>2250024</v>
      </c>
      <c r="Q135" s="40">
        <f t="shared" si="20"/>
        <v>4.9299990330731704</v>
      </c>
      <c r="R135" s="9">
        <v>4505</v>
      </c>
      <c r="S135" s="9">
        <f t="shared" si="17"/>
        <v>4521</v>
      </c>
      <c r="T135" s="90">
        <f t="shared" si="12"/>
        <v>26</v>
      </c>
      <c r="U135" s="90">
        <f t="shared" si="13"/>
        <v>26</v>
      </c>
      <c r="V135" s="373">
        <f t="shared" si="14"/>
        <v>126</v>
      </c>
      <c r="W135" s="90">
        <f t="shared" si="15"/>
        <v>4521</v>
      </c>
      <c r="X135" s="90">
        <f t="shared" si="16"/>
        <v>59533725.074059986</v>
      </c>
      <c r="Y135" s="141">
        <f t="shared" si="18"/>
        <v>126</v>
      </c>
      <c r="Z135" s="298">
        <v>26</v>
      </c>
      <c r="AA135" s="299">
        <v>26</v>
      </c>
      <c r="AB135" s="299">
        <v>126</v>
      </c>
      <c r="AC135" s="301">
        <v>4521</v>
      </c>
      <c r="AD135" s="301">
        <v>59533725.074059986</v>
      </c>
      <c r="AE135" s="126"/>
      <c r="AF135" s="298"/>
      <c r="AG135" s="299"/>
      <c r="AH135" s="299"/>
      <c r="AI135" s="301"/>
      <c r="AJ135" s="301"/>
      <c r="AK135" s="426"/>
      <c r="AL135" s="298"/>
      <c r="AM135" s="299"/>
      <c r="AN135" s="299"/>
      <c r="AO135" s="301"/>
      <c r="AP135" s="301"/>
      <c r="AQ135" s="426"/>
      <c r="AR135" s="298"/>
      <c r="AS135" s="299"/>
      <c r="AT135" s="299"/>
      <c r="AU135" s="301"/>
      <c r="AV135" s="301"/>
      <c r="AW135" s="88"/>
      <c r="AX135" s="298"/>
      <c r="AY135" s="299"/>
      <c r="AZ135" s="299"/>
      <c r="BA135" s="301"/>
      <c r="BB135" s="301"/>
      <c r="BC135" s="426"/>
      <c r="BD135" s="298"/>
      <c r="BE135" s="299"/>
      <c r="BF135" s="299"/>
      <c r="BG135" s="301"/>
      <c r="BH135" s="301"/>
      <c r="BI135" s="88"/>
      <c r="BJ135" s="298"/>
      <c r="BK135" s="299"/>
      <c r="BL135" s="299"/>
      <c r="BM135" s="301"/>
      <c r="BN135" s="301"/>
      <c r="BO135" s="88"/>
      <c r="BP135" s="9"/>
      <c r="BS135" s="81"/>
      <c r="BT135" s="81"/>
      <c r="BV135" s="9"/>
      <c r="BY135" s="81"/>
      <c r="BZ135" s="81"/>
      <c r="CB135" s="9"/>
      <c r="CE135" s="81"/>
      <c r="CF135" s="81"/>
      <c r="CH135" s="9"/>
      <c r="CK135" s="81"/>
      <c r="CL135" s="81"/>
      <c r="CR135" s="9"/>
      <c r="CS135" s="9"/>
      <c r="CT135" s="9"/>
      <c r="CU135" s="9"/>
      <c r="CV135" s="9"/>
      <c r="CW135" s="129"/>
      <c r="CX135" s="9"/>
    </row>
    <row r="136" spans="1:102">
      <c r="A136" s="6" t="str">
        <f t="shared" si="11"/>
        <v>00260830</v>
      </c>
      <c r="B136" s="6" t="s">
        <v>1676</v>
      </c>
      <c r="C136" s="6" t="s">
        <v>2074</v>
      </c>
      <c r="D136" s="6">
        <v>127</v>
      </c>
      <c r="E136" s="6">
        <v>26</v>
      </c>
      <c r="G136" s="6">
        <v>998</v>
      </c>
      <c r="I136" s="33">
        <v>0</v>
      </c>
      <c r="J136" s="88">
        <v>0</v>
      </c>
      <c r="K136" s="89">
        <f t="shared" si="19"/>
        <v>0</v>
      </c>
      <c r="L136" s="88">
        <f>IF(K139&gt;0, K136/K139, 0)</f>
        <v>0</v>
      </c>
      <c r="M136" s="58"/>
      <c r="N136" s="9">
        <f>ROUND(M139*L136,0)</f>
        <v>0</v>
      </c>
      <c r="O136" s="9">
        <v>0</v>
      </c>
      <c r="P136" s="9">
        <f>N136-O136</f>
        <v>0</v>
      </c>
      <c r="Q136" s="40">
        <f t="shared" si="20"/>
        <v>0</v>
      </c>
      <c r="R136" s="9">
        <v>0</v>
      </c>
      <c r="S136" s="9">
        <f t="shared" si="17"/>
        <v>0</v>
      </c>
      <c r="T136" s="90">
        <f t="shared" si="12"/>
        <v>26</v>
      </c>
      <c r="U136" s="90">
        <f t="shared" si="13"/>
        <v>830</v>
      </c>
      <c r="V136" s="373">
        <f t="shared" si="14"/>
        <v>127</v>
      </c>
      <c r="W136" s="90">
        <f t="shared" si="15"/>
        <v>0</v>
      </c>
      <c r="X136" s="90">
        <f t="shared" si="16"/>
        <v>0</v>
      </c>
      <c r="Y136" s="141">
        <f t="shared" si="18"/>
        <v>127</v>
      </c>
      <c r="Z136" s="298">
        <v>26</v>
      </c>
      <c r="AA136" s="299">
        <v>830</v>
      </c>
      <c r="AB136" s="299">
        <v>127</v>
      </c>
      <c r="AC136" s="301">
        <v>0</v>
      </c>
      <c r="AD136" s="301">
        <v>0</v>
      </c>
      <c r="AE136" s="126"/>
      <c r="AF136" s="298"/>
      <c r="AG136" s="299"/>
      <c r="AH136" s="299"/>
      <c r="AI136" s="301"/>
      <c r="AJ136" s="301"/>
      <c r="AK136" s="426"/>
      <c r="AL136" s="298"/>
      <c r="AM136" s="299"/>
      <c r="AN136" s="299"/>
      <c r="AO136" s="301"/>
      <c r="AP136" s="301"/>
      <c r="AQ136" s="426"/>
      <c r="AR136" s="298"/>
      <c r="AS136" s="299"/>
      <c r="AT136" s="299"/>
      <c r="AU136" s="301"/>
      <c r="AV136" s="301"/>
      <c r="AW136" s="88"/>
      <c r="AX136" s="298"/>
      <c r="AY136" s="299"/>
      <c r="AZ136" s="299"/>
      <c r="BA136" s="301"/>
      <c r="BB136" s="301"/>
      <c r="BC136" s="426"/>
      <c r="BD136" s="298"/>
      <c r="BE136" s="299"/>
      <c r="BF136" s="299"/>
      <c r="BG136" s="301"/>
      <c r="BH136" s="301"/>
      <c r="BI136" s="88"/>
      <c r="BJ136" s="298"/>
      <c r="BK136" s="299"/>
      <c r="BL136" s="299"/>
      <c r="BM136" s="301"/>
      <c r="BN136" s="301"/>
      <c r="BO136" s="88"/>
      <c r="BP136" s="9"/>
      <c r="BS136" s="81"/>
      <c r="BT136" s="81"/>
      <c r="BV136" s="9"/>
      <c r="BY136" s="81"/>
      <c r="BZ136" s="81"/>
      <c r="CB136" s="9"/>
      <c r="CE136" s="81"/>
      <c r="CF136" s="81"/>
      <c r="CH136" s="9"/>
      <c r="CK136" s="81"/>
      <c r="CL136" s="81"/>
      <c r="CR136" s="9"/>
      <c r="CS136" s="9"/>
      <c r="CT136" s="9"/>
      <c r="CU136" s="9"/>
      <c r="CV136" s="9"/>
      <c r="CW136" s="129"/>
      <c r="CX136" s="9"/>
    </row>
    <row r="137" spans="1:102">
      <c r="A137" s="6" t="str">
        <f t="shared" si="11"/>
        <v>00260998</v>
      </c>
      <c r="B137" s="6" t="s">
        <v>1676</v>
      </c>
      <c r="C137" s="6" t="s">
        <v>2091</v>
      </c>
      <c r="D137" s="6">
        <v>128</v>
      </c>
      <c r="E137" s="6">
        <v>26</v>
      </c>
      <c r="F137" s="6" t="s">
        <v>1547</v>
      </c>
      <c r="G137" s="6">
        <v>998</v>
      </c>
      <c r="H137" s="6" t="s">
        <v>1547</v>
      </c>
      <c r="I137" s="33">
        <v>0</v>
      </c>
      <c r="J137" s="88">
        <v>0</v>
      </c>
      <c r="K137" s="89">
        <f t="shared" si="19"/>
        <v>0</v>
      </c>
      <c r="L137" s="88">
        <f>IF(K139&gt;0, K137/K139, 0)</f>
        <v>0</v>
      </c>
      <c r="M137" s="58"/>
      <c r="N137" s="9">
        <f>ROUND(M139*L137,0)</f>
        <v>0</v>
      </c>
      <c r="O137" s="9">
        <v>0</v>
      </c>
      <c r="P137" s="9">
        <f>N137-O137</f>
        <v>0</v>
      </c>
      <c r="Q137" s="40">
        <f t="shared" si="20"/>
        <v>0</v>
      </c>
      <c r="R137" s="9">
        <v>0</v>
      </c>
      <c r="S137" s="9">
        <f t="shared" si="17"/>
        <v>0</v>
      </c>
      <c r="T137" s="90">
        <f t="shared" si="12"/>
        <v>26</v>
      </c>
      <c r="U137" s="90">
        <f t="shared" si="13"/>
        <v>998</v>
      </c>
      <c r="V137" s="373">
        <f t="shared" si="14"/>
        <v>128</v>
      </c>
      <c r="W137" s="90">
        <f t="shared" si="15"/>
        <v>0</v>
      </c>
      <c r="X137" s="90">
        <f t="shared" si="16"/>
        <v>0</v>
      </c>
      <c r="Y137" s="141">
        <f t="shared" si="18"/>
        <v>128</v>
      </c>
      <c r="Z137" s="298">
        <v>26</v>
      </c>
      <c r="AA137" s="299">
        <v>998</v>
      </c>
      <c r="AB137" s="299">
        <v>128</v>
      </c>
      <c r="AC137" s="301">
        <v>0</v>
      </c>
      <c r="AD137" s="301">
        <v>0</v>
      </c>
      <c r="AE137" s="126"/>
      <c r="AF137" s="298"/>
      <c r="AG137" s="299"/>
      <c r="AH137" s="299"/>
      <c r="AI137" s="301"/>
      <c r="AJ137" s="301"/>
      <c r="AK137" s="426"/>
      <c r="AL137" s="298"/>
      <c r="AM137" s="299"/>
      <c r="AN137" s="299"/>
      <c r="AO137" s="301"/>
      <c r="AP137" s="301"/>
      <c r="AQ137" s="426"/>
      <c r="AR137" s="298"/>
      <c r="AS137" s="299"/>
      <c r="AT137" s="299"/>
      <c r="AU137" s="301"/>
      <c r="AV137" s="301"/>
      <c r="AW137" s="88"/>
      <c r="AX137" s="298"/>
      <c r="AY137" s="299"/>
      <c r="AZ137" s="299"/>
      <c r="BA137" s="301"/>
      <c r="BB137" s="301"/>
      <c r="BC137" s="426"/>
      <c r="BD137" s="298"/>
      <c r="BE137" s="299"/>
      <c r="BF137" s="299"/>
      <c r="BG137" s="301"/>
      <c r="BH137" s="301"/>
      <c r="BI137" s="88"/>
      <c r="BJ137" s="298"/>
      <c r="BK137" s="299"/>
      <c r="BL137" s="299"/>
      <c r="BM137" s="301"/>
      <c r="BN137" s="301"/>
      <c r="BO137" s="88"/>
      <c r="BP137" s="9"/>
      <c r="BS137" s="81"/>
      <c r="BT137" s="81"/>
      <c r="BV137" s="9"/>
      <c r="BY137" s="81"/>
      <c r="BZ137" s="81"/>
      <c r="CB137" s="9"/>
      <c r="CE137" s="81"/>
      <c r="CF137" s="81"/>
      <c r="CH137" s="9"/>
      <c r="CK137" s="81"/>
      <c r="CL137" s="81"/>
      <c r="CR137" s="9"/>
      <c r="CS137" s="9"/>
      <c r="CT137" s="9"/>
      <c r="CU137" s="9"/>
      <c r="CV137" s="9"/>
      <c r="CW137" s="129"/>
      <c r="CX137" s="9"/>
    </row>
    <row r="138" spans="1:102">
      <c r="A138" s="6" t="str">
        <f t="shared" ref="A138:A201" si="21">B138&amp;C138</f>
        <v>00260998</v>
      </c>
      <c r="B138" s="6" t="s">
        <v>1676</v>
      </c>
      <c r="C138" s="6" t="s">
        <v>2091</v>
      </c>
      <c r="D138" s="6">
        <v>129</v>
      </c>
      <c r="E138" s="6">
        <v>26</v>
      </c>
      <c r="F138" s="6" t="s">
        <v>1547</v>
      </c>
      <c r="G138" s="6">
        <v>998</v>
      </c>
      <c r="H138" s="6" t="s">
        <v>1547</v>
      </c>
      <c r="I138" s="33">
        <v>0</v>
      </c>
      <c r="J138" s="88">
        <v>0</v>
      </c>
      <c r="K138" s="89">
        <f t="shared" si="19"/>
        <v>0</v>
      </c>
      <c r="L138" s="88">
        <f>IF(K139&gt;0, K138/K139, 0)</f>
        <v>0</v>
      </c>
      <c r="M138" s="58"/>
      <c r="N138" s="9">
        <f>ROUND(M139*L138,0)</f>
        <v>0</v>
      </c>
      <c r="O138" s="9">
        <v>0</v>
      </c>
      <c r="P138" s="9">
        <f>N138-O138</f>
        <v>0</v>
      </c>
      <c r="Q138" s="40">
        <f t="shared" si="20"/>
        <v>0</v>
      </c>
      <c r="R138" s="9">
        <v>0</v>
      </c>
      <c r="S138" s="9">
        <f t="shared" si="17"/>
        <v>0</v>
      </c>
      <c r="T138" s="90">
        <f t="shared" ref="T138:T201" si="22">VLOOKUP($D138, foundoptions, VLOOKUP($T$6, foundoptcell, 2, FALSE), FALSE)</f>
        <v>26</v>
      </c>
      <c r="U138" s="90">
        <f t="shared" ref="U138:U201" si="23">VLOOKUP($D138, foundoptions, VLOOKUP($T$6, foundoptcell, 2, FALSE)+1, FALSE)</f>
        <v>998</v>
      </c>
      <c r="V138" s="373">
        <f t="shared" ref="V138:V201" si="24">VLOOKUP($D138, foundoptions, VLOOKUP($T$6, foundoptcell, 2, FALSE)+2, FALSE)</f>
        <v>129</v>
      </c>
      <c r="W138" s="90">
        <f t="shared" ref="W138:W201" si="25">VLOOKUP($D138, foundoptions, VLOOKUP($T$6, foundoptcell, 2, FALSE)+3, FALSE)</f>
        <v>0</v>
      </c>
      <c r="X138" s="90">
        <f t="shared" ref="X138:X201" si="26">VLOOKUP($D138, foundoptions, VLOOKUP($T$6, foundoptcell, 2, FALSE)+4, FALSE)</f>
        <v>0</v>
      </c>
      <c r="Y138" s="141">
        <f t="shared" si="18"/>
        <v>129</v>
      </c>
      <c r="Z138" s="298">
        <v>26</v>
      </c>
      <c r="AA138" s="299">
        <v>998</v>
      </c>
      <c r="AB138" s="299">
        <v>129</v>
      </c>
      <c r="AC138" s="301">
        <v>0</v>
      </c>
      <c r="AD138" s="301">
        <v>0</v>
      </c>
      <c r="AE138" s="126"/>
      <c r="AF138" s="298"/>
      <c r="AG138" s="299"/>
      <c r="AH138" s="299"/>
      <c r="AI138" s="301"/>
      <c r="AJ138" s="301"/>
      <c r="AK138" s="426"/>
      <c r="AL138" s="298"/>
      <c r="AM138" s="299"/>
      <c r="AN138" s="299"/>
      <c r="AO138" s="301"/>
      <c r="AP138" s="301"/>
      <c r="AQ138" s="426"/>
      <c r="AR138" s="298"/>
      <c r="AS138" s="299"/>
      <c r="AT138" s="299"/>
      <c r="AU138" s="301"/>
      <c r="AV138" s="301"/>
      <c r="AW138" s="88"/>
      <c r="AX138" s="298"/>
      <c r="AY138" s="299"/>
      <c r="AZ138" s="299"/>
      <c r="BA138" s="301"/>
      <c r="BB138" s="301"/>
      <c r="BC138" s="426"/>
      <c r="BD138" s="298"/>
      <c r="BE138" s="299"/>
      <c r="BF138" s="299"/>
      <c r="BG138" s="301"/>
      <c r="BH138" s="301"/>
      <c r="BI138" s="88"/>
      <c r="BJ138" s="298"/>
      <c r="BK138" s="299"/>
      <c r="BL138" s="299"/>
      <c r="BM138" s="301"/>
      <c r="BN138" s="301"/>
      <c r="BO138" s="88"/>
      <c r="BP138" s="9"/>
      <c r="BS138" s="81"/>
      <c r="BT138" s="81"/>
      <c r="BV138" s="9"/>
      <c r="BY138" s="81"/>
      <c r="BZ138" s="81"/>
      <c r="CB138" s="9"/>
      <c r="CE138" s="81"/>
      <c r="CF138" s="81"/>
      <c r="CH138" s="9"/>
      <c r="CK138" s="81"/>
      <c r="CL138" s="81"/>
      <c r="CR138" s="9"/>
      <c r="CS138" s="9"/>
      <c r="CT138" s="9"/>
      <c r="CU138" s="9"/>
      <c r="CV138" s="9"/>
      <c r="CW138" s="129"/>
      <c r="CX138" s="9"/>
    </row>
    <row r="139" spans="1:102">
      <c r="A139" s="6" t="str">
        <f t="shared" si="21"/>
        <v>00260999</v>
      </c>
      <c r="B139" s="6" t="s">
        <v>1676</v>
      </c>
      <c r="C139" s="6" t="s">
        <v>2092</v>
      </c>
      <c r="D139" s="6">
        <v>130</v>
      </c>
      <c r="E139" s="10">
        <v>26</v>
      </c>
      <c r="F139" s="10" t="s">
        <v>1145</v>
      </c>
      <c r="G139" s="10">
        <v>999</v>
      </c>
      <c r="H139" s="10" t="s">
        <v>593</v>
      </c>
      <c r="I139" s="92">
        <v>57423975.883839987</v>
      </c>
      <c r="J139" s="472">
        <v>1</v>
      </c>
      <c r="K139" s="53">
        <f>SUM(K135:K138)</f>
        <v>59533725.074059986</v>
      </c>
      <c r="L139" s="91">
        <f>SUM(L135:L138)</f>
        <v>1</v>
      </c>
      <c r="M139" s="79">
        <f>VLOOKUP(E139,town351,24)</f>
        <v>47889465</v>
      </c>
      <c r="N139" s="79">
        <f>SUM(N135:N138)</f>
        <v>47889465</v>
      </c>
      <c r="O139" s="79">
        <v>45639441</v>
      </c>
      <c r="P139" s="79">
        <f>SUM(P135:P138)</f>
        <v>2250024</v>
      </c>
      <c r="Q139" s="39">
        <f t="shared" si="20"/>
        <v>4.9299990330731704</v>
      </c>
      <c r="R139" s="9">
        <v>4505</v>
      </c>
      <c r="S139" s="9">
        <f t="shared" ref="S139:S202" si="27">W139</f>
        <v>4521</v>
      </c>
      <c r="T139" s="90">
        <f t="shared" si="22"/>
        <v>26</v>
      </c>
      <c r="U139" s="90">
        <f t="shared" si="23"/>
        <v>999</v>
      </c>
      <c r="V139" s="373">
        <f t="shared" si="24"/>
        <v>130</v>
      </c>
      <c r="W139" s="90">
        <f t="shared" si="25"/>
        <v>4521</v>
      </c>
      <c r="X139" s="90">
        <f t="shared" si="26"/>
        <v>59533725.074059986</v>
      </c>
      <c r="Y139" s="141">
        <f t="shared" ref="Y139:Y202" si="28">D139</f>
        <v>130</v>
      </c>
      <c r="Z139" s="298">
        <v>26</v>
      </c>
      <c r="AA139" s="299">
        <v>999</v>
      </c>
      <c r="AB139" s="299">
        <v>130</v>
      </c>
      <c r="AC139" s="301">
        <v>4521</v>
      </c>
      <c r="AD139" s="301">
        <v>59533725.074059986</v>
      </c>
      <c r="AE139" s="126"/>
      <c r="AF139" s="298"/>
      <c r="AG139" s="299"/>
      <c r="AH139" s="299"/>
      <c r="AI139" s="301"/>
      <c r="AJ139" s="301"/>
      <c r="AK139" s="426"/>
      <c r="AL139" s="298"/>
      <c r="AM139" s="299"/>
      <c r="AN139" s="299"/>
      <c r="AO139" s="301"/>
      <c r="AP139" s="301"/>
      <c r="AQ139" s="426"/>
      <c r="AR139" s="298"/>
      <c r="AS139" s="299"/>
      <c r="AT139" s="299"/>
      <c r="AU139" s="301"/>
      <c r="AV139" s="301"/>
      <c r="AW139" s="91"/>
      <c r="AX139" s="298"/>
      <c r="AY139" s="299"/>
      <c r="AZ139" s="299"/>
      <c r="BA139" s="301"/>
      <c r="BB139" s="301"/>
      <c r="BC139" s="426"/>
      <c r="BD139" s="298"/>
      <c r="BE139" s="299"/>
      <c r="BF139" s="299"/>
      <c r="BG139" s="301"/>
      <c r="BH139" s="301"/>
      <c r="BI139" s="91"/>
      <c r="BJ139" s="298"/>
      <c r="BK139" s="299"/>
      <c r="BL139" s="299"/>
      <c r="BM139" s="301"/>
      <c r="BN139" s="301"/>
      <c r="BO139" s="91"/>
      <c r="BP139" s="9"/>
      <c r="BS139" s="81"/>
      <c r="BT139" s="81"/>
      <c r="BV139" s="9"/>
      <c r="BY139" s="81"/>
      <c r="BZ139" s="81"/>
      <c r="CB139" s="9"/>
      <c r="CE139" s="81"/>
      <c r="CF139" s="81"/>
      <c r="CH139" s="9"/>
      <c r="CK139" s="81"/>
      <c r="CL139" s="81"/>
      <c r="CR139" s="9"/>
      <c r="CS139" s="9"/>
      <c r="CT139" s="9"/>
      <c r="CU139" s="9"/>
      <c r="CV139" s="9"/>
      <c r="CW139" s="129"/>
      <c r="CX139" s="9"/>
    </row>
    <row r="140" spans="1:102">
      <c r="A140" s="6" t="str">
        <f t="shared" si="21"/>
        <v>00270027</v>
      </c>
      <c r="B140" s="6" t="s">
        <v>1677</v>
      </c>
      <c r="C140" s="6" t="s">
        <v>1677</v>
      </c>
      <c r="D140" s="6">
        <v>131</v>
      </c>
      <c r="E140" s="6">
        <v>27</v>
      </c>
      <c r="F140" s="6" t="s">
        <v>1146</v>
      </c>
      <c r="G140" s="6">
        <v>27</v>
      </c>
      <c r="H140" s="6" t="s">
        <v>708</v>
      </c>
      <c r="I140" s="33">
        <v>8929788.1399999987</v>
      </c>
      <c r="J140" s="88">
        <v>0.6046882924687379</v>
      </c>
      <c r="K140" s="89">
        <f>X140</f>
        <v>8895289.5700000003</v>
      </c>
      <c r="L140" s="88">
        <f>IF(K144&gt;0, K140/K144, 0)</f>
        <v>0.59783887544303205</v>
      </c>
      <c r="M140" s="58"/>
      <c r="N140" s="9">
        <f>ROUND(M144*L140,0)</f>
        <v>5017565</v>
      </c>
      <c r="O140" s="9">
        <v>4777868</v>
      </c>
      <c r="P140" s="9">
        <f>N140-O140</f>
        <v>239697</v>
      </c>
      <c r="Q140" s="40">
        <f t="shared" si="20"/>
        <v>5.0168192172743158</v>
      </c>
      <c r="R140" s="9">
        <v>698</v>
      </c>
      <c r="S140" s="9">
        <f t="shared" si="27"/>
        <v>682</v>
      </c>
      <c r="T140" s="90">
        <f t="shared" si="22"/>
        <v>27</v>
      </c>
      <c r="U140" s="90">
        <f t="shared" si="23"/>
        <v>27</v>
      </c>
      <c r="V140" s="373">
        <f t="shared" si="24"/>
        <v>131</v>
      </c>
      <c r="W140" s="90">
        <f t="shared" si="25"/>
        <v>682</v>
      </c>
      <c r="X140" s="90">
        <f t="shared" si="26"/>
        <v>8895289.5700000003</v>
      </c>
      <c r="Y140" s="141">
        <f t="shared" si="28"/>
        <v>131</v>
      </c>
      <c r="Z140" s="298">
        <v>27</v>
      </c>
      <c r="AA140" s="299">
        <v>27</v>
      </c>
      <c r="AB140" s="299">
        <v>131</v>
      </c>
      <c r="AC140" s="301">
        <v>682</v>
      </c>
      <c r="AD140" s="301">
        <v>8895289.5700000003</v>
      </c>
      <c r="AE140" s="126"/>
      <c r="AF140" s="298"/>
      <c r="AG140" s="299"/>
      <c r="AH140" s="299"/>
      <c r="AI140" s="301"/>
      <c r="AJ140" s="301"/>
      <c r="AK140" s="426"/>
      <c r="AL140" s="298"/>
      <c r="AM140" s="299"/>
      <c r="AN140" s="299"/>
      <c r="AO140" s="301"/>
      <c r="AP140" s="301"/>
      <c r="AQ140" s="426"/>
      <c r="AR140" s="298"/>
      <c r="AS140" s="299"/>
      <c r="AT140" s="299"/>
      <c r="AU140" s="301"/>
      <c r="AV140" s="301"/>
      <c r="AW140" s="88"/>
      <c r="AX140" s="298"/>
      <c r="AY140" s="299"/>
      <c r="AZ140" s="299"/>
      <c r="BA140" s="301"/>
      <c r="BB140" s="301"/>
      <c r="BC140" s="426"/>
      <c r="BD140" s="298"/>
      <c r="BE140" s="299"/>
      <c r="BF140" s="299"/>
      <c r="BG140" s="301"/>
      <c r="BH140" s="301"/>
      <c r="BI140" s="88"/>
      <c r="BJ140" s="298"/>
      <c r="BK140" s="299"/>
      <c r="BL140" s="299"/>
      <c r="BM140" s="301"/>
      <c r="BN140" s="301"/>
      <c r="BO140" s="88"/>
      <c r="BP140" s="9"/>
      <c r="BS140" s="81"/>
      <c r="BT140" s="81"/>
      <c r="BV140" s="9"/>
      <c r="BY140" s="81"/>
      <c r="BZ140" s="81"/>
      <c r="CB140" s="9"/>
      <c r="CE140" s="81"/>
      <c r="CF140" s="81"/>
      <c r="CH140" s="9"/>
      <c r="CK140" s="81"/>
      <c r="CL140" s="81"/>
      <c r="CR140" s="9"/>
      <c r="CS140" s="9"/>
      <c r="CT140" s="9"/>
      <c r="CU140" s="9"/>
      <c r="CV140" s="9"/>
      <c r="CW140" s="129"/>
      <c r="CX140" s="9"/>
    </row>
    <row r="141" spans="1:102">
      <c r="A141" s="6" t="str">
        <f t="shared" si="21"/>
        <v>00270763</v>
      </c>
      <c r="B141" s="6" t="s">
        <v>1677</v>
      </c>
      <c r="C141" s="6" t="s">
        <v>2052</v>
      </c>
      <c r="D141" s="6">
        <v>132</v>
      </c>
      <c r="E141" s="6">
        <v>27</v>
      </c>
      <c r="F141" s="6" t="s">
        <v>1146</v>
      </c>
      <c r="G141" s="6">
        <v>763</v>
      </c>
      <c r="H141" s="6" t="s">
        <v>1082</v>
      </c>
      <c r="I141" s="33">
        <v>3647366.8512679655</v>
      </c>
      <c r="J141" s="88">
        <v>0.24698458672506687</v>
      </c>
      <c r="K141" s="89">
        <f t="shared" si="19"/>
        <v>3436437.9041282879</v>
      </c>
      <c r="L141" s="88">
        <f>IF(K144&gt;0, K141/K144, 0)</f>
        <v>0.2309577620792243</v>
      </c>
      <c r="M141" s="58"/>
      <c r="N141" s="9">
        <f>ROUND(M144*L141,0)</f>
        <v>1938391</v>
      </c>
      <c r="O141" s="9">
        <v>1951517</v>
      </c>
      <c r="P141" s="9">
        <f>N141-O141</f>
        <v>-13126</v>
      </c>
      <c r="Q141" s="40">
        <f t="shared" si="20"/>
        <v>-0.67260495296735823</v>
      </c>
      <c r="R141" s="9">
        <v>257.51606425298002</v>
      </c>
      <c r="S141" s="9">
        <f t="shared" si="27"/>
        <v>231.99999999734999</v>
      </c>
      <c r="T141" s="90">
        <f t="shared" si="22"/>
        <v>27</v>
      </c>
      <c r="U141" s="90">
        <f t="shared" si="23"/>
        <v>763</v>
      </c>
      <c r="V141" s="373">
        <f t="shared" si="24"/>
        <v>132</v>
      </c>
      <c r="W141" s="90">
        <f t="shared" si="25"/>
        <v>231.99999999734999</v>
      </c>
      <c r="X141" s="90">
        <f t="shared" si="26"/>
        <v>3436437.9041282879</v>
      </c>
      <c r="Y141" s="141">
        <f t="shared" si="28"/>
        <v>132</v>
      </c>
      <c r="Z141" s="298">
        <v>27</v>
      </c>
      <c r="AA141" s="299">
        <v>763</v>
      </c>
      <c r="AB141" s="299">
        <v>132</v>
      </c>
      <c r="AC141" s="301">
        <v>231.99999999734999</v>
      </c>
      <c r="AD141" s="301">
        <v>3436437.9041282879</v>
      </c>
      <c r="AE141" s="126"/>
      <c r="AF141" s="298"/>
      <c r="AG141" s="299"/>
      <c r="AH141" s="299"/>
      <c r="AI141" s="301"/>
      <c r="AJ141" s="301"/>
      <c r="AK141" s="426"/>
      <c r="AL141" s="298"/>
      <c r="AM141" s="299"/>
      <c r="AN141" s="299"/>
      <c r="AO141" s="301"/>
      <c r="AP141" s="301"/>
      <c r="AQ141" s="426"/>
      <c r="AR141" s="298"/>
      <c r="AS141" s="299"/>
      <c r="AT141" s="299"/>
      <c r="AU141" s="301"/>
      <c r="AV141" s="301"/>
      <c r="AW141" s="88"/>
      <c r="AX141" s="298"/>
      <c r="AY141" s="299"/>
      <c r="AZ141" s="299"/>
      <c r="BA141" s="301"/>
      <c r="BB141" s="301"/>
      <c r="BC141" s="426"/>
      <c r="BD141" s="298"/>
      <c r="BE141" s="299"/>
      <c r="BF141" s="299"/>
      <c r="BG141" s="301"/>
      <c r="BH141" s="301"/>
      <c r="BI141" s="88"/>
      <c r="BJ141" s="298"/>
      <c r="BK141" s="299"/>
      <c r="BL141" s="299"/>
      <c r="BM141" s="301"/>
      <c r="BN141" s="301"/>
      <c r="BO141" s="88"/>
      <c r="BP141" s="9"/>
      <c r="BS141" s="81"/>
      <c r="BT141" s="81"/>
      <c r="BV141" s="9"/>
      <c r="BY141" s="81"/>
      <c r="BZ141" s="81"/>
      <c r="CB141" s="9"/>
      <c r="CE141" s="81"/>
      <c r="CF141" s="81"/>
      <c r="CH141" s="9"/>
      <c r="CK141" s="81"/>
      <c r="CL141" s="81"/>
      <c r="CR141" s="9"/>
      <c r="CS141" s="9"/>
      <c r="CT141" s="9"/>
      <c r="CU141" s="9"/>
      <c r="CV141" s="9"/>
      <c r="CW141" s="129"/>
      <c r="CX141" s="9"/>
    </row>
    <row r="142" spans="1:102">
      <c r="A142" s="6" t="str">
        <f t="shared" si="21"/>
        <v>00270810</v>
      </c>
      <c r="B142" s="6" t="s">
        <v>1677</v>
      </c>
      <c r="C142" s="6" t="s">
        <v>2065</v>
      </c>
      <c r="D142" s="6">
        <v>133</v>
      </c>
      <c r="E142" s="6">
        <v>27</v>
      </c>
      <c r="F142" s="6" t="s">
        <v>1146</v>
      </c>
      <c r="G142" s="6">
        <v>810</v>
      </c>
      <c r="H142" s="6" t="s">
        <v>1095</v>
      </c>
      <c r="I142" s="33">
        <v>1864635.2451007736</v>
      </c>
      <c r="J142" s="88">
        <v>0.12626538107734028</v>
      </c>
      <c r="K142" s="89">
        <f t="shared" si="19"/>
        <v>2255481.6339132669</v>
      </c>
      <c r="L142" s="88">
        <f>IF(K144&gt;0, K142/K144, 0)</f>
        <v>0.15158748829816002</v>
      </c>
      <c r="M142" s="58"/>
      <c r="N142" s="9">
        <f>ROUND(M144*L142,0)</f>
        <v>1272249</v>
      </c>
      <c r="O142" s="9">
        <v>997670</v>
      </c>
      <c r="P142" s="9">
        <f>N142-O142</f>
        <v>274579</v>
      </c>
      <c r="Q142" s="40">
        <f t="shared" si="20"/>
        <v>27.522026321328696</v>
      </c>
      <c r="R142" s="9">
        <v>92.49047982239999</v>
      </c>
      <c r="S142" s="9">
        <f t="shared" si="27"/>
        <v>111.32695140036</v>
      </c>
      <c r="T142" s="90">
        <f t="shared" si="22"/>
        <v>27</v>
      </c>
      <c r="U142" s="90">
        <f t="shared" si="23"/>
        <v>810</v>
      </c>
      <c r="V142" s="373">
        <f t="shared" si="24"/>
        <v>133</v>
      </c>
      <c r="W142" s="90">
        <f t="shared" si="25"/>
        <v>111.32695140036</v>
      </c>
      <c r="X142" s="90">
        <f t="shared" si="26"/>
        <v>2255481.6339132669</v>
      </c>
      <c r="Y142" s="141">
        <f t="shared" si="28"/>
        <v>133</v>
      </c>
      <c r="Z142" s="298">
        <v>27</v>
      </c>
      <c r="AA142" s="299">
        <v>810</v>
      </c>
      <c r="AB142" s="299">
        <v>133</v>
      </c>
      <c r="AC142" s="301">
        <v>111.32695140036</v>
      </c>
      <c r="AD142" s="301">
        <v>2255481.6339132669</v>
      </c>
      <c r="AE142" s="126"/>
      <c r="AF142" s="298"/>
      <c r="AG142" s="299"/>
      <c r="AH142" s="299"/>
      <c r="AI142" s="301"/>
      <c r="AJ142" s="301"/>
      <c r="AK142" s="426"/>
      <c r="AL142" s="298"/>
      <c r="AM142" s="299"/>
      <c r="AN142" s="299"/>
      <c r="AO142" s="301"/>
      <c r="AP142" s="301"/>
      <c r="AQ142" s="426"/>
      <c r="AR142" s="298"/>
      <c r="AS142" s="299"/>
      <c r="AT142" s="299"/>
      <c r="AU142" s="301"/>
      <c r="AV142" s="301"/>
      <c r="AW142" s="88"/>
      <c r="AX142" s="298"/>
      <c r="AY142" s="299"/>
      <c r="AZ142" s="299"/>
      <c r="BA142" s="301"/>
      <c r="BB142" s="301"/>
      <c r="BC142" s="426"/>
      <c r="BD142" s="298"/>
      <c r="BE142" s="299"/>
      <c r="BF142" s="299"/>
      <c r="BG142" s="301"/>
      <c r="BH142" s="301"/>
      <c r="BI142" s="88"/>
      <c r="BJ142" s="298"/>
      <c r="BK142" s="299"/>
      <c r="BL142" s="299"/>
      <c r="BM142" s="301"/>
      <c r="BN142" s="301"/>
      <c r="BO142" s="88"/>
      <c r="BP142" s="9"/>
      <c r="BS142" s="81"/>
      <c r="BT142" s="81"/>
      <c r="BV142" s="9"/>
      <c r="BY142" s="81"/>
      <c r="BZ142" s="81"/>
      <c r="CB142" s="9"/>
      <c r="CE142" s="81"/>
      <c r="CF142" s="81"/>
      <c r="CH142" s="9"/>
      <c r="CK142" s="81"/>
      <c r="CL142" s="81"/>
      <c r="CR142" s="9"/>
      <c r="CS142" s="9"/>
      <c r="CT142" s="9"/>
      <c r="CU142" s="9"/>
      <c r="CV142" s="9"/>
      <c r="CW142" s="129"/>
      <c r="CX142" s="9"/>
    </row>
    <row r="143" spans="1:102">
      <c r="A143" s="6" t="str">
        <f t="shared" si="21"/>
        <v>00270910</v>
      </c>
      <c r="B143" s="6" t="s">
        <v>1677</v>
      </c>
      <c r="C143" s="6" t="s">
        <v>2088</v>
      </c>
      <c r="D143" s="6">
        <v>134</v>
      </c>
      <c r="E143" s="6">
        <v>27</v>
      </c>
      <c r="F143" s="6" t="s">
        <v>1146</v>
      </c>
      <c r="G143" s="6">
        <v>910</v>
      </c>
      <c r="H143" s="6" t="s">
        <v>1118</v>
      </c>
      <c r="I143" s="33">
        <v>325798.70361667447</v>
      </c>
      <c r="J143" s="88">
        <v>2.2061739728854904E-2</v>
      </c>
      <c r="K143" s="89">
        <f t="shared" si="19"/>
        <v>291866.06653302186</v>
      </c>
      <c r="L143" s="88">
        <f>IF(K144&gt;0, K143/K144, 0)</f>
        <v>1.9615874179583673E-2</v>
      </c>
      <c r="M143" s="58"/>
      <c r="N143" s="9">
        <f>ROUND(M144*L143,0)</f>
        <v>164633</v>
      </c>
      <c r="O143" s="9">
        <v>174318</v>
      </c>
      <c r="P143" s="9">
        <f>N143-O143</f>
        <v>-9685</v>
      </c>
      <c r="Q143" s="40">
        <f t="shared" si="20"/>
        <v>-5.5559379983707933</v>
      </c>
      <c r="R143" s="9">
        <v>16.000000002149999</v>
      </c>
      <c r="S143" s="9">
        <f t="shared" si="27"/>
        <v>13.999999997970001</v>
      </c>
      <c r="T143" s="90">
        <f t="shared" si="22"/>
        <v>27</v>
      </c>
      <c r="U143" s="90">
        <f t="shared" si="23"/>
        <v>910</v>
      </c>
      <c r="V143" s="373">
        <f t="shared" si="24"/>
        <v>134</v>
      </c>
      <c r="W143" s="90">
        <f t="shared" si="25"/>
        <v>13.999999997970001</v>
      </c>
      <c r="X143" s="90">
        <f t="shared" si="26"/>
        <v>291866.06653302186</v>
      </c>
      <c r="Y143" s="141">
        <f t="shared" si="28"/>
        <v>134</v>
      </c>
      <c r="Z143" s="298">
        <v>27</v>
      </c>
      <c r="AA143" s="299">
        <v>910</v>
      </c>
      <c r="AB143" s="299">
        <v>134</v>
      </c>
      <c r="AC143" s="301">
        <v>13.999999997970001</v>
      </c>
      <c r="AD143" s="301">
        <v>291866.06653302186</v>
      </c>
      <c r="AE143" s="126"/>
      <c r="AF143" s="298"/>
      <c r="AG143" s="299"/>
      <c r="AH143" s="299"/>
      <c r="AI143" s="301"/>
      <c r="AJ143" s="301"/>
      <c r="AK143" s="426"/>
      <c r="AL143" s="298"/>
      <c r="AM143" s="299"/>
      <c r="AN143" s="299"/>
      <c r="AO143" s="301"/>
      <c r="AP143" s="301"/>
      <c r="AQ143" s="426"/>
      <c r="AR143" s="298"/>
      <c r="AS143" s="299"/>
      <c r="AT143" s="299"/>
      <c r="AU143" s="301"/>
      <c r="AV143" s="301"/>
      <c r="AW143" s="88"/>
      <c r="AX143" s="298"/>
      <c r="AY143" s="299"/>
      <c r="AZ143" s="299"/>
      <c r="BA143" s="301"/>
      <c r="BB143" s="301"/>
      <c r="BC143" s="426"/>
      <c r="BD143" s="298"/>
      <c r="BE143" s="299"/>
      <c r="BF143" s="299"/>
      <c r="BG143" s="301"/>
      <c r="BH143" s="301"/>
      <c r="BI143" s="88"/>
      <c r="BJ143" s="298"/>
      <c r="BK143" s="299"/>
      <c r="BL143" s="299"/>
      <c r="BM143" s="301"/>
      <c r="BN143" s="301"/>
      <c r="BO143" s="88"/>
      <c r="BP143" s="9"/>
      <c r="BS143" s="81"/>
      <c r="BT143" s="81"/>
      <c r="BV143" s="9"/>
      <c r="BY143" s="81"/>
      <c r="BZ143" s="81"/>
      <c r="CB143" s="9"/>
      <c r="CE143" s="81"/>
      <c r="CF143" s="81"/>
      <c r="CH143" s="9"/>
      <c r="CK143" s="81"/>
      <c r="CL143" s="81"/>
      <c r="CR143" s="9"/>
      <c r="CS143" s="9"/>
      <c r="CT143" s="9"/>
      <c r="CU143" s="9"/>
      <c r="CV143" s="9"/>
      <c r="CW143" s="129"/>
      <c r="CX143" s="9"/>
    </row>
    <row r="144" spans="1:102">
      <c r="A144" s="6" t="str">
        <f t="shared" si="21"/>
        <v>00270999</v>
      </c>
      <c r="B144" s="6" t="s">
        <v>1677</v>
      </c>
      <c r="C144" s="6" t="s">
        <v>2092</v>
      </c>
      <c r="D144" s="6">
        <v>135</v>
      </c>
      <c r="E144" s="10">
        <v>27</v>
      </c>
      <c r="F144" s="10" t="s">
        <v>1146</v>
      </c>
      <c r="G144" s="10">
        <v>999</v>
      </c>
      <c r="H144" s="10" t="s">
        <v>593</v>
      </c>
      <c r="I144" s="92">
        <v>14767588.939985413</v>
      </c>
      <c r="J144" s="472">
        <v>1</v>
      </c>
      <c r="K144" s="53">
        <f>SUM(K140:K143)</f>
        <v>14879075.174574576</v>
      </c>
      <c r="L144" s="91">
        <f>SUM(L140:L143)</f>
        <v>1.0000000000000002</v>
      </c>
      <c r="M144" s="79">
        <f>VLOOKUP(E144,town351,24)</f>
        <v>8392839</v>
      </c>
      <c r="N144" s="79">
        <f>SUM(N140:N143)</f>
        <v>8392838</v>
      </c>
      <c r="O144" s="79">
        <v>7901373</v>
      </c>
      <c r="P144" s="79">
        <f>SUM(P140:P143)</f>
        <v>491465</v>
      </c>
      <c r="Q144" s="39">
        <f t="shared" ref="Q144:Q207" si="29">IF(O144&gt;0,P144*100/O144,IF(P144&gt;0,100,0))</f>
        <v>6.2199949299950781</v>
      </c>
      <c r="R144" s="9">
        <v>1064.00654407753</v>
      </c>
      <c r="S144" s="9">
        <f t="shared" si="27"/>
        <v>1039.32695139568</v>
      </c>
      <c r="T144" s="90">
        <f t="shared" si="22"/>
        <v>27</v>
      </c>
      <c r="U144" s="90">
        <f t="shared" si="23"/>
        <v>999</v>
      </c>
      <c r="V144" s="373">
        <f t="shared" si="24"/>
        <v>135</v>
      </c>
      <c r="W144" s="90">
        <f t="shared" si="25"/>
        <v>1039.32695139568</v>
      </c>
      <c r="X144" s="90">
        <f t="shared" si="26"/>
        <v>14879075.174574576</v>
      </c>
      <c r="Y144" s="141">
        <f t="shared" si="28"/>
        <v>135</v>
      </c>
      <c r="Z144" s="298">
        <v>27</v>
      </c>
      <c r="AA144" s="299">
        <v>999</v>
      </c>
      <c r="AB144" s="299">
        <v>135</v>
      </c>
      <c r="AC144" s="301">
        <v>1039.32695139568</v>
      </c>
      <c r="AD144" s="301">
        <v>14879075.174574576</v>
      </c>
      <c r="AE144" s="126"/>
      <c r="AF144" s="298"/>
      <c r="AG144" s="299"/>
      <c r="AH144" s="299"/>
      <c r="AI144" s="301"/>
      <c r="AJ144" s="301"/>
      <c r="AK144" s="426"/>
      <c r="AL144" s="298"/>
      <c r="AM144" s="299"/>
      <c r="AN144" s="299"/>
      <c r="AO144" s="301"/>
      <c r="AP144" s="301"/>
      <c r="AQ144" s="426"/>
      <c r="AR144" s="298"/>
      <c r="AS144" s="299"/>
      <c r="AT144" s="299"/>
      <c r="AU144" s="301"/>
      <c r="AV144" s="301"/>
      <c r="AW144" s="91"/>
      <c r="AX144" s="298"/>
      <c r="AY144" s="299"/>
      <c r="AZ144" s="299"/>
      <c r="BA144" s="301"/>
      <c r="BB144" s="301"/>
      <c r="BC144" s="426"/>
      <c r="BD144" s="298"/>
      <c r="BE144" s="299"/>
      <c r="BF144" s="299"/>
      <c r="BG144" s="301"/>
      <c r="BH144" s="301"/>
      <c r="BI144" s="91"/>
      <c r="BJ144" s="298"/>
      <c r="BK144" s="299"/>
      <c r="BL144" s="299"/>
      <c r="BM144" s="301"/>
      <c r="BN144" s="301"/>
      <c r="BO144" s="91"/>
      <c r="BP144" s="9"/>
      <c r="BS144" s="81"/>
      <c r="BT144" s="81"/>
      <c r="BV144" s="9"/>
      <c r="BY144" s="81"/>
      <c r="BZ144" s="81"/>
      <c r="CB144" s="9"/>
      <c r="CE144" s="81"/>
      <c r="CF144" s="81"/>
      <c r="CH144" s="9"/>
      <c r="CK144" s="81"/>
      <c r="CL144" s="81"/>
      <c r="CR144" s="9"/>
      <c r="CS144" s="9"/>
      <c r="CT144" s="9"/>
      <c r="CU144" s="9"/>
      <c r="CV144" s="9"/>
      <c r="CW144" s="129"/>
      <c r="CX144" s="9"/>
    </row>
    <row r="145" spans="1:102">
      <c r="A145" s="6" t="str">
        <f t="shared" si="21"/>
        <v>00280028</v>
      </c>
      <c r="B145" s="6" t="s">
        <v>1678</v>
      </c>
      <c r="C145" s="6" t="s">
        <v>1678</v>
      </c>
      <c r="D145" s="6">
        <v>136</v>
      </c>
      <c r="E145" s="6">
        <v>28</v>
      </c>
      <c r="F145" s="6" t="s">
        <v>1147</v>
      </c>
      <c r="G145" s="6">
        <v>28</v>
      </c>
      <c r="H145" s="6" t="s">
        <v>709</v>
      </c>
      <c r="I145" s="33">
        <v>0</v>
      </c>
      <c r="J145" s="88">
        <v>0</v>
      </c>
      <c r="K145" s="89">
        <f t="shared" ref="K145:K208" si="30">X145</f>
        <v>0</v>
      </c>
      <c r="L145" s="88">
        <f>IF(K149&gt;0, K145/K149, 0)</f>
        <v>0</v>
      </c>
      <c r="M145" s="58"/>
      <c r="N145" s="9">
        <f>ROUND(M149*L145,0)</f>
        <v>0</v>
      </c>
      <c r="O145" s="9">
        <v>0</v>
      </c>
      <c r="P145" s="9">
        <f>N145-O145</f>
        <v>0</v>
      </c>
      <c r="Q145" s="40">
        <f t="shared" si="29"/>
        <v>0</v>
      </c>
      <c r="R145" s="9">
        <v>0</v>
      </c>
      <c r="S145" s="9">
        <f t="shared" si="27"/>
        <v>0</v>
      </c>
      <c r="T145" s="90">
        <f t="shared" si="22"/>
        <v>28</v>
      </c>
      <c r="U145" s="90">
        <f t="shared" si="23"/>
        <v>28</v>
      </c>
      <c r="V145" s="373">
        <f t="shared" si="24"/>
        <v>136</v>
      </c>
      <c r="W145" s="90">
        <f t="shared" si="25"/>
        <v>0</v>
      </c>
      <c r="X145" s="90">
        <f t="shared" si="26"/>
        <v>0</v>
      </c>
      <c r="Y145" s="141">
        <f t="shared" si="28"/>
        <v>136</v>
      </c>
      <c r="Z145" s="298">
        <v>28</v>
      </c>
      <c r="AA145" s="299">
        <v>28</v>
      </c>
      <c r="AB145" s="299">
        <v>136</v>
      </c>
      <c r="AC145" s="301">
        <v>0</v>
      </c>
      <c r="AD145" s="301">
        <v>0</v>
      </c>
      <c r="AE145" s="126"/>
      <c r="AF145" s="298"/>
      <c r="AG145" s="299"/>
      <c r="AH145" s="299"/>
      <c r="AI145" s="301"/>
      <c r="AJ145" s="301"/>
      <c r="AK145" s="426"/>
      <c r="AL145" s="298"/>
      <c r="AM145" s="299"/>
      <c r="AN145" s="299"/>
      <c r="AO145" s="301"/>
      <c r="AP145" s="301"/>
      <c r="AQ145" s="426"/>
      <c r="AR145" s="298"/>
      <c r="AS145" s="299"/>
      <c r="AT145" s="299"/>
      <c r="AU145" s="301"/>
      <c r="AV145" s="301"/>
      <c r="AW145" s="88"/>
      <c r="AX145" s="298"/>
      <c r="AY145" s="299"/>
      <c r="AZ145" s="299"/>
      <c r="BA145" s="301"/>
      <c r="BB145" s="301"/>
      <c r="BC145" s="426"/>
      <c r="BD145" s="298"/>
      <c r="BE145" s="299"/>
      <c r="BF145" s="299"/>
      <c r="BG145" s="301"/>
      <c r="BH145" s="301"/>
      <c r="BI145" s="88"/>
      <c r="BJ145" s="298"/>
      <c r="BK145" s="299"/>
      <c r="BL145" s="299"/>
      <c r="BM145" s="301"/>
      <c r="BN145" s="301"/>
      <c r="BO145" s="88"/>
      <c r="BP145" s="9"/>
      <c r="BS145" s="81"/>
      <c r="BT145" s="81"/>
      <c r="BV145" s="9"/>
      <c r="BY145" s="81"/>
      <c r="BZ145" s="81"/>
      <c r="CB145" s="9"/>
      <c r="CE145" s="81"/>
      <c r="CF145" s="81"/>
      <c r="CH145" s="9"/>
      <c r="CK145" s="81"/>
      <c r="CL145" s="81"/>
      <c r="CR145" s="9"/>
      <c r="CS145" s="9"/>
      <c r="CT145" s="9"/>
      <c r="CU145" s="9"/>
      <c r="CV145" s="9"/>
      <c r="CW145" s="129"/>
      <c r="CX145" s="9"/>
    </row>
    <row r="146" spans="1:102">
      <c r="A146" s="6" t="str">
        <f t="shared" si="21"/>
        <v>00280620</v>
      </c>
      <c r="B146" s="6" t="s">
        <v>1678</v>
      </c>
      <c r="C146" s="6" t="s">
        <v>2011</v>
      </c>
      <c r="D146" s="6">
        <v>137</v>
      </c>
      <c r="E146" s="6">
        <v>28</v>
      </c>
      <c r="F146" s="6" t="s">
        <v>1147</v>
      </c>
      <c r="G146" s="6">
        <v>620</v>
      </c>
      <c r="H146" s="6" t="s">
        <v>1041</v>
      </c>
      <c r="I146" s="33">
        <v>4843565.8674703222</v>
      </c>
      <c r="J146" s="88">
        <v>0.83298218680157909</v>
      </c>
      <c r="K146" s="89">
        <f t="shared" si="30"/>
        <v>5315826.4740521973</v>
      </c>
      <c r="L146" s="88">
        <f>IF(K149&gt;0, K146/K149, 0)</f>
        <v>0.8625110515743436</v>
      </c>
      <c r="M146" s="58"/>
      <c r="N146" s="9">
        <f>ROUND(M149*L146,0)</f>
        <v>3750867</v>
      </c>
      <c r="O146" s="9">
        <v>3383257</v>
      </c>
      <c r="P146" s="9">
        <f>N146-O146</f>
        <v>367610</v>
      </c>
      <c r="Q146" s="40">
        <f t="shared" si="29"/>
        <v>10.86556534132642</v>
      </c>
      <c r="R146" s="9">
        <v>389.67128712752003</v>
      </c>
      <c r="S146" s="9">
        <f t="shared" si="27"/>
        <v>415.63172804984998</v>
      </c>
      <c r="T146" s="90">
        <f t="shared" si="22"/>
        <v>28</v>
      </c>
      <c r="U146" s="90">
        <f t="shared" si="23"/>
        <v>620</v>
      </c>
      <c r="V146" s="373">
        <f t="shared" si="24"/>
        <v>137</v>
      </c>
      <c r="W146" s="90">
        <f t="shared" si="25"/>
        <v>415.63172804984998</v>
      </c>
      <c r="X146" s="90">
        <f t="shared" si="26"/>
        <v>5315826.4740521973</v>
      </c>
      <c r="Y146" s="141">
        <f t="shared" si="28"/>
        <v>137</v>
      </c>
      <c r="Z146" s="298">
        <v>28</v>
      </c>
      <c r="AA146" s="299">
        <v>620</v>
      </c>
      <c r="AB146" s="299">
        <v>137</v>
      </c>
      <c r="AC146" s="301">
        <v>415.63172804984998</v>
      </c>
      <c r="AD146" s="301">
        <v>5315826.4740521973</v>
      </c>
      <c r="AE146" s="126"/>
      <c r="AF146" s="298"/>
      <c r="AG146" s="299"/>
      <c r="AH146" s="299"/>
      <c r="AI146" s="301"/>
      <c r="AJ146" s="301"/>
      <c r="AK146" s="426"/>
      <c r="AL146" s="298"/>
      <c r="AM146" s="299"/>
      <c r="AN146" s="299"/>
      <c r="AO146" s="301"/>
      <c r="AP146" s="301"/>
      <c r="AQ146" s="426"/>
      <c r="AR146" s="298"/>
      <c r="AS146" s="299"/>
      <c r="AT146" s="299"/>
      <c r="AU146" s="301"/>
      <c r="AV146" s="301"/>
      <c r="AW146" s="88"/>
      <c r="AX146" s="298"/>
      <c r="AY146" s="299"/>
      <c r="AZ146" s="299"/>
      <c r="BA146" s="301"/>
      <c r="BB146" s="301"/>
      <c r="BC146" s="426"/>
      <c r="BD146" s="298"/>
      <c r="BE146" s="299"/>
      <c r="BF146" s="299"/>
      <c r="BG146" s="301"/>
      <c r="BH146" s="301"/>
      <c r="BI146" s="88"/>
      <c r="BJ146" s="298"/>
      <c r="BK146" s="299"/>
      <c r="BL146" s="299"/>
      <c r="BM146" s="301"/>
      <c r="BN146" s="301"/>
      <c r="BO146" s="88"/>
      <c r="BP146" s="9"/>
      <c r="BS146" s="81"/>
      <c r="BT146" s="81"/>
      <c r="BV146" s="9"/>
      <c r="BY146" s="81"/>
      <c r="BZ146" s="81"/>
      <c r="CB146" s="9"/>
      <c r="CE146" s="81"/>
      <c r="CF146" s="81"/>
      <c r="CH146" s="9"/>
      <c r="CK146" s="81"/>
      <c r="CL146" s="81"/>
      <c r="CR146" s="9"/>
      <c r="CS146" s="9"/>
      <c r="CT146" s="9"/>
      <c r="CU146" s="9"/>
      <c r="CV146" s="9"/>
      <c r="CW146" s="129"/>
      <c r="CX146" s="9"/>
    </row>
    <row r="147" spans="1:102">
      <c r="A147" s="6" t="str">
        <f t="shared" si="21"/>
        <v>00280801</v>
      </c>
      <c r="B147" s="6" t="s">
        <v>1678</v>
      </c>
      <c r="C147" s="6" t="s">
        <v>2062</v>
      </c>
      <c r="D147" s="6">
        <v>138</v>
      </c>
      <c r="E147" s="6">
        <v>28</v>
      </c>
      <c r="F147" s="6" t="s">
        <v>1147</v>
      </c>
      <c r="G147" s="6">
        <v>801</v>
      </c>
      <c r="H147" s="6" t="s">
        <v>1092</v>
      </c>
      <c r="I147" s="33">
        <v>971163.35989559989</v>
      </c>
      <c r="J147" s="88">
        <v>0.16701781319842091</v>
      </c>
      <c r="K147" s="89">
        <f t="shared" si="30"/>
        <v>847371.62566977821</v>
      </c>
      <c r="L147" s="88">
        <f>IF(K149&gt;0, K147/K149, 0)</f>
        <v>0.1374889484256564</v>
      </c>
      <c r="M147" s="58"/>
      <c r="N147" s="9">
        <f>ROUND(M149*L147,0)</f>
        <v>597909</v>
      </c>
      <c r="O147" s="9">
        <v>678363</v>
      </c>
      <c r="P147" s="9">
        <f>N147-O147</f>
        <v>-80454</v>
      </c>
      <c r="Q147" s="40">
        <f t="shared" si="29"/>
        <v>-11.86002184671039</v>
      </c>
      <c r="R147" s="9">
        <v>44.000000004069996</v>
      </c>
      <c r="S147" s="9">
        <f t="shared" si="27"/>
        <v>37.000000001050005</v>
      </c>
      <c r="T147" s="90">
        <f t="shared" si="22"/>
        <v>28</v>
      </c>
      <c r="U147" s="90">
        <f t="shared" si="23"/>
        <v>801</v>
      </c>
      <c r="V147" s="373">
        <f t="shared" si="24"/>
        <v>138</v>
      </c>
      <c r="W147" s="90">
        <f t="shared" si="25"/>
        <v>37.000000001050005</v>
      </c>
      <c r="X147" s="90">
        <f t="shared" si="26"/>
        <v>847371.62566977821</v>
      </c>
      <c r="Y147" s="141">
        <f t="shared" si="28"/>
        <v>138</v>
      </c>
      <c r="Z147" s="298">
        <v>28</v>
      </c>
      <c r="AA147" s="299">
        <v>801</v>
      </c>
      <c r="AB147" s="299">
        <v>138</v>
      </c>
      <c r="AC147" s="301">
        <v>37.000000001050005</v>
      </c>
      <c r="AD147" s="301">
        <v>847371.62566977821</v>
      </c>
      <c r="AE147" s="126"/>
      <c r="AF147" s="298"/>
      <c r="AG147" s="299"/>
      <c r="AH147" s="299"/>
      <c r="AI147" s="301"/>
      <c r="AJ147" s="301"/>
      <c r="AK147" s="426"/>
      <c r="AL147" s="298"/>
      <c r="AM147" s="299"/>
      <c r="AN147" s="299"/>
      <c r="AO147" s="301"/>
      <c r="AP147" s="301"/>
      <c r="AQ147" s="426"/>
      <c r="AR147" s="298"/>
      <c r="AS147" s="299"/>
      <c r="AT147" s="299"/>
      <c r="AU147" s="301"/>
      <c r="AV147" s="301"/>
      <c r="AW147" s="88"/>
      <c r="AX147" s="298"/>
      <c r="AY147" s="299"/>
      <c r="AZ147" s="299"/>
      <c r="BA147" s="301"/>
      <c r="BB147" s="301"/>
      <c r="BC147" s="426"/>
      <c r="BD147" s="298"/>
      <c r="BE147" s="299"/>
      <c r="BF147" s="299"/>
      <c r="BG147" s="301"/>
      <c r="BH147" s="301"/>
      <c r="BI147" s="88"/>
      <c r="BJ147" s="298"/>
      <c r="BK147" s="299"/>
      <c r="BL147" s="299"/>
      <c r="BM147" s="301"/>
      <c r="BN147" s="301"/>
      <c r="BO147" s="88"/>
      <c r="BP147" s="9"/>
      <c r="BS147" s="81"/>
      <c r="BT147" s="81"/>
      <c r="BV147" s="9"/>
      <c r="BY147" s="81"/>
      <c r="BZ147" s="81"/>
      <c r="CB147" s="9"/>
      <c r="CE147" s="81"/>
      <c r="CF147" s="81"/>
      <c r="CH147" s="9"/>
      <c r="CK147" s="81"/>
      <c r="CL147" s="81"/>
      <c r="CR147" s="9"/>
      <c r="CS147" s="9"/>
      <c r="CT147" s="9"/>
      <c r="CU147" s="9"/>
      <c r="CV147" s="9"/>
      <c r="CW147" s="129"/>
      <c r="CX147" s="9"/>
    </row>
    <row r="148" spans="1:102">
      <c r="A148" s="6" t="str">
        <f t="shared" si="21"/>
        <v>00280998</v>
      </c>
      <c r="B148" s="6" t="s">
        <v>1678</v>
      </c>
      <c r="C148" s="6" t="s">
        <v>2091</v>
      </c>
      <c r="D148" s="6">
        <v>139</v>
      </c>
      <c r="E148" s="6">
        <v>28</v>
      </c>
      <c r="F148" s="6" t="s">
        <v>1547</v>
      </c>
      <c r="G148" s="6">
        <v>998</v>
      </c>
      <c r="H148" s="6" t="s">
        <v>1547</v>
      </c>
      <c r="I148" s="33">
        <v>0</v>
      </c>
      <c r="J148" s="88">
        <v>0</v>
      </c>
      <c r="K148" s="89">
        <f t="shared" si="30"/>
        <v>0</v>
      </c>
      <c r="L148" s="88">
        <f>IF(K149&gt;0, K148/K149, 0)</f>
        <v>0</v>
      </c>
      <c r="M148" s="58"/>
      <c r="N148" s="9">
        <f>ROUND(M149*L148,0)</f>
        <v>0</v>
      </c>
      <c r="O148" s="9">
        <v>0</v>
      </c>
      <c r="P148" s="9">
        <f>N148-O148</f>
        <v>0</v>
      </c>
      <c r="Q148" s="40">
        <f t="shared" si="29"/>
        <v>0</v>
      </c>
      <c r="R148" s="9">
        <v>0</v>
      </c>
      <c r="S148" s="9">
        <f t="shared" si="27"/>
        <v>0</v>
      </c>
      <c r="T148" s="90">
        <f t="shared" si="22"/>
        <v>28</v>
      </c>
      <c r="U148" s="90">
        <f t="shared" si="23"/>
        <v>998</v>
      </c>
      <c r="V148" s="373">
        <f t="shared" si="24"/>
        <v>139</v>
      </c>
      <c r="W148" s="90">
        <f t="shared" si="25"/>
        <v>0</v>
      </c>
      <c r="X148" s="90">
        <f t="shared" si="26"/>
        <v>0</v>
      </c>
      <c r="Y148" s="141">
        <f t="shared" si="28"/>
        <v>139</v>
      </c>
      <c r="Z148" s="298">
        <v>28</v>
      </c>
      <c r="AA148" s="299">
        <v>998</v>
      </c>
      <c r="AB148" s="299">
        <v>139</v>
      </c>
      <c r="AC148" s="301">
        <v>0</v>
      </c>
      <c r="AD148" s="301">
        <v>0</v>
      </c>
      <c r="AE148" s="126"/>
      <c r="AF148" s="298"/>
      <c r="AG148" s="299"/>
      <c r="AH148" s="299"/>
      <c r="AI148" s="301"/>
      <c r="AJ148" s="301"/>
      <c r="AK148" s="426"/>
      <c r="AL148" s="298"/>
      <c r="AM148" s="299"/>
      <c r="AN148" s="299"/>
      <c r="AO148" s="301"/>
      <c r="AP148" s="301"/>
      <c r="AQ148" s="426"/>
      <c r="AR148" s="298"/>
      <c r="AS148" s="299"/>
      <c r="AT148" s="299"/>
      <c r="AU148" s="301"/>
      <c r="AV148" s="301"/>
      <c r="AW148" s="88"/>
      <c r="AX148" s="298"/>
      <c r="AY148" s="299"/>
      <c r="AZ148" s="299"/>
      <c r="BA148" s="301"/>
      <c r="BB148" s="301"/>
      <c r="BC148" s="426"/>
      <c r="BD148" s="298"/>
      <c r="BE148" s="299"/>
      <c r="BF148" s="299"/>
      <c r="BG148" s="301"/>
      <c r="BH148" s="301"/>
      <c r="BI148" s="88"/>
      <c r="BJ148" s="298"/>
      <c r="BK148" s="299"/>
      <c r="BL148" s="299"/>
      <c r="BM148" s="301"/>
      <c r="BN148" s="301"/>
      <c r="BO148" s="88"/>
      <c r="BP148" s="9"/>
      <c r="BS148" s="81"/>
      <c r="BT148" s="81"/>
      <c r="BV148" s="9"/>
      <c r="BY148" s="81"/>
      <c r="BZ148" s="81"/>
      <c r="CB148" s="9"/>
      <c r="CE148" s="81"/>
      <c r="CF148" s="81"/>
      <c r="CH148" s="9"/>
      <c r="CK148" s="81"/>
      <c r="CL148" s="81"/>
      <c r="CR148" s="9"/>
      <c r="CS148" s="9"/>
      <c r="CT148" s="9"/>
      <c r="CU148" s="9"/>
      <c r="CV148" s="9"/>
      <c r="CW148" s="129"/>
      <c r="CX148" s="9"/>
    </row>
    <row r="149" spans="1:102">
      <c r="A149" s="6" t="str">
        <f t="shared" si="21"/>
        <v>00280999</v>
      </c>
      <c r="B149" s="6" t="s">
        <v>1678</v>
      </c>
      <c r="C149" s="6" t="s">
        <v>2092</v>
      </c>
      <c r="D149" s="6">
        <v>140</v>
      </c>
      <c r="E149" s="10">
        <v>28</v>
      </c>
      <c r="F149" s="10" t="s">
        <v>1147</v>
      </c>
      <c r="G149" s="10">
        <v>999</v>
      </c>
      <c r="H149" s="10" t="s">
        <v>593</v>
      </c>
      <c r="I149" s="92">
        <v>5814729.2273659222</v>
      </c>
      <c r="J149" s="472">
        <v>1</v>
      </c>
      <c r="K149" s="53">
        <f>SUM(K145:K148)</f>
        <v>6163198.0997219756</v>
      </c>
      <c r="L149" s="91">
        <f>SUM(L145:L148)</f>
        <v>1</v>
      </c>
      <c r="M149" s="79">
        <f>VLOOKUP(E149,town351,24)</f>
        <v>4348776</v>
      </c>
      <c r="N149" s="79">
        <f>SUM(N145:N148)</f>
        <v>4348776</v>
      </c>
      <c r="O149" s="79">
        <v>4061620</v>
      </c>
      <c r="P149" s="79">
        <f>SUM(P145:P148)</f>
        <v>287156</v>
      </c>
      <c r="Q149" s="39">
        <f t="shared" si="29"/>
        <v>7.0699868525366725</v>
      </c>
      <c r="R149" s="9">
        <v>433.67128713159002</v>
      </c>
      <c r="S149" s="9">
        <f t="shared" si="27"/>
        <v>452.63172805089999</v>
      </c>
      <c r="T149" s="90">
        <f t="shared" si="22"/>
        <v>28</v>
      </c>
      <c r="U149" s="90">
        <f t="shared" si="23"/>
        <v>999</v>
      </c>
      <c r="V149" s="373">
        <f t="shared" si="24"/>
        <v>140</v>
      </c>
      <c r="W149" s="90">
        <f t="shared" si="25"/>
        <v>452.63172805089999</v>
      </c>
      <c r="X149" s="90">
        <f t="shared" si="26"/>
        <v>6163198.0997219756</v>
      </c>
      <c r="Y149" s="141">
        <f t="shared" si="28"/>
        <v>140</v>
      </c>
      <c r="Z149" s="298">
        <v>28</v>
      </c>
      <c r="AA149" s="299">
        <v>999</v>
      </c>
      <c r="AB149" s="299">
        <v>140</v>
      </c>
      <c r="AC149" s="301">
        <v>452.63172805089999</v>
      </c>
      <c r="AD149" s="301">
        <v>6163198.0997219756</v>
      </c>
      <c r="AE149" s="126"/>
      <c r="AF149" s="298"/>
      <c r="AG149" s="299"/>
      <c r="AH149" s="299"/>
      <c r="AI149" s="301"/>
      <c r="AJ149" s="301"/>
      <c r="AK149" s="426"/>
      <c r="AL149" s="298"/>
      <c r="AM149" s="299"/>
      <c r="AN149" s="299"/>
      <c r="AO149" s="301"/>
      <c r="AP149" s="301"/>
      <c r="AQ149" s="426"/>
      <c r="AR149" s="298"/>
      <c r="AS149" s="299"/>
      <c r="AT149" s="299"/>
      <c r="AU149" s="301"/>
      <c r="AV149" s="301"/>
      <c r="AW149" s="91"/>
      <c r="AX149" s="298"/>
      <c r="AY149" s="299"/>
      <c r="AZ149" s="299"/>
      <c r="BA149" s="301"/>
      <c r="BB149" s="301"/>
      <c r="BC149" s="426"/>
      <c r="BD149" s="298"/>
      <c r="BE149" s="299"/>
      <c r="BF149" s="299"/>
      <c r="BG149" s="301"/>
      <c r="BH149" s="301"/>
      <c r="BI149" s="91"/>
      <c r="BJ149" s="298"/>
      <c r="BK149" s="299"/>
      <c r="BL149" s="299"/>
      <c r="BM149" s="301"/>
      <c r="BN149" s="301"/>
      <c r="BO149" s="91"/>
      <c r="BP149" s="9"/>
      <c r="BS149" s="81"/>
      <c r="BT149" s="81"/>
      <c r="BV149" s="9"/>
      <c r="BY149" s="81"/>
      <c r="BZ149" s="81"/>
      <c r="CB149" s="9"/>
      <c r="CE149" s="81"/>
      <c r="CF149" s="81"/>
      <c r="CH149" s="9"/>
      <c r="CK149" s="81"/>
      <c r="CL149" s="81"/>
      <c r="CR149" s="9"/>
      <c r="CS149" s="9"/>
      <c r="CT149" s="9"/>
      <c r="CU149" s="9"/>
      <c r="CV149" s="9"/>
      <c r="CW149" s="129"/>
      <c r="CX149" s="9"/>
    </row>
    <row r="150" spans="1:102">
      <c r="A150" s="6" t="str">
        <f t="shared" si="21"/>
        <v>00290029</v>
      </c>
      <c r="B150" s="6" t="s">
        <v>1679</v>
      </c>
      <c r="C150" s="6" t="s">
        <v>1679</v>
      </c>
      <c r="D150" s="6">
        <v>141</v>
      </c>
      <c r="E150" s="6">
        <v>29</v>
      </c>
      <c r="F150" s="6" t="s">
        <v>1148</v>
      </c>
      <c r="G150" s="6">
        <v>29</v>
      </c>
      <c r="H150" s="6" t="s">
        <v>710</v>
      </c>
      <c r="I150" s="33">
        <v>0</v>
      </c>
      <c r="J150" s="88">
        <v>0</v>
      </c>
      <c r="K150" s="89">
        <f>X150</f>
        <v>0</v>
      </c>
      <c r="L150" s="88">
        <f>IF(K154&gt;0, K150/K154, 0)</f>
        <v>0</v>
      </c>
      <c r="M150" s="58"/>
      <c r="N150" s="9">
        <f>ROUND(M154*L150,0)</f>
        <v>0</v>
      </c>
      <c r="O150" s="9">
        <v>0</v>
      </c>
      <c r="P150" s="9">
        <f>N150-O150</f>
        <v>0</v>
      </c>
      <c r="Q150" s="40">
        <f t="shared" si="29"/>
        <v>0</v>
      </c>
      <c r="R150" s="9">
        <v>0</v>
      </c>
      <c r="S150" s="9">
        <f t="shared" si="27"/>
        <v>0</v>
      </c>
      <c r="T150" s="90">
        <f t="shared" si="22"/>
        <v>29</v>
      </c>
      <c r="U150" s="90">
        <f t="shared" si="23"/>
        <v>29</v>
      </c>
      <c r="V150" s="373">
        <f t="shared" si="24"/>
        <v>141</v>
      </c>
      <c r="W150" s="90">
        <f t="shared" si="25"/>
        <v>0</v>
      </c>
      <c r="X150" s="90">
        <f t="shared" si="26"/>
        <v>0</v>
      </c>
      <c r="Y150" s="141">
        <f t="shared" si="28"/>
        <v>141</v>
      </c>
      <c r="Z150" s="298">
        <v>29</v>
      </c>
      <c r="AA150" s="299">
        <v>29</v>
      </c>
      <c r="AB150" s="299">
        <v>141</v>
      </c>
      <c r="AC150" s="301">
        <v>0</v>
      </c>
      <c r="AD150" s="301">
        <v>0</v>
      </c>
      <c r="AE150" s="126"/>
      <c r="AF150" s="298"/>
      <c r="AG150" s="299"/>
      <c r="AH150" s="299"/>
      <c r="AI150" s="301"/>
      <c r="AJ150" s="301"/>
      <c r="AK150" s="426"/>
      <c r="AL150" s="298"/>
      <c r="AM150" s="299"/>
      <c r="AN150" s="299"/>
      <c r="AO150" s="301"/>
      <c r="AP150" s="301"/>
      <c r="AQ150" s="426"/>
      <c r="AR150" s="298"/>
      <c r="AS150" s="299"/>
      <c r="AT150" s="299"/>
      <c r="AU150" s="301"/>
      <c r="AV150" s="301"/>
      <c r="AW150" s="88"/>
      <c r="AX150" s="298"/>
      <c r="AY150" s="299"/>
      <c r="AZ150" s="299"/>
      <c r="BA150" s="301"/>
      <c r="BB150" s="301"/>
      <c r="BC150" s="426"/>
      <c r="BD150" s="298"/>
      <c r="BE150" s="299"/>
      <c r="BF150" s="299"/>
      <c r="BG150" s="301"/>
      <c r="BH150" s="301"/>
      <c r="BI150" s="88"/>
      <c r="BJ150" s="298"/>
      <c r="BK150" s="299"/>
      <c r="BL150" s="299"/>
      <c r="BM150" s="301"/>
      <c r="BN150" s="301"/>
      <c r="BO150" s="88"/>
      <c r="BP150" s="9"/>
      <c r="BS150" s="81"/>
      <c r="BT150" s="81"/>
      <c r="BV150" s="9"/>
      <c r="BY150" s="81"/>
      <c r="BZ150" s="81"/>
      <c r="CB150" s="9"/>
      <c r="CE150" s="81"/>
      <c r="CF150" s="81"/>
      <c r="CH150" s="9"/>
      <c r="CK150" s="81"/>
      <c r="CL150" s="81"/>
      <c r="CR150" s="9"/>
      <c r="CS150" s="9"/>
      <c r="CT150" s="9"/>
      <c r="CU150" s="9"/>
      <c r="CV150" s="9"/>
      <c r="CW150" s="129"/>
      <c r="CX150" s="9"/>
    </row>
    <row r="151" spans="1:102">
      <c r="A151" s="6" t="str">
        <f t="shared" si="21"/>
        <v>00290750</v>
      </c>
      <c r="B151" s="6" t="s">
        <v>1679</v>
      </c>
      <c r="C151" s="6" t="s">
        <v>2048</v>
      </c>
      <c r="D151" s="6">
        <v>142</v>
      </c>
      <c r="E151" s="6">
        <v>29</v>
      </c>
      <c r="F151" s="6" t="s">
        <v>1148</v>
      </c>
      <c r="G151" s="6">
        <v>750</v>
      </c>
      <c r="H151" s="6" t="s">
        <v>1078</v>
      </c>
      <c r="I151" s="33">
        <v>3105454.8823304903</v>
      </c>
      <c r="J151" s="88">
        <v>0.85328256448704143</v>
      </c>
      <c r="K151" s="89">
        <f t="shared" si="30"/>
        <v>3076751.2574521811</v>
      </c>
      <c r="L151" s="88">
        <f>IF(K154&gt;0, K151/K154, 0)</f>
        <v>0.82432280843611394</v>
      </c>
      <c r="M151" s="58"/>
      <c r="N151" s="9">
        <f>ROUND(M154*L151,0)</f>
        <v>1656501</v>
      </c>
      <c r="O151" s="9">
        <v>1622998</v>
      </c>
      <c r="P151" s="9">
        <f>N151-O151</f>
        <v>33503</v>
      </c>
      <c r="Q151" s="40">
        <f t="shared" si="29"/>
        <v>2.0642662529467071</v>
      </c>
      <c r="R151" s="9">
        <v>224.86254295736001</v>
      </c>
      <c r="S151" s="9">
        <f t="shared" si="27"/>
        <v>219.20664206630002</v>
      </c>
      <c r="T151" s="90">
        <f t="shared" si="22"/>
        <v>29</v>
      </c>
      <c r="U151" s="90">
        <f t="shared" si="23"/>
        <v>750</v>
      </c>
      <c r="V151" s="373">
        <f t="shared" si="24"/>
        <v>142</v>
      </c>
      <c r="W151" s="90">
        <f t="shared" si="25"/>
        <v>219.20664206630002</v>
      </c>
      <c r="X151" s="90">
        <f t="shared" si="26"/>
        <v>3076751.2574521811</v>
      </c>
      <c r="Y151" s="141">
        <f t="shared" si="28"/>
        <v>142</v>
      </c>
      <c r="Z151" s="298">
        <v>29</v>
      </c>
      <c r="AA151" s="299">
        <v>750</v>
      </c>
      <c r="AB151" s="299">
        <v>142</v>
      </c>
      <c r="AC151" s="301">
        <v>219.20664206630002</v>
      </c>
      <c r="AD151" s="301">
        <v>3076751.2574521811</v>
      </c>
      <c r="AE151" s="126"/>
      <c r="AF151" s="298"/>
      <c r="AG151" s="299"/>
      <c r="AH151" s="299"/>
      <c r="AI151" s="301"/>
      <c r="AJ151" s="301"/>
      <c r="AK151" s="426"/>
      <c r="AL151" s="298"/>
      <c r="AM151" s="299"/>
      <c r="AN151" s="299"/>
      <c r="AO151" s="301"/>
      <c r="AP151" s="301"/>
      <c r="AQ151" s="426"/>
      <c r="AR151" s="298"/>
      <c r="AS151" s="299"/>
      <c r="AT151" s="299"/>
      <c r="AU151" s="301"/>
      <c r="AV151" s="301"/>
      <c r="AW151" s="88"/>
      <c r="AX151" s="298"/>
      <c r="AY151" s="299"/>
      <c r="AZ151" s="299"/>
      <c r="BA151" s="301"/>
      <c r="BB151" s="301"/>
      <c r="BC151" s="426"/>
      <c r="BD151" s="298"/>
      <c r="BE151" s="299"/>
      <c r="BF151" s="299"/>
      <c r="BG151" s="301"/>
      <c r="BH151" s="301"/>
      <c r="BI151" s="88"/>
      <c r="BJ151" s="298"/>
      <c r="BK151" s="299"/>
      <c r="BL151" s="299"/>
      <c r="BM151" s="301"/>
      <c r="BN151" s="301"/>
      <c r="BO151" s="88"/>
      <c r="BP151" s="9"/>
      <c r="BS151" s="81"/>
      <c r="BT151" s="81"/>
      <c r="BV151" s="9"/>
      <c r="BY151" s="81"/>
      <c r="BZ151" s="81"/>
      <c r="CB151" s="9"/>
      <c r="CE151" s="81"/>
      <c r="CF151" s="81"/>
      <c r="CH151" s="9"/>
      <c r="CK151" s="81"/>
      <c r="CL151" s="81"/>
      <c r="CR151" s="9"/>
      <c r="CS151" s="9"/>
      <c r="CT151" s="9"/>
      <c r="CU151" s="9"/>
      <c r="CV151" s="9"/>
      <c r="CW151" s="129"/>
      <c r="CX151" s="9"/>
    </row>
    <row r="152" spans="1:102">
      <c r="A152" s="6" t="str">
        <f t="shared" si="21"/>
        <v>00290818</v>
      </c>
      <c r="B152" s="6" t="s">
        <v>1679</v>
      </c>
      <c r="C152" s="6" t="s">
        <v>2068</v>
      </c>
      <c r="D152" s="6">
        <v>143</v>
      </c>
      <c r="E152" s="6">
        <v>29</v>
      </c>
      <c r="F152" s="6" t="s">
        <v>1148</v>
      </c>
      <c r="G152" s="6">
        <v>818</v>
      </c>
      <c r="H152" s="6" t="s">
        <v>1098</v>
      </c>
      <c r="I152" s="33">
        <v>533966.58434082626</v>
      </c>
      <c r="J152" s="88">
        <v>0.14671743551295865</v>
      </c>
      <c r="K152" s="89">
        <f t="shared" si="30"/>
        <v>655707.95144599548</v>
      </c>
      <c r="L152" s="88">
        <f>IF(K154&gt;0, K152/K154, 0)</f>
        <v>0.17567719156388603</v>
      </c>
      <c r="M152" s="58"/>
      <c r="N152" s="9">
        <f>ROUND(M154*L152,0)</f>
        <v>353029</v>
      </c>
      <c r="O152" s="9">
        <v>279066</v>
      </c>
      <c r="P152" s="9">
        <f>N152-O152</f>
        <v>73963</v>
      </c>
      <c r="Q152" s="40">
        <f t="shared" si="29"/>
        <v>26.503766134176146</v>
      </c>
      <c r="R152" s="9">
        <v>24.9999999984</v>
      </c>
      <c r="S152" s="9">
        <f t="shared" si="27"/>
        <v>29.999999998050001</v>
      </c>
      <c r="T152" s="90">
        <f t="shared" si="22"/>
        <v>29</v>
      </c>
      <c r="U152" s="90">
        <f t="shared" si="23"/>
        <v>818</v>
      </c>
      <c r="V152" s="373">
        <f t="shared" si="24"/>
        <v>143</v>
      </c>
      <c r="W152" s="90">
        <f t="shared" si="25"/>
        <v>29.999999998050001</v>
      </c>
      <c r="X152" s="90">
        <f t="shared" si="26"/>
        <v>655707.95144599548</v>
      </c>
      <c r="Y152" s="141">
        <f t="shared" si="28"/>
        <v>143</v>
      </c>
      <c r="Z152" s="298">
        <v>29</v>
      </c>
      <c r="AA152" s="299">
        <v>818</v>
      </c>
      <c r="AB152" s="299">
        <v>143</v>
      </c>
      <c r="AC152" s="301">
        <v>29.999999998050001</v>
      </c>
      <c r="AD152" s="301">
        <v>655707.95144599548</v>
      </c>
      <c r="AE152" s="126"/>
      <c r="AF152" s="298"/>
      <c r="AG152" s="299"/>
      <c r="AH152" s="299"/>
      <c r="AI152" s="301"/>
      <c r="AJ152" s="301"/>
      <c r="AK152" s="426"/>
      <c r="AL152" s="298"/>
      <c r="AM152" s="299"/>
      <c r="AN152" s="299"/>
      <c r="AO152" s="301"/>
      <c r="AP152" s="301"/>
      <c r="AQ152" s="426"/>
      <c r="AR152" s="298"/>
      <c r="AS152" s="299"/>
      <c r="AT152" s="299"/>
      <c r="AU152" s="301"/>
      <c r="AV152" s="301"/>
      <c r="AW152" s="88"/>
      <c r="AX152" s="298"/>
      <c r="AY152" s="299"/>
      <c r="AZ152" s="299"/>
      <c r="BA152" s="301"/>
      <c r="BB152" s="301"/>
      <c r="BC152" s="426"/>
      <c r="BD152" s="298"/>
      <c r="BE152" s="299"/>
      <c r="BF152" s="299"/>
      <c r="BG152" s="301"/>
      <c r="BH152" s="301"/>
      <c r="BI152" s="88"/>
      <c r="BJ152" s="298"/>
      <c r="BK152" s="299"/>
      <c r="BL152" s="299"/>
      <c r="BM152" s="301"/>
      <c r="BN152" s="301"/>
      <c r="BO152" s="88"/>
      <c r="BP152" s="9"/>
      <c r="BS152" s="81"/>
      <c r="BT152" s="81"/>
      <c r="BV152" s="9"/>
      <c r="BY152" s="81"/>
      <c r="BZ152" s="81"/>
      <c r="CB152" s="9"/>
      <c r="CE152" s="81"/>
      <c r="CF152" s="81"/>
      <c r="CH152" s="9"/>
      <c r="CK152" s="81"/>
      <c r="CL152" s="81"/>
      <c r="CR152" s="9"/>
      <c r="CS152" s="9"/>
      <c r="CT152" s="9"/>
      <c r="CU152" s="9"/>
      <c r="CV152" s="9"/>
      <c r="CW152" s="129"/>
      <c r="CX152" s="9"/>
    </row>
    <row r="153" spans="1:102">
      <c r="A153" s="6" t="str">
        <f t="shared" si="21"/>
        <v>00290998</v>
      </c>
      <c r="B153" s="6" t="s">
        <v>1679</v>
      </c>
      <c r="C153" s="6" t="s">
        <v>2091</v>
      </c>
      <c r="D153" s="6">
        <v>144</v>
      </c>
      <c r="E153" s="6">
        <v>29</v>
      </c>
      <c r="F153" s="6" t="s">
        <v>1547</v>
      </c>
      <c r="G153" s="6">
        <v>998</v>
      </c>
      <c r="H153" s="6" t="s">
        <v>1547</v>
      </c>
      <c r="I153" s="33">
        <v>0</v>
      </c>
      <c r="J153" s="88">
        <v>0</v>
      </c>
      <c r="K153" s="89">
        <f t="shared" si="30"/>
        <v>0</v>
      </c>
      <c r="L153" s="88">
        <f>IF(K154&gt;0, K153/K154, 0)</f>
        <v>0</v>
      </c>
      <c r="M153" s="58"/>
      <c r="N153" s="9">
        <f>ROUND(M154*L153,0)</f>
        <v>0</v>
      </c>
      <c r="O153" s="9">
        <v>0</v>
      </c>
      <c r="P153" s="9">
        <f>N153-O153</f>
        <v>0</v>
      </c>
      <c r="Q153" s="40">
        <f t="shared" si="29"/>
        <v>0</v>
      </c>
      <c r="R153" s="9">
        <v>0</v>
      </c>
      <c r="S153" s="9">
        <f t="shared" si="27"/>
        <v>0</v>
      </c>
      <c r="T153" s="90">
        <f t="shared" si="22"/>
        <v>29</v>
      </c>
      <c r="U153" s="90">
        <f t="shared" si="23"/>
        <v>998</v>
      </c>
      <c r="V153" s="373">
        <f t="shared" si="24"/>
        <v>144</v>
      </c>
      <c r="W153" s="90">
        <f t="shared" si="25"/>
        <v>0</v>
      </c>
      <c r="X153" s="90">
        <f t="shared" si="26"/>
        <v>0</v>
      </c>
      <c r="Y153" s="141">
        <f t="shared" si="28"/>
        <v>144</v>
      </c>
      <c r="Z153" s="298">
        <v>29</v>
      </c>
      <c r="AA153" s="299">
        <v>998</v>
      </c>
      <c r="AB153" s="299">
        <v>144</v>
      </c>
      <c r="AC153" s="301">
        <v>0</v>
      </c>
      <c r="AD153" s="301">
        <v>0</v>
      </c>
      <c r="AE153" s="126"/>
      <c r="AF153" s="298"/>
      <c r="AG153" s="299"/>
      <c r="AH153" s="299"/>
      <c r="AI153" s="301"/>
      <c r="AJ153" s="301"/>
      <c r="AK153" s="426"/>
      <c r="AL153" s="298"/>
      <c r="AM153" s="299"/>
      <c r="AN153" s="299"/>
      <c r="AO153" s="301"/>
      <c r="AP153" s="301"/>
      <c r="AQ153" s="426"/>
      <c r="AR153" s="298"/>
      <c r="AS153" s="299"/>
      <c r="AT153" s="299"/>
      <c r="AU153" s="301"/>
      <c r="AV153" s="301"/>
      <c r="AW153" s="88"/>
      <c r="AX153" s="298"/>
      <c r="AY153" s="299"/>
      <c r="AZ153" s="299"/>
      <c r="BA153" s="301"/>
      <c r="BB153" s="301"/>
      <c r="BC153" s="426"/>
      <c r="BD153" s="298"/>
      <c r="BE153" s="299"/>
      <c r="BF153" s="299"/>
      <c r="BG153" s="301"/>
      <c r="BH153" s="301"/>
      <c r="BI153" s="88"/>
      <c r="BJ153" s="298"/>
      <c r="BK153" s="299"/>
      <c r="BL153" s="299"/>
      <c r="BM153" s="301"/>
      <c r="BN153" s="301"/>
      <c r="BO153" s="88"/>
      <c r="BP153" s="9"/>
      <c r="BS153" s="81"/>
      <c r="BT153" s="81"/>
      <c r="BV153" s="9"/>
      <c r="BY153" s="81"/>
      <c r="BZ153" s="81"/>
      <c r="CB153" s="9"/>
      <c r="CE153" s="81"/>
      <c r="CF153" s="81"/>
      <c r="CH153" s="9"/>
      <c r="CK153" s="81"/>
      <c r="CL153" s="81"/>
      <c r="CR153" s="9"/>
      <c r="CS153" s="9"/>
      <c r="CT153" s="9"/>
      <c r="CU153" s="9"/>
      <c r="CV153" s="9"/>
      <c r="CW153" s="129"/>
      <c r="CX153" s="9"/>
    </row>
    <row r="154" spans="1:102">
      <c r="A154" s="6" t="str">
        <f t="shared" si="21"/>
        <v>00290999</v>
      </c>
      <c r="B154" s="6" t="s">
        <v>1679</v>
      </c>
      <c r="C154" s="6" t="s">
        <v>2092</v>
      </c>
      <c r="D154" s="6">
        <v>145</v>
      </c>
      <c r="E154" s="10">
        <v>29</v>
      </c>
      <c r="F154" s="10" t="s">
        <v>1148</v>
      </c>
      <c r="G154" s="10">
        <v>999</v>
      </c>
      <c r="H154" s="10" t="s">
        <v>593</v>
      </c>
      <c r="I154" s="92">
        <v>3639421.4666713164</v>
      </c>
      <c r="J154" s="472">
        <v>1</v>
      </c>
      <c r="K154" s="53">
        <f>SUM(K150:K153)</f>
        <v>3732459.2088981764</v>
      </c>
      <c r="L154" s="91">
        <f>SUM(L150:L153)</f>
        <v>1</v>
      </c>
      <c r="M154" s="79">
        <f>VLOOKUP(E154,town351,24)</f>
        <v>2009530</v>
      </c>
      <c r="N154" s="79">
        <f>SUM(N150:N153)</f>
        <v>2009530</v>
      </c>
      <c r="O154" s="79">
        <v>1902064</v>
      </c>
      <c r="P154" s="79">
        <f>SUM(P150:P153)</f>
        <v>107466</v>
      </c>
      <c r="Q154" s="39">
        <f t="shared" si="29"/>
        <v>5.6499676141286521</v>
      </c>
      <c r="R154" s="9">
        <v>249.86254295576001</v>
      </c>
      <c r="S154" s="9">
        <f t="shared" si="27"/>
        <v>249.20664206435004</v>
      </c>
      <c r="T154" s="90">
        <f t="shared" si="22"/>
        <v>29</v>
      </c>
      <c r="U154" s="90">
        <f t="shared" si="23"/>
        <v>999</v>
      </c>
      <c r="V154" s="373">
        <f t="shared" si="24"/>
        <v>145</v>
      </c>
      <c r="W154" s="90">
        <f t="shared" si="25"/>
        <v>249.20664206435004</v>
      </c>
      <c r="X154" s="90">
        <f t="shared" si="26"/>
        <v>3732459.2088981764</v>
      </c>
      <c r="Y154" s="141">
        <f t="shared" si="28"/>
        <v>145</v>
      </c>
      <c r="Z154" s="298">
        <v>29</v>
      </c>
      <c r="AA154" s="299">
        <v>999</v>
      </c>
      <c r="AB154" s="299">
        <v>145</v>
      </c>
      <c r="AC154" s="301">
        <v>249.20664206435004</v>
      </c>
      <c r="AD154" s="301">
        <v>3732459.2088981764</v>
      </c>
      <c r="AE154" s="126"/>
      <c r="AF154" s="298"/>
      <c r="AG154" s="299"/>
      <c r="AH154" s="299"/>
      <c r="AI154" s="301"/>
      <c r="AJ154" s="301"/>
      <c r="AK154" s="426"/>
      <c r="AL154" s="298"/>
      <c r="AM154" s="299"/>
      <c r="AN154" s="299"/>
      <c r="AO154" s="301"/>
      <c r="AP154" s="301"/>
      <c r="AQ154" s="426"/>
      <c r="AR154" s="298"/>
      <c r="AS154" s="299"/>
      <c r="AT154" s="299"/>
      <c r="AU154" s="301"/>
      <c r="AV154" s="301"/>
      <c r="AW154" s="91"/>
      <c r="AX154" s="298"/>
      <c r="AY154" s="299"/>
      <c r="AZ154" s="299"/>
      <c r="BA154" s="301"/>
      <c r="BB154" s="301"/>
      <c r="BC154" s="426"/>
      <c r="BD154" s="298"/>
      <c r="BE154" s="299"/>
      <c r="BF154" s="299"/>
      <c r="BG154" s="301"/>
      <c r="BH154" s="301"/>
      <c r="BI154" s="91"/>
      <c r="BJ154" s="298"/>
      <c r="BK154" s="299"/>
      <c r="BL154" s="299"/>
      <c r="BM154" s="301"/>
      <c r="BN154" s="301"/>
      <c r="BO154" s="91"/>
      <c r="BP154" s="9"/>
      <c r="BS154" s="81"/>
      <c r="BT154" s="81"/>
      <c r="BV154" s="9"/>
      <c r="BY154" s="81"/>
      <c r="BZ154" s="81"/>
      <c r="CB154" s="9"/>
      <c r="CE154" s="81"/>
      <c r="CF154" s="81"/>
      <c r="CH154" s="9"/>
      <c r="CK154" s="81"/>
      <c r="CL154" s="81"/>
      <c r="CR154" s="9"/>
      <c r="CS154" s="9"/>
      <c r="CT154" s="9"/>
      <c r="CU154" s="9"/>
      <c r="CV154" s="9"/>
      <c r="CW154" s="129"/>
      <c r="CX154" s="9"/>
    </row>
    <row r="155" spans="1:102">
      <c r="A155" s="6" t="str">
        <f t="shared" si="21"/>
        <v>00300030</v>
      </c>
      <c r="B155" s="6" t="s">
        <v>1680</v>
      </c>
      <c r="C155" s="6" t="s">
        <v>1680</v>
      </c>
      <c r="D155" s="6">
        <v>146</v>
      </c>
      <c r="E155" s="6">
        <v>30</v>
      </c>
      <c r="F155" s="6" t="s">
        <v>1149</v>
      </c>
      <c r="G155" s="6">
        <v>30</v>
      </c>
      <c r="H155" s="6" t="s">
        <v>711</v>
      </c>
      <c r="I155" s="33">
        <v>61798815.259999998</v>
      </c>
      <c r="J155" s="88">
        <v>0.94797095007330001</v>
      </c>
      <c r="K155" s="89">
        <f>X155</f>
        <v>62707090.120000005</v>
      </c>
      <c r="L155" s="88">
        <f>IF(K159&gt;0, K155/K159, 0)</f>
        <v>0.94010815776282886</v>
      </c>
      <c r="M155" s="58"/>
      <c r="N155" s="9">
        <f>ROUND(M159*L155,0)</f>
        <v>49168020</v>
      </c>
      <c r="O155" s="9">
        <v>47254334</v>
      </c>
      <c r="P155" s="9">
        <f>N155-O155</f>
        <v>1913686</v>
      </c>
      <c r="Q155" s="40">
        <f t="shared" si="29"/>
        <v>4.0497576370455244</v>
      </c>
      <c r="R155" s="9">
        <v>4541</v>
      </c>
      <c r="S155" s="9">
        <f t="shared" si="27"/>
        <v>4466</v>
      </c>
      <c r="T155" s="90">
        <f t="shared" si="22"/>
        <v>30</v>
      </c>
      <c r="U155" s="90">
        <f t="shared" si="23"/>
        <v>30</v>
      </c>
      <c r="V155" s="373">
        <f t="shared" si="24"/>
        <v>146</v>
      </c>
      <c r="W155" s="90">
        <f t="shared" si="25"/>
        <v>4466</v>
      </c>
      <c r="X155" s="90">
        <f t="shared" si="26"/>
        <v>62707090.120000005</v>
      </c>
      <c r="Y155" s="141">
        <f t="shared" si="28"/>
        <v>146</v>
      </c>
      <c r="Z155" s="298">
        <v>30</v>
      </c>
      <c r="AA155" s="299">
        <v>30</v>
      </c>
      <c r="AB155" s="299">
        <v>146</v>
      </c>
      <c r="AC155" s="301">
        <v>4466</v>
      </c>
      <c r="AD155" s="301">
        <v>62707090.120000005</v>
      </c>
      <c r="AE155" s="126"/>
      <c r="AF155" s="298"/>
      <c r="AG155" s="299"/>
      <c r="AH155" s="299"/>
      <c r="AI155" s="301"/>
      <c r="AJ155" s="301"/>
      <c r="AK155" s="426"/>
      <c r="AL155" s="298"/>
      <c r="AM155" s="299"/>
      <c r="AN155" s="299"/>
      <c r="AO155" s="301"/>
      <c r="AP155" s="301"/>
      <c r="AQ155" s="426"/>
      <c r="AR155" s="298"/>
      <c r="AS155" s="299"/>
      <c r="AT155" s="299"/>
      <c r="AU155" s="301"/>
      <c r="AV155" s="301"/>
      <c r="AW155" s="88"/>
      <c r="AX155" s="298"/>
      <c r="AY155" s="299"/>
      <c r="AZ155" s="299"/>
      <c r="BA155" s="301"/>
      <c r="BB155" s="301"/>
      <c r="BC155" s="426"/>
      <c r="BD155" s="298"/>
      <c r="BE155" s="299"/>
      <c r="BF155" s="299"/>
      <c r="BG155" s="301"/>
      <c r="BH155" s="301"/>
      <c r="BI155" s="88"/>
      <c r="BJ155" s="298"/>
      <c r="BK155" s="299"/>
      <c r="BL155" s="299"/>
      <c r="BM155" s="301"/>
      <c r="BN155" s="301"/>
      <c r="BO155" s="88"/>
      <c r="BP155" s="9"/>
      <c r="BS155" s="81"/>
      <c r="BT155" s="81"/>
      <c r="BV155" s="9"/>
      <c r="BY155" s="81"/>
      <c r="BZ155" s="81"/>
      <c r="CB155" s="9"/>
      <c r="CE155" s="81"/>
      <c r="CF155" s="81"/>
      <c r="CH155" s="9"/>
      <c r="CK155" s="81"/>
      <c r="CL155" s="81"/>
      <c r="CR155" s="9"/>
      <c r="CS155" s="9"/>
      <c r="CT155" s="9"/>
      <c r="CU155" s="9"/>
      <c r="CV155" s="9"/>
      <c r="CW155" s="129"/>
      <c r="CX155" s="9"/>
    </row>
    <row r="156" spans="1:102">
      <c r="A156" s="6" t="str">
        <f t="shared" si="21"/>
        <v>00300817</v>
      </c>
      <c r="B156" s="6" t="s">
        <v>1680</v>
      </c>
      <c r="C156" s="6" t="s">
        <v>2067</v>
      </c>
      <c r="D156" s="6">
        <v>147</v>
      </c>
      <c r="E156" s="6">
        <v>30</v>
      </c>
      <c r="F156" s="6" t="s">
        <v>1149</v>
      </c>
      <c r="G156" s="6">
        <v>817</v>
      </c>
      <c r="H156" s="6" t="s">
        <v>1097</v>
      </c>
      <c r="I156" s="33">
        <v>3391806.0931348493</v>
      </c>
      <c r="J156" s="88">
        <v>5.2029049926700016E-2</v>
      </c>
      <c r="K156" s="89">
        <f t="shared" si="30"/>
        <v>3994905.3921161601</v>
      </c>
      <c r="L156" s="88">
        <f>IF(K159&gt;0, K156/K159, 0)</f>
        <v>5.9891842237171158E-2</v>
      </c>
      <c r="M156" s="58"/>
      <c r="N156" s="9">
        <f>ROUND(M159*L156,0)</f>
        <v>3132367</v>
      </c>
      <c r="O156" s="9">
        <v>2593537</v>
      </c>
      <c r="P156" s="9">
        <f>N156-O156</f>
        <v>538830</v>
      </c>
      <c r="Q156" s="40">
        <f t="shared" si="29"/>
        <v>20.775874799549804</v>
      </c>
      <c r="R156" s="9">
        <v>172.00000000473</v>
      </c>
      <c r="S156" s="9">
        <f t="shared" si="27"/>
        <v>198.00000000702002</v>
      </c>
      <c r="T156" s="90">
        <f t="shared" si="22"/>
        <v>30</v>
      </c>
      <c r="U156" s="90">
        <f t="shared" si="23"/>
        <v>817</v>
      </c>
      <c r="V156" s="373">
        <f t="shared" si="24"/>
        <v>147</v>
      </c>
      <c r="W156" s="90">
        <f t="shared" si="25"/>
        <v>198.00000000702002</v>
      </c>
      <c r="X156" s="90">
        <f t="shared" si="26"/>
        <v>3994905.3921161601</v>
      </c>
      <c r="Y156" s="141">
        <f t="shared" si="28"/>
        <v>147</v>
      </c>
      <c r="Z156" s="298">
        <v>30</v>
      </c>
      <c r="AA156" s="299">
        <v>817</v>
      </c>
      <c r="AB156" s="299">
        <v>147</v>
      </c>
      <c r="AC156" s="301">
        <v>198.00000000702002</v>
      </c>
      <c r="AD156" s="301">
        <v>3994905.3921161601</v>
      </c>
      <c r="AE156" s="126"/>
      <c r="AF156" s="298"/>
      <c r="AG156" s="299"/>
      <c r="AH156" s="299"/>
      <c r="AI156" s="301"/>
      <c r="AJ156" s="301"/>
      <c r="AK156" s="426"/>
      <c r="AL156" s="298"/>
      <c r="AM156" s="299"/>
      <c r="AN156" s="299"/>
      <c r="AO156" s="301"/>
      <c r="AP156" s="301"/>
      <c r="AQ156" s="426"/>
      <c r="AR156" s="298"/>
      <c r="AS156" s="299"/>
      <c r="AT156" s="299"/>
      <c r="AU156" s="301"/>
      <c r="AV156" s="301"/>
      <c r="AW156" s="88"/>
      <c r="AX156" s="298"/>
      <c r="AY156" s="299"/>
      <c r="AZ156" s="299"/>
      <c r="BA156" s="301"/>
      <c r="BB156" s="301"/>
      <c r="BC156" s="426"/>
      <c r="BD156" s="298"/>
      <c r="BE156" s="299"/>
      <c r="BF156" s="299"/>
      <c r="BG156" s="301"/>
      <c r="BH156" s="301"/>
      <c r="BI156" s="88"/>
      <c r="BJ156" s="298"/>
      <c r="BK156" s="299"/>
      <c r="BL156" s="299"/>
      <c r="BM156" s="301"/>
      <c r="BN156" s="301"/>
      <c r="BO156" s="88"/>
      <c r="BP156" s="9"/>
      <c r="BS156" s="81"/>
      <c r="BT156" s="81"/>
      <c r="BV156" s="9"/>
      <c r="BY156" s="81"/>
      <c r="BZ156" s="81"/>
      <c r="CB156" s="9"/>
      <c r="CE156" s="81"/>
      <c r="CF156" s="81"/>
      <c r="CH156" s="9"/>
      <c r="CK156" s="81"/>
      <c r="CL156" s="81"/>
      <c r="CR156" s="9"/>
      <c r="CS156" s="9"/>
      <c r="CT156" s="9"/>
      <c r="CU156" s="9"/>
      <c r="CV156" s="9"/>
      <c r="CW156" s="129"/>
      <c r="CX156" s="9"/>
    </row>
    <row r="157" spans="1:102">
      <c r="A157" s="6" t="str">
        <f t="shared" si="21"/>
        <v>00300998</v>
      </c>
      <c r="B157" s="6" t="s">
        <v>1680</v>
      </c>
      <c r="C157" s="6" t="s">
        <v>2091</v>
      </c>
      <c r="D157" s="6">
        <v>148</v>
      </c>
      <c r="E157" s="6">
        <v>30</v>
      </c>
      <c r="F157" s="6" t="s">
        <v>1547</v>
      </c>
      <c r="G157" s="6">
        <v>998</v>
      </c>
      <c r="I157" s="33">
        <v>0</v>
      </c>
      <c r="J157" s="88">
        <v>0</v>
      </c>
      <c r="K157" s="89">
        <f t="shared" si="30"/>
        <v>0</v>
      </c>
      <c r="L157" s="88">
        <f>IF(K159&gt;0, K157/K159, 0)</f>
        <v>0</v>
      </c>
      <c r="M157" s="58"/>
      <c r="N157" s="9">
        <f>ROUND(M159*L157,0)</f>
        <v>0</v>
      </c>
      <c r="O157" s="9">
        <v>0</v>
      </c>
      <c r="P157" s="9">
        <f>N157-O157</f>
        <v>0</v>
      </c>
      <c r="Q157" s="40">
        <f t="shared" si="29"/>
        <v>0</v>
      </c>
      <c r="R157" s="9">
        <v>0</v>
      </c>
      <c r="S157" s="9">
        <f t="shared" si="27"/>
        <v>0</v>
      </c>
      <c r="T157" s="90">
        <f t="shared" si="22"/>
        <v>30</v>
      </c>
      <c r="U157" s="90">
        <f t="shared" si="23"/>
        <v>998</v>
      </c>
      <c r="V157" s="373">
        <f t="shared" si="24"/>
        <v>148</v>
      </c>
      <c r="W157" s="90">
        <f t="shared" si="25"/>
        <v>0</v>
      </c>
      <c r="X157" s="90">
        <f t="shared" si="26"/>
        <v>0</v>
      </c>
      <c r="Y157" s="141">
        <f t="shared" si="28"/>
        <v>148</v>
      </c>
      <c r="Z157" s="298">
        <v>30</v>
      </c>
      <c r="AA157" s="299">
        <v>998</v>
      </c>
      <c r="AB157" s="299">
        <v>148</v>
      </c>
      <c r="AC157" s="301">
        <v>0</v>
      </c>
      <c r="AD157" s="301">
        <v>0</v>
      </c>
      <c r="AE157" s="126"/>
      <c r="AF157" s="298"/>
      <c r="AG157" s="299"/>
      <c r="AH157" s="299"/>
      <c r="AI157" s="301"/>
      <c r="AJ157" s="301"/>
      <c r="AK157" s="426"/>
      <c r="AL157" s="298"/>
      <c r="AM157" s="299"/>
      <c r="AN157" s="299"/>
      <c r="AO157" s="301"/>
      <c r="AP157" s="301"/>
      <c r="AQ157" s="426"/>
      <c r="AR157" s="298"/>
      <c r="AS157" s="299"/>
      <c r="AT157" s="299"/>
      <c r="AU157" s="301"/>
      <c r="AV157" s="301"/>
      <c r="AW157" s="88"/>
      <c r="AX157" s="298"/>
      <c r="AY157" s="299"/>
      <c r="AZ157" s="299"/>
      <c r="BA157" s="301"/>
      <c r="BB157" s="301"/>
      <c r="BC157" s="426"/>
      <c r="BD157" s="298"/>
      <c r="BE157" s="299"/>
      <c r="BF157" s="299"/>
      <c r="BG157" s="301"/>
      <c r="BH157" s="301"/>
      <c r="BI157" s="88"/>
      <c r="BJ157" s="298"/>
      <c r="BK157" s="299"/>
      <c r="BL157" s="299"/>
      <c r="BM157" s="301"/>
      <c r="BN157" s="301"/>
      <c r="BO157" s="88"/>
      <c r="BP157" s="9"/>
      <c r="BS157" s="81"/>
      <c r="BT157" s="81"/>
      <c r="BV157" s="9"/>
      <c r="BY157" s="81"/>
      <c r="BZ157" s="81"/>
      <c r="CB157" s="9"/>
      <c r="CE157" s="81"/>
      <c r="CF157" s="81"/>
      <c r="CH157" s="9"/>
      <c r="CK157" s="81"/>
      <c r="CL157" s="81"/>
      <c r="CR157" s="9"/>
      <c r="CS157" s="9"/>
      <c r="CT157" s="9"/>
      <c r="CU157" s="9"/>
      <c r="CV157" s="9"/>
      <c r="CW157" s="129"/>
      <c r="CX157" s="9"/>
    </row>
    <row r="158" spans="1:102">
      <c r="A158" s="6" t="str">
        <f t="shared" si="21"/>
        <v>00300998</v>
      </c>
      <c r="B158" s="6" t="s">
        <v>1680</v>
      </c>
      <c r="C158" s="6" t="s">
        <v>2091</v>
      </c>
      <c r="D158" s="6">
        <v>149</v>
      </c>
      <c r="E158" s="6">
        <v>30</v>
      </c>
      <c r="F158" s="6" t="s">
        <v>1547</v>
      </c>
      <c r="G158" s="6">
        <v>998</v>
      </c>
      <c r="H158" s="6" t="s">
        <v>1547</v>
      </c>
      <c r="I158" s="33">
        <v>0</v>
      </c>
      <c r="J158" s="88">
        <v>0</v>
      </c>
      <c r="K158" s="89">
        <f t="shared" si="30"/>
        <v>0</v>
      </c>
      <c r="L158" s="88">
        <f>IF(K159&gt;0, K158/K159, 0)</f>
        <v>0</v>
      </c>
      <c r="M158" s="58"/>
      <c r="N158" s="9">
        <f>ROUND(M159*L158,0)</f>
        <v>0</v>
      </c>
      <c r="O158" s="9">
        <v>0</v>
      </c>
      <c r="P158" s="9">
        <f>N158-O158</f>
        <v>0</v>
      </c>
      <c r="Q158" s="40">
        <f t="shared" si="29"/>
        <v>0</v>
      </c>
      <c r="R158" s="9">
        <v>0</v>
      </c>
      <c r="S158" s="9">
        <f t="shared" si="27"/>
        <v>0</v>
      </c>
      <c r="T158" s="90">
        <f t="shared" si="22"/>
        <v>30</v>
      </c>
      <c r="U158" s="90">
        <f t="shared" si="23"/>
        <v>998</v>
      </c>
      <c r="V158" s="373">
        <f t="shared" si="24"/>
        <v>149</v>
      </c>
      <c r="W158" s="90">
        <f t="shared" si="25"/>
        <v>0</v>
      </c>
      <c r="X158" s="90">
        <f t="shared" si="26"/>
        <v>0</v>
      </c>
      <c r="Y158" s="141">
        <f t="shared" si="28"/>
        <v>149</v>
      </c>
      <c r="Z158" s="298">
        <v>30</v>
      </c>
      <c r="AA158" s="299">
        <v>998</v>
      </c>
      <c r="AB158" s="299">
        <v>149</v>
      </c>
      <c r="AC158" s="301">
        <v>0</v>
      </c>
      <c r="AD158" s="301">
        <v>0</v>
      </c>
      <c r="AE158" s="126"/>
      <c r="AF158" s="298"/>
      <c r="AG158" s="299"/>
      <c r="AH158" s="299"/>
      <c r="AI158" s="301"/>
      <c r="AJ158" s="301"/>
      <c r="AK158" s="426"/>
      <c r="AL158" s="298"/>
      <c r="AM158" s="299"/>
      <c r="AN158" s="299"/>
      <c r="AO158" s="301"/>
      <c r="AP158" s="301"/>
      <c r="AQ158" s="426"/>
      <c r="AR158" s="298"/>
      <c r="AS158" s="299"/>
      <c r="AT158" s="299"/>
      <c r="AU158" s="301"/>
      <c r="AV158" s="301"/>
      <c r="AW158" s="88"/>
      <c r="AX158" s="298"/>
      <c r="AY158" s="299"/>
      <c r="AZ158" s="299"/>
      <c r="BA158" s="301"/>
      <c r="BB158" s="301"/>
      <c r="BC158" s="426"/>
      <c r="BD158" s="298"/>
      <c r="BE158" s="299"/>
      <c r="BF158" s="299"/>
      <c r="BG158" s="301"/>
      <c r="BH158" s="301"/>
      <c r="BI158" s="88"/>
      <c r="BJ158" s="298"/>
      <c r="BK158" s="299"/>
      <c r="BL158" s="299"/>
      <c r="BM158" s="301"/>
      <c r="BN158" s="301"/>
      <c r="BO158" s="88"/>
      <c r="BP158" s="9"/>
      <c r="BS158" s="81"/>
      <c r="BT158" s="81"/>
      <c r="BV158" s="9"/>
      <c r="BY158" s="81"/>
      <c r="BZ158" s="81"/>
      <c r="CB158" s="9"/>
      <c r="CE158" s="81"/>
      <c r="CF158" s="81"/>
      <c r="CH158" s="9"/>
      <c r="CK158" s="81"/>
      <c r="CL158" s="81"/>
      <c r="CR158" s="9"/>
      <c r="CS158" s="9"/>
      <c r="CT158" s="9"/>
      <c r="CU158" s="9"/>
      <c r="CV158" s="9"/>
      <c r="CW158" s="129"/>
      <c r="CX158" s="9"/>
    </row>
    <row r="159" spans="1:102">
      <c r="A159" s="6" t="str">
        <f t="shared" si="21"/>
        <v>00300999</v>
      </c>
      <c r="B159" s="6" t="s">
        <v>1680</v>
      </c>
      <c r="C159" s="6" t="s">
        <v>2092</v>
      </c>
      <c r="D159" s="6">
        <v>150</v>
      </c>
      <c r="E159" s="10">
        <v>30</v>
      </c>
      <c r="F159" s="10" t="s">
        <v>1149</v>
      </c>
      <c r="G159" s="10">
        <v>999</v>
      </c>
      <c r="H159" s="10" t="s">
        <v>593</v>
      </c>
      <c r="I159" s="92">
        <v>65190621.353134848</v>
      </c>
      <c r="J159" s="472">
        <v>1</v>
      </c>
      <c r="K159" s="53">
        <f>SUM(K155:K158)</f>
        <v>66701995.512116164</v>
      </c>
      <c r="L159" s="91">
        <f>SUM(L155:L158)</f>
        <v>1</v>
      </c>
      <c r="M159" s="79">
        <f>VLOOKUP(E159,town351,24)</f>
        <v>52300387</v>
      </c>
      <c r="N159" s="79">
        <f>SUM(N155:N158)</f>
        <v>52300387</v>
      </c>
      <c r="O159" s="79">
        <v>49847871</v>
      </c>
      <c r="P159" s="79">
        <f>SUM(P155:P158)</f>
        <v>2452516</v>
      </c>
      <c r="Q159" s="39">
        <f t="shared" si="29"/>
        <v>4.9200014981582667</v>
      </c>
      <c r="R159" s="9">
        <v>4713.0000000047303</v>
      </c>
      <c r="S159" s="9">
        <f t="shared" si="27"/>
        <v>4664.0000000070204</v>
      </c>
      <c r="T159" s="90">
        <f t="shared" si="22"/>
        <v>30</v>
      </c>
      <c r="U159" s="90">
        <f t="shared" si="23"/>
        <v>999</v>
      </c>
      <c r="V159" s="373">
        <f t="shared" si="24"/>
        <v>150</v>
      </c>
      <c r="W159" s="90">
        <f t="shared" si="25"/>
        <v>4664.0000000070204</v>
      </c>
      <c r="X159" s="90">
        <f t="shared" si="26"/>
        <v>66701995.512116164</v>
      </c>
      <c r="Y159" s="141">
        <f t="shared" si="28"/>
        <v>150</v>
      </c>
      <c r="Z159" s="298">
        <v>30</v>
      </c>
      <c r="AA159" s="299">
        <v>999</v>
      </c>
      <c r="AB159" s="299">
        <v>150</v>
      </c>
      <c r="AC159" s="301">
        <v>4664.0000000070204</v>
      </c>
      <c r="AD159" s="301">
        <v>66701995.512116164</v>
      </c>
      <c r="AE159" s="126"/>
      <c r="AF159" s="298"/>
      <c r="AG159" s="299"/>
      <c r="AH159" s="299"/>
      <c r="AI159" s="301"/>
      <c r="AJ159" s="301"/>
      <c r="AK159" s="426"/>
      <c r="AL159" s="298"/>
      <c r="AM159" s="299"/>
      <c r="AN159" s="299"/>
      <c r="AO159" s="301"/>
      <c r="AP159" s="301"/>
      <c r="AQ159" s="426"/>
      <c r="AR159" s="298"/>
      <c r="AS159" s="299"/>
      <c r="AT159" s="299"/>
      <c r="AU159" s="301"/>
      <c r="AV159" s="301"/>
      <c r="AW159" s="91"/>
      <c r="AX159" s="298"/>
      <c r="AY159" s="299"/>
      <c r="AZ159" s="299"/>
      <c r="BA159" s="301"/>
      <c r="BB159" s="301"/>
      <c r="BC159" s="426"/>
      <c r="BD159" s="298"/>
      <c r="BE159" s="299"/>
      <c r="BF159" s="299"/>
      <c r="BG159" s="301"/>
      <c r="BH159" s="301"/>
      <c r="BI159" s="91"/>
      <c r="BJ159" s="298"/>
      <c r="BK159" s="299"/>
      <c r="BL159" s="299"/>
      <c r="BM159" s="301"/>
      <c r="BN159" s="301"/>
      <c r="BO159" s="91"/>
      <c r="BP159" s="9"/>
      <c r="BS159" s="81"/>
      <c r="BT159" s="81"/>
      <c r="BV159" s="9"/>
      <c r="BY159" s="81"/>
      <c r="BZ159" s="81"/>
      <c r="CB159" s="9"/>
      <c r="CE159" s="81"/>
      <c r="CF159" s="81"/>
      <c r="CH159" s="9"/>
      <c r="CK159" s="81"/>
      <c r="CL159" s="81"/>
      <c r="CR159" s="9"/>
      <c r="CS159" s="9"/>
      <c r="CT159" s="9"/>
      <c r="CU159" s="9"/>
      <c r="CV159" s="9"/>
      <c r="CW159" s="129"/>
      <c r="CX159" s="9"/>
    </row>
    <row r="160" spans="1:102">
      <c r="A160" s="6" t="str">
        <f t="shared" si="21"/>
        <v>00310031</v>
      </c>
      <c r="B160" s="6" t="s">
        <v>1681</v>
      </c>
      <c r="C160" s="6" t="s">
        <v>1681</v>
      </c>
      <c r="D160" s="6">
        <v>151</v>
      </c>
      <c r="E160" s="6">
        <v>31</v>
      </c>
      <c r="F160" s="6" t="s">
        <v>1150</v>
      </c>
      <c r="G160" s="6">
        <v>31</v>
      </c>
      <c r="H160" s="6" t="s">
        <v>712</v>
      </c>
      <c r="I160" s="33">
        <v>63590856.680000007</v>
      </c>
      <c r="J160" s="88">
        <v>0.87618386508407153</v>
      </c>
      <c r="K160" s="89">
        <f>X160</f>
        <v>65232366.109999992</v>
      </c>
      <c r="L160" s="88">
        <f>IF(K164&gt;0, K160/K164, 0)</f>
        <v>0.87537677057818808</v>
      </c>
      <c r="M160" s="58"/>
      <c r="N160" s="9">
        <f>ROUND(M164*L160,0)</f>
        <v>52490595</v>
      </c>
      <c r="O160" s="9">
        <v>49635324</v>
      </c>
      <c r="P160" s="9">
        <f>N160-O160</f>
        <v>2855271</v>
      </c>
      <c r="Q160" s="40">
        <f t="shared" si="29"/>
        <v>5.7524979589132936</v>
      </c>
      <c r="R160" s="9">
        <v>4879</v>
      </c>
      <c r="S160" s="9">
        <f t="shared" si="27"/>
        <v>4925</v>
      </c>
      <c r="T160" s="90">
        <f t="shared" si="22"/>
        <v>31</v>
      </c>
      <c r="U160" s="90">
        <f t="shared" si="23"/>
        <v>31</v>
      </c>
      <c r="V160" s="373">
        <f t="shared" si="24"/>
        <v>151</v>
      </c>
      <c r="W160" s="90">
        <f t="shared" si="25"/>
        <v>4925</v>
      </c>
      <c r="X160" s="90">
        <f t="shared" si="26"/>
        <v>65232366.109999992</v>
      </c>
      <c r="Y160" s="141">
        <f t="shared" si="28"/>
        <v>151</v>
      </c>
      <c r="Z160" s="298">
        <v>31</v>
      </c>
      <c r="AA160" s="299">
        <v>31</v>
      </c>
      <c r="AB160" s="299">
        <v>151</v>
      </c>
      <c r="AC160" s="301">
        <v>4925</v>
      </c>
      <c r="AD160" s="301">
        <v>65232366.109999992</v>
      </c>
      <c r="AE160" s="126"/>
      <c r="AF160" s="298"/>
      <c r="AG160" s="299"/>
      <c r="AH160" s="299"/>
      <c r="AI160" s="301"/>
      <c r="AJ160" s="301"/>
      <c r="AK160" s="426"/>
      <c r="AL160" s="298"/>
      <c r="AM160" s="299"/>
      <c r="AN160" s="299"/>
      <c r="AO160" s="301"/>
      <c r="AP160" s="301"/>
      <c r="AQ160" s="426"/>
      <c r="AR160" s="298"/>
      <c r="AS160" s="299"/>
      <c r="AT160" s="299"/>
      <c r="AU160" s="301"/>
      <c r="AV160" s="301"/>
      <c r="AW160" s="88"/>
      <c r="AX160" s="298"/>
      <c r="AY160" s="299"/>
      <c r="AZ160" s="299"/>
      <c r="BA160" s="301"/>
      <c r="BB160" s="301"/>
      <c r="BC160" s="426"/>
      <c r="BD160" s="298"/>
      <c r="BE160" s="299"/>
      <c r="BF160" s="299"/>
      <c r="BG160" s="301"/>
      <c r="BH160" s="301"/>
      <c r="BI160" s="88"/>
      <c r="BJ160" s="298"/>
      <c r="BK160" s="299"/>
      <c r="BL160" s="299"/>
      <c r="BM160" s="301"/>
      <c r="BN160" s="301"/>
      <c r="BO160" s="88"/>
      <c r="BP160" s="9"/>
      <c r="BS160" s="81"/>
      <c r="BT160" s="81"/>
      <c r="BV160" s="9"/>
      <c r="BY160" s="81"/>
      <c r="BZ160" s="81"/>
      <c r="CB160" s="9"/>
      <c r="CE160" s="81"/>
      <c r="CF160" s="81"/>
      <c r="CH160" s="9"/>
      <c r="CK160" s="81"/>
      <c r="CL160" s="81"/>
      <c r="CR160" s="9"/>
      <c r="CS160" s="9"/>
      <c r="CT160" s="9"/>
      <c r="CU160" s="9"/>
      <c r="CV160" s="9"/>
      <c r="CW160" s="129"/>
      <c r="CX160" s="9"/>
    </row>
    <row r="161" spans="1:102">
      <c r="A161" s="6" t="str">
        <f t="shared" si="21"/>
        <v>00310871</v>
      </c>
      <c r="B161" s="6" t="s">
        <v>1681</v>
      </c>
      <c r="C161" s="6" t="s">
        <v>2081</v>
      </c>
      <c r="D161" s="6">
        <v>152</v>
      </c>
      <c r="E161" s="6">
        <v>31</v>
      </c>
      <c r="F161" s="6" t="s">
        <v>1150</v>
      </c>
      <c r="G161" s="6">
        <v>871</v>
      </c>
      <c r="H161" s="6" t="s">
        <v>1111</v>
      </c>
      <c r="I161" s="33">
        <v>8986212.1455008425</v>
      </c>
      <c r="J161" s="88">
        <v>0.12381613491592852</v>
      </c>
      <c r="K161" s="89">
        <f t="shared" si="30"/>
        <v>9286821.8585291319</v>
      </c>
      <c r="L161" s="88">
        <f>IF(K164&gt;0, K161/K164, 0)</f>
        <v>0.12462322942181193</v>
      </c>
      <c r="M161" s="58"/>
      <c r="N161" s="9">
        <f>ROUND(M164*L161,0)</f>
        <v>7472836</v>
      </c>
      <c r="O161" s="9">
        <v>7014115</v>
      </c>
      <c r="P161" s="9">
        <f>N161-O161</f>
        <v>458721</v>
      </c>
      <c r="Q161" s="40">
        <f t="shared" si="29"/>
        <v>6.5399697609748344</v>
      </c>
      <c r="R161" s="9">
        <v>466.00000000575</v>
      </c>
      <c r="S161" s="9">
        <f t="shared" si="27"/>
        <v>470.00000000604001</v>
      </c>
      <c r="T161" s="90">
        <f t="shared" si="22"/>
        <v>31</v>
      </c>
      <c r="U161" s="90">
        <f t="shared" si="23"/>
        <v>871</v>
      </c>
      <c r="V161" s="373">
        <f t="shared" si="24"/>
        <v>152</v>
      </c>
      <c r="W161" s="90">
        <f t="shared" si="25"/>
        <v>470.00000000604001</v>
      </c>
      <c r="X161" s="90">
        <f t="shared" si="26"/>
        <v>9286821.8585291319</v>
      </c>
      <c r="Y161" s="141">
        <f t="shared" si="28"/>
        <v>152</v>
      </c>
      <c r="Z161" s="298">
        <v>31</v>
      </c>
      <c r="AA161" s="299">
        <v>871</v>
      </c>
      <c r="AB161" s="299">
        <v>152</v>
      </c>
      <c r="AC161" s="301">
        <v>470.00000000604001</v>
      </c>
      <c r="AD161" s="301">
        <v>9286821.8585291319</v>
      </c>
      <c r="AE161" s="126"/>
      <c r="AF161" s="298"/>
      <c r="AG161" s="299"/>
      <c r="AH161" s="299"/>
      <c r="AI161" s="301"/>
      <c r="AJ161" s="301"/>
      <c r="AK161" s="426"/>
      <c r="AL161" s="298"/>
      <c r="AM161" s="299"/>
      <c r="AN161" s="299"/>
      <c r="AO161" s="301"/>
      <c r="AP161" s="301"/>
      <c r="AQ161" s="426"/>
      <c r="AR161" s="298"/>
      <c r="AS161" s="299"/>
      <c r="AT161" s="299"/>
      <c r="AU161" s="301"/>
      <c r="AV161" s="301"/>
      <c r="AW161" s="88"/>
      <c r="AX161" s="298"/>
      <c r="AY161" s="299"/>
      <c r="AZ161" s="299"/>
      <c r="BA161" s="301"/>
      <c r="BB161" s="301"/>
      <c r="BC161" s="426"/>
      <c r="BD161" s="298"/>
      <c r="BE161" s="299"/>
      <c r="BF161" s="299"/>
      <c r="BG161" s="301"/>
      <c r="BH161" s="301"/>
      <c r="BI161" s="88"/>
      <c r="BJ161" s="298"/>
      <c r="BK161" s="299"/>
      <c r="BL161" s="299"/>
      <c r="BM161" s="301"/>
      <c r="BN161" s="301"/>
      <c r="BO161" s="88"/>
      <c r="BP161" s="9"/>
      <c r="BS161" s="81"/>
      <c r="BT161" s="81"/>
      <c r="BV161" s="9"/>
      <c r="BY161" s="81"/>
      <c r="BZ161" s="81"/>
      <c r="CB161" s="9"/>
      <c r="CE161" s="81"/>
      <c r="CF161" s="81"/>
      <c r="CH161" s="9"/>
      <c r="CK161" s="81"/>
      <c r="CL161" s="81"/>
      <c r="CR161" s="9"/>
      <c r="CS161" s="9"/>
      <c r="CT161" s="9"/>
      <c r="CU161" s="9"/>
      <c r="CV161" s="9"/>
      <c r="CW161" s="129"/>
      <c r="CX161" s="9"/>
    </row>
    <row r="162" spans="1:102">
      <c r="A162" s="6" t="str">
        <f t="shared" si="21"/>
        <v>00310998</v>
      </c>
      <c r="B162" s="6" t="s">
        <v>1681</v>
      </c>
      <c r="C162" s="6" t="s">
        <v>2091</v>
      </c>
      <c r="D162" s="6">
        <v>153</v>
      </c>
      <c r="E162" s="6">
        <v>31</v>
      </c>
      <c r="F162" s="6" t="s">
        <v>1547</v>
      </c>
      <c r="G162" s="6">
        <v>998</v>
      </c>
      <c r="I162" s="33">
        <v>0</v>
      </c>
      <c r="J162" s="88">
        <v>0</v>
      </c>
      <c r="K162" s="89">
        <f t="shared" si="30"/>
        <v>0</v>
      </c>
      <c r="L162" s="88">
        <f>IF(K164&gt;0, K162/K164, 0)</f>
        <v>0</v>
      </c>
      <c r="M162" s="58"/>
      <c r="N162" s="9">
        <f>ROUND(M164*L162,0)</f>
        <v>0</v>
      </c>
      <c r="O162" s="9">
        <v>0</v>
      </c>
      <c r="P162" s="9">
        <f>N162-O162</f>
        <v>0</v>
      </c>
      <c r="Q162" s="40">
        <f t="shared" si="29"/>
        <v>0</v>
      </c>
      <c r="R162" s="9">
        <v>0</v>
      </c>
      <c r="S162" s="9">
        <f t="shared" si="27"/>
        <v>0</v>
      </c>
      <c r="T162" s="90">
        <f t="shared" si="22"/>
        <v>31</v>
      </c>
      <c r="U162" s="90">
        <f t="shared" si="23"/>
        <v>998</v>
      </c>
      <c r="V162" s="373">
        <f t="shared" si="24"/>
        <v>153</v>
      </c>
      <c r="W162" s="90">
        <f t="shared" si="25"/>
        <v>0</v>
      </c>
      <c r="X162" s="90">
        <f t="shared" si="26"/>
        <v>0</v>
      </c>
      <c r="Y162" s="141">
        <f t="shared" si="28"/>
        <v>153</v>
      </c>
      <c r="Z162" s="298">
        <v>31</v>
      </c>
      <c r="AA162" s="299">
        <v>998</v>
      </c>
      <c r="AB162" s="299">
        <v>153</v>
      </c>
      <c r="AC162" s="301">
        <v>0</v>
      </c>
      <c r="AD162" s="301">
        <v>0</v>
      </c>
      <c r="AE162" s="126"/>
      <c r="AF162" s="298"/>
      <c r="AG162" s="299"/>
      <c r="AH162" s="299"/>
      <c r="AI162" s="301"/>
      <c r="AJ162" s="301"/>
      <c r="AK162" s="426"/>
      <c r="AL162" s="298"/>
      <c r="AM162" s="299"/>
      <c r="AN162" s="299"/>
      <c r="AO162" s="301"/>
      <c r="AP162" s="301"/>
      <c r="AQ162" s="426"/>
      <c r="AR162" s="298"/>
      <c r="AS162" s="299"/>
      <c r="AT162" s="299"/>
      <c r="AU162" s="301"/>
      <c r="AV162" s="301"/>
      <c r="AW162" s="88"/>
      <c r="AX162" s="298"/>
      <c r="AY162" s="299"/>
      <c r="AZ162" s="299"/>
      <c r="BA162" s="301"/>
      <c r="BB162" s="301"/>
      <c r="BC162" s="426"/>
      <c r="BD162" s="298"/>
      <c r="BE162" s="299"/>
      <c r="BF162" s="299"/>
      <c r="BG162" s="301"/>
      <c r="BH162" s="301"/>
      <c r="BI162" s="88"/>
      <c r="BJ162" s="298"/>
      <c r="BK162" s="299"/>
      <c r="BL162" s="299"/>
      <c r="BM162" s="301"/>
      <c r="BN162" s="301"/>
      <c r="BO162" s="88"/>
      <c r="BP162" s="9"/>
      <c r="BS162" s="81"/>
      <c r="BT162" s="81"/>
      <c r="BV162" s="9"/>
      <c r="BY162" s="81"/>
      <c r="BZ162" s="81"/>
      <c r="CB162" s="9"/>
      <c r="CE162" s="81"/>
      <c r="CF162" s="81"/>
      <c r="CH162" s="9"/>
      <c r="CK162" s="81"/>
      <c r="CL162" s="81"/>
      <c r="CR162" s="9"/>
      <c r="CS162" s="9"/>
      <c r="CT162" s="9"/>
      <c r="CU162" s="9"/>
      <c r="CV162" s="9"/>
      <c r="CW162" s="129"/>
      <c r="CX162" s="9"/>
    </row>
    <row r="163" spans="1:102">
      <c r="A163" s="6" t="str">
        <f t="shared" si="21"/>
        <v>00310998</v>
      </c>
      <c r="B163" s="6" t="s">
        <v>1681</v>
      </c>
      <c r="C163" s="6" t="s">
        <v>2091</v>
      </c>
      <c r="D163" s="6">
        <v>154</v>
      </c>
      <c r="E163" s="6">
        <v>31</v>
      </c>
      <c r="F163" s="6" t="s">
        <v>1547</v>
      </c>
      <c r="G163" s="6">
        <v>998</v>
      </c>
      <c r="H163" s="6" t="s">
        <v>1547</v>
      </c>
      <c r="I163" s="33">
        <v>0</v>
      </c>
      <c r="J163" s="88">
        <v>0</v>
      </c>
      <c r="K163" s="89">
        <f t="shared" si="30"/>
        <v>0</v>
      </c>
      <c r="L163" s="88">
        <f>IF(K164&gt;0, K163/K164, 0)</f>
        <v>0</v>
      </c>
      <c r="M163" s="58"/>
      <c r="N163" s="9">
        <f>ROUND(M164*L163,0)</f>
        <v>0</v>
      </c>
      <c r="O163" s="9">
        <v>0</v>
      </c>
      <c r="P163" s="9">
        <f>N163-O163</f>
        <v>0</v>
      </c>
      <c r="Q163" s="40">
        <f t="shared" si="29"/>
        <v>0</v>
      </c>
      <c r="R163" s="9">
        <v>0</v>
      </c>
      <c r="S163" s="9">
        <f t="shared" si="27"/>
        <v>0</v>
      </c>
      <c r="T163" s="90">
        <f t="shared" si="22"/>
        <v>31</v>
      </c>
      <c r="U163" s="90">
        <f t="shared" si="23"/>
        <v>998</v>
      </c>
      <c r="V163" s="373">
        <f t="shared" si="24"/>
        <v>154</v>
      </c>
      <c r="W163" s="90">
        <f t="shared" si="25"/>
        <v>0</v>
      </c>
      <c r="X163" s="90">
        <f t="shared" si="26"/>
        <v>0</v>
      </c>
      <c r="Y163" s="141">
        <f t="shared" si="28"/>
        <v>154</v>
      </c>
      <c r="Z163" s="298">
        <v>31</v>
      </c>
      <c r="AA163" s="299">
        <v>998</v>
      </c>
      <c r="AB163" s="299">
        <v>154</v>
      </c>
      <c r="AC163" s="301">
        <v>0</v>
      </c>
      <c r="AD163" s="301">
        <v>0</v>
      </c>
      <c r="AE163" s="126"/>
      <c r="AF163" s="298"/>
      <c r="AG163" s="299"/>
      <c r="AH163" s="299"/>
      <c r="AI163" s="301"/>
      <c r="AJ163" s="301"/>
      <c r="AK163" s="426"/>
      <c r="AL163" s="298"/>
      <c r="AM163" s="299"/>
      <c r="AN163" s="299"/>
      <c r="AO163" s="301"/>
      <c r="AP163" s="301"/>
      <c r="AQ163" s="426"/>
      <c r="AR163" s="298"/>
      <c r="AS163" s="299"/>
      <c r="AT163" s="299"/>
      <c r="AU163" s="301"/>
      <c r="AV163" s="301"/>
      <c r="AW163" s="88"/>
      <c r="AX163" s="298"/>
      <c r="AY163" s="299"/>
      <c r="AZ163" s="299"/>
      <c r="BA163" s="301"/>
      <c r="BB163" s="301"/>
      <c r="BC163" s="426"/>
      <c r="BD163" s="298"/>
      <c r="BE163" s="299"/>
      <c r="BF163" s="299"/>
      <c r="BG163" s="301"/>
      <c r="BH163" s="301"/>
      <c r="BI163" s="88"/>
      <c r="BJ163" s="298"/>
      <c r="BK163" s="299"/>
      <c r="BL163" s="299"/>
      <c r="BM163" s="301"/>
      <c r="BN163" s="301"/>
      <c r="BO163" s="88"/>
      <c r="BP163" s="9"/>
      <c r="BS163" s="81"/>
      <c r="BT163" s="81"/>
      <c r="BV163" s="9"/>
      <c r="BY163" s="81"/>
      <c r="BZ163" s="81"/>
      <c r="CB163" s="9"/>
      <c r="CE163" s="81"/>
      <c r="CF163" s="81"/>
      <c r="CH163" s="9"/>
      <c r="CK163" s="81"/>
      <c r="CL163" s="81"/>
      <c r="CR163" s="9"/>
      <c r="CS163" s="9"/>
      <c r="CT163" s="9"/>
      <c r="CU163" s="9"/>
      <c r="CV163" s="9"/>
      <c r="CW163" s="129"/>
      <c r="CX163" s="9"/>
    </row>
    <row r="164" spans="1:102">
      <c r="A164" s="6" t="str">
        <f t="shared" si="21"/>
        <v>00310999</v>
      </c>
      <c r="B164" s="6" t="s">
        <v>1681</v>
      </c>
      <c r="C164" s="6" t="s">
        <v>2092</v>
      </c>
      <c r="D164" s="6">
        <v>155</v>
      </c>
      <c r="E164" s="10">
        <v>31</v>
      </c>
      <c r="F164" s="10" t="s">
        <v>1150</v>
      </c>
      <c r="G164" s="10">
        <v>999</v>
      </c>
      <c r="H164" s="10" t="s">
        <v>593</v>
      </c>
      <c r="I164" s="92">
        <v>72577068.825500846</v>
      </c>
      <c r="J164" s="472">
        <v>1</v>
      </c>
      <c r="K164" s="53">
        <f>SUM(K160:K163)</f>
        <v>74519187.96852912</v>
      </c>
      <c r="L164" s="91">
        <f>SUM(L160:L163)</f>
        <v>1</v>
      </c>
      <c r="M164" s="79">
        <f>VLOOKUP(E164,town351,24)</f>
        <v>59963431</v>
      </c>
      <c r="N164" s="79">
        <f>SUM(N160:N163)</f>
        <v>59963431</v>
      </c>
      <c r="O164" s="79">
        <v>56649439</v>
      </c>
      <c r="P164" s="79">
        <f>SUM(P160:P163)</f>
        <v>3313992</v>
      </c>
      <c r="Q164" s="39">
        <f t="shared" si="29"/>
        <v>5.8499996796084774</v>
      </c>
      <c r="R164" s="9">
        <v>5345.0000000057498</v>
      </c>
      <c r="S164" s="9">
        <f t="shared" si="27"/>
        <v>5395.00000000604</v>
      </c>
      <c r="T164" s="90">
        <f t="shared" si="22"/>
        <v>31</v>
      </c>
      <c r="U164" s="90">
        <f t="shared" si="23"/>
        <v>999</v>
      </c>
      <c r="V164" s="373">
        <f t="shared" si="24"/>
        <v>155</v>
      </c>
      <c r="W164" s="90">
        <f t="shared" si="25"/>
        <v>5395.00000000604</v>
      </c>
      <c r="X164" s="90">
        <f t="shared" si="26"/>
        <v>74519187.96852912</v>
      </c>
      <c r="Y164" s="141">
        <f t="shared" si="28"/>
        <v>155</v>
      </c>
      <c r="Z164" s="298">
        <v>31</v>
      </c>
      <c r="AA164" s="299">
        <v>999</v>
      </c>
      <c r="AB164" s="299">
        <v>155</v>
      </c>
      <c r="AC164" s="301">
        <v>5395.00000000604</v>
      </c>
      <c r="AD164" s="301">
        <v>74519187.96852912</v>
      </c>
      <c r="AE164" s="126"/>
      <c r="AF164" s="298"/>
      <c r="AG164" s="299"/>
      <c r="AH164" s="299"/>
      <c r="AI164" s="301"/>
      <c r="AJ164" s="301"/>
      <c r="AK164" s="426"/>
      <c r="AL164" s="298"/>
      <c r="AM164" s="299"/>
      <c r="AN164" s="299"/>
      <c r="AO164" s="301"/>
      <c r="AP164" s="301"/>
      <c r="AQ164" s="426"/>
      <c r="AR164" s="298"/>
      <c r="AS164" s="299"/>
      <c r="AT164" s="299"/>
      <c r="AU164" s="301"/>
      <c r="AV164" s="301"/>
      <c r="AW164" s="91"/>
      <c r="AX164" s="298"/>
      <c r="AY164" s="299"/>
      <c r="AZ164" s="299"/>
      <c r="BA164" s="301"/>
      <c r="BB164" s="301"/>
      <c r="BC164" s="426"/>
      <c r="BD164" s="298"/>
      <c r="BE164" s="299"/>
      <c r="BF164" s="299"/>
      <c r="BG164" s="301"/>
      <c r="BH164" s="301"/>
      <c r="BI164" s="91"/>
      <c r="BJ164" s="298"/>
      <c r="BK164" s="299"/>
      <c r="BL164" s="299"/>
      <c r="BM164" s="301"/>
      <c r="BN164" s="301"/>
      <c r="BO164" s="91"/>
      <c r="BP164" s="9"/>
      <c r="BS164" s="81"/>
      <c r="BT164" s="81"/>
      <c r="BV164" s="9"/>
      <c r="BY164" s="81"/>
      <c r="BZ164" s="81"/>
      <c r="CB164" s="9"/>
      <c r="CE164" s="81"/>
      <c r="CF164" s="81"/>
      <c r="CH164" s="9"/>
      <c r="CK164" s="81"/>
      <c r="CL164" s="81"/>
      <c r="CR164" s="9"/>
      <c r="CS164" s="9"/>
      <c r="CT164" s="9"/>
      <c r="CU164" s="9"/>
      <c r="CV164" s="9"/>
      <c r="CW164" s="129"/>
      <c r="CX164" s="9"/>
    </row>
    <row r="165" spans="1:102">
      <c r="A165" s="6" t="str">
        <f t="shared" si="21"/>
        <v>00320032</v>
      </c>
      <c r="B165" s="6" t="s">
        <v>1682</v>
      </c>
      <c r="C165" s="6" t="s">
        <v>1682</v>
      </c>
      <c r="D165" s="6">
        <v>156</v>
      </c>
      <c r="E165" s="6">
        <v>32</v>
      </c>
      <c r="F165" s="6" t="s">
        <v>1151</v>
      </c>
      <c r="G165" s="6">
        <v>32</v>
      </c>
      <c r="H165" s="6" t="s">
        <v>713</v>
      </c>
      <c r="I165" s="33">
        <v>393567.83999999997</v>
      </c>
      <c r="J165" s="88">
        <v>2.2649642950160569E-2</v>
      </c>
      <c r="K165" s="89">
        <f>X165</f>
        <v>317959.23</v>
      </c>
      <c r="L165" s="88">
        <f>IF(K169&gt;0, K165/K169, 0)</f>
        <v>1.769945288892304E-2</v>
      </c>
      <c r="M165" s="58"/>
      <c r="N165" s="9">
        <f>ROUND(M169*L165,0)</f>
        <v>163461</v>
      </c>
      <c r="O165" s="9">
        <v>197879</v>
      </c>
      <c r="P165" s="9">
        <f>N165-O165</f>
        <v>-34418</v>
      </c>
      <c r="Q165" s="40">
        <f t="shared" si="29"/>
        <v>-17.393457618039307</v>
      </c>
      <c r="R165" s="9">
        <v>22</v>
      </c>
      <c r="S165" s="9">
        <f t="shared" si="27"/>
        <v>17</v>
      </c>
      <c r="T165" s="90">
        <f t="shared" si="22"/>
        <v>32</v>
      </c>
      <c r="U165" s="90">
        <f t="shared" si="23"/>
        <v>32</v>
      </c>
      <c r="V165" s="373">
        <f t="shared" si="24"/>
        <v>156</v>
      </c>
      <c r="W165" s="90">
        <f t="shared" si="25"/>
        <v>17</v>
      </c>
      <c r="X165" s="90">
        <f t="shared" si="26"/>
        <v>317959.23</v>
      </c>
      <c r="Y165" s="141">
        <f t="shared" si="28"/>
        <v>156</v>
      </c>
      <c r="Z165" s="298">
        <v>32</v>
      </c>
      <c r="AA165" s="299">
        <v>32</v>
      </c>
      <c r="AB165" s="299">
        <v>156</v>
      </c>
      <c r="AC165" s="301">
        <v>17</v>
      </c>
      <c r="AD165" s="301">
        <v>317959.23</v>
      </c>
      <c r="AE165" s="126"/>
      <c r="AF165" s="298"/>
      <c r="AG165" s="299"/>
      <c r="AH165" s="299"/>
      <c r="AI165" s="301"/>
      <c r="AJ165" s="301"/>
      <c r="AK165" s="426"/>
      <c r="AL165" s="298"/>
      <c r="AM165" s="299"/>
      <c r="AN165" s="299"/>
      <c r="AO165" s="301"/>
      <c r="AP165" s="301"/>
      <c r="AQ165" s="426"/>
      <c r="AR165" s="298"/>
      <c r="AS165" s="299"/>
      <c r="AT165" s="299"/>
      <c r="AU165" s="301"/>
      <c r="AV165" s="301"/>
      <c r="AW165" s="88"/>
      <c r="AX165" s="298"/>
      <c r="AY165" s="299"/>
      <c r="AZ165" s="299"/>
      <c r="BA165" s="301"/>
      <c r="BB165" s="301"/>
      <c r="BC165" s="426"/>
      <c r="BD165" s="298"/>
      <c r="BE165" s="299"/>
      <c r="BF165" s="299"/>
      <c r="BG165" s="301"/>
      <c r="BH165" s="301"/>
      <c r="BI165" s="88"/>
      <c r="BJ165" s="298"/>
      <c r="BK165" s="299"/>
      <c r="BL165" s="299"/>
      <c r="BM165" s="301"/>
      <c r="BN165" s="301"/>
      <c r="BO165" s="88"/>
      <c r="BP165" s="9"/>
      <c r="BS165" s="81"/>
      <c r="BT165" s="81"/>
      <c r="BV165" s="9"/>
      <c r="BY165" s="81"/>
      <c r="BZ165" s="81"/>
      <c r="CB165" s="9"/>
      <c r="CE165" s="81"/>
      <c r="CF165" s="81"/>
      <c r="CH165" s="9"/>
      <c r="CK165" s="81"/>
      <c r="CL165" s="81"/>
      <c r="CR165" s="9"/>
      <c r="CS165" s="9"/>
      <c r="CT165" s="9"/>
      <c r="CU165" s="9"/>
      <c r="CV165" s="9"/>
      <c r="CW165" s="129"/>
      <c r="CX165" s="9"/>
    </row>
    <row r="166" spans="1:102">
      <c r="A166" s="6" t="str">
        <f t="shared" si="21"/>
        <v>00320622</v>
      </c>
      <c r="B166" s="6" t="s">
        <v>1682</v>
      </c>
      <c r="C166" s="6" t="s">
        <v>2012</v>
      </c>
      <c r="D166" s="6">
        <v>157</v>
      </c>
      <c r="E166" s="6">
        <v>32</v>
      </c>
      <c r="F166" s="6" t="s">
        <v>1151</v>
      </c>
      <c r="G166" s="6">
        <v>622</v>
      </c>
      <c r="H166" s="6" t="s">
        <v>1042</v>
      </c>
      <c r="I166" s="33">
        <v>15849824.730998944</v>
      </c>
      <c r="J166" s="88">
        <v>0.91214991290891778</v>
      </c>
      <c r="K166" s="89">
        <f t="shared" si="30"/>
        <v>16561612.870151637</v>
      </c>
      <c r="L166" s="88">
        <f>IF(K169&gt;0, K166/K169, 0)</f>
        <v>0.9219153246780426</v>
      </c>
      <c r="M166" s="58"/>
      <c r="N166" s="9">
        <f>ROUND(M169*L166,0)</f>
        <v>8514234</v>
      </c>
      <c r="O166" s="9">
        <v>7969016</v>
      </c>
      <c r="P166" s="9">
        <f>N166-O166</f>
        <v>545218</v>
      </c>
      <c r="Q166" s="40">
        <f t="shared" si="29"/>
        <v>6.8417229931524792</v>
      </c>
      <c r="R166" s="9">
        <v>1179.64669548954</v>
      </c>
      <c r="S166" s="9">
        <f t="shared" si="27"/>
        <v>1194.07366482934</v>
      </c>
      <c r="T166" s="90">
        <f t="shared" si="22"/>
        <v>32</v>
      </c>
      <c r="U166" s="90">
        <f t="shared" si="23"/>
        <v>622</v>
      </c>
      <c r="V166" s="373">
        <f t="shared" si="24"/>
        <v>157</v>
      </c>
      <c r="W166" s="90">
        <f t="shared" si="25"/>
        <v>1194.07366482934</v>
      </c>
      <c r="X166" s="90">
        <f t="shared" si="26"/>
        <v>16561612.870151637</v>
      </c>
      <c r="Y166" s="141">
        <f t="shared" si="28"/>
        <v>157</v>
      </c>
      <c r="Z166" s="298">
        <v>32</v>
      </c>
      <c r="AA166" s="299">
        <v>622</v>
      </c>
      <c r="AB166" s="299">
        <v>157</v>
      </c>
      <c r="AC166" s="301">
        <v>1194.07366482934</v>
      </c>
      <c r="AD166" s="301">
        <v>16561612.870151637</v>
      </c>
      <c r="AE166" s="126"/>
      <c r="AF166" s="298"/>
      <c r="AG166" s="299"/>
      <c r="AH166" s="299"/>
      <c r="AI166" s="301"/>
      <c r="AJ166" s="301"/>
      <c r="AK166" s="426"/>
      <c r="AL166" s="298"/>
      <c r="AM166" s="299"/>
      <c r="AN166" s="299"/>
      <c r="AO166" s="301"/>
      <c r="AP166" s="301"/>
      <c r="AQ166" s="426"/>
      <c r="AR166" s="298"/>
      <c r="AS166" s="299"/>
      <c r="AT166" s="299"/>
      <c r="AU166" s="301"/>
      <c r="AV166" s="301"/>
      <c r="AW166" s="88"/>
      <c r="AX166" s="298"/>
      <c r="AY166" s="299"/>
      <c r="AZ166" s="299"/>
      <c r="BA166" s="301"/>
      <c r="BB166" s="301"/>
      <c r="BC166" s="426"/>
      <c r="BD166" s="298"/>
      <c r="BE166" s="299"/>
      <c r="BF166" s="299"/>
      <c r="BG166" s="301"/>
      <c r="BH166" s="301"/>
      <c r="BI166" s="88"/>
      <c r="BJ166" s="298"/>
      <c r="BK166" s="299"/>
      <c r="BL166" s="299"/>
      <c r="BM166" s="301"/>
      <c r="BN166" s="301"/>
      <c r="BO166" s="88"/>
      <c r="BP166" s="9"/>
      <c r="BS166" s="81"/>
      <c r="BT166" s="81"/>
      <c r="BV166" s="9"/>
      <c r="BY166" s="81"/>
      <c r="BZ166" s="81"/>
      <c r="CB166" s="9"/>
      <c r="CE166" s="81"/>
      <c r="CF166" s="81"/>
      <c r="CH166" s="9"/>
      <c r="CK166" s="81"/>
      <c r="CL166" s="81"/>
      <c r="CR166" s="9"/>
      <c r="CS166" s="9"/>
      <c r="CT166" s="9"/>
      <c r="CU166" s="9"/>
      <c r="CV166" s="9"/>
      <c r="CW166" s="129"/>
      <c r="CX166" s="9"/>
    </row>
    <row r="167" spans="1:102">
      <c r="A167" s="6" t="str">
        <f t="shared" si="21"/>
        <v>00320805</v>
      </c>
      <c r="B167" s="6" t="s">
        <v>1682</v>
      </c>
      <c r="C167" s="6" t="s">
        <v>2063</v>
      </c>
      <c r="D167" s="6">
        <v>158</v>
      </c>
      <c r="E167" s="6">
        <v>32</v>
      </c>
      <c r="F167" s="6" t="s">
        <v>1151</v>
      </c>
      <c r="G167" s="6">
        <v>805</v>
      </c>
      <c r="H167" s="6" t="s">
        <v>1093</v>
      </c>
      <c r="I167" s="33">
        <v>1132944.9220920831</v>
      </c>
      <c r="J167" s="88">
        <v>6.520044414092159E-2</v>
      </c>
      <c r="K167" s="89">
        <f t="shared" si="30"/>
        <v>1084781.4872403452</v>
      </c>
      <c r="L167" s="88">
        <f>IF(K169&gt;0, K167/K169, 0)</f>
        <v>6.0385222433034458E-2</v>
      </c>
      <c r="M167" s="58"/>
      <c r="N167" s="9">
        <f>ROUND(M169*L167,0)</f>
        <v>557680</v>
      </c>
      <c r="O167" s="9">
        <v>569625</v>
      </c>
      <c r="P167" s="9">
        <f>N167-O167</f>
        <v>-11945</v>
      </c>
      <c r="Q167" s="40">
        <f t="shared" si="29"/>
        <v>-2.096993636164143</v>
      </c>
      <c r="R167" s="9">
        <v>59.999999994999996</v>
      </c>
      <c r="S167" s="9">
        <f t="shared" si="27"/>
        <v>56.000000002050001</v>
      </c>
      <c r="T167" s="90">
        <f t="shared" si="22"/>
        <v>32</v>
      </c>
      <c r="U167" s="90">
        <f t="shared" si="23"/>
        <v>805</v>
      </c>
      <c r="V167" s="373">
        <f t="shared" si="24"/>
        <v>158</v>
      </c>
      <c r="W167" s="90">
        <f t="shared" si="25"/>
        <v>56.000000002050001</v>
      </c>
      <c r="X167" s="90">
        <f t="shared" si="26"/>
        <v>1084781.4872403452</v>
      </c>
      <c r="Y167" s="141">
        <f t="shared" si="28"/>
        <v>158</v>
      </c>
      <c r="Z167" s="298">
        <v>32</v>
      </c>
      <c r="AA167" s="299">
        <v>805</v>
      </c>
      <c r="AB167" s="299">
        <v>158</v>
      </c>
      <c r="AC167" s="301">
        <v>56.000000002050001</v>
      </c>
      <c r="AD167" s="301">
        <v>1084781.4872403452</v>
      </c>
      <c r="AE167" s="126"/>
      <c r="AF167" s="298"/>
      <c r="AG167" s="299"/>
      <c r="AH167" s="299"/>
      <c r="AI167" s="301"/>
      <c r="AJ167" s="301"/>
      <c r="AK167" s="426"/>
      <c r="AL167" s="298"/>
      <c r="AM167" s="299"/>
      <c r="AN167" s="299"/>
      <c r="AO167" s="301"/>
      <c r="AP167" s="301"/>
      <c r="AQ167" s="426"/>
      <c r="AR167" s="298"/>
      <c r="AS167" s="299"/>
      <c r="AT167" s="299"/>
      <c r="AU167" s="301"/>
      <c r="AV167" s="301"/>
      <c r="AW167" s="88"/>
      <c r="AX167" s="298"/>
      <c r="AY167" s="299"/>
      <c r="AZ167" s="299"/>
      <c r="BA167" s="301"/>
      <c r="BB167" s="301"/>
      <c r="BC167" s="426"/>
      <c r="BD167" s="298"/>
      <c r="BE167" s="299"/>
      <c r="BF167" s="299"/>
      <c r="BG167" s="301"/>
      <c r="BH167" s="301"/>
      <c r="BI167" s="88"/>
      <c r="BJ167" s="298"/>
      <c r="BK167" s="299"/>
      <c r="BL167" s="299"/>
      <c r="BM167" s="301"/>
      <c r="BN167" s="301"/>
      <c r="BO167" s="88"/>
      <c r="BP167" s="9"/>
      <c r="BS167" s="81"/>
      <c r="BT167" s="81"/>
      <c r="BV167" s="9"/>
      <c r="BY167" s="81"/>
      <c r="BZ167" s="81"/>
      <c r="CB167" s="9"/>
      <c r="CE167" s="81"/>
      <c r="CF167" s="81"/>
      <c r="CH167" s="9"/>
      <c r="CK167" s="81"/>
      <c r="CL167" s="81"/>
      <c r="CR167" s="9"/>
      <c r="CS167" s="9"/>
      <c r="CT167" s="9"/>
      <c r="CU167" s="9"/>
      <c r="CV167" s="9"/>
      <c r="CW167" s="129"/>
      <c r="CX167" s="9"/>
    </row>
    <row r="168" spans="1:102">
      <c r="A168" s="6" t="str">
        <f t="shared" si="21"/>
        <v>00320998</v>
      </c>
      <c r="B168" s="6" t="s">
        <v>1682</v>
      </c>
      <c r="C168" s="6" t="s">
        <v>2091</v>
      </c>
      <c r="D168" s="6">
        <v>159</v>
      </c>
      <c r="E168" s="6">
        <v>32</v>
      </c>
      <c r="F168" s="6" t="s">
        <v>1547</v>
      </c>
      <c r="G168" s="6">
        <v>998</v>
      </c>
      <c r="H168" s="6" t="s">
        <v>1547</v>
      </c>
      <c r="I168" s="33">
        <v>0</v>
      </c>
      <c r="J168" s="88">
        <v>0</v>
      </c>
      <c r="K168" s="89">
        <f t="shared" si="30"/>
        <v>0</v>
      </c>
      <c r="L168" s="88">
        <f>IF(K169&gt;0, K168/K169, 0)</f>
        <v>0</v>
      </c>
      <c r="M168" s="58"/>
      <c r="N168" s="9">
        <f>ROUND(M169*L168,0)</f>
        <v>0</v>
      </c>
      <c r="O168" s="9">
        <v>0</v>
      </c>
      <c r="P168" s="9">
        <f>N168-O168</f>
        <v>0</v>
      </c>
      <c r="Q168" s="40">
        <f t="shared" si="29"/>
        <v>0</v>
      </c>
      <c r="R168" s="9">
        <v>0</v>
      </c>
      <c r="S168" s="9">
        <f t="shared" si="27"/>
        <v>0</v>
      </c>
      <c r="T168" s="90">
        <f t="shared" si="22"/>
        <v>32</v>
      </c>
      <c r="U168" s="90">
        <f t="shared" si="23"/>
        <v>998</v>
      </c>
      <c r="V168" s="373">
        <f t="shared" si="24"/>
        <v>159</v>
      </c>
      <c r="W168" s="90">
        <f t="shared" si="25"/>
        <v>0</v>
      </c>
      <c r="X168" s="90">
        <f t="shared" si="26"/>
        <v>0</v>
      </c>
      <c r="Y168" s="141">
        <f t="shared" si="28"/>
        <v>159</v>
      </c>
      <c r="Z168" s="298">
        <v>32</v>
      </c>
      <c r="AA168" s="299">
        <v>998</v>
      </c>
      <c r="AB168" s="299">
        <v>159</v>
      </c>
      <c r="AC168" s="301">
        <v>0</v>
      </c>
      <c r="AD168" s="301">
        <v>0</v>
      </c>
      <c r="AE168" s="126"/>
      <c r="AF168" s="298"/>
      <c r="AG168" s="299"/>
      <c r="AH168" s="299"/>
      <c r="AI168" s="301"/>
      <c r="AJ168" s="301"/>
      <c r="AK168" s="426"/>
      <c r="AL168" s="298"/>
      <c r="AM168" s="299"/>
      <c r="AN168" s="299"/>
      <c r="AO168" s="301"/>
      <c r="AP168" s="301"/>
      <c r="AQ168" s="426"/>
      <c r="AR168" s="298"/>
      <c r="AS168" s="299"/>
      <c r="AT168" s="299"/>
      <c r="AU168" s="301"/>
      <c r="AV168" s="301"/>
      <c r="AW168" s="88"/>
      <c r="AX168" s="298"/>
      <c r="AY168" s="299"/>
      <c r="AZ168" s="299"/>
      <c r="BA168" s="301"/>
      <c r="BB168" s="301"/>
      <c r="BC168" s="426"/>
      <c r="BD168" s="298"/>
      <c r="BE168" s="299"/>
      <c r="BF168" s="299"/>
      <c r="BG168" s="301"/>
      <c r="BH168" s="301"/>
      <c r="BI168" s="88"/>
      <c r="BJ168" s="298"/>
      <c r="BK168" s="299"/>
      <c r="BL168" s="299"/>
      <c r="BM168" s="301"/>
      <c r="BN168" s="301"/>
      <c r="BO168" s="88"/>
      <c r="BP168" s="9"/>
      <c r="BS168" s="81"/>
      <c r="BT168" s="81"/>
      <c r="BV168" s="9"/>
      <c r="BY168" s="81"/>
      <c r="BZ168" s="81"/>
      <c r="CB168" s="9"/>
      <c r="CE168" s="81"/>
      <c r="CF168" s="81"/>
      <c r="CH168" s="9"/>
      <c r="CK168" s="81"/>
      <c r="CL168" s="81"/>
      <c r="CR168" s="9"/>
      <c r="CS168" s="9"/>
      <c r="CT168" s="9"/>
      <c r="CU168" s="9"/>
      <c r="CV168" s="9"/>
      <c r="CW168" s="129"/>
      <c r="CX168" s="9"/>
    </row>
    <row r="169" spans="1:102">
      <c r="A169" s="6" t="str">
        <f t="shared" si="21"/>
        <v>00320999</v>
      </c>
      <c r="B169" s="6" t="s">
        <v>1682</v>
      </c>
      <c r="C169" s="6" t="s">
        <v>2092</v>
      </c>
      <c r="D169" s="6">
        <v>160</v>
      </c>
      <c r="E169" s="10">
        <v>32</v>
      </c>
      <c r="F169" s="10" t="s">
        <v>1151</v>
      </c>
      <c r="G169" s="10">
        <v>999</v>
      </c>
      <c r="H169" s="10" t="s">
        <v>593</v>
      </c>
      <c r="I169" s="92">
        <v>17376337.493091028</v>
      </c>
      <c r="J169" s="472">
        <v>1</v>
      </c>
      <c r="K169" s="53">
        <f>SUM(K165:K168)</f>
        <v>17964353.58739198</v>
      </c>
      <c r="L169" s="91">
        <f>SUM(L165:L168)</f>
        <v>1</v>
      </c>
      <c r="M169" s="79">
        <f>VLOOKUP(E169,town351,24)</f>
        <v>9235375</v>
      </c>
      <c r="N169" s="79">
        <f>SUM(N165:N168)</f>
        <v>9235375</v>
      </c>
      <c r="O169" s="79">
        <v>8736520</v>
      </c>
      <c r="P169" s="79">
        <f>SUM(P165:P168)</f>
        <v>498855</v>
      </c>
      <c r="Q169" s="39">
        <f t="shared" si="29"/>
        <v>5.7099966577081034</v>
      </c>
      <c r="R169" s="9">
        <v>1261.64669548454</v>
      </c>
      <c r="S169" s="9">
        <f t="shared" si="27"/>
        <v>1267.07366483139</v>
      </c>
      <c r="T169" s="90">
        <f t="shared" si="22"/>
        <v>32</v>
      </c>
      <c r="U169" s="90">
        <f t="shared" si="23"/>
        <v>999</v>
      </c>
      <c r="V169" s="373">
        <f t="shared" si="24"/>
        <v>160</v>
      </c>
      <c r="W169" s="90">
        <f t="shared" si="25"/>
        <v>1267.07366483139</v>
      </c>
      <c r="X169" s="90">
        <f t="shared" si="26"/>
        <v>17964353.58739198</v>
      </c>
      <c r="Y169" s="141">
        <f t="shared" si="28"/>
        <v>160</v>
      </c>
      <c r="Z169" s="298">
        <v>32</v>
      </c>
      <c r="AA169" s="299">
        <v>999</v>
      </c>
      <c r="AB169" s="299">
        <v>160</v>
      </c>
      <c r="AC169" s="301">
        <v>1267.07366483139</v>
      </c>
      <c r="AD169" s="301">
        <v>17964353.58739198</v>
      </c>
      <c r="AE169" s="126"/>
      <c r="AF169" s="298"/>
      <c r="AG169" s="299"/>
      <c r="AH169" s="299"/>
      <c r="AI169" s="301"/>
      <c r="AJ169" s="301"/>
      <c r="AK169" s="426"/>
      <c r="AL169" s="298"/>
      <c r="AM169" s="299"/>
      <c r="AN169" s="299"/>
      <c r="AO169" s="301"/>
      <c r="AP169" s="301"/>
      <c r="AQ169" s="426"/>
      <c r="AR169" s="298"/>
      <c r="AS169" s="299"/>
      <c r="AT169" s="299"/>
      <c r="AU169" s="301"/>
      <c r="AV169" s="301"/>
      <c r="AW169" s="91"/>
      <c r="AX169" s="298"/>
      <c r="AY169" s="299"/>
      <c r="AZ169" s="299"/>
      <c r="BA169" s="301"/>
      <c r="BB169" s="301"/>
      <c r="BC169" s="426"/>
      <c r="BD169" s="298"/>
      <c r="BE169" s="299"/>
      <c r="BF169" s="299"/>
      <c r="BG169" s="301"/>
      <c r="BH169" s="301"/>
      <c r="BI169" s="91"/>
      <c r="BJ169" s="298"/>
      <c r="BK169" s="299"/>
      <c r="BL169" s="299"/>
      <c r="BM169" s="301"/>
      <c r="BN169" s="301"/>
      <c r="BO169" s="91"/>
      <c r="BP169" s="9"/>
      <c r="BS169" s="81"/>
      <c r="BT169" s="81"/>
      <c r="BV169" s="9"/>
      <c r="BY169" s="81"/>
      <c r="BZ169" s="81"/>
      <c r="CB169" s="9"/>
      <c r="CE169" s="81"/>
      <c r="CF169" s="81"/>
      <c r="CH169" s="9"/>
      <c r="CK169" s="81"/>
      <c r="CL169" s="81"/>
      <c r="CR169" s="9"/>
      <c r="CS169" s="9"/>
      <c r="CT169" s="9"/>
      <c r="CU169" s="9"/>
      <c r="CV169" s="9"/>
      <c r="CW169" s="129"/>
      <c r="CX169" s="9"/>
    </row>
    <row r="170" spans="1:102">
      <c r="A170" s="6" t="str">
        <f t="shared" si="21"/>
        <v>00330033</v>
      </c>
      <c r="B170" s="6" t="s">
        <v>1683</v>
      </c>
      <c r="C170" s="6" t="s">
        <v>1683</v>
      </c>
      <c r="D170" s="6">
        <v>161</v>
      </c>
      <c r="E170" s="6">
        <v>33</v>
      </c>
      <c r="F170" s="6" t="s">
        <v>1152</v>
      </c>
      <c r="G170" s="6">
        <v>33</v>
      </c>
      <c r="H170" s="6" t="s">
        <v>714</v>
      </c>
      <c r="I170" s="33">
        <v>245151</v>
      </c>
      <c r="J170" s="88">
        <v>0.16331458685841688</v>
      </c>
      <c r="K170" s="89">
        <f>X170</f>
        <v>250517.91</v>
      </c>
      <c r="L170" s="88">
        <f>IF(K174&gt;0, K170/K174, 0)</f>
        <v>0.1464015552756234</v>
      </c>
      <c r="M170" s="58"/>
      <c r="N170" s="9">
        <f>ROUND(M174*L170,0)</f>
        <v>172932</v>
      </c>
      <c r="O170" s="9">
        <v>186549</v>
      </c>
      <c r="P170" s="9">
        <f>N170-O170</f>
        <v>-13617</v>
      </c>
      <c r="Q170" s="40">
        <f t="shared" si="29"/>
        <v>-7.2994226717913255</v>
      </c>
      <c r="R170" s="9">
        <v>13</v>
      </c>
      <c r="S170" s="9">
        <f t="shared" si="27"/>
        <v>13</v>
      </c>
      <c r="T170" s="90">
        <f t="shared" si="22"/>
        <v>33</v>
      </c>
      <c r="U170" s="90">
        <f t="shared" si="23"/>
        <v>33</v>
      </c>
      <c r="V170" s="373">
        <f t="shared" si="24"/>
        <v>161</v>
      </c>
      <c r="W170" s="90">
        <f t="shared" si="25"/>
        <v>13</v>
      </c>
      <c r="X170" s="90">
        <f t="shared" si="26"/>
        <v>250517.91</v>
      </c>
      <c r="Y170" s="141">
        <f t="shared" si="28"/>
        <v>161</v>
      </c>
      <c r="Z170" s="298">
        <v>33</v>
      </c>
      <c r="AA170" s="299">
        <v>33</v>
      </c>
      <c r="AB170" s="299">
        <v>161</v>
      </c>
      <c r="AC170" s="301">
        <v>13</v>
      </c>
      <c r="AD170" s="301">
        <v>250517.91</v>
      </c>
      <c r="AE170" s="126"/>
      <c r="AF170" s="298"/>
      <c r="AG170" s="299"/>
      <c r="AH170" s="299"/>
      <c r="AI170" s="301"/>
      <c r="AJ170" s="301"/>
      <c r="AK170" s="426"/>
      <c r="AL170" s="298"/>
      <c r="AM170" s="299"/>
      <c r="AN170" s="299"/>
      <c r="AO170" s="301"/>
      <c r="AP170" s="301"/>
      <c r="AQ170" s="426"/>
      <c r="AR170" s="298"/>
      <c r="AS170" s="299"/>
      <c r="AT170" s="299"/>
      <c r="AU170" s="301"/>
      <c r="AV170" s="301"/>
      <c r="AW170" s="88"/>
      <c r="AX170" s="298"/>
      <c r="AY170" s="299"/>
      <c r="AZ170" s="299"/>
      <c r="BA170" s="301"/>
      <c r="BB170" s="301"/>
      <c r="BC170" s="426"/>
      <c r="BD170" s="298"/>
      <c r="BE170" s="299"/>
      <c r="BF170" s="299"/>
      <c r="BG170" s="301"/>
      <c r="BH170" s="301"/>
      <c r="BI170" s="88"/>
      <c r="BJ170" s="298"/>
      <c r="BK170" s="299"/>
      <c r="BL170" s="299"/>
      <c r="BM170" s="301"/>
      <c r="BN170" s="301"/>
      <c r="BO170" s="88"/>
      <c r="BP170" s="9"/>
      <c r="BS170" s="81"/>
      <c r="BT170" s="81"/>
      <c r="BV170" s="9"/>
      <c r="BY170" s="81"/>
      <c r="BZ170" s="81"/>
      <c r="CB170" s="9"/>
      <c r="CE170" s="81"/>
      <c r="CF170" s="81"/>
      <c r="CH170" s="9"/>
      <c r="CK170" s="81"/>
      <c r="CL170" s="81"/>
      <c r="CR170" s="9"/>
      <c r="CS170" s="9"/>
      <c r="CT170" s="9"/>
      <c r="CU170" s="9"/>
      <c r="CV170" s="9"/>
      <c r="CW170" s="129"/>
      <c r="CX170" s="9"/>
    </row>
    <row r="171" spans="1:102">
      <c r="A171" s="6" t="str">
        <f t="shared" si="21"/>
        <v>00330672</v>
      </c>
      <c r="B171" s="6" t="s">
        <v>1683</v>
      </c>
      <c r="C171" s="6" t="s">
        <v>2025</v>
      </c>
      <c r="D171" s="6">
        <v>162</v>
      </c>
      <c r="E171" s="6">
        <v>33</v>
      </c>
      <c r="F171" s="6" t="s">
        <v>1152</v>
      </c>
      <c r="G171" s="6">
        <v>672</v>
      </c>
      <c r="H171" s="6" t="s">
        <v>1055</v>
      </c>
      <c r="I171" s="33">
        <v>1255945.7771821262</v>
      </c>
      <c r="J171" s="88">
        <v>0.83668541314158307</v>
      </c>
      <c r="K171" s="89">
        <f t="shared" si="30"/>
        <v>1460651.8212802559</v>
      </c>
      <c r="L171" s="88">
        <f>IF(K174&gt;0, K171/K174, 0)</f>
        <v>0.85359844472437663</v>
      </c>
      <c r="M171" s="58"/>
      <c r="N171" s="9">
        <f>ROUND(M174*L171,0)</f>
        <v>1008285</v>
      </c>
      <c r="O171" s="9">
        <v>955717</v>
      </c>
      <c r="P171" s="9">
        <f>N171-O171</f>
        <v>52568</v>
      </c>
      <c r="Q171" s="40">
        <f t="shared" si="29"/>
        <v>5.5003730183725938</v>
      </c>
      <c r="R171" s="9">
        <v>85.309756100819996</v>
      </c>
      <c r="S171" s="9">
        <f t="shared" si="27"/>
        <v>93.38509316775</v>
      </c>
      <c r="T171" s="90">
        <f t="shared" si="22"/>
        <v>33</v>
      </c>
      <c r="U171" s="90">
        <f t="shared" si="23"/>
        <v>672</v>
      </c>
      <c r="V171" s="373">
        <f t="shared" si="24"/>
        <v>162</v>
      </c>
      <c r="W171" s="90">
        <f t="shared" si="25"/>
        <v>93.38509316775</v>
      </c>
      <c r="X171" s="90">
        <f t="shared" si="26"/>
        <v>1460651.8212802559</v>
      </c>
      <c r="Y171" s="141">
        <f t="shared" si="28"/>
        <v>162</v>
      </c>
      <c r="Z171" s="298">
        <v>33</v>
      </c>
      <c r="AA171" s="299">
        <v>672</v>
      </c>
      <c r="AB171" s="299">
        <v>162</v>
      </c>
      <c r="AC171" s="301">
        <v>93.38509316775</v>
      </c>
      <c r="AD171" s="301">
        <v>1460651.8212802559</v>
      </c>
      <c r="AE171" s="126"/>
      <c r="AF171" s="298"/>
      <c r="AG171" s="299"/>
      <c r="AH171" s="299"/>
      <c r="AI171" s="301"/>
      <c r="AJ171" s="301"/>
      <c r="AK171" s="426"/>
      <c r="AL171" s="298"/>
      <c r="AM171" s="299"/>
      <c r="AN171" s="299"/>
      <c r="AO171" s="301"/>
      <c r="AP171" s="301"/>
      <c r="AQ171" s="426"/>
      <c r="AR171" s="298"/>
      <c r="AS171" s="299"/>
      <c r="AT171" s="299"/>
      <c r="AU171" s="301"/>
      <c r="AV171" s="301"/>
      <c r="AW171" s="88"/>
      <c r="AX171" s="298"/>
      <c r="AY171" s="299"/>
      <c r="AZ171" s="299"/>
      <c r="BA171" s="301"/>
      <c r="BB171" s="301"/>
      <c r="BC171" s="426"/>
      <c r="BD171" s="298"/>
      <c r="BE171" s="299"/>
      <c r="BF171" s="299"/>
      <c r="BG171" s="301"/>
      <c r="BH171" s="301"/>
      <c r="BI171" s="88"/>
      <c r="BJ171" s="298"/>
      <c r="BK171" s="299"/>
      <c r="BL171" s="299"/>
      <c r="BM171" s="301"/>
      <c r="BN171" s="301"/>
      <c r="BO171" s="88"/>
      <c r="BP171" s="9"/>
      <c r="BS171" s="81"/>
      <c r="BT171" s="81"/>
      <c r="BV171" s="9"/>
      <c r="BY171" s="81"/>
      <c r="BZ171" s="81"/>
      <c r="CB171" s="9"/>
      <c r="CE171" s="81"/>
      <c r="CF171" s="81"/>
      <c r="CH171" s="9"/>
      <c r="CK171" s="81"/>
      <c r="CL171" s="81"/>
      <c r="CR171" s="9"/>
      <c r="CS171" s="9"/>
      <c r="CT171" s="9"/>
      <c r="CU171" s="9"/>
      <c r="CV171" s="9"/>
      <c r="CW171" s="129"/>
      <c r="CX171" s="9"/>
    </row>
    <row r="172" spans="1:102">
      <c r="A172" s="6" t="str">
        <f t="shared" si="21"/>
        <v>00330998</v>
      </c>
      <c r="B172" s="6" t="s">
        <v>1683</v>
      </c>
      <c r="C172" s="6" t="s">
        <v>2091</v>
      </c>
      <c r="D172" s="6">
        <v>163</v>
      </c>
      <c r="E172" s="6">
        <v>33</v>
      </c>
      <c r="F172" s="6" t="s">
        <v>1547</v>
      </c>
      <c r="G172" s="6">
        <v>998</v>
      </c>
      <c r="H172" s="6" t="s">
        <v>1547</v>
      </c>
      <c r="I172" s="33">
        <v>0</v>
      </c>
      <c r="J172" s="88">
        <v>0</v>
      </c>
      <c r="K172" s="89">
        <f t="shared" si="30"/>
        <v>0</v>
      </c>
      <c r="L172" s="88">
        <f>IF(K174&gt;0, K172/K174, 0)</f>
        <v>0</v>
      </c>
      <c r="M172" s="58"/>
      <c r="N172" s="9">
        <f>ROUND(M174*L172,0)</f>
        <v>0</v>
      </c>
      <c r="O172" s="9">
        <v>0</v>
      </c>
      <c r="P172" s="9">
        <f>N172-O172</f>
        <v>0</v>
      </c>
      <c r="Q172" s="40">
        <f t="shared" si="29"/>
        <v>0</v>
      </c>
      <c r="R172" s="9">
        <v>0</v>
      </c>
      <c r="S172" s="9">
        <f t="shared" si="27"/>
        <v>0</v>
      </c>
      <c r="T172" s="90">
        <f t="shared" si="22"/>
        <v>33</v>
      </c>
      <c r="U172" s="90">
        <f t="shared" si="23"/>
        <v>998</v>
      </c>
      <c r="V172" s="373">
        <f t="shared" si="24"/>
        <v>163</v>
      </c>
      <c r="W172" s="90">
        <f t="shared" si="25"/>
        <v>0</v>
      </c>
      <c r="X172" s="90">
        <f t="shared" si="26"/>
        <v>0</v>
      </c>
      <c r="Y172" s="141">
        <f t="shared" si="28"/>
        <v>163</v>
      </c>
      <c r="Z172" s="298">
        <v>33</v>
      </c>
      <c r="AA172" s="299">
        <v>998</v>
      </c>
      <c r="AB172" s="299">
        <v>163</v>
      </c>
      <c r="AC172" s="301">
        <v>0</v>
      </c>
      <c r="AD172" s="301">
        <v>0</v>
      </c>
      <c r="AE172" s="126"/>
      <c r="AF172" s="298"/>
      <c r="AG172" s="299"/>
      <c r="AH172" s="299"/>
      <c r="AI172" s="301"/>
      <c r="AJ172" s="301"/>
      <c r="AK172" s="426"/>
      <c r="AL172" s="298"/>
      <c r="AM172" s="299"/>
      <c r="AN172" s="299"/>
      <c r="AO172" s="301"/>
      <c r="AP172" s="301"/>
      <c r="AQ172" s="426"/>
      <c r="AR172" s="298"/>
      <c r="AS172" s="299"/>
      <c r="AT172" s="299"/>
      <c r="AU172" s="301"/>
      <c r="AV172" s="301"/>
      <c r="AW172" s="88"/>
      <c r="AX172" s="298"/>
      <c r="AY172" s="299"/>
      <c r="AZ172" s="299"/>
      <c r="BA172" s="301"/>
      <c r="BB172" s="301"/>
      <c r="BC172" s="426"/>
      <c r="BD172" s="298"/>
      <c r="BE172" s="299"/>
      <c r="BF172" s="299"/>
      <c r="BG172" s="301"/>
      <c r="BH172" s="301"/>
      <c r="BI172" s="88"/>
      <c r="BJ172" s="298"/>
      <c r="BK172" s="299"/>
      <c r="BL172" s="299"/>
      <c r="BM172" s="301"/>
      <c r="BN172" s="301"/>
      <c r="BO172" s="88"/>
      <c r="BP172" s="9"/>
      <c r="BS172" s="81"/>
      <c r="BT172" s="81"/>
      <c r="BV172" s="9"/>
      <c r="BY172" s="81"/>
      <c r="BZ172" s="81"/>
      <c r="CB172" s="9"/>
      <c r="CE172" s="81"/>
      <c r="CF172" s="81"/>
      <c r="CH172" s="9"/>
      <c r="CK172" s="81"/>
      <c r="CL172" s="81"/>
      <c r="CR172" s="9"/>
      <c r="CS172" s="9"/>
      <c r="CT172" s="9"/>
      <c r="CU172" s="9"/>
      <c r="CV172" s="9"/>
      <c r="CW172" s="129"/>
      <c r="CX172" s="9"/>
    </row>
    <row r="173" spans="1:102">
      <c r="A173" s="6" t="str">
        <f t="shared" si="21"/>
        <v>00330998</v>
      </c>
      <c r="B173" s="6" t="s">
        <v>1683</v>
      </c>
      <c r="C173" s="6" t="s">
        <v>2091</v>
      </c>
      <c r="D173" s="6">
        <v>164</v>
      </c>
      <c r="E173" s="6">
        <v>33</v>
      </c>
      <c r="F173" s="6" t="s">
        <v>1547</v>
      </c>
      <c r="G173" s="6">
        <v>998</v>
      </c>
      <c r="H173" s="6" t="s">
        <v>1547</v>
      </c>
      <c r="I173" s="33">
        <v>0</v>
      </c>
      <c r="J173" s="88">
        <v>0</v>
      </c>
      <c r="K173" s="89">
        <f t="shared" si="30"/>
        <v>0</v>
      </c>
      <c r="L173" s="88">
        <f>IF(K174&gt;0, K173/K174, 0)</f>
        <v>0</v>
      </c>
      <c r="M173" s="58"/>
      <c r="N173" s="9">
        <f>ROUND(M174*L173,0)</f>
        <v>0</v>
      </c>
      <c r="O173" s="9">
        <v>0</v>
      </c>
      <c r="P173" s="9">
        <f>N173-O173</f>
        <v>0</v>
      </c>
      <c r="Q173" s="40">
        <f t="shared" si="29"/>
        <v>0</v>
      </c>
      <c r="R173" s="9">
        <v>0</v>
      </c>
      <c r="S173" s="9">
        <f t="shared" si="27"/>
        <v>0</v>
      </c>
      <c r="T173" s="90">
        <f t="shared" si="22"/>
        <v>33</v>
      </c>
      <c r="U173" s="90">
        <f t="shared" si="23"/>
        <v>998</v>
      </c>
      <c r="V173" s="373">
        <f t="shared" si="24"/>
        <v>164</v>
      </c>
      <c r="W173" s="90">
        <f t="shared" si="25"/>
        <v>0</v>
      </c>
      <c r="X173" s="90">
        <f t="shared" si="26"/>
        <v>0</v>
      </c>
      <c r="Y173" s="141">
        <f t="shared" si="28"/>
        <v>164</v>
      </c>
      <c r="Z173" s="298">
        <v>33</v>
      </c>
      <c r="AA173" s="299">
        <v>998</v>
      </c>
      <c r="AB173" s="299">
        <v>164</v>
      </c>
      <c r="AC173" s="301">
        <v>0</v>
      </c>
      <c r="AD173" s="301">
        <v>0</v>
      </c>
      <c r="AE173" s="126"/>
      <c r="AF173" s="298"/>
      <c r="AG173" s="299"/>
      <c r="AH173" s="299"/>
      <c r="AI173" s="301"/>
      <c r="AJ173" s="301"/>
      <c r="AK173" s="426"/>
      <c r="AL173" s="298"/>
      <c r="AM173" s="299"/>
      <c r="AN173" s="299"/>
      <c r="AO173" s="301"/>
      <c r="AP173" s="301"/>
      <c r="AQ173" s="426"/>
      <c r="AR173" s="298"/>
      <c r="AS173" s="299"/>
      <c r="AT173" s="299"/>
      <c r="AU173" s="301"/>
      <c r="AV173" s="301"/>
      <c r="AW173" s="88"/>
      <c r="AX173" s="298"/>
      <c r="AY173" s="299"/>
      <c r="AZ173" s="299"/>
      <c r="BA173" s="301"/>
      <c r="BB173" s="301"/>
      <c r="BC173" s="426"/>
      <c r="BD173" s="298"/>
      <c r="BE173" s="299"/>
      <c r="BF173" s="299"/>
      <c r="BG173" s="301"/>
      <c r="BH173" s="301"/>
      <c r="BI173" s="88"/>
      <c r="BJ173" s="298"/>
      <c r="BK173" s="299"/>
      <c r="BL173" s="299"/>
      <c r="BM173" s="301"/>
      <c r="BN173" s="301"/>
      <c r="BO173" s="88"/>
      <c r="BP173" s="9"/>
      <c r="BS173" s="81"/>
      <c r="BT173" s="81"/>
      <c r="BV173" s="9"/>
      <c r="BY173" s="81"/>
      <c r="BZ173" s="81"/>
      <c r="CB173" s="9"/>
      <c r="CE173" s="81"/>
      <c r="CF173" s="81"/>
      <c r="CH173" s="9"/>
      <c r="CK173" s="81"/>
      <c r="CL173" s="81"/>
      <c r="CR173" s="9"/>
      <c r="CS173" s="9"/>
      <c r="CT173" s="9"/>
      <c r="CU173" s="9"/>
      <c r="CV173" s="9"/>
      <c r="CW173" s="129"/>
      <c r="CX173" s="9"/>
    </row>
    <row r="174" spans="1:102">
      <c r="A174" s="6" t="str">
        <f t="shared" si="21"/>
        <v>00330999</v>
      </c>
      <c r="B174" s="6" t="s">
        <v>1683</v>
      </c>
      <c r="C174" s="6" t="s">
        <v>2092</v>
      </c>
      <c r="D174" s="6">
        <v>165</v>
      </c>
      <c r="E174" s="10">
        <v>33</v>
      </c>
      <c r="F174" s="10" t="s">
        <v>1152</v>
      </c>
      <c r="G174" s="10">
        <v>999</v>
      </c>
      <c r="H174" s="10" t="s">
        <v>593</v>
      </c>
      <c r="I174" s="92">
        <v>1501096.7771821262</v>
      </c>
      <c r="J174" s="472">
        <v>1</v>
      </c>
      <c r="K174" s="53">
        <f>SUM(K170:K173)</f>
        <v>1711169.7312802558</v>
      </c>
      <c r="L174" s="91">
        <f>SUM(L170:L173)</f>
        <v>1</v>
      </c>
      <c r="M174" s="79">
        <f>VLOOKUP(E174,town351,24)</f>
        <v>1181217</v>
      </c>
      <c r="N174" s="79">
        <f>SUM(N170:N173)</f>
        <v>1181217</v>
      </c>
      <c r="O174" s="79">
        <v>1142266</v>
      </c>
      <c r="P174" s="79">
        <f>SUM(P170:P173)</f>
        <v>38951</v>
      </c>
      <c r="Q174" s="39">
        <f t="shared" si="29"/>
        <v>3.4099763102464751</v>
      </c>
      <c r="R174" s="9">
        <v>98.309756100819996</v>
      </c>
      <c r="S174" s="9">
        <f t="shared" si="27"/>
        <v>106.38509316775</v>
      </c>
      <c r="T174" s="90">
        <f t="shared" si="22"/>
        <v>33</v>
      </c>
      <c r="U174" s="90">
        <f t="shared" si="23"/>
        <v>999</v>
      </c>
      <c r="V174" s="373">
        <f t="shared" si="24"/>
        <v>165</v>
      </c>
      <c r="W174" s="90">
        <f t="shared" si="25"/>
        <v>106.38509316775</v>
      </c>
      <c r="X174" s="90">
        <f t="shared" si="26"/>
        <v>1711169.7312802558</v>
      </c>
      <c r="Y174" s="141">
        <f t="shared" si="28"/>
        <v>165</v>
      </c>
      <c r="Z174" s="298">
        <v>33</v>
      </c>
      <c r="AA174" s="299">
        <v>999</v>
      </c>
      <c r="AB174" s="299">
        <v>165</v>
      </c>
      <c r="AC174" s="301">
        <v>106.38509316775</v>
      </c>
      <c r="AD174" s="301">
        <v>1711169.7312802558</v>
      </c>
      <c r="AE174" s="126"/>
      <c r="AF174" s="298"/>
      <c r="AG174" s="299"/>
      <c r="AH174" s="299"/>
      <c r="AI174" s="301"/>
      <c r="AJ174" s="301"/>
      <c r="AK174" s="426"/>
      <c r="AL174" s="298"/>
      <c r="AM174" s="299"/>
      <c r="AN174" s="299"/>
      <c r="AO174" s="301"/>
      <c r="AP174" s="301"/>
      <c r="AQ174" s="426"/>
      <c r="AR174" s="298"/>
      <c r="AS174" s="299"/>
      <c r="AT174" s="299"/>
      <c r="AU174" s="301"/>
      <c r="AV174" s="301"/>
      <c r="AW174" s="91"/>
      <c r="AX174" s="298"/>
      <c r="AY174" s="299"/>
      <c r="AZ174" s="299"/>
      <c r="BA174" s="301"/>
      <c r="BB174" s="301"/>
      <c r="BC174" s="426"/>
      <c r="BD174" s="298"/>
      <c r="BE174" s="299"/>
      <c r="BF174" s="299"/>
      <c r="BG174" s="301"/>
      <c r="BH174" s="301"/>
      <c r="BI174" s="91"/>
      <c r="BJ174" s="298"/>
      <c r="BK174" s="299"/>
      <c r="BL174" s="299"/>
      <c r="BM174" s="301"/>
      <c r="BN174" s="301"/>
      <c r="BO174" s="91"/>
      <c r="BP174" s="9"/>
      <c r="BS174" s="81"/>
      <c r="BT174" s="81"/>
      <c r="BV174" s="9"/>
      <c r="BY174" s="81"/>
      <c r="BZ174" s="81"/>
      <c r="CB174" s="9"/>
      <c r="CE174" s="81"/>
      <c r="CF174" s="81"/>
      <c r="CH174" s="9"/>
      <c r="CK174" s="81"/>
      <c r="CL174" s="81"/>
      <c r="CR174" s="9"/>
      <c r="CS174" s="9"/>
      <c r="CT174" s="9"/>
      <c r="CU174" s="9"/>
      <c r="CV174" s="9"/>
      <c r="CW174" s="129"/>
      <c r="CX174" s="9"/>
    </row>
    <row r="175" spans="1:102">
      <c r="A175" s="6" t="str">
        <f t="shared" si="21"/>
        <v>00340034</v>
      </c>
      <c r="B175" s="6" t="s">
        <v>1684</v>
      </c>
      <c r="C175" s="6" t="s">
        <v>1684</v>
      </c>
      <c r="D175" s="6">
        <v>166</v>
      </c>
      <c r="E175" s="6">
        <v>34</v>
      </c>
      <c r="F175" s="6" t="s">
        <v>1153</v>
      </c>
      <c r="G175" s="6">
        <v>34</v>
      </c>
      <c r="H175" s="6" t="s">
        <v>715</v>
      </c>
      <c r="I175" s="33">
        <v>0</v>
      </c>
      <c r="J175" s="88">
        <v>0</v>
      </c>
      <c r="K175" s="89">
        <f>X175</f>
        <v>0</v>
      </c>
      <c r="L175" s="88">
        <f>IF(K179&gt;0, K175/K179, 0)</f>
        <v>0</v>
      </c>
      <c r="M175" s="58"/>
      <c r="N175" s="9">
        <f>ROUND(M179*L175,0)</f>
        <v>0</v>
      </c>
      <c r="O175" s="9">
        <v>0</v>
      </c>
      <c r="P175" s="9">
        <f>N175-O175</f>
        <v>0</v>
      </c>
      <c r="Q175" s="40">
        <f t="shared" si="29"/>
        <v>0</v>
      </c>
      <c r="R175" s="9">
        <v>0</v>
      </c>
      <c r="S175" s="9">
        <f t="shared" si="27"/>
        <v>0</v>
      </c>
      <c r="T175" s="90">
        <f t="shared" si="22"/>
        <v>34</v>
      </c>
      <c r="U175" s="90">
        <f t="shared" si="23"/>
        <v>34</v>
      </c>
      <c r="V175" s="373">
        <f t="shared" si="24"/>
        <v>166</v>
      </c>
      <c r="W175" s="90">
        <f t="shared" si="25"/>
        <v>0</v>
      </c>
      <c r="X175" s="90">
        <f t="shared" si="26"/>
        <v>0</v>
      </c>
      <c r="Y175" s="141">
        <f t="shared" si="28"/>
        <v>166</v>
      </c>
      <c r="Z175" s="298">
        <v>34</v>
      </c>
      <c r="AA175" s="299">
        <v>34</v>
      </c>
      <c r="AB175" s="299">
        <v>166</v>
      </c>
      <c r="AC175" s="301">
        <v>0</v>
      </c>
      <c r="AD175" s="301">
        <v>0</v>
      </c>
      <c r="AE175" s="126"/>
      <c r="AF175" s="298"/>
      <c r="AG175" s="299"/>
      <c r="AH175" s="299"/>
      <c r="AI175" s="301"/>
      <c r="AJ175" s="301"/>
      <c r="AK175" s="426"/>
      <c r="AL175" s="298"/>
      <c r="AM175" s="299"/>
      <c r="AN175" s="299"/>
      <c r="AO175" s="301"/>
      <c r="AP175" s="301"/>
      <c r="AQ175" s="426"/>
      <c r="AR175" s="298"/>
      <c r="AS175" s="299"/>
      <c r="AT175" s="299"/>
      <c r="AU175" s="301"/>
      <c r="AV175" s="301"/>
      <c r="AW175" s="88"/>
      <c r="AX175" s="298"/>
      <c r="AY175" s="299"/>
      <c r="AZ175" s="299"/>
      <c r="BA175" s="301"/>
      <c r="BB175" s="301"/>
      <c r="BC175" s="426"/>
      <c r="BD175" s="298"/>
      <c r="BE175" s="299"/>
      <c r="BF175" s="299"/>
      <c r="BG175" s="301"/>
      <c r="BH175" s="301"/>
      <c r="BI175" s="88"/>
      <c r="BJ175" s="298"/>
      <c r="BK175" s="299"/>
      <c r="BL175" s="299"/>
      <c r="BM175" s="301"/>
      <c r="BN175" s="301"/>
      <c r="BO175" s="88"/>
      <c r="BP175" s="9"/>
      <c r="BS175" s="81"/>
      <c r="BT175" s="81"/>
      <c r="BV175" s="9"/>
      <c r="BY175" s="81"/>
      <c r="BZ175" s="81"/>
      <c r="CB175" s="9"/>
      <c r="CE175" s="81"/>
      <c r="CF175" s="81"/>
      <c r="CH175" s="9"/>
      <c r="CK175" s="81"/>
      <c r="CL175" s="81"/>
      <c r="CR175" s="9"/>
      <c r="CS175" s="9"/>
      <c r="CT175" s="9"/>
      <c r="CU175" s="9"/>
      <c r="CV175" s="9"/>
      <c r="CW175" s="129"/>
      <c r="CX175" s="9"/>
    </row>
    <row r="176" spans="1:102">
      <c r="A176" s="6" t="str">
        <f t="shared" si="21"/>
        <v>00340725</v>
      </c>
      <c r="B176" s="6" t="s">
        <v>1684</v>
      </c>
      <c r="C176" s="6" t="s">
        <v>2042</v>
      </c>
      <c r="D176" s="6">
        <v>167</v>
      </c>
      <c r="E176" s="6">
        <v>34</v>
      </c>
      <c r="F176" s="6" t="s">
        <v>1153</v>
      </c>
      <c r="G176" s="6">
        <v>725</v>
      </c>
      <c r="H176" s="6" t="s">
        <v>1072</v>
      </c>
      <c r="I176" s="33">
        <v>12637109.936949397</v>
      </c>
      <c r="J176" s="88">
        <v>0.94833164434859141</v>
      </c>
      <c r="K176" s="89">
        <f t="shared" si="30"/>
        <v>12919235.342545351</v>
      </c>
      <c r="L176" s="88">
        <f>IF(K179&gt;0, K176/K179, 0)</f>
        <v>0.94500568700589616</v>
      </c>
      <c r="M176" s="58"/>
      <c r="N176" s="9">
        <f>ROUND(M179*L176,0)</f>
        <v>10432433</v>
      </c>
      <c r="O176" s="9">
        <v>10037536</v>
      </c>
      <c r="P176" s="9">
        <f>N176-O176</f>
        <v>394897</v>
      </c>
      <c r="Q176" s="40">
        <f t="shared" si="29"/>
        <v>3.9342025772061988</v>
      </c>
      <c r="R176" s="9">
        <v>1010.6155315213099</v>
      </c>
      <c r="S176" s="9">
        <f t="shared" si="27"/>
        <v>1006.2881844373801</v>
      </c>
      <c r="T176" s="90">
        <f t="shared" si="22"/>
        <v>34</v>
      </c>
      <c r="U176" s="90">
        <f t="shared" si="23"/>
        <v>725</v>
      </c>
      <c r="V176" s="373">
        <f t="shared" si="24"/>
        <v>167</v>
      </c>
      <c r="W176" s="90">
        <f t="shared" si="25"/>
        <v>1006.2881844373801</v>
      </c>
      <c r="X176" s="90">
        <f t="shared" si="26"/>
        <v>12919235.342545351</v>
      </c>
      <c r="Y176" s="141">
        <f t="shared" si="28"/>
        <v>167</v>
      </c>
      <c r="Z176" s="298">
        <v>34</v>
      </c>
      <c r="AA176" s="299">
        <v>725</v>
      </c>
      <c r="AB176" s="299">
        <v>167</v>
      </c>
      <c r="AC176" s="301">
        <v>1006.2881844373801</v>
      </c>
      <c r="AD176" s="301">
        <v>12919235.342545351</v>
      </c>
      <c r="AE176" s="126"/>
      <c r="AF176" s="298"/>
      <c r="AG176" s="299"/>
      <c r="AH176" s="299"/>
      <c r="AI176" s="301"/>
      <c r="AJ176" s="301"/>
      <c r="AK176" s="426"/>
      <c r="AL176" s="298"/>
      <c r="AM176" s="299"/>
      <c r="AN176" s="299"/>
      <c r="AO176" s="301"/>
      <c r="AP176" s="301"/>
      <c r="AQ176" s="426"/>
      <c r="AR176" s="298"/>
      <c r="AS176" s="299"/>
      <c r="AT176" s="299"/>
      <c r="AU176" s="301"/>
      <c r="AV176" s="301"/>
      <c r="AW176" s="88"/>
      <c r="AX176" s="298"/>
      <c r="AY176" s="299"/>
      <c r="AZ176" s="299"/>
      <c r="BA176" s="301"/>
      <c r="BB176" s="301"/>
      <c r="BC176" s="426"/>
      <c r="BD176" s="298"/>
      <c r="BE176" s="299"/>
      <c r="BF176" s="299"/>
      <c r="BG176" s="301"/>
      <c r="BH176" s="301"/>
      <c r="BI176" s="88"/>
      <c r="BJ176" s="298"/>
      <c r="BK176" s="299"/>
      <c r="BL176" s="299"/>
      <c r="BM176" s="301"/>
      <c r="BN176" s="301"/>
      <c r="BO176" s="88"/>
      <c r="BP176" s="9"/>
      <c r="BS176" s="81"/>
      <c r="BT176" s="81"/>
      <c r="BV176" s="9"/>
      <c r="BY176" s="81"/>
      <c r="BZ176" s="81"/>
      <c r="CB176" s="9"/>
      <c r="CE176" s="81"/>
      <c r="CF176" s="81"/>
      <c r="CH176" s="9"/>
      <c r="CK176" s="81"/>
      <c r="CL176" s="81"/>
      <c r="CR176" s="9"/>
      <c r="CS176" s="9"/>
      <c r="CT176" s="9"/>
      <c r="CU176" s="9"/>
      <c r="CV176" s="9"/>
      <c r="CW176" s="129"/>
      <c r="CX176" s="9"/>
    </row>
    <row r="177" spans="1:102">
      <c r="A177" s="6" t="str">
        <f t="shared" si="21"/>
        <v>00340830</v>
      </c>
      <c r="B177" s="6" t="s">
        <v>1684</v>
      </c>
      <c r="C177" s="6" t="s">
        <v>2074</v>
      </c>
      <c r="D177" s="6">
        <v>168</v>
      </c>
      <c r="E177" s="6">
        <v>34</v>
      </c>
      <c r="F177" s="6" t="s">
        <v>1153</v>
      </c>
      <c r="G177" s="6">
        <v>830</v>
      </c>
      <c r="H177" s="6" t="s">
        <v>1104</v>
      </c>
      <c r="I177" s="33">
        <v>688513.02655491768</v>
      </c>
      <c r="J177" s="88">
        <v>5.1668355651408551E-2</v>
      </c>
      <c r="K177" s="89">
        <f t="shared" si="30"/>
        <v>751830.89566739765</v>
      </c>
      <c r="L177" s="88">
        <f>IF(K179&gt;0, K177/K179, 0)</f>
        <v>5.4994312994103837E-2</v>
      </c>
      <c r="M177" s="58"/>
      <c r="N177" s="9">
        <f>ROUND(M179*L177,0)</f>
        <v>607112</v>
      </c>
      <c r="O177" s="9">
        <v>546879</v>
      </c>
      <c r="P177" s="9">
        <f>N177-O177</f>
        <v>60233</v>
      </c>
      <c r="Q177" s="40">
        <f t="shared" si="29"/>
        <v>11.013953726509886</v>
      </c>
      <c r="R177" s="9">
        <v>32.999999998500002</v>
      </c>
      <c r="S177" s="9">
        <f t="shared" si="27"/>
        <v>36.00000000024</v>
      </c>
      <c r="T177" s="90">
        <f t="shared" si="22"/>
        <v>34</v>
      </c>
      <c r="U177" s="90">
        <f t="shared" si="23"/>
        <v>830</v>
      </c>
      <c r="V177" s="373">
        <f t="shared" si="24"/>
        <v>168</v>
      </c>
      <c r="W177" s="90">
        <f t="shared" si="25"/>
        <v>36.00000000024</v>
      </c>
      <c r="X177" s="90">
        <f t="shared" si="26"/>
        <v>751830.89566739765</v>
      </c>
      <c r="Y177" s="141">
        <f t="shared" si="28"/>
        <v>168</v>
      </c>
      <c r="Z177" s="298">
        <v>34</v>
      </c>
      <c r="AA177" s="299">
        <v>830</v>
      </c>
      <c r="AB177" s="299">
        <v>168</v>
      </c>
      <c r="AC177" s="301">
        <v>36.00000000024</v>
      </c>
      <c r="AD177" s="301">
        <v>751830.89566739765</v>
      </c>
      <c r="AE177" s="126"/>
      <c r="AF177" s="298"/>
      <c r="AG177" s="299"/>
      <c r="AH177" s="299"/>
      <c r="AI177" s="301"/>
      <c r="AJ177" s="301"/>
      <c r="AK177" s="426"/>
      <c r="AL177" s="298"/>
      <c r="AM177" s="299"/>
      <c r="AN177" s="299"/>
      <c r="AO177" s="301"/>
      <c r="AP177" s="301"/>
      <c r="AQ177" s="426"/>
      <c r="AR177" s="298"/>
      <c r="AS177" s="299"/>
      <c r="AT177" s="299"/>
      <c r="AU177" s="301"/>
      <c r="AV177" s="301"/>
      <c r="AW177" s="88"/>
      <c r="AX177" s="298"/>
      <c r="AY177" s="299"/>
      <c r="AZ177" s="299"/>
      <c r="BA177" s="301"/>
      <c r="BB177" s="301"/>
      <c r="BC177" s="426"/>
      <c r="BD177" s="298"/>
      <c r="BE177" s="299"/>
      <c r="BF177" s="299"/>
      <c r="BG177" s="301"/>
      <c r="BH177" s="301"/>
      <c r="BI177" s="88"/>
      <c r="BJ177" s="298"/>
      <c r="BK177" s="299"/>
      <c r="BL177" s="299"/>
      <c r="BM177" s="301"/>
      <c r="BN177" s="301"/>
      <c r="BO177" s="88"/>
      <c r="BP177" s="9"/>
      <c r="BS177" s="81"/>
      <c r="BT177" s="81"/>
      <c r="BV177" s="9"/>
      <c r="BY177" s="81"/>
      <c r="BZ177" s="81"/>
      <c r="CB177" s="9"/>
      <c r="CE177" s="81"/>
      <c r="CF177" s="81"/>
      <c r="CH177" s="9"/>
      <c r="CK177" s="81"/>
      <c r="CL177" s="81"/>
      <c r="CR177" s="9"/>
      <c r="CS177" s="9"/>
      <c r="CT177" s="9"/>
      <c r="CU177" s="9"/>
      <c r="CV177" s="9"/>
      <c r="CW177" s="129"/>
      <c r="CX177" s="9"/>
    </row>
    <row r="178" spans="1:102">
      <c r="A178" s="6" t="str">
        <f t="shared" si="21"/>
        <v>00340998</v>
      </c>
      <c r="B178" s="6" t="s">
        <v>1684</v>
      </c>
      <c r="C178" s="6" t="s">
        <v>2091</v>
      </c>
      <c r="D178" s="6">
        <v>169</v>
      </c>
      <c r="E178" s="6">
        <v>34</v>
      </c>
      <c r="F178" s="6" t="s">
        <v>1547</v>
      </c>
      <c r="G178" s="6">
        <v>998</v>
      </c>
      <c r="H178" s="6" t="s">
        <v>1547</v>
      </c>
      <c r="I178" s="33">
        <v>0</v>
      </c>
      <c r="J178" s="88">
        <v>0</v>
      </c>
      <c r="K178" s="89">
        <f t="shared" si="30"/>
        <v>0</v>
      </c>
      <c r="L178" s="88">
        <f>IF(K179&gt;0, K178/K179, 0)</f>
        <v>0</v>
      </c>
      <c r="M178" s="58"/>
      <c r="N178" s="9">
        <f>ROUND(M179*L178,0)</f>
        <v>0</v>
      </c>
      <c r="O178" s="9">
        <v>0</v>
      </c>
      <c r="P178" s="9">
        <f>N178-O178</f>
        <v>0</v>
      </c>
      <c r="Q178" s="40">
        <f t="shared" si="29"/>
        <v>0</v>
      </c>
      <c r="R178" s="9">
        <v>0</v>
      </c>
      <c r="S178" s="9">
        <f t="shared" si="27"/>
        <v>0</v>
      </c>
      <c r="T178" s="90">
        <f t="shared" si="22"/>
        <v>34</v>
      </c>
      <c r="U178" s="90">
        <f t="shared" si="23"/>
        <v>998</v>
      </c>
      <c r="V178" s="373">
        <f t="shared" si="24"/>
        <v>169</v>
      </c>
      <c r="W178" s="90">
        <f t="shared" si="25"/>
        <v>0</v>
      </c>
      <c r="X178" s="90">
        <f t="shared" si="26"/>
        <v>0</v>
      </c>
      <c r="Y178" s="141">
        <f t="shared" si="28"/>
        <v>169</v>
      </c>
      <c r="Z178" s="298">
        <v>34</v>
      </c>
      <c r="AA178" s="299">
        <v>998</v>
      </c>
      <c r="AB178" s="299">
        <v>169</v>
      </c>
      <c r="AC178" s="301">
        <v>0</v>
      </c>
      <c r="AD178" s="301">
        <v>0</v>
      </c>
      <c r="AE178" s="126"/>
      <c r="AF178" s="298"/>
      <c r="AG178" s="299"/>
      <c r="AH178" s="299"/>
      <c r="AI178" s="301"/>
      <c r="AJ178" s="301"/>
      <c r="AK178" s="426"/>
      <c r="AL178" s="298"/>
      <c r="AM178" s="299"/>
      <c r="AN178" s="299"/>
      <c r="AO178" s="301"/>
      <c r="AP178" s="301"/>
      <c r="AQ178" s="426"/>
      <c r="AR178" s="298"/>
      <c r="AS178" s="299"/>
      <c r="AT178" s="299"/>
      <c r="AU178" s="301"/>
      <c r="AV178" s="301"/>
      <c r="AW178" s="88"/>
      <c r="AX178" s="298"/>
      <c r="AY178" s="299"/>
      <c r="AZ178" s="299"/>
      <c r="BA178" s="301"/>
      <c r="BB178" s="301"/>
      <c r="BC178" s="426"/>
      <c r="BD178" s="298"/>
      <c r="BE178" s="299"/>
      <c r="BF178" s="299"/>
      <c r="BG178" s="301"/>
      <c r="BH178" s="301"/>
      <c r="BI178" s="88"/>
      <c r="BJ178" s="298"/>
      <c r="BK178" s="299"/>
      <c r="BL178" s="299"/>
      <c r="BM178" s="301"/>
      <c r="BN178" s="301"/>
      <c r="BO178" s="88"/>
      <c r="BP178" s="9"/>
      <c r="BS178" s="81"/>
      <c r="BT178" s="81"/>
      <c r="BV178" s="9"/>
      <c r="BY178" s="81"/>
      <c r="BZ178" s="81"/>
      <c r="CB178" s="9"/>
      <c r="CE178" s="81"/>
      <c r="CF178" s="81"/>
      <c r="CH178" s="9"/>
      <c r="CK178" s="81"/>
      <c r="CL178" s="81"/>
      <c r="CR178" s="9"/>
      <c r="CS178" s="9"/>
      <c r="CT178" s="9"/>
      <c r="CU178" s="9"/>
      <c r="CV178" s="9"/>
      <c r="CW178" s="129"/>
      <c r="CX178" s="9"/>
    </row>
    <row r="179" spans="1:102">
      <c r="A179" s="6" t="str">
        <f t="shared" si="21"/>
        <v>00340999</v>
      </c>
      <c r="B179" s="6" t="s">
        <v>1684</v>
      </c>
      <c r="C179" s="6" t="s">
        <v>2092</v>
      </c>
      <c r="D179" s="6">
        <v>170</v>
      </c>
      <c r="E179" s="10">
        <v>34</v>
      </c>
      <c r="F179" s="10" t="s">
        <v>1153</v>
      </c>
      <c r="G179" s="10">
        <v>999</v>
      </c>
      <c r="H179" s="10" t="s">
        <v>593</v>
      </c>
      <c r="I179" s="92">
        <v>13325622.963504314</v>
      </c>
      <c r="J179" s="472">
        <v>1</v>
      </c>
      <c r="K179" s="53">
        <f>SUM(K175:K178)</f>
        <v>13671066.238212749</v>
      </c>
      <c r="L179" s="91">
        <f>SUM(L175:L178)</f>
        <v>1</v>
      </c>
      <c r="M179" s="79">
        <f>VLOOKUP(E179,town351,24)</f>
        <v>11039545</v>
      </c>
      <c r="N179" s="79">
        <f>SUM(N175:N178)</f>
        <v>11039545</v>
      </c>
      <c r="O179" s="79">
        <v>10584415</v>
      </c>
      <c r="P179" s="79">
        <f>SUM(P175:P178)</f>
        <v>455130</v>
      </c>
      <c r="Q179" s="39">
        <f t="shared" si="29"/>
        <v>4.3000014644172584</v>
      </c>
      <c r="R179" s="9">
        <v>1043.6155315198098</v>
      </c>
      <c r="S179" s="9">
        <f t="shared" si="27"/>
        <v>1042.2881844376202</v>
      </c>
      <c r="T179" s="90">
        <f t="shared" si="22"/>
        <v>34</v>
      </c>
      <c r="U179" s="90">
        <f t="shared" si="23"/>
        <v>999</v>
      </c>
      <c r="V179" s="373">
        <f t="shared" si="24"/>
        <v>170</v>
      </c>
      <c r="W179" s="90">
        <f t="shared" si="25"/>
        <v>1042.2881844376202</v>
      </c>
      <c r="X179" s="90">
        <f t="shared" si="26"/>
        <v>13671066.238212749</v>
      </c>
      <c r="Y179" s="141">
        <f t="shared" si="28"/>
        <v>170</v>
      </c>
      <c r="Z179" s="298">
        <v>34</v>
      </c>
      <c r="AA179" s="299">
        <v>999</v>
      </c>
      <c r="AB179" s="299">
        <v>170</v>
      </c>
      <c r="AC179" s="301">
        <v>1042.2881844376202</v>
      </c>
      <c r="AD179" s="301">
        <v>13671066.238212749</v>
      </c>
      <c r="AE179" s="126"/>
      <c r="AF179" s="298"/>
      <c r="AG179" s="299"/>
      <c r="AH179" s="299"/>
      <c r="AI179" s="301"/>
      <c r="AJ179" s="301"/>
      <c r="AK179" s="426"/>
      <c r="AL179" s="298"/>
      <c r="AM179" s="299"/>
      <c r="AN179" s="299"/>
      <c r="AO179" s="301"/>
      <c r="AP179" s="301"/>
      <c r="AQ179" s="426"/>
      <c r="AR179" s="298"/>
      <c r="AS179" s="299"/>
      <c r="AT179" s="299"/>
      <c r="AU179" s="301"/>
      <c r="AV179" s="301"/>
      <c r="AW179" s="91"/>
      <c r="AX179" s="298"/>
      <c r="AY179" s="299"/>
      <c r="AZ179" s="299"/>
      <c r="BA179" s="301"/>
      <c r="BB179" s="301"/>
      <c r="BC179" s="426"/>
      <c r="BD179" s="298"/>
      <c r="BE179" s="299"/>
      <c r="BF179" s="299"/>
      <c r="BG179" s="301"/>
      <c r="BH179" s="301"/>
      <c r="BI179" s="91"/>
      <c r="BJ179" s="298"/>
      <c r="BK179" s="299"/>
      <c r="BL179" s="299"/>
      <c r="BM179" s="301"/>
      <c r="BN179" s="301"/>
      <c r="BO179" s="91"/>
      <c r="BP179" s="9"/>
      <c r="BS179" s="81"/>
      <c r="BT179" s="81"/>
      <c r="BV179" s="9"/>
      <c r="BY179" s="81"/>
      <c r="BZ179" s="81"/>
      <c r="CB179" s="9"/>
      <c r="CE179" s="81"/>
      <c r="CF179" s="81"/>
      <c r="CH179" s="9"/>
      <c r="CK179" s="81"/>
      <c r="CL179" s="81"/>
      <c r="CR179" s="9"/>
      <c r="CS179" s="9"/>
      <c r="CT179" s="9"/>
      <c r="CU179" s="9"/>
      <c r="CV179" s="9"/>
      <c r="CW179" s="129"/>
      <c r="CX179" s="9"/>
    </row>
    <row r="180" spans="1:102">
      <c r="A180" s="6" t="str">
        <f t="shared" si="21"/>
        <v>00350035</v>
      </c>
      <c r="B180" s="6" t="s">
        <v>1685</v>
      </c>
      <c r="C180" s="6" t="s">
        <v>1685</v>
      </c>
      <c r="D180" s="6">
        <v>171</v>
      </c>
      <c r="E180" s="6">
        <v>35</v>
      </c>
      <c r="F180" s="6" t="s">
        <v>1154</v>
      </c>
      <c r="G180" s="6">
        <v>35</v>
      </c>
      <c r="H180" s="6" t="s">
        <v>716</v>
      </c>
      <c r="I180" s="33">
        <v>1095713386.0691998</v>
      </c>
      <c r="J180" s="88">
        <v>1</v>
      </c>
      <c r="K180" s="89">
        <f>X180</f>
        <v>1145949554.1332099</v>
      </c>
      <c r="L180" s="88">
        <f>IF(K184&gt;0, K180/K184, 0)</f>
        <v>1</v>
      </c>
      <c r="M180" s="58"/>
      <c r="N180" s="9">
        <f>ROUND(M184*L180,0)</f>
        <v>945408382</v>
      </c>
      <c r="O180" s="9">
        <v>880485066</v>
      </c>
      <c r="P180" s="9">
        <f>N180-O180</f>
        <v>64923316</v>
      </c>
      <c r="Q180" s="40">
        <f t="shared" si="29"/>
        <v>7.3735851415337921</v>
      </c>
      <c r="R180" s="9">
        <v>57738</v>
      </c>
      <c r="S180" s="9">
        <f t="shared" si="27"/>
        <v>57369</v>
      </c>
      <c r="T180" s="90">
        <f t="shared" si="22"/>
        <v>35</v>
      </c>
      <c r="U180" s="90">
        <f t="shared" si="23"/>
        <v>35</v>
      </c>
      <c r="V180" s="373">
        <f t="shared" si="24"/>
        <v>171</v>
      </c>
      <c r="W180" s="90">
        <f t="shared" si="25"/>
        <v>57369</v>
      </c>
      <c r="X180" s="90">
        <f t="shared" si="26"/>
        <v>1145949554.1332099</v>
      </c>
      <c r="Y180" s="141">
        <f t="shared" si="28"/>
        <v>171</v>
      </c>
      <c r="Z180" s="298">
        <v>35</v>
      </c>
      <c r="AA180" s="299">
        <v>35</v>
      </c>
      <c r="AB180" s="299">
        <v>171</v>
      </c>
      <c r="AC180" s="301">
        <v>57369</v>
      </c>
      <c r="AD180" s="301">
        <v>1145949554.1332099</v>
      </c>
      <c r="AE180" s="126"/>
      <c r="AF180" s="298"/>
      <c r="AG180" s="299"/>
      <c r="AH180" s="299"/>
      <c r="AI180" s="301"/>
      <c r="AJ180" s="301"/>
      <c r="AK180" s="426"/>
      <c r="AL180" s="298"/>
      <c r="AM180" s="299"/>
      <c r="AN180" s="299"/>
      <c r="AO180" s="301"/>
      <c r="AP180" s="301"/>
      <c r="AQ180" s="426"/>
      <c r="AR180" s="298"/>
      <c r="AS180" s="299"/>
      <c r="AT180" s="299"/>
      <c r="AU180" s="301"/>
      <c r="AV180" s="301"/>
      <c r="AW180" s="88"/>
      <c r="AX180" s="298"/>
      <c r="AY180" s="299"/>
      <c r="AZ180" s="299"/>
      <c r="BA180" s="301"/>
      <c r="BB180" s="301"/>
      <c r="BC180" s="426"/>
      <c r="BD180" s="298"/>
      <c r="BE180" s="299"/>
      <c r="BF180" s="299"/>
      <c r="BG180" s="301"/>
      <c r="BH180" s="301"/>
      <c r="BI180" s="88"/>
      <c r="BJ180" s="298"/>
      <c r="BK180" s="299"/>
      <c r="BL180" s="299"/>
      <c r="BM180" s="301"/>
      <c r="BN180" s="301"/>
      <c r="BO180" s="88"/>
      <c r="BP180" s="9"/>
      <c r="BS180" s="81"/>
      <c r="BT180" s="81"/>
      <c r="BV180" s="9"/>
      <c r="BY180" s="81"/>
      <c r="BZ180" s="81"/>
      <c r="CB180" s="9"/>
      <c r="CE180" s="81"/>
      <c r="CF180" s="81"/>
      <c r="CH180" s="9"/>
      <c r="CK180" s="81"/>
      <c r="CL180" s="81"/>
      <c r="CR180" s="9"/>
      <c r="CS180" s="9"/>
      <c r="CT180" s="9"/>
      <c r="CU180" s="9"/>
      <c r="CV180" s="9"/>
      <c r="CW180" s="129"/>
      <c r="CX180" s="9"/>
    </row>
    <row r="181" spans="1:102">
      <c r="A181" s="6" t="str">
        <f t="shared" si="21"/>
        <v>00350998</v>
      </c>
      <c r="B181" s="6" t="s">
        <v>1685</v>
      </c>
      <c r="C181" s="6" t="s">
        <v>2091</v>
      </c>
      <c r="D181" s="6">
        <v>172</v>
      </c>
      <c r="E181" s="6">
        <v>35</v>
      </c>
      <c r="F181" s="6" t="s">
        <v>1547</v>
      </c>
      <c r="G181" s="6">
        <v>998</v>
      </c>
      <c r="I181" s="33">
        <v>0</v>
      </c>
      <c r="J181" s="88">
        <v>0</v>
      </c>
      <c r="K181" s="89">
        <f t="shared" si="30"/>
        <v>0</v>
      </c>
      <c r="L181" s="88">
        <f>IF(K184&gt;0, K181/K184, 0)</f>
        <v>0</v>
      </c>
      <c r="M181" s="58"/>
      <c r="N181" s="9">
        <f>ROUND(M184*L181,0)</f>
        <v>0</v>
      </c>
      <c r="O181" s="9">
        <v>0</v>
      </c>
      <c r="P181" s="9">
        <f>N181-O181</f>
        <v>0</v>
      </c>
      <c r="Q181" s="40">
        <f t="shared" si="29"/>
        <v>0</v>
      </c>
      <c r="R181" s="9">
        <v>0</v>
      </c>
      <c r="S181" s="9">
        <f t="shared" si="27"/>
        <v>0</v>
      </c>
      <c r="T181" s="90">
        <f t="shared" si="22"/>
        <v>35</v>
      </c>
      <c r="U181" s="90">
        <f t="shared" si="23"/>
        <v>998</v>
      </c>
      <c r="V181" s="373">
        <f t="shared" si="24"/>
        <v>172</v>
      </c>
      <c r="W181" s="90">
        <f t="shared" si="25"/>
        <v>0</v>
      </c>
      <c r="X181" s="90">
        <f t="shared" si="26"/>
        <v>0</v>
      </c>
      <c r="Y181" s="141">
        <f t="shared" si="28"/>
        <v>172</v>
      </c>
      <c r="Z181" s="298">
        <v>35</v>
      </c>
      <c r="AA181" s="299">
        <v>998</v>
      </c>
      <c r="AB181" s="299">
        <v>172</v>
      </c>
      <c r="AC181" s="301">
        <v>0</v>
      </c>
      <c r="AD181" s="301">
        <v>0</v>
      </c>
      <c r="AE181" s="126"/>
      <c r="AF181" s="298"/>
      <c r="AG181" s="299"/>
      <c r="AH181" s="299"/>
      <c r="AI181" s="301"/>
      <c r="AJ181" s="301"/>
      <c r="AK181" s="426"/>
      <c r="AL181" s="298"/>
      <c r="AM181" s="299"/>
      <c r="AN181" s="299"/>
      <c r="AO181" s="301"/>
      <c r="AP181" s="301"/>
      <c r="AQ181" s="426"/>
      <c r="AR181" s="298"/>
      <c r="AS181" s="299"/>
      <c r="AT181" s="299"/>
      <c r="AU181" s="301"/>
      <c r="AV181" s="301"/>
      <c r="AW181" s="88"/>
      <c r="AX181" s="298"/>
      <c r="AY181" s="299"/>
      <c r="AZ181" s="299"/>
      <c r="BA181" s="301"/>
      <c r="BB181" s="301"/>
      <c r="BC181" s="426"/>
      <c r="BD181" s="298"/>
      <c r="BE181" s="299"/>
      <c r="BF181" s="299"/>
      <c r="BG181" s="301"/>
      <c r="BH181" s="301"/>
      <c r="BI181" s="88"/>
      <c r="BJ181" s="298"/>
      <c r="BK181" s="299"/>
      <c r="BL181" s="299"/>
      <c r="BM181" s="301"/>
      <c r="BN181" s="301"/>
      <c r="BO181" s="88"/>
      <c r="BP181" s="9"/>
      <c r="BS181" s="81"/>
      <c r="BT181" s="81"/>
      <c r="BV181" s="9"/>
      <c r="BY181" s="81"/>
      <c r="BZ181" s="81"/>
      <c r="CB181" s="9"/>
      <c r="CE181" s="81"/>
      <c r="CF181" s="81"/>
      <c r="CH181" s="9"/>
      <c r="CK181" s="81"/>
      <c r="CL181" s="81"/>
      <c r="CR181" s="9"/>
      <c r="CS181" s="9"/>
      <c r="CT181" s="9"/>
      <c r="CU181" s="9"/>
      <c r="CV181" s="9"/>
      <c r="CW181" s="129"/>
      <c r="CX181" s="9"/>
    </row>
    <row r="182" spans="1:102">
      <c r="A182" s="6" t="str">
        <f t="shared" si="21"/>
        <v>00350998</v>
      </c>
      <c r="B182" s="6" t="s">
        <v>1685</v>
      </c>
      <c r="C182" s="6" t="s">
        <v>2091</v>
      </c>
      <c r="D182" s="6">
        <v>173</v>
      </c>
      <c r="E182" s="6">
        <v>35</v>
      </c>
      <c r="F182" s="6" t="s">
        <v>1547</v>
      </c>
      <c r="G182" s="6">
        <v>998</v>
      </c>
      <c r="H182" s="6" t="s">
        <v>1547</v>
      </c>
      <c r="I182" s="33">
        <v>0</v>
      </c>
      <c r="J182" s="88">
        <v>0</v>
      </c>
      <c r="K182" s="89">
        <f t="shared" si="30"/>
        <v>0</v>
      </c>
      <c r="L182" s="88">
        <f>IF(K184&gt;0, K182/K184, 0)</f>
        <v>0</v>
      </c>
      <c r="M182" s="58"/>
      <c r="N182" s="9">
        <f>ROUND(M184*L182,0)</f>
        <v>0</v>
      </c>
      <c r="O182" s="9">
        <v>0</v>
      </c>
      <c r="P182" s="9">
        <f>N182-O182</f>
        <v>0</v>
      </c>
      <c r="Q182" s="40">
        <f t="shared" si="29"/>
        <v>0</v>
      </c>
      <c r="R182" s="9">
        <v>0</v>
      </c>
      <c r="S182" s="9">
        <f t="shared" si="27"/>
        <v>0</v>
      </c>
      <c r="T182" s="90">
        <f t="shared" si="22"/>
        <v>35</v>
      </c>
      <c r="U182" s="90">
        <f t="shared" si="23"/>
        <v>998</v>
      </c>
      <c r="V182" s="373">
        <f t="shared" si="24"/>
        <v>173</v>
      </c>
      <c r="W182" s="90">
        <f t="shared" si="25"/>
        <v>0</v>
      </c>
      <c r="X182" s="90">
        <f t="shared" si="26"/>
        <v>0</v>
      </c>
      <c r="Y182" s="141">
        <f t="shared" si="28"/>
        <v>173</v>
      </c>
      <c r="Z182" s="298">
        <v>35</v>
      </c>
      <c r="AA182" s="299">
        <v>998</v>
      </c>
      <c r="AB182" s="299">
        <v>173</v>
      </c>
      <c r="AC182" s="301">
        <v>0</v>
      </c>
      <c r="AD182" s="301">
        <v>0</v>
      </c>
      <c r="AE182" s="126"/>
      <c r="AF182" s="298"/>
      <c r="AG182" s="299"/>
      <c r="AH182" s="299"/>
      <c r="AI182" s="301"/>
      <c r="AJ182" s="301"/>
      <c r="AK182" s="426"/>
      <c r="AL182" s="298"/>
      <c r="AM182" s="299"/>
      <c r="AN182" s="299"/>
      <c r="AO182" s="301"/>
      <c r="AP182" s="301"/>
      <c r="AQ182" s="426"/>
      <c r="AR182" s="298"/>
      <c r="AS182" s="299"/>
      <c r="AT182" s="299"/>
      <c r="AU182" s="301"/>
      <c r="AV182" s="301"/>
      <c r="AW182" s="88"/>
      <c r="AX182" s="298"/>
      <c r="AY182" s="299"/>
      <c r="AZ182" s="299"/>
      <c r="BA182" s="301"/>
      <c r="BB182" s="301"/>
      <c r="BC182" s="426"/>
      <c r="BD182" s="298"/>
      <c r="BE182" s="299"/>
      <c r="BF182" s="299"/>
      <c r="BG182" s="301"/>
      <c r="BH182" s="301"/>
      <c r="BI182" s="88"/>
      <c r="BJ182" s="298"/>
      <c r="BK182" s="299"/>
      <c r="BL182" s="299"/>
      <c r="BM182" s="301"/>
      <c r="BN182" s="301"/>
      <c r="BO182" s="88"/>
      <c r="BP182" s="9"/>
      <c r="BS182" s="81"/>
      <c r="BT182" s="81"/>
      <c r="BV182" s="9"/>
      <c r="BY182" s="81"/>
      <c r="BZ182" s="81"/>
      <c r="CB182" s="9"/>
      <c r="CE182" s="81"/>
      <c r="CF182" s="81"/>
      <c r="CH182" s="9"/>
      <c r="CK182" s="81"/>
      <c r="CL182" s="81"/>
      <c r="CR182" s="9"/>
      <c r="CS182" s="9"/>
      <c r="CT182" s="9"/>
      <c r="CU182" s="9"/>
      <c r="CV182" s="9"/>
      <c r="CW182" s="129"/>
      <c r="CX182" s="9"/>
    </row>
    <row r="183" spans="1:102">
      <c r="A183" s="6" t="str">
        <f t="shared" si="21"/>
        <v>00350998</v>
      </c>
      <c r="B183" s="6" t="s">
        <v>1685</v>
      </c>
      <c r="C183" s="6" t="s">
        <v>2091</v>
      </c>
      <c r="D183" s="6">
        <v>174</v>
      </c>
      <c r="E183" s="6">
        <v>35</v>
      </c>
      <c r="F183" s="6" t="s">
        <v>1547</v>
      </c>
      <c r="G183" s="6">
        <v>998</v>
      </c>
      <c r="H183" s="6" t="s">
        <v>1547</v>
      </c>
      <c r="I183" s="33">
        <v>0</v>
      </c>
      <c r="J183" s="88">
        <v>0</v>
      </c>
      <c r="K183" s="89">
        <f t="shared" si="30"/>
        <v>0</v>
      </c>
      <c r="L183" s="88">
        <f>IF(K184&gt;0, K183/K184, 0)</f>
        <v>0</v>
      </c>
      <c r="M183" s="58"/>
      <c r="N183" s="9">
        <f>ROUND(M184*L183,0)</f>
        <v>0</v>
      </c>
      <c r="O183" s="9">
        <v>0</v>
      </c>
      <c r="P183" s="9">
        <f>N183-O183</f>
        <v>0</v>
      </c>
      <c r="Q183" s="40">
        <f t="shared" si="29"/>
        <v>0</v>
      </c>
      <c r="R183" s="9">
        <v>0</v>
      </c>
      <c r="S183" s="9">
        <f t="shared" si="27"/>
        <v>0</v>
      </c>
      <c r="T183" s="90">
        <f t="shared" si="22"/>
        <v>35</v>
      </c>
      <c r="U183" s="90">
        <f t="shared" si="23"/>
        <v>998</v>
      </c>
      <c r="V183" s="373">
        <f t="shared" si="24"/>
        <v>174</v>
      </c>
      <c r="W183" s="90">
        <f t="shared" si="25"/>
        <v>0</v>
      </c>
      <c r="X183" s="90">
        <f t="shared" si="26"/>
        <v>0</v>
      </c>
      <c r="Y183" s="141">
        <f t="shared" si="28"/>
        <v>174</v>
      </c>
      <c r="Z183" s="298">
        <v>35</v>
      </c>
      <c r="AA183" s="299">
        <v>998</v>
      </c>
      <c r="AB183" s="299">
        <v>174</v>
      </c>
      <c r="AC183" s="301">
        <v>0</v>
      </c>
      <c r="AD183" s="301">
        <v>0</v>
      </c>
      <c r="AE183" s="126"/>
      <c r="AF183" s="298"/>
      <c r="AG183" s="299"/>
      <c r="AH183" s="299"/>
      <c r="AI183" s="301"/>
      <c r="AJ183" s="301"/>
      <c r="AK183" s="426"/>
      <c r="AL183" s="298"/>
      <c r="AM183" s="299"/>
      <c r="AN183" s="299"/>
      <c r="AO183" s="301"/>
      <c r="AP183" s="301"/>
      <c r="AQ183" s="426"/>
      <c r="AR183" s="298"/>
      <c r="AS183" s="299"/>
      <c r="AT183" s="299"/>
      <c r="AU183" s="301"/>
      <c r="AV183" s="301"/>
      <c r="AW183" s="88"/>
      <c r="AX183" s="298"/>
      <c r="AY183" s="299"/>
      <c r="AZ183" s="299"/>
      <c r="BA183" s="301"/>
      <c r="BB183" s="301"/>
      <c r="BC183" s="426"/>
      <c r="BD183" s="298"/>
      <c r="BE183" s="299"/>
      <c r="BF183" s="299"/>
      <c r="BG183" s="301"/>
      <c r="BH183" s="301"/>
      <c r="BI183" s="88"/>
      <c r="BJ183" s="298"/>
      <c r="BK183" s="299"/>
      <c r="BL183" s="299"/>
      <c r="BM183" s="301"/>
      <c r="BN183" s="301"/>
      <c r="BO183" s="88"/>
      <c r="BP183" s="9"/>
      <c r="BS183" s="81"/>
      <c r="BT183" s="81"/>
      <c r="BV183" s="9"/>
      <c r="BY183" s="81"/>
      <c r="BZ183" s="81"/>
      <c r="CB183" s="9"/>
      <c r="CE183" s="81"/>
      <c r="CF183" s="81"/>
      <c r="CH183" s="9"/>
      <c r="CK183" s="81"/>
      <c r="CL183" s="81"/>
      <c r="CR183" s="9"/>
      <c r="CS183" s="9"/>
      <c r="CT183" s="9"/>
      <c r="CU183" s="9"/>
      <c r="CV183" s="9"/>
      <c r="CW183" s="129"/>
      <c r="CX183" s="9"/>
    </row>
    <row r="184" spans="1:102">
      <c r="A184" s="6" t="str">
        <f t="shared" si="21"/>
        <v>00350999</v>
      </c>
      <c r="B184" s="6" t="s">
        <v>1685</v>
      </c>
      <c r="C184" s="6" t="s">
        <v>2092</v>
      </c>
      <c r="D184" s="6">
        <v>175</v>
      </c>
      <c r="E184" s="10">
        <v>35</v>
      </c>
      <c r="F184" s="10" t="s">
        <v>1154</v>
      </c>
      <c r="G184" s="10">
        <v>999</v>
      </c>
      <c r="H184" s="10" t="s">
        <v>593</v>
      </c>
      <c r="I184" s="92">
        <v>1095713386.0691998</v>
      </c>
      <c r="J184" s="472">
        <v>1</v>
      </c>
      <c r="K184" s="53">
        <f>SUM(K180:K183)</f>
        <v>1145949554.1332099</v>
      </c>
      <c r="L184" s="91">
        <f>SUM(L180:L183)</f>
        <v>1</v>
      </c>
      <c r="M184" s="79">
        <f>VLOOKUP(E184,town351,24)</f>
        <v>945408382</v>
      </c>
      <c r="N184" s="79">
        <f>SUM(N180:N183)</f>
        <v>945408382</v>
      </c>
      <c r="O184" s="79">
        <v>880485066</v>
      </c>
      <c r="P184" s="79">
        <f>SUM(P180:P183)</f>
        <v>64923316</v>
      </c>
      <c r="Q184" s="39">
        <f t="shared" si="29"/>
        <v>7.3735851415337921</v>
      </c>
      <c r="R184" s="9">
        <v>57738</v>
      </c>
      <c r="S184" s="9">
        <f t="shared" si="27"/>
        <v>57369</v>
      </c>
      <c r="T184" s="90">
        <f t="shared" si="22"/>
        <v>35</v>
      </c>
      <c r="U184" s="90">
        <f t="shared" si="23"/>
        <v>999</v>
      </c>
      <c r="V184" s="373">
        <f t="shared" si="24"/>
        <v>175</v>
      </c>
      <c r="W184" s="90">
        <f t="shared" si="25"/>
        <v>57369</v>
      </c>
      <c r="X184" s="90">
        <f t="shared" si="26"/>
        <v>1145949554.1332099</v>
      </c>
      <c r="Y184" s="141">
        <f t="shared" si="28"/>
        <v>175</v>
      </c>
      <c r="Z184" s="298">
        <v>35</v>
      </c>
      <c r="AA184" s="299">
        <v>999</v>
      </c>
      <c r="AB184" s="299">
        <v>175</v>
      </c>
      <c r="AC184" s="301">
        <v>57369</v>
      </c>
      <c r="AD184" s="301">
        <v>1145949554.1332099</v>
      </c>
      <c r="AE184" s="126"/>
      <c r="AF184" s="298"/>
      <c r="AG184" s="299"/>
      <c r="AH184" s="299"/>
      <c r="AI184" s="301"/>
      <c r="AJ184" s="301"/>
      <c r="AK184" s="426"/>
      <c r="AL184" s="298"/>
      <c r="AM184" s="299"/>
      <c r="AN184" s="299"/>
      <c r="AO184" s="301"/>
      <c r="AP184" s="301"/>
      <c r="AQ184" s="426"/>
      <c r="AR184" s="298"/>
      <c r="AS184" s="299"/>
      <c r="AT184" s="299"/>
      <c r="AU184" s="301"/>
      <c r="AV184" s="301"/>
      <c r="AW184" s="91"/>
      <c r="AX184" s="298"/>
      <c r="AY184" s="299"/>
      <c r="AZ184" s="299"/>
      <c r="BA184" s="301"/>
      <c r="BB184" s="301"/>
      <c r="BC184" s="426"/>
      <c r="BD184" s="298"/>
      <c r="BE184" s="299"/>
      <c r="BF184" s="299"/>
      <c r="BG184" s="301"/>
      <c r="BH184" s="301"/>
      <c r="BI184" s="91"/>
      <c r="BJ184" s="298"/>
      <c r="BK184" s="299"/>
      <c r="BL184" s="299"/>
      <c r="BM184" s="301"/>
      <c r="BN184" s="301"/>
      <c r="BO184" s="91"/>
      <c r="BP184" s="9"/>
      <c r="BS184" s="81"/>
      <c r="BT184" s="81"/>
      <c r="BV184" s="9"/>
      <c r="BY184" s="81"/>
      <c r="BZ184" s="81"/>
      <c r="CB184" s="9"/>
      <c r="CE184" s="81"/>
      <c r="CF184" s="81"/>
      <c r="CH184" s="9"/>
      <c r="CK184" s="81"/>
      <c r="CL184" s="81"/>
      <c r="CR184" s="9"/>
      <c r="CS184" s="9"/>
      <c r="CT184" s="9"/>
      <c r="CU184" s="9"/>
      <c r="CV184" s="9"/>
      <c r="CW184" s="129"/>
      <c r="CX184" s="9"/>
    </row>
    <row r="185" spans="1:102">
      <c r="A185" s="6" t="str">
        <f t="shared" si="21"/>
        <v>00360036</v>
      </c>
      <c r="B185" s="6" t="s">
        <v>1686</v>
      </c>
      <c r="C185" s="6" t="s">
        <v>1686</v>
      </c>
      <c r="D185" s="6">
        <v>176</v>
      </c>
      <c r="E185" s="6">
        <v>36</v>
      </c>
      <c r="F185" s="6" t="s">
        <v>1155</v>
      </c>
      <c r="G185" s="6">
        <v>36</v>
      </c>
      <c r="H185" s="6" t="s">
        <v>717</v>
      </c>
      <c r="I185" s="33">
        <v>22858350.509999994</v>
      </c>
      <c r="J185" s="88">
        <v>0.84980756347126463</v>
      </c>
      <c r="K185" s="89">
        <f>X185</f>
        <v>24109451.629999992</v>
      </c>
      <c r="L185" s="88">
        <f>IF(K189&gt;0, K185/K189, 0)</f>
        <v>0.85074445374634478</v>
      </c>
      <c r="M185" s="58"/>
      <c r="N185" s="9">
        <f>ROUND(M189*L185,0)</f>
        <v>19319804</v>
      </c>
      <c r="O185" s="9">
        <v>18409357</v>
      </c>
      <c r="P185" s="9">
        <f>N185-O185</f>
        <v>910447</v>
      </c>
      <c r="Q185" s="40">
        <f t="shared" si="29"/>
        <v>4.9455665398851245</v>
      </c>
      <c r="R185" s="9">
        <v>1678</v>
      </c>
      <c r="S185" s="9">
        <f t="shared" si="27"/>
        <v>1698</v>
      </c>
      <c r="T185" s="90">
        <f t="shared" si="22"/>
        <v>36</v>
      </c>
      <c r="U185" s="90">
        <f t="shared" si="23"/>
        <v>36</v>
      </c>
      <c r="V185" s="373">
        <f t="shared" si="24"/>
        <v>176</v>
      </c>
      <c r="W185" s="90">
        <f t="shared" si="25"/>
        <v>1698</v>
      </c>
      <c r="X185" s="90">
        <f t="shared" si="26"/>
        <v>24109451.629999992</v>
      </c>
      <c r="Y185" s="141">
        <f t="shared" si="28"/>
        <v>176</v>
      </c>
      <c r="Z185" s="298">
        <v>36</v>
      </c>
      <c r="AA185" s="299">
        <v>36</v>
      </c>
      <c r="AB185" s="299">
        <v>176</v>
      </c>
      <c r="AC185" s="301">
        <v>1698</v>
      </c>
      <c r="AD185" s="301">
        <v>24109451.629999992</v>
      </c>
      <c r="AE185" s="126"/>
      <c r="AF185" s="298"/>
      <c r="AG185" s="299"/>
      <c r="AH185" s="299"/>
      <c r="AI185" s="301"/>
      <c r="AJ185" s="301"/>
      <c r="AK185" s="426"/>
      <c r="AL185" s="298"/>
      <c r="AM185" s="299"/>
      <c r="AN185" s="299"/>
      <c r="AO185" s="301"/>
      <c r="AP185" s="301"/>
      <c r="AQ185" s="426"/>
      <c r="AR185" s="298"/>
      <c r="AS185" s="299"/>
      <c r="AT185" s="299"/>
      <c r="AU185" s="301"/>
      <c r="AV185" s="301"/>
      <c r="AW185" s="88"/>
      <c r="AX185" s="298"/>
      <c r="AY185" s="299"/>
      <c r="AZ185" s="299"/>
      <c r="BA185" s="301"/>
      <c r="BB185" s="301"/>
      <c r="BC185" s="426"/>
      <c r="BD185" s="298"/>
      <c r="BE185" s="299"/>
      <c r="BF185" s="299"/>
      <c r="BG185" s="301"/>
      <c r="BH185" s="301"/>
      <c r="BI185" s="88"/>
      <c r="BJ185" s="298"/>
      <c r="BK185" s="299"/>
      <c r="BL185" s="299"/>
      <c r="BM185" s="301"/>
      <c r="BN185" s="301"/>
      <c r="BO185" s="88"/>
      <c r="BP185" s="9"/>
      <c r="BS185" s="81"/>
      <c r="BT185" s="81"/>
      <c r="BV185" s="9"/>
      <c r="BY185" s="81"/>
      <c r="BZ185" s="81"/>
      <c r="CB185" s="9"/>
      <c r="CE185" s="81"/>
      <c r="CF185" s="81"/>
      <c r="CH185" s="9"/>
      <c r="CK185" s="81"/>
      <c r="CL185" s="81"/>
      <c r="CR185" s="9"/>
      <c r="CS185" s="9"/>
      <c r="CT185" s="9"/>
      <c r="CU185" s="9"/>
      <c r="CV185" s="9"/>
      <c r="CW185" s="129"/>
      <c r="CX185" s="9"/>
    </row>
    <row r="186" spans="1:102">
      <c r="A186" s="6" t="str">
        <f t="shared" si="21"/>
        <v>00360879</v>
      </c>
      <c r="B186" s="6" t="s">
        <v>1686</v>
      </c>
      <c r="C186" s="6" t="s">
        <v>2086</v>
      </c>
      <c r="D186" s="6">
        <v>177</v>
      </c>
      <c r="E186" s="6">
        <v>36</v>
      </c>
      <c r="F186" s="6" t="s">
        <v>1155</v>
      </c>
      <c r="G186" s="6">
        <v>879</v>
      </c>
      <c r="H186" s="6" t="s">
        <v>1116</v>
      </c>
      <c r="I186" s="33">
        <v>4039916.2183272927</v>
      </c>
      <c r="J186" s="88">
        <v>0.15019243652873546</v>
      </c>
      <c r="K186" s="89">
        <f t="shared" si="30"/>
        <v>4229788.8126869136</v>
      </c>
      <c r="L186" s="88">
        <f>IF(K189&gt;0, K186/K189, 0)</f>
        <v>0.14925554625365528</v>
      </c>
      <c r="M186" s="58"/>
      <c r="N186" s="9">
        <f>ROUND(M189*L186,0)</f>
        <v>3389488</v>
      </c>
      <c r="O186" s="9">
        <v>3253614</v>
      </c>
      <c r="P186" s="9">
        <f>N186-O186</f>
        <v>135874</v>
      </c>
      <c r="Q186" s="40">
        <f t="shared" si="29"/>
        <v>4.1760946442940066</v>
      </c>
      <c r="R186" s="9">
        <v>192.97338402680001</v>
      </c>
      <c r="S186" s="9">
        <f t="shared" si="27"/>
        <v>199.69988276792</v>
      </c>
      <c r="T186" s="90">
        <f t="shared" si="22"/>
        <v>36</v>
      </c>
      <c r="U186" s="90">
        <f t="shared" si="23"/>
        <v>879</v>
      </c>
      <c r="V186" s="373">
        <f t="shared" si="24"/>
        <v>177</v>
      </c>
      <c r="W186" s="90">
        <f t="shared" si="25"/>
        <v>199.69988276792</v>
      </c>
      <c r="X186" s="90">
        <f t="shared" si="26"/>
        <v>4229788.8126869136</v>
      </c>
      <c r="Y186" s="141">
        <f t="shared" si="28"/>
        <v>177</v>
      </c>
      <c r="Z186" s="298">
        <v>36</v>
      </c>
      <c r="AA186" s="299">
        <v>879</v>
      </c>
      <c r="AB186" s="299">
        <v>177</v>
      </c>
      <c r="AC186" s="301">
        <v>199.69988276792</v>
      </c>
      <c r="AD186" s="301">
        <v>4229788.8126869136</v>
      </c>
      <c r="AE186" s="126"/>
      <c r="AF186" s="298"/>
      <c r="AG186" s="299"/>
      <c r="AH186" s="299"/>
      <c r="AI186" s="301"/>
      <c r="AJ186" s="301"/>
      <c r="AK186" s="426"/>
      <c r="AL186" s="298"/>
      <c r="AM186" s="299"/>
      <c r="AN186" s="299"/>
      <c r="AO186" s="301"/>
      <c r="AP186" s="301"/>
      <c r="AQ186" s="426"/>
      <c r="AR186" s="298"/>
      <c r="AS186" s="299"/>
      <c r="AT186" s="299"/>
      <c r="AU186" s="301"/>
      <c r="AV186" s="301"/>
      <c r="AW186" s="88"/>
      <c r="AX186" s="298"/>
      <c r="AY186" s="299"/>
      <c r="AZ186" s="299"/>
      <c r="BA186" s="301"/>
      <c r="BB186" s="301"/>
      <c r="BC186" s="426"/>
      <c r="BD186" s="298"/>
      <c r="BE186" s="299"/>
      <c r="BF186" s="299"/>
      <c r="BG186" s="301"/>
      <c r="BH186" s="301"/>
      <c r="BI186" s="88"/>
      <c r="BJ186" s="298"/>
      <c r="BK186" s="299"/>
      <c r="BL186" s="299"/>
      <c r="BM186" s="301"/>
      <c r="BN186" s="301"/>
      <c r="BO186" s="88"/>
      <c r="BP186" s="9"/>
      <c r="BS186" s="81"/>
      <c r="BT186" s="81"/>
      <c r="BV186" s="9"/>
      <c r="BY186" s="81"/>
      <c r="BZ186" s="81"/>
      <c r="CB186" s="9"/>
      <c r="CE186" s="81"/>
      <c r="CF186" s="81"/>
      <c r="CH186" s="9"/>
      <c r="CK186" s="81"/>
      <c r="CL186" s="81"/>
      <c r="CR186" s="9"/>
      <c r="CS186" s="9"/>
      <c r="CT186" s="9"/>
      <c r="CU186" s="9"/>
      <c r="CV186" s="9"/>
      <c r="CW186" s="129"/>
      <c r="CX186" s="9"/>
    </row>
    <row r="187" spans="1:102">
      <c r="A187" s="6" t="str">
        <f t="shared" si="21"/>
        <v>00360998</v>
      </c>
      <c r="B187" s="6" t="s">
        <v>1686</v>
      </c>
      <c r="C187" s="6" t="s">
        <v>2091</v>
      </c>
      <c r="D187" s="6">
        <v>178</v>
      </c>
      <c r="E187" s="6">
        <v>36</v>
      </c>
      <c r="F187" s="6" t="s">
        <v>1547</v>
      </c>
      <c r="G187" s="6">
        <v>998</v>
      </c>
      <c r="H187" s="6" t="s">
        <v>1547</v>
      </c>
      <c r="I187" s="33">
        <v>0</v>
      </c>
      <c r="J187" s="88">
        <v>0</v>
      </c>
      <c r="K187" s="89">
        <f t="shared" si="30"/>
        <v>0</v>
      </c>
      <c r="L187" s="88">
        <f>IF(K189&gt;0, K187/K189, 0)</f>
        <v>0</v>
      </c>
      <c r="M187" s="58"/>
      <c r="N187" s="9">
        <f>ROUND(M189*L187,0)</f>
        <v>0</v>
      </c>
      <c r="O187" s="9">
        <v>0</v>
      </c>
      <c r="P187" s="9">
        <f>N187-O187</f>
        <v>0</v>
      </c>
      <c r="Q187" s="40">
        <f t="shared" si="29"/>
        <v>0</v>
      </c>
      <c r="R187" s="9">
        <v>0</v>
      </c>
      <c r="S187" s="9">
        <f t="shared" si="27"/>
        <v>0</v>
      </c>
      <c r="T187" s="90">
        <f t="shared" si="22"/>
        <v>36</v>
      </c>
      <c r="U187" s="90">
        <f t="shared" si="23"/>
        <v>998</v>
      </c>
      <c r="V187" s="373">
        <f t="shared" si="24"/>
        <v>178</v>
      </c>
      <c r="W187" s="90">
        <f t="shared" si="25"/>
        <v>0</v>
      </c>
      <c r="X187" s="90">
        <f t="shared" si="26"/>
        <v>0</v>
      </c>
      <c r="Y187" s="141">
        <f t="shared" si="28"/>
        <v>178</v>
      </c>
      <c r="Z187" s="298">
        <v>36</v>
      </c>
      <c r="AA187" s="299">
        <v>998</v>
      </c>
      <c r="AB187" s="299">
        <v>178</v>
      </c>
      <c r="AC187" s="301">
        <v>0</v>
      </c>
      <c r="AD187" s="301">
        <v>0</v>
      </c>
      <c r="AE187" s="126"/>
      <c r="AF187" s="298"/>
      <c r="AG187" s="299"/>
      <c r="AH187" s="299"/>
      <c r="AI187" s="301"/>
      <c r="AJ187" s="301"/>
      <c r="AK187" s="426"/>
      <c r="AL187" s="298"/>
      <c r="AM187" s="299"/>
      <c r="AN187" s="299"/>
      <c r="AO187" s="301"/>
      <c r="AP187" s="301"/>
      <c r="AQ187" s="426"/>
      <c r="AR187" s="298"/>
      <c r="AS187" s="299"/>
      <c r="AT187" s="299"/>
      <c r="AU187" s="301"/>
      <c r="AV187" s="301"/>
      <c r="AW187" s="88"/>
      <c r="AX187" s="298"/>
      <c r="AY187" s="299"/>
      <c r="AZ187" s="299"/>
      <c r="BA187" s="301"/>
      <c r="BB187" s="301"/>
      <c r="BC187" s="426"/>
      <c r="BD187" s="298"/>
      <c r="BE187" s="299"/>
      <c r="BF187" s="299"/>
      <c r="BG187" s="301"/>
      <c r="BH187" s="301"/>
      <c r="BI187" s="88"/>
      <c r="BJ187" s="298"/>
      <c r="BK187" s="299"/>
      <c r="BL187" s="299"/>
      <c r="BM187" s="301"/>
      <c r="BN187" s="301"/>
      <c r="BO187" s="88"/>
      <c r="BP187" s="9"/>
      <c r="BS187" s="81"/>
      <c r="BT187" s="81"/>
      <c r="BV187" s="9"/>
      <c r="BY187" s="81"/>
      <c r="BZ187" s="81"/>
      <c r="CB187" s="9"/>
      <c r="CE187" s="81"/>
      <c r="CF187" s="81"/>
      <c r="CH187" s="9"/>
      <c r="CK187" s="81"/>
      <c r="CL187" s="81"/>
      <c r="CR187" s="9"/>
      <c r="CS187" s="9"/>
      <c r="CT187" s="9"/>
      <c r="CU187" s="9"/>
      <c r="CV187" s="9"/>
      <c r="CW187" s="129"/>
      <c r="CX187" s="9"/>
    </row>
    <row r="188" spans="1:102">
      <c r="A188" s="6" t="str">
        <f t="shared" si="21"/>
        <v>00360998</v>
      </c>
      <c r="B188" s="6" t="s">
        <v>1686</v>
      </c>
      <c r="C188" s="6" t="s">
        <v>2091</v>
      </c>
      <c r="D188" s="6">
        <v>179</v>
      </c>
      <c r="E188" s="6">
        <v>36</v>
      </c>
      <c r="F188" s="6" t="s">
        <v>1547</v>
      </c>
      <c r="G188" s="6">
        <v>998</v>
      </c>
      <c r="H188" s="6" t="s">
        <v>1547</v>
      </c>
      <c r="I188" s="33">
        <v>0</v>
      </c>
      <c r="J188" s="88">
        <v>0</v>
      </c>
      <c r="K188" s="89">
        <f t="shared" si="30"/>
        <v>0</v>
      </c>
      <c r="L188" s="88">
        <f>IF(K189&gt;0, K188/K189, 0)</f>
        <v>0</v>
      </c>
      <c r="M188" s="58"/>
      <c r="N188" s="9">
        <f>ROUND(M189*L188,0)</f>
        <v>0</v>
      </c>
      <c r="O188" s="9">
        <v>0</v>
      </c>
      <c r="P188" s="9">
        <f>N188-O188</f>
        <v>0</v>
      </c>
      <c r="Q188" s="40">
        <f t="shared" si="29"/>
        <v>0</v>
      </c>
      <c r="R188" s="9">
        <v>0</v>
      </c>
      <c r="S188" s="9">
        <f t="shared" si="27"/>
        <v>0</v>
      </c>
      <c r="T188" s="90">
        <f t="shared" si="22"/>
        <v>36</v>
      </c>
      <c r="U188" s="90">
        <f t="shared" si="23"/>
        <v>998</v>
      </c>
      <c r="V188" s="373">
        <f t="shared" si="24"/>
        <v>179</v>
      </c>
      <c r="W188" s="90">
        <f t="shared" si="25"/>
        <v>0</v>
      </c>
      <c r="X188" s="90">
        <f t="shared" si="26"/>
        <v>0</v>
      </c>
      <c r="Y188" s="141">
        <f t="shared" si="28"/>
        <v>179</v>
      </c>
      <c r="Z188" s="298">
        <v>36</v>
      </c>
      <c r="AA188" s="299">
        <v>998</v>
      </c>
      <c r="AB188" s="299">
        <v>179</v>
      </c>
      <c r="AC188" s="301">
        <v>0</v>
      </c>
      <c r="AD188" s="301">
        <v>0</v>
      </c>
      <c r="AE188" s="126"/>
      <c r="AF188" s="298"/>
      <c r="AG188" s="299"/>
      <c r="AH188" s="299"/>
      <c r="AI188" s="301"/>
      <c r="AJ188" s="301"/>
      <c r="AK188" s="426"/>
      <c r="AL188" s="298"/>
      <c r="AM188" s="299"/>
      <c r="AN188" s="299"/>
      <c r="AO188" s="301"/>
      <c r="AP188" s="301"/>
      <c r="AQ188" s="426"/>
      <c r="AR188" s="298"/>
      <c r="AS188" s="299"/>
      <c r="AT188" s="299"/>
      <c r="AU188" s="301"/>
      <c r="AV188" s="301"/>
      <c r="AW188" s="88"/>
      <c r="AX188" s="298"/>
      <c r="AY188" s="299"/>
      <c r="AZ188" s="299"/>
      <c r="BA188" s="301"/>
      <c r="BB188" s="301"/>
      <c r="BC188" s="426"/>
      <c r="BD188" s="298"/>
      <c r="BE188" s="299"/>
      <c r="BF188" s="299"/>
      <c r="BG188" s="301"/>
      <c r="BH188" s="301"/>
      <c r="BI188" s="88"/>
      <c r="BJ188" s="298"/>
      <c r="BK188" s="299"/>
      <c r="BL188" s="299"/>
      <c r="BM188" s="301"/>
      <c r="BN188" s="301"/>
      <c r="BO188" s="88"/>
      <c r="BP188" s="9"/>
      <c r="BS188" s="81"/>
      <c r="BT188" s="81"/>
      <c r="BV188" s="9"/>
      <c r="BY188" s="81"/>
      <c r="BZ188" s="81"/>
      <c r="CB188" s="9"/>
      <c r="CE188" s="81"/>
      <c r="CF188" s="81"/>
      <c r="CH188" s="9"/>
      <c r="CK188" s="81"/>
      <c r="CL188" s="81"/>
      <c r="CR188" s="9"/>
      <c r="CS188" s="9"/>
      <c r="CT188" s="9"/>
      <c r="CU188" s="9"/>
      <c r="CV188" s="9"/>
      <c r="CW188" s="129"/>
      <c r="CX188" s="9"/>
    </row>
    <row r="189" spans="1:102">
      <c r="A189" s="6" t="str">
        <f t="shared" si="21"/>
        <v>00360999</v>
      </c>
      <c r="B189" s="6" t="s">
        <v>1686</v>
      </c>
      <c r="C189" s="6" t="s">
        <v>2092</v>
      </c>
      <c r="D189" s="6">
        <v>180</v>
      </c>
      <c r="E189" s="10">
        <v>36</v>
      </c>
      <c r="F189" s="10" t="s">
        <v>1155</v>
      </c>
      <c r="G189" s="10">
        <v>999</v>
      </c>
      <c r="H189" s="10" t="s">
        <v>593</v>
      </c>
      <c r="I189" s="92">
        <v>26898266.728327285</v>
      </c>
      <c r="J189" s="472">
        <v>1</v>
      </c>
      <c r="K189" s="53">
        <f>SUM(K185:K188)</f>
        <v>28339240.442686904</v>
      </c>
      <c r="L189" s="91">
        <f>SUM(L185:L188)</f>
        <v>1</v>
      </c>
      <c r="M189" s="79">
        <f>VLOOKUP(E189,town351,24)</f>
        <v>22709292</v>
      </c>
      <c r="N189" s="79">
        <f>SUM(N185:N188)</f>
        <v>22709292</v>
      </c>
      <c r="O189" s="79">
        <v>21662971</v>
      </c>
      <c r="P189" s="79">
        <f>SUM(P185:P188)</f>
        <v>1046321</v>
      </c>
      <c r="Q189" s="39">
        <f t="shared" si="29"/>
        <v>4.8299976951453241</v>
      </c>
      <c r="R189" s="9">
        <v>1870.9733840268</v>
      </c>
      <c r="S189" s="9">
        <f t="shared" si="27"/>
        <v>1897.6998827679199</v>
      </c>
      <c r="T189" s="90">
        <f t="shared" si="22"/>
        <v>36</v>
      </c>
      <c r="U189" s="90">
        <f t="shared" si="23"/>
        <v>999</v>
      </c>
      <c r="V189" s="373">
        <f t="shared" si="24"/>
        <v>180</v>
      </c>
      <c r="W189" s="90">
        <f t="shared" si="25"/>
        <v>1897.6998827679199</v>
      </c>
      <c r="X189" s="90">
        <f t="shared" si="26"/>
        <v>28339240.442686904</v>
      </c>
      <c r="Y189" s="141">
        <f t="shared" si="28"/>
        <v>180</v>
      </c>
      <c r="Z189" s="298">
        <v>36</v>
      </c>
      <c r="AA189" s="299">
        <v>999</v>
      </c>
      <c r="AB189" s="299">
        <v>180</v>
      </c>
      <c r="AC189" s="301">
        <v>1897.6998827679199</v>
      </c>
      <c r="AD189" s="301">
        <v>28339240.442686904</v>
      </c>
      <c r="AE189" s="126"/>
      <c r="AF189" s="298"/>
      <c r="AG189" s="299"/>
      <c r="AH189" s="299"/>
      <c r="AI189" s="301"/>
      <c r="AJ189" s="301"/>
      <c r="AK189" s="426"/>
      <c r="AL189" s="298"/>
      <c r="AM189" s="299"/>
      <c r="AN189" s="299"/>
      <c r="AO189" s="301"/>
      <c r="AP189" s="301"/>
      <c r="AQ189" s="426"/>
      <c r="AR189" s="298"/>
      <c r="AS189" s="299"/>
      <c r="AT189" s="299"/>
      <c r="AU189" s="301"/>
      <c r="AV189" s="301"/>
      <c r="AW189" s="91"/>
      <c r="AX189" s="298"/>
      <c r="AY189" s="299"/>
      <c r="AZ189" s="299"/>
      <c r="BA189" s="301"/>
      <c r="BB189" s="301"/>
      <c r="BC189" s="426"/>
      <c r="BD189" s="298"/>
      <c r="BE189" s="299"/>
      <c r="BF189" s="299"/>
      <c r="BG189" s="301"/>
      <c r="BH189" s="301"/>
      <c r="BI189" s="91"/>
      <c r="BJ189" s="298"/>
      <c r="BK189" s="299"/>
      <c r="BL189" s="299"/>
      <c r="BM189" s="301"/>
      <c r="BN189" s="301"/>
      <c r="BO189" s="91"/>
      <c r="BP189" s="9"/>
      <c r="BS189" s="81"/>
      <c r="BT189" s="81"/>
      <c r="BV189" s="9"/>
      <c r="BY189" s="81"/>
      <c r="BZ189" s="81"/>
      <c r="CB189" s="9"/>
      <c r="CE189" s="81"/>
      <c r="CF189" s="81"/>
      <c r="CH189" s="9"/>
      <c r="CK189" s="81"/>
      <c r="CL189" s="81"/>
      <c r="CR189" s="9"/>
      <c r="CS189" s="9"/>
      <c r="CT189" s="9"/>
      <c r="CU189" s="9"/>
      <c r="CV189" s="9"/>
      <c r="CW189" s="129"/>
      <c r="CX189" s="9"/>
    </row>
    <row r="190" spans="1:102">
      <c r="A190" s="6" t="str">
        <f t="shared" si="21"/>
        <v>00370037</v>
      </c>
      <c r="B190" s="6" t="s">
        <v>1687</v>
      </c>
      <c r="C190" s="6" t="s">
        <v>1687</v>
      </c>
      <c r="D190" s="6">
        <v>181</v>
      </c>
      <c r="E190" s="6">
        <v>37</v>
      </c>
      <c r="F190" s="6" t="s">
        <v>1156</v>
      </c>
      <c r="G190" s="6">
        <v>37</v>
      </c>
      <c r="H190" s="6" t="s">
        <v>718</v>
      </c>
      <c r="I190" s="33">
        <v>107478.84312000001</v>
      </c>
      <c r="J190" s="88">
        <v>9.6490433356762832E-3</v>
      </c>
      <c r="K190" s="89">
        <f>X190</f>
        <v>90908.905050000016</v>
      </c>
      <c r="L190" s="88">
        <f>IF(K194&gt;0, K190/K194, 0)</f>
        <v>7.7690352429230485E-3</v>
      </c>
      <c r="M190" s="58"/>
      <c r="N190" s="9">
        <f>ROUND(M194*L190,0)</f>
        <v>69316</v>
      </c>
      <c r="O190" s="9">
        <v>82107</v>
      </c>
      <c r="P190" s="9">
        <f>N190-O190</f>
        <v>-12791</v>
      </c>
      <c r="Q190" s="40">
        <f t="shared" si="29"/>
        <v>-15.578452507094401</v>
      </c>
      <c r="R190" s="9">
        <v>6</v>
      </c>
      <c r="S190" s="9">
        <f t="shared" si="27"/>
        <v>5</v>
      </c>
      <c r="T190" s="90">
        <f t="shared" si="22"/>
        <v>37</v>
      </c>
      <c r="U190" s="90">
        <f t="shared" si="23"/>
        <v>37</v>
      </c>
      <c r="V190" s="373">
        <f t="shared" si="24"/>
        <v>181</v>
      </c>
      <c r="W190" s="90">
        <f t="shared" si="25"/>
        <v>5</v>
      </c>
      <c r="X190" s="90">
        <f t="shared" si="26"/>
        <v>90908.905050000016</v>
      </c>
      <c r="Y190" s="141">
        <f t="shared" si="28"/>
        <v>181</v>
      </c>
      <c r="Z190" s="298">
        <v>37</v>
      </c>
      <c r="AA190" s="299">
        <v>37</v>
      </c>
      <c r="AB190" s="299">
        <v>181</v>
      </c>
      <c r="AC190" s="301">
        <v>5</v>
      </c>
      <c r="AD190" s="301">
        <v>90908.905050000016</v>
      </c>
      <c r="AE190" s="126"/>
      <c r="AF190" s="298"/>
      <c r="AG190" s="299"/>
      <c r="AH190" s="299"/>
      <c r="AI190" s="301"/>
      <c r="AJ190" s="301"/>
      <c r="AK190" s="426"/>
      <c r="AL190" s="298"/>
      <c r="AM190" s="299"/>
      <c r="AN190" s="299"/>
      <c r="AO190" s="301"/>
      <c r="AP190" s="301"/>
      <c r="AQ190" s="426"/>
      <c r="AR190" s="298"/>
      <c r="AS190" s="299"/>
      <c r="AT190" s="299"/>
      <c r="AU190" s="301"/>
      <c r="AV190" s="301"/>
      <c r="AW190" s="88"/>
      <c r="AX190" s="298"/>
      <c r="AY190" s="299"/>
      <c r="AZ190" s="299"/>
      <c r="BA190" s="301"/>
      <c r="BB190" s="301"/>
      <c r="BC190" s="426"/>
      <c r="BD190" s="298"/>
      <c r="BE190" s="299"/>
      <c r="BF190" s="299"/>
      <c r="BG190" s="301"/>
      <c r="BH190" s="301"/>
      <c r="BI190" s="88"/>
      <c r="BJ190" s="298"/>
      <c r="BK190" s="299"/>
      <c r="BL190" s="299"/>
      <c r="BM190" s="301"/>
      <c r="BN190" s="301"/>
      <c r="BO190" s="88"/>
      <c r="BP190" s="9"/>
      <c r="BS190" s="81"/>
      <c r="BT190" s="81"/>
      <c r="BV190" s="9"/>
      <c r="BY190" s="81"/>
      <c r="BZ190" s="81"/>
      <c r="CB190" s="9"/>
      <c r="CE190" s="81"/>
      <c r="CF190" s="81"/>
      <c r="CH190" s="9"/>
      <c r="CK190" s="81"/>
      <c r="CL190" s="81"/>
      <c r="CR190" s="9"/>
      <c r="CS190" s="9"/>
      <c r="CT190" s="9"/>
      <c r="CU190" s="9"/>
      <c r="CV190" s="9"/>
      <c r="CW190" s="129"/>
      <c r="CX190" s="9"/>
    </row>
    <row r="191" spans="1:102">
      <c r="A191" s="6" t="str">
        <f t="shared" si="21"/>
        <v>00370600</v>
      </c>
      <c r="B191" s="6" t="s">
        <v>1687</v>
      </c>
      <c r="C191" s="6" t="s">
        <v>2004</v>
      </c>
      <c r="D191" s="6">
        <v>182</v>
      </c>
      <c r="E191" s="6">
        <v>37</v>
      </c>
      <c r="F191" s="6" t="s">
        <v>1156</v>
      </c>
      <c r="G191" s="6">
        <v>600</v>
      </c>
      <c r="H191" s="6" t="s">
        <v>1035</v>
      </c>
      <c r="I191" s="33">
        <v>11031329.366250223</v>
      </c>
      <c r="J191" s="88">
        <v>0.99035095666432382</v>
      </c>
      <c r="K191" s="89">
        <f t="shared" si="30"/>
        <v>11610531.776765743</v>
      </c>
      <c r="L191" s="88">
        <f>IF(K194&gt;0, K191/K194, 0)</f>
        <v>0.99223096475707695</v>
      </c>
      <c r="M191" s="58"/>
      <c r="N191" s="9">
        <f>ROUND(M194*L191,0)</f>
        <v>8852771</v>
      </c>
      <c r="O191" s="9">
        <v>8427275</v>
      </c>
      <c r="P191" s="9">
        <f>N191-O191</f>
        <v>425496</v>
      </c>
      <c r="Q191" s="40">
        <f t="shared" si="29"/>
        <v>5.0490342370457828</v>
      </c>
      <c r="R191" s="9">
        <v>859.81165393799995</v>
      </c>
      <c r="S191" s="9">
        <f t="shared" si="27"/>
        <v>877.719714952</v>
      </c>
      <c r="T191" s="90">
        <f t="shared" si="22"/>
        <v>37</v>
      </c>
      <c r="U191" s="90">
        <f t="shared" si="23"/>
        <v>600</v>
      </c>
      <c r="V191" s="373">
        <f t="shared" si="24"/>
        <v>182</v>
      </c>
      <c r="W191" s="90">
        <f t="shared" si="25"/>
        <v>877.719714952</v>
      </c>
      <c r="X191" s="90">
        <f t="shared" si="26"/>
        <v>11610531.776765743</v>
      </c>
      <c r="Y191" s="141">
        <f t="shared" si="28"/>
        <v>182</v>
      </c>
      <c r="Z191" s="298">
        <v>37</v>
      </c>
      <c r="AA191" s="299">
        <v>600</v>
      </c>
      <c r="AB191" s="299">
        <v>182</v>
      </c>
      <c r="AC191" s="301">
        <v>877.719714952</v>
      </c>
      <c r="AD191" s="301">
        <v>11610531.776765743</v>
      </c>
      <c r="AE191" s="126"/>
      <c r="AF191" s="298"/>
      <c r="AG191" s="299"/>
      <c r="AH191" s="299"/>
      <c r="AI191" s="301"/>
      <c r="AJ191" s="301"/>
      <c r="AK191" s="426"/>
      <c r="AL191" s="298"/>
      <c r="AM191" s="299"/>
      <c r="AN191" s="299"/>
      <c r="AO191" s="301"/>
      <c r="AP191" s="301"/>
      <c r="AQ191" s="426"/>
      <c r="AR191" s="298"/>
      <c r="AS191" s="299"/>
      <c r="AT191" s="299"/>
      <c r="AU191" s="301"/>
      <c r="AV191" s="301"/>
      <c r="AW191" s="88"/>
      <c r="AX191" s="298"/>
      <c r="AY191" s="299"/>
      <c r="AZ191" s="299"/>
      <c r="BA191" s="301"/>
      <c r="BB191" s="301"/>
      <c r="BC191" s="426"/>
      <c r="BD191" s="298"/>
      <c r="BE191" s="299"/>
      <c r="BF191" s="299"/>
      <c r="BG191" s="301"/>
      <c r="BH191" s="301"/>
      <c r="BI191" s="88"/>
      <c r="BJ191" s="298"/>
      <c r="BK191" s="299"/>
      <c r="BL191" s="299"/>
      <c r="BM191" s="301"/>
      <c r="BN191" s="301"/>
      <c r="BO191" s="88"/>
      <c r="BP191" s="9"/>
      <c r="BS191" s="81"/>
      <c r="BT191" s="81"/>
      <c r="BV191" s="9"/>
      <c r="BY191" s="81"/>
      <c r="BZ191" s="81"/>
      <c r="CB191" s="9"/>
      <c r="CE191" s="81"/>
      <c r="CF191" s="81"/>
      <c r="CH191" s="9"/>
      <c r="CK191" s="81"/>
      <c r="CL191" s="81"/>
      <c r="CR191" s="9"/>
      <c r="CS191" s="9"/>
      <c r="CT191" s="9"/>
      <c r="CU191" s="9"/>
      <c r="CV191" s="9"/>
      <c r="CW191" s="129"/>
      <c r="CX191" s="9"/>
    </row>
    <row r="192" spans="1:102">
      <c r="A192" s="6" t="str">
        <f t="shared" si="21"/>
        <v>00370830</v>
      </c>
      <c r="B192" s="6" t="s">
        <v>1687</v>
      </c>
      <c r="C192" s="6" t="s">
        <v>2074</v>
      </c>
      <c r="D192" s="6">
        <v>183</v>
      </c>
      <c r="E192" s="6">
        <v>37</v>
      </c>
      <c r="G192" s="6">
        <v>998</v>
      </c>
      <c r="I192" s="33">
        <v>0</v>
      </c>
      <c r="J192" s="88">
        <v>0</v>
      </c>
      <c r="K192" s="89">
        <f t="shared" si="30"/>
        <v>0</v>
      </c>
      <c r="L192" s="88">
        <f>IF(K194&gt;0, K192/K194, 0)</f>
        <v>0</v>
      </c>
      <c r="M192" s="58"/>
      <c r="N192" s="9">
        <f>ROUND(M194*L192,0)</f>
        <v>0</v>
      </c>
      <c r="O192" s="9">
        <v>0</v>
      </c>
      <c r="P192" s="9">
        <f>N192-O192</f>
        <v>0</v>
      </c>
      <c r="Q192" s="40">
        <f t="shared" si="29"/>
        <v>0</v>
      </c>
      <c r="R192" s="9">
        <v>0</v>
      </c>
      <c r="S192" s="9">
        <f t="shared" si="27"/>
        <v>0</v>
      </c>
      <c r="T192" s="90">
        <f t="shared" si="22"/>
        <v>37</v>
      </c>
      <c r="U192" s="90">
        <f t="shared" si="23"/>
        <v>998</v>
      </c>
      <c r="V192" s="373">
        <f t="shared" si="24"/>
        <v>183</v>
      </c>
      <c r="W192" s="90">
        <f t="shared" si="25"/>
        <v>0</v>
      </c>
      <c r="X192" s="90">
        <f t="shared" si="26"/>
        <v>0</v>
      </c>
      <c r="Y192" s="141">
        <f t="shared" si="28"/>
        <v>183</v>
      </c>
      <c r="Z192" s="298">
        <v>37</v>
      </c>
      <c r="AA192" s="299">
        <v>998</v>
      </c>
      <c r="AB192" s="299">
        <v>183</v>
      </c>
      <c r="AC192" s="301">
        <v>0</v>
      </c>
      <c r="AD192" s="301">
        <v>0</v>
      </c>
      <c r="AE192" s="126"/>
      <c r="AF192" s="298"/>
      <c r="AG192" s="299"/>
      <c r="AH192" s="299"/>
      <c r="AI192" s="301"/>
      <c r="AJ192" s="301"/>
      <c r="AK192" s="426"/>
      <c r="AL192" s="298"/>
      <c r="AM192" s="299"/>
      <c r="AN192" s="299"/>
      <c r="AO192" s="301"/>
      <c r="AP192" s="301"/>
      <c r="AQ192" s="426"/>
      <c r="AR192" s="298"/>
      <c r="AS192" s="299"/>
      <c r="AT192" s="299"/>
      <c r="AU192" s="301"/>
      <c r="AV192" s="301"/>
      <c r="AW192" s="88"/>
      <c r="AX192" s="298"/>
      <c r="AY192" s="299"/>
      <c r="AZ192" s="299"/>
      <c r="BA192" s="301"/>
      <c r="BB192" s="301"/>
      <c r="BC192" s="426"/>
      <c r="BD192" s="298"/>
      <c r="BE192" s="299"/>
      <c r="BF192" s="299"/>
      <c r="BG192" s="301"/>
      <c r="BH192" s="301"/>
      <c r="BI192" s="88"/>
      <c r="BJ192" s="298"/>
      <c r="BK192" s="299"/>
      <c r="BL192" s="299"/>
      <c r="BM192" s="301"/>
      <c r="BN192" s="301"/>
      <c r="BO192" s="88"/>
      <c r="BP192" s="9"/>
      <c r="BS192" s="81"/>
      <c r="BT192" s="81"/>
      <c r="BV192" s="9"/>
      <c r="BY192" s="81"/>
      <c r="BZ192" s="81"/>
      <c r="CB192" s="9"/>
      <c r="CE192" s="81"/>
      <c r="CF192" s="81"/>
      <c r="CH192" s="9"/>
      <c r="CK192" s="81"/>
      <c r="CL192" s="81"/>
      <c r="CR192" s="9"/>
      <c r="CS192" s="9"/>
      <c r="CT192" s="9"/>
      <c r="CU192" s="9"/>
      <c r="CV192" s="9"/>
      <c r="CW192" s="129"/>
      <c r="CX192" s="9"/>
    </row>
    <row r="193" spans="1:102">
      <c r="A193" s="6" t="str">
        <f t="shared" si="21"/>
        <v>00370998</v>
      </c>
      <c r="B193" s="6" t="s">
        <v>1687</v>
      </c>
      <c r="C193" s="6" t="s">
        <v>2091</v>
      </c>
      <c r="D193" s="6">
        <v>184</v>
      </c>
      <c r="E193" s="6">
        <v>37</v>
      </c>
      <c r="F193" s="6" t="s">
        <v>1547</v>
      </c>
      <c r="G193" s="6">
        <v>998</v>
      </c>
      <c r="H193" s="6" t="s">
        <v>1547</v>
      </c>
      <c r="I193" s="33">
        <v>0</v>
      </c>
      <c r="J193" s="88">
        <v>0</v>
      </c>
      <c r="K193" s="89">
        <f t="shared" si="30"/>
        <v>0</v>
      </c>
      <c r="L193" s="88">
        <f>IF(K194&gt;0, K193/K194, 0)</f>
        <v>0</v>
      </c>
      <c r="M193" s="58"/>
      <c r="N193" s="9">
        <f>ROUND(M194*L193,0)</f>
        <v>0</v>
      </c>
      <c r="O193" s="9">
        <v>0</v>
      </c>
      <c r="P193" s="9">
        <f>N193-O193</f>
        <v>0</v>
      </c>
      <c r="Q193" s="40">
        <f t="shared" si="29"/>
        <v>0</v>
      </c>
      <c r="R193" s="9">
        <v>0</v>
      </c>
      <c r="S193" s="9">
        <f t="shared" si="27"/>
        <v>0</v>
      </c>
      <c r="T193" s="90">
        <f t="shared" si="22"/>
        <v>37</v>
      </c>
      <c r="U193" s="90">
        <f t="shared" si="23"/>
        <v>998</v>
      </c>
      <c r="V193" s="373">
        <f t="shared" si="24"/>
        <v>184</v>
      </c>
      <c r="W193" s="90">
        <f t="shared" si="25"/>
        <v>0</v>
      </c>
      <c r="X193" s="90">
        <f t="shared" si="26"/>
        <v>0</v>
      </c>
      <c r="Y193" s="141">
        <f t="shared" si="28"/>
        <v>184</v>
      </c>
      <c r="Z193" s="298">
        <v>37</v>
      </c>
      <c r="AA193" s="299">
        <v>998</v>
      </c>
      <c r="AB193" s="299">
        <v>184</v>
      </c>
      <c r="AC193" s="301">
        <v>0</v>
      </c>
      <c r="AD193" s="301">
        <v>0</v>
      </c>
      <c r="AE193" s="126"/>
      <c r="AF193" s="298"/>
      <c r="AG193" s="299"/>
      <c r="AH193" s="299"/>
      <c r="AI193" s="301"/>
      <c r="AJ193" s="301"/>
      <c r="AK193" s="426"/>
      <c r="AL193" s="298"/>
      <c r="AM193" s="299"/>
      <c r="AN193" s="299"/>
      <c r="AO193" s="301"/>
      <c r="AP193" s="301"/>
      <c r="AQ193" s="426"/>
      <c r="AR193" s="298"/>
      <c r="AS193" s="299"/>
      <c r="AT193" s="299"/>
      <c r="AU193" s="301"/>
      <c r="AV193" s="301"/>
      <c r="AW193" s="88"/>
      <c r="AX193" s="298"/>
      <c r="AY193" s="299"/>
      <c r="AZ193" s="299"/>
      <c r="BA193" s="301"/>
      <c r="BB193" s="301"/>
      <c r="BC193" s="426"/>
      <c r="BD193" s="298"/>
      <c r="BE193" s="299"/>
      <c r="BF193" s="299"/>
      <c r="BG193" s="301"/>
      <c r="BH193" s="301"/>
      <c r="BI193" s="88"/>
      <c r="BJ193" s="298"/>
      <c r="BK193" s="299"/>
      <c r="BL193" s="299"/>
      <c r="BM193" s="301"/>
      <c r="BN193" s="301"/>
      <c r="BO193" s="88"/>
      <c r="BP193" s="9"/>
      <c r="BS193" s="81"/>
      <c r="BT193" s="81"/>
      <c r="BV193" s="9"/>
      <c r="BY193" s="81"/>
      <c r="BZ193" s="81"/>
      <c r="CB193" s="9"/>
      <c r="CE193" s="81"/>
      <c r="CF193" s="81"/>
      <c r="CH193" s="9"/>
      <c r="CK193" s="81"/>
      <c r="CL193" s="81"/>
      <c r="CR193" s="9"/>
      <c r="CS193" s="9"/>
      <c r="CT193" s="9"/>
      <c r="CU193" s="9"/>
      <c r="CV193" s="9"/>
      <c r="CW193" s="129"/>
      <c r="CX193" s="9"/>
    </row>
    <row r="194" spans="1:102">
      <c r="A194" s="6" t="str">
        <f t="shared" si="21"/>
        <v>00370999</v>
      </c>
      <c r="B194" s="6" t="s">
        <v>1687</v>
      </c>
      <c r="C194" s="6" t="s">
        <v>2092</v>
      </c>
      <c r="D194" s="6">
        <v>185</v>
      </c>
      <c r="E194" s="10">
        <v>37</v>
      </c>
      <c r="F194" s="10" t="s">
        <v>718</v>
      </c>
      <c r="G194" s="10">
        <v>999</v>
      </c>
      <c r="H194" s="10" t="s">
        <v>593</v>
      </c>
      <c r="I194" s="92">
        <v>11138808.209370222</v>
      </c>
      <c r="J194" s="472">
        <v>1</v>
      </c>
      <c r="K194" s="53">
        <f>SUM(K190:K193)</f>
        <v>11701440.681815743</v>
      </c>
      <c r="L194" s="91">
        <f>SUM(L190:L193)</f>
        <v>1</v>
      </c>
      <c r="M194" s="79">
        <f>VLOOKUP(E194,town351,24)</f>
        <v>8922087</v>
      </c>
      <c r="N194" s="79">
        <f>SUM(N190:N193)</f>
        <v>8922087</v>
      </c>
      <c r="O194" s="79">
        <v>8509382</v>
      </c>
      <c r="P194" s="79">
        <f>SUM(P190:P193)</f>
        <v>412705</v>
      </c>
      <c r="Q194" s="39">
        <f t="shared" si="29"/>
        <v>4.849999682703162</v>
      </c>
      <c r="R194" s="9">
        <v>865.81165393799995</v>
      </c>
      <c r="S194" s="9">
        <f t="shared" si="27"/>
        <v>882.719714952</v>
      </c>
      <c r="T194" s="90">
        <f t="shared" si="22"/>
        <v>37</v>
      </c>
      <c r="U194" s="90">
        <f t="shared" si="23"/>
        <v>999</v>
      </c>
      <c r="V194" s="373">
        <f t="shared" si="24"/>
        <v>185</v>
      </c>
      <c r="W194" s="90">
        <f t="shared" si="25"/>
        <v>882.719714952</v>
      </c>
      <c r="X194" s="90">
        <f t="shared" si="26"/>
        <v>11701440.681815743</v>
      </c>
      <c r="Y194" s="141">
        <f t="shared" si="28"/>
        <v>185</v>
      </c>
      <c r="Z194" s="298">
        <v>37</v>
      </c>
      <c r="AA194" s="299">
        <v>999</v>
      </c>
      <c r="AB194" s="299">
        <v>185</v>
      </c>
      <c r="AC194" s="301">
        <v>882.719714952</v>
      </c>
      <c r="AD194" s="301">
        <v>11701440.681815743</v>
      </c>
      <c r="AE194" s="126"/>
      <c r="AF194" s="298"/>
      <c r="AG194" s="299"/>
      <c r="AH194" s="299"/>
      <c r="AI194" s="301"/>
      <c r="AJ194" s="301"/>
      <c r="AK194" s="426"/>
      <c r="AL194" s="298"/>
      <c r="AM194" s="299"/>
      <c r="AN194" s="299"/>
      <c r="AO194" s="301"/>
      <c r="AP194" s="301"/>
      <c r="AQ194" s="426"/>
      <c r="AR194" s="298"/>
      <c r="AS194" s="299"/>
      <c r="AT194" s="299"/>
      <c r="AU194" s="301"/>
      <c r="AV194" s="301"/>
      <c r="AW194" s="91"/>
      <c r="AX194" s="298"/>
      <c r="AY194" s="299"/>
      <c r="AZ194" s="299"/>
      <c r="BA194" s="301"/>
      <c r="BB194" s="301"/>
      <c r="BC194" s="426"/>
      <c r="BD194" s="298"/>
      <c r="BE194" s="299"/>
      <c r="BF194" s="299"/>
      <c r="BG194" s="301"/>
      <c r="BH194" s="301"/>
      <c r="BI194" s="91"/>
      <c r="BJ194" s="298"/>
      <c r="BK194" s="299"/>
      <c r="BL194" s="299"/>
      <c r="BM194" s="301"/>
      <c r="BN194" s="301"/>
      <c r="BO194" s="91"/>
      <c r="BP194" s="9"/>
      <c r="BS194" s="81"/>
      <c r="BT194" s="81"/>
      <c r="BV194" s="9"/>
      <c r="BY194" s="81"/>
      <c r="BZ194" s="81"/>
      <c r="CB194" s="9"/>
      <c r="CE194" s="81"/>
      <c r="CF194" s="81"/>
      <c r="CH194" s="9"/>
      <c r="CK194" s="81"/>
      <c r="CL194" s="81"/>
      <c r="CR194" s="9"/>
      <c r="CS194" s="9"/>
      <c r="CT194" s="9"/>
      <c r="CU194" s="9"/>
      <c r="CV194" s="9"/>
      <c r="CW194" s="129"/>
      <c r="CX194" s="9"/>
    </row>
    <row r="195" spans="1:102">
      <c r="A195" s="6" t="str">
        <f t="shared" si="21"/>
        <v>00380038</v>
      </c>
      <c r="B195" s="6" t="s">
        <v>1688</v>
      </c>
      <c r="C195" s="6" t="s">
        <v>1688</v>
      </c>
      <c r="D195" s="6">
        <v>186</v>
      </c>
      <c r="E195" s="6">
        <v>38</v>
      </c>
      <c r="F195" s="6" t="s">
        <v>719</v>
      </c>
      <c r="G195" s="6">
        <v>38</v>
      </c>
      <c r="H195" s="6" t="s">
        <v>719</v>
      </c>
      <c r="I195" s="33">
        <v>8528050.2678800002</v>
      </c>
      <c r="J195" s="88">
        <v>0.50843132196794627</v>
      </c>
      <c r="K195" s="89">
        <f>X195</f>
        <v>9024222.1102399994</v>
      </c>
      <c r="L195" s="88">
        <f>IF(K199&gt;0, K195/K199, 0)</f>
        <v>0.51700259787398173</v>
      </c>
      <c r="M195" s="58"/>
      <c r="N195" s="9">
        <f>ROUND(M199*L195,0)</f>
        <v>7139841</v>
      </c>
      <c r="O195" s="9">
        <v>6718468</v>
      </c>
      <c r="P195" s="9">
        <f>N195-O195</f>
        <v>421373</v>
      </c>
      <c r="Q195" s="40">
        <f t="shared" si="29"/>
        <v>6.2718613826842669</v>
      </c>
      <c r="R195" s="9">
        <v>721</v>
      </c>
      <c r="S195" s="9">
        <f t="shared" si="27"/>
        <v>745</v>
      </c>
      <c r="T195" s="90">
        <f t="shared" si="22"/>
        <v>38</v>
      </c>
      <c r="U195" s="90">
        <f t="shared" si="23"/>
        <v>38</v>
      </c>
      <c r="V195" s="373">
        <f t="shared" si="24"/>
        <v>186</v>
      </c>
      <c r="W195" s="90">
        <f t="shared" si="25"/>
        <v>745</v>
      </c>
      <c r="X195" s="90">
        <f t="shared" si="26"/>
        <v>9024222.1102399994</v>
      </c>
      <c r="Y195" s="141">
        <f t="shared" si="28"/>
        <v>186</v>
      </c>
      <c r="Z195" s="298">
        <v>38</v>
      </c>
      <c r="AA195" s="299">
        <v>38</v>
      </c>
      <c r="AB195" s="299">
        <v>186</v>
      </c>
      <c r="AC195" s="301">
        <v>745</v>
      </c>
      <c r="AD195" s="301">
        <v>9024222.1102399994</v>
      </c>
      <c r="AE195" s="126"/>
      <c r="AF195" s="298"/>
      <c r="AG195" s="299"/>
      <c r="AH195" s="299"/>
      <c r="AI195" s="301"/>
      <c r="AJ195" s="301"/>
      <c r="AK195" s="426"/>
      <c r="AL195" s="298"/>
      <c r="AM195" s="299"/>
      <c r="AN195" s="299"/>
      <c r="AO195" s="301"/>
      <c r="AP195" s="301"/>
      <c r="AQ195" s="426"/>
      <c r="AR195" s="298"/>
      <c r="AS195" s="299"/>
      <c r="AT195" s="299"/>
      <c r="AU195" s="301"/>
      <c r="AV195" s="301"/>
      <c r="AW195" s="88"/>
      <c r="AX195" s="298"/>
      <c r="AY195" s="299"/>
      <c r="AZ195" s="299"/>
      <c r="BA195" s="301"/>
      <c r="BB195" s="301"/>
      <c r="BC195" s="426"/>
      <c r="BD195" s="298"/>
      <c r="BE195" s="299"/>
      <c r="BF195" s="299"/>
      <c r="BG195" s="301"/>
      <c r="BH195" s="301"/>
      <c r="BI195" s="88"/>
      <c r="BJ195" s="298"/>
      <c r="BK195" s="299"/>
      <c r="BL195" s="299"/>
      <c r="BM195" s="301"/>
      <c r="BN195" s="301"/>
      <c r="BO195" s="88"/>
      <c r="BP195" s="9"/>
      <c r="BS195" s="81"/>
      <c r="BT195" s="81"/>
      <c r="BV195" s="9"/>
      <c r="BY195" s="81"/>
      <c r="BZ195" s="81"/>
      <c r="CB195" s="9"/>
      <c r="CE195" s="81"/>
      <c r="CF195" s="81"/>
      <c r="CH195" s="9"/>
      <c r="CK195" s="81"/>
      <c r="CL195" s="81"/>
      <c r="CR195" s="9"/>
      <c r="CS195" s="9"/>
      <c r="CT195" s="9"/>
      <c r="CU195" s="9"/>
      <c r="CV195" s="9"/>
      <c r="CW195" s="129"/>
      <c r="CX195" s="9"/>
    </row>
    <row r="196" spans="1:102">
      <c r="A196" s="6" t="str">
        <f t="shared" si="21"/>
        <v>00380705</v>
      </c>
      <c r="B196" s="6" t="s">
        <v>1688</v>
      </c>
      <c r="C196" s="6" t="s">
        <v>2036</v>
      </c>
      <c r="D196" s="6">
        <v>187</v>
      </c>
      <c r="E196" s="6">
        <v>38</v>
      </c>
      <c r="F196" s="6" t="s">
        <v>719</v>
      </c>
      <c r="G196" s="6">
        <v>705</v>
      </c>
      <c r="H196" s="6" t="s">
        <v>1066</v>
      </c>
      <c r="I196" s="33">
        <v>7811373.1100884592</v>
      </c>
      <c r="J196" s="88">
        <v>0.46570395717595076</v>
      </c>
      <c r="K196" s="89">
        <f t="shared" si="30"/>
        <v>7926258.0023105806</v>
      </c>
      <c r="L196" s="88">
        <f>IF(K199&gt;0, K196/K199, 0)</f>
        <v>0.45409963635137335</v>
      </c>
      <c r="M196" s="58"/>
      <c r="N196" s="9">
        <f>ROUND(M199*L196,0)</f>
        <v>6271147</v>
      </c>
      <c r="O196" s="9">
        <v>6153864</v>
      </c>
      <c r="P196" s="9">
        <f>N196-O196</f>
        <v>117283</v>
      </c>
      <c r="Q196" s="40">
        <f t="shared" si="29"/>
        <v>1.9058432230546531</v>
      </c>
      <c r="R196" s="9">
        <v>605.75108628783005</v>
      </c>
      <c r="S196" s="9">
        <f t="shared" si="27"/>
        <v>594.13095994295998</v>
      </c>
      <c r="T196" s="90">
        <f t="shared" si="22"/>
        <v>38</v>
      </c>
      <c r="U196" s="90">
        <f t="shared" si="23"/>
        <v>705</v>
      </c>
      <c r="V196" s="373">
        <f t="shared" si="24"/>
        <v>187</v>
      </c>
      <c r="W196" s="90">
        <f t="shared" si="25"/>
        <v>594.13095994295998</v>
      </c>
      <c r="X196" s="90">
        <f t="shared" si="26"/>
        <v>7926258.0023105806</v>
      </c>
      <c r="Y196" s="141">
        <f t="shared" si="28"/>
        <v>187</v>
      </c>
      <c r="Z196" s="298">
        <v>38</v>
      </c>
      <c r="AA196" s="299">
        <v>705</v>
      </c>
      <c r="AB196" s="299">
        <v>187</v>
      </c>
      <c r="AC196" s="301">
        <v>594.13095994295998</v>
      </c>
      <c r="AD196" s="301">
        <v>7926258.0023105806</v>
      </c>
      <c r="AE196" s="126"/>
      <c r="AF196" s="298"/>
      <c r="AG196" s="299"/>
      <c r="AH196" s="299"/>
      <c r="AI196" s="301"/>
      <c r="AJ196" s="301"/>
      <c r="AK196" s="426"/>
      <c r="AL196" s="298"/>
      <c r="AM196" s="299"/>
      <c r="AN196" s="299"/>
      <c r="AO196" s="301"/>
      <c r="AP196" s="301"/>
      <c r="AQ196" s="426"/>
      <c r="AR196" s="298"/>
      <c r="AS196" s="299"/>
      <c r="AT196" s="299"/>
      <c r="AU196" s="301"/>
      <c r="AV196" s="301"/>
      <c r="AW196" s="88"/>
      <c r="AX196" s="298"/>
      <c r="AY196" s="299"/>
      <c r="AZ196" s="299"/>
      <c r="BA196" s="301"/>
      <c r="BB196" s="301"/>
      <c r="BC196" s="426"/>
      <c r="BD196" s="298"/>
      <c r="BE196" s="299"/>
      <c r="BF196" s="299"/>
      <c r="BG196" s="301"/>
      <c r="BH196" s="301"/>
      <c r="BI196" s="88"/>
      <c r="BJ196" s="298"/>
      <c r="BK196" s="299"/>
      <c r="BL196" s="299"/>
      <c r="BM196" s="301"/>
      <c r="BN196" s="301"/>
      <c r="BO196" s="88"/>
      <c r="BP196" s="9"/>
      <c r="BS196" s="81"/>
      <c r="BT196" s="81"/>
      <c r="BV196" s="9"/>
      <c r="BY196" s="81"/>
      <c r="BZ196" s="81"/>
      <c r="CB196" s="9"/>
      <c r="CE196" s="81"/>
      <c r="CF196" s="81"/>
      <c r="CH196" s="9"/>
      <c r="CK196" s="81"/>
      <c r="CL196" s="81"/>
      <c r="CR196" s="9"/>
      <c r="CS196" s="9"/>
      <c r="CT196" s="9"/>
      <c r="CU196" s="9"/>
      <c r="CV196" s="9"/>
      <c r="CW196" s="129"/>
      <c r="CX196" s="9"/>
    </row>
    <row r="197" spans="1:102">
      <c r="A197" s="6" t="str">
        <f t="shared" si="21"/>
        <v>00380817</v>
      </c>
      <c r="B197" s="6" t="s">
        <v>1688</v>
      </c>
      <c r="C197" s="6" t="s">
        <v>2067</v>
      </c>
      <c r="D197" s="6">
        <v>188</v>
      </c>
      <c r="E197" s="6">
        <v>38</v>
      </c>
      <c r="F197" s="6" t="s">
        <v>719</v>
      </c>
      <c r="G197" s="6">
        <v>817</v>
      </c>
      <c r="H197" s="6" t="s">
        <v>1097</v>
      </c>
      <c r="I197" s="33">
        <v>433835.66294020851</v>
      </c>
      <c r="J197" s="88">
        <v>2.5864720856102991E-2</v>
      </c>
      <c r="K197" s="89">
        <f t="shared" si="30"/>
        <v>504407.24652538839</v>
      </c>
      <c r="L197" s="88">
        <f>IF(K199&gt;0, K197/K199, 0)</f>
        <v>2.8897765774644958E-2</v>
      </c>
      <c r="M197" s="58"/>
      <c r="N197" s="9">
        <f>ROUND(M199*L197,0)</f>
        <v>399080</v>
      </c>
      <c r="O197" s="9">
        <v>341779</v>
      </c>
      <c r="P197" s="9">
        <f>N197-O197</f>
        <v>57301</v>
      </c>
      <c r="Q197" s="40">
        <f t="shared" si="29"/>
        <v>16.765512216958911</v>
      </c>
      <c r="R197" s="9">
        <v>21.999999993749999</v>
      </c>
      <c r="S197" s="9">
        <f t="shared" si="27"/>
        <v>25.000000003169998</v>
      </c>
      <c r="T197" s="90">
        <f t="shared" si="22"/>
        <v>38</v>
      </c>
      <c r="U197" s="90">
        <f t="shared" si="23"/>
        <v>817</v>
      </c>
      <c r="V197" s="373">
        <f t="shared" si="24"/>
        <v>188</v>
      </c>
      <c r="W197" s="90">
        <f t="shared" si="25"/>
        <v>25.000000003169998</v>
      </c>
      <c r="X197" s="90">
        <f t="shared" si="26"/>
        <v>504407.24652538839</v>
      </c>
      <c r="Y197" s="141">
        <f t="shared" si="28"/>
        <v>188</v>
      </c>
      <c r="Z197" s="298">
        <v>38</v>
      </c>
      <c r="AA197" s="299">
        <v>817</v>
      </c>
      <c r="AB197" s="299">
        <v>188</v>
      </c>
      <c r="AC197" s="301">
        <v>25.000000003169998</v>
      </c>
      <c r="AD197" s="301">
        <v>504407.24652538839</v>
      </c>
      <c r="AE197" s="126"/>
      <c r="AF197" s="298"/>
      <c r="AG197" s="299"/>
      <c r="AH197" s="299"/>
      <c r="AI197" s="301"/>
      <c r="AJ197" s="301"/>
      <c r="AK197" s="426"/>
      <c r="AL197" s="298"/>
      <c r="AM197" s="299"/>
      <c r="AN197" s="299"/>
      <c r="AO197" s="301"/>
      <c r="AP197" s="301"/>
      <c r="AQ197" s="426"/>
      <c r="AR197" s="298"/>
      <c r="AS197" s="299"/>
      <c r="AT197" s="299"/>
      <c r="AU197" s="301"/>
      <c r="AV197" s="301"/>
      <c r="AW197" s="88"/>
      <c r="AX197" s="298"/>
      <c r="AY197" s="299"/>
      <c r="AZ197" s="299"/>
      <c r="BA197" s="301"/>
      <c r="BB197" s="301"/>
      <c r="BC197" s="426"/>
      <c r="BD197" s="298"/>
      <c r="BE197" s="299"/>
      <c r="BF197" s="299"/>
      <c r="BG197" s="301"/>
      <c r="BH197" s="301"/>
      <c r="BI197" s="88"/>
      <c r="BJ197" s="298"/>
      <c r="BK197" s="299"/>
      <c r="BL197" s="299"/>
      <c r="BM197" s="301"/>
      <c r="BN197" s="301"/>
      <c r="BO197" s="88"/>
      <c r="BP197" s="9"/>
      <c r="BS197" s="81"/>
      <c r="BT197" s="81"/>
      <c r="BV197" s="9"/>
      <c r="BY197" s="81"/>
      <c r="BZ197" s="81"/>
      <c r="CB197" s="9"/>
      <c r="CE197" s="81"/>
      <c r="CF197" s="81"/>
      <c r="CH197" s="9"/>
      <c r="CK197" s="81"/>
      <c r="CL197" s="81"/>
      <c r="CR197" s="9"/>
      <c r="CS197" s="9"/>
      <c r="CT197" s="9"/>
      <c r="CU197" s="9"/>
      <c r="CV197" s="9"/>
      <c r="CW197" s="129"/>
      <c r="CX197" s="9"/>
    </row>
    <row r="198" spans="1:102">
      <c r="A198" s="6" t="str">
        <f t="shared" si="21"/>
        <v>00380998</v>
      </c>
      <c r="B198" s="6" t="s">
        <v>1688</v>
      </c>
      <c r="C198" s="6" t="s">
        <v>2091</v>
      </c>
      <c r="D198" s="6">
        <v>189</v>
      </c>
      <c r="E198" s="6">
        <v>38</v>
      </c>
      <c r="F198" s="6" t="s">
        <v>1547</v>
      </c>
      <c r="G198" s="6">
        <v>998</v>
      </c>
      <c r="I198" s="33">
        <v>0</v>
      </c>
      <c r="J198" s="88">
        <v>0</v>
      </c>
      <c r="K198" s="89">
        <f t="shared" si="30"/>
        <v>0</v>
      </c>
      <c r="L198" s="88">
        <f>IF(K199&gt;0, K198/K199, 0)</f>
        <v>0</v>
      </c>
      <c r="M198" s="58"/>
      <c r="N198" s="9">
        <f>ROUND(M199*L198,0)</f>
        <v>0</v>
      </c>
      <c r="O198" s="9">
        <v>0</v>
      </c>
      <c r="P198" s="9">
        <f>N198-O198</f>
        <v>0</v>
      </c>
      <c r="Q198" s="40">
        <f t="shared" si="29"/>
        <v>0</v>
      </c>
      <c r="R198" s="9">
        <v>0</v>
      </c>
      <c r="S198" s="9">
        <f t="shared" si="27"/>
        <v>0</v>
      </c>
      <c r="T198" s="90">
        <f t="shared" si="22"/>
        <v>38</v>
      </c>
      <c r="U198" s="90">
        <f t="shared" si="23"/>
        <v>998</v>
      </c>
      <c r="V198" s="373">
        <f t="shared" si="24"/>
        <v>189</v>
      </c>
      <c r="W198" s="90">
        <f t="shared" si="25"/>
        <v>0</v>
      </c>
      <c r="X198" s="90">
        <f t="shared" si="26"/>
        <v>0</v>
      </c>
      <c r="Y198" s="141">
        <f t="shared" si="28"/>
        <v>189</v>
      </c>
      <c r="Z198" s="298">
        <v>38</v>
      </c>
      <c r="AA198" s="299">
        <v>998</v>
      </c>
      <c r="AB198" s="299">
        <v>189</v>
      </c>
      <c r="AC198" s="301">
        <v>0</v>
      </c>
      <c r="AD198" s="301">
        <v>0</v>
      </c>
      <c r="AE198" s="126"/>
      <c r="AF198" s="298"/>
      <c r="AG198" s="299"/>
      <c r="AH198" s="299"/>
      <c r="AI198" s="301"/>
      <c r="AJ198" s="301"/>
      <c r="AK198" s="426"/>
      <c r="AL198" s="298"/>
      <c r="AM198" s="299"/>
      <c r="AN198" s="299"/>
      <c r="AO198" s="301"/>
      <c r="AP198" s="301"/>
      <c r="AQ198" s="426"/>
      <c r="AR198" s="298"/>
      <c r="AS198" s="299"/>
      <c r="AT198" s="299"/>
      <c r="AU198" s="301"/>
      <c r="AV198" s="301"/>
      <c r="AW198" s="88"/>
      <c r="AX198" s="298"/>
      <c r="AY198" s="299"/>
      <c r="AZ198" s="299"/>
      <c r="BA198" s="301"/>
      <c r="BB198" s="301"/>
      <c r="BC198" s="426"/>
      <c r="BD198" s="298"/>
      <c r="BE198" s="299"/>
      <c r="BF198" s="299"/>
      <c r="BG198" s="301"/>
      <c r="BH198" s="301"/>
      <c r="BI198" s="88"/>
      <c r="BJ198" s="298"/>
      <c r="BK198" s="299"/>
      <c r="BL198" s="299"/>
      <c r="BM198" s="301"/>
      <c r="BN198" s="301"/>
      <c r="BO198" s="88"/>
      <c r="BP198" s="9"/>
      <c r="BS198" s="81"/>
      <c r="BT198" s="81"/>
      <c r="BV198" s="9"/>
      <c r="BY198" s="81"/>
      <c r="BZ198" s="81"/>
      <c r="CB198" s="9"/>
      <c r="CE198" s="81"/>
      <c r="CF198" s="81"/>
      <c r="CH198" s="9"/>
      <c r="CK198" s="81"/>
      <c r="CL198" s="81"/>
      <c r="CR198" s="9"/>
      <c r="CS198" s="9"/>
      <c r="CT198" s="9"/>
      <c r="CU198" s="9"/>
      <c r="CV198" s="9"/>
      <c r="CW198" s="129"/>
      <c r="CX198" s="9"/>
    </row>
    <row r="199" spans="1:102">
      <c r="A199" s="6" t="str">
        <f t="shared" si="21"/>
        <v>00380999</v>
      </c>
      <c r="B199" s="6" t="s">
        <v>1688</v>
      </c>
      <c r="C199" s="6" t="s">
        <v>2092</v>
      </c>
      <c r="D199" s="6">
        <v>190</v>
      </c>
      <c r="E199" s="10">
        <v>38</v>
      </c>
      <c r="F199" s="10" t="s">
        <v>1157</v>
      </c>
      <c r="G199" s="10">
        <v>999</v>
      </c>
      <c r="H199" s="10" t="s">
        <v>593</v>
      </c>
      <c r="I199" s="92">
        <v>16773259.040908668</v>
      </c>
      <c r="J199" s="472">
        <v>1</v>
      </c>
      <c r="K199" s="53">
        <f>SUM(K195:K198)</f>
        <v>17454887.359075967</v>
      </c>
      <c r="L199" s="91">
        <f>SUM(L195:L198)</f>
        <v>1</v>
      </c>
      <c r="M199" s="79">
        <f>VLOOKUP(E199,town351,24)</f>
        <v>13810068</v>
      </c>
      <c r="N199" s="79">
        <f>SUM(N195:N198)</f>
        <v>13810068</v>
      </c>
      <c r="O199" s="79">
        <v>13214111</v>
      </c>
      <c r="P199" s="79">
        <f>SUM(P195:P198)</f>
        <v>595957</v>
      </c>
      <c r="Q199" s="39">
        <f t="shared" si="29"/>
        <v>4.5100044944378022</v>
      </c>
      <c r="R199" s="9">
        <v>1348.75108628158</v>
      </c>
      <c r="S199" s="9">
        <f t="shared" si="27"/>
        <v>1364.1309599461301</v>
      </c>
      <c r="T199" s="90">
        <f t="shared" si="22"/>
        <v>38</v>
      </c>
      <c r="U199" s="90">
        <f t="shared" si="23"/>
        <v>999</v>
      </c>
      <c r="V199" s="373">
        <f t="shared" si="24"/>
        <v>190</v>
      </c>
      <c r="W199" s="90">
        <f t="shared" si="25"/>
        <v>1364.1309599461301</v>
      </c>
      <c r="X199" s="90">
        <f t="shared" si="26"/>
        <v>17454887.359075967</v>
      </c>
      <c r="Y199" s="141">
        <f t="shared" si="28"/>
        <v>190</v>
      </c>
      <c r="Z199" s="298">
        <v>38</v>
      </c>
      <c r="AA199" s="299">
        <v>999</v>
      </c>
      <c r="AB199" s="299">
        <v>190</v>
      </c>
      <c r="AC199" s="301">
        <v>1364.1309599461301</v>
      </c>
      <c r="AD199" s="301">
        <v>17454887.359075967</v>
      </c>
      <c r="AE199" s="126"/>
      <c r="AF199" s="298"/>
      <c r="AG199" s="299"/>
      <c r="AH199" s="299"/>
      <c r="AI199" s="301"/>
      <c r="AJ199" s="301"/>
      <c r="AK199" s="426"/>
      <c r="AL199" s="298"/>
      <c r="AM199" s="299"/>
      <c r="AN199" s="299"/>
      <c r="AO199" s="301"/>
      <c r="AP199" s="301"/>
      <c r="AQ199" s="426"/>
      <c r="AR199" s="298"/>
      <c r="AS199" s="299"/>
      <c r="AT199" s="299"/>
      <c r="AU199" s="301"/>
      <c r="AV199" s="301"/>
      <c r="AW199" s="91"/>
      <c r="AX199" s="298"/>
      <c r="AY199" s="299"/>
      <c r="AZ199" s="299"/>
      <c r="BA199" s="301"/>
      <c r="BB199" s="301"/>
      <c r="BC199" s="426"/>
      <c r="BD199" s="298"/>
      <c r="BE199" s="299"/>
      <c r="BF199" s="299"/>
      <c r="BG199" s="301"/>
      <c r="BH199" s="301"/>
      <c r="BI199" s="91"/>
      <c r="BJ199" s="298"/>
      <c r="BK199" s="299"/>
      <c r="BL199" s="299"/>
      <c r="BM199" s="301"/>
      <c r="BN199" s="301"/>
      <c r="BO199" s="91"/>
      <c r="BP199" s="9"/>
      <c r="BS199" s="81"/>
      <c r="BT199" s="81"/>
      <c r="BV199" s="9"/>
      <c r="BY199" s="81"/>
      <c r="BZ199" s="81"/>
      <c r="CB199" s="9"/>
      <c r="CE199" s="81"/>
      <c r="CF199" s="81"/>
      <c r="CH199" s="9"/>
      <c r="CK199" s="81"/>
      <c r="CL199" s="81"/>
      <c r="CR199" s="9"/>
      <c r="CS199" s="9"/>
      <c r="CT199" s="9"/>
      <c r="CU199" s="9"/>
      <c r="CV199" s="9"/>
      <c r="CW199" s="129"/>
      <c r="CX199" s="9"/>
    </row>
    <row r="200" spans="1:102">
      <c r="A200" s="6" t="str">
        <f t="shared" si="21"/>
        <v>00390039</v>
      </c>
      <c r="B200" s="6" t="s">
        <v>1689</v>
      </c>
      <c r="C200" s="6" t="s">
        <v>1689</v>
      </c>
      <c r="D200" s="6">
        <v>191</v>
      </c>
      <c r="E200" s="6">
        <v>39</v>
      </c>
      <c r="F200" s="6" t="s">
        <v>1158</v>
      </c>
      <c r="G200" s="6">
        <v>39</v>
      </c>
      <c r="H200" s="6" t="s">
        <v>720</v>
      </c>
      <c r="I200" s="33">
        <v>377077.07999999996</v>
      </c>
      <c r="J200" s="88">
        <v>4.7057537445139783E-2</v>
      </c>
      <c r="K200" s="89">
        <f>X200</f>
        <v>267378.24</v>
      </c>
      <c r="L200" s="88">
        <f>IF(K204&gt;0, K200/K204, 0)</f>
        <v>3.1758303731758752E-2</v>
      </c>
      <c r="M200" s="58"/>
      <c r="N200" s="9">
        <f>ROUND(M204*L200,0)</f>
        <v>220587</v>
      </c>
      <c r="O200" s="9">
        <v>311089</v>
      </c>
      <c r="P200" s="9">
        <f>N200-O200</f>
        <v>-90502</v>
      </c>
      <c r="Q200" s="40">
        <f t="shared" si="29"/>
        <v>-29.09199618115716</v>
      </c>
      <c r="R200" s="9">
        <v>21</v>
      </c>
      <c r="S200" s="9">
        <f t="shared" si="27"/>
        <v>14</v>
      </c>
      <c r="T200" s="90">
        <f t="shared" si="22"/>
        <v>39</v>
      </c>
      <c r="U200" s="90">
        <f t="shared" si="23"/>
        <v>39</v>
      </c>
      <c r="V200" s="373">
        <f t="shared" si="24"/>
        <v>191</v>
      </c>
      <c r="W200" s="90">
        <f t="shared" si="25"/>
        <v>14</v>
      </c>
      <c r="X200" s="90">
        <f t="shared" si="26"/>
        <v>267378.24</v>
      </c>
      <c r="Y200" s="141">
        <f t="shared" si="28"/>
        <v>191</v>
      </c>
      <c r="Z200" s="298">
        <v>39</v>
      </c>
      <c r="AA200" s="299">
        <v>39</v>
      </c>
      <c r="AB200" s="299">
        <v>191</v>
      </c>
      <c r="AC200" s="301">
        <v>14</v>
      </c>
      <c r="AD200" s="301">
        <v>267378.24</v>
      </c>
      <c r="AE200" s="126"/>
      <c r="AF200" s="298"/>
      <c r="AG200" s="299"/>
      <c r="AH200" s="299"/>
      <c r="AI200" s="301"/>
      <c r="AJ200" s="301"/>
      <c r="AK200" s="426"/>
      <c r="AL200" s="298"/>
      <c r="AM200" s="299"/>
      <c r="AN200" s="299"/>
      <c r="AO200" s="301"/>
      <c r="AP200" s="301"/>
      <c r="AQ200" s="426"/>
      <c r="AR200" s="298"/>
      <c r="AS200" s="299"/>
      <c r="AT200" s="299"/>
      <c r="AU200" s="301"/>
      <c r="AV200" s="301"/>
      <c r="AW200" s="88"/>
      <c r="AX200" s="298"/>
      <c r="AY200" s="299"/>
      <c r="AZ200" s="299"/>
      <c r="BA200" s="301"/>
      <c r="BB200" s="301"/>
      <c r="BC200" s="426"/>
      <c r="BD200" s="298"/>
      <c r="BE200" s="299"/>
      <c r="BF200" s="299"/>
      <c r="BG200" s="301"/>
      <c r="BH200" s="301"/>
      <c r="BI200" s="88"/>
      <c r="BJ200" s="298"/>
      <c r="BK200" s="299"/>
      <c r="BL200" s="299"/>
      <c r="BM200" s="301"/>
      <c r="BN200" s="301"/>
      <c r="BO200" s="88"/>
      <c r="BP200" s="9"/>
      <c r="BS200" s="81"/>
      <c r="BT200" s="81"/>
      <c r="BV200" s="9"/>
      <c r="BY200" s="81"/>
      <c r="BZ200" s="81"/>
      <c r="CB200" s="9"/>
      <c r="CE200" s="81"/>
      <c r="CF200" s="81"/>
      <c r="CH200" s="9"/>
      <c r="CK200" s="81"/>
      <c r="CL200" s="81"/>
      <c r="CR200" s="9"/>
      <c r="CS200" s="9"/>
      <c r="CT200" s="9"/>
      <c r="CU200" s="9"/>
      <c r="CV200" s="9"/>
      <c r="CW200" s="129"/>
      <c r="CX200" s="9"/>
    </row>
    <row r="201" spans="1:102">
      <c r="A201" s="6" t="str">
        <f t="shared" si="21"/>
        <v>00390620</v>
      </c>
      <c r="B201" s="6" t="s">
        <v>1689</v>
      </c>
      <c r="C201" s="6" t="s">
        <v>2011</v>
      </c>
      <c r="D201" s="6">
        <v>192</v>
      </c>
      <c r="E201" s="6">
        <v>39</v>
      </c>
      <c r="F201" s="6" t="s">
        <v>1158</v>
      </c>
      <c r="G201" s="6">
        <v>620</v>
      </c>
      <c r="H201" s="6" t="s">
        <v>1041</v>
      </c>
      <c r="I201" s="33">
        <v>7636029.8625296801</v>
      </c>
      <c r="J201" s="88">
        <v>0.95294246255486026</v>
      </c>
      <c r="K201" s="89">
        <f t="shared" si="30"/>
        <v>8151781.7459478015</v>
      </c>
      <c r="L201" s="88">
        <f>IF(K204&gt;0, K201/K204, 0)</f>
        <v>0.9682416962682413</v>
      </c>
      <c r="M201" s="58"/>
      <c r="N201" s="9">
        <f>ROUND(M204*L201,0)</f>
        <v>6725220</v>
      </c>
      <c r="O201" s="9">
        <v>6299724</v>
      </c>
      <c r="P201" s="9">
        <f>N201-O201</f>
        <v>425496</v>
      </c>
      <c r="Q201" s="40">
        <f t="shared" si="29"/>
        <v>6.7542006602194</v>
      </c>
      <c r="R201" s="9">
        <v>614.32871287248008</v>
      </c>
      <c r="S201" s="9">
        <f t="shared" si="27"/>
        <v>637.36827195014996</v>
      </c>
      <c r="T201" s="90">
        <f t="shared" si="22"/>
        <v>39</v>
      </c>
      <c r="U201" s="90">
        <f t="shared" si="23"/>
        <v>620</v>
      </c>
      <c r="V201" s="373">
        <f t="shared" si="24"/>
        <v>192</v>
      </c>
      <c r="W201" s="90">
        <f t="shared" si="25"/>
        <v>637.36827195014996</v>
      </c>
      <c r="X201" s="90">
        <f t="shared" si="26"/>
        <v>8151781.7459478015</v>
      </c>
      <c r="Y201" s="141">
        <f t="shared" si="28"/>
        <v>192</v>
      </c>
      <c r="Z201" s="298">
        <v>39</v>
      </c>
      <c r="AA201" s="299">
        <v>620</v>
      </c>
      <c r="AB201" s="299">
        <v>192</v>
      </c>
      <c r="AC201" s="301">
        <v>637.36827195014996</v>
      </c>
      <c r="AD201" s="301">
        <v>8151781.7459478015</v>
      </c>
      <c r="AE201" s="126"/>
      <c r="AF201" s="298"/>
      <c r="AG201" s="299"/>
      <c r="AH201" s="299"/>
      <c r="AI201" s="301"/>
      <c r="AJ201" s="301"/>
      <c r="AK201" s="426"/>
      <c r="AL201" s="298"/>
      <c r="AM201" s="299"/>
      <c r="AN201" s="299"/>
      <c r="AO201" s="301"/>
      <c r="AP201" s="301"/>
      <c r="AQ201" s="426"/>
      <c r="AR201" s="298"/>
      <c r="AS201" s="299"/>
      <c r="AT201" s="299"/>
      <c r="AU201" s="301"/>
      <c r="AV201" s="301"/>
      <c r="AW201" s="88"/>
      <c r="AX201" s="298"/>
      <c r="AY201" s="299"/>
      <c r="AZ201" s="299"/>
      <c r="BA201" s="301"/>
      <c r="BB201" s="301"/>
      <c r="BC201" s="426"/>
      <c r="BD201" s="298"/>
      <c r="BE201" s="299"/>
      <c r="BF201" s="299"/>
      <c r="BG201" s="301"/>
      <c r="BH201" s="301"/>
      <c r="BI201" s="88"/>
      <c r="BJ201" s="298"/>
      <c r="BK201" s="299"/>
      <c r="BL201" s="299"/>
      <c r="BM201" s="301"/>
      <c r="BN201" s="301"/>
      <c r="BO201" s="88"/>
      <c r="BP201" s="9"/>
      <c r="BS201" s="81"/>
      <c r="BT201" s="81"/>
      <c r="BV201" s="9"/>
      <c r="BY201" s="81"/>
      <c r="BZ201" s="81"/>
      <c r="CB201" s="9"/>
      <c r="CE201" s="81"/>
      <c r="CF201" s="81"/>
      <c r="CH201" s="9"/>
      <c r="CK201" s="81"/>
      <c r="CL201" s="81"/>
      <c r="CR201" s="9"/>
      <c r="CS201" s="9"/>
      <c r="CT201" s="9"/>
      <c r="CU201" s="9"/>
      <c r="CV201" s="9"/>
      <c r="CW201" s="129"/>
      <c r="CX201" s="9"/>
    </row>
    <row r="202" spans="1:102">
      <c r="A202" s="6" t="str">
        <f t="shared" ref="A202:A265" si="31">B202&amp;C202</f>
        <v>00390998</v>
      </c>
      <c r="B202" s="6" t="s">
        <v>1689</v>
      </c>
      <c r="C202" s="6" t="s">
        <v>2091</v>
      </c>
      <c r="D202" s="6">
        <v>193</v>
      </c>
      <c r="E202" s="6">
        <v>39</v>
      </c>
      <c r="F202" s="6" t="s">
        <v>1547</v>
      </c>
      <c r="G202" s="6">
        <v>998</v>
      </c>
      <c r="H202" s="6" t="s">
        <v>1547</v>
      </c>
      <c r="I202" s="33">
        <v>0</v>
      </c>
      <c r="J202" s="88">
        <v>0</v>
      </c>
      <c r="K202" s="89">
        <f t="shared" si="30"/>
        <v>0</v>
      </c>
      <c r="L202" s="88">
        <f>IF(K204&gt;0, K202/K204, 0)</f>
        <v>0</v>
      </c>
      <c r="M202" s="58"/>
      <c r="N202" s="9">
        <f>ROUND(M204*L202,0)</f>
        <v>0</v>
      </c>
      <c r="O202" s="9">
        <v>0</v>
      </c>
      <c r="P202" s="9">
        <f>N202-O202</f>
        <v>0</v>
      </c>
      <c r="Q202" s="40">
        <f t="shared" si="29"/>
        <v>0</v>
      </c>
      <c r="R202" s="9">
        <v>0</v>
      </c>
      <c r="S202" s="9">
        <f t="shared" si="27"/>
        <v>0</v>
      </c>
      <c r="T202" s="90">
        <f t="shared" ref="T202:T265" si="32">VLOOKUP($D202, foundoptions, VLOOKUP($T$6, foundoptcell, 2, FALSE), FALSE)</f>
        <v>39</v>
      </c>
      <c r="U202" s="90">
        <f t="shared" ref="U202:U265" si="33">VLOOKUP($D202, foundoptions, VLOOKUP($T$6, foundoptcell, 2, FALSE)+1, FALSE)</f>
        <v>998</v>
      </c>
      <c r="V202" s="373">
        <f t="shared" ref="V202:V265" si="34">VLOOKUP($D202, foundoptions, VLOOKUP($T$6, foundoptcell, 2, FALSE)+2, FALSE)</f>
        <v>193</v>
      </c>
      <c r="W202" s="90">
        <f t="shared" ref="W202:W265" si="35">VLOOKUP($D202, foundoptions, VLOOKUP($T$6, foundoptcell, 2, FALSE)+3, FALSE)</f>
        <v>0</v>
      </c>
      <c r="X202" s="90">
        <f t="shared" ref="X202:X265" si="36">VLOOKUP($D202, foundoptions, VLOOKUP($T$6, foundoptcell, 2, FALSE)+4, FALSE)</f>
        <v>0</v>
      </c>
      <c r="Y202" s="141">
        <f t="shared" si="28"/>
        <v>193</v>
      </c>
      <c r="Z202" s="298">
        <v>39</v>
      </c>
      <c r="AA202" s="299">
        <v>998</v>
      </c>
      <c r="AB202" s="299">
        <v>193</v>
      </c>
      <c r="AC202" s="301">
        <v>0</v>
      </c>
      <c r="AD202" s="301">
        <v>0</v>
      </c>
      <c r="AE202" s="126"/>
      <c r="AF202" s="298"/>
      <c r="AG202" s="299"/>
      <c r="AH202" s="299"/>
      <c r="AI202" s="301"/>
      <c r="AJ202" s="301"/>
      <c r="AK202" s="426"/>
      <c r="AL202" s="298"/>
      <c r="AM202" s="299"/>
      <c r="AN202" s="299"/>
      <c r="AO202" s="301"/>
      <c r="AP202" s="301"/>
      <c r="AQ202" s="426"/>
      <c r="AR202" s="298"/>
      <c r="AS202" s="299"/>
      <c r="AT202" s="299"/>
      <c r="AU202" s="301"/>
      <c r="AV202" s="301"/>
      <c r="AW202" s="88"/>
      <c r="AX202" s="298"/>
      <c r="AY202" s="299"/>
      <c r="AZ202" s="299"/>
      <c r="BA202" s="301"/>
      <c r="BB202" s="301"/>
      <c r="BC202" s="426"/>
      <c r="BD202" s="298"/>
      <c r="BE202" s="299"/>
      <c r="BF202" s="299"/>
      <c r="BG202" s="301"/>
      <c r="BH202" s="301"/>
      <c r="BI202" s="88"/>
      <c r="BJ202" s="298"/>
      <c r="BK202" s="299"/>
      <c r="BL202" s="299"/>
      <c r="BM202" s="301"/>
      <c r="BN202" s="301"/>
      <c r="BO202" s="88"/>
      <c r="BP202" s="9"/>
      <c r="BS202" s="81"/>
      <c r="BT202" s="81"/>
      <c r="BV202" s="9"/>
      <c r="BY202" s="81"/>
      <c r="BZ202" s="81"/>
      <c r="CB202" s="9"/>
      <c r="CE202" s="81"/>
      <c r="CF202" s="81"/>
      <c r="CH202" s="9"/>
      <c r="CK202" s="81"/>
      <c r="CL202" s="81"/>
      <c r="CR202" s="9"/>
      <c r="CS202" s="9"/>
      <c r="CT202" s="9"/>
      <c r="CU202" s="9"/>
      <c r="CV202" s="9"/>
      <c r="CW202" s="129"/>
      <c r="CX202" s="9"/>
    </row>
    <row r="203" spans="1:102">
      <c r="A203" s="6" t="str">
        <f t="shared" si="31"/>
        <v>00390998</v>
      </c>
      <c r="B203" s="6" t="s">
        <v>1689</v>
      </c>
      <c r="C203" s="6" t="s">
        <v>2091</v>
      </c>
      <c r="D203" s="6">
        <v>194</v>
      </c>
      <c r="E203" s="6">
        <v>39</v>
      </c>
      <c r="F203" s="6" t="s">
        <v>1547</v>
      </c>
      <c r="G203" s="6">
        <v>998</v>
      </c>
      <c r="H203" s="6" t="s">
        <v>1547</v>
      </c>
      <c r="I203" s="33">
        <v>0</v>
      </c>
      <c r="J203" s="88">
        <v>0</v>
      </c>
      <c r="K203" s="89">
        <f t="shared" si="30"/>
        <v>0</v>
      </c>
      <c r="L203" s="88">
        <f>IF(K204&gt;0, K203/K204, 0)</f>
        <v>0</v>
      </c>
      <c r="M203" s="58"/>
      <c r="N203" s="9">
        <f>ROUND(M204*L203,0)</f>
        <v>0</v>
      </c>
      <c r="O203" s="9">
        <v>0</v>
      </c>
      <c r="P203" s="9">
        <f>N203-O203</f>
        <v>0</v>
      </c>
      <c r="Q203" s="40">
        <f t="shared" si="29"/>
        <v>0</v>
      </c>
      <c r="R203" s="9">
        <v>0</v>
      </c>
      <c r="S203" s="9">
        <f t="shared" ref="S203:S266" si="37">W203</f>
        <v>0</v>
      </c>
      <c r="T203" s="90">
        <f t="shared" si="32"/>
        <v>39</v>
      </c>
      <c r="U203" s="90">
        <f t="shared" si="33"/>
        <v>998</v>
      </c>
      <c r="V203" s="373">
        <f t="shared" si="34"/>
        <v>194</v>
      </c>
      <c r="W203" s="90">
        <f t="shared" si="35"/>
        <v>0</v>
      </c>
      <c r="X203" s="90">
        <f t="shared" si="36"/>
        <v>0</v>
      </c>
      <c r="Y203" s="141">
        <f t="shared" ref="Y203:Y266" si="38">D203</f>
        <v>194</v>
      </c>
      <c r="Z203" s="298">
        <v>39</v>
      </c>
      <c r="AA203" s="299">
        <v>998</v>
      </c>
      <c r="AB203" s="299">
        <v>194</v>
      </c>
      <c r="AC203" s="301">
        <v>0</v>
      </c>
      <c r="AD203" s="301">
        <v>0</v>
      </c>
      <c r="AE203" s="126"/>
      <c r="AF203" s="298"/>
      <c r="AG203" s="299"/>
      <c r="AH203" s="299"/>
      <c r="AI203" s="301"/>
      <c r="AJ203" s="301"/>
      <c r="AK203" s="426"/>
      <c r="AL203" s="298"/>
      <c r="AM203" s="299"/>
      <c r="AN203" s="299"/>
      <c r="AO203" s="301"/>
      <c r="AP203" s="301"/>
      <c r="AQ203" s="426"/>
      <c r="AR203" s="298"/>
      <c r="AS203" s="299"/>
      <c r="AT203" s="299"/>
      <c r="AU203" s="301"/>
      <c r="AV203" s="301"/>
      <c r="AW203" s="88"/>
      <c r="AX203" s="298"/>
      <c r="AY203" s="299"/>
      <c r="AZ203" s="299"/>
      <c r="BA203" s="301"/>
      <c r="BB203" s="301"/>
      <c r="BC203" s="426"/>
      <c r="BD203" s="298"/>
      <c r="BE203" s="299"/>
      <c r="BF203" s="299"/>
      <c r="BG203" s="301"/>
      <c r="BH203" s="301"/>
      <c r="BI203" s="88"/>
      <c r="BJ203" s="298"/>
      <c r="BK203" s="299"/>
      <c r="BL203" s="299"/>
      <c r="BM203" s="301"/>
      <c r="BN203" s="301"/>
      <c r="BO203" s="88"/>
      <c r="BP203" s="9"/>
      <c r="BS203" s="81"/>
      <c r="BT203" s="81"/>
      <c r="BV203" s="9"/>
      <c r="BY203" s="81"/>
      <c r="BZ203" s="81"/>
      <c r="CB203" s="9"/>
      <c r="CE203" s="81"/>
      <c r="CF203" s="81"/>
      <c r="CH203" s="9"/>
      <c r="CK203" s="81"/>
      <c r="CL203" s="81"/>
      <c r="CR203" s="9"/>
      <c r="CS203" s="9"/>
      <c r="CT203" s="9"/>
      <c r="CU203" s="9"/>
      <c r="CV203" s="9"/>
      <c r="CW203" s="129"/>
      <c r="CX203" s="9"/>
    </row>
    <row r="204" spans="1:102">
      <c r="A204" s="6" t="str">
        <f t="shared" si="31"/>
        <v>00390999</v>
      </c>
      <c r="B204" s="6" t="s">
        <v>1689</v>
      </c>
      <c r="C204" s="6" t="s">
        <v>2092</v>
      </c>
      <c r="D204" s="6">
        <v>195</v>
      </c>
      <c r="E204" s="10">
        <v>39</v>
      </c>
      <c r="F204" s="10" t="s">
        <v>1158</v>
      </c>
      <c r="G204" s="10">
        <v>999</v>
      </c>
      <c r="H204" s="10" t="s">
        <v>593</v>
      </c>
      <c r="I204" s="92">
        <v>8013106.9425296802</v>
      </c>
      <c r="J204" s="472">
        <v>1</v>
      </c>
      <c r="K204" s="53">
        <f>SUM(K200:K203)</f>
        <v>8419159.9859478008</v>
      </c>
      <c r="L204" s="91">
        <f>SUM(L200:L203)</f>
        <v>1</v>
      </c>
      <c r="M204" s="79">
        <f>VLOOKUP(E204,town351,24)</f>
        <v>6945807</v>
      </c>
      <c r="N204" s="79">
        <f>SUM(N200:N203)</f>
        <v>6945807</v>
      </c>
      <c r="O204" s="79">
        <v>6610813</v>
      </c>
      <c r="P204" s="79">
        <f>SUM(P200:P203)</f>
        <v>334994</v>
      </c>
      <c r="Q204" s="39">
        <f t="shared" si="29"/>
        <v>5.0673646342741812</v>
      </c>
      <c r="R204" s="9">
        <v>635.32871287248008</v>
      </c>
      <c r="S204" s="9">
        <f t="shared" si="37"/>
        <v>651.36827195014996</v>
      </c>
      <c r="T204" s="90">
        <f t="shared" si="32"/>
        <v>39</v>
      </c>
      <c r="U204" s="90">
        <f t="shared" si="33"/>
        <v>999</v>
      </c>
      <c r="V204" s="373">
        <f t="shared" si="34"/>
        <v>195</v>
      </c>
      <c r="W204" s="90">
        <f t="shared" si="35"/>
        <v>651.36827195014996</v>
      </c>
      <c r="X204" s="90">
        <f t="shared" si="36"/>
        <v>8419159.9859478008</v>
      </c>
      <c r="Y204" s="141">
        <f t="shared" si="38"/>
        <v>195</v>
      </c>
      <c r="Z204" s="298">
        <v>39</v>
      </c>
      <c r="AA204" s="299">
        <v>999</v>
      </c>
      <c r="AB204" s="299">
        <v>195</v>
      </c>
      <c r="AC204" s="301">
        <v>651.36827195014996</v>
      </c>
      <c r="AD204" s="301">
        <v>8419159.9859478008</v>
      </c>
      <c r="AE204" s="126"/>
      <c r="AF204" s="298"/>
      <c r="AG204" s="299"/>
      <c r="AH204" s="299"/>
      <c r="AI204" s="301"/>
      <c r="AJ204" s="301"/>
      <c r="AK204" s="426"/>
      <c r="AL204" s="298"/>
      <c r="AM204" s="299"/>
      <c r="AN204" s="299"/>
      <c r="AO204" s="301"/>
      <c r="AP204" s="301"/>
      <c r="AQ204" s="426"/>
      <c r="AR204" s="298"/>
      <c r="AS204" s="299"/>
      <c r="AT204" s="299"/>
      <c r="AU204" s="301"/>
      <c r="AV204" s="301"/>
      <c r="AW204" s="91"/>
      <c r="AX204" s="298"/>
      <c r="AY204" s="299"/>
      <c r="AZ204" s="299"/>
      <c r="BA204" s="301"/>
      <c r="BB204" s="301"/>
      <c r="BC204" s="426"/>
      <c r="BD204" s="298"/>
      <c r="BE204" s="299"/>
      <c r="BF204" s="299"/>
      <c r="BG204" s="301"/>
      <c r="BH204" s="301"/>
      <c r="BI204" s="91"/>
      <c r="BJ204" s="298"/>
      <c r="BK204" s="299"/>
      <c r="BL204" s="299"/>
      <c r="BM204" s="301"/>
      <c r="BN204" s="301"/>
      <c r="BO204" s="91"/>
      <c r="BP204" s="9"/>
      <c r="BS204" s="81"/>
      <c r="BT204" s="81"/>
      <c r="BV204" s="9"/>
      <c r="BY204" s="81"/>
      <c r="BZ204" s="81"/>
      <c r="CB204" s="9"/>
      <c r="CE204" s="81"/>
      <c r="CF204" s="81"/>
      <c r="CH204" s="9"/>
      <c r="CK204" s="81"/>
      <c r="CL204" s="81"/>
      <c r="CR204" s="9"/>
      <c r="CS204" s="9"/>
      <c r="CT204" s="9"/>
      <c r="CU204" s="9"/>
      <c r="CV204" s="9"/>
      <c r="CW204" s="129"/>
      <c r="CX204" s="9"/>
    </row>
    <row r="205" spans="1:102">
      <c r="A205" s="6" t="str">
        <f t="shared" si="31"/>
        <v>00400040</v>
      </c>
      <c r="B205" s="6" t="s">
        <v>1690</v>
      </c>
      <c r="C205" s="6" t="s">
        <v>1690</v>
      </c>
      <c r="D205" s="6">
        <v>196</v>
      </c>
      <c r="E205" s="6">
        <v>40</v>
      </c>
      <c r="F205" s="6" t="s">
        <v>1159</v>
      </c>
      <c r="G205" s="6">
        <v>40</v>
      </c>
      <c r="H205" s="6" t="s">
        <v>721</v>
      </c>
      <c r="I205" s="33">
        <v>72501248.639650002</v>
      </c>
      <c r="J205" s="88">
        <v>0.94896812918245022</v>
      </c>
      <c r="K205" s="89">
        <f>X205</f>
        <v>73532608.806799993</v>
      </c>
      <c r="L205" s="88">
        <f>IF(K209&gt;0, K205/K209, 0)</f>
        <v>0.94895694648984907</v>
      </c>
      <c r="M205" s="58"/>
      <c r="N205" s="9">
        <f>ROUND(M209*L205,0)</f>
        <v>55176708</v>
      </c>
      <c r="O205" s="9">
        <v>51848673</v>
      </c>
      <c r="P205" s="9">
        <f>N205-O205</f>
        <v>3328035</v>
      </c>
      <c r="Q205" s="40">
        <f t="shared" si="29"/>
        <v>6.4187467247233112</v>
      </c>
      <c r="R205" s="9">
        <v>5244</v>
      </c>
      <c r="S205" s="9">
        <f t="shared" si="37"/>
        <v>5181</v>
      </c>
      <c r="T205" s="90">
        <f t="shared" si="32"/>
        <v>40</v>
      </c>
      <c r="U205" s="90">
        <f t="shared" si="33"/>
        <v>40</v>
      </c>
      <c r="V205" s="373">
        <f t="shared" si="34"/>
        <v>196</v>
      </c>
      <c r="W205" s="90">
        <f t="shared" si="35"/>
        <v>5181</v>
      </c>
      <c r="X205" s="90">
        <f t="shared" si="36"/>
        <v>73532608.806799993</v>
      </c>
      <c r="Y205" s="141">
        <f t="shared" si="38"/>
        <v>196</v>
      </c>
      <c r="Z205" s="298">
        <v>40</v>
      </c>
      <c r="AA205" s="299">
        <v>40</v>
      </c>
      <c r="AB205" s="299">
        <v>196</v>
      </c>
      <c r="AC205" s="301">
        <v>5181</v>
      </c>
      <c r="AD205" s="301">
        <v>73532608.806799993</v>
      </c>
      <c r="AE205" s="126"/>
      <c r="AF205" s="298"/>
      <c r="AG205" s="299"/>
      <c r="AH205" s="299"/>
      <c r="AI205" s="301"/>
      <c r="AJ205" s="301"/>
      <c r="AK205" s="426"/>
      <c r="AL205" s="298"/>
      <c r="AM205" s="299"/>
      <c r="AN205" s="299"/>
      <c r="AO205" s="301"/>
      <c r="AP205" s="301"/>
      <c r="AQ205" s="426"/>
      <c r="AR205" s="298"/>
      <c r="AS205" s="299"/>
      <c r="AT205" s="299"/>
      <c r="AU205" s="301"/>
      <c r="AV205" s="301"/>
      <c r="AW205" s="88"/>
      <c r="AX205" s="298"/>
      <c r="AY205" s="299"/>
      <c r="AZ205" s="299"/>
      <c r="BA205" s="301"/>
      <c r="BB205" s="301"/>
      <c r="BC205" s="426"/>
      <c r="BD205" s="298"/>
      <c r="BE205" s="299"/>
      <c r="BF205" s="299"/>
      <c r="BG205" s="301"/>
      <c r="BH205" s="301"/>
      <c r="BI205" s="88"/>
      <c r="BJ205" s="298"/>
      <c r="BK205" s="299"/>
      <c r="BL205" s="299"/>
      <c r="BM205" s="301"/>
      <c r="BN205" s="301"/>
      <c r="BO205" s="88"/>
      <c r="BP205" s="9"/>
      <c r="BS205" s="81"/>
      <c r="BT205" s="81"/>
      <c r="BV205" s="9"/>
      <c r="BY205" s="81"/>
      <c r="BZ205" s="81"/>
      <c r="CB205" s="9"/>
      <c r="CE205" s="81"/>
      <c r="CF205" s="81"/>
      <c r="CH205" s="9"/>
      <c r="CK205" s="81"/>
      <c r="CL205" s="81"/>
      <c r="CR205" s="9"/>
      <c r="CS205" s="9"/>
      <c r="CT205" s="9"/>
      <c r="CU205" s="9"/>
      <c r="CV205" s="9"/>
      <c r="CW205" s="129"/>
      <c r="CX205" s="9"/>
    </row>
    <row r="206" spans="1:102">
      <c r="A206" s="6" t="str">
        <f t="shared" si="31"/>
        <v>00400806</v>
      </c>
      <c r="B206" s="6" t="s">
        <v>1690</v>
      </c>
      <c r="C206" s="6" t="s">
        <v>2064</v>
      </c>
      <c r="D206" s="6">
        <v>197</v>
      </c>
      <c r="E206" s="6">
        <v>40</v>
      </c>
      <c r="F206" s="6" t="s">
        <v>1159</v>
      </c>
      <c r="G206" s="6">
        <v>806</v>
      </c>
      <c r="H206" s="6" t="s">
        <v>1094</v>
      </c>
      <c r="I206" s="33">
        <v>3425252.3995417133</v>
      </c>
      <c r="J206" s="88">
        <v>4.4833094912977343E-2</v>
      </c>
      <c r="K206" s="89">
        <f t="shared" si="30"/>
        <v>3558783.6504581342</v>
      </c>
      <c r="L206" s="88">
        <f>IF(K209&gt;0, K206/K209, 0)</f>
        <v>4.5927004644019186E-2</v>
      </c>
      <c r="M206" s="58"/>
      <c r="N206" s="9">
        <f>ROUND(M209*L206,0)</f>
        <v>2670407</v>
      </c>
      <c r="O206" s="9">
        <v>2449541</v>
      </c>
      <c r="P206" s="9">
        <f>N206-O206</f>
        <v>220866</v>
      </c>
      <c r="Q206" s="40">
        <f t="shared" si="29"/>
        <v>9.0166280131665477</v>
      </c>
      <c r="R206" s="9">
        <v>157.00000000025</v>
      </c>
      <c r="S206" s="9">
        <f t="shared" si="37"/>
        <v>159.9999999968</v>
      </c>
      <c r="T206" s="90">
        <f t="shared" si="32"/>
        <v>40</v>
      </c>
      <c r="U206" s="90">
        <f t="shared" si="33"/>
        <v>806</v>
      </c>
      <c r="V206" s="373">
        <f t="shared" si="34"/>
        <v>197</v>
      </c>
      <c r="W206" s="90">
        <f t="shared" si="35"/>
        <v>159.9999999968</v>
      </c>
      <c r="X206" s="90">
        <f t="shared" si="36"/>
        <v>3558783.6504581342</v>
      </c>
      <c r="Y206" s="141">
        <f t="shared" si="38"/>
        <v>197</v>
      </c>
      <c r="Z206" s="298">
        <v>40</v>
      </c>
      <c r="AA206" s="299">
        <v>806</v>
      </c>
      <c r="AB206" s="299">
        <v>197</v>
      </c>
      <c r="AC206" s="301">
        <v>159.9999999968</v>
      </c>
      <c r="AD206" s="301">
        <v>3558783.6504581342</v>
      </c>
      <c r="AE206" s="126"/>
      <c r="AF206" s="298"/>
      <c r="AG206" s="299"/>
      <c r="AH206" s="299"/>
      <c r="AI206" s="301"/>
      <c r="AJ206" s="301"/>
      <c r="AK206" s="426"/>
      <c r="AL206" s="298"/>
      <c r="AM206" s="299"/>
      <c r="AN206" s="299"/>
      <c r="AO206" s="301"/>
      <c r="AP206" s="301"/>
      <c r="AQ206" s="426"/>
      <c r="AR206" s="298"/>
      <c r="AS206" s="299"/>
      <c r="AT206" s="299"/>
      <c r="AU206" s="301"/>
      <c r="AV206" s="301"/>
      <c r="AW206" s="88"/>
      <c r="AX206" s="298"/>
      <c r="AY206" s="299"/>
      <c r="AZ206" s="299"/>
      <c r="BA206" s="301"/>
      <c r="BB206" s="301"/>
      <c r="BC206" s="426"/>
      <c r="BD206" s="298"/>
      <c r="BE206" s="299"/>
      <c r="BF206" s="299"/>
      <c r="BG206" s="301"/>
      <c r="BH206" s="301"/>
      <c r="BI206" s="88"/>
      <c r="BJ206" s="298"/>
      <c r="BK206" s="299"/>
      <c r="BL206" s="299"/>
      <c r="BM206" s="301"/>
      <c r="BN206" s="301"/>
      <c r="BO206" s="88"/>
      <c r="BP206" s="9"/>
      <c r="BS206" s="81"/>
      <c r="BT206" s="81"/>
      <c r="BV206" s="9"/>
      <c r="BY206" s="81"/>
      <c r="BZ206" s="81"/>
      <c r="CB206" s="9"/>
      <c r="CE206" s="81"/>
      <c r="CF206" s="81"/>
      <c r="CH206" s="9"/>
      <c r="CK206" s="81"/>
      <c r="CL206" s="81"/>
      <c r="CR206" s="9"/>
      <c r="CS206" s="9"/>
      <c r="CT206" s="9"/>
      <c r="CU206" s="9"/>
      <c r="CV206" s="9"/>
      <c r="CW206" s="129"/>
      <c r="CX206" s="9"/>
    </row>
    <row r="207" spans="1:102">
      <c r="A207" s="6" t="str">
        <f t="shared" si="31"/>
        <v>00400915</v>
      </c>
      <c r="B207" s="6" t="s">
        <v>1690</v>
      </c>
      <c r="C207" s="6" t="s">
        <v>2089</v>
      </c>
      <c r="D207" s="6">
        <v>198</v>
      </c>
      <c r="E207" s="6">
        <v>40</v>
      </c>
      <c r="F207" s="6" t="s">
        <v>1159</v>
      </c>
      <c r="G207" s="6">
        <v>915</v>
      </c>
      <c r="H207" s="6" t="s">
        <v>1119</v>
      </c>
      <c r="I207" s="33">
        <v>473587.02499951859</v>
      </c>
      <c r="J207" s="88">
        <v>6.1987759045724067E-3</v>
      </c>
      <c r="K207" s="89">
        <f t="shared" si="30"/>
        <v>396431.49386416201</v>
      </c>
      <c r="L207" s="88">
        <f>IF(K209&gt;0, K207/K209, 0)</f>
        <v>5.1160488661318301E-3</v>
      </c>
      <c r="M207" s="58"/>
      <c r="N207" s="9">
        <f>ROUND(M209*L207,0)</f>
        <v>297471</v>
      </c>
      <c r="O207" s="9">
        <v>338682</v>
      </c>
      <c r="P207" s="9">
        <f>N207-O207</f>
        <v>-41211</v>
      </c>
      <c r="Q207" s="40">
        <f t="shared" si="29"/>
        <v>-12.168051446489628</v>
      </c>
      <c r="R207" s="9">
        <v>22.000000000220002</v>
      </c>
      <c r="S207" s="9">
        <f t="shared" si="37"/>
        <v>17.99999999968</v>
      </c>
      <c r="T207" s="90">
        <f t="shared" si="32"/>
        <v>40</v>
      </c>
      <c r="U207" s="90">
        <f t="shared" si="33"/>
        <v>915</v>
      </c>
      <c r="V207" s="373">
        <f t="shared" si="34"/>
        <v>198</v>
      </c>
      <c r="W207" s="90">
        <f t="shared" si="35"/>
        <v>17.99999999968</v>
      </c>
      <c r="X207" s="90">
        <f t="shared" si="36"/>
        <v>396431.49386416201</v>
      </c>
      <c r="Y207" s="141">
        <f t="shared" si="38"/>
        <v>198</v>
      </c>
      <c r="Z207" s="298">
        <v>40</v>
      </c>
      <c r="AA207" s="299">
        <v>915</v>
      </c>
      <c r="AB207" s="299">
        <v>198</v>
      </c>
      <c r="AC207" s="301">
        <v>17.99999999968</v>
      </c>
      <c r="AD207" s="301">
        <v>396431.49386416201</v>
      </c>
      <c r="AE207" s="126"/>
      <c r="AF207" s="298"/>
      <c r="AG207" s="299"/>
      <c r="AH207" s="299"/>
      <c r="AI207" s="301"/>
      <c r="AJ207" s="301"/>
      <c r="AK207" s="426"/>
      <c r="AL207" s="298"/>
      <c r="AM207" s="299"/>
      <c r="AN207" s="299"/>
      <c r="AO207" s="301"/>
      <c r="AP207" s="301"/>
      <c r="AQ207" s="426"/>
      <c r="AR207" s="298"/>
      <c r="AS207" s="299"/>
      <c r="AT207" s="299"/>
      <c r="AU207" s="301"/>
      <c r="AV207" s="301"/>
      <c r="AW207" s="88"/>
      <c r="AX207" s="298"/>
      <c r="AY207" s="299"/>
      <c r="AZ207" s="299"/>
      <c r="BA207" s="301"/>
      <c r="BB207" s="301"/>
      <c r="BC207" s="426"/>
      <c r="BD207" s="298"/>
      <c r="BE207" s="299"/>
      <c r="BF207" s="299"/>
      <c r="BG207" s="301"/>
      <c r="BH207" s="301"/>
      <c r="BI207" s="88"/>
      <c r="BJ207" s="298"/>
      <c r="BK207" s="299"/>
      <c r="BL207" s="299"/>
      <c r="BM207" s="301"/>
      <c r="BN207" s="301"/>
      <c r="BO207" s="88"/>
      <c r="BP207" s="9"/>
      <c r="BS207" s="81"/>
      <c r="BT207" s="81"/>
      <c r="BV207" s="9"/>
      <c r="BY207" s="81"/>
      <c r="BZ207" s="81"/>
      <c r="CB207" s="9"/>
      <c r="CE207" s="81"/>
      <c r="CF207" s="81"/>
      <c r="CH207" s="9"/>
      <c r="CK207" s="81"/>
      <c r="CL207" s="81"/>
      <c r="CR207" s="9"/>
      <c r="CS207" s="9"/>
      <c r="CT207" s="9"/>
      <c r="CU207" s="9"/>
      <c r="CV207" s="9"/>
      <c r="CW207" s="129"/>
      <c r="CX207" s="9"/>
    </row>
    <row r="208" spans="1:102">
      <c r="A208" s="6" t="str">
        <f t="shared" si="31"/>
        <v>00400998</v>
      </c>
      <c r="B208" s="6" t="s">
        <v>1690</v>
      </c>
      <c r="C208" s="6" t="s">
        <v>2091</v>
      </c>
      <c r="D208" s="6">
        <v>199</v>
      </c>
      <c r="E208" s="6">
        <v>40</v>
      </c>
      <c r="F208" s="6" t="s">
        <v>1547</v>
      </c>
      <c r="G208" s="6">
        <v>998</v>
      </c>
      <c r="H208" s="6" t="s">
        <v>1547</v>
      </c>
      <c r="I208" s="33">
        <v>0</v>
      </c>
      <c r="J208" s="88">
        <v>0</v>
      </c>
      <c r="K208" s="89">
        <f t="shared" si="30"/>
        <v>0</v>
      </c>
      <c r="L208" s="88">
        <f>IF(K209&gt;0, K208/K209, 0)</f>
        <v>0</v>
      </c>
      <c r="M208" s="58"/>
      <c r="N208" s="9">
        <f>ROUND(M209*L208,0)</f>
        <v>0</v>
      </c>
      <c r="O208" s="9">
        <v>0</v>
      </c>
      <c r="P208" s="9">
        <f>N208-O208</f>
        <v>0</v>
      </c>
      <c r="Q208" s="40">
        <f>IF(O208&gt;0,P208*100/O208,IF(P208&gt;0,100,0))</f>
        <v>0</v>
      </c>
      <c r="R208" s="9">
        <v>0</v>
      </c>
      <c r="S208" s="9">
        <f t="shared" si="37"/>
        <v>0</v>
      </c>
      <c r="T208" s="90">
        <f t="shared" si="32"/>
        <v>40</v>
      </c>
      <c r="U208" s="90">
        <f t="shared" si="33"/>
        <v>998</v>
      </c>
      <c r="V208" s="373">
        <f t="shared" si="34"/>
        <v>199</v>
      </c>
      <c r="W208" s="90">
        <f t="shared" si="35"/>
        <v>0</v>
      </c>
      <c r="X208" s="90">
        <f t="shared" si="36"/>
        <v>0</v>
      </c>
      <c r="Y208" s="141">
        <f t="shared" si="38"/>
        <v>199</v>
      </c>
      <c r="Z208" s="298">
        <v>40</v>
      </c>
      <c r="AA208" s="299">
        <v>998</v>
      </c>
      <c r="AB208" s="299">
        <v>199</v>
      </c>
      <c r="AC208" s="301">
        <v>0</v>
      </c>
      <c r="AD208" s="301">
        <v>0</v>
      </c>
      <c r="AE208" s="126"/>
      <c r="AF208" s="298"/>
      <c r="AG208" s="299"/>
      <c r="AH208" s="299"/>
      <c r="AI208" s="301"/>
      <c r="AJ208" s="301"/>
      <c r="AK208" s="426"/>
      <c r="AL208" s="298"/>
      <c r="AM208" s="299"/>
      <c r="AN208" s="299"/>
      <c r="AO208" s="301"/>
      <c r="AP208" s="301"/>
      <c r="AQ208" s="426"/>
      <c r="AR208" s="298"/>
      <c r="AS208" s="299"/>
      <c r="AT208" s="299"/>
      <c r="AU208" s="301"/>
      <c r="AV208" s="301"/>
      <c r="AW208" s="88"/>
      <c r="AX208" s="298"/>
      <c r="AY208" s="299"/>
      <c r="AZ208" s="299"/>
      <c r="BA208" s="301"/>
      <c r="BB208" s="301"/>
      <c r="BC208" s="426"/>
      <c r="BD208" s="298"/>
      <c r="BE208" s="299"/>
      <c r="BF208" s="299"/>
      <c r="BG208" s="301"/>
      <c r="BH208" s="301"/>
      <c r="BI208" s="88"/>
      <c r="BJ208" s="298"/>
      <c r="BK208" s="299"/>
      <c r="BL208" s="299"/>
      <c r="BM208" s="301"/>
      <c r="BN208" s="301"/>
      <c r="BO208" s="88"/>
      <c r="BP208" s="9"/>
      <c r="BS208" s="81"/>
      <c r="BT208" s="81"/>
      <c r="BV208" s="9"/>
      <c r="BY208" s="81"/>
      <c r="BZ208" s="81"/>
      <c r="CB208" s="9"/>
      <c r="CE208" s="81"/>
      <c r="CF208" s="81"/>
      <c r="CH208" s="9"/>
      <c r="CK208" s="81"/>
      <c r="CL208" s="81"/>
      <c r="CR208" s="9"/>
      <c r="CS208" s="9"/>
      <c r="CT208" s="9"/>
      <c r="CU208" s="9"/>
      <c r="CV208" s="9"/>
      <c r="CW208" s="129"/>
      <c r="CX208" s="9"/>
    </row>
    <row r="209" spans="1:102">
      <c r="A209" s="6" t="str">
        <f t="shared" si="31"/>
        <v>00400999</v>
      </c>
      <c r="B209" s="6" t="s">
        <v>1690</v>
      </c>
      <c r="C209" s="6" t="s">
        <v>2092</v>
      </c>
      <c r="D209" s="6">
        <v>200</v>
      </c>
      <c r="E209" s="10">
        <v>40</v>
      </c>
      <c r="F209" s="10" t="s">
        <v>1159</v>
      </c>
      <c r="G209" s="10">
        <v>999</v>
      </c>
      <c r="H209" s="10" t="s">
        <v>593</v>
      </c>
      <c r="I209" s="92">
        <v>76400088.064191237</v>
      </c>
      <c r="J209" s="472">
        <v>1</v>
      </c>
      <c r="K209" s="53">
        <f>SUM(K205:K208)</f>
        <v>77487823.951122284</v>
      </c>
      <c r="L209" s="91">
        <f>SUM(L205:L208)</f>
        <v>1.0000000000000002</v>
      </c>
      <c r="M209" s="79">
        <f>VLOOKUP(E209,town351,24)</f>
        <v>58144585</v>
      </c>
      <c r="N209" s="79">
        <f>SUM(N205:N208)</f>
        <v>58144586</v>
      </c>
      <c r="O209" s="79">
        <v>54636896</v>
      </c>
      <c r="P209" s="79">
        <f>SUM(P205:P208)</f>
        <v>3507690</v>
      </c>
      <c r="Q209" s="39">
        <f t="shared" ref="Q209:Q271" si="39">IF(O209&gt;0,P209*100/O209,IF(P209&gt;0,100,0))</f>
        <v>6.420002336882388</v>
      </c>
      <c r="R209" s="9">
        <v>5423.0000000004702</v>
      </c>
      <c r="S209" s="9">
        <f t="shared" si="37"/>
        <v>5358.9999999964803</v>
      </c>
      <c r="T209" s="90">
        <f t="shared" si="32"/>
        <v>40</v>
      </c>
      <c r="U209" s="90">
        <f t="shared" si="33"/>
        <v>999</v>
      </c>
      <c r="V209" s="373">
        <f t="shared" si="34"/>
        <v>200</v>
      </c>
      <c r="W209" s="90">
        <f t="shared" si="35"/>
        <v>5358.9999999964803</v>
      </c>
      <c r="X209" s="90">
        <f t="shared" si="36"/>
        <v>77487823.951122284</v>
      </c>
      <c r="Y209" s="141">
        <f t="shared" si="38"/>
        <v>200</v>
      </c>
      <c r="Z209" s="298">
        <v>40</v>
      </c>
      <c r="AA209" s="299">
        <v>999</v>
      </c>
      <c r="AB209" s="299">
        <v>200</v>
      </c>
      <c r="AC209" s="301">
        <v>5358.9999999964803</v>
      </c>
      <c r="AD209" s="301">
        <v>77487823.951122284</v>
      </c>
      <c r="AE209" s="126"/>
      <c r="AF209" s="298"/>
      <c r="AG209" s="299"/>
      <c r="AH209" s="299"/>
      <c r="AI209" s="301"/>
      <c r="AJ209" s="301"/>
      <c r="AK209" s="426"/>
      <c r="AL209" s="298"/>
      <c r="AM209" s="299"/>
      <c r="AN209" s="299"/>
      <c r="AO209" s="301"/>
      <c r="AP209" s="301"/>
      <c r="AQ209" s="426"/>
      <c r="AR209" s="298"/>
      <c r="AS209" s="299"/>
      <c r="AT209" s="299"/>
      <c r="AU209" s="301"/>
      <c r="AV209" s="301"/>
      <c r="AW209" s="91"/>
      <c r="AX209" s="298"/>
      <c r="AY209" s="299"/>
      <c r="AZ209" s="299"/>
      <c r="BA209" s="301"/>
      <c r="BB209" s="301"/>
      <c r="BC209" s="426"/>
      <c r="BD209" s="298"/>
      <c r="BE209" s="299"/>
      <c r="BF209" s="299"/>
      <c r="BG209" s="301"/>
      <c r="BH209" s="301"/>
      <c r="BI209" s="91"/>
      <c r="BJ209" s="298"/>
      <c r="BK209" s="299"/>
      <c r="BL209" s="299"/>
      <c r="BM209" s="301"/>
      <c r="BN209" s="301"/>
      <c r="BO209" s="91"/>
      <c r="BP209" s="9"/>
      <c r="BS209" s="81"/>
      <c r="BT209" s="81"/>
      <c r="BV209" s="9"/>
      <c r="BY209" s="81"/>
      <c r="BZ209" s="81"/>
      <c r="CB209" s="9"/>
      <c r="CE209" s="81"/>
      <c r="CF209" s="81"/>
      <c r="CH209" s="9"/>
      <c r="CK209" s="81"/>
      <c r="CL209" s="81"/>
      <c r="CR209" s="9"/>
      <c r="CS209" s="9"/>
      <c r="CT209" s="9"/>
      <c r="CU209" s="9"/>
      <c r="CV209" s="9"/>
      <c r="CW209" s="129"/>
      <c r="CX209" s="9"/>
    </row>
    <row r="210" spans="1:102">
      <c r="A210" s="6" t="str">
        <f t="shared" si="31"/>
        <v>00410041</v>
      </c>
      <c r="B210" s="6" t="s">
        <v>1691</v>
      </c>
      <c r="C210" s="6" t="s">
        <v>1691</v>
      </c>
      <c r="D210" s="6">
        <v>201</v>
      </c>
      <c r="E210" s="6">
        <v>41</v>
      </c>
      <c r="F210" s="6" t="s">
        <v>1160</v>
      </c>
      <c r="G210" s="6">
        <v>41</v>
      </c>
      <c r="H210" s="6" t="s">
        <v>722</v>
      </c>
      <c r="I210" s="33">
        <v>5743102.1100000003</v>
      </c>
      <c r="J210" s="88">
        <v>0.38019142842181958</v>
      </c>
      <c r="K210" s="89">
        <f t="shared" ref="K210:K273" si="40">X210</f>
        <v>5984373.9899999993</v>
      </c>
      <c r="L210" s="88">
        <f>IF(K214&gt;0, K210/K214, 0)</f>
        <v>0.39797671167365978</v>
      </c>
      <c r="M210" s="58"/>
      <c r="N210" s="9">
        <f>ROUND(M214*L210,0)</f>
        <v>4937108</v>
      </c>
      <c r="O210" s="9">
        <v>4394765</v>
      </c>
      <c r="P210" s="9">
        <f>N210-O210</f>
        <v>542343</v>
      </c>
      <c r="Q210" s="40">
        <f t="shared" si="39"/>
        <v>12.340659853257227</v>
      </c>
      <c r="R210" s="9">
        <v>418</v>
      </c>
      <c r="S210" s="9">
        <f t="shared" si="37"/>
        <v>421</v>
      </c>
      <c r="T210" s="90">
        <f t="shared" si="32"/>
        <v>41</v>
      </c>
      <c r="U210" s="90">
        <f t="shared" si="33"/>
        <v>41</v>
      </c>
      <c r="V210" s="373">
        <f t="shared" si="34"/>
        <v>201</v>
      </c>
      <c r="W210" s="90">
        <f t="shared" si="35"/>
        <v>421</v>
      </c>
      <c r="X210" s="90">
        <f t="shared" si="36"/>
        <v>5984373.9899999993</v>
      </c>
      <c r="Y210" s="141">
        <f t="shared" si="38"/>
        <v>201</v>
      </c>
      <c r="Z210" s="298">
        <v>41</v>
      </c>
      <c r="AA210" s="299">
        <v>41</v>
      </c>
      <c r="AB210" s="299">
        <v>201</v>
      </c>
      <c r="AC210" s="301">
        <v>421</v>
      </c>
      <c r="AD210" s="301">
        <v>5984373.9899999993</v>
      </c>
      <c r="AE210" s="126"/>
      <c r="AF210" s="298"/>
      <c r="AG210" s="299"/>
      <c r="AH210" s="299"/>
      <c r="AI210" s="301"/>
      <c r="AJ210" s="301"/>
      <c r="AK210" s="426"/>
      <c r="AL210" s="298"/>
      <c r="AM210" s="299"/>
      <c r="AN210" s="299"/>
      <c r="AO210" s="301"/>
      <c r="AP210" s="301"/>
      <c r="AQ210" s="426"/>
      <c r="AR210" s="298"/>
      <c r="AS210" s="299"/>
      <c r="AT210" s="299"/>
      <c r="AU210" s="301"/>
      <c r="AV210" s="301"/>
      <c r="AW210" s="88"/>
      <c r="AX210" s="298"/>
      <c r="AY210" s="299"/>
      <c r="AZ210" s="299"/>
      <c r="BA210" s="301"/>
      <c r="BB210" s="301"/>
      <c r="BC210" s="426"/>
      <c r="BD210" s="298"/>
      <c r="BE210" s="299"/>
      <c r="BF210" s="299"/>
      <c r="BG210" s="301"/>
      <c r="BH210" s="301"/>
      <c r="BI210" s="88"/>
      <c r="BJ210" s="298"/>
      <c r="BK210" s="299"/>
      <c r="BL210" s="299"/>
      <c r="BM210" s="301"/>
      <c r="BN210" s="301"/>
      <c r="BO210" s="88"/>
      <c r="BP210" s="9"/>
      <c r="BS210" s="81"/>
      <c r="BT210" s="81"/>
      <c r="BV210" s="9"/>
      <c r="BY210" s="81"/>
      <c r="BZ210" s="81"/>
      <c r="CB210" s="9"/>
      <c r="CE210" s="81"/>
      <c r="CF210" s="81"/>
      <c r="CH210" s="9"/>
      <c r="CK210" s="81"/>
      <c r="CL210" s="81"/>
      <c r="CR210" s="9"/>
      <c r="CS210" s="9"/>
      <c r="CT210" s="9"/>
      <c r="CU210" s="9"/>
      <c r="CV210" s="9"/>
      <c r="CW210" s="129"/>
      <c r="CX210" s="9"/>
    </row>
    <row r="211" spans="1:102">
      <c r="A211" s="6" t="str">
        <f t="shared" si="31"/>
        <v>00410660</v>
      </c>
      <c r="B211" s="6" t="s">
        <v>1691</v>
      </c>
      <c r="C211" s="6" t="s">
        <v>2021</v>
      </c>
      <c r="D211" s="6">
        <v>202</v>
      </c>
      <c r="E211" s="6">
        <v>41</v>
      </c>
      <c r="F211" s="6" t="s">
        <v>1160</v>
      </c>
      <c r="G211" s="6">
        <v>660</v>
      </c>
      <c r="H211" s="6" t="s">
        <v>1051</v>
      </c>
      <c r="I211" s="33">
        <v>8208782.277749504</v>
      </c>
      <c r="J211" s="88">
        <v>0.54341862638087446</v>
      </c>
      <c r="K211" s="89">
        <f t="shared" si="40"/>
        <v>7939514.4605249316</v>
      </c>
      <c r="L211" s="88">
        <f>IF(K214&gt;0, K211/K214, 0)</f>
        <v>0.52799872844932005</v>
      </c>
      <c r="M211" s="58"/>
      <c r="N211" s="9">
        <f>ROUND(M214*L211,0)</f>
        <v>6550099</v>
      </c>
      <c r="O211" s="9">
        <v>6281565</v>
      </c>
      <c r="P211" s="9">
        <f>N211-O211</f>
        <v>268534</v>
      </c>
      <c r="Q211" s="40">
        <f t="shared" si="39"/>
        <v>4.2749537734625047</v>
      </c>
      <c r="R211" s="9">
        <v>571.99999999997999</v>
      </c>
      <c r="S211" s="9">
        <f t="shared" si="37"/>
        <v>538.99999999559998</v>
      </c>
      <c r="T211" s="90">
        <f t="shared" si="32"/>
        <v>41</v>
      </c>
      <c r="U211" s="90">
        <f t="shared" si="33"/>
        <v>660</v>
      </c>
      <c r="V211" s="373">
        <f t="shared" si="34"/>
        <v>202</v>
      </c>
      <c r="W211" s="90">
        <f t="shared" si="35"/>
        <v>538.99999999559998</v>
      </c>
      <c r="X211" s="90">
        <f t="shared" si="36"/>
        <v>7939514.4605249316</v>
      </c>
      <c r="Y211" s="141">
        <f t="shared" si="38"/>
        <v>202</v>
      </c>
      <c r="Z211" s="298">
        <v>41</v>
      </c>
      <c r="AA211" s="299">
        <v>660</v>
      </c>
      <c r="AB211" s="299">
        <v>202</v>
      </c>
      <c r="AC211" s="301">
        <v>538.99999999559998</v>
      </c>
      <c r="AD211" s="301">
        <v>7939514.4605249316</v>
      </c>
      <c r="AE211" s="126"/>
      <c r="AF211" s="298"/>
      <c r="AG211" s="299"/>
      <c r="AH211" s="299"/>
      <c r="AI211" s="301"/>
      <c r="AJ211" s="301"/>
      <c r="AK211" s="426"/>
      <c r="AL211" s="298"/>
      <c r="AM211" s="299"/>
      <c r="AN211" s="299"/>
      <c r="AO211" s="301"/>
      <c r="AP211" s="301"/>
      <c r="AQ211" s="426"/>
      <c r="AR211" s="298"/>
      <c r="AS211" s="299"/>
      <c r="AT211" s="299"/>
      <c r="AU211" s="301"/>
      <c r="AV211" s="301"/>
      <c r="AW211" s="88"/>
      <c r="AX211" s="298"/>
      <c r="AY211" s="299"/>
      <c r="AZ211" s="299"/>
      <c r="BA211" s="301"/>
      <c r="BB211" s="301"/>
      <c r="BC211" s="426"/>
      <c r="BD211" s="298"/>
      <c r="BE211" s="299"/>
      <c r="BF211" s="299"/>
      <c r="BG211" s="301"/>
      <c r="BH211" s="301"/>
      <c r="BI211" s="88"/>
      <c r="BJ211" s="298"/>
      <c r="BK211" s="299"/>
      <c r="BL211" s="299"/>
      <c r="BM211" s="301"/>
      <c r="BN211" s="301"/>
      <c r="BO211" s="88"/>
      <c r="BP211" s="9"/>
      <c r="BS211" s="81"/>
      <c r="BT211" s="81"/>
      <c r="BV211" s="9"/>
      <c r="BY211" s="81"/>
      <c r="BZ211" s="81"/>
      <c r="CB211" s="9"/>
      <c r="CE211" s="81"/>
      <c r="CF211" s="81"/>
      <c r="CH211" s="9"/>
      <c r="CK211" s="81"/>
      <c r="CL211" s="81"/>
      <c r="CR211" s="9"/>
      <c r="CS211" s="9"/>
      <c r="CT211" s="9"/>
      <c r="CU211" s="9"/>
      <c r="CV211" s="9"/>
      <c r="CW211" s="129"/>
      <c r="CX211" s="9"/>
    </row>
    <row r="212" spans="1:102">
      <c r="A212" s="6" t="str">
        <f t="shared" si="31"/>
        <v>00410815</v>
      </c>
      <c r="B212" s="6" t="s">
        <v>1691</v>
      </c>
      <c r="C212" s="6" t="s">
        <v>2066</v>
      </c>
      <c r="D212" s="6">
        <v>203</v>
      </c>
      <c r="E212" s="6">
        <v>41</v>
      </c>
      <c r="F212" s="6" t="s">
        <v>1160</v>
      </c>
      <c r="G212" s="6">
        <v>815</v>
      </c>
      <c r="H212" s="6" t="s">
        <v>1096</v>
      </c>
      <c r="I212" s="33">
        <v>1153932.5262185577</v>
      </c>
      <c r="J212" s="88">
        <v>7.6389945197305964E-2</v>
      </c>
      <c r="K212" s="89">
        <f t="shared" si="40"/>
        <v>1113106.96770742</v>
      </c>
      <c r="L212" s="88">
        <f>IF(K214&gt;0, K212/K214, 0)</f>
        <v>7.4024559877020266E-2</v>
      </c>
      <c r="M212" s="58"/>
      <c r="N212" s="9">
        <f>ROUND(M214*L212,0)</f>
        <v>918313</v>
      </c>
      <c r="O212" s="9">
        <v>883018</v>
      </c>
      <c r="P212" s="9">
        <f>N212-O212</f>
        <v>35295</v>
      </c>
      <c r="Q212" s="40">
        <f t="shared" si="39"/>
        <v>3.9970872620943174</v>
      </c>
      <c r="R212" s="9">
        <v>53.15892054303</v>
      </c>
      <c r="S212" s="9">
        <f t="shared" si="37"/>
        <v>51.076576578859999</v>
      </c>
      <c r="T212" s="90">
        <f t="shared" si="32"/>
        <v>41</v>
      </c>
      <c r="U212" s="90">
        <f t="shared" si="33"/>
        <v>815</v>
      </c>
      <c r="V212" s="373">
        <f t="shared" si="34"/>
        <v>203</v>
      </c>
      <c r="W212" s="90">
        <f t="shared" si="35"/>
        <v>51.076576578859999</v>
      </c>
      <c r="X212" s="90">
        <f t="shared" si="36"/>
        <v>1113106.96770742</v>
      </c>
      <c r="Y212" s="141">
        <f t="shared" si="38"/>
        <v>203</v>
      </c>
      <c r="Z212" s="298">
        <v>41</v>
      </c>
      <c r="AA212" s="299">
        <v>815</v>
      </c>
      <c r="AB212" s="299">
        <v>203</v>
      </c>
      <c r="AC212" s="301">
        <v>51.076576578859999</v>
      </c>
      <c r="AD212" s="301">
        <v>1113106.96770742</v>
      </c>
      <c r="AE212" s="126"/>
      <c r="AF212" s="298"/>
      <c r="AG212" s="299"/>
      <c r="AH212" s="299"/>
      <c r="AI212" s="301"/>
      <c r="AJ212" s="301"/>
      <c r="AK212" s="426"/>
      <c r="AL212" s="298"/>
      <c r="AM212" s="299"/>
      <c r="AN212" s="299"/>
      <c r="AO212" s="301"/>
      <c r="AP212" s="301"/>
      <c r="AQ212" s="426"/>
      <c r="AR212" s="298"/>
      <c r="AS212" s="299"/>
      <c r="AT212" s="299"/>
      <c r="AU212" s="301"/>
      <c r="AV212" s="301"/>
      <c r="AW212" s="88"/>
      <c r="AX212" s="298"/>
      <c r="AY212" s="299"/>
      <c r="AZ212" s="299"/>
      <c r="BA212" s="301"/>
      <c r="BB212" s="301"/>
      <c r="BC212" s="426"/>
      <c r="BD212" s="298"/>
      <c r="BE212" s="299"/>
      <c r="BF212" s="299"/>
      <c r="BG212" s="301"/>
      <c r="BH212" s="301"/>
      <c r="BI212" s="88"/>
      <c r="BJ212" s="298"/>
      <c r="BK212" s="299"/>
      <c r="BL212" s="299"/>
      <c r="BM212" s="301"/>
      <c r="BN212" s="301"/>
      <c r="BO212" s="88"/>
      <c r="BP212" s="9"/>
      <c r="BS212" s="81"/>
      <c r="BT212" s="81"/>
      <c r="BV212" s="9"/>
      <c r="BY212" s="81"/>
      <c r="BZ212" s="81"/>
      <c r="CB212" s="9"/>
      <c r="CE212" s="81"/>
      <c r="CF212" s="81"/>
      <c r="CH212" s="9"/>
      <c r="CK212" s="81"/>
      <c r="CL212" s="81"/>
      <c r="CR212" s="9"/>
      <c r="CS212" s="9"/>
      <c r="CT212" s="9"/>
      <c r="CU212" s="9"/>
      <c r="CV212" s="9"/>
      <c r="CW212" s="129"/>
      <c r="CX212" s="9"/>
    </row>
    <row r="213" spans="1:102">
      <c r="A213" s="6" t="str">
        <f t="shared" si="31"/>
        <v>00410998</v>
      </c>
      <c r="B213" s="6" t="s">
        <v>1691</v>
      </c>
      <c r="C213" s="6" t="s">
        <v>2091</v>
      </c>
      <c r="D213" s="6">
        <v>204</v>
      </c>
      <c r="E213" s="6">
        <v>41</v>
      </c>
      <c r="F213" s="6" t="s">
        <v>1547</v>
      </c>
      <c r="G213" s="6">
        <v>998</v>
      </c>
      <c r="H213" s="6" t="s">
        <v>1547</v>
      </c>
      <c r="I213" s="33">
        <v>0</v>
      </c>
      <c r="J213" s="88">
        <v>0</v>
      </c>
      <c r="K213" s="89">
        <f t="shared" si="40"/>
        <v>0</v>
      </c>
      <c r="L213" s="88">
        <f>IF(K214&gt;0, K213/K214, 0)</f>
        <v>0</v>
      </c>
      <c r="M213" s="58"/>
      <c r="N213" s="9">
        <f>ROUND(M214*L213,0)</f>
        <v>0</v>
      </c>
      <c r="O213" s="9">
        <v>0</v>
      </c>
      <c r="P213" s="9">
        <f>N213-O213</f>
        <v>0</v>
      </c>
      <c r="Q213" s="40">
        <f t="shared" si="39"/>
        <v>0</v>
      </c>
      <c r="R213" s="9">
        <v>0</v>
      </c>
      <c r="S213" s="9">
        <f t="shared" si="37"/>
        <v>0</v>
      </c>
      <c r="T213" s="90">
        <f t="shared" si="32"/>
        <v>41</v>
      </c>
      <c r="U213" s="90">
        <f t="shared" si="33"/>
        <v>998</v>
      </c>
      <c r="V213" s="373">
        <f t="shared" si="34"/>
        <v>204</v>
      </c>
      <c r="W213" s="90">
        <f t="shared" si="35"/>
        <v>0</v>
      </c>
      <c r="X213" s="90">
        <f t="shared" si="36"/>
        <v>0</v>
      </c>
      <c r="Y213" s="141">
        <f t="shared" si="38"/>
        <v>204</v>
      </c>
      <c r="Z213" s="298">
        <v>41</v>
      </c>
      <c r="AA213" s="299">
        <v>998</v>
      </c>
      <c r="AB213" s="299">
        <v>204</v>
      </c>
      <c r="AC213" s="301">
        <v>0</v>
      </c>
      <c r="AD213" s="301">
        <v>0</v>
      </c>
      <c r="AE213" s="126"/>
      <c r="AF213" s="298"/>
      <c r="AG213" s="299"/>
      <c r="AH213" s="299"/>
      <c r="AI213" s="301"/>
      <c r="AJ213" s="301"/>
      <c r="AK213" s="426"/>
      <c r="AL213" s="298"/>
      <c r="AM213" s="299"/>
      <c r="AN213" s="299"/>
      <c r="AO213" s="301"/>
      <c r="AP213" s="301"/>
      <c r="AQ213" s="426"/>
      <c r="AR213" s="298"/>
      <c r="AS213" s="299"/>
      <c r="AT213" s="299"/>
      <c r="AU213" s="301"/>
      <c r="AV213" s="301"/>
      <c r="AW213" s="88"/>
      <c r="AX213" s="298"/>
      <c r="AY213" s="299"/>
      <c r="AZ213" s="299"/>
      <c r="BA213" s="301"/>
      <c r="BB213" s="301"/>
      <c r="BC213" s="426"/>
      <c r="BD213" s="298"/>
      <c r="BE213" s="299"/>
      <c r="BF213" s="299"/>
      <c r="BG213" s="301"/>
      <c r="BH213" s="301"/>
      <c r="BI213" s="88"/>
      <c r="BJ213" s="298"/>
      <c r="BK213" s="299"/>
      <c r="BL213" s="299"/>
      <c r="BM213" s="301"/>
      <c r="BN213" s="301"/>
      <c r="BO213" s="88"/>
      <c r="BP213" s="9"/>
      <c r="BS213" s="81"/>
      <c r="BT213" s="81"/>
      <c r="BV213" s="9"/>
      <c r="BY213" s="81"/>
      <c r="BZ213" s="81"/>
      <c r="CB213" s="9"/>
      <c r="CE213" s="81"/>
      <c r="CF213" s="81"/>
      <c r="CH213" s="9"/>
      <c r="CK213" s="81"/>
      <c r="CL213" s="81"/>
      <c r="CR213" s="9"/>
      <c r="CS213" s="9"/>
      <c r="CT213" s="9"/>
      <c r="CU213" s="9"/>
      <c r="CV213" s="9"/>
      <c r="CW213" s="129"/>
      <c r="CX213" s="9"/>
    </row>
    <row r="214" spans="1:102">
      <c r="A214" s="6" t="str">
        <f t="shared" si="31"/>
        <v>00410999</v>
      </c>
      <c r="B214" s="6" t="s">
        <v>1691</v>
      </c>
      <c r="C214" s="6" t="s">
        <v>2092</v>
      </c>
      <c r="D214" s="6">
        <v>205</v>
      </c>
      <c r="E214" s="10">
        <v>41</v>
      </c>
      <c r="F214" s="10" t="s">
        <v>1160</v>
      </c>
      <c r="G214" s="10">
        <v>999</v>
      </c>
      <c r="H214" s="10" t="s">
        <v>593</v>
      </c>
      <c r="I214" s="92">
        <v>15105816.913968062</v>
      </c>
      <c r="J214" s="472">
        <v>1</v>
      </c>
      <c r="K214" s="53">
        <f>SUM(K210:K213)</f>
        <v>15036995.41823235</v>
      </c>
      <c r="L214" s="91">
        <f>SUM(L210:L213)</f>
        <v>1</v>
      </c>
      <c r="M214" s="79">
        <f>VLOOKUP(E214,town351,24)</f>
        <v>12405521</v>
      </c>
      <c r="N214" s="79">
        <f>SUM(N210:N213)</f>
        <v>12405520</v>
      </c>
      <c r="O214" s="79">
        <v>11559348</v>
      </c>
      <c r="P214" s="79">
        <f>SUM(P210:P213)</f>
        <v>846172</v>
      </c>
      <c r="Q214" s="39">
        <f t="shared" si="39"/>
        <v>7.3202398612793731</v>
      </c>
      <c r="R214" s="9">
        <v>1043.15892054301</v>
      </c>
      <c r="S214" s="9">
        <f t="shared" si="37"/>
        <v>1011.07657657446</v>
      </c>
      <c r="T214" s="90">
        <f t="shared" si="32"/>
        <v>41</v>
      </c>
      <c r="U214" s="90">
        <f t="shared" si="33"/>
        <v>999</v>
      </c>
      <c r="V214" s="373">
        <f t="shared" si="34"/>
        <v>205</v>
      </c>
      <c r="W214" s="90">
        <f t="shared" si="35"/>
        <v>1011.07657657446</v>
      </c>
      <c r="X214" s="90">
        <f t="shared" si="36"/>
        <v>15036995.41823235</v>
      </c>
      <c r="Y214" s="141">
        <f t="shared" si="38"/>
        <v>205</v>
      </c>
      <c r="Z214" s="298">
        <v>41</v>
      </c>
      <c r="AA214" s="299">
        <v>999</v>
      </c>
      <c r="AB214" s="299">
        <v>205</v>
      </c>
      <c r="AC214" s="301">
        <v>1011.07657657446</v>
      </c>
      <c r="AD214" s="301">
        <v>15036995.41823235</v>
      </c>
      <c r="AE214" s="126"/>
      <c r="AF214" s="298"/>
      <c r="AG214" s="299"/>
      <c r="AH214" s="299"/>
      <c r="AI214" s="301"/>
      <c r="AJ214" s="301"/>
      <c r="AK214" s="426"/>
      <c r="AL214" s="298"/>
      <c r="AM214" s="299"/>
      <c r="AN214" s="299"/>
      <c r="AO214" s="301"/>
      <c r="AP214" s="301"/>
      <c r="AQ214" s="426"/>
      <c r="AR214" s="298"/>
      <c r="AS214" s="299"/>
      <c r="AT214" s="299"/>
      <c r="AU214" s="301"/>
      <c r="AV214" s="301"/>
      <c r="AW214" s="91"/>
      <c r="AX214" s="298"/>
      <c r="AY214" s="299"/>
      <c r="AZ214" s="299"/>
      <c r="BA214" s="301"/>
      <c r="BB214" s="301"/>
      <c r="BC214" s="426"/>
      <c r="BD214" s="298"/>
      <c r="BE214" s="299"/>
      <c r="BF214" s="299"/>
      <c r="BG214" s="301"/>
      <c r="BH214" s="301"/>
      <c r="BI214" s="91"/>
      <c r="BJ214" s="298"/>
      <c r="BK214" s="299"/>
      <c r="BL214" s="299"/>
      <c r="BM214" s="301"/>
      <c r="BN214" s="301"/>
      <c r="BO214" s="91"/>
      <c r="BP214" s="9"/>
      <c r="BS214" s="81"/>
      <c r="BT214" s="81"/>
      <c r="BV214" s="9"/>
      <c r="BY214" s="81"/>
      <c r="BZ214" s="81"/>
      <c r="CB214" s="9"/>
      <c r="CE214" s="81"/>
      <c r="CF214" s="81"/>
      <c r="CH214" s="9"/>
      <c r="CK214" s="81"/>
      <c r="CL214" s="81"/>
      <c r="CR214" s="9"/>
      <c r="CS214" s="9"/>
      <c r="CT214" s="9"/>
      <c r="CU214" s="9"/>
      <c r="CV214" s="9"/>
      <c r="CW214" s="129"/>
      <c r="CX214" s="9"/>
    </row>
    <row r="215" spans="1:102">
      <c r="A215" s="6" t="str">
        <f t="shared" si="31"/>
        <v>00420042</v>
      </c>
      <c r="B215" s="6" t="s">
        <v>1692</v>
      </c>
      <c r="C215" s="6" t="s">
        <v>1692</v>
      </c>
      <c r="D215" s="6">
        <v>206</v>
      </c>
      <c r="E215" s="6">
        <v>42</v>
      </c>
      <c r="F215" s="6" t="s">
        <v>1161</v>
      </c>
      <c r="G215" s="6">
        <v>42</v>
      </c>
      <c r="H215" s="6" t="s">
        <v>723</v>
      </c>
      <c r="I215" s="33">
        <v>228660.24000000002</v>
      </c>
      <c r="J215" s="88">
        <v>4.7710110570242442E-3</v>
      </c>
      <c r="K215" s="89">
        <f>X215</f>
        <v>334819.56000000006</v>
      </c>
      <c r="L215" s="88">
        <f>IF(K219&gt;0, K215/K219, 0)</f>
        <v>6.6610428418024002E-3</v>
      </c>
      <c r="M215" s="58"/>
      <c r="N215" s="9">
        <f>ROUND(M219*L215,0)</f>
        <v>195386</v>
      </c>
      <c r="O215" s="9">
        <v>131975</v>
      </c>
      <c r="P215" s="9">
        <f>N215-O215</f>
        <v>63411</v>
      </c>
      <c r="Q215" s="40">
        <f t="shared" si="39"/>
        <v>48.047736313695779</v>
      </c>
      <c r="R215" s="9">
        <v>12</v>
      </c>
      <c r="S215" s="9">
        <f t="shared" si="37"/>
        <v>18</v>
      </c>
      <c r="T215" s="90">
        <f t="shared" si="32"/>
        <v>42</v>
      </c>
      <c r="U215" s="90">
        <f t="shared" si="33"/>
        <v>42</v>
      </c>
      <c r="V215" s="373">
        <f t="shared" si="34"/>
        <v>206</v>
      </c>
      <c r="W215" s="90">
        <f t="shared" si="35"/>
        <v>18</v>
      </c>
      <c r="X215" s="90">
        <f t="shared" si="36"/>
        <v>334819.56000000006</v>
      </c>
      <c r="Y215" s="141">
        <f t="shared" si="38"/>
        <v>206</v>
      </c>
      <c r="Z215" s="298">
        <v>42</v>
      </c>
      <c r="AA215" s="299">
        <v>42</v>
      </c>
      <c r="AB215" s="299">
        <v>206</v>
      </c>
      <c r="AC215" s="301">
        <v>18</v>
      </c>
      <c r="AD215" s="301">
        <v>334819.56000000006</v>
      </c>
      <c r="AE215" s="126"/>
      <c r="AF215" s="298"/>
      <c r="AG215" s="299"/>
      <c r="AH215" s="299"/>
      <c r="AI215" s="301"/>
      <c r="AJ215" s="301"/>
      <c r="AK215" s="426"/>
      <c r="AL215" s="298"/>
      <c r="AM215" s="299"/>
      <c r="AN215" s="299"/>
      <c r="AO215" s="301"/>
      <c r="AP215" s="301"/>
      <c r="AQ215" s="426"/>
      <c r="AR215" s="298"/>
      <c r="AS215" s="299"/>
      <c r="AT215" s="299"/>
      <c r="AU215" s="301"/>
      <c r="AV215" s="301"/>
      <c r="AW215" s="88"/>
      <c r="AX215" s="298"/>
      <c r="AY215" s="299"/>
      <c r="AZ215" s="299"/>
      <c r="BA215" s="301"/>
      <c r="BB215" s="301"/>
      <c r="BC215" s="426"/>
      <c r="BD215" s="298"/>
      <c r="BE215" s="299"/>
      <c r="BF215" s="299"/>
      <c r="BG215" s="301"/>
      <c r="BH215" s="301"/>
      <c r="BI215" s="88"/>
      <c r="BJ215" s="298"/>
      <c r="BK215" s="299"/>
      <c r="BL215" s="299"/>
      <c r="BM215" s="301"/>
      <c r="BN215" s="301"/>
      <c r="BO215" s="88"/>
      <c r="BP215" s="9"/>
      <c r="BS215" s="81"/>
      <c r="BT215" s="81"/>
      <c r="BV215" s="9"/>
      <c r="BY215" s="81"/>
      <c r="BZ215" s="81"/>
      <c r="CB215" s="9"/>
      <c r="CE215" s="81"/>
      <c r="CF215" s="81"/>
      <c r="CH215" s="9"/>
      <c r="CK215" s="81"/>
      <c r="CL215" s="81"/>
      <c r="CR215" s="9"/>
      <c r="CS215" s="9"/>
      <c r="CT215" s="9"/>
      <c r="CU215" s="9"/>
      <c r="CV215" s="9"/>
      <c r="CW215" s="129"/>
      <c r="CX215" s="9"/>
    </row>
    <row r="216" spans="1:102">
      <c r="A216" s="6" t="str">
        <f t="shared" si="31"/>
        <v>00420625</v>
      </c>
      <c r="B216" s="6" t="s">
        <v>1692</v>
      </c>
      <c r="C216" s="6" t="s">
        <v>2013</v>
      </c>
      <c r="D216" s="6">
        <v>207</v>
      </c>
      <c r="E216" s="6">
        <v>42</v>
      </c>
      <c r="F216" s="6" t="s">
        <v>1161</v>
      </c>
      <c r="G216" s="6">
        <v>625</v>
      </c>
      <c r="H216" s="6" t="s">
        <v>1043</v>
      </c>
      <c r="I216" s="33">
        <v>44698707.696071327</v>
      </c>
      <c r="J216" s="88">
        <v>0.93264149750149372</v>
      </c>
      <c r="K216" s="89">
        <f t="shared" si="40"/>
        <v>46882568.803371251</v>
      </c>
      <c r="L216" s="88">
        <f>IF(K219&gt;0, K216/K219, 0)</f>
        <v>0.93270177922999642</v>
      </c>
      <c r="M216" s="58"/>
      <c r="N216" s="9">
        <f>ROUND(M219*L216,0)</f>
        <v>27358613</v>
      </c>
      <c r="O216" s="9">
        <v>25798609</v>
      </c>
      <c r="P216" s="9">
        <f>N216-O216</f>
        <v>1560004</v>
      </c>
      <c r="Q216" s="40">
        <f t="shared" si="39"/>
        <v>6.0468531462297053</v>
      </c>
      <c r="R216" s="9">
        <v>3422.8421608447402</v>
      </c>
      <c r="S216" s="9">
        <f t="shared" si="37"/>
        <v>3489.4886383242601</v>
      </c>
      <c r="T216" s="90">
        <f t="shared" si="32"/>
        <v>42</v>
      </c>
      <c r="U216" s="90">
        <f t="shared" si="33"/>
        <v>625</v>
      </c>
      <c r="V216" s="373">
        <f t="shared" si="34"/>
        <v>207</v>
      </c>
      <c r="W216" s="90">
        <f t="shared" si="35"/>
        <v>3489.4886383242601</v>
      </c>
      <c r="X216" s="90">
        <f t="shared" si="36"/>
        <v>46882568.803371251</v>
      </c>
      <c r="Y216" s="141">
        <f t="shared" si="38"/>
        <v>207</v>
      </c>
      <c r="Z216" s="298">
        <v>42</v>
      </c>
      <c r="AA216" s="299">
        <v>625</v>
      </c>
      <c r="AB216" s="299">
        <v>207</v>
      </c>
      <c r="AC216" s="301">
        <v>3489.4886383242601</v>
      </c>
      <c r="AD216" s="301">
        <v>46882568.803371251</v>
      </c>
      <c r="AE216" s="126"/>
      <c r="AF216" s="298"/>
      <c r="AG216" s="299"/>
      <c r="AH216" s="299"/>
      <c r="AI216" s="301"/>
      <c r="AJ216" s="301"/>
      <c r="AK216" s="426"/>
      <c r="AL216" s="298"/>
      <c r="AM216" s="299"/>
      <c r="AN216" s="299"/>
      <c r="AO216" s="301"/>
      <c r="AP216" s="301"/>
      <c r="AQ216" s="426"/>
      <c r="AR216" s="298"/>
      <c r="AS216" s="299"/>
      <c r="AT216" s="299"/>
      <c r="AU216" s="301"/>
      <c r="AV216" s="301"/>
      <c r="AW216" s="88"/>
      <c r="AX216" s="298"/>
      <c r="AY216" s="299"/>
      <c r="AZ216" s="299"/>
      <c r="BA216" s="301"/>
      <c r="BB216" s="301"/>
      <c r="BC216" s="426"/>
      <c r="BD216" s="298"/>
      <c r="BE216" s="299"/>
      <c r="BF216" s="299"/>
      <c r="BG216" s="301"/>
      <c r="BH216" s="301"/>
      <c r="BI216" s="88"/>
      <c r="BJ216" s="298"/>
      <c r="BK216" s="299"/>
      <c r="BL216" s="299"/>
      <c r="BM216" s="301"/>
      <c r="BN216" s="301"/>
      <c r="BO216" s="88"/>
      <c r="BP216" s="9"/>
      <c r="BS216" s="81"/>
      <c r="BT216" s="81"/>
      <c r="BV216" s="9"/>
      <c r="BY216" s="81"/>
      <c r="BZ216" s="81"/>
      <c r="CB216" s="9"/>
      <c r="CE216" s="81"/>
      <c r="CF216" s="81"/>
      <c r="CH216" s="9"/>
      <c r="CK216" s="81"/>
      <c r="CL216" s="81"/>
      <c r="CR216" s="9"/>
      <c r="CS216" s="9"/>
      <c r="CT216" s="9"/>
      <c r="CU216" s="9"/>
      <c r="CV216" s="9"/>
      <c r="CW216" s="129"/>
      <c r="CX216" s="9"/>
    </row>
    <row r="217" spans="1:102">
      <c r="A217" s="6" t="str">
        <f t="shared" si="31"/>
        <v>00420810</v>
      </c>
      <c r="B217" s="6" t="s">
        <v>1692</v>
      </c>
      <c r="C217" s="6" t="s">
        <v>2065</v>
      </c>
      <c r="D217" s="6">
        <v>208</v>
      </c>
      <c r="E217" s="6">
        <v>42</v>
      </c>
      <c r="F217" s="6" t="s">
        <v>1161</v>
      </c>
      <c r="G217" s="6">
        <v>810</v>
      </c>
      <c r="H217" s="6" t="s">
        <v>1095</v>
      </c>
      <c r="I217" s="33">
        <v>2999630.611406167</v>
      </c>
      <c r="J217" s="88">
        <v>6.2587491441481971E-2</v>
      </c>
      <c r="K217" s="89">
        <f t="shared" si="40"/>
        <v>3047948.1540263421</v>
      </c>
      <c r="L217" s="88">
        <f>IF(K219&gt;0, K217/K219, 0)</f>
        <v>6.0637177928201093E-2</v>
      </c>
      <c r="M217" s="58"/>
      <c r="N217" s="9">
        <f>ROUND(M219*L217,0)</f>
        <v>1778649</v>
      </c>
      <c r="O217" s="9">
        <v>1731287</v>
      </c>
      <c r="P217" s="9">
        <f>N217-O217</f>
        <v>47362</v>
      </c>
      <c r="Q217" s="40">
        <f t="shared" si="39"/>
        <v>2.7356527254002367</v>
      </c>
      <c r="R217" s="9">
        <v>148.789032744</v>
      </c>
      <c r="S217" s="9">
        <f t="shared" si="37"/>
        <v>150.44182622112001</v>
      </c>
      <c r="T217" s="90">
        <f t="shared" si="32"/>
        <v>42</v>
      </c>
      <c r="U217" s="90">
        <f t="shared" si="33"/>
        <v>810</v>
      </c>
      <c r="V217" s="373">
        <f t="shared" si="34"/>
        <v>208</v>
      </c>
      <c r="W217" s="90">
        <f t="shared" si="35"/>
        <v>150.44182622112001</v>
      </c>
      <c r="X217" s="90">
        <f t="shared" si="36"/>
        <v>3047948.1540263421</v>
      </c>
      <c r="Y217" s="141">
        <f t="shared" si="38"/>
        <v>208</v>
      </c>
      <c r="Z217" s="298">
        <v>42</v>
      </c>
      <c r="AA217" s="299">
        <v>810</v>
      </c>
      <c r="AB217" s="299">
        <v>208</v>
      </c>
      <c r="AC217" s="301">
        <v>150.44182622112001</v>
      </c>
      <c r="AD217" s="301">
        <v>3047948.1540263421</v>
      </c>
      <c r="AE217" s="126"/>
      <c r="AF217" s="298"/>
      <c r="AG217" s="299"/>
      <c r="AH217" s="299"/>
      <c r="AI217" s="301"/>
      <c r="AJ217" s="301"/>
      <c r="AK217" s="426"/>
      <c r="AL217" s="298"/>
      <c r="AM217" s="299"/>
      <c r="AN217" s="299"/>
      <c r="AO217" s="301"/>
      <c r="AP217" s="301"/>
      <c r="AQ217" s="426"/>
      <c r="AR217" s="298"/>
      <c r="AS217" s="299"/>
      <c r="AT217" s="299"/>
      <c r="AU217" s="301"/>
      <c r="AV217" s="301"/>
      <c r="AW217" s="88"/>
      <c r="AX217" s="298"/>
      <c r="AY217" s="299"/>
      <c r="AZ217" s="299"/>
      <c r="BA217" s="301"/>
      <c r="BB217" s="301"/>
      <c r="BC217" s="426"/>
      <c r="BD217" s="298"/>
      <c r="BE217" s="299"/>
      <c r="BF217" s="299"/>
      <c r="BG217" s="301"/>
      <c r="BH217" s="301"/>
      <c r="BI217" s="88"/>
      <c r="BJ217" s="298"/>
      <c r="BK217" s="299"/>
      <c r="BL217" s="299"/>
      <c r="BM217" s="301"/>
      <c r="BN217" s="301"/>
      <c r="BO217" s="88"/>
      <c r="BP217" s="9"/>
      <c r="BS217" s="81"/>
      <c r="BT217" s="81"/>
      <c r="BV217" s="9"/>
      <c r="BY217" s="81"/>
      <c r="BZ217" s="81"/>
      <c r="CB217" s="9"/>
      <c r="CE217" s="81"/>
      <c r="CF217" s="81"/>
      <c r="CH217" s="9"/>
      <c r="CK217" s="81"/>
      <c r="CL217" s="81"/>
      <c r="CR217" s="9"/>
      <c r="CS217" s="9"/>
      <c r="CT217" s="9"/>
      <c r="CU217" s="9"/>
      <c r="CV217" s="9"/>
      <c r="CW217" s="129"/>
      <c r="CX217" s="9"/>
    </row>
    <row r="218" spans="1:102">
      <c r="A218" s="6" t="str">
        <f t="shared" si="31"/>
        <v>00420998</v>
      </c>
      <c r="B218" s="6" t="s">
        <v>1692</v>
      </c>
      <c r="C218" s="6" t="s">
        <v>2091</v>
      </c>
      <c r="D218" s="6">
        <v>209</v>
      </c>
      <c r="E218" s="6">
        <v>42</v>
      </c>
      <c r="F218" s="6" t="s">
        <v>1547</v>
      </c>
      <c r="G218" s="6">
        <v>998</v>
      </c>
      <c r="H218" s="6" t="s">
        <v>1547</v>
      </c>
      <c r="I218" s="33">
        <v>0</v>
      </c>
      <c r="J218" s="88">
        <v>0</v>
      </c>
      <c r="K218" s="89">
        <f t="shared" si="40"/>
        <v>0</v>
      </c>
      <c r="L218" s="88">
        <f>IF(K219&gt;0, K218/K219, 0)</f>
        <v>0</v>
      </c>
      <c r="M218" s="58"/>
      <c r="N218" s="9">
        <f>ROUND(M219*L218,0)</f>
        <v>0</v>
      </c>
      <c r="O218" s="9">
        <v>0</v>
      </c>
      <c r="P218" s="9">
        <f>N218-O218</f>
        <v>0</v>
      </c>
      <c r="Q218" s="40">
        <f t="shared" si="39"/>
        <v>0</v>
      </c>
      <c r="R218" s="9">
        <v>0</v>
      </c>
      <c r="S218" s="9">
        <f t="shared" si="37"/>
        <v>0</v>
      </c>
      <c r="T218" s="90">
        <f t="shared" si="32"/>
        <v>42</v>
      </c>
      <c r="U218" s="90">
        <f t="shared" si="33"/>
        <v>998</v>
      </c>
      <c r="V218" s="373">
        <f t="shared" si="34"/>
        <v>209</v>
      </c>
      <c r="W218" s="90">
        <f t="shared" si="35"/>
        <v>0</v>
      </c>
      <c r="X218" s="90">
        <f t="shared" si="36"/>
        <v>0</v>
      </c>
      <c r="Y218" s="141">
        <f t="shared" si="38"/>
        <v>209</v>
      </c>
      <c r="Z218" s="298">
        <v>42</v>
      </c>
      <c r="AA218" s="299">
        <v>998</v>
      </c>
      <c r="AB218" s="299">
        <v>209</v>
      </c>
      <c r="AC218" s="301">
        <v>0</v>
      </c>
      <c r="AD218" s="301">
        <v>0</v>
      </c>
      <c r="AE218" s="126"/>
      <c r="AF218" s="298"/>
      <c r="AG218" s="299"/>
      <c r="AH218" s="299"/>
      <c r="AI218" s="301"/>
      <c r="AJ218" s="301"/>
      <c r="AK218" s="426"/>
      <c r="AL218" s="298"/>
      <c r="AM218" s="299"/>
      <c r="AN218" s="299"/>
      <c r="AO218" s="301"/>
      <c r="AP218" s="301"/>
      <c r="AQ218" s="426"/>
      <c r="AR218" s="298"/>
      <c r="AS218" s="299"/>
      <c r="AT218" s="299"/>
      <c r="AU218" s="301"/>
      <c r="AV218" s="301"/>
      <c r="AW218" s="88"/>
      <c r="AX218" s="298"/>
      <c r="AY218" s="299"/>
      <c r="AZ218" s="299"/>
      <c r="BA218" s="301"/>
      <c r="BB218" s="301"/>
      <c r="BC218" s="426"/>
      <c r="BD218" s="298"/>
      <c r="BE218" s="299"/>
      <c r="BF218" s="299"/>
      <c r="BG218" s="301"/>
      <c r="BH218" s="301"/>
      <c r="BI218" s="88"/>
      <c r="BJ218" s="298"/>
      <c r="BK218" s="299"/>
      <c r="BL218" s="299"/>
      <c r="BM218" s="301"/>
      <c r="BN218" s="301"/>
      <c r="BO218" s="88"/>
      <c r="BP218" s="9"/>
      <c r="BS218" s="81"/>
      <c r="BT218" s="81"/>
      <c r="BV218" s="9"/>
      <c r="BY218" s="81"/>
      <c r="BZ218" s="81"/>
      <c r="CB218" s="9"/>
      <c r="CE218" s="81"/>
      <c r="CF218" s="81"/>
      <c r="CH218" s="9"/>
      <c r="CK218" s="81"/>
      <c r="CL218" s="81"/>
      <c r="CR218" s="9"/>
      <c r="CS218" s="9"/>
      <c r="CT218" s="9"/>
      <c r="CU218" s="9"/>
      <c r="CV218" s="9"/>
      <c r="CW218" s="129"/>
      <c r="CX218" s="9"/>
    </row>
    <row r="219" spans="1:102">
      <c r="A219" s="6" t="str">
        <f t="shared" si="31"/>
        <v>00420999</v>
      </c>
      <c r="B219" s="6" t="s">
        <v>1692</v>
      </c>
      <c r="C219" s="6" t="s">
        <v>2092</v>
      </c>
      <c r="D219" s="6">
        <v>210</v>
      </c>
      <c r="E219" s="10">
        <v>42</v>
      </c>
      <c r="F219" s="10" t="s">
        <v>1161</v>
      </c>
      <c r="G219" s="10">
        <v>999</v>
      </c>
      <c r="H219" s="10" t="s">
        <v>593</v>
      </c>
      <c r="I219" s="92">
        <v>47926998.547477499</v>
      </c>
      <c r="J219" s="472">
        <v>1</v>
      </c>
      <c r="K219" s="53">
        <f>SUM(K215:K218)</f>
        <v>50265336.517397597</v>
      </c>
      <c r="L219" s="91">
        <f>SUM(L215:L218)</f>
        <v>0.99999999999999989</v>
      </c>
      <c r="M219" s="79">
        <f>VLOOKUP(E219,town351,24)</f>
        <v>29332648</v>
      </c>
      <c r="N219" s="79">
        <f>SUM(N215:N218)</f>
        <v>29332648</v>
      </c>
      <c r="O219" s="79">
        <v>27661871</v>
      </c>
      <c r="P219" s="79">
        <f>SUM(P215:P218)</f>
        <v>1670777</v>
      </c>
      <c r="Q219" s="39">
        <f t="shared" si="39"/>
        <v>6.0399999696332909</v>
      </c>
      <c r="R219" s="9">
        <v>3583.6311935887402</v>
      </c>
      <c r="S219" s="9">
        <f t="shared" si="37"/>
        <v>3657.9304645453803</v>
      </c>
      <c r="T219" s="90">
        <f t="shared" si="32"/>
        <v>42</v>
      </c>
      <c r="U219" s="90">
        <f t="shared" si="33"/>
        <v>999</v>
      </c>
      <c r="V219" s="373">
        <f t="shared" si="34"/>
        <v>210</v>
      </c>
      <c r="W219" s="90">
        <f t="shared" si="35"/>
        <v>3657.9304645453803</v>
      </c>
      <c r="X219" s="90">
        <f t="shared" si="36"/>
        <v>50265336.517397597</v>
      </c>
      <c r="Y219" s="141">
        <f t="shared" si="38"/>
        <v>210</v>
      </c>
      <c r="Z219" s="298">
        <v>42</v>
      </c>
      <c r="AA219" s="299">
        <v>999</v>
      </c>
      <c r="AB219" s="299">
        <v>210</v>
      </c>
      <c r="AC219" s="301">
        <v>3657.9304645453803</v>
      </c>
      <c r="AD219" s="301">
        <v>50265336.517397597</v>
      </c>
      <c r="AE219" s="126"/>
      <c r="AF219" s="298"/>
      <c r="AG219" s="299"/>
      <c r="AH219" s="299"/>
      <c r="AI219" s="301"/>
      <c r="AJ219" s="301"/>
      <c r="AK219" s="426"/>
      <c r="AL219" s="298"/>
      <c r="AM219" s="299"/>
      <c r="AN219" s="299"/>
      <c r="AO219" s="301"/>
      <c r="AP219" s="301"/>
      <c r="AQ219" s="426"/>
      <c r="AR219" s="298"/>
      <c r="AS219" s="299"/>
      <c r="AT219" s="299"/>
      <c r="AU219" s="301"/>
      <c r="AV219" s="301"/>
      <c r="AW219" s="91"/>
      <c r="AX219" s="298"/>
      <c r="AY219" s="299"/>
      <c r="AZ219" s="299"/>
      <c r="BA219" s="301"/>
      <c r="BB219" s="301"/>
      <c r="BC219" s="426"/>
      <c r="BD219" s="298"/>
      <c r="BE219" s="299"/>
      <c r="BF219" s="299"/>
      <c r="BG219" s="301"/>
      <c r="BH219" s="301"/>
      <c r="BI219" s="91"/>
      <c r="BJ219" s="298"/>
      <c r="BK219" s="299"/>
      <c r="BL219" s="299"/>
      <c r="BM219" s="301"/>
      <c r="BN219" s="301"/>
      <c r="BO219" s="91"/>
      <c r="BP219" s="9"/>
      <c r="BS219" s="81"/>
      <c r="BT219" s="81"/>
      <c r="BV219" s="9"/>
      <c r="BY219" s="81"/>
      <c r="BZ219" s="81"/>
      <c r="CB219" s="9"/>
      <c r="CE219" s="81"/>
      <c r="CF219" s="81"/>
      <c r="CH219" s="9"/>
      <c r="CK219" s="81"/>
      <c r="CL219" s="81"/>
      <c r="CR219" s="9"/>
      <c r="CS219" s="9"/>
      <c r="CT219" s="9"/>
      <c r="CU219" s="9"/>
      <c r="CV219" s="9"/>
      <c r="CW219" s="129"/>
      <c r="CX219" s="9"/>
    </row>
    <row r="220" spans="1:102">
      <c r="A220" s="6" t="str">
        <f t="shared" si="31"/>
        <v>00430043</v>
      </c>
      <c r="B220" s="6" t="s">
        <v>1693</v>
      </c>
      <c r="C220" s="6" t="s">
        <v>1693</v>
      </c>
      <c r="D220" s="6">
        <v>211</v>
      </c>
      <c r="E220" s="6">
        <v>43</v>
      </c>
      <c r="F220" s="6" t="s">
        <v>1162</v>
      </c>
      <c r="G220" s="6">
        <v>43</v>
      </c>
      <c r="H220" s="6" t="s">
        <v>724</v>
      </c>
      <c r="I220" s="33">
        <v>3511281.75</v>
      </c>
      <c r="J220" s="88">
        <v>0.49328910650079311</v>
      </c>
      <c r="K220" s="89">
        <f>X220</f>
        <v>3675840.4599999995</v>
      </c>
      <c r="L220" s="88">
        <f>IF(K224&gt;0, K220/K224, 0)</f>
        <v>0.47598370667661716</v>
      </c>
      <c r="M220" s="58"/>
      <c r="N220" s="9">
        <f>ROUND(M224*L220,0)</f>
        <v>1922423</v>
      </c>
      <c r="O220" s="9">
        <v>1913482</v>
      </c>
      <c r="P220" s="9">
        <f>N220-O220</f>
        <v>8941</v>
      </c>
      <c r="Q220" s="40">
        <f t="shared" si="39"/>
        <v>0.46726334504322486</v>
      </c>
      <c r="R220" s="9">
        <v>264</v>
      </c>
      <c r="S220" s="9">
        <f t="shared" si="37"/>
        <v>270</v>
      </c>
      <c r="T220" s="90">
        <f t="shared" si="32"/>
        <v>43</v>
      </c>
      <c r="U220" s="90">
        <f t="shared" si="33"/>
        <v>43</v>
      </c>
      <c r="V220" s="373">
        <f t="shared" si="34"/>
        <v>211</v>
      </c>
      <c r="W220" s="90">
        <f t="shared" si="35"/>
        <v>270</v>
      </c>
      <c r="X220" s="90">
        <f t="shared" si="36"/>
        <v>3675840.4599999995</v>
      </c>
      <c r="Y220" s="141">
        <f t="shared" si="38"/>
        <v>211</v>
      </c>
      <c r="Z220" s="298">
        <v>43</v>
      </c>
      <c r="AA220" s="299">
        <v>43</v>
      </c>
      <c r="AB220" s="299">
        <v>211</v>
      </c>
      <c r="AC220" s="301">
        <v>270</v>
      </c>
      <c r="AD220" s="301">
        <v>3675840.4599999995</v>
      </c>
      <c r="AE220" s="126"/>
      <c r="AF220" s="298"/>
      <c r="AG220" s="299"/>
      <c r="AH220" s="299"/>
      <c r="AI220" s="301"/>
      <c r="AJ220" s="301"/>
      <c r="AK220" s="426"/>
      <c r="AL220" s="298"/>
      <c r="AM220" s="299"/>
      <c r="AN220" s="299"/>
      <c r="AO220" s="301"/>
      <c r="AP220" s="301"/>
      <c r="AQ220" s="426"/>
      <c r="AR220" s="298"/>
      <c r="AS220" s="299"/>
      <c r="AT220" s="299"/>
      <c r="AU220" s="301"/>
      <c r="AV220" s="301"/>
      <c r="AW220" s="88"/>
      <c r="AX220" s="298"/>
      <c r="AY220" s="299"/>
      <c r="AZ220" s="299"/>
      <c r="BA220" s="301"/>
      <c r="BB220" s="301"/>
      <c r="BC220" s="426"/>
      <c r="BD220" s="298"/>
      <c r="BE220" s="299"/>
      <c r="BF220" s="299"/>
      <c r="BG220" s="301"/>
      <c r="BH220" s="301"/>
      <c r="BI220" s="88"/>
      <c r="BJ220" s="298"/>
      <c r="BK220" s="299"/>
      <c r="BL220" s="299"/>
      <c r="BM220" s="301"/>
      <c r="BN220" s="301"/>
      <c r="BO220" s="88"/>
      <c r="BP220" s="9"/>
      <c r="BS220" s="81"/>
      <c r="BT220" s="81"/>
      <c r="BV220" s="9"/>
      <c r="BY220" s="81"/>
      <c r="BZ220" s="81"/>
      <c r="CB220" s="9"/>
      <c r="CE220" s="81"/>
      <c r="CF220" s="81"/>
      <c r="CH220" s="9"/>
      <c r="CK220" s="81"/>
      <c r="CL220" s="81"/>
      <c r="CR220" s="9"/>
      <c r="CS220" s="9"/>
      <c r="CT220" s="9"/>
      <c r="CU220" s="9"/>
      <c r="CV220" s="9"/>
      <c r="CW220" s="129"/>
      <c r="CX220" s="9"/>
    </row>
    <row r="221" spans="1:102">
      <c r="A221" s="6" t="str">
        <f t="shared" si="31"/>
        <v>00430770</v>
      </c>
      <c r="B221" s="6" t="s">
        <v>1693</v>
      </c>
      <c r="C221" s="6" t="s">
        <v>2056</v>
      </c>
      <c r="D221" s="6">
        <v>212</v>
      </c>
      <c r="E221" s="6">
        <v>43</v>
      </c>
      <c r="F221" s="6" t="s">
        <v>1162</v>
      </c>
      <c r="G221" s="6">
        <v>770</v>
      </c>
      <c r="H221" s="6" t="s">
        <v>1086</v>
      </c>
      <c r="I221" s="33">
        <v>3606819.387297981</v>
      </c>
      <c r="J221" s="88">
        <v>0.50671089349920695</v>
      </c>
      <c r="K221" s="89">
        <f t="shared" si="40"/>
        <v>4046777.7902447754</v>
      </c>
      <c r="L221" s="88">
        <f>IF(K224&gt;0, K221/K224, 0)</f>
        <v>0.52401629332338284</v>
      </c>
      <c r="M221" s="58"/>
      <c r="N221" s="9">
        <f>ROUND(M224*L221,0)</f>
        <v>2116420</v>
      </c>
      <c r="O221" s="9">
        <v>1965545</v>
      </c>
      <c r="P221" s="9">
        <f>N221-O221</f>
        <v>150875</v>
      </c>
      <c r="Q221" s="40">
        <f t="shared" si="39"/>
        <v>7.6759880847296804</v>
      </c>
      <c r="R221" s="9">
        <v>239.99999999975998</v>
      </c>
      <c r="S221" s="9">
        <f t="shared" si="37"/>
        <v>257.33771353283998</v>
      </c>
      <c r="T221" s="90">
        <f t="shared" si="32"/>
        <v>43</v>
      </c>
      <c r="U221" s="90">
        <f t="shared" si="33"/>
        <v>770</v>
      </c>
      <c r="V221" s="373">
        <f t="shared" si="34"/>
        <v>212</v>
      </c>
      <c r="W221" s="90">
        <f t="shared" si="35"/>
        <v>257.33771353283998</v>
      </c>
      <c r="X221" s="90">
        <f t="shared" si="36"/>
        <v>4046777.7902447754</v>
      </c>
      <c r="Y221" s="141">
        <f t="shared" si="38"/>
        <v>212</v>
      </c>
      <c r="Z221" s="298">
        <v>43</v>
      </c>
      <c r="AA221" s="299">
        <v>770</v>
      </c>
      <c r="AB221" s="299">
        <v>212</v>
      </c>
      <c r="AC221" s="301">
        <v>257.33771353283998</v>
      </c>
      <c r="AD221" s="301">
        <v>4046777.7902447754</v>
      </c>
      <c r="AE221" s="126"/>
      <c r="AF221" s="298"/>
      <c r="AG221" s="299"/>
      <c r="AH221" s="299"/>
      <c r="AI221" s="301"/>
      <c r="AJ221" s="301"/>
      <c r="AK221" s="426"/>
      <c r="AL221" s="298"/>
      <c r="AM221" s="299"/>
      <c r="AN221" s="299"/>
      <c r="AO221" s="301"/>
      <c r="AP221" s="301"/>
      <c r="AQ221" s="426"/>
      <c r="AR221" s="298"/>
      <c r="AS221" s="299"/>
      <c r="AT221" s="299"/>
      <c r="AU221" s="301"/>
      <c r="AV221" s="301"/>
      <c r="AW221" s="88"/>
      <c r="AX221" s="298"/>
      <c r="AY221" s="299"/>
      <c r="AZ221" s="299"/>
      <c r="BA221" s="301"/>
      <c r="BB221" s="301"/>
      <c r="BC221" s="426"/>
      <c r="BD221" s="298"/>
      <c r="BE221" s="299"/>
      <c r="BF221" s="299"/>
      <c r="BG221" s="301"/>
      <c r="BH221" s="301"/>
      <c r="BI221" s="88"/>
      <c r="BJ221" s="298"/>
      <c r="BK221" s="299"/>
      <c r="BL221" s="299"/>
      <c r="BM221" s="301"/>
      <c r="BN221" s="301"/>
      <c r="BO221" s="88"/>
      <c r="BP221" s="9"/>
      <c r="BS221" s="81"/>
      <c r="BT221" s="81"/>
      <c r="BV221" s="9"/>
      <c r="BY221" s="81"/>
      <c r="BZ221" s="81"/>
      <c r="CB221" s="9"/>
      <c r="CE221" s="81"/>
      <c r="CF221" s="81"/>
      <c r="CH221" s="9"/>
      <c r="CK221" s="81"/>
      <c r="CL221" s="81"/>
      <c r="CR221" s="9"/>
      <c r="CS221" s="9"/>
      <c r="CT221" s="9"/>
      <c r="CU221" s="9"/>
      <c r="CV221" s="9"/>
      <c r="CW221" s="129"/>
      <c r="CX221" s="9"/>
    </row>
    <row r="222" spans="1:102">
      <c r="A222" s="6" t="str">
        <f t="shared" si="31"/>
        <v>00430998</v>
      </c>
      <c r="B222" s="6" t="s">
        <v>1693</v>
      </c>
      <c r="C222" s="6" t="s">
        <v>2091</v>
      </c>
      <c r="D222" s="6">
        <v>213</v>
      </c>
      <c r="E222" s="6">
        <v>43</v>
      </c>
      <c r="F222" s="6" t="s">
        <v>1547</v>
      </c>
      <c r="G222" s="6">
        <v>998</v>
      </c>
      <c r="H222" s="6" t="s">
        <v>1547</v>
      </c>
      <c r="I222" s="33">
        <v>0</v>
      </c>
      <c r="J222" s="88">
        <v>0</v>
      </c>
      <c r="K222" s="89">
        <f t="shared" si="40"/>
        <v>0</v>
      </c>
      <c r="L222" s="88">
        <f>IF(K224&gt;0, K222/K224, 0)</f>
        <v>0</v>
      </c>
      <c r="M222" s="58"/>
      <c r="N222" s="9">
        <f>ROUND(M224*L222,0)</f>
        <v>0</v>
      </c>
      <c r="O222" s="9">
        <v>0</v>
      </c>
      <c r="P222" s="9">
        <f>N222-O222</f>
        <v>0</v>
      </c>
      <c r="Q222" s="40">
        <f t="shared" si="39"/>
        <v>0</v>
      </c>
      <c r="R222" s="9">
        <v>0</v>
      </c>
      <c r="S222" s="9">
        <f t="shared" si="37"/>
        <v>0</v>
      </c>
      <c r="T222" s="90">
        <f t="shared" si="32"/>
        <v>43</v>
      </c>
      <c r="U222" s="90">
        <f t="shared" si="33"/>
        <v>998</v>
      </c>
      <c r="V222" s="373">
        <f t="shared" si="34"/>
        <v>213</v>
      </c>
      <c r="W222" s="90">
        <f t="shared" si="35"/>
        <v>0</v>
      </c>
      <c r="X222" s="90">
        <f t="shared" si="36"/>
        <v>0</v>
      </c>
      <c r="Y222" s="141">
        <f t="shared" si="38"/>
        <v>213</v>
      </c>
      <c r="Z222" s="298">
        <v>43</v>
      </c>
      <c r="AA222" s="299">
        <v>998</v>
      </c>
      <c r="AB222" s="299">
        <v>213</v>
      </c>
      <c r="AC222" s="301">
        <v>0</v>
      </c>
      <c r="AD222" s="301">
        <v>0</v>
      </c>
      <c r="AE222" s="126"/>
      <c r="AF222" s="298"/>
      <c r="AG222" s="299"/>
      <c r="AH222" s="299"/>
      <c r="AI222" s="301"/>
      <c r="AJ222" s="301"/>
      <c r="AK222" s="426"/>
      <c r="AL222" s="298"/>
      <c r="AM222" s="299"/>
      <c r="AN222" s="299"/>
      <c r="AO222" s="301"/>
      <c r="AP222" s="301"/>
      <c r="AQ222" s="426"/>
      <c r="AR222" s="298"/>
      <c r="AS222" s="299"/>
      <c r="AT222" s="299"/>
      <c r="AU222" s="301"/>
      <c r="AV222" s="301"/>
      <c r="AW222" s="88"/>
      <c r="AX222" s="298"/>
      <c r="AY222" s="299"/>
      <c r="AZ222" s="299"/>
      <c r="BA222" s="301"/>
      <c r="BB222" s="301"/>
      <c r="BC222" s="426"/>
      <c r="BD222" s="298"/>
      <c r="BE222" s="299"/>
      <c r="BF222" s="299"/>
      <c r="BG222" s="301"/>
      <c r="BH222" s="301"/>
      <c r="BI222" s="88"/>
      <c r="BJ222" s="298"/>
      <c r="BK222" s="299"/>
      <c r="BL222" s="299"/>
      <c r="BM222" s="301"/>
      <c r="BN222" s="301"/>
      <c r="BO222" s="88"/>
      <c r="BP222" s="9"/>
      <c r="BS222" s="81"/>
      <c r="BT222" s="81"/>
      <c r="BV222" s="9"/>
      <c r="BY222" s="81"/>
      <c r="BZ222" s="81"/>
      <c r="CB222" s="9"/>
      <c r="CE222" s="81"/>
      <c r="CF222" s="81"/>
      <c r="CH222" s="9"/>
      <c r="CK222" s="81"/>
      <c r="CL222" s="81"/>
      <c r="CR222" s="9"/>
      <c r="CS222" s="9"/>
      <c r="CT222" s="9"/>
      <c r="CU222" s="9"/>
      <c r="CV222" s="9"/>
      <c r="CW222" s="129"/>
      <c r="CX222" s="9"/>
    </row>
    <row r="223" spans="1:102">
      <c r="A223" s="6" t="str">
        <f t="shared" si="31"/>
        <v>00430998</v>
      </c>
      <c r="B223" s="6" t="s">
        <v>1693</v>
      </c>
      <c r="C223" s="6" t="s">
        <v>2091</v>
      </c>
      <c r="D223" s="6">
        <v>214</v>
      </c>
      <c r="E223" s="6">
        <v>43</v>
      </c>
      <c r="F223" s="6" t="s">
        <v>1547</v>
      </c>
      <c r="G223" s="6">
        <v>998</v>
      </c>
      <c r="H223" s="6" t="s">
        <v>1547</v>
      </c>
      <c r="I223" s="33">
        <v>0</v>
      </c>
      <c r="J223" s="88">
        <v>0</v>
      </c>
      <c r="K223" s="89">
        <f t="shared" si="40"/>
        <v>0</v>
      </c>
      <c r="L223" s="88">
        <f>IF(K224&gt;0, K223/K224, 0)</f>
        <v>0</v>
      </c>
      <c r="M223" s="58"/>
      <c r="N223" s="9">
        <f>ROUND(M224*L223,0)</f>
        <v>0</v>
      </c>
      <c r="O223" s="9">
        <v>0</v>
      </c>
      <c r="P223" s="9">
        <f>N223-O223</f>
        <v>0</v>
      </c>
      <c r="Q223" s="40">
        <f t="shared" si="39"/>
        <v>0</v>
      </c>
      <c r="R223" s="9">
        <v>0</v>
      </c>
      <c r="S223" s="9">
        <f t="shared" si="37"/>
        <v>0</v>
      </c>
      <c r="T223" s="90">
        <f t="shared" si="32"/>
        <v>43</v>
      </c>
      <c r="U223" s="90">
        <f t="shared" si="33"/>
        <v>998</v>
      </c>
      <c r="V223" s="373">
        <f t="shared" si="34"/>
        <v>214</v>
      </c>
      <c r="W223" s="90">
        <f t="shared" si="35"/>
        <v>0</v>
      </c>
      <c r="X223" s="90">
        <f t="shared" si="36"/>
        <v>0</v>
      </c>
      <c r="Y223" s="141">
        <f t="shared" si="38"/>
        <v>214</v>
      </c>
      <c r="Z223" s="298">
        <v>43</v>
      </c>
      <c r="AA223" s="299">
        <v>998</v>
      </c>
      <c r="AB223" s="299">
        <v>214</v>
      </c>
      <c r="AC223" s="301">
        <v>0</v>
      </c>
      <c r="AD223" s="301">
        <v>0</v>
      </c>
      <c r="AE223" s="126"/>
      <c r="AF223" s="298"/>
      <c r="AG223" s="299"/>
      <c r="AH223" s="299"/>
      <c r="AI223" s="301"/>
      <c r="AJ223" s="301"/>
      <c r="AK223" s="426"/>
      <c r="AL223" s="298"/>
      <c r="AM223" s="299"/>
      <c r="AN223" s="299"/>
      <c r="AO223" s="301"/>
      <c r="AP223" s="301"/>
      <c r="AQ223" s="426"/>
      <c r="AR223" s="298"/>
      <c r="AS223" s="299"/>
      <c r="AT223" s="299"/>
      <c r="AU223" s="301"/>
      <c r="AV223" s="301"/>
      <c r="AW223" s="88"/>
      <c r="AX223" s="298"/>
      <c r="AY223" s="299"/>
      <c r="AZ223" s="299"/>
      <c r="BA223" s="301"/>
      <c r="BB223" s="301"/>
      <c r="BC223" s="426"/>
      <c r="BD223" s="298"/>
      <c r="BE223" s="299"/>
      <c r="BF223" s="299"/>
      <c r="BG223" s="301"/>
      <c r="BH223" s="301"/>
      <c r="BI223" s="88"/>
      <c r="BJ223" s="298"/>
      <c r="BK223" s="299"/>
      <c r="BL223" s="299"/>
      <c r="BM223" s="301"/>
      <c r="BN223" s="301"/>
      <c r="BO223" s="88"/>
      <c r="BP223" s="9"/>
      <c r="BS223" s="81"/>
      <c r="BT223" s="81"/>
      <c r="BV223" s="9"/>
      <c r="BY223" s="81"/>
      <c r="BZ223" s="81"/>
      <c r="CB223" s="9"/>
      <c r="CE223" s="81"/>
      <c r="CF223" s="81"/>
      <c r="CH223" s="9"/>
      <c r="CK223" s="81"/>
      <c r="CL223" s="81"/>
      <c r="CR223" s="9"/>
      <c r="CS223" s="9"/>
      <c r="CT223" s="9"/>
      <c r="CU223" s="9"/>
      <c r="CV223" s="9"/>
      <c r="CW223" s="129"/>
      <c r="CX223" s="9"/>
    </row>
    <row r="224" spans="1:102">
      <c r="A224" s="6" t="str">
        <f t="shared" si="31"/>
        <v>00430999</v>
      </c>
      <c r="B224" s="6" t="s">
        <v>1693</v>
      </c>
      <c r="C224" s="6" t="s">
        <v>2092</v>
      </c>
      <c r="D224" s="6">
        <v>215</v>
      </c>
      <c r="E224" s="10">
        <v>43</v>
      </c>
      <c r="F224" s="10" t="s">
        <v>1162</v>
      </c>
      <c r="G224" s="10">
        <v>999</v>
      </c>
      <c r="H224" s="10" t="s">
        <v>593</v>
      </c>
      <c r="I224" s="92">
        <v>7118101.1372979805</v>
      </c>
      <c r="J224" s="472">
        <v>1</v>
      </c>
      <c r="K224" s="53">
        <f>SUM(K220:K223)</f>
        <v>7722618.2502447749</v>
      </c>
      <c r="L224" s="91">
        <f>SUM(L220:L223)</f>
        <v>1</v>
      </c>
      <c r="M224" s="79">
        <f>VLOOKUP(E224,town351,24)</f>
        <v>4038843</v>
      </c>
      <c r="N224" s="79">
        <f>SUM(N220:N223)</f>
        <v>4038843</v>
      </c>
      <c r="O224" s="79">
        <v>3879027</v>
      </c>
      <c r="P224" s="79">
        <f>SUM(P220:P223)</f>
        <v>159816</v>
      </c>
      <c r="Q224" s="39">
        <f t="shared" si="39"/>
        <v>4.1200022582982792</v>
      </c>
      <c r="R224" s="9">
        <v>503.99999999976001</v>
      </c>
      <c r="S224" s="9">
        <f t="shared" si="37"/>
        <v>527.33771353283998</v>
      </c>
      <c r="T224" s="90">
        <f t="shared" si="32"/>
        <v>43</v>
      </c>
      <c r="U224" s="90">
        <f t="shared" si="33"/>
        <v>999</v>
      </c>
      <c r="V224" s="373">
        <f t="shared" si="34"/>
        <v>215</v>
      </c>
      <c r="W224" s="90">
        <f t="shared" si="35"/>
        <v>527.33771353283998</v>
      </c>
      <c r="X224" s="90">
        <f t="shared" si="36"/>
        <v>7722618.2502447749</v>
      </c>
      <c r="Y224" s="141">
        <f t="shared" si="38"/>
        <v>215</v>
      </c>
      <c r="Z224" s="298">
        <v>43</v>
      </c>
      <c r="AA224" s="299">
        <v>999</v>
      </c>
      <c r="AB224" s="299">
        <v>215</v>
      </c>
      <c r="AC224" s="301">
        <v>527.33771353283998</v>
      </c>
      <c r="AD224" s="301">
        <v>7722618.2502447749</v>
      </c>
      <c r="AE224" s="126"/>
      <c r="AF224" s="298"/>
      <c r="AG224" s="299"/>
      <c r="AH224" s="299"/>
      <c r="AI224" s="301"/>
      <c r="AJ224" s="301"/>
      <c r="AK224" s="426"/>
      <c r="AL224" s="298"/>
      <c r="AM224" s="299"/>
      <c r="AN224" s="299"/>
      <c r="AO224" s="301"/>
      <c r="AP224" s="301"/>
      <c r="AQ224" s="426"/>
      <c r="AR224" s="298"/>
      <c r="AS224" s="299"/>
      <c r="AT224" s="299"/>
      <c r="AU224" s="301"/>
      <c r="AV224" s="301"/>
      <c r="AW224" s="91"/>
      <c r="AX224" s="298"/>
      <c r="AY224" s="299"/>
      <c r="AZ224" s="299"/>
      <c r="BA224" s="301"/>
      <c r="BB224" s="301"/>
      <c r="BC224" s="426"/>
      <c r="BD224" s="298"/>
      <c r="BE224" s="299"/>
      <c r="BF224" s="299"/>
      <c r="BG224" s="301"/>
      <c r="BH224" s="301"/>
      <c r="BI224" s="91"/>
      <c r="BJ224" s="298"/>
      <c r="BK224" s="299"/>
      <c r="BL224" s="299"/>
      <c r="BM224" s="301"/>
      <c r="BN224" s="301"/>
      <c r="BO224" s="91"/>
      <c r="BP224" s="9"/>
      <c r="BS224" s="81"/>
      <c r="BT224" s="81"/>
      <c r="BV224" s="9"/>
      <c r="BY224" s="81"/>
      <c r="BZ224" s="81"/>
      <c r="CB224" s="9"/>
      <c r="CE224" s="81"/>
      <c r="CF224" s="81"/>
      <c r="CH224" s="9"/>
      <c r="CK224" s="81"/>
      <c r="CL224" s="81"/>
      <c r="CR224" s="9"/>
      <c r="CS224" s="9"/>
      <c r="CT224" s="9"/>
      <c r="CU224" s="9"/>
      <c r="CV224" s="9"/>
      <c r="CW224" s="129"/>
      <c r="CX224" s="9"/>
    </row>
    <row r="225" spans="1:102">
      <c r="A225" s="6" t="str">
        <f t="shared" si="31"/>
        <v>00440044</v>
      </c>
      <c r="B225" s="6" t="s">
        <v>1694</v>
      </c>
      <c r="C225" s="6" t="s">
        <v>1694</v>
      </c>
      <c r="D225" s="6">
        <v>216</v>
      </c>
      <c r="E225" s="6">
        <v>44</v>
      </c>
      <c r="F225" s="6" t="s">
        <v>1163</v>
      </c>
      <c r="G225" s="6">
        <v>44</v>
      </c>
      <c r="H225" s="6" t="s">
        <v>725</v>
      </c>
      <c r="I225" s="33">
        <v>295646847.72000003</v>
      </c>
      <c r="J225" s="88">
        <v>0.93267417034262068</v>
      </c>
      <c r="K225" s="89">
        <f>X225</f>
        <v>314919037.44</v>
      </c>
      <c r="L225" s="88">
        <f>IF(K229&gt;0, K225/K229, 0)</f>
        <v>0.93269301235777702</v>
      </c>
      <c r="M225" s="58"/>
      <c r="N225" s="9">
        <f>ROUND(M229*L225,0)</f>
        <v>58428285</v>
      </c>
      <c r="O225" s="9">
        <v>54579267</v>
      </c>
      <c r="P225" s="9">
        <f>N225-O225</f>
        <v>3849018</v>
      </c>
      <c r="Q225" s="40">
        <f t="shared" si="39"/>
        <v>7.0521614004086937</v>
      </c>
      <c r="R225" s="9">
        <v>16619</v>
      </c>
      <c r="S225" s="9">
        <f t="shared" si="37"/>
        <v>16775</v>
      </c>
      <c r="T225" s="90">
        <f t="shared" si="32"/>
        <v>44</v>
      </c>
      <c r="U225" s="90">
        <f t="shared" si="33"/>
        <v>44</v>
      </c>
      <c r="V225" s="373">
        <f t="shared" si="34"/>
        <v>216</v>
      </c>
      <c r="W225" s="90">
        <f t="shared" si="35"/>
        <v>16775</v>
      </c>
      <c r="X225" s="90">
        <f t="shared" si="36"/>
        <v>314919037.44</v>
      </c>
      <c r="Y225" s="141">
        <f t="shared" si="38"/>
        <v>216</v>
      </c>
      <c r="Z225" s="298">
        <v>44</v>
      </c>
      <c r="AA225" s="299">
        <v>44</v>
      </c>
      <c r="AB225" s="299">
        <v>216</v>
      </c>
      <c r="AC225" s="301">
        <v>16775</v>
      </c>
      <c r="AD225" s="301">
        <v>314919037.44</v>
      </c>
      <c r="AE225" s="126"/>
      <c r="AF225" s="298"/>
      <c r="AG225" s="299"/>
      <c r="AH225" s="299"/>
      <c r="AI225" s="301"/>
      <c r="AJ225" s="301"/>
      <c r="AK225" s="426"/>
      <c r="AL225" s="298"/>
      <c r="AM225" s="299"/>
      <c r="AN225" s="299"/>
      <c r="AO225" s="301"/>
      <c r="AP225" s="301"/>
      <c r="AQ225" s="426"/>
      <c r="AR225" s="298"/>
      <c r="AS225" s="299"/>
      <c r="AT225" s="299"/>
      <c r="AU225" s="301"/>
      <c r="AV225" s="301"/>
      <c r="AW225" s="88"/>
      <c r="AX225" s="298"/>
      <c r="AY225" s="299"/>
      <c r="AZ225" s="299"/>
      <c r="BA225" s="301"/>
      <c r="BB225" s="301"/>
      <c r="BC225" s="426"/>
      <c r="BD225" s="298"/>
      <c r="BE225" s="299"/>
      <c r="BF225" s="299"/>
      <c r="BG225" s="301"/>
      <c r="BH225" s="301"/>
      <c r="BI225" s="88"/>
      <c r="BJ225" s="298"/>
      <c r="BK225" s="299"/>
      <c r="BL225" s="299"/>
      <c r="BM225" s="301"/>
      <c r="BN225" s="301"/>
      <c r="BO225" s="88"/>
      <c r="BP225" s="9"/>
      <c r="BS225" s="81"/>
      <c r="BT225" s="81"/>
      <c r="BV225" s="9"/>
      <c r="BY225" s="81"/>
      <c r="BZ225" s="81"/>
      <c r="CB225" s="9"/>
      <c r="CE225" s="81"/>
      <c r="CF225" s="81"/>
      <c r="CH225" s="9"/>
      <c r="CK225" s="81"/>
      <c r="CL225" s="81"/>
      <c r="CR225" s="9"/>
      <c r="CS225" s="9"/>
      <c r="CT225" s="9"/>
      <c r="CU225" s="9"/>
      <c r="CV225" s="9"/>
      <c r="CW225" s="129"/>
      <c r="CX225" s="9"/>
    </row>
    <row r="226" spans="1:102">
      <c r="A226" s="6" t="str">
        <f t="shared" si="31"/>
        <v>00440872</v>
      </c>
      <c r="B226" s="6" t="s">
        <v>1694</v>
      </c>
      <c r="C226" s="6" t="s">
        <v>2082</v>
      </c>
      <c r="D226" s="6">
        <v>217</v>
      </c>
      <c r="E226" s="6">
        <v>44</v>
      </c>
      <c r="F226" s="6" t="s">
        <v>1163</v>
      </c>
      <c r="G226" s="6">
        <v>872</v>
      </c>
      <c r="H226" s="6" t="s">
        <v>1112</v>
      </c>
      <c r="I226" s="33">
        <v>21341503.754763428</v>
      </c>
      <c r="J226" s="88">
        <v>6.7325829657379377E-2</v>
      </c>
      <c r="K226" s="89">
        <f t="shared" si="40"/>
        <v>22725861.007248588</v>
      </c>
      <c r="L226" s="88">
        <f>IF(K229&gt;0, K226/K229, 0)</f>
        <v>6.7306987642222968E-2</v>
      </c>
      <c r="M226" s="58"/>
      <c r="N226" s="9">
        <f>ROUND(M229*L226,0)</f>
        <v>4216427</v>
      </c>
      <c r="O226" s="9">
        <v>3939848</v>
      </c>
      <c r="P226" s="9">
        <f>N226-O226</f>
        <v>276579</v>
      </c>
      <c r="Q226" s="40">
        <f t="shared" si="39"/>
        <v>7.0200423975747288</v>
      </c>
      <c r="R226" s="9">
        <v>1004.29447853524</v>
      </c>
      <c r="S226" s="9">
        <f t="shared" si="37"/>
        <v>1039.86021505743</v>
      </c>
      <c r="T226" s="90">
        <f t="shared" si="32"/>
        <v>44</v>
      </c>
      <c r="U226" s="90">
        <f t="shared" si="33"/>
        <v>872</v>
      </c>
      <c r="V226" s="373">
        <f t="shared" si="34"/>
        <v>217</v>
      </c>
      <c r="W226" s="90">
        <f t="shared" si="35"/>
        <v>1039.86021505743</v>
      </c>
      <c r="X226" s="90">
        <f t="shared" si="36"/>
        <v>22725861.007248588</v>
      </c>
      <c r="Y226" s="141">
        <f t="shared" si="38"/>
        <v>217</v>
      </c>
      <c r="Z226" s="298">
        <v>44</v>
      </c>
      <c r="AA226" s="299">
        <v>872</v>
      </c>
      <c r="AB226" s="299">
        <v>217</v>
      </c>
      <c r="AC226" s="301">
        <v>1039.86021505743</v>
      </c>
      <c r="AD226" s="301">
        <v>22725861.007248588</v>
      </c>
      <c r="AE226" s="126"/>
      <c r="AF226" s="298"/>
      <c r="AG226" s="299"/>
      <c r="AH226" s="299"/>
      <c r="AI226" s="301"/>
      <c r="AJ226" s="301"/>
      <c r="AK226" s="426"/>
      <c r="AL226" s="298"/>
      <c r="AM226" s="299"/>
      <c r="AN226" s="299"/>
      <c r="AO226" s="301"/>
      <c r="AP226" s="301"/>
      <c r="AQ226" s="426"/>
      <c r="AR226" s="298"/>
      <c r="AS226" s="299"/>
      <c r="AT226" s="299"/>
      <c r="AU226" s="301"/>
      <c r="AV226" s="301"/>
      <c r="AW226" s="88"/>
      <c r="AX226" s="298"/>
      <c r="AY226" s="299"/>
      <c r="AZ226" s="299"/>
      <c r="BA226" s="301"/>
      <c r="BB226" s="301"/>
      <c r="BC226" s="426"/>
      <c r="BD226" s="298"/>
      <c r="BE226" s="299"/>
      <c r="BF226" s="299"/>
      <c r="BG226" s="301"/>
      <c r="BH226" s="301"/>
      <c r="BI226" s="88"/>
      <c r="BJ226" s="298"/>
      <c r="BK226" s="299"/>
      <c r="BL226" s="299"/>
      <c r="BM226" s="301"/>
      <c r="BN226" s="301"/>
      <c r="BO226" s="88"/>
      <c r="BP226" s="9"/>
      <c r="BS226" s="81"/>
      <c r="BT226" s="81"/>
      <c r="BV226" s="9"/>
      <c r="BY226" s="81"/>
      <c r="BZ226" s="81"/>
      <c r="CB226" s="9"/>
      <c r="CE226" s="81"/>
      <c r="CF226" s="81"/>
      <c r="CH226" s="9"/>
      <c r="CK226" s="81"/>
      <c r="CL226" s="81"/>
      <c r="CR226" s="9"/>
      <c r="CS226" s="9"/>
      <c r="CT226" s="9"/>
      <c r="CU226" s="9"/>
      <c r="CV226" s="9"/>
      <c r="CW226" s="129"/>
      <c r="CX226" s="9"/>
    </row>
    <row r="227" spans="1:102">
      <c r="A227" s="6" t="str">
        <f t="shared" si="31"/>
        <v>00440998</v>
      </c>
      <c r="B227" s="6" t="s">
        <v>1694</v>
      </c>
      <c r="C227" s="6" t="s">
        <v>2091</v>
      </c>
      <c r="D227" s="6">
        <v>218</v>
      </c>
      <c r="E227" s="6">
        <v>44</v>
      </c>
      <c r="F227" s="6" t="s">
        <v>1547</v>
      </c>
      <c r="G227" s="6">
        <v>998</v>
      </c>
      <c r="H227" s="6" t="s">
        <v>1547</v>
      </c>
      <c r="I227" s="33">
        <v>0</v>
      </c>
      <c r="J227" s="88">
        <v>0</v>
      </c>
      <c r="K227" s="89">
        <f t="shared" si="40"/>
        <v>0</v>
      </c>
      <c r="L227" s="88">
        <f>IF(K229&gt;0, K227/K229, 0)</f>
        <v>0</v>
      </c>
      <c r="M227" s="58"/>
      <c r="N227" s="9">
        <f>ROUND(M229*L227,0)</f>
        <v>0</v>
      </c>
      <c r="O227" s="9">
        <v>0</v>
      </c>
      <c r="P227" s="9">
        <f>N227-O227</f>
        <v>0</v>
      </c>
      <c r="Q227" s="40">
        <f t="shared" si="39"/>
        <v>0</v>
      </c>
      <c r="R227" s="9">
        <v>0</v>
      </c>
      <c r="S227" s="9">
        <f t="shared" si="37"/>
        <v>0</v>
      </c>
      <c r="T227" s="90">
        <f t="shared" si="32"/>
        <v>44</v>
      </c>
      <c r="U227" s="90">
        <f t="shared" si="33"/>
        <v>998</v>
      </c>
      <c r="V227" s="373">
        <f t="shared" si="34"/>
        <v>218</v>
      </c>
      <c r="W227" s="90">
        <f t="shared" si="35"/>
        <v>0</v>
      </c>
      <c r="X227" s="90">
        <f t="shared" si="36"/>
        <v>0</v>
      </c>
      <c r="Y227" s="141">
        <f t="shared" si="38"/>
        <v>218</v>
      </c>
      <c r="Z227" s="298">
        <v>44</v>
      </c>
      <c r="AA227" s="299">
        <v>998</v>
      </c>
      <c r="AB227" s="299">
        <v>218</v>
      </c>
      <c r="AC227" s="301">
        <v>0</v>
      </c>
      <c r="AD227" s="301">
        <v>0</v>
      </c>
      <c r="AE227" s="126"/>
      <c r="AF227" s="298"/>
      <c r="AG227" s="299"/>
      <c r="AH227" s="299"/>
      <c r="AI227" s="301"/>
      <c r="AJ227" s="301"/>
      <c r="AK227" s="426"/>
      <c r="AL227" s="298"/>
      <c r="AM227" s="299"/>
      <c r="AN227" s="299"/>
      <c r="AO227" s="301"/>
      <c r="AP227" s="301"/>
      <c r="AQ227" s="426"/>
      <c r="AR227" s="298"/>
      <c r="AS227" s="299"/>
      <c r="AT227" s="299"/>
      <c r="AU227" s="301"/>
      <c r="AV227" s="301"/>
      <c r="AW227" s="88"/>
      <c r="AX227" s="298"/>
      <c r="AY227" s="299"/>
      <c r="AZ227" s="299"/>
      <c r="BA227" s="301"/>
      <c r="BB227" s="301"/>
      <c r="BC227" s="426"/>
      <c r="BD227" s="298"/>
      <c r="BE227" s="299"/>
      <c r="BF227" s="299"/>
      <c r="BG227" s="301"/>
      <c r="BH227" s="301"/>
      <c r="BI227" s="88"/>
      <c r="BJ227" s="298"/>
      <c r="BK227" s="299"/>
      <c r="BL227" s="299"/>
      <c r="BM227" s="301"/>
      <c r="BN227" s="301"/>
      <c r="BO227" s="88"/>
      <c r="BP227" s="9"/>
      <c r="BS227" s="81"/>
      <c r="BT227" s="81"/>
      <c r="BV227" s="9"/>
      <c r="BY227" s="81"/>
      <c r="BZ227" s="81"/>
      <c r="CB227" s="9"/>
      <c r="CE227" s="81"/>
      <c r="CF227" s="81"/>
      <c r="CH227" s="9"/>
      <c r="CK227" s="81"/>
      <c r="CL227" s="81"/>
      <c r="CR227" s="9"/>
      <c r="CS227" s="9"/>
      <c r="CT227" s="9"/>
      <c r="CU227" s="9"/>
      <c r="CV227" s="9"/>
      <c r="CW227" s="129"/>
      <c r="CX227" s="9"/>
    </row>
    <row r="228" spans="1:102">
      <c r="A228" s="6" t="str">
        <f t="shared" si="31"/>
        <v>00440998</v>
      </c>
      <c r="B228" s="6" t="s">
        <v>1694</v>
      </c>
      <c r="C228" s="6" t="s">
        <v>2091</v>
      </c>
      <c r="D228" s="6">
        <v>219</v>
      </c>
      <c r="E228" s="6">
        <v>44</v>
      </c>
      <c r="F228" s="6" t="s">
        <v>1547</v>
      </c>
      <c r="G228" s="6">
        <v>998</v>
      </c>
      <c r="H228" s="6" t="s">
        <v>1547</v>
      </c>
      <c r="I228" s="33">
        <v>0</v>
      </c>
      <c r="J228" s="88">
        <v>0</v>
      </c>
      <c r="K228" s="89">
        <f t="shared" si="40"/>
        <v>0</v>
      </c>
      <c r="L228" s="88">
        <f>IF(K229&gt;0, K228/K229, 0)</f>
        <v>0</v>
      </c>
      <c r="M228" s="58"/>
      <c r="N228" s="9">
        <f>ROUND(M229*L228,0)</f>
        <v>0</v>
      </c>
      <c r="O228" s="9">
        <v>0</v>
      </c>
      <c r="P228" s="9">
        <f>N228-O228</f>
        <v>0</v>
      </c>
      <c r="Q228" s="40">
        <f t="shared" si="39"/>
        <v>0</v>
      </c>
      <c r="R228" s="9">
        <v>0</v>
      </c>
      <c r="S228" s="9">
        <f t="shared" si="37"/>
        <v>0</v>
      </c>
      <c r="T228" s="90">
        <f t="shared" si="32"/>
        <v>44</v>
      </c>
      <c r="U228" s="90">
        <f t="shared" si="33"/>
        <v>998</v>
      </c>
      <c r="V228" s="373">
        <f t="shared" si="34"/>
        <v>219</v>
      </c>
      <c r="W228" s="90">
        <f t="shared" si="35"/>
        <v>0</v>
      </c>
      <c r="X228" s="90">
        <f t="shared" si="36"/>
        <v>0</v>
      </c>
      <c r="Y228" s="141">
        <f t="shared" si="38"/>
        <v>219</v>
      </c>
      <c r="Z228" s="298">
        <v>44</v>
      </c>
      <c r="AA228" s="299">
        <v>998</v>
      </c>
      <c r="AB228" s="299">
        <v>219</v>
      </c>
      <c r="AC228" s="301">
        <v>0</v>
      </c>
      <c r="AD228" s="301">
        <v>0</v>
      </c>
      <c r="AE228" s="126"/>
      <c r="AF228" s="298"/>
      <c r="AG228" s="299"/>
      <c r="AH228" s="299"/>
      <c r="AI228" s="301"/>
      <c r="AJ228" s="301"/>
      <c r="AK228" s="426"/>
      <c r="AL228" s="298"/>
      <c r="AM228" s="299"/>
      <c r="AN228" s="299"/>
      <c r="AO228" s="301"/>
      <c r="AP228" s="301"/>
      <c r="AQ228" s="426"/>
      <c r="AR228" s="298"/>
      <c r="AS228" s="299"/>
      <c r="AT228" s="299"/>
      <c r="AU228" s="301"/>
      <c r="AV228" s="301"/>
      <c r="AW228" s="88"/>
      <c r="AX228" s="298"/>
      <c r="AY228" s="299"/>
      <c r="AZ228" s="299"/>
      <c r="BA228" s="301"/>
      <c r="BB228" s="301"/>
      <c r="BC228" s="426"/>
      <c r="BD228" s="298"/>
      <c r="BE228" s="299"/>
      <c r="BF228" s="299"/>
      <c r="BG228" s="301"/>
      <c r="BH228" s="301"/>
      <c r="BI228" s="88"/>
      <c r="BJ228" s="298"/>
      <c r="BK228" s="299"/>
      <c r="BL228" s="299"/>
      <c r="BM228" s="301"/>
      <c r="BN228" s="301"/>
      <c r="BO228" s="88"/>
      <c r="BP228" s="9"/>
      <c r="BS228" s="81"/>
      <c r="BT228" s="81"/>
      <c r="BV228" s="9"/>
      <c r="BY228" s="81"/>
      <c r="BZ228" s="81"/>
      <c r="CB228" s="9"/>
      <c r="CE228" s="81"/>
      <c r="CF228" s="81"/>
      <c r="CH228" s="9"/>
      <c r="CK228" s="81"/>
      <c r="CL228" s="81"/>
      <c r="CR228" s="9"/>
      <c r="CS228" s="9"/>
      <c r="CT228" s="9"/>
      <c r="CU228" s="9"/>
      <c r="CV228" s="9"/>
      <c r="CW228" s="129"/>
      <c r="CX228" s="9"/>
    </row>
    <row r="229" spans="1:102">
      <c r="A229" s="6" t="str">
        <f t="shared" si="31"/>
        <v>00440999</v>
      </c>
      <c r="B229" s="6" t="s">
        <v>1694</v>
      </c>
      <c r="C229" s="6" t="s">
        <v>2092</v>
      </c>
      <c r="D229" s="6">
        <v>220</v>
      </c>
      <c r="E229" s="10">
        <v>44</v>
      </c>
      <c r="F229" s="10" t="s">
        <v>1163</v>
      </c>
      <c r="G229" s="10">
        <v>999</v>
      </c>
      <c r="H229" s="10" t="s">
        <v>593</v>
      </c>
      <c r="I229" s="92">
        <v>316988351.47476345</v>
      </c>
      <c r="J229" s="472">
        <v>1</v>
      </c>
      <c r="K229" s="53">
        <f>SUM(K225:K228)</f>
        <v>337644898.44724858</v>
      </c>
      <c r="L229" s="91">
        <f>SUM(L225:L228)</f>
        <v>1</v>
      </c>
      <c r="M229" s="79">
        <f>VLOOKUP(E229,town351,24)</f>
        <v>62644712</v>
      </c>
      <c r="N229" s="79">
        <f>SUM(N225:N228)</f>
        <v>62644712</v>
      </c>
      <c r="O229" s="79">
        <v>58519115</v>
      </c>
      <c r="P229" s="79">
        <f>SUM(P225:P228)</f>
        <v>4125597</v>
      </c>
      <c r="Q229" s="39">
        <f t="shared" si="39"/>
        <v>7.0499989618776704</v>
      </c>
      <c r="R229" s="9">
        <v>17623.294478535241</v>
      </c>
      <c r="S229" s="9">
        <f t="shared" si="37"/>
        <v>17814.86021505743</v>
      </c>
      <c r="T229" s="90">
        <f t="shared" si="32"/>
        <v>44</v>
      </c>
      <c r="U229" s="90">
        <f t="shared" si="33"/>
        <v>999</v>
      </c>
      <c r="V229" s="373">
        <f t="shared" si="34"/>
        <v>220</v>
      </c>
      <c r="W229" s="90">
        <f t="shared" si="35"/>
        <v>17814.86021505743</v>
      </c>
      <c r="X229" s="90">
        <f t="shared" si="36"/>
        <v>337644898.44724858</v>
      </c>
      <c r="Y229" s="141">
        <f t="shared" si="38"/>
        <v>220</v>
      </c>
      <c r="Z229" s="298">
        <v>44</v>
      </c>
      <c r="AA229" s="299">
        <v>999</v>
      </c>
      <c r="AB229" s="299">
        <v>220</v>
      </c>
      <c r="AC229" s="301">
        <v>17814.86021505743</v>
      </c>
      <c r="AD229" s="301">
        <v>337644898.44724858</v>
      </c>
      <c r="AE229" s="126"/>
      <c r="AF229" s="298"/>
      <c r="AG229" s="299"/>
      <c r="AH229" s="299"/>
      <c r="AI229" s="301"/>
      <c r="AJ229" s="301"/>
      <c r="AK229" s="426"/>
      <c r="AL229" s="298"/>
      <c r="AM229" s="299"/>
      <c r="AN229" s="299"/>
      <c r="AO229" s="301"/>
      <c r="AP229" s="301"/>
      <c r="AQ229" s="426"/>
      <c r="AR229" s="298"/>
      <c r="AS229" s="299"/>
      <c r="AT229" s="299"/>
      <c r="AU229" s="301"/>
      <c r="AV229" s="301"/>
      <c r="AW229" s="91"/>
      <c r="AX229" s="298"/>
      <c r="AY229" s="299"/>
      <c r="AZ229" s="299"/>
      <c r="BA229" s="301"/>
      <c r="BB229" s="301"/>
      <c r="BC229" s="426"/>
      <c r="BD229" s="298"/>
      <c r="BE229" s="299"/>
      <c r="BF229" s="299"/>
      <c r="BG229" s="301"/>
      <c r="BH229" s="301"/>
      <c r="BI229" s="91"/>
      <c r="BJ229" s="298"/>
      <c r="BK229" s="299"/>
      <c r="BL229" s="299"/>
      <c r="BM229" s="301"/>
      <c r="BN229" s="301"/>
      <c r="BO229" s="91"/>
      <c r="BP229" s="9"/>
      <c r="BS229" s="81"/>
      <c r="BT229" s="81"/>
      <c r="BV229" s="9"/>
      <c r="BY229" s="81"/>
      <c r="BZ229" s="81"/>
      <c r="CB229" s="9"/>
      <c r="CE229" s="81"/>
      <c r="CF229" s="81"/>
      <c r="CH229" s="9"/>
      <c r="CK229" s="81"/>
      <c r="CL229" s="81"/>
      <c r="CR229" s="9"/>
      <c r="CS229" s="9"/>
      <c r="CT229" s="9"/>
      <c r="CU229" s="9"/>
      <c r="CV229" s="9"/>
      <c r="CW229" s="129"/>
      <c r="CX229" s="9"/>
    </row>
    <row r="230" spans="1:102">
      <c r="A230" s="6" t="str">
        <f t="shared" si="31"/>
        <v>00450045</v>
      </c>
      <c r="B230" s="6" t="s">
        <v>1695</v>
      </c>
      <c r="C230" s="6" t="s">
        <v>1695</v>
      </c>
      <c r="D230" s="6">
        <v>221</v>
      </c>
      <c r="E230" s="6">
        <v>45</v>
      </c>
      <c r="F230" s="6" t="s">
        <v>1164</v>
      </c>
      <c r="G230" s="6">
        <v>45</v>
      </c>
      <c r="H230" s="6" t="s">
        <v>726</v>
      </c>
      <c r="I230" s="33">
        <v>3240938.5500000003</v>
      </c>
      <c r="J230" s="88">
        <v>0.49501216870074938</v>
      </c>
      <c r="K230" s="89">
        <f>X230</f>
        <v>3232462.2</v>
      </c>
      <c r="L230" s="88">
        <f>IF(K234&gt;0, K230/K234, 0)</f>
        <v>0.49792013009324976</v>
      </c>
      <c r="M230" s="58"/>
      <c r="N230" s="9">
        <f>ROUND(M234*L230,0)</f>
        <v>1406803</v>
      </c>
      <c r="O230" s="9">
        <v>1329203</v>
      </c>
      <c r="P230" s="9">
        <f>N230-O230</f>
        <v>77600</v>
      </c>
      <c r="Q230" s="40">
        <f t="shared" si="39"/>
        <v>5.8380849275844247</v>
      </c>
      <c r="R230" s="9">
        <v>223</v>
      </c>
      <c r="S230" s="9">
        <f t="shared" si="37"/>
        <v>225</v>
      </c>
      <c r="T230" s="90">
        <f t="shared" si="32"/>
        <v>45</v>
      </c>
      <c r="U230" s="90">
        <f t="shared" si="33"/>
        <v>45</v>
      </c>
      <c r="V230" s="373">
        <f t="shared" si="34"/>
        <v>221</v>
      </c>
      <c r="W230" s="90">
        <f t="shared" si="35"/>
        <v>225</v>
      </c>
      <c r="X230" s="90">
        <f t="shared" si="36"/>
        <v>3232462.2</v>
      </c>
      <c r="Y230" s="141">
        <f t="shared" si="38"/>
        <v>221</v>
      </c>
      <c r="Z230" s="298">
        <v>45</v>
      </c>
      <c r="AA230" s="299">
        <v>45</v>
      </c>
      <c r="AB230" s="299">
        <v>221</v>
      </c>
      <c r="AC230" s="301">
        <v>225</v>
      </c>
      <c r="AD230" s="301">
        <v>3232462.2</v>
      </c>
      <c r="AE230" s="126"/>
      <c r="AF230" s="298"/>
      <c r="AG230" s="299"/>
      <c r="AH230" s="299"/>
      <c r="AI230" s="301"/>
      <c r="AJ230" s="301"/>
      <c r="AK230" s="426"/>
      <c r="AL230" s="298"/>
      <c r="AM230" s="299"/>
      <c r="AN230" s="299"/>
      <c r="AO230" s="301"/>
      <c r="AP230" s="301"/>
      <c r="AQ230" s="426"/>
      <c r="AR230" s="298"/>
      <c r="AS230" s="299"/>
      <c r="AT230" s="299"/>
      <c r="AU230" s="301"/>
      <c r="AV230" s="301"/>
      <c r="AW230" s="88"/>
      <c r="AX230" s="298"/>
      <c r="AY230" s="299"/>
      <c r="AZ230" s="299"/>
      <c r="BA230" s="301"/>
      <c r="BB230" s="301"/>
      <c r="BC230" s="426"/>
      <c r="BD230" s="298"/>
      <c r="BE230" s="299"/>
      <c r="BF230" s="299"/>
      <c r="BG230" s="301"/>
      <c r="BH230" s="301"/>
      <c r="BI230" s="88"/>
      <c r="BJ230" s="298"/>
      <c r="BK230" s="299"/>
      <c r="BL230" s="299"/>
      <c r="BM230" s="301"/>
      <c r="BN230" s="301"/>
      <c r="BO230" s="88"/>
      <c r="BP230" s="9"/>
      <c r="BS230" s="81"/>
      <c r="BT230" s="81"/>
      <c r="BV230" s="9"/>
      <c r="BY230" s="81"/>
      <c r="BZ230" s="81"/>
      <c r="CB230" s="9"/>
      <c r="CE230" s="81"/>
      <c r="CF230" s="81"/>
      <c r="CH230" s="9"/>
      <c r="CK230" s="81"/>
      <c r="CL230" s="81"/>
      <c r="CR230" s="9"/>
      <c r="CS230" s="9"/>
      <c r="CT230" s="9"/>
      <c r="CU230" s="9"/>
      <c r="CV230" s="9"/>
      <c r="CW230" s="129"/>
      <c r="CX230" s="9"/>
    </row>
    <row r="231" spans="1:102">
      <c r="A231" s="6" t="str">
        <f t="shared" si="31"/>
        <v>00450770</v>
      </c>
      <c r="B231" s="6" t="s">
        <v>1695</v>
      </c>
      <c r="C231" s="6" t="s">
        <v>2056</v>
      </c>
      <c r="D231" s="6">
        <v>222</v>
      </c>
      <c r="E231" s="6">
        <v>45</v>
      </c>
      <c r="F231" s="6" t="s">
        <v>1164</v>
      </c>
      <c r="G231" s="6">
        <v>770</v>
      </c>
      <c r="H231" s="6" t="s">
        <v>1086</v>
      </c>
      <c r="I231" s="33">
        <v>3306251.104966342</v>
      </c>
      <c r="J231" s="88">
        <v>0.50498783129925062</v>
      </c>
      <c r="K231" s="89">
        <f t="shared" si="40"/>
        <v>3259466.9360938333</v>
      </c>
      <c r="L231" s="88">
        <f>IF(K234&gt;0, K231/K234, 0)</f>
        <v>0.50207986990675024</v>
      </c>
      <c r="M231" s="58"/>
      <c r="N231" s="9">
        <f>ROUND(M234*L231,0)</f>
        <v>1418556</v>
      </c>
      <c r="O231" s="9">
        <v>1355989</v>
      </c>
      <c r="P231" s="9">
        <f>N231-O231</f>
        <v>62567</v>
      </c>
      <c r="Q231" s="40">
        <f t="shared" si="39"/>
        <v>4.6141229759238458</v>
      </c>
      <c r="R231" s="9">
        <v>219.99999999599999</v>
      </c>
      <c r="S231" s="9">
        <f t="shared" si="37"/>
        <v>207.27201050976001</v>
      </c>
      <c r="T231" s="90">
        <f t="shared" si="32"/>
        <v>45</v>
      </c>
      <c r="U231" s="90">
        <f t="shared" si="33"/>
        <v>770</v>
      </c>
      <c r="V231" s="373">
        <f t="shared" si="34"/>
        <v>222</v>
      </c>
      <c r="W231" s="90">
        <f t="shared" si="35"/>
        <v>207.27201050976001</v>
      </c>
      <c r="X231" s="90">
        <f t="shared" si="36"/>
        <v>3259466.9360938333</v>
      </c>
      <c r="Y231" s="141">
        <f t="shared" si="38"/>
        <v>222</v>
      </c>
      <c r="Z231" s="298">
        <v>45</v>
      </c>
      <c r="AA231" s="299">
        <v>770</v>
      </c>
      <c r="AB231" s="299">
        <v>222</v>
      </c>
      <c r="AC231" s="301">
        <v>207.27201050976001</v>
      </c>
      <c r="AD231" s="301">
        <v>3259466.9360938333</v>
      </c>
      <c r="AE231" s="126"/>
      <c r="AF231" s="298"/>
      <c r="AG231" s="299"/>
      <c r="AH231" s="299"/>
      <c r="AI231" s="301"/>
      <c r="AJ231" s="301"/>
      <c r="AK231" s="426"/>
      <c r="AL231" s="298"/>
      <c r="AM231" s="299"/>
      <c r="AN231" s="299"/>
      <c r="AO231" s="301"/>
      <c r="AP231" s="301"/>
      <c r="AQ231" s="426"/>
      <c r="AR231" s="298"/>
      <c r="AS231" s="299"/>
      <c r="AT231" s="299"/>
      <c r="AU231" s="301"/>
      <c r="AV231" s="301"/>
      <c r="AW231" s="88"/>
      <c r="AX231" s="298"/>
      <c r="AY231" s="299"/>
      <c r="AZ231" s="299"/>
      <c r="BA231" s="301"/>
      <c r="BB231" s="301"/>
      <c r="BC231" s="426"/>
      <c r="BD231" s="298"/>
      <c r="BE231" s="299"/>
      <c r="BF231" s="299"/>
      <c r="BG231" s="301"/>
      <c r="BH231" s="301"/>
      <c r="BI231" s="88"/>
      <c r="BJ231" s="298"/>
      <c r="BK231" s="299"/>
      <c r="BL231" s="299"/>
      <c r="BM231" s="301"/>
      <c r="BN231" s="301"/>
      <c r="BO231" s="88"/>
      <c r="BP231" s="9"/>
      <c r="BS231" s="81"/>
      <c r="BT231" s="81"/>
      <c r="BV231" s="9"/>
      <c r="BY231" s="81"/>
      <c r="BZ231" s="81"/>
      <c r="CB231" s="9"/>
      <c r="CE231" s="81"/>
      <c r="CF231" s="81"/>
      <c r="CH231" s="9"/>
      <c r="CK231" s="81"/>
      <c r="CL231" s="81"/>
      <c r="CR231" s="9"/>
      <c r="CS231" s="9"/>
      <c r="CT231" s="9"/>
      <c r="CU231" s="9"/>
      <c r="CV231" s="9"/>
      <c r="CW231" s="129"/>
      <c r="CX231" s="9"/>
    </row>
    <row r="232" spans="1:102">
      <c r="A232" s="6" t="str">
        <f t="shared" si="31"/>
        <v>00450998</v>
      </c>
      <c r="B232" s="6" t="s">
        <v>1695</v>
      </c>
      <c r="C232" s="6" t="s">
        <v>2091</v>
      </c>
      <c r="D232" s="6">
        <v>223</v>
      </c>
      <c r="E232" s="6">
        <v>45</v>
      </c>
      <c r="F232" s="6" t="s">
        <v>1547</v>
      </c>
      <c r="G232" s="6">
        <v>998</v>
      </c>
      <c r="H232" s="6" t="s">
        <v>1547</v>
      </c>
      <c r="I232" s="33">
        <v>0</v>
      </c>
      <c r="J232" s="88">
        <v>0</v>
      </c>
      <c r="K232" s="89">
        <f t="shared" si="40"/>
        <v>0</v>
      </c>
      <c r="L232" s="88">
        <f>IF(K234&gt;0, K232/K234, 0)</f>
        <v>0</v>
      </c>
      <c r="M232" s="58"/>
      <c r="N232" s="9">
        <f>ROUND(M234*L232,0)</f>
        <v>0</v>
      </c>
      <c r="O232" s="9">
        <v>0</v>
      </c>
      <c r="P232" s="9">
        <f>N232-O232</f>
        <v>0</v>
      </c>
      <c r="Q232" s="40">
        <f t="shared" si="39"/>
        <v>0</v>
      </c>
      <c r="R232" s="9">
        <v>0</v>
      </c>
      <c r="S232" s="9">
        <f t="shared" si="37"/>
        <v>0</v>
      </c>
      <c r="T232" s="90">
        <f t="shared" si="32"/>
        <v>45</v>
      </c>
      <c r="U232" s="90">
        <f t="shared" si="33"/>
        <v>998</v>
      </c>
      <c r="V232" s="373">
        <f t="shared" si="34"/>
        <v>223</v>
      </c>
      <c r="W232" s="90">
        <f t="shared" si="35"/>
        <v>0</v>
      </c>
      <c r="X232" s="90">
        <f t="shared" si="36"/>
        <v>0</v>
      </c>
      <c r="Y232" s="141">
        <f t="shared" si="38"/>
        <v>223</v>
      </c>
      <c r="Z232" s="298">
        <v>45</v>
      </c>
      <c r="AA232" s="299">
        <v>998</v>
      </c>
      <c r="AB232" s="299">
        <v>223</v>
      </c>
      <c r="AC232" s="301">
        <v>0</v>
      </c>
      <c r="AD232" s="301">
        <v>0</v>
      </c>
      <c r="AE232" s="126"/>
      <c r="AF232" s="298"/>
      <c r="AG232" s="299"/>
      <c r="AH232" s="299"/>
      <c r="AI232" s="301"/>
      <c r="AJ232" s="301"/>
      <c r="AK232" s="426"/>
      <c r="AL232" s="298"/>
      <c r="AM232" s="299"/>
      <c r="AN232" s="299"/>
      <c r="AO232" s="301"/>
      <c r="AP232" s="301"/>
      <c r="AQ232" s="426"/>
      <c r="AR232" s="298"/>
      <c r="AS232" s="299"/>
      <c r="AT232" s="299"/>
      <c r="AU232" s="301"/>
      <c r="AV232" s="301"/>
      <c r="AW232" s="88"/>
      <c r="AX232" s="298"/>
      <c r="AY232" s="299"/>
      <c r="AZ232" s="299"/>
      <c r="BA232" s="301"/>
      <c r="BB232" s="301"/>
      <c r="BC232" s="426"/>
      <c r="BD232" s="298"/>
      <c r="BE232" s="299"/>
      <c r="BF232" s="299"/>
      <c r="BG232" s="301"/>
      <c r="BH232" s="301"/>
      <c r="BI232" s="88"/>
      <c r="BJ232" s="298"/>
      <c r="BK232" s="299"/>
      <c r="BL232" s="299"/>
      <c r="BM232" s="301"/>
      <c r="BN232" s="301"/>
      <c r="BO232" s="88"/>
      <c r="BP232" s="9"/>
      <c r="BS232" s="81"/>
      <c r="BT232" s="81"/>
      <c r="BV232" s="9"/>
      <c r="BY232" s="81"/>
      <c r="BZ232" s="81"/>
      <c r="CB232" s="9"/>
      <c r="CE232" s="81"/>
      <c r="CF232" s="81"/>
      <c r="CH232" s="9"/>
      <c r="CK232" s="81"/>
      <c r="CL232" s="81"/>
      <c r="CR232" s="9"/>
      <c r="CS232" s="9"/>
      <c r="CT232" s="9"/>
      <c r="CU232" s="9"/>
      <c r="CV232" s="9"/>
      <c r="CW232" s="129"/>
      <c r="CX232" s="9"/>
    </row>
    <row r="233" spans="1:102">
      <c r="A233" s="6" t="str">
        <f t="shared" si="31"/>
        <v>00450998</v>
      </c>
      <c r="B233" s="6" t="s">
        <v>1695</v>
      </c>
      <c r="C233" s="6" t="s">
        <v>2091</v>
      </c>
      <c r="D233" s="6">
        <v>224</v>
      </c>
      <c r="E233" s="6">
        <v>45</v>
      </c>
      <c r="F233" s="6" t="s">
        <v>1547</v>
      </c>
      <c r="G233" s="6">
        <v>998</v>
      </c>
      <c r="H233" s="6" t="s">
        <v>1547</v>
      </c>
      <c r="I233" s="33">
        <v>0</v>
      </c>
      <c r="J233" s="88">
        <v>0</v>
      </c>
      <c r="K233" s="89">
        <f t="shared" si="40"/>
        <v>0</v>
      </c>
      <c r="L233" s="88">
        <f>IF(K234&gt;0, K233/K234, 0)</f>
        <v>0</v>
      </c>
      <c r="M233" s="58"/>
      <c r="N233" s="9">
        <f>ROUND(M234*L233,0)</f>
        <v>0</v>
      </c>
      <c r="O233" s="9">
        <v>0</v>
      </c>
      <c r="P233" s="9">
        <f>N233-O233</f>
        <v>0</v>
      </c>
      <c r="Q233" s="40">
        <f t="shared" si="39"/>
        <v>0</v>
      </c>
      <c r="R233" s="9">
        <v>0</v>
      </c>
      <c r="S233" s="9">
        <f t="shared" si="37"/>
        <v>0</v>
      </c>
      <c r="T233" s="90">
        <f t="shared" si="32"/>
        <v>45</v>
      </c>
      <c r="U233" s="90">
        <f t="shared" si="33"/>
        <v>998</v>
      </c>
      <c r="V233" s="373">
        <f t="shared" si="34"/>
        <v>224</v>
      </c>
      <c r="W233" s="90">
        <f t="shared" si="35"/>
        <v>0</v>
      </c>
      <c r="X233" s="90">
        <f t="shared" si="36"/>
        <v>0</v>
      </c>
      <c r="Y233" s="141">
        <f t="shared" si="38"/>
        <v>224</v>
      </c>
      <c r="Z233" s="298">
        <v>45</v>
      </c>
      <c r="AA233" s="299">
        <v>998</v>
      </c>
      <c r="AB233" s="299">
        <v>224</v>
      </c>
      <c r="AC233" s="301">
        <v>0</v>
      </c>
      <c r="AD233" s="301">
        <v>0</v>
      </c>
      <c r="AE233" s="126"/>
      <c r="AF233" s="298"/>
      <c r="AG233" s="299"/>
      <c r="AH233" s="299"/>
      <c r="AI233" s="301"/>
      <c r="AJ233" s="301"/>
      <c r="AK233" s="426"/>
      <c r="AL233" s="298"/>
      <c r="AM233" s="299"/>
      <c r="AN233" s="299"/>
      <c r="AO233" s="301"/>
      <c r="AP233" s="301"/>
      <c r="AQ233" s="426"/>
      <c r="AR233" s="298"/>
      <c r="AS233" s="299"/>
      <c r="AT233" s="299"/>
      <c r="AU233" s="301"/>
      <c r="AV233" s="301"/>
      <c r="AW233" s="88"/>
      <c r="AX233" s="298"/>
      <c r="AY233" s="299"/>
      <c r="AZ233" s="299"/>
      <c r="BA233" s="301"/>
      <c r="BB233" s="301"/>
      <c r="BC233" s="426"/>
      <c r="BD233" s="298"/>
      <c r="BE233" s="299"/>
      <c r="BF233" s="299"/>
      <c r="BG233" s="301"/>
      <c r="BH233" s="301"/>
      <c r="BI233" s="88"/>
      <c r="BJ233" s="298"/>
      <c r="BK233" s="299"/>
      <c r="BL233" s="299"/>
      <c r="BM233" s="301"/>
      <c r="BN233" s="301"/>
      <c r="BO233" s="88"/>
      <c r="BP233" s="9"/>
      <c r="BS233" s="81"/>
      <c r="BT233" s="81"/>
      <c r="BV233" s="9"/>
      <c r="BY233" s="81"/>
      <c r="BZ233" s="81"/>
      <c r="CB233" s="9"/>
      <c r="CE233" s="81"/>
      <c r="CF233" s="81"/>
      <c r="CH233" s="9"/>
      <c r="CK233" s="81"/>
      <c r="CL233" s="81"/>
      <c r="CR233" s="9"/>
      <c r="CS233" s="9"/>
      <c r="CT233" s="9"/>
      <c r="CU233" s="9"/>
      <c r="CV233" s="9"/>
      <c r="CW233" s="129"/>
      <c r="CX233" s="9"/>
    </row>
    <row r="234" spans="1:102">
      <c r="A234" s="6" t="str">
        <f t="shared" si="31"/>
        <v>00450999</v>
      </c>
      <c r="B234" s="6" t="s">
        <v>1695</v>
      </c>
      <c r="C234" s="6" t="s">
        <v>2092</v>
      </c>
      <c r="D234" s="6">
        <v>225</v>
      </c>
      <c r="E234" s="10">
        <v>45</v>
      </c>
      <c r="F234" s="10" t="s">
        <v>1164</v>
      </c>
      <c r="G234" s="10">
        <v>999</v>
      </c>
      <c r="H234" s="10" t="s">
        <v>593</v>
      </c>
      <c r="I234" s="92">
        <v>6547189.6549663423</v>
      </c>
      <c r="J234" s="472">
        <v>1</v>
      </c>
      <c r="K234" s="53">
        <f>SUM(K230:K233)</f>
        <v>6491929.1360938335</v>
      </c>
      <c r="L234" s="91">
        <f>SUM(L230:L233)</f>
        <v>1</v>
      </c>
      <c r="M234" s="79">
        <f>VLOOKUP(E234,town351,24)</f>
        <v>2825359</v>
      </c>
      <c r="N234" s="79">
        <f>SUM(N230:N233)</f>
        <v>2825359</v>
      </c>
      <c r="O234" s="79">
        <v>2685192</v>
      </c>
      <c r="P234" s="79">
        <f>SUM(P230:P233)</f>
        <v>140167</v>
      </c>
      <c r="Q234" s="39">
        <f t="shared" si="39"/>
        <v>5.2199991657952207</v>
      </c>
      <c r="R234" s="9">
        <v>442.99999999599999</v>
      </c>
      <c r="S234" s="9">
        <f t="shared" si="37"/>
        <v>432.27201050975998</v>
      </c>
      <c r="T234" s="90">
        <f t="shared" si="32"/>
        <v>45</v>
      </c>
      <c r="U234" s="90">
        <f t="shared" si="33"/>
        <v>999</v>
      </c>
      <c r="V234" s="373">
        <f t="shared" si="34"/>
        <v>225</v>
      </c>
      <c r="W234" s="90">
        <f t="shared" si="35"/>
        <v>432.27201050975998</v>
      </c>
      <c r="X234" s="90">
        <f t="shared" si="36"/>
        <v>6491929.1360938335</v>
      </c>
      <c r="Y234" s="141">
        <f t="shared" si="38"/>
        <v>225</v>
      </c>
      <c r="Z234" s="298">
        <v>45</v>
      </c>
      <c r="AA234" s="299">
        <v>999</v>
      </c>
      <c r="AB234" s="299">
        <v>225</v>
      </c>
      <c r="AC234" s="301">
        <v>432.27201050975998</v>
      </c>
      <c r="AD234" s="301">
        <v>6491929.1360938335</v>
      </c>
      <c r="AE234" s="126"/>
      <c r="AF234" s="298"/>
      <c r="AG234" s="299"/>
      <c r="AH234" s="299"/>
      <c r="AI234" s="301"/>
      <c r="AJ234" s="301"/>
      <c r="AK234" s="426"/>
      <c r="AL234" s="298"/>
      <c r="AM234" s="299"/>
      <c r="AN234" s="299"/>
      <c r="AO234" s="301"/>
      <c r="AP234" s="301"/>
      <c r="AQ234" s="426"/>
      <c r="AR234" s="298"/>
      <c r="AS234" s="299"/>
      <c r="AT234" s="299"/>
      <c r="AU234" s="301"/>
      <c r="AV234" s="301"/>
      <c r="AW234" s="91"/>
      <c r="AX234" s="298"/>
      <c r="AY234" s="299"/>
      <c r="AZ234" s="299"/>
      <c r="BA234" s="301"/>
      <c r="BB234" s="301"/>
      <c r="BC234" s="426"/>
      <c r="BD234" s="298"/>
      <c r="BE234" s="299"/>
      <c r="BF234" s="299"/>
      <c r="BG234" s="301"/>
      <c r="BH234" s="301"/>
      <c r="BI234" s="91"/>
      <c r="BJ234" s="298"/>
      <c r="BK234" s="299"/>
      <c r="BL234" s="299"/>
      <c r="BM234" s="301"/>
      <c r="BN234" s="301"/>
      <c r="BO234" s="91"/>
      <c r="BP234" s="9"/>
      <c r="BS234" s="81"/>
      <c r="BT234" s="81"/>
      <c r="BV234" s="9"/>
      <c r="BY234" s="81"/>
      <c r="BZ234" s="81"/>
      <c r="CB234" s="9"/>
      <c r="CE234" s="81"/>
      <c r="CF234" s="81"/>
      <c r="CH234" s="9"/>
      <c r="CK234" s="81"/>
      <c r="CL234" s="81"/>
      <c r="CR234" s="9"/>
      <c r="CS234" s="9"/>
      <c r="CT234" s="9"/>
      <c r="CU234" s="9"/>
      <c r="CV234" s="9"/>
      <c r="CW234" s="129"/>
      <c r="CX234" s="9"/>
    </row>
    <row r="235" spans="1:102">
      <c r="A235" s="6" t="str">
        <f t="shared" si="31"/>
        <v>00460046</v>
      </c>
      <c r="B235" s="6" t="s">
        <v>1696</v>
      </c>
      <c r="C235" s="6" t="s">
        <v>1696</v>
      </c>
      <c r="D235" s="6">
        <v>226</v>
      </c>
      <c r="E235" s="6">
        <v>46</v>
      </c>
      <c r="F235" s="6" t="s">
        <v>1165</v>
      </c>
      <c r="G235" s="6">
        <v>46</v>
      </c>
      <c r="H235" s="6" t="s">
        <v>727</v>
      </c>
      <c r="I235" s="33">
        <v>89394640.063260004</v>
      </c>
      <c r="J235" s="88">
        <v>1</v>
      </c>
      <c r="K235" s="89">
        <f>X235</f>
        <v>91993751.557960004</v>
      </c>
      <c r="L235" s="88">
        <f>IF(K239&gt;0, K235/K239, 0)</f>
        <v>1</v>
      </c>
      <c r="M235" s="58"/>
      <c r="N235" s="9">
        <f>ROUND(M239*L235,0)</f>
        <v>75894845</v>
      </c>
      <c r="O235" s="9">
        <v>73750578</v>
      </c>
      <c r="P235" s="9">
        <f>N235-O235</f>
        <v>2144267</v>
      </c>
      <c r="Q235" s="40">
        <f t="shared" si="39"/>
        <v>2.9074578913808646</v>
      </c>
      <c r="R235" s="9">
        <v>6913</v>
      </c>
      <c r="S235" s="9">
        <f t="shared" si="37"/>
        <v>6899</v>
      </c>
      <c r="T235" s="90">
        <f t="shared" si="32"/>
        <v>46</v>
      </c>
      <c r="U235" s="90">
        <f t="shared" si="33"/>
        <v>46</v>
      </c>
      <c r="V235" s="373">
        <f t="shared" si="34"/>
        <v>226</v>
      </c>
      <c r="W235" s="90">
        <f t="shared" si="35"/>
        <v>6899</v>
      </c>
      <c r="X235" s="90">
        <f t="shared" si="36"/>
        <v>91993751.557960004</v>
      </c>
      <c r="Y235" s="141">
        <f t="shared" si="38"/>
        <v>226</v>
      </c>
      <c r="Z235" s="298">
        <v>46</v>
      </c>
      <c r="AA235" s="299">
        <v>46</v>
      </c>
      <c r="AB235" s="299">
        <v>226</v>
      </c>
      <c r="AC235" s="301">
        <v>6899</v>
      </c>
      <c r="AD235" s="301">
        <v>91993751.557960004</v>
      </c>
      <c r="AE235" s="126"/>
      <c r="AF235" s="298"/>
      <c r="AG235" s="299"/>
      <c r="AH235" s="299"/>
      <c r="AI235" s="301"/>
      <c r="AJ235" s="301"/>
      <c r="AK235" s="426"/>
      <c r="AL235" s="298"/>
      <c r="AM235" s="299"/>
      <c r="AN235" s="299"/>
      <c r="AO235" s="301"/>
      <c r="AP235" s="301"/>
      <c r="AQ235" s="426"/>
      <c r="AR235" s="298"/>
      <c r="AS235" s="299"/>
      <c r="AT235" s="299"/>
      <c r="AU235" s="301"/>
      <c r="AV235" s="301"/>
      <c r="AW235" s="88"/>
      <c r="AX235" s="298"/>
      <c r="AY235" s="299"/>
      <c r="AZ235" s="299"/>
      <c r="BA235" s="301"/>
      <c r="BB235" s="301"/>
      <c r="BC235" s="426"/>
      <c r="BD235" s="298"/>
      <c r="BE235" s="299"/>
      <c r="BF235" s="299"/>
      <c r="BG235" s="301"/>
      <c r="BH235" s="301"/>
      <c r="BI235" s="88"/>
      <c r="BJ235" s="298"/>
      <c r="BK235" s="299"/>
      <c r="BL235" s="299"/>
      <c r="BM235" s="301"/>
      <c r="BN235" s="301"/>
      <c r="BO235" s="88"/>
      <c r="BP235" s="9"/>
      <c r="BS235" s="81"/>
      <c r="BT235" s="81"/>
      <c r="BV235" s="9"/>
      <c r="BY235" s="81"/>
      <c r="BZ235" s="81"/>
      <c r="CB235" s="9"/>
      <c r="CE235" s="81"/>
      <c r="CF235" s="81"/>
      <c r="CH235" s="9"/>
      <c r="CK235" s="81"/>
      <c r="CL235" s="81"/>
      <c r="CR235" s="9"/>
      <c r="CS235" s="9"/>
      <c r="CT235" s="9"/>
      <c r="CU235" s="9"/>
      <c r="CV235" s="9"/>
      <c r="CW235" s="129"/>
      <c r="CX235" s="9"/>
    </row>
    <row r="236" spans="1:102">
      <c r="A236" s="6" t="str">
        <f t="shared" si="31"/>
        <v>00460915</v>
      </c>
      <c r="B236" s="6" t="s">
        <v>1696</v>
      </c>
      <c r="C236" s="6" t="s">
        <v>2089</v>
      </c>
      <c r="D236" s="6">
        <v>227</v>
      </c>
      <c r="E236" s="6">
        <v>46</v>
      </c>
      <c r="F236" s="6" t="s">
        <v>1165</v>
      </c>
      <c r="G236" s="6">
        <v>915</v>
      </c>
      <c r="H236" s="6" t="s">
        <v>1119</v>
      </c>
      <c r="I236" s="33">
        <v>0</v>
      </c>
      <c r="J236" s="88">
        <v>0</v>
      </c>
      <c r="K236" s="89">
        <f t="shared" si="40"/>
        <v>0</v>
      </c>
      <c r="L236" s="88">
        <f>IF(K239&gt;0, K236/K239, 0)</f>
        <v>0</v>
      </c>
      <c r="M236" s="58"/>
      <c r="N236" s="9">
        <f>ROUND(M239*L236,0)</f>
        <v>0</v>
      </c>
      <c r="O236" s="9">
        <v>0</v>
      </c>
      <c r="P236" s="9">
        <f>N236-O236</f>
        <v>0</v>
      </c>
      <c r="Q236" s="40">
        <f t="shared" si="39"/>
        <v>0</v>
      </c>
      <c r="R236" s="9">
        <v>0</v>
      </c>
      <c r="S236" s="9">
        <f t="shared" si="37"/>
        <v>0</v>
      </c>
      <c r="T236" s="90">
        <f t="shared" si="32"/>
        <v>46</v>
      </c>
      <c r="U236" s="90">
        <f t="shared" si="33"/>
        <v>915</v>
      </c>
      <c r="V236" s="373">
        <f t="shared" si="34"/>
        <v>227</v>
      </c>
      <c r="W236" s="90">
        <f t="shared" si="35"/>
        <v>0</v>
      </c>
      <c r="X236" s="90">
        <f t="shared" si="36"/>
        <v>0</v>
      </c>
      <c r="Y236" s="141">
        <f t="shared" si="38"/>
        <v>227</v>
      </c>
      <c r="Z236" s="298">
        <v>46</v>
      </c>
      <c r="AA236" s="299">
        <v>915</v>
      </c>
      <c r="AB236" s="299">
        <v>227</v>
      </c>
      <c r="AC236" s="301">
        <v>0</v>
      </c>
      <c r="AD236" s="301">
        <v>0</v>
      </c>
      <c r="AE236" s="126"/>
      <c r="AF236" s="298"/>
      <c r="AG236" s="299"/>
      <c r="AH236" s="299"/>
      <c r="AI236" s="301"/>
      <c r="AJ236" s="301"/>
      <c r="AK236" s="426"/>
      <c r="AL236" s="298"/>
      <c r="AM236" s="299"/>
      <c r="AN236" s="299"/>
      <c r="AO236" s="301"/>
      <c r="AP236" s="301"/>
      <c r="AQ236" s="426"/>
      <c r="AR236" s="298"/>
      <c r="AS236" s="299"/>
      <c r="AT236" s="299"/>
      <c r="AU236" s="301"/>
      <c r="AV236" s="301"/>
      <c r="AW236" s="88"/>
      <c r="AX236" s="298"/>
      <c r="AY236" s="299"/>
      <c r="AZ236" s="299"/>
      <c r="BA236" s="301"/>
      <c r="BB236" s="301"/>
      <c r="BC236" s="426"/>
      <c r="BD236" s="298"/>
      <c r="BE236" s="299"/>
      <c r="BF236" s="299"/>
      <c r="BG236" s="301"/>
      <c r="BH236" s="301"/>
      <c r="BI236" s="88"/>
      <c r="BJ236" s="298"/>
      <c r="BK236" s="299"/>
      <c r="BL236" s="299"/>
      <c r="BM236" s="301"/>
      <c r="BN236" s="301"/>
      <c r="BO236" s="88"/>
      <c r="BP236" s="9"/>
      <c r="BS236" s="81"/>
      <c r="BT236" s="81"/>
      <c r="BV236" s="9"/>
      <c r="BY236" s="81"/>
      <c r="BZ236" s="81"/>
      <c r="CB236" s="9"/>
      <c r="CE236" s="81"/>
      <c r="CF236" s="81"/>
      <c r="CH236" s="9"/>
      <c r="CK236" s="81"/>
      <c r="CL236" s="81"/>
      <c r="CR236" s="9"/>
      <c r="CS236" s="9"/>
      <c r="CT236" s="9"/>
      <c r="CU236" s="9"/>
      <c r="CV236" s="9"/>
      <c r="CW236" s="129"/>
      <c r="CX236" s="9"/>
    </row>
    <row r="237" spans="1:102">
      <c r="A237" s="6" t="str">
        <f t="shared" si="31"/>
        <v>00460998</v>
      </c>
      <c r="B237" s="6" t="s">
        <v>1696</v>
      </c>
      <c r="C237" s="6" t="s">
        <v>2091</v>
      </c>
      <c r="D237" s="6">
        <v>228</v>
      </c>
      <c r="E237" s="6">
        <v>46</v>
      </c>
      <c r="F237" s="6" t="s">
        <v>1547</v>
      </c>
      <c r="G237" s="6">
        <v>998</v>
      </c>
      <c r="H237" s="6" t="s">
        <v>1547</v>
      </c>
      <c r="I237" s="33">
        <v>0</v>
      </c>
      <c r="J237" s="88">
        <v>0</v>
      </c>
      <c r="K237" s="89">
        <f t="shared" si="40"/>
        <v>0</v>
      </c>
      <c r="L237" s="88">
        <f>IF(K239&gt;0, K237/K239, 0)</f>
        <v>0</v>
      </c>
      <c r="M237" s="58"/>
      <c r="N237" s="9">
        <f>ROUND(M239*L237,0)</f>
        <v>0</v>
      </c>
      <c r="O237" s="9">
        <v>0</v>
      </c>
      <c r="P237" s="9">
        <f>N237-O237</f>
        <v>0</v>
      </c>
      <c r="Q237" s="40">
        <f t="shared" si="39"/>
        <v>0</v>
      </c>
      <c r="R237" s="9">
        <v>0</v>
      </c>
      <c r="S237" s="9">
        <f t="shared" si="37"/>
        <v>0</v>
      </c>
      <c r="T237" s="90">
        <f t="shared" si="32"/>
        <v>46</v>
      </c>
      <c r="U237" s="90">
        <f t="shared" si="33"/>
        <v>998</v>
      </c>
      <c r="V237" s="373">
        <f t="shared" si="34"/>
        <v>228</v>
      </c>
      <c r="W237" s="90">
        <f t="shared" si="35"/>
        <v>0</v>
      </c>
      <c r="X237" s="90">
        <f t="shared" si="36"/>
        <v>0</v>
      </c>
      <c r="Y237" s="141">
        <f t="shared" si="38"/>
        <v>228</v>
      </c>
      <c r="Z237" s="298">
        <v>46</v>
      </c>
      <c r="AA237" s="299">
        <v>998</v>
      </c>
      <c r="AB237" s="299">
        <v>228</v>
      </c>
      <c r="AC237" s="301">
        <v>0</v>
      </c>
      <c r="AD237" s="301">
        <v>0</v>
      </c>
      <c r="AE237" s="126"/>
      <c r="AF237" s="298"/>
      <c r="AG237" s="299"/>
      <c r="AH237" s="299"/>
      <c r="AI237" s="301"/>
      <c r="AJ237" s="301"/>
      <c r="AK237" s="426"/>
      <c r="AL237" s="298"/>
      <c r="AM237" s="299"/>
      <c r="AN237" s="299"/>
      <c r="AO237" s="301"/>
      <c r="AP237" s="301"/>
      <c r="AQ237" s="426"/>
      <c r="AR237" s="298"/>
      <c r="AS237" s="299"/>
      <c r="AT237" s="299"/>
      <c r="AU237" s="301"/>
      <c r="AV237" s="301"/>
      <c r="AW237" s="88"/>
      <c r="AX237" s="298"/>
      <c r="AY237" s="299"/>
      <c r="AZ237" s="299"/>
      <c r="BA237" s="301"/>
      <c r="BB237" s="301"/>
      <c r="BC237" s="426"/>
      <c r="BD237" s="298"/>
      <c r="BE237" s="299"/>
      <c r="BF237" s="299"/>
      <c r="BG237" s="301"/>
      <c r="BH237" s="301"/>
      <c r="BI237" s="88"/>
      <c r="BJ237" s="298"/>
      <c r="BK237" s="299"/>
      <c r="BL237" s="299"/>
      <c r="BM237" s="301"/>
      <c r="BN237" s="301"/>
      <c r="BO237" s="88"/>
      <c r="BP237" s="9"/>
      <c r="BS237" s="81"/>
      <c r="BT237" s="81"/>
      <c r="BV237" s="9"/>
      <c r="BY237" s="81"/>
      <c r="BZ237" s="81"/>
      <c r="CB237" s="9"/>
      <c r="CE237" s="81"/>
      <c r="CF237" s="81"/>
      <c r="CH237" s="9"/>
      <c r="CK237" s="81"/>
      <c r="CL237" s="81"/>
      <c r="CR237" s="9"/>
      <c r="CS237" s="9"/>
      <c r="CT237" s="9"/>
      <c r="CU237" s="9"/>
      <c r="CV237" s="9"/>
      <c r="CW237" s="129"/>
      <c r="CX237" s="9"/>
    </row>
    <row r="238" spans="1:102">
      <c r="A238" s="6" t="str">
        <f t="shared" si="31"/>
        <v>00460998</v>
      </c>
      <c r="B238" s="6" t="s">
        <v>1696</v>
      </c>
      <c r="C238" s="6" t="s">
        <v>2091</v>
      </c>
      <c r="D238" s="6">
        <v>229</v>
      </c>
      <c r="E238" s="6">
        <v>46</v>
      </c>
      <c r="F238" s="6" t="s">
        <v>1547</v>
      </c>
      <c r="G238" s="6">
        <v>998</v>
      </c>
      <c r="H238" s="6" t="s">
        <v>1547</v>
      </c>
      <c r="I238" s="33">
        <v>0</v>
      </c>
      <c r="J238" s="88">
        <v>0</v>
      </c>
      <c r="K238" s="89">
        <f t="shared" si="40"/>
        <v>0</v>
      </c>
      <c r="L238" s="88">
        <f>IF(K239&gt;0, K238/K239, 0)</f>
        <v>0</v>
      </c>
      <c r="M238" s="58"/>
      <c r="N238" s="9">
        <f>ROUND(M239*L238,0)</f>
        <v>0</v>
      </c>
      <c r="O238" s="9">
        <v>0</v>
      </c>
      <c r="P238" s="9">
        <f>N238-O238</f>
        <v>0</v>
      </c>
      <c r="Q238" s="40">
        <f t="shared" si="39"/>
        <v>0</v>
      </c>
      <c r="R238" s="9">
        <v>0</v>
      </c>
      <c r="S238" s="9">
        <f t="shared" si="37"/>
        <v>0</v>
      </c>
      <c r="T238" s="90">
        <f t="shared" si="32"/>
        <v>46</v>
      </c>
      <c r="U238" s="90">
        <f t="shared" si="33"/>
        <v>998</v>
      </c>
      <c r="V238" s="373">
        <f t="shared" si="34"/>
        <v>229</v>
      </c>
      <c r="W238" s="90">
        <f t="shared" si="35"/>
        <v>0</v>
      </c>
      <c r="X238" s="90">
        <f t="shared" si="36"/>
        <v>0</v>
      </c>
      <c r="Y238" s="141">
        <f t="shared" si="38"/>
        <v>229</v>
      </c>
      <c r="Z238" s="298">
        <v>46</v>
      </c>
      <c r="AA238" s="299">
        <v>998</v>
      </c>
      <c r="AB238" s="299">
        <v>229</v>
      </c>
      <c r="AC238" s="301">
        <v>0</v>
      </c>
      <c r="AD238" s="301">
        <v>0</v>
      </c>
      <c r="AE238" s="126"/>
      <c r="AF238" s="298"/>
      <c r="AG238" s="299"/>
      <c r="AH238" s="299"/>
      <c r="AI238" s="301"/>
      <c r="AJ238" s="301"/>
      <c r="AK238" s="426"/>
      <c r="AL238" s="298"/>
      <c r="AM238" s="299"/>
      <c r="AN238" s="299"/>
      <c r="AO238" s="301"/>
      <c r="AP238" s="301"/>
      <c r="AQ238" s="426"/>
      <c r="AR238" s="298"/>
      <c r="AS238" s="299"/>
      <c r="AT238" s="299"/>
      <c r="AU238" s="301"/>
      <c r="AV238" s="301"/>
      <c r="AW238" s="88"/>
      <c r="AX238" s="298"/>
      <c r="AY238" s="299"/>
      <c r="AZ238" s="299"/>
      <c r="BA238" s="301"/>
      <c r="BB238" s="301"/>
      <c r="BC238" s="426"/>
      <c r="BD238" s="298"/>
      <c r="BE238" s="299"/>
      <c r="BF238" s="299"/>
      <c r="BG238" s="301"/>
      <c r="BH238" s="301"/>
      <c r="BI238" s="88"/>
      <c r="BJ238" s="298"/>
      <c r="BK238" s="299"/>
      <c r="BL238" s="299"/>
      <c r="BM238" s="301"/>
      <c r="BN238" s="301"/>
      <c r="BO238" s="88"/>
      <c r="BP238" s="9"/>
      <c r="BS238" s="81"/>
      <c r="BT238" s="81"/>
      <c r="BV238" s="9"/>
      <c r="BY238" s="81"/>
      <c r="BZ238" s="81"/>
      <c r="CB238" s="9"/>
      <c r="CE238" s="81"/>
      <c r="CF238" s="81"/>
      <c r="CH238" s="9"/>
      <c r="CK238" s="81"/>
      <c r="CL238" s="81"/>
      <c r="CR238" s="9"/>
      <c r="CS238" s="9"/>
      <c r="CT238" s="9"/>
      <c r="CU238" s="9"/>
      <c r="CV238" s="9"/>
      <c r="CW238" s="129"/>
      <c r="CX238" s="9"/>
    </row>
    <row r="239" spans="1:102">
      <c r="A239" s="6" t="str">
        <f t="shared" si="31"/>
        <v>00460999</v>
      </c>
      <c r="B239" s="6" t="s">
        <v>1696</v>
      </c>
      <c r="C239" s="6" t="s">
        <v>2092</v>
      </c>
      <c r="D239" s="6">
        <v>230</v>
      </c>
      <c r="E239" s="10">
        <v>46</v>
      </c>
      <c r="F239" s="10" t="s">
        <v>1165</v>
      </c>
      <c r="G239" s="10">
        <v>999</v>
      </c>
      <c r="H239" s="10" t="s">
        <v>593</v>
      </c>
      <c r="I239" s="92">
        <v>89394640.063260004</v>
      </c>
      <c r="J239" s="472">
        <v>1</v>
      </c>
      <c r="K239" s="53">
        <f>SUM(K235:K238)</f>
        <v>91993751.557960004</v>
      </c>
      <c r="L239" s="91">
        <f>SUM(L235:L238)</f>
        <v>1</v>
      </c>
      <c r="M239" s="79">
        <f>VLOOKUP(E239,town351,24)</f>
        <v>75894845</v>
      </c>
      <c r="N239" s="79">
        <f>SUM(N235:N238)</f>
        <v>75894845</v>
      </c>
      <c r="O239" s="79">
        <v>73750578</v>
      </c>
      <c r="P239" s="79">
        <f>SUM(P235:P238)</f>
        <v>2144267</v>
      </c>
      <c r="Q239" s="39">
        <f t="shared" si="39"/>
        <v>2.9074578913808646</v>
      </c>
      <c r="R239" s="9">
        <v>6913</v>
      </c>
      <c r="S239" s="9">
        <f t="shared" si="37"/>
        <v>6899</v>
      </c>
      <c r="T239" s="90">
        <f t="shared" si="32"/>
        <v>46</v>
      </c>
      <c r="U239" s="90">
        <f t="shared" si="33"/>
        <v>999</v>
      </c>
      <c r="V239" s="373">
        <f t="shared" si="34"/>
        <v>230</v>
      </c>
      <c r="W239" s="90">
        <f t="shared" si="35"/>
        <v>6899</v>
      </c>
      <c r="X239" s="90">
        <f t="shared" si="36"/>
        <v>91993751.557960004</v>
      </c>
      <c r="Y239" s="141">
        <f t="shared" si="38"/>
        <v>230</v>
      </c>
      <c r="Z239" s="298">
        <v>46</v>
      </c>
      <c r="AA239" s="299">
        <v>999</v>
      </c>
      <c r="AB239" s="299">
        <v>230</v>
      </c>
      <c r="AC239" s="301">
        <v>6899</v>
      </c>
      <c r="AD239" s="301">
        <v>91993751.557960004</v>
      </c>
      <c r="AE239" s="126"/>
      <c r="AF239" s="298"/>
      <c r="AG239" s="299"/>
      <c r="AH239" s="299"/>
      <c r="AI239" s="301"/>
      <c r="AJ239" s="301"/>
      <c r="AK239" s="426"/>
      <c r="AL239" s="298"/>
      <c r="AM239" s="299"/>
      <c r="AN239" s="299"/>
      <c r="AO239" s="301"/>
      <c r="AP239" s="301"/>
      <c r="AQ239" s="426"/>
      <c r="AR239" s="298"/>
      <c r="AS239" s="299"/>
      <c r="AT239" s="299"/>
      <c r="AU239" s="301"/>
      <c r="AV239" s="301"/>
      <c r="AW239" s="91"/>
      <c r="AX239" s="298"/>
      <c r="AY239" s="299"/>
      <c r="AZ239" s="299"/>
      <c r="BA239" s="301"/>
      <c r="BB239" s="301"/>
      <c r="BC239" s="426"/>
      <c r="BD239" s="298"/>
      <c r="BE239" s="299"/>
      <c r="BF239" s="299"/>
      <c r="BG239" s="301"/>
      <c r="BH239" s="301"/>
      <c r="BI239" s="91"/>
      <c r="BJ239" s="298"/>
      <c r="BK239" s="299"/>
      <c r="BL239" s="299"/>
      <c r="BM239" s="301"/>
      <c r="BN239" s="301"/>
      <c r="BO239" s="91"/>
      <c r="BP239" s="9"/>
      <c r="BS239" s="81"/>
      <c r="BT239" s="81"/>
      <c r="BV239" s="9"/>
      <c r="BY239" s="81"/>
      <c r="BZ239" s="81"/>
      <c r="CB239" s="9"/>
      <c r="CE239" s="81"/>
      <c r="CF239" s="81"/>
      <c r="CH239" s="9"/>
      <c r="CK239" s="81"/>
      <c r="CL239" s="81"/>
      <c r="CR239" s="9"/>
      <c r="CS239" s="9"/>
      <c r="CT239" s="9"/>
      <c r="CU239" s="9"/>
      <c r="CV239" s="9"/>
      <c r="CW239" s="129"/>
      <c r="CX239" s="9"/>
    </row>
    <row r="240" spans="1:102">
      <c r="A240" s="6" t="str">
        <f t="shared" si="31"/>
        <v>00470047</v>
      </c>
      <c r="B240" s="6" t="s">
        <v>1697</v>
      </c>
      <c r="C240" s="6" t="s">
        <v>1697</v>
      </c>
      <c r="D240" s="6">
        <v>231</v>
      </c>
      <c r="E240" s="6">
        <v>47</v>
      </c>
      <c r="F240" s="6" t="s">
        <v>1166</v>
      </c>
      <c r="G240" s="6">
        <v>47</v>
      </c>
      <c r="H240" s="6" t="s">
        <v>728</v>
      </c>
      <c r="I240" s="33">
        <v>16490.760000000002</v>
      </c>
      <c r="J240" s="88">
        <v>5.6215627082629215E-3</v>
      </c>
      <c r="K240" s="89">
        <f>X240</f>
        <v>16860.330000000002</v>
      </c>
      <c r="L240" s="88">
        <f>IF(K244&gt;0, K240/K244, 0)</f>
        <v>5.6490414738946271E-3</v>
      </c>
      <c r="M240" s="58"/>
      <c r="N240" s="9">
        <f>ROUND(M244*L240,0)</f>
        <v>8952</v>
      </c>
      <c r="O240" s="9">
        <v>8510</v>
      </c>
      <c r="P240" s="9">
        <f>N240-O240</f>
        <v>442</v>
      </c>
      <c r="Q240" s="40">
        <f t="shared" si="39"/>
        <v>5.1938895417156283</v>
      </c>
      <c r="R240" s="9">
        <v>1</v>
      </c>
      <c r="S240" s="9">
        <f t="shared" si="37"/>
        <v>1</v>
      </c>
      <c r="T240" s="90">
        <f t="shared" si="32"/>
        <v>47</v>
      </c>
      <c r="U240" s="90">
        <f t="shared" si="33"/>
        <v>47</v>
      </c>
      <c r="V240" s="373">
        <f t="shared" si="34"/>
        <v>231</v>
      </c>
      <c r="W240" s="90">
        <f t="shared" si="35"/>
        <v>1</v>
      </c>
      <c r="X240" s="90">
        <f t="shared" si="36"/>
        <v>16860.330000000002</v>
      </c>
      <c r="Y240" s="141">
        <f t="shared" si="38"/>
        <v>231</v>
      </c>
      <c r="Z240" s="298">
        <v>47</v>
      </c>
      <c r="AA240" s="299">
        <v>47</v>
      </c>
      <c r="AB240" s="299">
        <v>231</v>
      </c>
      <c r="AC240" s="301">
        <v>1</v>
      </c>
      <c r="AD240" s="301">
        <v>16860.330000000002</v>
      </c>
      <c r="AE240" s="126"/>
      <c r="AF240" s="298"/>
      <c r="AG240" s="299"/>
      <c r="AH240" s="299"/>
      <c r="AI240" s="301"/>
      <c r="AJ240" s="301"/>
      <c r="AK240" s="426"/>
      <c r="AL240" s="298"/>
      <c r="AM240" s="299"/>
      <c r="AN240" s="299"/>
      <c r="AO240" s="301"/>
      <c r="AP240" s="301"/>
      <c r="AQ240" s="426"/>
      <c r="AR240" s="298"/>
      <c r="AS240" s="299"/>
      <c r="AT240" s="299"/>
      <c r="AU240" s="301"/>
      <c r="AV240" s="301"/>
      <c r="AW240" s="88"/>
      <c r="AX240" s="298"/>
      <c r="AY240" s="299"/>
      <c r="AZ240" s="299"/>
      <c r="BA240" s="301"/>
      <c r="BB240" s="301"/>
      <c r="BC240" s="426"/>
      <c r="BD240" s="298"/>
      <c r="BE240" s="299"/>
      <c r="BF240" s="299"/>
      <c r="BG240" s="301"/>
      <c r="BH240" s="301"/>
      <c r="BI240" s="88"/>
      <c r="BJ240" s="298"/>
      <c r="BK240" s="299"/>
      <c r="BL240" s="299"/>
      <c r="BM240" s="301"/>
      <c r="BN240" s="301"/>
      <c r="BO240" s="88"/>
      <c r="BP240" s="9"/>
      <c r="BS240" s="81"/>
      <c r="BT240" s="81"/>
      <c r="BV240" s="9"/>
      <c r="BY240" s="81"/>
      <c r="BZ240" s="81"/>
      <c r="CB240" s="9"/>
      <c r="CE240" s="81"/>
      <c r="CF240" s="81"/>
      <c r="CH240" s="9"/>
      <c r="CK240" s="81"/>
      <c r="CL240" s="81"/>
      <c r="CR240" s="9"/>
      <c r="CS240" s="9"/>
      <c r="CT240" s="9"/>
      <c r="CU240" s="9"/>
      <c r="CV240" s="9"/>
      <c r="CW240" s="129"/>
      <c r="CX240" s="9"/>
    </row>
    <row r="241" spans="1:102">
      <c r="A241" s="6" t="str">
        <f t="shared" si="31"/>
        <v>00470717</v>
      </c>
      <c r="B241" s="6" t="s">
        <v>1697</v>
      </c>
      <c r="C241" s="6" t="s">
        <v>2040</v>
      </c>
      <c r="D241" s="6">
        <v>232</v>
      </c>
      <c r="E241" s="6">
        <v>47</v>
      </c>
      <c r="F241" s="6" t="s">
        <v>1166</v>
      </c>
      <c r="G241" s="6">
        <v>717</v>
      </c>
      <c r="H241" s="6" t="s">
        <v>1070</v>
      </c>
      <c r="I241" s="33">
        <v>2553895.204850289</v>
      </c>
      <c r="J241" s="88">
        <v>0.87060160019294919</v>
      </c>
      <c r="K241" s="89">
        <f t="shared" si="40"/>
        <v>2574350.4479976436</v>
      </c>
      <c r="L241" s="88">
        <f>IF(K244&gt;0, K241/K244, 0)</f>
        <v>0.86253427121995252</v>
      </c>
      <c r="M241" s="58"/>
      <c r="N241" s="9">
        <f>ROUND(M244*L241,0)</f>
        <v>1366792</v>
      </c>
      <c r="O241" s="9">
        <v>1317898</v>
      </c>
      <c r="P241" s="9">
        <f>N241-O241</f>
        <v>48894</v>
      </c>
      <c r="Q241" s="40">
        <f t="shared" si="39"/>
        <v>3.7099988011211793</v>
      </c>
      <c r="R241" s="9">
        <v>177.49268292490001</v>
      </c>
      <c r="S241" s="9">
        <f t="shared" si="37"/>
        <v>170.74626865919998</v>
      </c>
      <c r="T241" s="90">
        <f t="shared" si="32"/>
        <v>47</v>
      </c>
      <c r="U241" s="90">
        <f t="shared" si="33"/>
        <v>717</v>
      </c>
      <c r="V241" s="373">
        <f t="shared" si="34"/>
        <v>232</v>
      </c>
      <c r="W241" s="90">
        <f t="shared" si="35"/>
        <v>170.74626865919998</v>
      </c>
      <c r="X241" s="90">
        <f t="shared" si="36"/>
        <v>2574350.4479976436</v>
      </c>
      <c r="Y241" s="141">
        <f t="shared" si="38"/>
        <v>232</v>
      </c>
      <c r="Z241" s="298">
        <v>47</v>
      </c>
      <c r="AA241" s="299">
        <v>717</v>
      </c>
      <c r="AB241" s="299">
        <v>232</v>
      </c>
      <c r="AC241" s="301">
        <v>170.74626865919998</v>
      </c>
      <c r="AD241" s="301">
        <v>2574350.4479976436</v>
      </c>
      <c r="AE241" s="126"/>
      <c r="AF241" s="298"/>
      <c r="AG241" s="299"/>
      <c r="AH241" s="299"/>
      <c r="AI241" s="301"/>
      <c r="AJ241" s="301"/>
      <c r="AK241" s="426"/>
      <c r="AL241" s="298"/>
      <c r="AM241" s="299"/>
      <c r="AN241" s="299"/>
      <c r="AO241" s="301"/>
      <c r="AP241" s="301"/>
      <c r="AQ241" s="426"/>
      <c r="AR241" s="298"/>
      <c r="AS241" s="299"/>
      <c r="AT241" s="299"/>
      <c r="AU241" s="301"/>
      <c r="AV241" s="301"/>
      <c r="AW241" s="88"/>
      <c r="AX241" s="298"/>
      <c r="AY241" s="299"/>
      <c r="AZ241" s="299"/>
      <c r="BA241" s="301"/>
      <c r="BB241" s="301"/>
      <c r="BC241" s="426"/>
      <c r="BD241" s="298"/>
      <c r="BE241" s="299"/>
      <c r="BF241" s="299"/>
      <c r="BG241" s="301"/>
      <c r="BH241" s="301"/>
      <c r="BI241" s="88"/>
      <c r="BJ241" s="298"/>
      <c r="BK241" s="299"/>
      <c r="BL241" s="299"/>
      <c r="BM241" s="301"/>
      <c r="BN241" s="301"/>
      <c r="BO241" s="88"/>
      <c r="BP241" s="9"/>
      <c r="BS241" s="81"/>
      <c r="BT241" s="81"/>
      <c r="BV241" s="9"/>
      <c r="BY241" s="81"/>
      <c r="BZ241" s="81"/>
      <c r="CB241" s="9"/>
      <c r="CE241" s="81"/>
      <c r="CF241" s="81"/>
      <c r="CH241" s="9"/>
      <c r="CK241" s="81"/>
      <c r="CL241" s="81"/>
      <c r="CR241" s="9"/>
      <c r="CS241" s="9"/>
      <c r="CT241" s="9"/>
      <c r="CU241" s="9"/>
      <c r="CV241" s="9"/>
      <c r="CW241" s="129"/>
      <c r="CX241" s="9"/>
    </row>
    <row r="242" spans="1:102">
      <c r="A242" s="6" t="str">
        <f t="shared" si="31"/>
        <v>00470818</v>
      </c>
      <c r="B242" s="6" t="s">
        <v>1697</v>
      </c>
      <c r="C242" s="6" t="s">
        <v>2068</v>
      </c>
      <c r="D242" s="6">
        <v>233</v>
      </c>
      <c r="E242" s="6">
        <v>47</v>
      </c>
      <c r="F242" s="6" t="s">
        <v>1166</v>
      </c>
      <c r="G242" s="6">
        <v>818</v>
      </c>
      <c r="H242" s="6" t="s">
        <v>1098</v>
      </c>
      <c r="I242" s="33">
        <v>363097.2774091739</v>
      </c>
      <c r="J242" s="88">
        <v>0.12377683709878796</v>
      </c>
      <c r="K242" s="89">
        <f t="shared" si="40"/>
        <v>393424.77086759731</v>
      </c>
      <c r="L242" s="88">
        <f>IF(K244&gt;0, K242/K244, 0)</f>
        <v>0.13181668730615284</v>
      </c>
      <c r="M242" s="58"/>
      <c r="N242" s="9">
        <f>ROUND(M244*L242,0)</f>
        <v>208880</v>
      </c>
      <c r="O242" s="9">
        <v>187371</v>
      </c>
      <c r="P242" s="9">
        <f>N242-O242</f>
        <v>21509</v>
      </c>
      <c r="Q242" s="40">
        <f t="shared" si="39"/>
        <v>11.479364469421629</v>
      </c>
      <c r="R242" s="9">
        <v>17.0000000016</v>
      </c>
      <c r="S242" s="9">
        <f t="shared" si="37"/>
        <v>17.999999998830003</v>
      </c>
      <c r="T242" s="90">
        <f t="shared" si="32"/>
        <v>47</v>
      </c>
      <c r="U242" s="90">
        <f t="shared" si="33"/>
        <v>818</v>
      </c>
      <c r="V242" s="373">
        <f t="shared" si="34"/>
        <v>233</v>
      </c>
      <c r="W242" s="90">
        <f t="shared" si="35"/>
        <v>17.999999998830003</v>
      </c>
      <c r="X242" s="90">
        <f t="shared" si="36"/>
        <v>393424.77086759731</v>
      </c>
      <c r="Y242" s="141">
        <f t="shared" si="38"/>
        <v>233</v>
      </c>
      <c r="Z242" s="298">
        <v>47</v>
      </c>
      <c r="AA242" s="299">
        <v>818</v>
      </c>
      <c r="AB242" s="299">
        <v>233</v>
      </c>
      <c r="AC242" s="301">
        <v>17.999999998830003</v>
      </c>
      <c r="AD242" s="301">
        <v>393424.77086759731</v>
      </c>
      <c r="AE242" s="126"/>
      <c r="AF242" s="298"/>
      <c r="AG242" s="299"/>
      <c r="AH242" s="299"/>
      <c r="AI242" s="301"/>
      <c r="AJ242" s="301"/>
      <c r="AK242" s="426"/>
      <c r="AL242" s="298"/>
      <c r="AM242" s="299"/>
      <c r="AN242" s="299"/>
      <c r="AO242" s="301"/>
      <c r="AP242" s="301"/>
      <c r="AQ242" s="426"/>
      <c r="AR242" s="298"/>
      <c r="AS242" s="299"/>
      <c r="AT242" s="299"/>
      <c r="AU242" s="301"/>
      <c r="AV242" s="301"/>
      <c r="AW242" s="88"/>
      <c r="AX242" s="298"/>
      <c r="AY242" s="299"/>
      <c r="AZ242" s="299"/>
      <c r="BA242" s="301"/>
      <c r="BB242" s="301"/>
      <c r="BC242" s="426"/>
      <c r="BD242" s="298"/>
      <c r="BE242" s="299"/>
      <c r="BF242" s="299"/>
      <c r="BG242" s="301"/>
      <c r="BH242" s="301"/>
      <c r="BI242" s="88"/>
      <c r="BJ242" s="298"/>
      <c r="BK242" s="299"/>
      <c r="BL242" s="299"/>
      <c r="BM242" s="301"/>
      <c r="BN242" s="301"/>
      <c r="BO242" s="88"/>
      <c r="BP242" s="9"/>
      <c r="BS242" s="81"/>
      <c r="BT242" s="81"/>
      <c r="BV242" s="9"/>
      <c r="BY242" s="81"/>
      <c r="BZ242" s="81"/>
      <c r="CB242" s="9"/>
      <c r="CE242" s="81"/>
      <c r="CF242" s="81"/>
      <c r="CH242" s="9"/>
      <c r="CK242" s="81"/>
      <c r="CL242" s="81"/>
      <c r="CR242" s="9"/>
      <c r="CS242" s="9"/>
      <c r="CT242" s="9"/>
      <c r="CU242" s="9"/>
      <c r="CV242" s="9"/>
      <c r="CW242" s="129"/>
      <c r="CX242" s="9"/>
    </row>
    <row r="243" spans="1:102">
      <c r="A243" s="6" t="str">
        <f t="shared" si="31"/>
        <v>00470998</v>
      </c>
      <c r="B243" s="6" t="s">
        <v>1697</v>
      </c>
      <c r="C243" s="6" t="s">
        <v>2091</v>
      </c>
      <c r="D243" s="6">
        <v>234</v>
      </c>
      <c r="E243" s="6">
        <v>47</v>
      </c>
      <c r="F243" s="6" t="s">
        <v>1547</v>
      </c>
      <c r="G243" s="6">
        <v>998</v>
      </c>
      <c r="H243" s="6" t="s">
        <v>1547</v>
      </c>
      <c r="I243" s="33">
        <v>0</v>
      </c>
      <c r="J243" s="88">
        <v>0</v>
      </c>
      <c r="K243" s="89">
        <f t="shared" si="40"/>
        <v>0</v>
      </c>
      <c r="L243" s="88">
        <f>IF(K244&gt;0, K243/K244, 0)</f>
        <v>0</v>
      </c>
      <c r="M243" s="58"/>
      <c r="N243" s="9">
        <f>ROUND(M244*L243,0)</f>
        <v>0</v>
      </c>
      <c r="O243" s="9">
        <v>0</v>
      </c>
      <c r="P243" s="9">
        <f>N243-O243</f>
        <v>0</v>
      </c>
      <c r="Q243" s="40">
        <f t="shared" si="39"/>
        <v>0</v>
      </c>
      <c r="R243" s="9">
        <v>0</v>
      </c>
      <c r="S243" s="9">
        <f t="shared" si="37"/>
        <v>0</v>
      </c>
      <c r="T243" s="90">
        <f t="shared" si="32"/>
        <v>47</v>
      </c>
      <c r="U243" s="90">
        <f t="shared" si="33"/>
        <v>998</v>
      </c>
      <c r="V243" s="373">
        <f t="shared" si="34"/>
        <v>234</v>
      </c>
      <c r="W243" s="90">
        <f t="shared" si="35"/>
        <v>0</v>
      </c>
      <c r="X243" s="90">
        <f t="shared" si="36"/>
        <v>0</v>
      </c>
      <c r="Y243" s="141">
        <f t="shared" si="38"/>
        <v>234</v>
      </c>
      <c r="Z243" s="298">
        <v>47</v>
      </c>
      <c r="AA243" s="299">
        <v>998</v>
      </c>
      <c r="AB243" s="299">
        <v>234</v>
      </c>
      <c r="AC243" s="301">
        <v>0</v>
      </c>
      <c r="AD243" s="301">
        <v>0</v>
      </c>
      <c r="AE243" s="126"/>
      <c r="AF243" s="298"/>
      <c r="AG243" s="299"/>
      <c r="AH243" s="299"/>
      <c r="AI243" s="301"/>
      <c r="AJ243" s="301"/>
      <c r="AK243" s="426"/>
      <c r="AL243" s="298"/>
      <c r="AM243" s="299"/>
      <c r="AN243" s="299"/>
      <c r="AO243" s="301"/>
      <c r="AP243" s="301"/>
      <c r="AQ243" s="426"/>
      <c r="AR243" s="298"/>
      <c r="AS243" s="299"/>
      <c r="AT243" s="299"/>
      <c r="AU243" s="301"/>
      <c r="AV243" s="301"/>
      <c r="AW243" s="88"/>
      <c r="AX243" s="298"/>
      <c r="AY243" s="299"/>
      <c r="AZ243" s="299"/>
      <c r="BA243" s="301"/>
      <c r="BB243" s="301"/>
      <c r="BC243" s="426"/>
      <c r="BD243" s="298"/>
      <c r="BE243" s="299"/>
      <c r="BF243" s="299"/>
      <c r="BG243" s="301"/>
      <c r="BH243" s="301"/>
      <c r="BI243" s="88"/>
      <c r="BJ243" s="298"/>
      <c r="BK243" s="299"/>
      <c r="BL243" s="299"/>
      <c r="BM243" s="301"/>
      <c r="BN243" s="301"/>
      <c r="BO243" s="88"/>
      <c r="BP243" s="9"/>
      <c r="BS243" s="81"/>
      <c r="BT243" s="81"/>
      <c r="BV243" s="9"/>
      <c r="BY243" s="81"/>
      <c r="BZ243" s="81"/>
      <c r="CB243" s="9"/>
      <c r="CE243" s="81"/>
      <c r="CF243" s="81"/>
      <c r="CH243" s="9"/>
      <c r="CK243" s="81"/>
      <c r="CL243" s="81"/>
      <c r="CR243" s="9"/>
      <c r="CS243" s="9"/>
      <c r="CT243" s="9"/>
      <c r="CU243" s="9"/>
      <c r="CV243" s="9"/>
      <c r="CW243" s="129"/>
      <c r="CX243" s="9"/>
    </row>
    <row r="244" spans="1:102">
      <c r="A244" s="6" t="str">
        <f t="shared" si="31"/>
        <v>00470999</v>
      </c>
      <c r="B244" s="6" t="s">
        <v>1697</v>
      </c>
      <c r="C244" s="6" t="s">
        <v>2092</v>
      </c>
      <c r="D244" s="6">
        <v>235</v>
      </c>
      <c r="E244" s="10">
        <v>47</v>
      </c>
      <c r="F244" s="10" t="s">
        <v>1166</v>
      </c>
      <c r="G244" s="10">
        <v>999</v>
      </c>
      <c r="H244" s="10" t="s">
        <v>593</v>
      </c>
      <c r="I244" s="92">
        <v>2933483.2422594628</v>
      </c>
      <c r="J244" s="472">
        <v>1.0000000000000002</v>
      </c>
      <c r="K244" s="53">
        <f>SUM(K240:K243)</f>
        <v>2984635.548865241</v>
      </c>
      <c r="L244" s="91">
        <f>SUM(L240:L243)</f>
        <v>1</v>
      </c>
      <c r="M244" s="79">
        <f>VLOOKUP(E244,town351,24)</f>
        <v>1584623</v>
      </c>
      <c r="N244" s="79">
        <f>SUM(N240:N243)</f>
        <v>1584624</v>
      </c>
      <c r="O244" s="79">
        <v>1513779</v>
      </c>
      <c r="P244" s="79">
        <f>SUM(P240:P243)</f>
        <v>70845</v>
      </c>
      <c r="Q244" s="39">
        <f t="shared" si="39"/>
        <v>4.6800094333452904</v>
      </c>
      <c r="R244" s="9">
        <v>195.49268292650001</v>
      </c>
      <c r="S244" s="9">
        <f t="shared" si="37"/>
        <v>189.74626865802998</v>
      </c>
      <c r="T244" s="90">
        <f t="shared" si="32"/>
        <v>47</v>
      </c>
      <c r="U244" s="90">
        <f t="shared" si="33"/>
        <v>999</v>
      </c>
      <c r="V244" s="373">
        <f t="shared" si="34"/>
        <v>235</v>
      </c>
      <c r="W244" s="90">
        <f t="shared" si="35"/>
        <v>189.74626865802998</v>
      </c>
      <c r="X244" s="90">
        <f t="shared" si="36"/>
        <v>2984635.548865241</v>
      </c>
      <c r="Y244" s="141">
        <f t="shared" si="38"/>
        <v>235</v>
      </c>
      <c r="Z244" s="298">
        <v>47</v>
      </c>
      <c r="AA244" s="299">
        <v>999</v>
      </c>
      <c r="AB244" s="299">
        <v>235</v>
      </c>
      <c r="AC244" s="301">
        <v>189.74626865802998</v>
      </c>
      <c r="AD244" s="301">
        <v>2984635.548865241</v>
      </c>
      <c r="AE244" s="126"/>
      <c r="AF244" s="298"/>
      <c r="AG244" s="299"/>
      <c r="AH244" s="299"/>
      <c r="AI244" s="301"/>
      <c r="AJ244" s="301"/>
      <c r="AK244" s="426"/>
      <c r="AL244" s="298"/>
      <c r="AM244" s="299"/>
      <c r="AN244" s="299"/>
      <c r="AO244" s="301"/>
      <c r="AP244" s="301"/>
      <c r="AQ244" s="426"/>
      <c r="AR244" s="298"/>
      <c r="AS244" s="299"/>
      <c r="AT244" s="299"/>
      <c r="AU244" s="301"/>
      <c r="AV244" s="301"/>
      <c r="AW244" s="91"/>
      <c r="AX244" s="298"/>
      <c r="AY244" s="299"/>
      <c r="AZ244" s="299"/>
      <c r="BA244" s="301"/>
      <c r="BB244" s="301"/>
      <c r="BC244" s="426"/>
      <c r="BD244" s="298"/>
      <c r="BE244" s="299"/>
      <c r="BF244" s="299"/>
      <c r="BG244" s="301"/>
      <c r="BH244" s="301"/>
      <c r="BI244" s="91"/>
      <c r="BJ244" s="298"/>
      <c r="BK244" s="299"/>
      <c r="BL244" s="299"/>
      <c r="BM244" s="301"/>
      <c r="BN244" s="301"/>
      <c r="BO244" s="91"/>
      <c r="BP244" s="9"/>
      <c r="BS244" s="81"/>
      <c r="BT244" s="81"/>
      <c r="BV244" s="9"/>
      <c r="BY244" s="81"/>
      <c r="BZ244" s="81"/>
      <c r="CB244" s="9"/>
      <c r="CE244" s="81"/>
      <c r="CF244" s="81"/>
      <c r="CH244" s="9"/>
      <c r="CK244" s="81"/>
      <c r="CL244" s="81"/>
      <c r="CR244" s="9"/>
      <c r="CS244" s="9"/>
      <c r="CT244" s="9"/>
      <c r="CU244" s="9"/>
      <c r="CV244" s="9"/>
      <c r="CW244" s="129"/>
      <c r="CX244" s="9"/>
    </row>
    <row r="245" spans="1:102">
      <c r="A245" s="6" t="str">
        <f t="shared" si="31"/>
        <v>00480048</v>
      </c>
      <c r="B245" s="6" t="s">
        <v>1698</v>
      </c>
      <c r="C245" s="6" t="s">
        <v>1698</v>
      </c>
      <c r="D245" s="6">
        <v>236</v>
      </c>
      <c r="E245" s="6">
        <v>48</v>
      </c>
      <c r="F245" s="6" t="s">
        <v>1167</v>
      </c>
      <c r="G245" s="6">
        <v>48</v>
      </c>
      <c r="H245" s="6" t="s">
        <v>729</v>
      </c>
      <c r="I245" s="33">
        <v>46103747.98904001</v>
      </c>
      <c r="J245" s="88">
        <v>0.9491823984667801</v>
      </c>
      <c r="K245" s="89">
        <f>X245</f>
        <v>49033422.446800001</v>
      </c>
      <c r="L245" s="88">
        <f>IF(K249&gt;0, K245/K249, 0)</f>
        <v>0.95460752026655027</v>
      </c>
      <c r="M245" s="58"/>
      <c r="N245" s="9">
        <f>ROUND(M249*L245,0)</f>
        <v>39058316</v>
      </c>
      <c r="O245" s="9">
        <v>36818680</v>
      </c>
      <c r="P245" s="9">
        <f>N245-O245</f>
        <v>2239636</v>
      </c>
      <c r="Q245" s="40">
        <f t="shared" si="39"/>
        <v>6.0828796686899151</v>
      </c>
      <c r="R245" s="9">
        <v>3424</v>
      </c>
      <c r="S245" s="9">
        <f t="shared" si="37"/>
        <v>3523</v>
      </c>
      <c r="T245" s="90">
        <f t="shared" si="32"/>
        <v>48</v>
      </c>
      <c r="U245" s="90">
        <f t="shared" si="33"/>
        <v>48</v>
      </c>
      <c r="V245" s="373">
        <f t="shared" si="34"/>
        <v>236</v>
      </c>
      <c r="W245" s="90">
        <f t="shared" si="35"/>
        <v>3523</v>
      </c>
      <c r="X245" s="90">
        <f t="shared" si="36"/>
        <v>49033422.446800001</v>
      </c>
      <c r="Y245" s="141">
        <f t="shared" si="38"/>
        <v>236</v>
      </c>
      <c r="Z245" s="298">
        <v>48</v>
      </c>
      <c r="AA245" s="299">
        <v>48</v>
      </c>
      <c r="AB245" s="299">
        <v>236</v>
      </c>
      <c r="AC245" s="301">
        <v>3523</v>
      </c>
      <c r="AD245" s="301">
        <v>49033422.446800001</v>
      </c>
      <c r="AE245" s="126"/>
      <c r="AF245" s="298"/>
      <c r="AG245" s="299"/>
      <c r="AH245" s="299"/>
      <c r="AI245" s="301"/>
      <c r="AJ245" s="301"/>
      <c r="AK245" s="426"/>
      <c r="AL245" s="298"/>
      <c r="AM245" s="299"/>
      <c r="AN245" s="299"/>
      <c r="AO245" s="301"/>
      <c r="AP245" s="301"/>
      <c r="AQ245" s="426"/>
      <c r="AR245" s="298"/>
      <c r="AS245" s="299"/>
      <c r="AT245" s="299"/>
      <c r="AU245" s="301"/>
      <c r="AV245" s="301"/>
      <c r="AW245" s="88"/>
      <c r="AX245" s="298"/>
      <c r="AY245" s="299"/>
      <c r="AZ245" s="299"/>
      <c r="BA245" s="301"/>
      <c r="BB245" s="301"/>
      <c r="BC245" s="426"/>
      <c r="BD245" s="298"/>
      <c r="BE245" s="299"/>
      <c r="BF245" s="299"/>
      <c r="BG245" s="301"/>
      <c r="BH245" s="301"/>
      <c r="BI245" s="88"/>
      <c r="BJ245" s="298"/>
      <c r="BK245" s="299"/>
      <c r="BL245" s="299"/>
      <c r="BM245" s="301"/>
      <c r="BN245" s="301"/>
      <c r="BO245" s="88"/>
      <c r="BP245" s="9"/>
      <c r="BS245" s="81"/>
      <c r="BT245" s="81"/>
      <c r="BV245" s="9"/>
      <c r="BY245" s="81"/>
      <c r="BZ245" s="81"/>
      <c r="CB245" s="9"/>
      <c r="CE245" s="81"/>
      <c r="CF245" s="81"/>
      <c r="CH245" s="9"/>
      <c r="CK245" s="81"/>
      <c r="CL245" s="81"/>
      <c r="CR245" s="9"/>
      <c r="CS245" s="9"/>
      <c r="CT245" s="9"/>
      <c r="CU245" s="9"/>
      <c r="CV245" s="9"/>
      <c r="CW245" s="129"/>
      <c r="CX245" s="9"/>
    </row>
    <row r="246" spans="1:102">
      <c r="A246" s="6" t="str">
        <f t="shared" si="31"/>
        <v>00480871</v>
      </c>
      <c r="B246" s="6" t="s">
        <v>1698</v>
      </c>
      <c r="C246" s="6" t="s">
        <v>2081</v>
      </c>
      <c r="D246" s="6">
        <v>237</v>
      </c>
      <c r="E246" s="6">
        <v>48</v>
      </c>
      <c r="F246" s="6" t="s">
        <v>1167</v>
      </c>
      <c r="G246" s="6">
        <v>871</v>
      </c>
      <c r="H246" s="6" t="s">
        <v>1111</v>
      </c>
      <c r="I246" s="33">
        <v>2468315.7823822862</v>
      </c>
      <c r="J246" s="88">
        <v>5.0817601533219937E-2</v>
      </c>
      <c r="K246" s="89">
        <f t="shared" si="40"/>
        <v>2331585.06236842</v>
      </c>
      <c r="L246" s="88">
        <f>IF(K249&gt;0, K246/K249, 0)</f>
        <v>4.539247973344971E-2</v>
      </c>
      <c r="M246" s="58"/>
      <c r="N246" s="9">
        <f>ROUND(M249*L246,0)</f>
        <v>1857259</v>
      </c>
      <c r="O246" s="9">
        <v>1971209</v>
      </c>
      <c r="P246" s="9">
        <f>N246-O246</f>
        <v>-113950</v>
      </c>
      <c r="Q246" s="40">
        <f t="shared" si="39"/>
        <v>-5.7807163015185097</v>
      </c>
      <c r="R246" s="9">
        <v>127.9999999978</v>
      </c>
      <c r="S246" s="9">
        <f t="shared" si="37"/>
        <v>118.00000000224</v>
      </c>
      <c r="T246" s="90">
        <f t="shared" si="32"/>
        <v>48</v>
      </c>
      <c r="U246" s="90">
        <f t="shared" si="33"/>
        <v>871</v>
      </c>
      <c r="V246" s="373">
        <f t="shared" si="34"/>
        <v>237</v>
      </c>
      <c r="W246" s="90">
        <f t="shared" si="35"/>
        <v>118.00000000224</v>
      </c>
      <c r="X246" s="90">
        <f t="shared" si="36"/>
        <v>2331585.06236842</v>
      </c>
      <c r="Y246" s="141">
        <f t="shared" si="38"/>
        <v>237</v>
      </c>
      <c r="Z246" s="298">
        <v>48</v>
      </c>
      <c r="AA246" s="299">
        <v>871</v>
      </c>
      <c r="AB246" s="299">
        <v>237</v>
      </c>
      <c r="AC246" s="301">
        <v>118.00000000224</v>
      </c>
      <c r="AD246" s="301">
        <v>2331585.06236842</v>
      </c>
      <c r="AE246" s="126"/>
      <c r="AF246" s="298"/>
      <c r="AG246" s="299"/>
      <c r="AH246" s="299"/>
      <c r="AI246" s="301"/>
      <c r="AJ246" s="301"/>
      <c r="AK246" s="426"/>
      <c r="AL246" s="298"/>
      <c r="AM246" s="299"/>
      <c r="AN246" s="299"/>
      <c r="AO246" s="301"/>
      <c r="AP246" s="301"/>
      <c r="AQ246" s="426"/>
      <c r="AR246" s="298"/>
      <c r="AS246" s="299"/>
      <c r="AT246" s="299"/>
      <c r="AU246" s="301"/>
      <c r="AV246" s="301"/>
      <c r="AW246" s="88"/>
      <c r="AX246" s="298"/>
      <c r="AY246" s="299"/>
      <c r="AZ246" s="299"/>
      <c r="BA246" s="301"/>
      <c r="BB246" s="301"/>
      <c r="BC246" s="426"/>
      <c r="BD246" s="298"/>
      <c r="BE246" s="299"/>
      <c r="BF246" s="299"/>
      <c r="BG246" s="301"/>
      <c r="BH246" s="301"/>
      <c r="BI246" s="88"/>
      <c r="BJ246" s="298"/>
      <c r="BK246" s="299"/>
      <c r="BL246" s="299"/>
      <c r="BM246" s="301"/>
      <c r="BN246" s="301"/>
      <c r="BO246" s="88"/>
      <c r="BP246" s="9"/>
      <c r="BS246" s="81"/>
      <c r="BT246" s="81"/>
      <c r="BV246" s="9"/>
      <c r="BY246" s="81"/>
      <c r="BZ246" s="81"/>
      <c r="CB246" s="9"/>
      <c r="CE246" s="81"/>
      <c r="CF246" s="81"/>
      <c r="CH246" s="9"/>
      <c r="CK246" s="81"/>
      <c r="CL246" s="81"/>
      <c r="CR246" s="9"/>
      <c r="CS246" s="9"/>
      <c r="CT246" s="9"/>
      <c r="CU246" s="9"/>
      <c r="CV246" s="9"/>
      <c r="CW246" s="129"/>
      <c r="CX246" s="9"/>
    </row>
    <row r="247" spans="1:102">
      <c r="A247" s="6" t="str">
        <f t="shared" si="31"/>
        <v>00480998</v>
      </c>
      <c r="B247" s="6" t="s">
        <v>1698</v>
      </c>
      <c r="C247" s="6" t="s">
        <v>2091</v>
      </c>
      <c r="D247" s="6">
        <v>238</v>
      </c>
      <c r="E247" s="6">
        <v>48</v>
      </c>
      <c r="F247" s="6" t="s">
        <v>1547</v>
      </c>
      <c r="G247" s="6">
        <v>998</v>
      </c>
      <c r="H247" s="6" t="s">
        <v>1547</v>
      </c>
      <c r="I247" s="33">
        <v>0</v>
      </c>
      <c r="J247" s="88">
        <v>0</v>
      </c>
      <c r="K247" s="89">
        <f t="shared" si="40"/>
        <v>0</v>
      </c>
      <c r="L247" s="88">
        <f>IF(K249&gt;0, K247/K249, 0)</f>
        <v>0</v>
      </c>
      <c r="M247" s="58"/>
      <c r="N247" s="9">
        <f>ROUND(M249*L247,0)</f>
        <v>0</v>
      </c>
      <c r="O247" s="9">
        <v>0</v>
      </c>
      <c r="P247" s="9">
        <f>N247-O247</f>
        <v>0</v>
      </c>
      <c r="Q247" s="40">
        <f t="shared" si="39"/>
        <v>0</v>
      </c>
      <c r="R247" s="9">
        <v>0</v>
      </c>
      <c r="S247" s="9">
        <f t="shared" si="37"/>
        <v>0</v>
      </c>
      <c r="T247" s="90">
        <f t="shared" si="32"/>
        <v>48</v>
      </c>
      <c r="U247" s="90">
        <f t="shared" si="33"/>
        <v>998</v>
      </c>
      <c r="V247" s="373">
        <f t="shared" si="34"/>
        <v>238</v>
      </c>
      <c r="W247" s="90">
        <f t="shared" si="35"/>
        <v>0</v>
      </c>
      <c r="X247" s="90">
        <f t="shared" si="36"/>
        <v>0</v>
      </c>
      <c r="Y247" s="141">
        <f t="shared" si="38"/>
        <v>238</v>
      </c>
      <c r="Z247" s="298">
        <v>48</v>
      </c>
      <c r="AA247" s="299">
        <v>998</v>
      </c>
      <c r="AB247" s="299">
        <v>238</v>
      </c>
      <c r="AC247" s="301">
        <v>0</v>
      </c>
      <c r="AD247" s="301">
        <v>0</v>
      </c>
      <c r="AE247" s="126"/>
      <c r="AF247" s="298"/>
      <c r="AG247" s="299"/>
      <c r="AH247" s="299"/>
      <c r="AI247" s="301"/>
      <c r="AJ247" s="301"/>
      <c r="AK247" s="426"/>
      <c r="AL247" s="298"/>
      <c r="AM247" s="299"/>
      <c r="AN247" s="299"/>
      <c r="AO247" s="301"/>
      <c r="AP247" s="301"/>
      <c r="AQ247" s="426"/>
      <c r="AR247" s="298"/>
      <c r="AS247" s="299"/>
      <c r="AT247" s="299"/>
      <c r="AU247" s="301"/>
      <c r="AV247" s="301"/>
      <c r="AW247" s="88"/>
      <c r="AX247" s="298"/>
      <c r="AY247" s="299"/>
      <c r="AZ247" s="299"/>
      <c r="BA247" s="301"/>
      <c r="BB247" s="301"/>
      <c r="BC247" s="426"/>
      <c r="BD247" s="298"/>
      <c r="BE247" s="299"/>
      <c r="BF247" s="299"/>
      <c r="BG247" s="301"/>
      <c r="BH247" s="301"/>
      <c r="BI247" s="88"/>
      <c r="BJ247" s="298"/>
      <c r="BK247" s="299"/>
      <c r="BL247" s="299"/>
      <c r="BM247" s="301"/>
      <c r="BN247" s="301"/>
      <c r="BO247" s="88"/>
      <c r="BP247" s="9"/>
      <c r="BS247" s="81"/>
      <c r="BT247" s="81"/>
      <c r="BV247" s="9"/>
      <c r="BY247" s="81"/>
      <c r="BZ247" s="81"/>
      <c r="CB247" s="9"/>
      <c r="CE247" s="81"/>
      <c r="CF247" s="81"/>
      <c r="CH247" s="9"/>
      <c r="CK247" s="81"/>
      <c r="CL247" s="81"/>
      <c r="CR247" s="9"/>
      <c r="CS247" s="9"/>
      <c r="CT247" s="9"/>
      <c r="CU247" s="9"/>
      <c r="CV247" s="9"/>
      <c r="CW247" s="129"/>
      <c r="CX247" s="9"/>
    </row>
    <row r="248" spans="1:102">
      <c r="A248" s="6" t="str">
        <f t="shared" si="31"/>
        <v>00480998</v>
      </c>
      <c r="B248" s="6" t="s">
        <v>1698</v>
      </c>
      <c r="C248" s="6" t="s">
        <v>2091</v>
      </c>
      <c r="D248" s="6">
        <v>239</v>
      </c>
      <c r="E248" s="6">
        <v>48</v>
      </c>
      <c r="F248" s="6" t="s">
        <v>1547</v>
      </c>
      <c r="G248" s="6">
        <v>998</v>
      </c>
      <c r="H248" s="6" t="s">
        <v>1547</v>
      </c>
      <c r="I248" s="33">
        <v>0</v>
      </c>
      <c r="J248" s="88">
        <v>0</v>
      </c>
      <c r="K248" s="89">
        <f t="shared" si="40"/>
        <v>0</v>
      </c>
      <c r="L248" s="88">
        <f>IF(K249&gt;0, K248/K249, 0)</f>
        <v>0</v>
      </c>
      <c r="M248" s="58"/>
      <c r="N248" s="9">
        <f>ROUND(M249*L248,0)</f>
        <v>0</v>
      </c>
      <c r="O248" s="9">
        <v>0</v>
      </c>
      <c r="P248" s="9">
        <f>N248-O248</f>
        <v>0</v>
      </c>
      <c r="Q248" s="40">
        <f t="shared" si="39"/>
        <v>0</v>
      </c>
      <c r="R248" s="9">
        <v>0</v>
      </c>
      <c r="S248" s="9">
        <f t="shared" si="37"/>
        <v>0</v>
      </c>
      <c r="T248" s="90">
        <f t="shared" si="32"/>
        <v>48</v>
      </c>
      <c r="U248" s="90">
        <f t="shared" si="33"/>
        <v>998</v>
      </c>
      <c r="V248" s="373">
        <f t="shared" si="34"/>
        <v>239</v>
      </c>
      <c r="W248" s="90">
        <f t="shared" si="35"/>
        <v>0</v>
      </c>
      <c r="X248" s="90">
        <f t="shared" si="36"/>
        <v>0</v>
      </c>
      <c r="Y248" s="141">
        <f t="shared" si="38"/>
        <v>239</v>
      </c>
      <c r="Z248" s="298">
        <v>48</v>
      </c>
      <c r="AA248" s="299">
        <v>998</v>
      </c>
      <c r="AB248" s="299">
        <v>239</v>
      </c>
      <c r="AC248" s="301">
        <v>0</v>
      </c>
      <c r="AD248" s="301">
        <v>0</v>
      </c>
      <c r="AE248" s="126"/>
      <c r="AF248" s="298"/>
      <c r="AG248" s="299"/>
      <c r="AH248" s="299"/>
      <c r="AI248" s="301"/>
      <c r="AJ248" s="301"/>
      <c r="AK248" s="426"/>
      <c r="AL248" s="298"/>
      <c r="AM248" s="299"/>
      <c r="AN248" s="299"/>
      <c r="AO248" s="301"/>
      <c r="AP248" s="301"/>
      <c r="AQ248" s="426"/>
      <c r="AR248" s="298"/>
      <c r="AS248" s="299"/>
      <c r="AT248" s="299"/>
      <c r="AU248" s="301"/>
      <c r="AV248" s="301"/>
      <c r="AW248" s="88"/>
      <c r="AX248" s="298"/>
      <c r="AY248" s="299"/>
      <c r="AZ248" s="299"/>
      <c r="BA248" s="301"/>
      <c r="BB248" s="301"/>
      <c r="BC248" s="426"/>
      <c r="BD248" s="298"/>
      <c r="BE248" s="299"/>
      <c r="BF248" s="299"/>
      <c r="BG248" s="301"/>
      <c r="BH248" s="301"/>
      <c r="BI248" s="88"/>
      <c r="BJ248" s="298"/>
      <c r="BK248" s="299"/>
      <c r="BL248" s="299"/>
      <c r="BM248" s="301"/>
      <c r="BN248" s="301"/>
      <c r="BO248" s="88"/>
      <c r="BP248" s="9"/>
      <c r="BS248" s="81"/>
      <c r="BT248" s="81"/>
      <c r="BV248" s="9"/>
      <c r="BY248" s="81"/>
      <c r="BZ248" s="81"/>
      <c r="CB248" s="9"/>
      <c r="CE248" s="81"/>
      <c r="CF248" s="81"/>
      <c r="CH248" s="9"/>
      <c r="CK248" s="81"/>
      <c r="CL248" s="81"/>
      <c r="CR248" s="9"/>
      <c r="CS248" s="9"/>
      <c r="CT248" s="9"/>
      <c r="CU248" s="9"/>
      <c r="CV248" s="9"/>
      <c r="CW248" s="129"/>
      <c r="CX248" s="9"/>
    </row>
    <row r="249" spans="1:102">
      <c r="A249" s="6" t="str">
        <f t="shared" si="31"/>
        <v>00480999</v>
      </c>
      <c r="B249" s="6" t="s">
        <v>1698</v>
      </c>
      <c r="C249" s="6" t="s">
        <v>2092</v>
      </c>
      <c r="D249" s="6">
        <v>240</v>
      </c>
      <c r="E249" s="10">
        <v>48</v>
      </c>
      <c r="F249" s="10" t="s">
        <v>1167</v>
      </c>
      <c r="G249" s="10">
        <v>999</v>
      </c>
      <c r="H249" s="10" t="s">
        <v>593</v>
      </c>
      <c r="I249" s="92">
        <v>48572063.771422297</v>
      </c>
      <c r="J249" s="472">
        <v>1</v>
      </c>
      <c r="K249" s="53">
        <f>SUM(K245:K248)</f>
        <v>51365007.509168424</v>
      </c>
      <c r="L249" s="91">
        <f>SUM(L245:L248)</f>
        <v>1</v>
      </c>
      <c r="M249" s="79">
        <f>VLOOKUP(E249,town351,24)</f>
        <v>40915575</v>
      </c>
      <c r="N249" s="79">
        <f>SUM(N245:N248)</f>
        <v>40915575</v>
      </c>
      <c r="O249" s="79">
        <v>38789889</v>
      </c>
      <c r="P249" s="79">
        <f>SUM(P245:P248)</f>
        <v>2125686</v>
      </c>
      <c r="Q249" s="39">
        <f t="shared" si="39"/>
        <v>5.4800002134576875</v>
      </c>
      <c r="R249" s="9">
        <v>3551.9999999977999</v>
      </c>
      <c r="S249" s="9">
        <f t="shared" si="37"/>
        <v>3641.0000000022401</v>
      </c>
      <c r="T249" s="90">
        <f t="shared" si="32"/>
        <v>48</v>
      </c>
      <c r="U249" s="90">
        <f t="shared" si="33"/>
        <v>999</v>
      </c>
      <c r="V249" s="373">
        <f t="shared" si="34"/>
        <v>240</v>
      </c>
      <c r="W249" s="90">
        <f t="shared" si="35"/>
        <v>3641.0000000022401</v>
      </c>
      <c r="X249" s="90">
        <f t="shared" si="36"/>
        <v>51365007.509168424</v>
      </c>
      <c r="Y249" s="141">
        <f t="shared" si="38"/>
        <v>240</v>
      </c>
      <c r="Z249" s="298">
        <v>48</v>
      </c>
      <c r="AA249" s="299">
        <v>999</v>
      </c>
      <c r="AB249" s="299">
        <v>240</v>
      </c>
      <c r="AC249" s="301">
        <v>3641.0000000022401</v>
      </c>
      <c r="AD249" s="301">
        <v>51365007.509168424</v>
      </c>
      <c r="AE249" s="126"/>
      <c r="AF249" s="298"/>
      <c r="AG249" s="299"/>
      <c r="AH249" s="299"/>
      <c r="AI249" s="301"/>
      <c r="AJ249" s="301"/>
      <c r="AK249" s="426"/>
      <c r="AL249" s="298"/>
      <c r="AM249" s="299"/>
      <c r="AN249" s="299"/>
      <c r="AO249" s="301"/>
      <c r="AP249" s="301"/>
      <c r="AQ249" s="426"/>
      <c r="AR249" s="298"/>
      <c r="AS249" s="299"/>
      <c r="AT249" s="299"/>
      <c r="AU249" s="301"/>
      <c r="AV249" s="301"/>
      <c r="AW249" s="91"/>
      <c r="AX249" s="298"/>
      <c r="AY249" s="299"/>
      <c r="AZ249" s="299"/>
      <c r="BA249" s="301"/>
      <c r="BB249" s="301"/>
      <c r="BC249" s="426"/>
      <c r="BD249" s="298"/>
      <c r="BE249" s="299"/>
      <c r="BF249" s="299"/>
      <c r="BG249" s="301"/>
      <c r="BH249" s="301"/>
      <c r="BI249" s="91"/>
      <c r="BJ249" s="298"/>
      <c r="BK249" s="299"/>
      <c r="BL249" s="299"/>
      <c r="BM249" s="301"/>
      <c r="BN249" s="301"/>
      <c r="BO249" s="91"/>
      <c r="BP249" s="9"/>
      <c r="BS249" s="81"/>
      <c r="BT249" s="81"/>
      <c r="BV249" s="9"/>
      <c r="BY249" s="81"/>
      <c r="BZ249" s="81"/>
      <c r="CB249" s="9"/>
      <c r="CE249" s="81"/>
      <c r="CF249" s="81"/>
      <c r="CH249" s="9"/>
      <c r="CK249" s="81"/>
      <c r="CL249" s="81"/>
      <c r="CR249" s="9"/>
      <c r="CS249" s="9"/>
      <c r="CT249" s="9"/>
      <c r="CU249" s="9"/>
      <c r="CV249" s="9"/>
      <c r="CW249" s="129"/>
      <c r="CX249" s="9"/>
    </row>
    <row r="250" spans="1:102">
      <c r="A250" s="6" t="str">
        <f t="shared" si="31"/>
        <v>00490049</v>
      </c>
      <c r="B250" s="6" t="s">
        <v>1699</v>
      </c>
      <c r="C250" s="6" t="s">
        <v>1699</v>
      </c>
      <c r="D250" s="6">
        <v>241</v>
      </c>
      <c r="E250" s="6">
        <v>49</v>
      </c>
      <c r="F250" s="6" t="s">
        <v>1168</v>
      </c>
      <c r="G250" s="6">
        <v>49</v>
      </c>
      <c r="H250" s="6" t="s">
        <v>730</v>
      </c>
      <c r="I250" s="33">
        <v>112732473.50964999</v>
      </c>
      <c r="J250" s="88">
        <v>1</v>
      </c>
      <c r="K250" s="89">
        <f>X250</f>
        <v>118963463.14608002</v>
      </c>
      <c r="L250" s="88">
        <f>IF(K254&gt;0, K250/K254, 0)</f>
        <v>1</v>
      </c>
      <c r="M250" s="58"/>
      <c r="N250" s="9">
        <f>ROUND(M254*L250,0)</f>
        <v>98144857</v>
      </c>
      <c r="O250" s="9">
        <v>93004291</v>
      </c>
      <c r="P250" s="9">
        <f>N250-O250</f>
        <v>5140566</v>
      </c>
      <c r="Q250" s="40">
        <f t="shared" si="39"/>
        <v>5.5272352971326884</v>
      </c>
      <c r="R250" s="9">
        <v>7030</v>
      </c>
      <c r="S250" s="9">
        <f t="shared" si="37"/>
        <v>7297</v>
      </c>
      <c r="T250" s="90">
        <f t="shared" si="32"/>
        <v>49</v>
      </c>
      <c r="U250" s="90">
        <f t="shared" si="33"/>
        <v>49</v>
      </c>
      <c r="V250" s="373">
        <f t="shared" si="34"/>
        <v>241</v>
      </c>
      <c r="W250" s="90">
        <f t="shared" si="35"/>
        <v>7297</v>
      </c>
      <c r="X250" s="90">
        <f t="shared" si="36"/>
        <v>118963463.14608002</v>
      </c>
      <c r="Y250" s="141">
        <f t="shared" si="38"/>
        <v>241</v>
      </c>
      <c r="Z250" s="298">
        <v>49</v>
      </c>
      <c r="AA250" s="299">
        <v>49</v>
      </c>
      <c r="AB250" s="299">
        <v>241</v>
      </c>
      <c r="AC250" s="301">
        <v>7297</v>
      </c>
      <c r="AD250" s="301">
        <v>118963463.14608002</v>
      </c>
      <c r="AE250" s="126"/>
      <c r="AF250" s="298"/>
      <c r="AG250" s="299"/>
      <c r="AH250" s="299"/>
      <c r="AI250" s="301"/>
      <c r="AJ250" s="301"/>
      <c r="AK250" s="426"/>
      <c r="AL250" s="298"/>
      <c r="AM250" s="299"/>
      <c r="AN250" s="299"/>
      <c r="AO250" s="301"/>
      <c r="AP250" s="301"/>
      <c r="AQ250" s="426"/>
      <c r="AR250" s="298"/>
      <c r="AS250" s="299"/>
      <c r="AT250" s="299"/>
      <c r="AU250" s="301"/>
      <c r="AV250" s="301"/>
      <c r="AW250" s="88"/>
      <c r="AX250" s="298"/>
      <c r="AY250" s="299"/>
      <c r="AZ250" s="299"/>
      <c r="BA250" s="301"/>
      <c r="BB250" s="301"/>
      <c r="BC250" s="426"/>
      <c r="BD250" s="298"/>
      <c r="BE250" s="299"/>
      <c r="BF250" s="299"/>
      <c r="BG250" s="301"/>
      <c r="BH250" s="301"/>
      <c r="BI250" s="88"/>
      <c r="BJ250" s="298"/>
      <c r="BK250" s="299"/>
      <c r="BL250" s="299"/>
      <c r="BM250" s="301"/>
      <c r="BN250" s="301"/>
      <c r="BO250" s="88"/>
      <c r="BP250" s="9"/>
      <c r="BS250" s="81"/>
      <c r="BT250" s="81"/>
      <c r="BV250" s="9"/>
      <c r="BY250" s="81"/>
      <c r="BZ250" s="81"/>
      <c r="CB250" s="9"/>
      <c r="CE250" s="81"/>
      <c r="CF250" s="81"/>
      <c r="CH250" s="9"/>
      <c r="CK250" s="81"/>
      <c r="CL250" s="81"/>
      <c r="CR250" s="9"/>
      <c r="CS250" s="9"/>
      <c r="CT250" s="9"/>
      <c r="CU250" s="9"/>
      <c r="CV250" s="9"/>
      <c r="CW250" s="129"/>
      <c r="CX250" s="9"/>
    </row>
    <row r="251" spans="1:102">
      <c r="A251" s="6" t="str">
        <f t="shared" si="31"/>
        <v>00490998</v>
      </c>
      <c r="B251" s="6" t="s">
        <v>1699</v>
      </c>
      <c r="C251" s="6" t="s">
        <v>2091</v>
      </c>
      <c r="D251" s="6">
        <v>242</v>
      </c>
      <c r="E251" s="6">
        <v>49</v>
      </c>
      <c r="F251" s="6" t="s">
        <v>1547</v>
      </c>
      <c r="G251" s="6">
        <v>998</v>
      </c>
      <c r="H251" s="6" t="s">
        <v>1547</v>
      </c>
      <c r="I251" s="33">
        <v>0</v>
      </c>
      <c r="J251" s="88">
        <v>0</v>
      </c>
      <c r="K251" s="89">
        <f t="shared" si="40"/>
        <v>0</v>
      </c>
      <c r="L251" s="88">
        <f>IF(K254&gt;0, K251/K254, 0)</f>
        <v>0</v>
      </c>
      <c r="M251" s="58"/>
      <c r="N251" s="9">
        <f>ROUND(M254*L251,0)</f>
        <v>0</v>
      </c>
      <c r="O251" s="9">
        <v>0</v>
      </c>
      <c r="P251" s="9">
        <f>N251-O251</f>
        <v>0</v>
      </c>
      <c r="Q251" s="40">
        <f t="shared" si="39"/>
        <v>0</v>
      </c>
      <c r="R251" s="9">
        <v>0</v>
      </c>
      <c r="S251" s="9">
        <f t="shared" si="37"/>
        <v>0</v>
      </c>
      <c r="T251" s="90">
        <f t="shared" si="32"/>
        <v>49</v>
      </c>
      <c r="U251" s="90">
        <f t="shared" si="33"/>
        <v>998</v>
      </c>
      <c r="V251" s="373">
        <f t="shared" si="34"/>
        <v>242</v>
      </c>
      <c r="W251" s="90">
        <f t="shared" si="35"/>
        <v>0</v>
      </c>
      <c r="X251" s="90">
        <f t="shared" si="36"/>
        <v>0</v>
      </c>
      <c r="Y251" s="141">
        <f t="shared" si="38"/>
        <v>242</v>
      </c>
      <c r="Z251" s="298">
        <v>49</v>
      </c>
      <c r="AA251" s="299">
        <v>998</v>
      </c>
      <c r="AB251" s="299">
        <v>242</v>
      </c>
      <c r="AC251" s="301">
        <v>0</v>
      </c>
      <c r="AD251" s="301">
        <v>0</v>
      </c>
      <c r="AE251" s="126"/>
      <c r="AF251" s="298"/>
      <c r="AG251" s="299"/>
      <c r="AH251" s="299"/>
      <c r="AI251" s="301"/>
      <c r="AJ251" s="301"/>
      <c r="AK251" s="426"/>
      <c r="AL251" s="298"/>
      <c r="AM251" s="299"/>
      <c r="AN251" s="299"/>
      <c r="AO251" s="301"/>
      <c r="AP251" s="301"/>
      <c r="AQ251" s="426"/>
      <c r="AR251" s="298"/>
      <c r="AS251" s="299"/>
      <c r="AT251" s="299"/>
      <c r="AU251" s="301"/>
      <c r="AV251" s="301"/>
      <c r="AW251" s="88"/>
      <c r="AX251" s="298"/>
      <c r="AY251" s="299"/>
      <c r="AZ251" s="299"/>
      <c r="BA251" s="301"/>
      <c r="BB251" s="301"/>
      <c r="BC251" s="426"/>
      <c r="BD251" s="298"/>
      <c r="BE251" s="299"/>
      <c r="BF251" s="299"/>
      <c r="BG251" s="301"/>
      <c r="BH251" s="301"/>
      <c r="BI251" s="88"/>
      <c r="BJ251" s="298"/>
      <c r="BK251" s="299"/>
      <c r="BL251" s="299"/>
      <c r="BM251" s="301"/>
      <c r="BN251" s="301"/>
      <c r="BO251" s="88"/>
      <c r="BP251" s="9"/>
      <c r="BS251" s="81"/>
      <c r="BT251" s="81"/>
      <c r="BV251" s="9"/>
      <c r="BY251" s="81"/>
      <c r="BZ251" s="81"/>
      <c r="CB251" s="9"/>
      <c r="CE251" s="81"/>
      <c r="CF251" s="81"/>
      <c r="CH251" s="9"/>
      <c r="CK251" s="81"/>
      <c r="CL251" s="81"/>
      <c r="CR251" s="9"/>
      <c r="CS251" s="9"/>
      <c r="CT251" s="9"/>
      <c r="CU251" s="9"/>
      <c r="CV251" s="9"/>
      <c r="CW251" s="129"/>
      <c r="CX251" s="9"/>
    </row>
    <row r="252" spans="1:102">
      <c r="A252" s="6" t="str">
        <f t="shared" si="31"/>
        <v>00490998</v>
      </c>
      <c r="B252" s="6" t="s">
        <v>1699</v>
      </c>
      <c r="C252" s="6" t="s">
        <v>2091</v>
      </c>
      <c r="D252" s="6">
        <v>243</v>
      </c>
      <c r="E252" s="6">
        <v>49</v>
      </c>
      <c r="F252" s="6" t="s">
        <v>1547</v>
      </c>
      <c r="G252" s="6">
        <v>998</v>
      </c>
      <c r="H252" s="6" t="s">
        <v>1547</v>
      </c>
      <c r="I252" s="33">
        <v>0</v>
      </c>
      <c r="J252" s="88">
        <v>0</v>
      </c>
      <c r="K252" s="89">
        <f t="shared" si="40"/>
        <v>0</v>
      </c>
      <c r="L252" s="88">
        <f>IF(K254&gt;0, K252/K254, 0)</f>
        <v>0</v>
      </c>
      <c r="M252" s="58"/>
      <c r="N252" s="9">
        <f>ROUND(M254*L252,0)</f>
        <v>0</v>
      </c>
      <c r="O252" s="9">
        <v>0</v>
      </c>
      <c r="P252" s="9">
        <f>N252-O252</f>
        <v>0</v>
      </c>
      <c r="Q252" s="40">
        <f t="shared" si="39"/>
        <v>0</v>
      </c>
      <c r="R252" s="9">
        <v>0</v>
      </c>
      <c r="S252" s="9">
        <f t="shared" si="37"/>
        <v>0</v>
      </c>
      <c r="T252" s="90">
        <f t="shared" si="32"/>
        <v>49</v>
      </c>
      <c r="U252" s="90">
        <f t="shared" si="33"/>
        <v>998</v>
      </c>
      <c r="V252" s="373">
        <f t="shared" si="34"/>
        <v>243</v>
      </c>
      <c r="W252" s="90">
        <f t="shared" si="35"/>
        <v>0</v>
      </c>
      <c r="X252" s="90">
        <f t="shared" si="36"/>
        <v>0</v>
      </c>
      <c r="Y252" s="141">
        <f t="shared" si="38"/>
        <v>243</v>
      </c>
      <c r="Z252" s="298">
        <v>49</v>
      </c>
      <c r="AA252" s="299">
        <v>998</v>
      </c>
      <c r="AB252" s="299">
        <v>243</v>
      </c>
      <c r="AC252" s="301">
        <v>0</v>
      </c>
      <c r="AD252" s="301">
        <v>0</v>
      </c>
      <c r="AE252" s="126"/>
      <c r="AF252" s="298"/>
      <c r="AG252" s="299"/>
      <c r="AH252" s="299"/>
      <c r="AI252" s="301"/>
      <c r="AJ252" s="301"/>
      <c r="AK252" s="426"/>
      <c r="AL252" s="298"/>
      <c r="AM252" s="299"/>
      <c r="AN252" s="299"/>
      <c r="AO252" s="301"/>
      <c r="AP252" s="301"/>
      <c r="AQ252" s="426"/>
      <c r="AR252" s="298"/>
      <c r="AS252" s="299"/>
      <c r="AT252" s="299"/>
      <c r="AU252" s="301"/>
      <c r="AV252" s="301"/>
      <c r="AW252" s="88"/>
      <c r="AX252" s="298"/>
      <c r="AY252" s="299"/>
      <c r="AZ252" s="299"/>
      <c r="BA252" s="301"/>
      <c r="BB252" s="301"/>
      <c r="BC252" s="426"/>
      <c r="BD252" s="298"/>
      <c r="BE252" s="299"/>
      <c r="BF252" s="299"/>
      <c r="BG252" s="301"/>
      <c r="BH252" s="301"/>
      <c r="BI252" s="88"/>
      <c r="BJ252" s="298"/>
      <c r="BK252" s="299"/>
      <c r="BL252" s="299"/>
      <c r="BM252" s="301"/>
      <c r="BN252" s="301"/>
      <c r="BO252" s="88"/>
      <c r="BP252" s="9"/>
      <c r="BS252" s="81"/>
      <c r="BT252" s="81"/>
      <c r="BV252" s="9"/>
      <c r="BY252" s="81"/>
      <c r="BZ252" s="81"/>
      <c r="CB252" s="9"/>
      <c r="CE252" s="81"/>
      <c r="CF252" s="81"/>
      <c r="CH252" s="9"/>
      <c r="CK252" s="81"/>
      <c r="CL252" s="81"/>
      <c r="CR252" s="9"/>
      <c r="CS252" s="9"/>
      <c r="CT252" s="9"/>
      <c r="CU252" s="9"/>
      <c r="CV252" s="9"/>
      <c r="CW252" s="129"/>
      <c r="CX252" s="9"/>
    </row>
    <row r="253" spans="1:102">
      <c r="A253" s="6" t="str">
        <f t="shared" si="31"/>
        <v>00490998</v>
      </c>
      <c r="B253" s="6" t="s">
        <v>1699</v>
      </c>
      <c r="C253" s="6" t="s">
        <v>2091</v>
      </c>
      <c r="D253" s="6">
        <v>244</v>
      </c>
      <c r="E253" s="6">
        <v>49</v>
      </c>
      <c r="F253" s="6" t="s">
        <v>1547</v>
      </c>
      <c r="G253" s="6">
        <v>998</v>
      </c>
      <c r="H253" s="6" t="s">
        <v>1547</v>
      </c>
      <c r="I253" s="33">
        <v>0</v>
      </c>
      <c r="J253" s="88">
        <v>0</v>
      </c>
      <c r="K253" s="89">
        <f t="shared" si="40"/>
        <v>0</v>
      </c>
      <c r="L253" s="88">
        <f>IF(K254&gt;0, K253/K254, 0)</f>
        <v>0</v>
      </c>
      <c r="M253" s="58"/>
      <c r="N253" s="9">
        <f>ROUND(M254*L253,0)</f>
        <v>0</v>
      </c>
      <c r="O253" s="9">
        <v>0</v>
      </c>
      <c r="P253" s="9">
        <f>N253-O253</f>
        <v>0</v>
      </c>
      <c r="Q253" s="40">
        <f t="shared" si="39"/>
        <v>0</v>
      </c>
      <c r="R253" s="9">
        <v>0</v>
      </c>
      <c r="S253" s="9">
        <f t="shared" si="37"/>
        <v>0</v>
      </c>
      <c r="T253" s="90">
        <f t="shared" si="32"/>
        <v>49</v>
      </c>
      <c r="U253" s="90">
        <f t="shared" si="33"/>
        <v>998</v>
      </c>
      <c r="V253" s="373">
        <f t="shared" si="34"/>
        <v>244</v>
      </c>
      <c r="W253" s="90">
        <f t="shared" si="35"/>
        <v>0</v>
      </c>
      <c r="X253" s="90">
        <f t="shared" si="36"/>
        <v>0</v>
      </c>
      <c r="Y253" s="141">
        <f t="shared" si="38"/>
        <v>244</v>
      </c>
      <c r="Z253" s="298">
        <v>49</v>
      </c>
      <c r="AA253" s="299">
        <v>998</v>
      </c>
      <c r="AB253" s="299">
        <v>244</v>
      </c>
      <c r="AC253" s="301">
        <v>0</v>
      </c>
      <c r="AD253" s="301">
        <v>0</v>
      </c>
      <c r="AE253" s="126"/>
      <c r="AF253" s="298"/>
      <c r="AG253" s="299"/>
      <c r="AH253" s="299"/>
      <c r="AI253" s="301"/>
      <c r="AJ253" s="301"/>
      <c r="AK253" s="426"/>
      <c r="AL253" s="298"/>
      <c r="AM253" s="299"/>
      <c r="AN253" s="299"/>
      <c r="AO253" s="301"/>
      <c r="AP253" s="301"/>
      <c r="AQ253" s="426"/>
      <c r="AR253" s="298"/>
      <c r="AS253" s="299"/>
      <c r="AT253" s="299"/>
      <c r="AU253" s="301"/>
      <c r="AV253" s="301"/>
      <c r="AW253" s="88"/>
      <c r="AX253" s="298"/>
      <c r="AY253" s="299"/>
      <c r="AZ253" s="299"/>
      <c r="BA253" s="301"/>
      <c r="BB253" s="301"/>
      <c r="BC253" s="426"/>
      <c r="BD253" s="298"/>
      <c r="BE253" s="299"/>
      <c r="BF253" s="299"/>
      <c r="BG253" s="301"/>
      <c r="BH253" s="301"/>
      <c r="BI253" s="88"/>
      <c r="BJ253" s="298"/>
      <c r="BK253" s="299"/>
      <c r="BL253" s="299"/>
      <c r="BM253" s="301"/>
      <c r="BN253" s="301"/>
      <c r="BO253" s="88"/>
      <c r="BP253" s="9"/>
      <c r="BS253" s="81"/>
      <c r="BT253" s="81"/>
      <c r="BV253" s="9"/>
      <c r="BY253" s="81"/>
      <c r="BZ253" s="81"/>
      <c r="CB253" s="9"/>
      <c r="CE253" s="81"/>
      <c r="CF253" s="81"/>
      <c r="CH253" s="9"/>
      <c r="CK253" s="81"/>
      <c r="CL253" s="81"/>
      <c r="CR253" s="9"/>
      <c r="CS253" s="9"/>
      <c r="CT253" s="9"/>
      <c r="CU253" s="9"/>
      <c r="CV253" s="9"/>
      <c r="CW253" s="129"/>
      <c r="CX253" s="9"/>
    </row>
    <row r="254" spans="1:102">
      <c r="A254" s="6" t="str">
        <f t="shared" si="31"/>
        <v>00490999</v>
      </c>
      <c r="B254" s="6" t="s">
        <v>1699</v>
      </c>
      <c r="C254" s="6" t="s">
        <v>2092</v>
      </c>
      <c r="D254" s="6">
        <v>245</v>
      </c>
      <c r="E254" s="10">
        <v>49</v>
      </c>
      <c r="F254" s="10" t="s">
        <v>1168</v>
      </c>
      <c r="G254" s="10">
        <v>999</v>
      </c>
      <c r="H254" s="10" t="s">
        <v>593</v>
      </c>
      <c r="I254" s="92">
        <v>112732473.50964999</v>
      </c>
      <c r="J254" s="472">
        <v>1</v>
      </c>
      <c r="K254" s="53">
        <f>SUM(K250:K253)</f>
        <v>118963463.14608002</v>
      </c>
      <c r="L254" s="91">
        <f>SUM(L250:L253)</f>
        <v>1</v>
      </c>
      <c r="M254" s="79">
        <f>VLOOKUP(E254,town351,24)</f>
        <v>98144857</v>
      </c>
      <c r="N254" s="79">
        <f>SUM(N250:N253)</f>
        <v>98144857</v>
      </c>
      <c r="O254" s="79">
        <v>93004291</v>
      </c>
      <c r="P254" s="79">
        <f>SUM(P250:P253)</f>
        <v>5140566</v>
      </c>
      <c r="Q254" s="39">
        <f t="shared" si="39"/>
        <v>5.5272352971326884</v>
      </c>
      <c r="R254" s="9">
        <v>7030</v>
      </c>
      <c r="S254" s="9">
        <f t="shared" si="37"/>
        <v>7297</v>
      </c>
      <c r="T254" s="90">
        <f t="shared" si="32"/>
        <v>49</v>
      </c>
      <c r="U254" s="90">
        <f t="shared" si="33"/>
        <v>999</v>
      </c>
      <c r="V254" s="373">
        <f t="shared" si="34"/>
        <v>245</v>
      </c>
      <c r="W254" s="90">
        <f t="shared" si="35"/>
        <v>7297</v>
      </c>
      <c r="X254" s="90">
        <f t="shared" si="36"/>
        <v>118963463.14608002</v>
      </c>
      <c r="Y254" s="141">
        <f t="shared" si="38"/>
        <v>245</v>
      </c>
      <c r="Z254" s="298">
        <v>49</v>
      </c>
      <c r="AA254" s="299">
        <v>999</v>
      </c>
      <c r="AB254" s="299">
        <v>245</v>
      </c>
      <c r="AC254" s="301">
        <v>7297</v>
      </c>
      <c r="AD254" s="301">
        <v>118963463.14608002</v>
      </c>
      <c r="AE254" s="126"/>
      <c r="AF254" s="298"/>
      <c r="AG254" s="299"/>
      <c r="AH254" s="299"/>
      <c r="AI254" s="301"/>
      <c r="AJ254" s="301"/>
      <c r="AK254" s="426"/>
      <c r="AL254" s="298"/>
      <c r="AM254" s="299"/>
      <c r="AN254" s="299"/>
      <c r="AO254" s="301"/>
      <c r="AP254" s="301"/>
      <c r="AQ254" s="426"/>
      <c r="AR254" s="298"/>
      <c r="AS254" s="299"/>
      <c r="AT254" s="299"/>
      <c r="AU254" s="301"/>
      <c r="AV254" s="301"/>
      <c r="AW254" s="91"/>
      <c r="AX254" s="298"/>
      <c r="AY254" s="299"/>
      <c r="AZ254" s="299"/>
      <c r="BA254" s="301"/>
      <c r="BB254" s="301"/>
      <c r="BC254" s="426"/>
      <c r="BD254" s="298"/>
      <c r="BE254" s="299"/>
      <c r="BF254" s="299"/>
      <c r="BG254" s="301"/>
      <c r="BH254" s="301"/>
      <c r="BI254" s="91"/>
      <c r="BJ254" s="298"/>
      <c r="BK254" s="299"/>
      <c r="BL254" s="299"/>
      <c r="BM254" s="301"/>
      <c r="BN254" s="301"/>
      <c r="BO254" s="91"/>
      <c r="BP254" s="9"/>
      <c r="BS254" s="81"/>
      <c r="BT254" s="81"/>
      <c r="BV254" s="9"/>
      <c r="BY254" s="81"/>
      <c r="BZ254" s="81"/>
      <c r="CB254" s="9"/>
      <c r="CE254" s="81"/>
      <c r="CF254" s="81"/>
      <c r="CH254" s="9"/>
      <c r="CK254" s="81"/>
      <c r="CL254" s="81"/>
      <c r="CR254" s="9"/>
      <c r="CS254" s="9"/>
      <c r="CT254" s="9"/>
      <c r="CU254" s="9"/>
      <c r="CV254" s="9"/>
      <c r="CW254" s="129"/>
      <c r="CX254" s="9"/>
    </row>
    <row r="255" spans="1:102">
      <c r="A255" s="6" t="str">
        <f t="shared" si="31"/>
        <v>00500050</v>
      </c>
      <c r="B255" s="6" t="s">
        <v>1700</v>
      </c>
      <c r="C255" s="6" t="s">
        <v>1700</v>
      </c>
      <c r="D255" s="6">
        <v>246</v>
      </c>
      <c r="E255" s="6">
        <v>50</v>
      </c>
      <c r="F255" s="6" t="s">
        <v>1169</v>
      </c>
      <c r="G255" s="6">
        <v>50</v>
      </c>
      <c r="H255" s="6" t="s">
        <v>731</v>
      </c>
      <c r="I255" s="33">
        <v>43350134.769279994</v>
      </c>
      <c r="J255" s="88">
        <v>0.95626295218147261</v>
      </c>
      <c r="K255" s="89">
        <f>X255</f>
        <v>44999693.302450001</v>
      </c>
      <c r="L255" s="88">
        <f>IF(K259&gt;0, K255/K259, 0)</f>
        <v>0.96107927799070325</v>
      </c>
      <c r="M255" s="58"/>
      <c r="N255" s="9">
        <f>ROUND(M259*L255,0)</f>
        <v>36588682</v>
      </c>
      <c r="O255" s="9">
        <v>34684949</v>
      </c>
      <c r="P255" s="9">
        <f>N255-O255</f>
        <v>1903733</v>
      </c>
      <c r="Q255" s="40">
        <f t="shared" si="39"/>
        <v>5.4886429269364072</v>
      </c>
      <c r="R255" s="9">
        <v>3260</v>
      </c>
      <c r="S255" s="9">
        <f t="shared" si="37"/>
        <v>3291</v>
      </c>
      <c r="T255" s="90">
        <f t="shared" si="32"/>
        <v>50</v>
      </c>
      <c r="U255" s="90">
        <f t="shared" si="33"/>
        <v>50</v>
      </c>
      <c r="V255" s="373">
        <f t="shared" si="34"/>
        <v>246</v>
      </c>
      <c r="W255" s="90">
        <f t="shared" si="35"/>
        <v>3291</v>
      </c>
      <c r="X255" s="90">
        <f t="shared" si="36"/>
        <v>44999693.302450001</v>
      </c>
      <c r="Y255" s="141">
        <f t="shared" si="38"/>
        <v>246</v>
      </c>
      <c r="Z255" s="298">
        <v>50</v>
      </c>
      <c r="AA255" s="299">
        <v>50</v>
      </c>
      <c r="AB255" s="299">
        <v>246</v>
      </c>
      <c r="AC255" s="301">
        <v>3291</v>
      </c>
      <c r="AD255" s="301">
        <v>44999693.302450001</v>
      </c>
      <c r="AE255" s="126"/>
      <c r="AF255" s="298"/>
      <c r="AG255" s="299"/>
      <c r="AH255" s="299"/>
      <c r="AI255" s="301"/>
      <c r="AJ255" s="301"/>
      <c r="AK255" s="426"/>
      <c r="AL255" s="298"/>
      <c r="AM255" s="299"/>
      <c r="AN255" s="299"/>
      <c r="AO255" s="301"/>
      <c r="AP255" s="301"/>
      <c r="AQ255" s="426"/>
      <c r="AR255" s="298"/>
      <c r="AS255" s="299"/>
      <c r="AT255" s="299"/>
      <c r="AU255" s="301"/>
      <c r="AV255" s="301"/>
      <c r="AW255" s="88"/>
      <c r="AX255" s="298"/>
      <c r="AY255" s="299"/>
      <c r="AZ255" s="299"/>
      <c r="BA255" s="301"/>
      <c r="BB255" s="301"/>
      <c r="BC255" s="426"/>
      <c r="BD255" s="298"/>
      <c r="BE255" s="299"/>
      <c r="BF255" s="299"/>
      <c r="BG255" s="301"/>
      <c r="BH255" s="301"/>
      <c r="BI255" s="88"/>
      <c r="BJ255" s="298"/>
      <c r="BK255" s="299"/>
      <c r="BL255" s="299"/>
      <c r="BM255" s="301"/>
      <c r="BN255" s="301"/>
      <c r="BO255" s="88"/>
      <c r="BP255" s="9"/>
      <c r="BS255" s="81"/>
      <c r="BT255" s="81"/>
      <c r="BV255" s="9"/>
      <c r="BY255" s="81"/>
      <c r="BZ255" s="81"/>
      <c r="CB255" s="9"/>
      <c r="CE255" s="81"/>
      <c r="CF255" s="81"/>
      <c r="CH255" s="9"/>
      <c r="CK255" s="81"/>
      <c r="CL255" s="81"/>
      <c r="CR255" s="9"/>
      <c r="CS255" s="9"/>
      <c r="CT255" s="9"/>
      <c r="CU255" s="9"/>
      <c r="CV255" s="9"/>
      <c r="CW255" s="129"/>
      <c r="CX255" s="9"/>
    </row>
    <row r="256" spans="1:102">
      <c r="A256" s="6" t="str">
        <f t="shared" si="31"/>
        <v>00500806</v>
      </c>
      <c r="B256" s="6" t="s">
        <v>1700</v>
      </c>
      <c r="C256" s="6" t="s">
        <v>2064</v>
      </c>
      <c r="D256" s="6">
        <v>247</v>
      </c>
      <c r="E256" s="6">
        <v>50</v>
      </c>
      <c r="F256" s="6" t="s">
        <v>1169</v>
      </c>
      <c r="G256" s="6">
        <v>806</v>
      </c>
      <c r="H256" s="6" t="s">
        <v>1094</v>
      </c>
      <c r="I256" s="33">
        <v>1788985.3297213679</v>
      </c>
      <c r="J256" s="88">
        <v>3.946332351476365E-2</v>
      </c>
      <c r="K256" s="89">
        <f t="shared" si="40"/>
        <v>1668179.8362425545</v>
      </c>
      <c r="L256" s="88">
        <f>IF(K259&gt;0, K256/K259, 0)</f>
        <v>3.5628088880493659E-2</v>
      </c>
      <c r="M256" s="58"/>
      <c r="N256" s="9">
        <f>ROUND(M259*L256,0)</f>
        <v>1356376</v>
      </c>
      <c r="O256" s="9">
        <v>1431388</v>
      </c>
      <c r="P256" s="9">
        <f>N256-O256</f>
        <v>-75012</v>
      </c>
      <c r="Q256" s="40">
        <f t="shared" si="39"/>
        <v>-5.2405078147923554</v>
      </c>
      <c r="R256" s="9">
        <v>82.000000001250001</v>
      </c>
      <c r="S256" s="9">
        <f t="shared" si="37"/>
        <v>75.00000000256</v>
      </c>
      <c r="T256" s="90">
        <f t="shared" si="32"/>
        <v>50</v>
      </c>
      <c r="U256" s="90">
        <f t="shared" si="33"/>
        <v>806</v>
      </c>
      <c r="V256" s="373">
        <f t="shared" si="34"/>
        <v>247</v>
      </c>
      <c r="W256" s="90">
        <f t="shared" si="35"/>
        <v>75.00000000256</v>
      </c>
      <c r="X256" s="90">
        <f t="shared" si="36"/>
        <v>1668179.8362425545</v>
      </c>
      <c r="Y256" s="141">
        <f t="shared" si="38"/>
        <v>247</v>
      </c>
      <c r="Z256" s="298">
        <v>50</v>
      </c>
      <c r="AA256" s="299">
        <v>806</v>
      </c>
      <c r="AB256" s="299">
        <v>247</v>
      </c>
      <c r="AC256" s="301">
        <v>75.00000000256</v>
      </c>
      <c r="AD256" s="301">
        <v>1668179.8362425545</v>
      </c>
      <c r="AE256" s="126"/>
      <c r="AF256" s="298"/>
      <c r="AG256" s="299"/>
      <c r="AH256" s="299"/>
      <c r="AI256" s="301"/>
      <c r="AJ256" s="301"/>
      <c r="AK256" s="426"/>
      <c r="AL256" s="298"/>
      <c r="AM256" s="299"/>
      <c r="AN256" s="299"/>
      <c r="AO256" s="301"/>
      <c r="AP256" s="301"/>
      <c r="AQ256" s="426"/>
      <c r="AR256" s="298"/>
      <c r="AS256" s="299"/>
      <c r="AT256" s="299"/>
      <c r="AU256" s="301"/>
      <c r="AV256" s="301"/>
      <c r="AW256" s="88"/>
      <c r="AX256" s="298"/>
      <c r="AY256" s="299"/>
      <c r="AZ256" s="299"/>
      <c r="BA256" s="301"/>
      <c r="BB256" s="301"/>
      <c r="BC256" s="426"/>
      <c r="BD256" s="298"/>
      <c r="BE256" s="299"/>
      <c r="BF256" s="299"/>
      <c r="BG256" s="301"/>
      <c r="BH256" s="301"/>
      <c r="BI256" s="88"/>
      <c r="BJ256" s="298"/>
      <c r="BK256" s="299"/>
      <c r="BL256" s="299"/>
      <c r="BM256" s="301"/>
      <c r="BN256" s="301"/>
      <c r="BO256" s="88"/>
      <c r="BP256" s="9"/>
      <c r="BS256" s="81"/>
      <c r="BT256" s="81"/>
      <c r="BV256" s="9"/>
      <c r="BY256" s="81"/>
      <c r="BZ256" s="81"/>
      <c r="CB256" s="9"/>
      <c r="CE256" s="81"/>
      <c r="CF256" s="81"/>
      <c r="CH256" s="9"/>
      <c r="CK256" s="81"/>
      <c r="CL256" s="81"/>
      <c r="CR256" s="9"/>
      <c r="CS256" s="9"/>
      <c r="CT256" s="9"/>
      <c r="CU256" s="9"/>
      <c r="CV256" s="9"/>
      <c r="CW256" s="129"/>
      <c r="CX256" s="9"/>
    </row>
    <row r="257" spans="1:102">
      <c r="A257" s="6" t="str">
        <f t="shared" si="31"/>
        <v>00500915</v>
      </c>
      <c r="B257" s="6" t="s">
        <v>1700</v>
      </c>
      <c r="C257" s="6" t="s">
        <v>2089</v>
      </c>
      <c r="D257" s="6">
        <v>248</v>
      </c>
      <c r="E257" s="6">
        <v>50</v>
      </c>
      <c r="F257" s="6" t="s">
        <v>1169</v>
      </c>
      <c r="G257" s="6">
        <v>915</v>
      </c>
      <c r="H257" s="6" t="s">
        <v>1119</v>
      </c>
      <c r="I257" s="33">
        <v>193740.14659071216</v>
      </c>
      <c r="J257" s="88">
        <v>4.2737243037637455E-3</v>
      </c>
      <c r="K257" s="89">
        <f t="shared" si="40"/>
        <v>154167.80316332754</v>
      </c>
      <c r="L257" s="88">
        <f>IF(K259&gt;0, K257/K259, 0)</f>
        <v>3.2926331288030521E-3</v>
      </c>
      <c r="M257" s="58"/>
      <c r="N257" s="9">
        <f>ROUND(M259*L257,0)</f>
        <v>125352</v>
      </c>
      <c r="O257" s="9">
        <v>155014</v>
      </c>
      <c r="P257" s="9">
        <f>N257-O257</f>
        <v>-29662</v>
      </c>
      <c r="Q257" s="40">
        <f t="shared" si="39"/>
        <v>-19.135045866824932</v>
      </c>
      <c r="R257" s="9">
        <v>9.0000000000900009</v>
      </c>
      <c r="S257" s="9">
        <f t="shared" si="37"/>
        <v>6.9999999996</v>
      </c>
      <c r="T257" s="90">
        <f t="shared" si="32"/>
        <v>50</v>
      </c>
      <c r="U257" s="90">
        <f t="shared" si="33"/>
        <v>915</v>
      </c>
      <c r="V257" s="373">
        <f t="shared" si="34"/>
        <v>248</v>
      </c>
      <c r="W257" s="90">
        <f t="shared" si="35"/>
        <v>6.9999999996</v>
      </c>
      <c r="X257" s="90">
        <f t="shared" si="36"/>
        <v>154167.80316332754</v>
      </c>
      <c r="Y257" s="141">
        <f t="shared" si="38"/>
        <v>248</v>
      </c>
      <c r="Z257" s="298">
        <v>50</v>
      </c>
      <c r="AA257" s="299">
        <v>915</v>
      </c>
      <c r="AB257" s="299">
        <v>248</v>
      </c>
      <c r="AC257" s="301">
        <v>6.9999999996</v>
      </c>
      <c r="AD257" s="301">
        <v>154167.80316332754</v>
      </c>
      <c r="AE257" s="126"/>
      <c r="AF257" s="298"/>
      <c r="AG257" s="299"/>
      <c r="AH257" s="299"/>
      <c r="AI257" s="301"/>
      <c r="AJ257" s="301"/>
      <c r="AK257" s="426"/>
      <c r="AL257" s="298"/>
      <c r="AM257" s="299"/>
      <c r="AN257" s="299"/>
      <c r="AO257" s="301"/>
      <c r="AP257" s="301"/>
      <c r="AQ257" s="426"/>
      <c r="AR257" s="298"/>
      <c r="AS257" s="299"/>
      <c r="AT257" s="299"/>
      <c r="AU257" s="301"/>
      <c r="AV257" s="301"/>
      <c r="AW257" s="88"/>
      <c r="AX257" s="298"/>
      <c r="AY257" s="299"/>
      <c r="AZ257" s="299"/>
      <c r="BA257" s="301"/>
      <c r="BB257" s="301"/>
      <c r="BC257" s="426"/>
      <c r="BD257" s="298"/>
      <c r="BE257" s="299"/>
      <c r="BF257" s="299"/>
      <c r="BG257" s="301"/>
      <c r="BH257" s="301"/>
      <c r="BI257" s="88"/>
      <c r="BJ257" s="298"/>
      <c r="BK257" s="299"/>
      <c r="BL257" s="299"/>
      <c r="BM257" s="301"/>
      <c r="BN257" s="301"/>
      <c r="BO257" s="88"/>
      <c r="BP257" s="9"/>
      <c r="BS257" s="81"/>
      <c r="BT257" s="81"/>
      <c r="BV257" s="9"/>
      <c r="BY257" s="81"/>
      <c r="BZ257" s="81"/>
      <c r="CB257" s="9"/>
      <c r="CE257" s="81"/>
      <c r="CF257" s="81"/>
      <c r="CH257" s="9"/>
      <c r="CK257" s="81"/>
      <c r="CL257" s="81"/>
      <c r="CR257" s="9"/>
      <c r="CS257" s="9"/>
      <c r="CT257" s="9"/>
      <c r="CU257" s="9"/>
      <c r="CV257" s="9"/>
      <c r="CW257" s="129"/>
      <c r="CX257" s="9"/>
    </row>
    <row r="258" spans="1:102">
      <c r="A258" s="6" t="str">
        <f t="shared" si="31"/>
        <v>00500998</v>
      </c>
      <c r="B258" s="6" t="s">
        <v>1700</v>
      </c>
      <c r="C258" s="6" t="s">
        <v>2091</v>
      </c>
      <c r="D258" s="6">
        <v>249</v>
      </c>
      <c r="E258" s="6">
        <v>50</v>
      </c>
      <c r="F258" s="6" t="s">
        <v>1547</v>
      </c>
      <c r="G258" s="6">
        <v>998</v>
      </c>
      <c r="H258" s="6" t="s">
        <v>1547</v>
      </c>
      <c r="I258" s="33">
        <v>0</v>
      </c>
      <c r="J258" s="88">
        <v>0</v>
      </c>
      <c r="K258" s="89">
        <f t="shared" si="40"/>
        <v>0</v>
      </c>
      <c r="L258" s="88">
        <f>IF(K259&gt;0, K258/K259, 0)</f>
        <v>0</v>
      </c>
      <c r="M258" s="58"/>
      <c r="N258" s="9">
        <f>ROUND(M259*L258,0)</f>
        <v>0</v>
      </c>
      <c r="O258" s="9">
        <v>0</v>
      </c>
      <c r="P258" s="9">
        <f>N258-O258</f>
        <v>0</v>
      </c>
      <c r="Q258" s="40">
        <f t="shared" si="39"/>
        <v>0</v>
      </c>
      <c r="R258" s="9">
        <v>0</v>
      </c>
      <c r="S258" s="9">
        <f t="shared" si="37"/>
        <v>0</v>
      </c>
      <c r="T258" s="90">
        <f t="shared" si="32"/>
        <v>50</v>
      </c>
      <c r="U258" s="90">
        <f t="shared" si="33"/>
        <v>998</v>
      </c>
      <c r="V258" s="373">
        <f t="shared" si="34"/>
        <v>249</v>
      </c>
      <c r="W258" s="90">
        <f t="shared" si="35"/>
        <v>0</v>
      </c>
      <c r="X258" s="90">
        <f t="shared" si="36"/>
        <v>0</v>
      </c>
      <c r="Y258" s="141">
        <f t="shared" si="38"/>
        <v>249</v>
      </c>
      <c r="Z258" s="298">
        <v>50</v>
      </c>
      <c r="AA258" s="299">
        <v>998</v>
      </c>
      <c r="AB258" s="299">
        <v>249</v>
      </c>
      <c r="AC258" s="301">
        <v>0</v>
      </c>
      <c r="AD258" s="301">
        <v>0</v>
      </c>
      <c r="AE258" s="126"/>
      <c r="AF258" s="298"/>
      <c r="AG258" s="299"/>
      <c r="AH258" s="299"/>
      <c r="AI258" s="301"/>
      <c r="AJ258" s="301"/>
      <c r="AK258" s="426"/>
      <c r="AL258" s="298"/>
      <c r="AM258" s="299"/>
      <c r="AN258" s="299"/>
      <c r="AO258" s="301"/>
      <c r="AP258" s="301"/>
      <c r="AQ258" s="426"/>
      <c r="AR258" s="298"/>
      <c r="AS258" s="299"/>
      <c r="AT258" s="299"/>
      <c r="AU258" s="301"/>
      <c r="AV258" s="301"/>
      <c r="AW258" s="88"/>
      <c r="AX258" s="298"/>
      <c r="AY258" s="299"/>
      <c r="AZ258" s="299"/>
      <c r="BA258" s="301"/>
      <c r="BB258" s="301"/>
      <c r="BC258" s="426"/>
      <c r="BD258" s="298"/>
      <c r="BE258" s="299"/>
      <c r="BF258" s="299"/>
      <c r="BG258" s="301"/>
      <c r="BH258" s="301"/>
      <c r="BI258" s="88"/>
      <c r="BJ258" s="298"/>
      <c r="BK258" s="299"/>
      <c r="BL258" s="299"/>
      <c r="BM258" s="301"/>
      <c r="BN258" s="301"/>
      <c r="BO258" s="88"/>
      <c r="BP258" s="9"/>
      <c r="BS258" s="81"/>
      <c r="BT258" s="81"/>
      <c r="BV258" s="9"/>
      <c r="BY258" s="81"/>
      <c r="BZ258" s="81"/>
      <c r="CB258" s="9"/>
      <c r="CE258" s="81"/>
      <c r="CF258" s="81"/>
      <c r="CH258" s="9"/>
      <c r="CK258" s="81"/>
      <c r="CL258" s="81"/>
      <c r="CR258" s="9"/>
      <c r="CS258" s="9"/>
      <c r="CT258" s="9"/>
      <c r="CU258" s="9"/>
      <c r="CV258" s="9"/>
      <c r="CW258" s="129"/>
      <c r="CX258" s="9"/>
    </row>
    <row r="259" spans="1:102">
      <c r="A259" s="6" t="str">
        <f t="shared" si="31"/>
        <v>00500999</v>
      </c>
      <c r="B259" s="6" t="s">
        <v>1700</v>
      </c>
      <c r="C259" s="6" t="s">
        <v>2092</v>
      </c>
      <c r="D259" s="6">
        <v>250</v>
      </c>
      <c r="E259" s="10">
        <v>50</v>
      </c>
      <c r="F259" s="10" t="s">
        <v>1169</v>
      </c>
      <c r="G259" s="10">
        <v>999</v>
      </c>
      <c r="H259" s="10" t="s">
        <v>593</v>
      </c>
      <c r="I259" s="92">
        <v>45332860.245592073</v>
      </c>
      <c r="J259" s="472">
        <v>1</v>
      </c>
      <c r="K259" s="53">
        <f>SUM(K255:K258)</f>
        <v>46822040.941855885</v>
      </c>
      <c r="L259" s="91">
        <f>SUM(L255:L258)</f>
        <v>0.99999999999999989</v>
      </c>
      <c r="M259" s="79">
        <f>VLOOKUP(E259,town351,24)</f>
        <v>38070410</v>
      </c>
      <c r="N259" s="79">
        <f>SUM(N255:N258)</f>
        <v>38070410</v>
      </c>
      <c r="O259" s="79">
        <v>36271351</v>
      </c>
      <c r="P259" s="79">
        <f>SUM(P255:P258)</f>
        <v>1799059</v>
      </c>
      <c r="Q259" s="39">
        <f t="shared" si="39"/>
        <v>4.9599999735328302</v>
      </c>
      <c r="R259" s="9">
        <v>3351.0000000013401</v>
      </c>
      <c r="S259" s="9">
        <f t="shared" si="37"/>
        <v>3373.00000000216</v>
      </c>
      <c r="T259" s="90">
        <f t="shared" si="32"/>
        <v>50</v>
      </c>
      <c r="U259" s="90">
        <f t="shared" si="33"/>
        <v>999</v>
      </c>
      <c r="V259" s="373">
        <f t="shared" si="34"/>
        <v>250</v>
      </c>
      <c r="W259" s="90">
        <f t="shared" si="35"/>
        <v>3373.00000000216</v>
      </c>
      <c r="X259" s="90">
        <f t="shared" si="36"/>
        <v>46822040.941855885</v>
      </c>
      <c r="Y259" s="141">
        <f t="shared" si="38"/>
        <v>250</v>
      </c>
      <c r="Z259" s="298">
        <v>50</v>
      </c>
      <c r="AA259" s="299">
        <v>999</v>
      </c>
      <c r="AB259" s="299">
        <v>250</v>
      </c>
      <c r="AC259" s="301">
        <v>3373.00000000216</v>
      </c>
      <c r="AD259" s="301">
        <v>46822040.941855885</v>
      </c>
      <c r="AE259" s="126"/>
      <c r="AF259" s="298"/>
      <c r="AG259" s="299"/>
      <c r="AH259" s="299"/>
      <c r="AI259" s="301"/>
      <c r="AJ259" s="301"/>
      <c r="AK259" s="426"/>
      <c r="AL259" s="298"/>
      <c r="AM259" s="299"/>
      <c r="AN259" s="299"/>
      <c r="AO259" s="301"/>
      <c r="AP259" s="301"/>
      <c r="AQ259" s="426"/>
      <c r="AR259" s="298"/>
      <c r="AS259" s="299"/>
      <c r="AT259" s="299"/>
      <c r="AU259" s="301"/>
      <c r="AV259" s="301"/>
      <c r="AW259" s="91"/>
      <c r="AX259" s="298"/>
      <c r="AY259" s="299"/>
      <c r="AZ259" s="299"/>
      <c r="BA259" s="301"/>
      <c r="BB259" s="301"/>
      <c r="BC259" s="426"/>
      <c r="BD259" s="298"/>
      <c r="BE259" s="299"/>
      <c r="BF259" s="299"/>
      <c r="BG259" s="301"/>
      <c r="BH259" s="301"/>
      <c r="BI259" s="91"/>
      <c r="BJ259" s="298"/>
      <c r="BK259" s="299"/>
      <c r="BL259" s="299"/>
      <c r="BM259" s="301"/>
      <c r="BN259" s="301"/>
      <c r="BO259" s="91"/>
      <c r="BP259" s="9"/>
      <c r="BS259" s="81"/>
      <c r="BT259" s="81"/>
      <c r="BV259" s="9"/>
      <c r="BY259" s="81"/>
      <c r="BZ259" s="81"/>
      <c r="CB259" s="9"/>
      <c r="CE259" s="81"/>
      <c r="CF259" s="81"/>
      <c r="CH259" s="9"/>
      <c r="CK259" s="81"/>
      <c r="CL259" s="81"/>
      <c r="CR259" s="9"/>
      <c r="CS259" s="9"/>
      <c r="CT259" s="9"/>
      <c r="CU259" s="9"/>
      <c r="CV259" s="9"/>
      <c r="CW259" s="129"/>
      <c r="CX259" s="9"/>
    </row>
    <row r="260" spans="1:102">
      <c r="A260" s="6" t="str">
        <f t="shared" si="31"/>
        <v>00510051</v>
      </c>
      <c r="B260" s="6" t="s">
        <v>1701</v>
      </c>
      <c r="C260" s="6" t="s">
        <v>1701</v>
      </c>
      <c r="D260" s="6">
        <v>251</v>
      </c>
      <c r="E260" s="6">
        <v>51</v>
      </c>
      <c r="F260" s="6" t="s">
        <v>1170</v>
      </c>
      <c r="G260" s="6">
        <v>51</v>
      </c>
      <c r="H260" s="6" t="s">
        <v>732</v>
      </c>
      <c r="I260" s="33">
        <v>6639945.1630799994</v>
      </c>
      <c r="J260" s="88">
        <v>0.60475471867337616</v>
      </c>
      <c r="K260" s="89">
        <f>X260</f>
        <v>6853478.0810400005</v>
      </c>
      <c r="L260" s="88">
        <f>IF(K264&gt;0, K260/K264, 0)</f>
        <v>0.62076875869239079</v>
      </c>
      <c r="M260" s="58"/>
      <c r="N260" s="9">
        <f>ROUND(M264*L260,0)</f>
        <v>5654120</v>
      </c>
      <c r="O260" s="9">
        <v>5477955</v>
      </c>
      <c r="P260" s="9">
        <f>N260-O260</f>
        <v>176165</v>
      </c>
      <c r="Q260" s="40">
        <f t="shared" si="39"/>
        <v>3.2158898713114659</v>
      </c>
      <c r="R260" s="9">
        <v>567</v>
      </c>
      <c r="S260" s="9">
        <f t="shared" si="37"/>
        <v>571</v>
      </c>
      <c r="T260" s="90">
        <f t="shared" si="32"/>
        <v>51</v>
      </c>
      <c r="U260" s="90">
        <f t="shared" si="33"/>
        <v>51</v>
      </c>
      <c r="V260" s="373">
        <f t="shared" si="34"/>
        <v>251</v>
      </c>
      <c r="W260" s="90">
        <f t="shared" si="35"/>
        <v>571</v>
      </c>
      <c r="X260" s="90">
        <f t="shared" si="36"/>
        <v>6853478.0810400005</v>
      </c>
      <c r="Y260" s="141">
        <f t="shared" si="38"/>
        <v>251</v>
      </c>
      <c r="Z260" s="298">
        <v>51</v>
      </c>
      <c r="AA260" s="299">
        <v>51</v>
      </c>
      <c r="AB260" s="299">
        <v>251</v>
      </c>
      <c r="AC260" s="301">
        <v>571</v>
      </c>
      <c r="AD260" s="301">
        <v>6853478.0810400005</v>
      </c>
      <c r="AE260" s="126"/>
      <c r="AF260" s="298"/>
      <c r="AG260" s="299"/>
      <c r="AH260" s="299"/>
      <c r="AI260" s="301"/>
      <c r="AJ260" s="301"/>
      <c r="AK260" s="426"/>
      <c r="AL260" s="298"/>
      <c r="AM260" s="299"/>
      <c r="AN260" s="299"/>
      <c r="AO260" s="301"/>
      <c r="AP260" s="301"/>
      <c r="AQ260" s="426"/>
      <c r="AR260" s="298"/>
      <c r="AS260" s="299"/>
      <c r="AT260" s="299"/>
      <c r="AU260" s="301"/>
      <c r="AV260" s="301"/>
      <c r="AW260" s="88"/>
      <c r="AX260" s="298"/>
      <c r="AY260" s="299"/>
      <c r="AZ260" s="299"/>
      <c r="BA260" s="301"/>
      <c r="BB260" s="301"/>
      <c r="BC260" s="426"/>
      <c r="BD260" s="298"/>
      <c r="BE260" s="299"/>
      <c r="BF260" s="299"/>
      <c r="BG260" s="301"/>
      <c r="BH260" s="301"/>
      <c r="BI260" s="88"/>
      <c r="BJ260" s="298"/>
      <c r="BK260" s="299"/>
      <c r="BL260" s="299"/>
      <c r="BM260" s="301"/>
      <c r="BN260" s="301"/>
      <c r="BO260" s="88"/>
      <c r="BP260" s="9"/>
      <c r="BS260" s="81"/>
      <c r="BT260" s="81"/>
      <c r="BV260" s="9"/>
      <c r="BY260" s="81"/>
      <c r="BZ260" s="81"/>
      <c r="CB260" s="9"/>
      <c r="CE260" s="81"/>
      <c r="CF260" s="81"/>
      <c r="CH260" s="9"/>
      <c r="CK260" s="81"/>
      <c r="CL260" s="81"/>
      <c r="CR260" s="9"/>
      <c r="CS260" s="9"/>
      <c r="CT260" s="9"/>
      <c r="CU260" s="9"/>
      <c r="CV260" s="9"/>
      <c r="CW260" s="129"/>
      <c r="CX260" s="9"/>
    </row>
    <row r="261" spans="1:102">
      <c r="A261" s="6" t="str">
        <f t="shared" si="31"/>
        <v>00510640</v>
      </c>
      <c r="B261" s="6" t="s">
        <v>1701</v>
      </c>
      <c r="C261" s="6" t="s">
        <v>2016</v>
      </c>
      <c r="D261" s="6">
        <v>252</v>
      </c>
      <c r="E261" s="6">
        <v>51</v>
      </c>
      <c r="F261" s="6" t="s">
        <v>1170</v>
      </c>
      <c r="G261" s="6">
        <v>640</v>
      </c>
      <c r="H261" s="6" t="s">
        <v>1046</v>
      </c>
      <c r="I261" s="33">
        <v>4339622.1855564127</v>
      </c>
      <c r="J261" s="88">
        <v>0.3952452813266239</v>
      </c>
      <c r="K261" s="89">
        <f t="shared" si="40"/>
        <v>4186829.5779285468</v>
      </c>
      <c r="L261" s="88">
        <f>IF(K264&gt;0, K261/K264, 0)</f>
        <v>0.37923124130760916</v>
      </c>
      <c r="M261" s="58"/>
      <c r="N261" s="9">
        <f>ROUND(M264*L261,0)</f>
        <v>3454134</v>
      </c>
      <c r="O261" s="9">
        <v>3580188</v>
      </c>
      <c r="P261" s="9">
        <f>N261-O261</f>
        <v>-126054</v>
      </c>
      <c r="Q261" s="40">
        <f t="shared" si="39"/>
        <v>-3.5208765573204537</v>
      </c>
      <c r="R261" s="9">
        <v>318.20836622460001</v>
      </c>
      <c r="S261" s="9">
        <f t="shared" si="37"/>
        <v>298.81401167531999</v>
      </c>
      <c r="T261" s="90">
        <f t="shared" si="32"/>
        <v>51</v>
      </c>
      <c r="U261" s="90">
        <f t="shared" si="33"/>
        <v>640</v>
      </c>
      <c r="V261" s="373">
        <f t="shared" si="34"/>
        <v>252</v>
      </c>
      <c r="W261" s="90">
        <f t="shared" si="35"/>
        <v>298.81401167531999</v>
      </c>
      <c r="X261" s="90">
        <f t="shared" si="36"/>
        <v>4186829.5779285468</v>
      </c>
      <c r="Y261" s="141">
        <f t="shared" si="38"/>
        <v>252</v>
      </c>
      <c r="Z261" s="298">
        <v>51</v>
      </c>
      <c r="AA261" s="299">
        <v>640</v>
      </c>
      <c r="AB261" s="299">
        <v>252</v>
      </c>
      <c r="AC261" s="301">
        <v>298.81401167531999</v>
      </c>
      <c r="AD261" s="301">
        <v>4186829.5779285468</v>
      </c>
      <c r="AE261" s="126"/>
      <c r="AF261" s="298"/>
      <c r="AG261" s="299"/>
      <c r="AH261" s="299"/>
      <c r="AI261" s="301"/>
      <c r="AJ261" s="301"/>
      <c r="AK261" s="426"/>
      <c r="AL261" s="298"/>
      <c r="AM261" s="299"/>
      <c r="AN261" s="299"/>
      <c r="AO261" s="301"/>
      <c r="AP261" s="301"/>
      <c r="AQ261" s="426"/>
      <c r="AR261" s="298"/>
      <c r="AS261" s="299"/>
      <c r="AT261" s="299"/>
      <c r="AU261" s="301"/>
      <c r="AV261" s="301"/>
      <c r="AW261" s="88"/>
      <c r="AX261" s="298"/>
      <c r="AY261" s="299"/>
      <c r="AZ261" s="299"/>
      <c r="BA261" s="301"/>
      <c r="BB261" s="301"/>
      <c r="BC261" s="426"/>
      <c r="BD261" s="298"/>
      <c r="BE261" s="299"/>
      <c r="BF261" s="299"/>
      <c r="BG261" s="301"/>
      <c r="BH261" s="301"/>
      <c r="BI261" s="88"/>
      <c r="BJ261" s="298"/>
      <c r="BK261" s="299"/>
      <c r="BL261" s="299"/>
      <c r="BM261" s="301"/>
      <c r="BN261" s="301"/>
      <c r="BO261" s="88"/>
      <c r="BP261" s="9"/>
      <c r="BS261" s="81"/>
      <c r="BT261" s="81"/>
      <c r="BV261" s="9"/>
      <c r="BY261" s="81"/>
      <c r="BZ261" s="81"/>
      <c r="CB261" s="9"/>
      <c r="CE261" s="81"/>
      <c r="CF261" s="81"/>
      <c r="CH261" s="9"/>
      <c r="CK261" s="81"/>
      <c r="CL261" s="81"/>
      <c r="CR261" s="9"/>
      <c r="CS261" s="9"/>
      <c r="CT261" s="9"/>
      <c r="CU261" s="9"/>
      <c r="CV261" s="9"/>
      <c r="CW261" s="129"/>
      <c r="CX261" s="9"/>
    </row>
    <row r="262" spans="1:102">
      <c r="A262" s="6" t="str">
        <f t="shared" si="31"/>
        <v>00510830</v>
      </c>
      <c r="B262" s="6" t="s">
        <v>1701</v>
      </c>
      <c r="C262" s="6" t="s">
        <v>2074</v>
      </c>
      <c r="D262" s="6">
        <v>253</v>
      </c>
      <c r="E262" s="6">
        <v>51</v>
      </c>
      <c r="G262" s="6">
        <v>998</v>
      </c>
      <c r="I262" s="33">
        <v>0</v>
      </c>
      <c r="J262" s="88">
        <v>0</v>
      </c>
      <c r="K262" s="89">
        <f t="shared" si="40"/>
        <v>0</v>
      </c>
      <c r="L262" s="88">
        <f>IF(K264&gt;0, K262/K264, 0)</f>
        <v>0</v>
      </c>
      <c r="M262" s="58"/>
      <c r="N262" s="9">
        <f>ROUND(M264*L262,0)</f>
        <v>0</v>
      </c>
      <c r="O262" s="9">
        <v>0</v>
      </c>
      <c r="P262" s="9">
        <f>N262-O262</f>
        <v>0</v>
      </c>
      <c r="Q262" s="40">
        <f t="shared" si="39"/>
        <v>0</v>
      </c>
      <c r="R262" s="9">
        <v>0</v>
      </c>
      <c r="S262" s="9">
        <f t="shared" si="37"/>
        <v>0</v>
      </c>
      <c r="T262" s="90">
        <f t="shared" si="32"/>
        <v>51</v>
      </c>
      <c r="U262" s="90">
        <f t="shared" si="33"/>
        <v>998</v>
      </c>
      <c r="V262" s="373">
        <f t="shared" si="34"/>
        <v>253</v>
      </c>
      <c r="W262" s="90">
        <f t="shared" si="35"/>
        <v>0</v>
      </c>
      <c r="X262" s="90">
        <f t="shared" si="36"/>
        <v>0</v>
      </c>
      <c r="Y262" s="141">
        <f t="shared" si="38"/>
        <v>253</v>
      </c>
      <c r="Z262" s="298">
        <v>51</v>
      </c>
      <c r="AA262" s="299">
        <v>998</v>
      </c>
      <c r="AB262" s="299">
        <v>253</v>
      </c>
      <c r="AC262" s="301">
        <v>0</v>
      </c>
      <c r="AD262" s="301">
        <v>0</v>
      </c>
      <c r="AE262" s="126"/>
      <c r="AF262" s="298"/>
      <c r="AG262" s="299"/>
      <c r="AH262" s="299"/>
      <c r="AI262" s="301"/>
      <c r="AJ262" s="301"/>
      <c r="AK262" s="426"/>
      <c r="AL262" s="298"/>
      <c r="AM262" s="299"/>
      <c r="AN262" s="299"/>
      <c r="AO262" s="301"/>
      <c r="AP262" s="301"/>
      <c r="AQ262" s="426"/>
      <c r="AR262" s="298"/>
      <c r="AS262" s="299"/>
      <c r="AT262" s="299"/>
      <c r="AU262" s="301"/>
      <c r="AV262" s="301"/>
      <c r="AW262" s="88"/>
      <c r="AX262" s="298"/>
      <c r="AY262" s="299"/>
      <c r="AZ262" s="299"/>
      <c r="BA262" s="301"/>
      <c r="BB262" s="301"/>
      <c r="BC262" s="426"/>
      <c r="BD262" s="298"/>
      <c r="BE262" s="299"/>
      <c r="BF262" s="299"/>
      <c r="BG262" s="301"/>
      <c r="BH262" s="301"/>
      <c r="BI262" s="88"/>
      <c r="BJ262" s="298"/>
      <c r="BK262" s="299"/>
      <c r="BL262" s="299"/>
      <c r="BM262" s="301"/>
      <c r="BN262" s="301"/>
      <c r="BO262" s="88"/>
      <c r="BP262" s="9"/>
      <c r="BS262" s="81"/>
      <c r="BT262" s="81"/>
      <c r="BV262" s="9"/>
      <c r="BY262" s="81"/>
      <c r="BZ262" s="81"/>
      <c r="CB262" s="9"/>
      <c r="CE262" s="81"/>
      <c r="CF262" s="81"/>
      <c r="CH262" s="9"/>
      <c r="CK262" s="81"/>
      <c r="CL262" s="81"/>
      <c r="CR262" s="9"/>
      <c r="CS262" s="9"/>
      <c r="CT262" s="9"/>
      <c r="CU262" s="9"/>
      <c r="CV262" s="9"/>
      <c r="CW262" s="129"/>
      <c r="CX262" s="9"/>
    </row>
    <row r="263" spans="1:102">
      <c r="A263" s="6" t="str">
        <f t="shared" si="31"/>
        <v>00510998</v>
      </c>
      <c r="B263" s="6" t="s">
        <v>1701</v>
      </c>
      <c r="C263" s="6" t="s">
        <v>2091</v>
      </c>
      <c r="D263" s="6">
        <v>254</v>
      </c>
      <c r="E263" s="6">
        <v>51</v>
      </c>
      <c r="F263" s="6" t="s">
        <v>1547</v>
      </c>
      <c r="G263" s="6">
        <v>998</v>
      </c>
      <c r="H263" s="6" t="s">
        <v>1547</v>
      </c>
      <c r="I263" s="33">
        <v>0</v>
      </c>
      <c r="J263" s="88">
        <v>0</v>
      </c>
      <c r="K263" s="89">
        <f t="shared" si="40"/>
        <v>0</v>
      </c>
      <c r="L263" s="88">
        <f>IF(K264&gt;0, K263/K264, 0)</f>
        <v>0</v>
      </c>
      <c r="M263" s="58"/>
      <c r="N263" s="9">
        <f>ROUND(M264*L263,0)</f>
        <v>0</v>
      </c>
      <c r="O263" s="9">
        <v>0</v>
      </c>
      <c r="P263" s="9">
        <f>N263-O263</f>
        <v>0</v>
      </c>
      <c r="Q263" s="40">
        <f t="shared" si="39"/>
        <v>0</v>
      </c>
      <c r="R263" s="9">
        <v>0</v>
      </c>
      <c r="S263" s="9">
        <f t="shared" si="37"/>
        <v>0</v>
      </c>
      <c r="T263" s="90">
        <f t="shared" si="32"/>
        <v>51</v>
      </c>
      <c r="U263" s="90">
        <f t="shared" si="33"/>
        <v>998</v>
      </c>
      <c r="V263" s="373">
        <f t="shared" si="34"/>
        <v>254</v>
      </c>
      <c r="W263" s="90">
        <f t="shared" si="35"/>
        <v>0</v>
      </c>
      <c r="X263" s="90">
        <f t="shared" si="36"/>
        <v>0</v>
      </c>
      <c r="Y263" s="141">
        <f t="shared" si="38"/>
        <v>254</v>
      </c>
      <c r="Z263" s="298">
        <v>51</v>
      </c>
      <c r="AA263" s="299">
        <v>998</v>
      </c>
      <c r="AB263" s="299">
        <v>254</v>
      </c>
      <c r="AC263" s="301">
        <v>0</v>
      </c>
      <c r="AD263" s="301">
        <v>0</v>
      </c>
      <c r="AE263" s="126"/>
      <c r="AF263" s="298"/>
      <c r="AG263" s="299"/>
      <c r="AH263" s="299"/>
      <c r="AI263" s="301"/>
      <c r="AJ263" s="301"/>
      <c r="AK263" s="426"/>
      <c r="AL263" s="298"/>
      <c r="AM263" s="299"/>
      <c r="AN263" s="299"/>
      <c r="AO263" s="301"/>
      <c r="AP263" s="301"/>
      <c r="AQ263" s="426"/>
      <c r="AR263" s="298"/>
      <c r="AS263" s="299"/>
      <c r="AT263" s="299"/>
      <c r="AU263" s="301"/>
      <c r="AV263" s="301"/>
      <c r="AW263" s="88"/>
      <c r="AX263" s="298"/>
      <c r="AY263" s="299"/>
      <c r="AZ263" s="299"/>
      <c r="BA263" s="301"/>
      <c r="BB263" s="301"/>
      <c r="BC263" s="426"/>
      <c r="BD263" s="298"/>
      <c r="BE263" s="299"/>
      <c r="BF263" s="299"/>
      <c r="BG263" s="301"/>
      <c r="BH263" s="301"/>
      <c r="BI263" s="88"/>
      <c r="BJ263" s="298"/>
      <c r="BK263" s="299"/>
      <c r="BL263" s="299"/>
      <c r="BM263" s="301"/>
      <c r="BN263" s="301"/>
      <c r="BO263" s="88"/>
      <c r="BP263" s="9"/>
      <c r="BS263" s="81"/>
      <c r="BT263" s="81"/>
      <c r="BV263" s="9"/>
      <c r="BY263" s="81"/>
      <c r="BZ263" s="81"/>
      <c r="CB263" s="9"/>
      <c r="CE263" s="81"/>
      <c r="CF263" s="81"/>
      <c r="CH263" s="9"/>
      <c r="CK263" s="81"/>
      <c r="CL263" s="81"/>
      <c r="CR263" s="9"/>
      <c r="CS263" s="9"/>
      <c r="CT263" s="9"/>
      <c r="CU263" s="9"/>
      <c r="CV263" s="9"/>
      <c r="CW263" s="129"/>
      <c r="CX263" s="9"/>
    </row>
    <row r="264" spans="1:102">
      <c r="A264" s="6" t="str">
        <f t="shared" si="31"/>
        <v>00510999</v>
      </c>
      <c r="B264" s="6" t="s">
        <v>1701</v>
      </c>
      <c r="C264" s="6" t="s">
        <v>2092</v>
      </c>
      <c r="D264" s="6">
        <v>255</v>
      </c>
      <c r="E264" s="10">
        <v>51</v>
      </c>
      <c r="F264" s="10" t="s">
        <v>1170</v>
      </c>
      <c r="G264" s="10">
        <v>999</v>
      </c>
      <c r="H264" s="10" t="s">
        <v>593</v>
      </c>
      <c r="I264" s="92">
        <v>10979567.348636411</v>
      </c>
      <c r="J264" s="472">
        <v>1</v>
      </c>
      <c r="K264" s="53">
        <f>SUM(K260:K263)</f>
        <v>11040307.658968547</v>
      </c>
      <c r="L264" s="91">
        <f>SUM(L260:L263)</f>
        <v>1</v>
      </c>
      <c r="M264" s="79">
        <f>VLOOKUP(E264,town351,24)</f>
        <v>9108254</v>
      </c>
      <c r="N264" s="79">
        <f>SUM(N260:N263)</f>
        <v>9108254</v>
      </c>
      <c r="O264" s="79">
        <v>9058143</v>
      </c>
      <c r="P264" s="79">
        <f>SUM(P260:P263)</f>
        <v>50111</v>
      </c>
      <c r="Q264" s="39">
        <f t="shared" si="39"/>
        <v>0.55321493599736726</v>
      </c>
      <c r="R264" s="9">
        <v>885.20836622460001</v>
      </c>
      <c r="S264" s="9">
        <f t="shared" si="37"/>
        <v>869.81401167531999</v>
      </c>
      <c r="T264" s="90">
        <f t="shared" si="32"/>
        <v>51</v>
      </c>
      <c r="U264" s="90">
        <f t="shared" si="33"/>
        <v>999</v>
      </c>
      <c r="V264" s="373">
        <f t="shared" si="34"/>
        <v>255</v>
      </c>
      <c r="W264" s="90">
        <f t="shared" si="35"/>
        <v>869.81401167531999</v>
      </c>
      <c r="X264" s="90">
        <f t="shared" si="36"/>
        <v>11040307.658968547</v>
      </c>
      <c r="Y264" s="141">
        <f t="shared" si="38"/>
        <v>255</v>
      </c>
      <c r="Z264" s="298">
        <v>51</v>
      </c>
      <c r="AA264" s="299">
        <v>999</v>
      </c>
      <c r="AB264" s="299">
        <v>255</v>
      </c>
      <c r="AC264" s="301">
        <v>869.81401167531999</v>
      </c>
      <c r="AD264" s="301">
        <v>11040307.658968547</v>
      </c>
      <c r="AE264" s="126"/>
      <c r="AF264" s="298"/>
      <c r="AG264" s="299"/>
      <c r="AH264" s="299"/>
      <c r="AI264" s="301"/>
      <c r="AJ264" s="301"/>
      <c r="AK264" s="426"/>
      <c r="AL264" s="298"/>
      <c r="AM264" s="299"/>
      <c r="AN264" s="299"/>
      <c r="AO264" s="301"/>
      <c r="AP264" s="301"/>
      <c r="AQ264" s="426"/>
      <c r="AR264" s="298"/>
      <c r="AS264" s="299"/>
      <c r="AT264" s="299"/>
      <c r="AU264" s="301"/>
      <c r="AV264" s="301"/>
      <c r="AW264" s="91"/>
      <c r="AX264" s="298"/>
      <c r="AY264" s="299"/>
      <c r="AZ264" s="299"/>
      <c r="BA264" s="301"/>
      <c r="BB264" s="301"/>
      <c r="BC264" s="426"/>
      <c r="BD264" s="298"/>
      <c r="BE264" s="299"/>
      <c r="BF264" s="299"/>
      <c r="BG264" s="301"/>
      <c r="BH264" s="301"/>
      <c r="BI264" s="91"/>
      <c r="BJ264" s="298"/>
      <c r="BK264" s="299"/>
      <c r="BL264" s="299"/>
      <c r="BM264" s="301"/>
      <c r="BN264" s="301"/>
      <c r="BO264" s="91"/>
      <c r="BP264" s="9"/>
      <c r="BS264" s="81"/>
      <c r="BT264" s="81"/>
      <c r="BV264" s="9"/>
      <c r="BY264" s="81"/>
      <c r="BZ264" s="81"/>
      <c r="CB264" s="9"/>
      <c r="CE264" s="81"/>
      <c r="CF264" s="81"/>
      <c r="CH264" s="9"/>
      <c r="CK264" s="81"/>
      <c r="CL264" s="81"/>
      <c r="CR264" s="9"/>
      <c r="CS264" s="9"/>
      <c r="CT264" s="9"/>
      <c r="CU264" s="9"/>
      <c r="CV264" s="9"/>
      <c r="CW264" s="129"/>
      <c r="CX264" s="9"/>
    </row>
    <row r="265" spans="1:102">
      <c r="A265" s="6" t="str">
        <f t="shared" si="31"/>
        <v>00520052</v>
      </c>
      <c r="B265" s="6" t="s">
        <v>1702</v>
      </c>
      <c r="C265" s="6" t="s">
        <v>1702</v>
      </c>
      <c r="D265" s="6">
        <v>256</v>
      </c>
      <c r="E265" s="6">
        <v>52</v>
      </c>
      <c r="F265" s="6" t="s">
        <v>1171</v>
      </c>
      <c r="G265" s="6">
        <v>52</v>
      </c>
      <c r="H265" s="6" t="s">
        <v>733</v>
      </c>
      <c r="I265" s="33">
        <v>21283331.499319997</v>
      </c>
      <c r="J265" s="88">
        <v>0.92407211276979428</v>
      </c>
      <c r="K265" s="89">
        <f>X265</f>
        <v>20958681.776560001</v>
      </c>
      <c r="L265" s="88">
        <f>IF(K269&gt;0, K265/K269, 0)</f>
        <v>0.93161786760076493</v>
      </c>
      <c r="M265" s="58"/>
      <c r="N265" s="9">
        <f>ROUND(M269*L265,0)</f>
        <v>11414545</v>
      </c>
      <c r="O265" s="9">
        <v>10820042</v>
      </c>
      <c r="P265" s="9">
        <f>N265-O265</f>
        <v>594503</v>
      </c>
      <c r="Q265" s="40">
        <f t="shared" si="39"/>
        <v>5.4944611120733171</v>
      </c>
      <c r="R265" s="9">
        <v>1535</v>
      </c>
      <c r="S265" s="9">
        <f t="shared" si="37"/>
        <v>1501</v>
      </c>
      <c r="T265" s="90">
        <f t="shared" si="32"/>
        <v>52</v>
      </c>
      <c r="U265" s="90">
        <f t="shared" si="33"/>
        <v>52</v>
      </c>
      <c r="V265" s="373">
        <f t="shared" si="34"/>
        <v>256</v>
      </c>
      <c r="W265" s="90">
        <f t="shared" si="35"/>
        <v>1501</v>
      </c>
      <c r="X265" s="90">
        <f t="shared" si="36"/>
        <v>20958681.776560001</v>
      </c>
      <c r="Y265" s="141">
        <f t="shared" si="38"/>
        <v>256</v>
      </c>
      <c r="Z265" s="298">
        <v>52</v>
      </c>
      <c r="AA265" s="299">
        <v>52</v>
      </c>
      <c r="AB265" s="299">
        <v>256</v>
      </c>
      <c r="AC265" s="301">
        <v>1501</v>
      </c>
      <c r="AD265" s="301">
        <v>20958681.776560001</v>
      </c>
      <c r="AE265" s="126"/>
      <c r="AF265" s="298"/>
      <c r="AG265" s="299"/>
      <c r="AH265" s="299"/>
      <c r="AI265" s="301"/>
      <c r="AJ265" s="301"/>
      <c r="AK265" s="426"/>
      <c r="AL265" s="298"/>
      <c r="AM265" s="299"/>
      <c r="AN265" s="299"/>
      <c r="AO265" s="301"/>
      <c r="AP265" s="301"/>
      <c r="AQ265" s="426"/>
      <c r="AR265" s="298"/>
      <c r="AS265" s="299"/>
      <c r="AT265" s="299"/>
      <c r="AU265" s="301"/>
      <c r="AV265" s="301"/>
      <c r="AW265" s="88"/>
      <c r="AX265" s="298"/>
      <c r="AY265" s="299"/>
      <c r="AZ265" s="299"/>
      <c r="BA265" s="301"/>
      <c r="BB265" s="301"/>
      <c r="BC265" s="426"/>
      <c r="BD265" s="298"/>
      <c r="BE265" s="299"/>
      <c r="BF265" s="299"/>
      <c r="BG265" s="301"/>
      <c r="BH265" s="301"/>
      <c r="BI265" s="88"/>
      <c r="BJ265" s="298"/>
      <c r="BK265" s="299"/>
      <c r="BL265" s="299"/>
      <c r="BM265" s="301"/>
      <c r="BN265" s="301"/>
      <c r="BO265" s="88"/>
      <c r="BP265" s="9"/>
      <c r="BS265" s="81"/>
      <c r="BT265" s="81"/>
      <c r="BV265" s="9"/>
      <c r="BY265" s="81"/>
      <c r="BZ265" s="81"/>
      <c r="CB265" s="9"/>
      <c r="CE265" s="81"/>
      <c r="CF265" s="81"/>
      <c r="CH265" s="9"/>
      <c r="CK265" s="81"/>
      <c r="CL265" s="81"/>
      <c r="CR265" s="9"/>
      <c r="CS265" s="9"/>
      <c r="CT265" s="9"/>
      <c r="CU265" s="9"/>
      <c r="CV265" s="9"/>
      <c r="CW265" s="129"/>
      <c r="CX265" s="9"/>
    </row>
    <row r="266" spans="1:102">
      <c r="A266" s="6" t="str">
        <f t="shared" ref="A266:A329" si="41">B266&amp;C266</f>
        <v>00520855</v>
      </c>
      <c r="B266" s="6" t="s">
        <v>1702</v>
      </c>
      <c r="C266" s="6" t="s">
        <v>2079</v>
      </c>
      <c r="D266" s="6">
        <v>257</v>
      </c>
      <c r="E266" s="6">
        <v>52</v>
      </c>
      <c r="F266" s="6" t="s">
        <v>1171</v>
      </c>
      <c r="G266" s="6">
        <v>855</v>
      </c>
      <c r="H266" s="6" t="s">
        <v>1109</v>
      </c>
      <c r="I266" s="33">
        <v>1748779.5288180409</v>
      </c>
      <c r="J266" s="88">
        <v>7.5927887230205646E-2</v>
      </c>
      <c r="K266" s="89">
        <f t="shared" si="40"/>
        <v>1538398.3090074707</v>
      </c>
      <c r="L266" s="88">
        <f>IF(K269&gt;0, K266/K269, 0)</f>
        <v>6.8382132399235129E-2</v>
      </c>
      <c r="M266" s="58"/>
      <c r="N266" s="9">
        <f>ROUND(M269*L266,0)</f>
        <v>837845</v>
      </c>
      <c r="O266" s="9">
        <v>889046</v>
      </c>
      <c r="P266" s="9">
        <f>N266-O266</f>
        <v>-51201</v>
      </c>
      <c r="Q266" s="40">
        <f t="shared" si="39"/>
        <v>-5.7590945800329791</v>
      </c>
      <c r="R266" s="9">
        <v>90.000000001840007</v>
      </c>
      <c r="S266" s="9">
        <f t="shared" si="37"/>
        <v>77.999999998269999</v>
      </c>
      <c r="T266" s="90">
        <f t="shared" ref="T266:T329" si="42">VLOOKUP($D266, foundoptions, VLOOKUP($T$6, foundoptcell, 2, FALSE), FALSE)</f>
        <v>52</v>
      </c>
      <c r="U266" s="90">
        <f t="shared" ref="U266:U329" si="43">VLOOKUP($D266, foundoptions, VLOOKUP($T$6, foundoptcell, 2, FALSE)+1, FALSE)</f>
        <v>855</v>
      </c>
      <c r="V266" s="373">
        <f t="shared" ref="V266:V329" si="44">VLOOKUP($D266, foundoptions, VLOOKUP($T$6, foundoptcell, 2, FALSE)+2, FALSE)</f>
        <v>257</v>
      </c>
      <c r="W266" s="90">
        <f t="shared" ref="W266:W329" si="45">VLOOKUP($D266, foundoptions, VLOOKUP($T$6, foundoptcell, 2, FALSE)+3, FALSE)</f>
        <v>77.999999998269999</v>
      </c>
      <c r="X266" s="90">
        <f t="shared" ref="X266:X329" si="46">VLOOKUP($D266, foundoptions, VLOOKUP($T$6, foundoptcell, 2, FALSE)+4, FALSE)</f>
        <v>1538398.3090074707</v>
      </c>
      <c r="Y266" s="141">
        <f t="shared" si="38"/>
        <v>257</v>
      </c>
      <c r="Z266" s="298">
        <v>52</v>
      </c>
      <c r="AA266" s="299">
        <v>855</v>
      </c>
      <c r="AB266" s="299">
        <v>257</v>
      </c>
      <c r="AC266" s="301">
        <v>77.999999998269999</v>
      </c>
      <c r="AD266" s="301">
        <v>1538398.3090074707</v>
      </c>
      <c r="AE266" s="126"/>
      <c r="AF266" s="298"/>
      <c r="AG266" s="299"/>
      <c r="AH266" s="299"/>
      <c r="AI266" s="301"/>
      <c r="AJ266" s="301"/>
      <c r="AK266" s="426"/>
      <c r="AL266" s="298"/>
      <c r="AM266" s="299"/>
      <c r="AN266" s="299"/>
      <c r="AO266" s="301"/>
      <c r="AP266" s="301"/>
      <c r="AQ266" s="426"/>
      <c r="AR266" s="298"/>
      <c r="AS266" s="299"/>
      <c r="AT266" s="299"/>
      <c r="AU266" s="301"/>
      <c r="AV266" s="301"/>
      <c r="AW266" s="88"/>
      <c r="AX266" s="298"/>
      <c r="AY266" s="299"/>
      <c r="AZ266" s="299"/>
      <c r="BA266" s="301"/>
      <c r="BB266" s="301"/>
      <c r="BC266" s="426"/>
      <c r="BD266" s="298"/>
      <c r="BE266" s="299"/>
      <c r="BF266" s="299"/>
      <c r="BG266" s="301"/>
      <c r="BH266" s="301"/>
      <c r="BI266" s="88"/>
      <c r="BJ266" s="298"/>
      <c r="BK266" s="299"/>
      <c r="BL266" s="299"/>
      <c r="BM266" s="301"/>
      <c r="BN266" s="301"/>
      <c r="BO266" s="88"/>
      <c r="BP266" s="9"/>
      <c r="BS266" s="81"/>
      <c r="BT266" s="81"/>
      <c r="BV266" s="9"/>
      <c r="BY266" s="81"/>
      <c r="BZ266" s="81"/>
      <c r="CB266" s="9"/>
      <c r="CE266" s="81"/>
      <c r="CF266" s="81"/>
      <c r="CH266" s="9"/>
      <c r="CK266" s="81"/>
      <c r="CL266" s="81"/>
      <c r="CR266" s="9"/>
      <c r="CS266" s="9"/>
      <c r="CT266" s="9"/>
      <c r="CU266" s="9"/>
      <c r="CV266" s="9"/>
      <c r="CW266" s="129"/>
      <c r="CX266" s="9"/>
    </row>
    <row r="267" spans="1:102">
      <c r="A267" s="6" t="str">
        <f t="shared" si="41"/>
        <v>00520998</v>
      </c>
      <c r="B267" s="6" t="s">
        <v>1702</v>
      </c>
      <c r="C267" s="6" t="s">
        <v>2091</v>
      </c>
      <c r="D267" s="6">
        <v>258</v>
      </c>
      <c r="E267" s="6">
        <v>52</v>
      </c>
      <c r="F267" s="6" t="s">
        <v>1547</v>
      </c>
      <c r="G267" s="6">
        <v>998</v>
      </c>
      <c r="H267" s="6" t="s">
        <v>1547</v>
      </c>
      <c r="I267" s="33">
        <v>0</v>
      </c>
      <c r="J267" s="88">
        <v>0</v>
      </c>
      <c r="K267" s="89">
        <f t="shared" si="40"/>
        <v>0</v>
      </c>
      <c r="L267" s="88">
        <f>IF(K269&gt;0, K267/K269, 0)</f>
        <v>0</v>
      </c>
      <c r="M267" s="58"/>
      <c r="N267" s="9">
        <f>ROUND(M269*L267,0)</f>
        <v>0</v>
      </c>
      <c r="O267" s="9">
        <v>0</v>
      </c>
      <c r="P267" s="9">
        <f>N267-O267</f>
        <v>0</v>
      </c>
      <c r="Q267" s="40">
        <f t="shared" si="39"/>
        <v>0</v>
      </c>
      <c r="R267" s="9">
        <v>0</v>
      </c>
      <c r="S267" s="9">
        <f t="shared" ref="S267:S330" si="47">W267</f>
        <v>0</v>
      </c>
      <c r="T267" s="90">
        <f t="shared" si="42"/>
        <v>52</v>
      </c>
      <c r="U267" s="90">
        <f t="shared" si="43"/>
        <v>998</v>
      </c>
      <c r="V267" s="373">
        <f t="shared" si="44"/>
        <v>258</v>
      </c>
      <c r="W267" s="90">
        <f t="shared" si="45"/>
        <v>0</v>
      </c>
      <c r="X267" s="90">
        <f t="shared" si="46"/>
        <v>0</v>
      </c>
      <c r="Y267" s="141">
        <f t="shared" ref="Y267:Y330" si="48">D267</f>
        <v>258</v>
      </c>
      <c r="Z267" s="298">
        <v>52</v>
      </c>
      <c r="AA267" s="299">
        <v>998</v>
      </c>
      <c r="AB267" s="299">
        <v>258</v>
      </c>
      <c r="AC267" s="301">
        <v>0</v>
      </c>
      <c r="AD267" s="301">
        <v>0</v>
      </c>
      <c r="AE267" s="126"/>
      <c r="AF267" s="298"/>
      <c r="AG267" s="299"/>
      <c r="AH267" s="299"/>
      <c r="AI267" s="301"/>
      <c r="AJ267" s="301"/>
      <c r="AK267" s="426"/>
      <c r="AL267" s="298"/>
      <c r="AM267" s="299"/>
      <c r="AN267" s="299"/>
      <c r="AO267" s="301"/>
      <c r="AP267" s="301"/>
      <c r="AQ267" s="426"/>
      <c r="AR267" s="298"/>
      <c r="AS267" s="299"/>
      <c r="AT267" s="299"/>
      <c r="AU267" s="301"/>
      <c r="AV267" s="301"/>
      <c r="AW267" s="88"/>
      <c r="AX267" s="298"/>
      <c r="AY267" s="299"/>
      <c r="AZ267" s="299"/>
      <c r="BA267" s="301"/>
      <c r="BB267" s="301"/>
      <c r="BC267" s="426"/>
      <c r="BD267" s="298"/>
      <c r="BE267" s="299"/>
      <c r="BF267" s="299"/>
      <c r="BG267" s="301"/>
      <c r="BH267" s="301"/>
      <c r="BI267" s="88"/>
      <c r="BJ267" s="298"/>
      <c r="BK267" s="299"/>
      <c r="BL267" s="299"/>
      <c r="BM267" s="301"/>
      <c r="BN267" s="301"/>
      <c r="BO267" s="88"/>
      <c r="BP267" s="9"/>
      <c r="BS267" s="81"/>
      <c r="BT267" s="81"/>
      <c r="BV267" s="9"/>
      <c r="BY267" s="81"/>
      <c r="BZ267" s="81"/>
      <c r="CB267" s="9"/>
      <c r="CE267" s="81"/>
      <c r="CF267" s="81"/>
      <c r="CH267" s="9"/>
      <c r="CK267" s="81"/>
      <c r="CL267" s="81"/>
      <c r="CR267" s="9"/>
      <c r="CS267" s="9"/>
      <c r="CT267" s="9"/>
      <c r="CU267" s="9"/>
      <c r="CV267" s="9"/>
      <c r="CW267" s="129"/>
      <c r="CX267" s="9"/>
    </row>
    <row r="268" spans="1:102">
      <c r="A268" s="6" t="str">
        <f t="shared" si="41"/>
        <v>00520998</v>
      </c>
      <c r="B268" s="6" t="s">
        <v>1702</v>
      </c>
      <c r="C268" s="6" t="s">
        <v>2091</v>
      </c>
      <c r="D268" s="6">
        <v>259</v>
      </c>
      <c r="E268" s="6">
        <v>52</v>
      </c>
      <c r="F268" s="6" t="s">
        <v>1547</v>
      </c>
      <c r="G268" s="6">
        <v>998</v>
      </c>
      <c r="H268" s="6" t="s">
        <v>1547</v>
      </c>
      <c r="I268" s="33">
        <v>0</v>
      </c>
      <c r="J268" s="88">
        <v>0</v>
      </c>
      <c r="K268" s="89">
        <f t="shared" si="40"/>
        <v>0</v>
      </c>
      <c r="L268" s="88">
        <f>IF(K269&gt;0, K268/K269, 0)</f>
        <v>0</v>
      </c>
      <c r="M268" s="58"/>
      <c r="N268" s="9">
        <f>ROUND(M269*L268,0)</f>
        <v>0</v>
      </c>
      <c r="O268" s="9">
        <v>0</v>
      </c>
      <c r="P268" s="9">
        <f>N268-O268</f>
        <v>0</v>
      </c>
      <c r="Q268" s="40">
        <f t="shared" si="39"/>
        <v>0</v>
      </c>
      <c r="R268" s="9">
        <v>0</v>
      </c>
      <c r="S268" s="9">
        <f t="shared" si="47"/>
        <v>0</v>
      </c>
      <c r="T268" s="90">
        <f t="shared" si="42"/>
        <v>52</v>
      </c>
      <c r="U268" s="90">
        <f t="shared" si="43"/>
        <v>998</v>
      </c>
      <c r="V268" s="373">
        <f t="shared" si="44"/>
        <v>259</v>
      </c>
      <c r="W268" s="90">
        <f t="shared" si="45"/>
        <v>0</v>
      </c>
      <c r="X268" s="90">
        <f t="shared" si="46"/>
        <v>0</v>
      </c>
      <c r="Y268" s="141">
        <f t="shared" si="48"/>
        <v>259</v>
      </c>
      <c r="Z268" s="298">
        <v>52</v>
      </c>
      <c r="AA268" s="299">
        <v>998</v>
      </c>
      <c r="AB268" s="299">
        <v>259</v>
      </c>
      <c r="AC268" s="301">
        <v>0</v>
      </c>
      <c r="AD268" s="301">
        <v>0</v>
      </c>
      <c r="AE268" s="126"/>
      <c r="AF268" s="298"/>
      <c r="AG268" s="299"/>
      <c r="AH268" s="299"/>
      <c r="AI268" s="301"/>
      <c r="AJ268" s="301"/>
      <c r="AK268" s="426"/>
      <c r="AL268" s="298"/>
      <c r="AM268" s="299"/>
      <c r="AN268" s="299"/>
      <c r="AO268" s="301"/>
      <c r="AP268" s="301"/>
      <c r="AQ268" s="426"/>
      <c r="AR268" s="298"/>
      <c r="AS268" s="299"/>
      <c r="AT268" s="299"/>
      <c r="AU268" s="301"/>
      <c r="AV268" s="301"/>
      <c r="AW268" s="88"/>
      <c r="AX268" s="298"/>
      <c r="AY268" s="299"/>
      <c r="AZ268" s="299"/>
      <c r="BA268" s="301"/>
      <c r="BB268" s="301"/>
      <c r="BC268" s="426"/>
      <c r="BD268" s="298"/>
      <c r="BE268" s="299"/>
      <c r="BF268" s="299"/>
      <c r="BG268" s="301"/>
      <c r="BH268" s="301"/>
      <c r="BI268" s="88"/>
      <c r="BJ268" s="298"/>
      <c r="BK268" s="299"/>
      <c r="BL268" s="299"/>
      <c r="BM268" s="301"/>
      <c r="BN268" s="301"/>
      <c r="BO268" s="88"/>
      <c r="BP268" s="9"/>
      <c r="BS268" s="81"/>
      <c r="BT268" s="81"/>
      <c r="BV268" s="9"/>
      <c r="BY268" s="81"/>
      <c r="BZ268" s="81"/>
      <c r="CB268" s="9"/>
      <c r="CE268" s="81"/>
      <c r="CF268" s="81"/>
      <c r="CH268" s="9"/>
      <c r="CK268" s="81"/>
      <c r="CL268" s="81"/>
      <c r="CR268" s="9"/>
      <c r="CS268" s="9"/>
      <c r="CT268" s="9"/>
      <c r="CU268" s="9"/>
      <c r="CV268" s="9"/>
      <c r="CW268" s="129"/>
      <c r="CX268" s="9"/>
    </row>
    <row r="269" spans="1:102">
      <c r="A269" s="6" t="str">
        <f t="shared" si="41"/>
        <v>00520999</v>
      </c>
      <c r="B269" s="6" t="s">
        <v>1702</v>
      </c>
      <c r="C269" s="6" t="s">
        <v>2092</v>
      </c>
      <c r="D269" s="6">
        <v>260</v>
      </c>
      <c r="E269" s="10">
        <v>52</v>
      </c>
      <c r="F269" s="10" t="s">
        <v>1171</v>
      </c>
      <c r="G269" s="10">
        <v>999</v>
      </c>
      <c r="H269" s="10" t="s">
        <v>593</v>
      </c>
      <c r="I269" s="92">
        <v>23032111.028138038</v>
      </c>
      <c r="J269" s="472">
        <v>0.99999999999999989</v>
      </c>
      <c r="K269" s="53">
        <f>SUM(K265:K268)</f>
        <v>22497080.085567471</v>
      </c>
      <c r="L269" s="91">
        <f>SUM(L265:L268)</f>
        <v>1</v>
      </c>
      <c r="M269" s="79">
        <f>VLOOKUP(E269,town351,24)</f>
        <v>12252390</v>
      </c>
      <c r="N269" s="79">
        <f>SUM(N265:N268)</f>
        <v>12252390</v>
      </c>
      <c r="O269" s="79">
        <v>11709088</v>
      </c>
      <c r="P269" s="79">
        <f>SUM(P265:P268)</f>
        <v>543302</v>
      </c>
      <c r="Q269" s="39">
        <f t="shared" si="39"/>
        <v>4.6400027055907342</v>
      </c>
      <c r="R269" s="9">
        <v>1625.0000000018399</v>
      </c>
      <c r="S269" s="9">
        <f t="shared" si="47"/>
        <v>1578.9999999982699</v>
      </c>
      <c r="T269" s="90">
        <f t="shared" si="42"/>
        <v>52</v>
      </c>
      <c r="U269" s="90">
        <f t="shared" si="43"/>
        <v>999</v>
      </c>
      <c r="V269" s="373">
        <f t="shared" si="44"/>
        <v>260</v>
      </c>
      <c r="W269" s="90">
        <f t="shared" si="45"/>
        <v>1578.9999999982699</v>
      </c>
      <c r="X269" s="90">
        <f t="shared" si="46"/>
        <v>22497080.085567471</v>
      </c>
      <c r="Y269" s="141">
        <f t="shared" si="48"/>
        <v>260</v>
      </c>
      <c r="Z269" s="298">
        <v>52</v>
      </c>
      <c r="AA269" s="299">
        <v>999</v>
      </c>
      <c r="AB269" s="299">
        <v>260</v>
      </c>
      <c r="AC269" s="301">
        <v>1578.9999999982699</v>
      </c>
      <c r="AD269" s="301">
        <v>22497080.085567471</v>
      </c>
      <c r="AE269" s="126"/>
      <c r="AF269" s="298"/>
      <c r="AG269" s="299"/>
      <c r="AH269" s="299"/>
      <c r="AI269" s="301"/>
      <c r="AJ269" s="301"/>
      <c r="AK269" s="426"/>
      <c r="AL269" s="298"/>
      <c r="AM269" s="299"/>
      <c r="AN269" s="299"/>
      <c r="AO269" s="301"/>
      <c r="AP269" s="301"/>
      <c r="AQ269" s="426"/>
      <c r="AR269" s="298"/>
      <c r="AS269" s="299"/>
      <c r="AT269" s="299"/>
      <c r="AU269" s="301"/>
      <c r="AV269" s="301"/>
      <c r="AW269" s="91"/>
      <c r="AX269" s="298"/>
      <c r="AY269" s="299"/>
      <c r="AZ269" s="299"/>
      <c r="BA269" s="301"/>
      <c r="BB269" s="301"/>
      <c r="BC269" s="426"/>
      <c r="BD269" s="298"/>
      <c r="BE269" s="299"/>
      <c r="BF269" s="299"/>
      <c r="BG269" s="301"/>
      <c r="BH269" s="301"/>
      <c r="BI269" s="91"/>
      <c r="BJ269" s="298"/>
      <c r="BK269" s="299"/>
      <c r="BL269" s="299"/>
      <c r="BM269" s="301"/>
      <c r="BN269" s="301"/>
      <c r="BO269" s="91"/>
      <c r="BP269" s="9"/>
      <c r="BS269" s="81"/>
      <c r="BT269" s="81"/>
      <c r="BV269" s="9"/>
      <c r="BY269" s="81"/>
      <c r="BZ269" s="81"/>
      <c r="CB269" s="9"/>
      <c r="CE269" s="81"/>
      <c r="CF269" s="81"/>
      <c r="CH269" s="9"/>
      <c r="CK269" s="81"/>
      <c r="CL269" s="81"/>
      <c r="CR269" s="9"/>
      <c r="CS269" s="9"/>
      <c r="CT269" s="9"/>
      <c r="CU269" s="9"/>
      <c r="CV269" s="9"/>
      <c r="CW269" s="129"/>
      <c r="CX269" s="9"/>
    </row>
    <row r="270" spans="1:102">
      <c r="A270" s="6" t="str">
        <f t="shared" si="41"/>
        <v>00530053</v>
      </c>
      <c r="B270" s="6" t="s">
        <v>1703</v>
      </c>
      <c r="C270" s="6" t="s">
        <v>1703</v>
      </c>
      <c r="D270" s="6">
        <v>261</v>
      </c>
      <c r="E270" s="6">
        <v>53</v>
      </c>
      <c r="F270" s="6" t="s">
        <v>1172</v>
      </c>
      <c r="G270" s="6">
        <v>53</v>
      </c>
      <c r="H270" s="6" t="s">
        <v>734</v>
      </c>
      <c r="I270" s="33">
        <v>131926.08000000002</v>
      </c>
      <c r="J270" s="88">
        <v>6.9146702891909342E-2</v>
      </c>
      <c r="K270" s="89">
        <f>X270</f>
        <v>216797.25000000006</v>
      </c>
      <c r="L270" s="88">
        <f>IF(K274&gt;0, K270/K274, 0)</f>
        <v>0.11786971336620586</v>
      </c>
      <c r="M270" s="58"/>
      <c r="N270" s="9">
        <f>ROUND(M274*L270,0)</f>
        <v>121733</v>
      </c>
      <c r="O270" s="9">
        <v>67011</v>
      </c>
      <c r="P270" s="9">
        <f>N270-O270</f>
        <v>54722</v>
      </c>
      <c r="Q270" s="40">
        <f t="shared" si="39"/>
        <v>81.661219799734369</v>
      </c>
      <c r="R270" s="9">
        <v>8</v>
      </c>
      <c r="S270" s="9">
        <f t="shared" si="47"/>
        <v>11</v>
      </c>
      <c r="T270" s="90">
        <f t="shared" si="42"/>
        <v>53</v>
      </c>
      <c r="U270" s="90">
        <f t="shared" si="43"/>
        <v>53</v>
      </c>
      <c r="V270" s="373">
        <f t="shared" si="44"/>
        <v>261</v>
      </c>
      <c r="W270" s="90">
        <f t="shared" si="45"/>
        <v>11</v>
      </c>
      <c r="X270" s="90">
        <f t="shared" si="46"/>
        <v>216797.25000000006</v>
      </c>
      <c r="Y270" s="141">
        <f t="shared" si="48"/>
        <v>261</v>
      </c>
      <c r="Z270" s="298">
        <v>53</v>
      </c>
      <c r="AA270" s="299">
        <v>53</v>
      </c>
      <c r="AB270" s="299">
        <v>261</v>
      </c>
      <c r="AC270" s="301">
        <v>11</v>
      </c>
      <c r="AD270" s="301">
        <v>216797.25000000006</v>
      </c>
      <c r="AE270" s="126"/>
      <c r="AF270" s="298"/>
      <c r="AG270" s="299"/>
      <c r="AH270" s="299"/>
      <c r="AI270" s="301"/>
      <c r="AJ270" s="301"/>
      <c r="AK270" s="426"/>
      <c r="AL270" s="298"/>
      <c r="AM270" s="299"/>
      <c r="AN270" s="299"/>
      <c r="AO270" s="301"/>
      <c r="AP270" s="301"/>
      <c r="AQ270" s="426"/>
      <c r="AR270" s="298"/>
      <c r="AS270" s="299"/>
      <c r="AT270" s="299"/>
      <c r="AU270" s="301"/>
      <c r="AV270" s="301"/>
      <c r="AW270" s="88"/>
      <c r="AX270" s="298"/>
      <c r="AY270" s="299"/>
      <c r="AZ270" s="299"/>
      <c r="BA270" s="301"/>
      <c r="BB270" s="301"/>
      <c r="BC270" s="426"/>
      <c r="BD270" s="298"/>
      <c r="BE270" s="299"/>
      <c r="BF270" s="299"/>
      <c r="BG270" s="301"/>
      <c r="BH270" s="301"/>
      <c r="BI270" s="88"/>
      <c r="BJ270" s="298"/>
      <c r="BK270" s="299"/>
      <c r="BL270" s="299"/>
      <c r="BM270" s="301"/>
      <c r="BN270" s="301"/>
      <c r="BO270" s="88"/>
      <c r="BP270" s="9"/>
      <c r="BS270" s="81"/>
      <c r="BT270" s="81"/>
      <c r="BV270" s="9"/>
      <c r="BY270" s="81"/>
      <c r="BZ270" s="81"/>
      <c r="CB270" s="9"/>
      <c r="CE270" s="81"/>
      <c r="CF270" s="81"/>
      <c r="CH270" s="9"/>
      <c r="CK270" s="81"/>
      <c r="CL270" s="81"/>
      <c r="CR270" s="9"/>
      <c r="CS270" s="9"/>
      <c r="CT270" s="9"/>
      <c r="CU270" s="9"/>
      <c r="CV270" s="9"/>
      <c r="CW270" s="129"/>
      <c r="CX270" s="9"/>
    </row>
    <row r="271" spans="1:102">
      <c r="A271" s="6" t="str">
        <f t="shared" si="41"/>
        <v>00530685</v>
      </c>
      <c r="B271" s="6" t="s">
        <v>1703</v>
      </c>
      <c r="C271" s="6" t="s">
        <v>2031</v>
      </c>
      <c r="D271" s="6">
        <v>262</v>
      </c>
      <c r="E271" s="6">
        <v>53</v>
      </c>
      <c r="F271" s="6" t="s">
        <v>1172</v>
      </c>
      <c r="G271" s="6">
        <v>685</v>
      </c>
      <c r="H271" s="6" t="s">
        <v>1061</v>
      </c>
      <c r="I271" s="33">
        <v>1179155.413781614</v>
      </c>
      <c r="J271" s="88">
        <v>0.61803328849112837</v>
      </c>
      <c r="K271" s="89">
        <f t="shared" si="40"/>
        <v>1022791.7525000001</v>
      </c>
      <c r="L271" s="88">
        <f>IF(K274&gt;0, K271/K274, 0)</f>
        <v>0.55607795163681428</v>
      </c>
      <c r="M271" s="58"/>
      <c r="N271" s="9">
        <f>ROUND(M274*L271,0)</f>
        <v>574305</v>
      </c>
      <c r="O271" s="9">
        <v>598941</v>
      </c>
      <c r="P271" s="9">
        <f>N271-O271</f>
        <v>-24636</v>
      </c>
      <c r="Q271" s="40">
        <f t="shared" si="39"/>
        <v>-4.1132599037300839</v>
      </c>
      <c r="R271" s="9">
        <v>79.795918367759995</v>
      </c>
      <c r="S271" s="9">
        <f t="shared" si="47"/>
        <v>70.875</v>
      </c>
      <c r="T271" s="90">
        <f t="shared" si="42"/>
        <v>53</v>
      </c>
      <c r="U271" s="90">
        <f t="shared" si="43"/>
        <v>685</v>
      </c>
      <c r="V271" s="373">
        <f t="shared" si="44"/>
        <v>262</v>
      </c>
      <c r="W271" s="90">
        <f t="shared" si="45"/>
        <v>70.875</v>
      </c>
      <c r="X271" s="90">
        <f t="shared" si="46"/>
        <v>1022791.7525000001</v>
      </c>
      <c r="Y271" s="141">
        <f t="shared" si="48"/>
        <v>262</v>
      </c>
      <c r="Z271" s="298">
        <v>53</v>
      </c>
      <c r="AA271" s="299">
        <v>685</v>
      </c>
      <c r="AB271" s="299">
        <v>262</v>
      </c>
      <c r="AC271" s="301">
        <v>70.875</v>
      </c>
      <c r="AD271" s="301">
        <v>1022791.7525000001</v>
      </c>
      <c r="AE271" s="126"/>
      <c r="AF271" s="298"/>
      <c r="AG271" s="299"/>
      <c r="AH271" s="299"/>
      <c r="AI271" s="301"/>
      <c r="AJ271" s="301"/>
      <c r="AK271" s="426"/>
      <c r="AL271" s="298"/>
      <c r="AM271" s="299"/>
      <c r="AN271" s="299"/>
      <c r="AO271" s="301"/>
      <c r="AP271" s="301"/>
      <c r="AQ271" s="426"/>
      <c r="AR271" s="298"/>
      <c r="AS271" s="299"/>
      <c r="AT271" s="299"/>
      <c r="AU271" s="301"/>
      <c r="AV271" s="301"/>
      <c r="AW271" s="88"/>
      <c r="AX271" s="298"/>
      <c r="AY271" s="299"/>
      <c r="AZ271" s="299"/>
      <c r="BA271" s="301"/>
      <c r="BB271" s="301"/>
      <c r="BC271" s="426"/>
      <c r="BD271" s="298"/>
      <c r="BE271" s="299"/>
      <c r="BF271" s="299"/>
      <c r="BG271" s="301"/>
      <c r="BH271" s="301"/>
      <c r="BI271" s="88"/>
      <c r="BJ271" s="298"/>
      <c r="BK271" s="299"/>
      <c r="BL271" s="299"/>
      <c r="BM271" s="301"/>
      <c r="BN271" s="301"/>
      <c r="BO271" s="88"/>
      <c r="BP271" s="9"/>
      <c r="BS271" s="81"/>
      <c r="BT271" s="81"/>
      <c r="BV271" s="9"/>
      <c r="BY271" s="81"/>
      <c r="BZ271" s="81"/>
      <c r="CB271" s="9"/>
      <c r="CE271" s="81"/>
      <c r="CF271" s="81"/>
      <c r="CH271" s="9"/>
      <c r="CK271" s="81"/>
      <c r="CL271" s="81"/>
      <c r="CR271" s="9"/>
      <c r="CS271" s="9"/>
      <c r="CT271" s="9"/>
      <c r="CU271" s="9"/>
      <c r="CV271" s="9"/>
      <c r="CW271" s="129"/>
      <c r="CX271" s="9"/>
    </row>
    <row r="272" spans="1:102">
      <c r="A272" s="6" t="str">
        <f t="shared" si="41"/>
        <v>00530717</v>
      </c>
      <c r="B272" s="6" t="s">
        <v>1703</v>
      </c>
      <c r="C272" s="6" t="s">
        <v>2040</v>
      </c>
      <c r="D272" s="6">
        <v>263</v>
      </c>
      <c r="E272" s="6">
        <v>53</v>
      </c>
      <c r="F272" s="6" t="s">
        <v>1172</v>
      </c>
      <c r="G272" s="6">
        <v>717</v>
      </c>
      <c r="H272" s="6" t="s">
        <v>1070</v>
      </c>
      <c r="I272" s="33">
        <v>596834.20548502891</v>
      </c>
      <c r="J272" s="88">
        <v>0.3128200086169623</v>
      </c>
      <c r="K272" s="89">
        <f t="shared" si="40"/>
        <v>599706.63849676063</v>
      </c>
      <c r="L272" s="88">
        <f>IF(K274&gt;0, K272/K274, 0)</f>
        <v>0.32605233499697989</v>
      </c>
      <c r="M272" s="58"/>
      <c r="N272" s="9">
        <f>ROUND(M274*L272,0)</f>
        <v>336740</v>
      </c>
      <c r="O272" s="9">
        <v>303156</v>
      </c>
      <c r="P272" s="9">
        <f>N272-O272</f>
        <v>33584</v>
      </c>
      <c r="Q272" s="40">
        <f>IF(O272&gt;0,P272*100/O272,IF(P272&gt;0,100,0))</f>
        <v>11.078124793835517</v>
      </c>
      <c r="R272" s="9">
        <v>41.479268292489998</v>
      </c>
      <c r="S272" s="9">
        <f t="shared" si="47"/>
        <v>39.776119406399999</v>
      </c>
      <c r="T272" s="90">
        <f t="shared" si="42"/>
        <v>53</v>
      </c>
      <c r="U272" s="90">
        <f t="shared" si="43"/>
        <v>717</v>
      </c>
      <c r="V272" s="373">
        <f t="shared" si="44"/>
        <v>263</v>
      </c>
      <c r="W272" s="90">
        <f t="shared" si="45"/>
        <v>39.776119406399999</v>
      </c>
      <c r="X272" s="90">
        <f t="shared" si="46"/>
        <v>599706.63849676063</v>
      </c>
      <c r="Y272" s="141">
        <f t="shared" si="48"/>
        <v>263</v>
      </c>
      <c r="Z272" s="298">
        <v>53</v>
      </c>
      <c r="AA272" s="299">
        <v>717</v>
      </c>
      <c r="AB272" s="299">
        <v>263</v>
      </c>
      <c r="AC272" s="301">
        <v>39.776119406399999</v>
      </c>
      <c r="AD272" s="301">
        <v>599706.63849676063</v>
      </c>
      <c r="AE272" s="126"/>
      <c r="AF272" s="298"/>
      <c r="AG272" s="299"/>
      <c r="AH272" s="299"/>
      <c r="AI272" s="301"/>
      <c r="AJ272" s="301"/>
      <c r="AK272" s="426"/>
      <c r="AL272" s="298"/>
      <c r="AM272" s="299"/>
      <c r="AN272" s="299"/>
      <c r="AO272" s="301"/>
      <c r="AP272" s="301"/>
      <c r="AQ272" s="426"/>
      <c r="AR272" s="298"/>
      <c r="AS272" s="299"/>
      <c r="AT272" s="299"/>
      <c r="AU272" s="301"/>
      <c r="AV272" s="301"/>
      <c r="AW272" s="88"/>
      <c r="AX272" s="298"/>
      <c r="AY272" s="299"/>
      <c r="AZ272" s="299"/>
      <c r="BA272" s="301"/>
      <c r="BB272" s="301"/>
      <c r="BC272" s="426"/>
      <c r="BD272" s="298"/>
      <c r="BE272" s="299"/>
      <c r="BF272" s="299"/>
      <c r="BG272" s="301"/>
      <c r="BH272" s="301"/>
      <c r="BI272" s="88"/>
      <c r="BJ272" s="298"/>
      <c r="BK272" s="299"/>
      <c r="BL272" s="299"/>
      <c r="BM272" s="301"/>
      <c r="BN272" s="301"/>
      <c r="BO272" s="88"/>
      <c r="BP272" s="9"/>
      <c r="BS272" s="81"/>
      <c r="BT272" s="81"/>
      <c r="BV272" s="9"/>
      <c r="BY272" s="81"/>
      <c r="BZ272" s="81"/>
      <c r="CB272" s="9"/>
      <c r="CE272" s="81"/>
      <c r="CF272" s="81"/>
      <c r="CH272" s="9"/>
      <c r="CK272" s="81"/>
      <c r="CL272" s="81"/>
      <c r="CR272" s="9"/>
      <c r="CS272" s="9"/>
      <c r="CT272" s="9"/>
      <c r="CU272" s="9"/>
      <c r="CV272" s="9"/>
      <c r="CW272" s="129"/>
      <c r="CX272" s="9"/>
    </row>
    <row r="273" spans="1:102">
      <c r="A273" s="6" t="str">
        <f t="shared" si="41"/>
        <v>00530998</v>
      </c>
      <c r="B273" s="6" t="s">
        <v>1703</v>
      </c>
      <c r="C273" s="6" t="s">
        <v>2091</v>
      </c>
      <c r="D273" s="6">
        <v>264</v>
      </c>
      <c r="E273" s="6">
        <v>53</v>
      </c>
      <c r="F273" s="6" t="s">
        <v>1547</v>
      </c>
      <c r="G273" s="6">
        <v>998</v>
      </c>
      <c r="H273" s="6" t="s">
        <v>1547</v>
      </c>
      <c r="I273" s="33">
        <v>0</v>
      </c>
      <c r="J273" s="88">
        <v>0</v>
      </c>
      <c r="K273" s="89">
        <f t="shared" si="40"/>
        <v>0</v>
      </c>
      <c r="L273" s="88">
        <f>IF(K274&gt;0, K273/K274, 0)</f>
        <v>0</v>
      </c>
      <c r="M273" s="58"/>
      <c r="N273" s="9">
        <f>ROUND(M274*L273,0)</f>
        <v>0</v>
      </c>
      <c r="O273" s="9">
        <v>0</v>
      </c>
      <c r="P273" s="9">
        <f>N273-O273</f>
        <v>0</v>
      </c>
      <c r="Q273" s="40">
        <f>IF(O273&gt;0,P273*100/O273,IF(P273&gt;0,100,0))</f>
        <v>0</v>
      </c>
      <c r="R273" s="9">
        <v>0</v>
      </c>
      <c r="S273" s="9">
        <f t="shared" si="47"/>
        <v>0</v>
      </c>
      <c r="T273" s="90">
        <f t="shared" si="42"/>
        <v>53</v>
      </c>
      <c r="U273" s="90">
        <f t="shared" si="43"/>
        <v>998</v>
      </c>
      <c r="V273" s="373">
        <f t="shared" si="44"/>
        <v>264</v>
      </c>
      <c r="W273" s="90">
        <f t="shared" si="45"/>
        <v>0</v>
      </c>
      <c r="X273" s="90">
        <f t="shared" si="46"/>
        <v>0</v>
      </c>
      <c r="Y273" s="141">
        <f t="shared" si="48"/>
        <v>264</v>
      </c>
      <c r="Z273" s="298">
        <v>53</v>
      </c>
      <c r="AA273" s="299">
        <v>998</v>
      </c>
      <c r="AB273" s="299">
        <v>264</v>
      </c>
      <c r="AC273" s="301">
        <v>0</v>
      </c>
      <c r="AD273" s="301">
        <v>0</v>
      </c>
      <c r="AE273" s="126"/>
      <c r="AF273" s="298"/>
      <c r="AG273" s="299"/>
      <c r="AH273" s="299"/>
      <c r="AI273" s="301"/>
      <c r="AJ273" s="301"/>
      <c r="AK273" s="426"/>
      <c r="AL273" s="298"/>
      <c r="AM273" s="299"/>
      <c r="AN273" s="299"/>
      <c r="AO273" s="301"/>
      <c r="AP273" s="301"/>
      <c r="AQ273" s="426"/>
      <c r="AR273" s="298"/>
      <c r="AS273" s="299"/>
      <c r="AT273" s="299"/>
      <c r="AU273" s="301"/>
      <c r="AV273" s="301"/>
      <c r="AW273" s="88"/>
      <c r="AX273" s="298"/>
      <c r="AY273" s="299"/>
      <c r="AZ273" s="299"/>
      <c r="BA273" s="301"/>
      <c r="BB273" s="301"/>
      <c r="BC273" s="426"/>
      <c r="BD273" s="298"/>
      <c r="BE273" s="299"/>
      <c r="BF273" s="299"/>
      <c r="BG273" s="301"/>
      <c r="BH273" s="301"/>
      <c r="BI273" s="88"/>
      <c r="BJ273" s="298"/>
      <c r="BK273" s="299"/>
      <c r="BL273" s="299"/>
      <c r="BM273" s="301"/>
      <c r="BN273" s="301"/>
      <c r="BO273" s="88"/>
      <c r="BP273" s="9"/>
      <c r="BS273" s="81"/>
      <c r="BT273" s="81"/>
      <c r="BV273" s="9"/>
      <c r="BY273" s="81"/>
      <c r="BZ273" s="81"/>
      <c r="CB273" s="9"/>
      <c r="CE273" s="81"/>
      <c r="CF273" s="81"/>
      <c r="CH273" s="9"/>
      <c r="CK273" s="81"/>
      <c r="CL273" s="81"/>
      <c r="CR273" s="9"/>
      <c r="CS273" s="9"/>
      <c r="CT273" s="9"/>
      <c r="CU273" s="9"/>
      <c r="CV273" s="9"/>
      <c r="CW273" s="129"/>
      <c r="CX273" s="9"/>
    </row>
    <row r="274" spans="1:102">
      <c r="A274" s="6" t="str">
        <f t="shared" si="41"/>
        <v>00530999</v>
      </c>
      <c r="B274" s="6" t="s">
        <v>1703</v>
      </c>
      <c r="C274" s="6" t="s">
        <v>2092</v>
      </c>
      <c r="D274" s="6">
        <v>265</v>
      </c>
      <c r="E274" s="10">
        <v>53</v>
      </c>
      <c r="F274" s="10" t="s">
        <v>1172</v>
      </c>
      <c r="G274" s="10">
        <v>999</v>
      </c>
      <c r="H274" s="10" t="s">
        <v>593</v>
      </c>
      <c r="I274" s="92">
        <v>1907915.699266643</v>
      </c>
      <c r="J274" s="472">
        <v>1</v>
      </c>
      <c r="K274" s="53">
        <f>SUM(K270:K273)</f>
        <v>1839295.6409967607</v>
      </c>
      <c r="L274" s="91">
        <f>SUM(L270:L273)</f>
        <v>1</v>
      </c>
      <c r="M274" s="79">
        <f>VLOOKUP(E274,town351,24)</f>
        <v>1032778</v>
      </c>
      <c r="N274" s="79">
        <f>SUM(N270:N273)</f>
        <v>1032778</v>
      </c>
      <c r="O274" s="79">
        <v>969108</v>
      </c>
      <c r="P274" s="79">
        <f>SUM(P270:P273)</f>
        <v>63670</v>
      </c>
      <c r="Q274" s="39">
        <f t="shared" ref="Q274:Q335" si="49">IF(O274&gt;0,P274*100/O274,IF(P274&gt;0,100,0))</f>
        <v>6.569959178956319</v>
      </c>
      <c r="R274" s="9">
        <v>129.27518666025</v>
      </c>
      <c r="S274" s="9">
        <f t="shared" si="47"/>
        <v>121.6511194064</v>
      </c>
      <c r="T274" s="90">
        <f t="shared" si="42"/>
        <v>53</v>
      </c>
      <c r="U274" s="90">
        <f t="shared" si="43"/>
        <v>999</v>
      </c>
      <c r="V274" s="373">
        <f t="shared" si="44"/>
        <v>265</v>
      </c>
      <c r="W274" s="90">
        <f t="shared" si="45"/>
        <v>121.6511194064</v>
      </c>
      <c r="X274" s="90">
        <f t="shared" si="46"/>
        <v>1839295.6409967607</v>
      </c>
      <c r="Y274" s="141">
        <f t="shared" si="48"/>
        <v>265</v>
      </c>
      <c r="Z274" s="298">
        <v>53</v>
      </c>
      <c r="AA274" s="299">
        <v>999</v>
      </c>
      <c r="AB274" s="299">
        <v>265</v>
      </c>
      <c r="AC274" s="301">
        <v>121.6511194064</v>
      </c>
      <c r="AD274" s="301">
        <v>1839295.6409967607</v>
      </c>
      <c r="AE274" s="126"/>
      <c r="AF274" s="298"/>
      <c r="AG274" s="299"/>
      <c r="AH274" s="299"/>
      <c r="AI274" s="301"/>
      <c r="AJ274" s="301"/>
      <c r="AK274" s="426"/>
      <c r="AL274" s="298"/>
      <c r="AM274" s="299"/>
      <c r="AN274" s="299"/>
      <c r="AO274" s="301"/>
      <c r="AP274" s="301"/>
      <c r="AQ274" s="426"/>
      <c r="AR274" s="298"/>
      <c r="AS274" s="299"/>
      <c r="AT274" s="299"/>
      <c r="AU274" s="301"/>
      <c r="AV274" s="301"/>
      <c r="AW274" s="91"/>
      <c r="AX274" s="298"/>
      <c r="AY274" s="299"/>
      <c r="AZ274" s="299"/>
      <c r="BA274" s="301"/>
      <c r="BB274" s="301"/>
      <c r="BC274" s="426"/>
      <c r="BD274" s="298"/>
      <c r="BE274" s="299"/>
      <c r="BF274" s="299"/>
      <c r="BG274" s="301"/>
      <c r="BH274" s="301"/>
      <c r="BI274" s="91"/>
      <c r="BJ274" s="298"/>
      <c r="BK274" s="299"/>
      <c r="BL274" s="299"/>
      <c r="BM274" s="301"/>
      <c r="BN274" s="301"/>
      <c r="BO274" s="91"/>
      <c r="BP274" s="9"/>
      <c r="BS274" s="81"/>
      <c r="BT274" s="81"/>
      <c r="BV274" s="9"/>
      <c r="BY274" s="81"/>
      <c r="BZ274" s="81"/>
      <c r="CB274" s="9"/>
      <c r="CE274" s="81"/>
      <c r="CF274" s="81"/>
      <c r="CH274" s="9"/>
      <c r="CK274" s="81"/>
      <c r="CL274" s="81"/>
      <c r="CR274" s="9"/>
      <c r="CS274" s="9"/>
      <c r="CT274" s="9"/>
      <c r="CU274" s="9"/>
      <c r="CV274" s="9"/>
      <c r="CW274" s="129"/>
      <c r="CX274" s="9"/>
    </row>
    <row r="275" spans="1:102">
      <c r="A275" s="6" t="str">
        <f t="shared" si="41"/>
        <v>00540054</v>
      </c>
      <c r="B275" s="6" t="s">
        <v>1704</v>
      </c>
      <c r="C275" s="6" t="s">
        <v>1704</v>
      </c>
      <c r="D275" s="6">
        <v>266</v>
      </c>
      <c r="E275" s="6">
        <v>54</v>
      </c>
      <c r="F275" s="6" t="s">
        <v>1173</v>
      </c>
      <c r="G275" s="6">
        <v>54</v>
      </c>
      <c r="H275" s="6" t="s">
        <v>735</v>
      </c>
      <c r="I275" s="33">
        <v>0</v>
      </c>
      <c r="J275" s="88">
        <v>0</v>
      </c>
      <c r="K275" s="89">
        <f t="shared" ref="K275:K338" si="50">X275</f>
        <v>0</v>
      </c>
      <c r="L275" s="88">
        <f>IF(K279&gt;0, K275/K279, 0)</f>
        <v>0</v>
      </c>
      <c r="M275" s="58"/>
      <c r="N275" s="9">
        <f>ROUND(M279*L275,0)</f>
        <v>0</v>
      </c>
      <c r="O275" s="9">
        <v>0</v>
      </c>
      <c r="P275" s="9">
        <f>N275-O275</f>
        <v>0</v>
      </c>
      <c r="Q275" s="40">
        <f t="shared" si="49"/>
        <v>0</v>
      </c>
      <c r="R275" s="9">
        <v>0</v>
      </c>
      <c r="S275" s="9">
        <f t="shared" si="47"/>
        <v>0</v>
      </c>
      <c r="T275" s="90">
        <f t="shared" si="42"/>
        <v>54</v>
      </c>
      <c r="U275" s="90">
        <f t="shared" si="43"/>
        <v>54</v>
      </c>
      <c r="V275" s="373">
        <f t="shared" si="44"/>
        <v>266</v>
      </c>
      <c r="W275" s="90">
        <f t="shared" si="45"/>
        <v>0</v>
      </c>
      <c r="X275" s="90">
        <f t="shared" si="46"/>
        <v>0</v>
      </c>
      <c r="Y275" s="141">
        <f t="shared" si="48"/>
        <v>266</v>
      </c>
      <c r="Z275" s="298">
        <v>54</v>
      </c>
      <c r="AA275" s="299">
        <v>54</v>
      </c>
      <c r="AB275" s="299">
        <v>266</v>
      </c>
      <c r="AC275" s="301">
        <v>0</v>
      </c>
      <c r="AD275" s="301">
        <v>0</v>
      </c>
      <c r="AE275" s="126"/>
      <c r="AF275" s="298"/>
      <c r="AG275" s="299"/>
      <c r="AH275" s="299"/>
      <c r="AI275" s="301"/>
      <c r="AJ275" s="301"/>
      <c r="AK275" s="426"/>
      <c r="AL275" s="298"/>
      <c r="AM275" s="299"/>
      <c r="AN275" s="299"/>
      <c r="AO275" s="301"/>
      <c r="AP275" s="301"/>
      <c r="AQ275" s="426"/>
      <c r="AR275" s="298"/>
      <c r="AS275" s="299"/>
      <c r="AT275" s="299"/>
      <c r="AU275" s="301"/>
      <c r="AV275" s="301"/>
      <c r="AW275" s="88"/>
      <c r="AX275" s="298"/>
      <c r="AY275" s="299"/>
      <c r="AZ275" s="299"/>
      <c r="BA275" s="301"/>
      <c r="BB275" s="301"/>
      <c r="BC275" s="426"/>
      <c r="BD275" s="298"/>
      <c r="BE275" s="299"/>
      <c r="BF275" s="299"/>
      <c r="BG275" s="301"/>
      <c r="BH275" s="301"/>
      <c r="BI275" s="88"/>
      <c r="BJ275" s="298"/>
      <c r="BK275" s="299"/>
      <c r="BL275" s="299"/>
      <c r="BM275" s="301"/>
      <c r="BN275" s="301"/>
      <c r="BO275" s="88"/>
      <c r="BP275" s="9"/>
      <c r="BS275" s="81"/>
      <c r="BT275" s="81"/>
      <c r="BV275" s="9"/>
      <c r="BY275" s="81"/>
      <c r="BZ275" s="81"/>
      <c r="CB275" s="9"/>
      <c r="CE275" s="81"/>
      <c r="CF275" s="81"/>
      <c r="CH275" s="9"/>
      <c r="CK275" s="81"/>
      <c r="CL275" s="81"/>
      <c r="CR275" s="9"/>
      <c r="CS275" s="9"/>
      <c r="CT275" s="9"/>
      <c r="CU275" s="9"/>
      <c r="CV275" s="9"/>
      <c r="CW275" s="129"/>
      <c r="CX275" s="9"/>
    </row>
    <row r="276" spans="1:102">
      <c r="A276" s="6" t="str">
        <f t="shared" si="41"/>
        <v>00540658</v>
      </c>
      <c r="B276" s="6" t="s">
        <v>1704</v>
      </c>
      <c r="C276" s="6" t="s">
        <v>2020</v>
      </c>
      <c r="D276" s="6">
        <v>267</v>
      </c>
      <c r="E276" s="6">
        <v>54</v>
      </c>
      <c r="F276" s="6" t="s">
        <v>1173</v>
      </c>
      <c r="G276" s="6">
        <v>658</v>
      </c>
      <c r="H276" s="6" t="s">
        <v>1050</v>
      </c>
      <c r="I276" s="33">
        <v>24022479.694616977</v>
      </c>
      <c r="J276" s="88">
        <v>0.84916609790503617</v>
      </c>
      <c r="K276" s="89">
        <f t="shared" si="50"/>
        <v>24885416.639302433</v>
      </c>
      <c r="L276" s="88">
        <f>IF(K279&gt;0, K276/K279, 0)</f>
        <v>0.86005677619785448</v>
      </c>
      <c r="M276" s="58"/>
      <c r="N276" s="9">
        <f>ROUND(M279*L276,0)</f>
        <v>13954607</v>
      </c>
      <c r="O276" s="9">
        <v>12737269</v>
      </c>
      <c r="P276" s="9">
        <f>N276-O276</f>
        <v>1217338</v>
      </c>
      <c r="Q276" s="40">
        <f t="shared" si="49"/>
        <v>9.5572920694381196</v>
      </c>
      <c r="R276" s="9">
        <v>1757.39017692275</v>
      </c>
      <c r="S276" s="9">
        <f t="shared" si="47"/>
        <v>1764.8418674802199</v>
      </c>
      <c r="T276" s="90">
        <f t="shared" si="42"/>
        <v>54</v>
      </c>
      <c r="U276" s="90">
        <f t="shared" si="43"/>
        <v>658</v>
      </c>
      <c r="V276" s="373">
        <f t="shared" si="44"/>
        <v>267</v>
      </c>
      <c r="W276" s="90">
        <f t="shared" si="45"/>
        <v>1764.8418674802199</v>
      </c>
      <c r="X276" s="90">
        <f t="shared" si="46"/>
        <v>24885416.639302433</v>
      </c>
      <c r="Y276" s="141">
        <f t="shared" si="48"/>
        <v>267</v>
      </c>
      <c r="Z276" s="298">
        <v>54</v>
      </c>
      <c r="AA276" s="299">
        <v>658</v>
      </c>
      <c r="AB276" s="299">
        <v>267</v>
      </c>
      <c r="AC276" s="301">
        <v>1764.8418674802199</v>
      </c>
      <c r="AD276" s="301">
        <v>24885416.639302433</v>
      </c>
      <c r="AE276" s="126"/>
      <c r="AF276" s="298"/>
      <c r="AG276" s="299"/>
      <c r="AH276" s="299"/>
      <c r="AI276" s="301"/>
      <c r="AJ276" s="301"/>
      <c r="AK276" s="426"/>
      <c r="AL276" s="298"/>
      <c r="AM276" s="299"/>
      <c r="AN276" s="299"/>
      <c r="AO276" s="301"/>
      <c r="AP276" s="301"/>
      <c r="AQ276" s="426"/>
      <c r="AR276" s="298"/>
      <c r="AS276" s="299"/>
      <c r="AT276" s="299"/>
      <c r="AU276" s="301"/>
      <c r="AV276" s="301"/>
      <c r="AW276" s="88"/>
      <c r="AX276" s="298"/>
      <c r="AY276" s="299"/>
      <c r="AZ276" s="299"/>
      <c r="BA276" s="301"/>
      <c r="BB276" s="301"/>
      <c r="BC276" s="426"/>
      <c r="BD276" s="298"/>
      <c r="BE276" s="299"/>
      <c r="BF276" s="299"/>
      <c r="BG276" s="301"/>
      <c r="BH276" s="301"/>
      <c r="BI276" s="88"/>
      <c r="BJ276" s="298"/>
      <c r="BK276" s="299"/>
      <c r="BL276" s="299"/>
      <c r="BM276" s="301"/>
      <c r="BN276" s="301"/>
      <c r="BO276" s="88"/>
      <c r="BP276" s="9"/>
      <c r="BS276" s="81"/>
      <c r="BT276" s="81"/>
      <c r="BV276" s="9"/>
      <c r="BY276" s="81"/>
      <c r="BZ276" s="81"/>
      <c r="CB276" s="9"/>
      <c r="CE276" s="81"/>
      <c r="CF276" s="81"/>
      <c r="CH276" s="9"/>
      <c r="CK276" s="81"/>
      <c r="CL276" s="81"/>
      <c r="CR276" s="9"/>
      <c r="CS276" s="9"/>
      <c r="CT276" s="9"/>
      <c r="CU276" s="9"/>
      <c r="CV276" s="9"/>
      <c r="CW276" s="129"/>
      <c r="CX276" s="9"/>
    </row>
    <row r="277" spans="1:102">
      <c r="A277" s="6" t="str">
        <f t="shared" si="41"/>
        <v>00540876</v>
      </c>
      <c r="B277" s="6" t="s">
        <v>1704</v>
      </c>
      <c r="C277" s="6" t="s">
        <v>2084</v>
      </c>
      <c r="D277" s="6">
        <v>268</v>
      </c>
      <c r="E277" s="6">
        <v>54</v>
      </c>
      <c r="F277" s="6" t="s">
        <v>1173</v>
      </c>
      <c r="G277" s="6">
        <v>876</v>
      </c>
      <c r="H277" s="6" t="s">
        <v>1114</v>
      </c>
      <c r="I277" s="33">
        <v>4267014.8505402626</v>
      </c>
      <c r="J277" s="88">
        <v>0.15083390209496392</v>
      </c>
      <c r="K277" s="89">
        <f t="shared" si="50"/>
        <v>4049204.1066860701</v>
      </c>
      <c r="L277" s="88">
        <f>IF(K279&gt;0, K277/K279, 0)</f>
        <v>0.13994322380214547</v>
      </c>
      <c r="M277" s="58"/>
      <c r="N277" s="9">
        <f>ROUND(M279*L277,0)</f>
        <v>2270609</v>
      </c>
      <c r="O277" s="9">
        <v>2262469</v>
      </c>
      <c r="P277" s="9">
        <f>N277-O277</f>
        <v>8140</v>
      </c>
      <c r="Q277" s="40">
        <f t="shared" si="49"/>
        <v>0.35978393516110058</v>
      </c>
      <c r="R277" s="9">
        <v>211.00000000463999</v>
      </c>
      <c r="S277" s="9">
        <f t="shared" si="47"/>
        <v>196.00000000041999</v>
      </c>
      <c r="T277" s="90">
        <f t="shared" si="42"/>
        <v>54</v>
      </c>
      <c r="U277" s="90">
        <f t="shared" si="43"/>
        <v>876</v>
      </c>
      <c r="V277" s="373">
        <f t="shared" si="44"/>
        <v>268</v>
      </c>
      <c r="W277" s="90">
        <f t="shared" si="45"/>
        <v>196.00000000041999</v>
      </c>
      <c r="X277" s="90">
        <f t="shared" si="46"/>
        <v>4049204.1066860701</v>
      </c>
      <c r="Y277" s="141">
        <f t="shared" si="48"/>
        <v>268</v>
      </c>
      <c r="Z277" s="298">
        <v>54</v>
      </c>
      <c r="AA277" s="299">
        <v>876</v>
      </c>
      <c r="AB277" s="299">
        <v>268</v>
      </c>
      <c r="AC277" s="301">
        <v>196.00000000041999</v>
      </c>
      <c r="AD277" s="301">
        <v>4049204.1066860701</v>
      </c>
      <c r="AE277" s="126"/>
      <c r="AF277" s="298"/>
      <c r="AG277" s="299"/>
      <c r="AH277" s="299"/>
      <c r="AI277" s="301"/>
      <c r="AJ277" s="301"/>
      <c r="AK277" s="426"/>
      <c r="AL277" s="298"/>
      <c r="AM277" s="299"/>
      <c r="AN277" s="299"/>
      <c r="AO277" s="301"/>
      <c r="AP277" s="301"/>
      <c r="AQ277" s="426"/>
      <c r="AR277" s="298"/>
      <c r="AS277" s="299"/>
      <c r="AT277" s="299"/>
      <c r="AU277" s="301"/>
      <c r="AV277" s="301"/>
      <c r="AW277" s="88"/>
      <c r="AX277" s="298"/>
      <c r="AY277" s="299"/>
      <c r="AZ277" s="299"/>
      <c r="BA277" s="301"/>
      <c r="BB277" s="301"/>
      <c r="BC277" s="426"/>
      <c r="BD277" s="298"/>
      <c r="BE277" s="299"/>
      <c r="BF277" s="299"/>
      <c r="BG277" s="301"/>
      <c r="BH277" s="301"/>
      <c r="BI277" s="88"/>
      <c r="BJ277" s="298"/>
      <c r="BK277" s="299"/>
      <c r="BL277" s="299"/>
      <c r="BM277" s="301"/>
      <c r="BN277" s="301"/>
      <c r="BO277" s="88"/>
      <c r="BP277" s="9"/>
      <c r="BS277" s="81"/>
      <c r="BT277" s="81"/>
      <c r="BV277" s="9"/>
      <c r="BY277" s="81"/>
      <c r="BZ277" s="81"/>
      <c r="CB277" s="9"/>
      <c r="CE277" s="81"/>
      <c r="CF277" s="81"/>
      <c r="CH277" s="9"/>
      <c r="CK277" s="81"/>
      <c r="CL277" s="81"/>
      <c r="CR277" s="9"/>
      <c r="CS277" s="9"/>
      <c r="CT277" s="9"/>
      <c r="CU277" s="9"/>
      <c r="CV277" s="9"/>
      <c r="CW277" s="129"/>
      <c r="CX277" s="9"/>
    </row>
    <row r="278" spans="1:102">
      <c r="A278" s="6" t="str">
        <f t="shared" si="41"/>
        <v>00540998</v>
      </c>
      <c r="B278" s="6" t="s">
        <v>1704</v>
      </c>
      <c r="C278" s="6" t="s">
        <v>2091</v>
      </c>
      <c r="D278" s="6">
        <v>269</v>
      </c>
      <c r="E278" s="6">
        <v>54</v>
      </c>
      <c r="F278" s="6" t="s">
        <v>1547</v>
      </c>
      <c r="G278" s="6">
        <v>998</v>
      </c>
      <c r="H278" s="6" t="s">
        <v>1547</v>
      </c>
      <c r="I278" s="33">
        <v>0</v>
      </c>
      <c r="J278" s="88">
        <v>0</v>
      </c>
      <c r="K278" s="89">
        <f t="shared" si="50"/>
        <v>0</v>
      </c>
      <c r="L278" s="88">
        <f>IF(K279&gt;0, K278/K279, 0)</f>
        <v>0</v>
      </c>
      <c r="M278" s="58"/>
      <c r="N278" s="9">
        <f>ROUND(M279*L278,0)</f>
        <v>0</v>
      </c>
      <c r="O278" s="9">
        <v>0</v>
      </c>
      <c r="P278" s="9">
        <f>N278-O278</f>
        <v>0</v>
      </c>
      <c r="Q278" s="40">
        <f t="shared" si="49"/>
        <v>0</v>
      </c>
      <c r="R278" s="9">
        <v>0</v>
      </c>
      <c r="S278" s="9">
        <f t="shared" si="47"/>
        <v>0</v>
      </c>
      <c r="T278" s="90">
        <f t="shared" si="42"/>
        <v>54</v>
      </c>
      <c r="U278" s="90">
        <f t="shared" si="43"/>
        <v>998</v>
      </c>
      <c r="V278" s="373">
        <f t="shared" si="44"/>
        <v>269</v>
      </c>
      <c r="W278" s="90">
        <f t="shared" si="45"/>
        <v>0</v>
      </c>
      <c r="X278" s="90">
        <f t="shared" si="46"/>
        <v>0</v>
      </c>
      <c r="Y278" s="141">
        <f t="shared" si="48"/>
        <v>269</v>
      </c>
      <c r="Z278" s="298">
        <v>54</v>
      </c>
      <c r="AA278" s="299">
        <v>998</v>
      </c>
      <c r="AB278" s="299">
        <v>269</v>
      </c>
      <c r="AC278" s="301">
        <v>0</v>
      </c>
      <c r="AD278" s="301">
        <v>0</v>
      </c>
      <c r="AE278" s="126"/>
      <c r="AF278" s="298"/>
      <c r="AG278" s="299"/>
      <c r="AH278" s="299"/>
      <c r="AI278" s="301"/>
      <c r="AJ278" s="301"/>
      <c r="AK278" s="426"/>
      <c r="AL278" s="298"/>
      <c r="AM278" s="299"/>
      <c r="AN278" s="299"/>
      <c r="AO278" s="301"/>
      <c r="AP278" s="301"/>
      <c r="AQ278" s="426"/>
      <c r="AR278" s="298"/>
      <c r="AS278" s="299"/>
      <c r="AT278" s="299"/>
      <c r="AU278" s="301"/>
      <c r="AV278" s="301"/>
      <c r="AW278" s="88"/>
      <c r="AX278" s="298"/>
      <c r="AY278" s="299"/>
      <c r="AZ278" s="299"/>
      <c r="BA278" s="301"/>
      <c r="BB278" s="301"/>
      <c r="BC278" s="426"/>
      <c r="BD278" s="298"/>
      <c r="BE278" s="299"/>
      <c r="BF278" s="299"/>
      <c r="BG278" s="301"/>
      <c r="BH278" s="301"/>
      <c r="BI278" s="88"/>
      <c r="BJ278" s="298"/>
      <c r="BK278" s="299"/>
      <c r="BL278" s="299"/>
      <c r="BM278" s="301"/>
      <c r="BN278" s="301"/>
      <c r="BO278" s="88"/>
      <c r="BP278" s="9"/>
      <c r="BS278" s="81"/>
      <c r="BT278" s="81"/>
      <c r="BV278" s="9"/>
      <c r="BY278" s="81"/>
      <c r="BZ278" s="81"/>
      <c r="CB278" s="9"/>
      <c r="CE278" s="81"/>
      <c r="CF278" s="81"/>
      <c r="CH278" s="9"/>
      <c r="CK278" s="81"/>
      <c r="CL278" s="81"/>
      <c r="CR278" s="9"/>
      <c r="CS278" s="9"/>
      <c r="CT278" s="9"/>
      <c r="CU278" s="9"/>
      <c r="CV278" s="9"/>
      <c r="CW278" s="129"/>
      <c r="CX278" s="9"/>
    </row>
    <row r="279" spans="1:102">
      <c r="A279" s="6" t="str">
        <f t="shared" si="41"/>
        <v>00540999</v>
      </c>
      <c r="B279" s="6" t="s">
        <v>1704</v>
      </c>
      <c r="C279" s="6" t="s">
        <v>2092</v>
      </c>
      <c r="D279" s="6">
        <v>270</v>
      </c>
      <c r="E279" s="10">
        <v>54</v>
      </c>
      <c r="F279" s="10" t="s">
        <v>1173</v>
      </c>
      <c r="G279" s="10">
        <v>999</v>
      </c>
      <c r="H279" s="10" t="s">
        <v>593</v>
      </c>
      <c r="I279" s="92">
        <v>28289494.545157239</v>
      </c>
      <c r="J279" s="472">
        <v>1</v>
      </c>
      <c r="K279" s="53">
        <f>SUM(K275:K278)</f>
        <v>28934620.745988503</v>
      </c>
      <c r="L279" s="91">
        <f>SUM(L275:L278)</f>
        <v>1</v>
      </c>
      <c r="M279" s="79">
        <f>VLOOKUP(E279,town351,24)</f>
        <v>16225216</v>
      </c>
      <c r="N279" s="79">
        <f>SUM(N275:N278)</f>
        <v>16225216</v>
      </c>
      <c r="O279" s="79">
        <v>14999738</v>
      </c>
      <c r="P279" s="79">
        <f>SUM(P275:P278)</f>
        <v>1225478</v>
      </c>
      <c r="Q279" s="39">
        <f t="shared" si="49"/>
        <v>8.1699960359307617</v>
      </c>
      <c r="R279" s="9">
        <v>1968.39017692739</v>
      </c>
      <c r="S279" s="9">
        <f t="shared" si="47"/>
        <v>1960.8418674806398</v>
      </c>
      <c r="T279" s="90">
        <f t="shared" si="42"/>
        <v>54</v>
      </c>
      <c r="U279" s="90">
        <f t="shared" si="43"/>
        <v>999</v>
      </c>
      <c r="V279" s="373">
        <f t="shared" si="44"/>
        <v>270</v>
      </c>
      <c r="W279" s="90">
        <f t="shared" si="45"/>
        <v>1960.8418674806398</v>
      </c>
      <c r="X279" s="90">
        <f t="shared" si="46"/>
        <v>28934620.745988503</v>
      </c>
      <c r="Y279" s="141">
        <f t="shared" si="48"/>
        <v>270</v>
      </c>
      <c r="Z279" s="298">
        <v>54</v>
      </c>
      <c r="AA279" s="299">
        <v>999</v>
      </c>
      <c r="AB279" s="299">
        <v>270</v>
      </c>
      <c r="AC279" s="301">
        <v>1960.8418674806398</v>
      </c>
      <c r="AD279" s="301">
        <v>28934620.745988503</v>
      </c>
      <c r="AE279" s="126"/>
      <c r="AF279" s="298"/>
      <c r="AG279" s="299"/>
      <c r="AH279" s="299"/>
      <c r="AI279" s="301"/>
      <c r="AJ279" s="301"/>
      <c r="AK279" s="426"/>
      <c r="AL279" s="298"/>
      <c r="AM279" s="299"/>
      <c r="AN279" s="299"/>
      <c r="AO279" s="301"/>
      <c r="AP279" s="301"/>
      <c r="AQ279" s="426"/>
      <c r="AR279" s="298"/>
      <c r="AS279" s="299"/>
      <c r="AT279" s="299"/>
      <c r="AU279" s="301"/>
      <c r="AV279" s="301"/>
      <c r="AW279" s="91"/>
      <c r="AX279" s="298"/>
      <c r="AY279" s="299"/>
      <c r="AZ279" s="299"/>
      <c r="BA279" s="301"/>
      <c r="BB279" s="301"/>
      <c r="BC279" s="426"/>
      <c r="BD279" s="298"/>
      <c r="BE279" s="299"/>
      <c r="BF279" s="299"/>
      <c r="BG279" s="301"/>
      <c r="BH279" s="301"/>
      <c r="BI279" s="91"/>
      <c r="BJ279" s="298"/>
      <c r="BK279" s="299"/>
      <c r="BL279" s="299"/>
      <c r="BM279" s="301"/>
      <c r="BN279" s="301"/>
      <c r="BO279" s="91"/>
      <c r="BP279" s="9"/>
      <c r="BS279" s="81"/>
      <c r="BT279" s="81"/>
      <c r="BV279" s="9"/>
      <c r="BY279" s="81"/>
      <c r="BZ279" s="81"/>
      <c r="CB279" s="9"/>
      <c r="CE279" s="81"/>
      <c r="CF279" s="81"/>
      <c r="CH279" s="9"/>
      <c r="CK279" s="81"/>
      <c r="CL279" s="81"/>
      <c r="CR279" s="9"/>
      <c r="CS279" s="9"/>
      <c r="CT279" s="9"/>
      <c r="CU279" s="9"/>
      <c r="CV279" s="9"/>
      <c r="CW279" s="129"/>
      <c r="CX279" s="9"/>
    </row>
    <row r="280" spans="1:102">
      <c r="A280" s="6" t="str">
        <f t="shared" si="41"/>
        <v>00550055</v>
      </c>
      <c r="B280" s="6" t="s">
        <v>1705</v>
      </c>
      <c r="C280" s="6" t="s">
        <v>1705</v>
      </c>
      <c r="D280" s="6">
        <v>271</v>
      </c>
      <c r="E280" s="6">
        <v>55</v>
      </c>
      <c r="F280" s="6" t="s">
        <v>1174</v>
      </c>
      <c r="G280" s="6">
        <v>55</v>
      </c>
      <c r="H280" s="6" t="s">
        <v>736</v>
      </c>
      <c r="I280" s="33">
        <v>0</v>
      </c>
      <c r="J280" s="88">
        <v>0</v>
      </c>
      <c r="K280" s="89">
        <f>X280</f>
        <v>0</v>
      </c>
      <c r="L280" s="88">
        <f>IF(K284&gt;0, K280/K284, 0)</f>
        <v>0</v>
      </c>
      <c r="M280" s="58"/>
      <c r="N280" s="9">
        <f>ROUND(M284*L280,0)</f>
        <v>0</v>
      </c>
      <c r="O280" s="9">
        <v>0</v>
      </c>
      <c r="P280" s="9">
        <f>N280-O280</f>
        <v>0</v>
      </c>
      <c r="Q280" s="40">
        <f t="shared" si="49"/>
        <v>0</v>
      </c>
      <c r="R280" s="9">
        <v>0</v>
      </c>
      <c r="S280" s="9">
        <f t="shared" si="47"/>
        <v>0</v>
      </c>
      <c r="T280" s="90">
        <f t="shared" si="42"/>
        <v>55</v>
      </c>
      <c r="U280" s="90">
        <f t="shared" si="43"/>
        <v>55</v>
      </c>
      <c r="V280" s="373">
        <f t="shared" si="44"/>
        <v>271</v>
      </c>
      <c r="W280" s="90">
        <f t="shared" si="45"/>
        <v>0</v>
      </c>
      <c r="X280" s="90">
        <f t="shared" si="46"/>
        <v>0</v>
      </c>
      <c r="Y280" s="141">
        <f t="shared" si="48"/>
        <v>271</v>
      </c>
      <c r="Z280" s="298">
        <v>55</v>
      </c>
      <c r="AA280" s="299">
        <v>55</v>
      </c>
      <c r="AB280" s="299">
        <v>271</v>
      </c>
      <c r="AC280" s="301">
        <v>0</v>
      </c>
      <c r="AD280" s="301">
        <v>0</v>
      </c>
      <c r="AE280" s="126"/>
      <c r="AF280" s="298"/>
      <c r="AG280" s="299"/>
      <c r="AH280" s="299"/>
      <c r="AI280" s="301"/>
      <c r="AJ280" s="301"/>
      <c r="AK280" s="426"/>
      <c r="AL280" s="298"/>
      <c r="AM280" s="299"/>
      <c r="AN280" s="299"/>
      <c r="AO280" s="301"/>
      <c r="AP280" s="301"/>
      <c r="AQ280" s="426"/>
      <c r="AR280" s="298"/>
      <c r="AS280" s="299"/>
      <c r="AT280" s="299"/>
      <c r="AU280" s="301"/>
      <c r="AV280" s="301"/>
      <c r="AW280" s="88"/>
      <c r="AX280" s="298"/>
      <c r="AY280" s="299"/>
      <c r="AZ280" s="299"/>
      <c r="BA280" s="301"/>
      <c r="BB280" s="301"/>
      <c r="BC280" s="426"/>
      <c r="BD280" s="298"/>
      <c r="BE280" s="299"/>
      <c r="BF280" s="299"/>
      <c r="BG280" s="301"/>
      <c r="BH280" s="301"/>
      <c r="BI280" s="88"/>
      <c r="BJ280" s="298"/>
      <c r="BK280" s="299"/>
      <c r="BL280" s="299"/>
      <c r="BM280" s="301"/>
      <c r="BN280" s="301"/>
      <c r="BO280" s="88"/>
      <c r="BP280" s="9"/>
      <c r="BS280" s="81"/>
      <c r="BT280" s="81"/>
      <c r="BV280" s="9"/>
      <c r="BY280" s="81"/>
      <c r="BZ280" s="81"/>
      <c r="CB280" s="9"/>
      <c r="CE280" s="81"/>
      <c r="CF280" s="81"/>
      <c r="CH280" s="9"/>
      <c r="CK280" s="81"/>
      <c r="CL280" s="81"/>
      <c r="CR280" s="9"/>
      <c r="CS280" s="9"/>
      <c r="CT280" s="9"/>
      <c r="CU280" s="9"/>
      <c r="CV280" s="9"/>
      <c r="CW280" s="129"/>
      <c r="CX280" s="9"/>
    </row>
    <row r="281" spans="1:102">
      <c r="A281" s="6" t="str">
        <f t="shared" si="41"/>
        <v>00550712</v>
      </c>
      <c r="B281" s="6" t="s">
        <v>1705</v>
      </c>
      <c r="C281" s="6" t="s">
        <v>2038</v>
      </c>
      <c r="D281" s="6">
        <v>272</v>
      </c>
      <c r="E281" s="6">
        <v>55</v>
      </c>
      <c r="F281" s="6" t="s">
        <v>1174</v>
      </c>
      <c r="G281" s="6">
        <v>712</v>
      </c>
      <c r="H281" s="6" t="s">
        <v>1068</v>
      </c>
      <c r="I281" s="33">
        <v>5535348.1678401707</v>
      </c>
      <c r="J281" s="88">
        <v>0.95135421653274488</v>
      </c>
      <c r="K281" s="89">
        <f t="shared" si="50"/>
        <v>5426498.939183143</v>
      </c>
      <c r="L281" s="88">
        <f>IF(K284&gt;0, K281/K284, 0)</f>
        <v>0.92554806720768767</v>
      </c>
      <c r="M281" s="58"/>
      <c r="N281" s="9">
        <f>ROUND(M284*L281,0)</f>
        <v>4476861</v>
      </c>
      <c r="O281" s="9">
        <v>4566662</v>
      </c>
      <c r="P281" s="9">
        <f>N281-O281</f>
        <v>-89801</v>
      </c>
      <c r="Q281" s="40">
        <f t="shared" si="49"/>
        <v>-1.9664472649826066</v>
      </c>
      <c r="R281" s="9">
        <v>386.19807923344001</v>
      </c>
      <c r="S281" s="9">
        <f t="shared" si="47"/>
        <v>364.99392465994998</v>
      </c>
      <c r="T281" s="90">
        <f t="shared" si="42"/>
        <v>55</v>
      </c>
      <c r="U281" s="90">
        <f t="shared" si="43"/>
        <v>712</v>
      </c>
      <c r="V281" s="373">
        <f t="shared" si="44"/>
        <v>272</v>
      </c>
      <c r="W281" s="90">
        <f t="shared" si="45"/>
        <v>364.99392465994998</v>
      </c>
      <c r="X281" s="90">
        <f t="shared" si="46"/>
        <v>5426498.939183143</v>
      </c>
      <c r="Y281" s="141">
        <f t="shared" si="48"/>
        <v>272</v>
      </c>
      <c r="Z281" s="298">
        <v>55</v>
      </c>
      <c r="AA281" s="299">
        <v>712</v>
      </c>
      <c r="AB281" s="299">
        <v>272</v>
      </c>
      <c r="AC281" s="301">
        <v>364.99392465994998</v>
      </c>
      <c r="AD281" s="301">
        <v>5426498.939183143</v>
      </c>
      <c r="AE281" s="126"/>
      <c r="AF281" s="298"/>
      <c r="AG281" s="299"/>
      <c r="AH281" s="299"/>
      <c r="AI281" s="301"/>
      <c r="AJ281" s="301"/>
      <c r="AK281" s="426"/>
      <c r="AL281" s="298"/>
      <c r="AM281" s="299"/>
      <c r="AN281" s="299"/>
      <c r="AO281" s="301"/>
      <c r="AP281" s="301"/>
      <c r="AQ281" s="426"/>
      <c r="AR281" s="298"/>
      <c r="AS281" s="299"/>
      <c r="AT281" s="299"/>
      <c r="AU281" s="301"/>
      <c r="AV281" s="301"/>
      <c r="AW281" s="88"/>
      <c r="AX281" s="298"/>
      <c r="AY281" s="299"/>
      <c r="AZ281" s="299"/>
      <c r="BA281" s="301"/>
      <c r="BB281" s="301"/>
      <c r="BC281" s="426"/>
      <c r="BD281" s="298"/>
      <c r="BE281" s="299"/>
      <c r="BF281" s="299"/>
      <c r="BG281" s="301"/>
      <c r="BH281" s="301"/>
      <c r="BI281" s="88"/>
      <c r="BJ281" s="298"/>
      <c r="BK281" s="299"/>
      <c r="BL281" s="299"/>
      <c r="BM281" s="301"/>
      <c r="BN281" s="301"/>
      <c r="BO281" s="88"/>
      <c r="BP281" s="9"/>
      <c r="BS281" s="81"/>
      <c r="BT281" s="81"/>
      <c r="BV281" s="9"/>
      <c r="BY281" s="81"/>
      <c r="BZ281" s="81"/>
      <c r="CB281" s="9"/>
      <c r="CE281" s="81"/>
      <c r="CF281" s="81"/>
      <c r="CH281" s="9"/>
      <c r="CK281" s="81"/>
      <c r="CL281" s="81"/>
      <c r="CR281" s="9"/>
      <c r="CS281" s="9"/>
      <c r="CT281" s="9"/>
      <c r="CU281" s="9"/>
      <c r="CV281" s="9"/>
      <c r="CW281" s="129"/>
      <c r="CX281" s="9"/>
    </row>
    <row r="282" spans="1:102">
      <c r="A282" s="6" t="str">
        <f t="shared" si="41"/>
        <v>00550815</v>
      </c>
      <c r="B282" s="6" t="s">
        <v>1705</v>
      </c>
      <c r="C282" s="6" t="s">
        <v>2066</v>
      </c>
      <c r="D282" s="6">
        <v>273</v>
      </c>
      <c r="E282" s="6">
        <v>55</v>
      </c>
      <c r="F282" s="6" t="s">
        <v>1174</v>
      </c>
      <c r="G282" s="6">
        <v>815</v>
      </c>
      <c r="H282" s="6" t="s">
        <v>1096</v>
      </c>
      <c r="I282" s="33">
        <v>283040.0535459778</v>
      </c>
      <c r="J282" s="88">
        <v>4.8645783467255045E-2</v>
      </c>
      <c r="K282" s="89">
        <f t="shared" si="50"/>
        <v>436512.53633589984</v>
      </c>
      <c r="L282" s="88">
        <f>IF(K284&gt;0, K282/K284, 0)</f>
        <v>7.4451932792312353E-2</v>
      </c>
      <c r="M282" s="58"/>
      <c r="N282" s="9">
        <f>ROUND(M284*L282,0)</f>
        <v>360123</v>
      </c>
      <c r="O282" s="9">
        <v>233508</v>
      </c>
      <c r="P282" s="9">
        <f>N282-O282</f>
        <v>126615</v>
      </c>
      <c r="Q282" s="40">
        <f t="shared" si="49"/>
        <v>54.222981653733491</v>
      </c>
      <c r="R282" s="9">
        <v>13.038980508030001</v>
      </c>
      <c r="S282" s="9">
        <f t="shared" si="47"/>
        <v>20.03003003001</v>
      </c>
      <c r="T282" s="90">
        <f t="shared" si="42"/>
        <v>55</v>
      </c>
      <c r="U282" s="90">
        <f t="shared" si="43"/>
        <v>815</v>
      </c>
      <c r="V282" s="373">
        <f t="shared" si="44"/>
        <v>273</v>
      </c>
      <c r="W282" s="90">
        <f t="shared" si="45"/>
        <v>20.03003003001</v>
      </c>
      <c r="X282" s="90">
        <f t="shared" si="46"/>
        <v>436512.53633589984</v>
      </c>
      <c r="Y282" s="141">
        <f t="shared" si="48"/>
        <v>273</v>
      </c>
      <c r="Z282" s="298">
        <v>55</v>
      </c>
      <c r="AA282" s="299">
        <v>815</v>
      </c>
      <c r="AB282" s="299">
        <v>273</v>
      </c>
      <c r="AC282" s="301">
        <v>20.03003003001</v>
      </c>
      <c r="AD282" s="301">
        <v>436512.53633589984</v>
      </c>
      <c r="AE282" s="126"/>
      <c r="AF282" s="298"/>
      <c r="AG282" s="299"/>
      <c r="AH282" s="299"/>
      <c r="AI282" s="301"/>
      <c r="AJ282" s="301"/>
      <c r="AK282" s="426"/>
      <c r="AL282" s="298"/>
      <c r="AM282" s="299"/>
      <c r="AN282" s="299"/>
      <c r="AO282" s="301"/>
      <c r="AP282" s="301"/>
      <c r="AQ282" s="426"/>
      <c r="AR282" s="298"/>
      <c r="AS282" s="299"/>
      <c r="AT282" s="299"/>
      <c r="AU282" s="301"/>
      <c r="AV282" s="301"/>
      <c r="AW282" s="88"/>
      <c r="AX282" s="298"/>
      <c r="AY282" s="299"/>
      <c r="AZ282" s="299"/>
      <c r="BA282" s="301"/>
      <c r="BB282" s="301"/>
      <c r="BC282" s="426"/>
      <c r="BD282" s="298"/>
      <c r="BE282" s="299"/>
      <c r="BF282" s="299"/>
      <c r="BG282" s="301"/>
      <c r="BH282" s="301"/>
      <c r="BI282" s="88"/>
      <c r="BJ282" s="298"/>
      <c r="BK282" s="299"/>
      <c r="BL282" s="299"/>
      <c r="BM282" s="301"/>
      <c r="BN282" s="301"/>
      <c r="BO282" s="88"/>
      <c r="BP282" s="9"/>
      <c r="BS282" s="81"/>
      <c r="BT282" s="81"/>
      <c r="BV282" s="9"/>
      <c r="BY282" s="81"/>
      <c r="BZ282" s="81"/>
      <c r="CB282" s="9"/>
      <c r="CE282" s="81"/>
      <c r="CF282" s="81"/>
      <c r="CH282" s="9"/>
      <c r="CK282" s="81"/>
      <c r="CL282" s="81"/>
      <c r="CR282" s="9"/>
      <c r="CS282" s="9"/>
      <c r="CT282" s="9"/>
      <c r="CU282" s="9"/>
      <c r="CV282" s="9"/>
      <c r="CW282" s="129"/>
      <c r="CX282" s="9"/>
    </row>
    <row r="283" spans="1:102">
      <c r="A283" s="6" t="str">
        <f t="shared" si="41"/>
        <v>00550998</v>
      </c>
      <c r="B283" s="6" t="s">
        <v>1705</v>
      </c>
      <c r="C283" s="6" t="s">
        <v>2091</v>
      </c>
      <c r="D283" s="6">
        <v>274</v>
      </c>
      <c r="E283" s="6">
        <v>55</v>
      </c>
      <c r="F283" s="6" t="s">
        <v>1547</v>
      </c>
      <c r="G283" s="6">
        <v>998</v>
      </c>
      <c r="H283" s="6" t="s">
        <v>1547</v>
      </c>
      <c r="I283" s="33">
        <v>0</v>
      </c>
      <c r="J283" s="88">
        <v>0</v>
      </c>
      <c r="K283" s="89">
        <f t="shared" si="50"/>
        <v>0</v>
      </c>
      <c r="L283" s="88">
        <f>IF(K284&gt;0, K283/K284, 0)</f>
        <v>0</v>
      </c>
      <c r="M283" s="58"/>
      <c r="N283" s="9">
        <f>ROUND(M284*L283,0)</f>
        <v>0</v>
      </c>
      <c r="O283" s="9">
        <v>0</v>
      </c>
      <c r="P283" s="9">
        <f>N283-O283</f>
        <v>0</v>
      </c>
      <c r="Q283" s="40">
        <f t="shared" si="49"/>
        <v>0</v>
      </c>
      <c r="R283" s="9">
        <v>0</v>
      </c>
      <c r="S283" s="9">
        <f t="shared" si="47"/>
        <v>0</v>
      </c>
      <c r="T283" s="90">
        <f t="shared" si="42"/>
        <v>55</v>
      </c>
      <c r="U283" s="90">
        <f t="shared" si="43"/>
        <v>998</v>
      </c>
      <c r="V283" s="373">
        <f t="shared" si="44"/>
        <v>274</v>
      </c>
      <c r="W283" s="90">
        <f t="shared" si="45"/>
        <v>0</v>
      </c>
      <c r="X283" s="90">
        <f t="shared" si="46"/>
        <v>0</v>
      </c>
      <c r="Y283" s="141">
        <f t="shared" si="48"/>
        <v>274</v>
      </c>
      <c r="Z283" s="298">
        <v>55</v>
      </c>
      <c r="AA283" s="299">
        <v>998</v>
      </c>
      <c r="AB283" s="299">
        <v>274</v>
      </c>
      <c r="AC283" s="301">
        <v>0</v>
      </c>
      <c r="AD283" s="301">
        <v>0</v>
      </c>
      <c r="AE283" s="126"/>
      <c r="AF283" s="298"/>
      <c r="AG283" s="299"/>
      <c r="AH283" s="299"/>
      <c r="AI283" s="301"/>
      <c r="AJ283" s="301"/>
      <c r="AK283" s="426"/>
      <c r="AL283" s="298"/>
      <c r="AM283" s="299"/>
      <c r="AN283" s="299"/>
      <c r="AO283" s="301"/>
      <c r="AP283" s="301"/>
      <c r="AQ283" s="426"/>
      <c r="AR283" s="298"/>
      <c r="AS283" s="299"/>
      <c r="AT283" s="299"/>
      <c r="AU283" s="301"/>
      <c r="AV283" s="301"/>
      <c r="AW283" s="88"/>
      <c r="AX283" s="298"/>
      <c r="AY283" s="299"/>
      <c r="AZ283" s="299"/>
      <c r="BA283" s="301"/>
      <c r="BB283" s="301"/>
      <c r="BC283" s="426"/>
      <c r="BD283" s="298"/>
      <c r="BE283" s="299"/>
      <c r="BF283" s="299"/>
      <c r="BG283" s="301"/>
      <c r="BH283" s="301"/>
      <c r="BI283" s="88"/>
      <c r="BJ283" s="298"/>
      <c r="BK283" s="299"/>
      <c r="BL283" s="299"/>
      <c r="BM283" s="301"/>
      <c r="BN283" s="301"/>
      <c r="BO283" s="88"/>
      <c r="BP283" s="9"/>
      <c r="BS283" s="81"/>
      <c r="BT283" s="81"/>
      <c r="BV283" s="9"/>
      <c r="BY283" s="81"/>
      <c r="BZ283" s="81"/>
      <c r="CB283" s="9"/>
      <c r="CE283" s="81"/>
      <c r="CF283" s="81"/>
      <c r="CH283" s="9"/>
      <c r="CK283" s="81"/>
      <c r="CL283" s="81"/>
      <c r="CR283" s="9"/>
      <c r="CS283" s="9"/>
      <c r="CT283" s="9"/>
      <c r="CU283" s="9"/>
      <c r="CV283" s="9"/>
      <c r="CW283" s="129"/>
      <c r="CX283" s="9"/>
    </row>
    <row r="284" spans="1:102">
      <c r="A284" s="6" t="str">
        <f t="shared" si="41"/>
        <v>00550999</v>
      </c>
      <c r="B284" s="6" t="s">
        <v>1705</v>
      </c>
      <c r="C284" s="6" t="s">
        <v>2092</v>
      </c>
      <c r="D284" s="6">
        <v>275</v>
      </c>
      <c r="E284" s="10">
        <v>55</v>
      </c>
      <c r="F284" s="10" t="s">
        <v>1174</v>
      </c>
      <c r="G284" s="10">
        <v>999</v>
      </c>
      <c r="H284" s="10" t="s">
        <v>593</v>
      </c>
      <c r="I284" s="92">
        <v>5818388.2213861486</v>
      </c>
      <c r="J284" s="472">
        <v>0.99999999999999989</v>
      </c>
      <c r="K284" s="53">
        <f>SUM(K280:K283)</f>
        <v>5863011.4755190425</v>
      </c>
      <c r="L284" s="91">
        <f>SUM(L280:L283)</f>
        <v>1</v>
      </c>
      <c r="M284" s="79">
        <f>VLOOKUP(E284,town351,24)</f>
        <v>4836984</v>
      </c>
      <c r="N284" s="79">
        <f>SUM(N280:N283)</f>
        <v>4836984</v>
      </c>
      <c r="O284" s="79">
        <v>4800170</v>
      </c>
      <c r="P284" s="79">
        <f>SUM(P280:P283)</f>
        <v>36814</v>
      </c>
      <c r="Q284" s="39">
        <f t="shared" si="49"/>
        <v>0.76693117118768706</v>
      </c>
      <c r="R284" s="9">
        <v>399.23705974147003</v>
      </c>
      <c r="S284" s="9">
        <f t="shared" si="47"/>
        <v>385.02395468995996</v>
      </c>
      <c r="T284" s="90">
        <f t="shared" si="42"/>
        <v>55</v>
      </c>
      <c r="U284" s="90">
        <f t="shared" si="43"/>
        <v>999</v>
      </c>
      <c r="V284" s="373">
        <f t="shared" si="44"/>
        <v>275</v>
      </c>
      <c r="W284" s="90">
        <f t="shared" si="45"/>
        <v>385.02395468995996</v>
      </c>
      <c r="X284" s="90">
        <f t="shared" si="46"/>
        <v>5863011.4755190425</v>
      </c>
      <c r="Y284" s="141">
        <f t="shared" si="48"/>
        <v>275</v>
      </c>
      <c r="Z284" s="298">
        <v>55</v>
      </c>
      <c r="AA284" s="299">
        <v>999</v>
      </c>
      <c r="AB284" s="299">
        <v>275</v>
      </c>
      <c r="AC284" s="301">
        <v>385.02395468995996</v>
      </c>
      <c r="AD284" s="301">
        <v>5863011.4755190425</v>
      </c>
      <c r="AE284" s="126"/>
      <c r="AF284" s="298"/>
      <c r="AG284" s="299"/>
      <c r="AH284" s="299"/>
      <c r="AI284" s="301"/>
      <c r="AJ284" s="301"/>
      <c r="AK284" s="426"/>
      <c r="AL284" s="298"/>
      <c r="AM284" s="299"/>
      <c r="AN284" s="299"/>
      <c r="AO284" s="301"/>
      <c r="AP284" s="301"/>
      <c r="AQ284" s="426"/>
      <c r="AR284" s="298"/>
      <c r="AS284" s="299"/>
      <c r="AT284" s="299"/>
      <c r="AU284" s="301"/>
      <c r="AV284" s="301"/>
      <c r="AW284" s="91"/>
      <c r="AX284" s="298"/>
      <c r="AY284" s="299"/>
      <c r="AZ284" s="299"/>
      <c r="BA284" s="301"/>
      <c r="BB284" s="301"/>
      <c r="BC284" s="426"/>
      <c r="BD284" s="298"/>
      <c r="BE284" s="299"/>
      <c r="BF284" s="299"/>
      <c r="BG284" s="301"/>
      <c r="BH284" s="301"/>
      <c r="BI284" s="91"/>
      <c r="BJ284" s="298"/>
      <c r="BK284" s="299"/>
      <c r="BL284" s="299"/>
      <c r="BM284" s="301"/>
      <c r="BN284" s="301"/>
      <c r="BO284" s="91"/>
      <c r="BP284" s="9"/>
      <c r="BS284" s="81"/>
      <c r="BT284" s="81"/>
      <c r="BV284" s="9"/>
      <c r="BY284" s="81"/>
      <c r="BZ284" s="81"/>
      <c r="CB284" s="9"/>
      <c r="CE284" s="81"/>
      <c r="CF284" s="81"/>
      <c r="CH284" s="9"/>
      <c r="CK284" s="81"/>
      <c r="CL284" s="81"/>
      <c r="CR284" s="9"/>
      <c r="CS284" s="9"/>
      <c r="CT284" s="9"/>
      <c r="CU284" s="9"/>
      <c r="CV284" s="9"/>
      <c r="CW284" s="129"/>
      <c r="CX284" s="9"/>
    </row>
    <row r="285" spans="1:102">
      <c r="A285" s="6" t="str">
        <f t="shared" si="41"/>
        <v>00560056</v>
      </c>
      <c r="B285" s="6" t="s">
        <v>1706</v>
      </c>
      <c r="C285" s="6" t="s">
        <v>1706</v>
      </c>
      <c r="D285" s="6">
        <v>276</v>
      </c>
      <c r="E285" s="6">
        <v>56</v>
      </c>
      <c r="F285" s="6" t="s">
        <v>1175</v>
      </c>
      <c r="G285" s="6">
        <v>56</v>
      </c>
      <c r="H285" s="6" t="s">
        <v>737</v>
      </c>
      <c r="I285" s="33">
        <v>63812307.760000005</v>
      </c>
      <c r="J285" s="88">
        <v>0.93668245899639191</v>
      </c>
      <c r="K285" s="89">
        <f>X285</f>
        <v>66887500.860000007</v>
      </c>
      <c r="L285" s="88">
        <f>IF(K289&gt;0, K285/K289, 0)</f>
        <v>0.93706022644177267</v>
      </c>
      <c r="M285" s="58"/>
      <c r="N285" s="9">
        <f>ROUND(M289*L285,0)</f>
        <v>52463272</v>
      </c>
      <c r="O285" s="9">
        <v>49670508</v>
      </c>
      <c r="P285" s="9">
        <f>N285-O285</f>
        <v>2792764</v>
      </c>
      <c r="Q285" s="40">
        <f t="shared" si="49"/>
        <v>5.6225799019410072</v>
      </c>
      <c r="R285" s="9">
        <v>5108</v>
      </c>
      <c r="S285" s="9">
        <f t="shared" si="47"/>
        <v>5181</v>
      </c>
      <c r="T285" s="90">
        <f t="shared" si="42"/>
        <v>56</v>
      </c>
      <c r="U285" s="90">
        <f t="shared" si="43"/>
        <v>56</v>
      </c>
      <c r="V285" s="373">
        <f t="shared" si="44"/>
        <v>276</v>
      </c>
      <c r="W285" s="90">
        <f t="shared" si="45"/>
        <v>5181</v>
      </c>
      <c r="X285" s="90">
        <f t="shared" si="46"/>
        <v>66887500.860000007</v>
      </c>
      <c r="Y285" s="141">
        <f t="shared" si="48"/>
        <v>276</v>
      </c>
      <c r="Z285" s="298">
        <v>56</v>
      </c>
      <c r="AA285" s="299">
        <v>56</v>
      </c>
      <c r="AB285" s="299">
        <v>276</v>
      </c>
      <c r="AC285" s="301">
        <v>5181</v>
      </c>
      <c r="AD285" s="301">
        <v>66887500.860000007</v>
      </c>
      <c r="AE285" s="126"/>
      <c r="AF285" s="298"/>
      <c r="AG285" s="299"/>
      <c r="AH285" s="299"/>
      <c r="AI285" s="301"/>
      <c r="AJ285" s="301"/>
      <c r="AK285" s="426"/>
      <c r="AL285" s="298"/>
      <c r="AM285" s="299"/>
      <c r="AN285" s="299"/>
      <c r="AO285" s="301"/>
      <c r="AP285" s="301"/>
      <c r="AQ285" s="426"/>
      <c r="AR285" s="298"/>
      <c r="AS285" s="299"/>
      <c r="AT285" s="299"/>
      <c r="AU285" s="301"/>
      <c r="AV285" s="301"/>
      <c r="AW285" s="88"/>
      <c r="AX285" s="298"/>
      <c r="AY285" s="299"/>
      <c r="AZ285" s="299"/>
      <c r="BA285" s="301"/>
      <c r="BB285" s="301"/>
      <c r="BC285" s="426"/>
      <c r="BD285" s="298"/>
      <c r="BE285" s="299"/>
      <c r="BF285" s="299"/>
      <c r="BG285" s="301"/>
      <c r="BH285" s="301"/>
      <c r="BI285" s="88"/>
      <c r="BJ285" s="298"/>
      <c r="BK285" s="299"/>
      <c r="BL285" s="299"/>
      <c r="BM285" s="301"/>
      <c r="BN285" s="301"/>
      <c r="BO285" s="88"/>
      <c r="BP285" s="9"/>
      <c r="BS285" s="81"/>
      <c r="BT285" s="81"/>
      <c r="BV285" s="9"/>
      <c r="BY285" s="81"/>
      <c r="BZ285" s="81"/>
      <c r="CB285" s="9"/>
      <c r="CE285" s="81"/>
      <c r="CF285" s="81"/>
      <c r="CH285" s="9"/>
      <c r="CK285" s="81"/>
      <c r="CL285" s="81"/>
      <c r="CR285" s="9"/>
      <c r="CS285" s="9"/>
      <c r="CT285" s="9"/>
      <c r="CU285" s="9"/>
      <c r="CV285" s="9"/>
      <c r="CW285" s="129"/>
      <c r="CX285" s="9"/>
    </row>
    <row r="286" spans="1:102">
      <c r="A286" s="6" t="str">
        <f t="shared" si="41"/>
        <v>00560852</v>
      </c>
      <c r="B286" s="6" t="s">
        <v>1706</v>
      </c>
      <c r="C286" s="6" t="s">
        <v>2077</v>
      </c>
      <c r="D286" s="6">
        <v>277</v>
      </c>
      <c r="E286" s="6">
        <v>56</v>
      </c>
      <c r="F286" s="6" t="s">
        <v>1175</v>
      </c>
      <c r="G286" s="6">
        <v>852</v>
      </c>
      <c r="H286" s="6" t="s">
        <v>1107</v>
      </c>
      <c r="I286" s="33">
        <v>4313562.5892447969</v>
      </c>
      <c r="J286" s="88">
        <v>6.3317541003608091E-2</v>
      </c>
      <c r="K286" s="89">
        <f t="shared" si="50"/>
        <v>4492650.5673920335</v>
      </c>
      <c r="L286" s="88">
        <f>IF(K289&gt;0, K286/K289, 0)</f>
        <v>6.2939773558227344E-2</v>
      </c>
      <c r="M286" s="58"/>
      <c r="N286" s="9">
        <f>ROUND(M289*L286,0)</f>
        <v>3523815</v>
      </c>
      <c r="O286" s="9">
        <v>3357610</v>
      </c>
      <c r="P286" s="9">
        <f>N286-O286</f>
        <v>166205</v>
      </c>
      <c r="Q286" s="40">
        <f t="shared" si="49"/>
        <v>4.9500984331116475</v>
      </c>
      <c r="R286" s="9">
        <v>211.99999999750003</v>
      </c>
      <c r="S286" s="9">
        <f t="shared" si="47"/>
        <v>218.00000000258001</v>
      </c>
      <c r="T286" s="90">
        <f t="shared" si="42"/>
        <v>56</v>
      </c>
      <c r="U286" s="90">
        <f t="shared" si="43"/>
        <v>852</v>
      </c>
      <c r="V286" s="373">
        <f t="shared" si="44"/>
        <v>277</v>
      </c>
      <c r="W286" s="90">
        <f t="shared" si="45"/>
        <v>218.00000000258001</v>
      </c>
      <c r="X286" s="90">
        <f t="shared" si="46"/>
        <v>4492650.5673920335</v>
      </c>
      <c r="Y286" s="141">
        <f t="shared" si="48"/>
        <v>277</v>
      </c>
      <c r="Z286" s="298">
        <v>56</v>
      </c>
      <c r="AA286" s="299">
        <v>852</v>
      </c>
      <c r="AB286" s="299">
        <v>277</v>
      </c>
      <c r="AC286" s="301">
        <v>218.00000000258001</v>
      </c>
      <c r="AD286" s="301">
        <v>4492650.5673920335</v>
      </c>
      <c r="AE286" s="126"/>
      <c r="AF286" s="298"/>
      <c r="AG286" s="299"/>
      <c r="AH286" s="299"/>
      <c r="AI286" s="301"/>
      <c r="AJ286" s="301"/>
      <c r="AK286" s="426"/>
      <c r="AL286" s="298"/>
      <c r="AM286" s="299"/>
      <c r="AN286" s="299"/>
      <c r="AO286" s="301"/>
      <c r="AP286" s="301"/>
      <c r="AQ286" s="426"/>
      <c r="AR286" s="298"/>
      <c r="AS286" s="299"/>
      <c r="AT286" s="299"/>
      <c r="AU286" s="301"/>
      <c r="AV286" s="301"/>
      <c r="AW286" s="88"/>
      <c r="AX286" s="298"/>
      <c r="AY286" s="299"/>
      <c r="AZ286" s="299"/>
      <c r="BA286" s="301"/>
      <c r="BB286" s="301"/>
      <c r="BC286" s="426"/>
      <c r="BD286" s="298"/>
      <c r="BE286" s="299"/>
      <c r="BF286" s="299"/>
      <c r="BG286" s="301"/>
      <c r="BH286" s="301"/>
      <c r="BI286" s="88"/>
      <c r="BJ286" s="298"/>
      <c r="BK286" s="299"/>
      <c r="BL286" s="299"/>
      <c r="BM286" s="301"/>
      <c r="BN286" s="301"/>
      <c r="BO286" s="88"/>
      <c r="BP286" s="9"/>
      <c r="BS286" s="81"/>
      <c r="BT286" s="81"/>
      <c r="BV286" s="9"/>
      <c r="BY286" s="81"/>
      <c r="BZ286" s="81"/>
      <c r="CB286" s="9"/>
      <c r="CE286" s="81"/>
      <c r="CF286" s="81"/>
      <c r="CH286" s="9"/>
      <c r="CK286" s="81"/>
      <c r="CL286" s="81"/>
      <c r="CR286" s="9"/>
      <c r="CS286" s="9"/>
      <c r="CT286" s="9"/>
      <c r="CU286" s="9"/>
      <c r="CV286" s="9"/>
      <c r="CW286" s="129"/>
      <c r="CX286" s="9"/>
    </row>
    <row r="287" spans="1:102">
      <c r="A287" s="6" t="str">
        <f t="shared" si="41"/>
        <v>00560998</v>
      </c>
      <c r="B287" s="6" t="s">
        <v>1706</v>
      </c>
      <c r="C287" s="6" t="s">
        <v>2091</v>
      </c>
      <c r="D287" s="6">
        <v>278</v>
      </c>
      <c r="E287" s="6">
        <v>56</v>
      </c>
      <c r="F287" s="6" t="s">
        <v>1547</v>
      </c>
      <c r="G287" s="6">
        <v>998</v>
      </c>
      <c r="H287" s="6" t="s">
        <v>1547</v>
      </c>
      <c r="I287" s="33">
        <v>0</v>
      </c>
      <c r="J287" s="88">
        <v>0</v>
      </c>
      <c r="K287" s="89">
        <f t="shared" si="50"/>
        <v>0</v>
      </c>
      <c r="L287" s="88">
        <f>IF(K289&gt;0, K287/K289, 0)</f>
        <v>0</v>
      </c>
      <c r="M287" s="58"/>
      <c r="N287" s="9">
        <f>ROUND(M289*L287,0)</f>
        <v>0</v>
      </c>
      <c r="O287" s="9">
        <v>0</v>
      </c>
      <c r="P287" s="9">
        <f>N287-O287</f>
        <v>0</v>
      </c>
      <c r="Q287" s="40">
        <f t="shared" si="49"/>
        <v>0</v>
      </c>
      <c r="R287" s="9">
        <v>0</v>
      </c>
      <c r="S287" s="9">
        <f t="shared" si="47"/>
        <v>0</v>
      </c>
      <c r="T287" s="90">
        <f t="shared" si="42"/>
        <v>56</v>
      </c>
      <c r="U287" s="90">
        <f t="shared" si="43"/>
        <v>998</v>
      </c>
      <c r="V287" s="373">
        <f t="shared" si="44"/>
        <v>278</v>
      </c>
      <c r="W287" s="90">
        <f t="shared" si="45"/>
        <v>0</v>
      </c>
      <c r="X287" s="90">
        <f t="shared" si="46"/>
        <v>0</v>
      </c>
      <c r="Y287" s="141">
        <f t="shared" si="48"/>
        <v>278</v>
      </c>
      <c r="Z287" s="298">
        <v>56</v>
      </c>
      <c r="AA287" s="299">
        <v>998</v>
      </c>
      <c r="AB287" s="299">
        <v>278</v>
      </c>
      <c r="AC287" s="301">
        <v>0</v>
      </c>
      <c r="AD287" s="301">
        <v>0</v>
      </c>
      <c r="AE287" s="126"/>
      <c r="AF287" s="298"/>
      <c r="AG287" s="299"/>
      <c r="AH287" s="299"/>
      <c r="AI287" s="301"/>
      <c r="AJ287" s="301"/>
      <c r="AK287" s="426"/>
      <c r="AL287" s="298"/>
      <c r="AM287" s="299"/>
      <c r="AN287" s="299"/>
      <c r="AO287" s="301"/>
      <c r="AP287" s="301"/>
      <c r="AQ287" s="426"/>
      <c r="AR287" s="298"/>
      <c r="AS287" s="299"/>
      <c r="AT287" s="299"/>
      <c r="AU287" s="301"/>
      <c r="AV287" s="301"/>
      <c r="AW287" s="88"/>
      <c r="AX287" s="298"/>
      <c r="AY287" s="299"/>
      <c r="AZ287" s="299"/>
      <c r="BA287" s="301"/>
      <c r="BB287" s="301"/>
      <c r="BC287" s="426"/>
      <c r="BD287" s="298"/>
      <c r="BE287" s="299"/>
      <c r="BF287" s="299"/>
      <c r="BG287" s="301"/>
      <c r="BH287" s="301"/>
      <c r="BI287" s="88"/>
      <c r="BJ287" s="298"/>
      <c r="BK287" s="299"/>
      <c r="BL287" s="299"/>
      <c r="BM287" s="301"/>
      <c r="BN287" s="301"/>
      <c r="BO287" s="88"/>
      <c r="BP287" s="9"/>
      <c r="BS287" s="81"/>
      <c r="BT287" s="81"/>
      <c r="BV287" s="9"/>
      <c r="BY287" s="81"/>
      <c r="BZ287" s="81"/>
      <c r="CB287" s="9"/>
      <c r="CE287" s="81"/>
      <c r="CF287" s="81"/>
      <c r="CH287" s="9"/>
      <c r="CK287" s="81"/>
      <c r="CL287" s="81"/>
      <c r="CR287" s="9"/>
      <c r="CS287" s="9"/>
      <c r="CT287" s="9"/>
      <c r="CU287" s="9"/>
      <c r="CV287" s="9"/>
      <c r="CW287" s="129"/>
      <c r="CX287" s="9"/>
    </row>
    <row r="288" spans="1:102">
      <c r="A288" s="6" t="str">
        <f t="shared" si="41"/>
        <v>00560998</v>
      </c>
      <c r="B288" s="6" t="s">
        <v>1706</v>
      </c>
      <c r="C288" s="6" t="s">
        <v>2091</v>
      </c>
      <c r="D288" s="6">
        <v>279</v>
      </c>
      <c r="E288" s="6">
        <v>56</v>
      </c>
      <c r="F288" s="6" t="s">
        <v>1547</v>
      </c>
      <c r="G288" s="6">
        <v>998</v>
      </c>
      <c r="H288" s="6" t="s">
        <v>1547</v>
      </c>
      <c r="I288" s="33">
        <v>0</v>
      </c>
      <c r="J288" s="88">
        <v>0</v>
      </c>
      <c r="K288" s="89">
        <f t="shared" si="50"/>
        <v>0</v>
      </c>
      <c r="L288" s="88">
        <f>IF(K289&gt;0, K288/K289, 0)</f>
        <v>0</v>
      </c>
      <c r="M288" s="58"/>
      <c r="N288" s="9">
        <f>ROUND(M289*L288,0)</f>
        <v>0</v>
      </c>
      <c r="O288" s="9">
        <v>0</v>
      </c>
      <c r="P288" s="9">
        <f>N288-O288</f>
        <v>0</v>
      </c>
      <c r="Q288" s="40">
        <f t="shared" si="49"/>
        <v>0</v>
      </c>
      <c r="R288" s="9">
        <v>0</v>
      </c>
      <c r="S288" s="9">
        <f t="shared" si="47"/>
        <v>0</v>
      </c>
      <c r="T288" s="90">
        <f t="shared" si="42"/>
        <v>56</v>
      </c>
      <c r="U288" s="90">
        <f t="shared" si="43"/>
        <v>998</v>
      </c>
      <c r="V288" s="373">
        <f t="shared" si="44"/>
        <v>279</v>
      </c>
      <c r="W288" s="90">
        <f t="shared" si="45"/>
        <v>0</v>
      </c>
      <c r="X288" s="90">
        <f t="shared" si="46"/>
        <v>0</v>
      </c>
      <c r="Y288" s="141">
        <f t="shared" si="48"/>
        <v>279</v>
      </c>
      <c r="Z288" s="298">
        <v>56</v>
      </c>
      <c r="AA288" s="299">
        <v>998</v>
      </c>
      <c r="AB288" s="299">
        <v>279</v>
      </c>
      <c r="AC288" s="301">
        <v>0</v>
      </c>
      <c r="AD288" s="301">
        <v>0</v>
      </c>
      <c r="AE288" s="126"/>
      <c r="AF288" s="298"/>
      <c r="AG288" s="299"/>
      <c r="AH288" s="299"/>
      <c r="AI288" s="301"/>
      <c r="AJ288" s="301"/>
      <c r="AK288" s="426"/>
      <c r="AL288" s="298"/>
      <c r="AM288" s="299"/>
      <c r="AN288" s="299"/>
      <c r="AO288" s="301"/>
      <c r="AP288" s="301"/>
      <c r="AQ288" s="426"/>
      <c r="AR288" s="298"/>
      <c r="AS288" s="299"/>
      <c r="AT288" s="299"/>
      <c r="AU288" s="301"/>
      <c r="AV288" s="301"/>
      <c r="AW288" s="88"/>
      <c r="AX288" s="298"/>
      <c r="AY288" s="299"/>
      <c r="AZ288" s="299"/>
      <c r="BA288" s="301"/>
      <c r="BB288" s="301"/>
      <c r="BC288" s="426"/>
      <c r="BD288" s="298"/>
      <c r="BE288" s="299"/>
      <c r="BF288" s="299"/>
      <c r="BG288" s="301"/>
      <c r="BH288" s="301"/>
      <c r="BI288" s="88"/>
      <c r="BJ288" s="298"/>
      <c r="BK288" s="299"/>
      <c r="BL288" s="299"/>
      <c r="BM288" s="301"/>
      <c r="BN288" s="301"/>
      <c r="BO288" s="88"/>
      <c r="BP288" s="9"/>
      <c r="BS288" s="81"/>
      <c r="BT288" s="81"/>
      <c r="BV288" s="9"/>
      <c r="BY288" s="81"/>
      <c r="BZ288" s="81"/>
      <c r="CB288" s="9"/>
      <c r="CE288" s="81"/>
      <c r="CF288" s="81"/>
      <c r="CH288" s="9"/>
      <c r="CK288" s="81"/>
      <c r="CL288" s="81"/>
      <c r="CR288" s="9"/>
      <c r="CS288" s="9"/>
      <c r="CT288" s="9"/>
      <c r="CU288" s="9"/>
      <c r="CV288" s="9"/>
      <c r="CW288" s="129"/>
      <c r="CX288" s="9"/>
    </row>
    <row r="289" spans="1:102">
      <c r="A289" s="6" t="str">
        <f t="shared" si="41"/>
        <v>00560999</v>
      </c>
      <c r="B289" s="6" t="s">
        <v>1706</v>
      </c>
      <c r="C289" s="6" t="s">
        <v>2092</v>
      </c>
      <c r="D289" s="6">
        <v>280</v>
      </c>
      <c r="E289" s="10">
        <v>56</v>
      </c>
      <c r="F289" s="10" t="s">
        <v>1175</v>
      </c>
      <c r="G289" s="10">
        <v>999</v>
      </c>
      <c r="H289" s="10" t="s">
        <v>593</v>
      </c>
      <c r="I289" s="92">
        <v>68125870.349244803</v>
      </c>
      <c r="J289" s="472">
        <v>1</v>
      </c>
      <c r="K289" s="53">
        <f>SUM(K285:K288)</f>
        <v>71380151.427392036</v>
      </c>
      <c r="L289" s="91">
        <f>SUM(L285:L288)</f>
        <v>1</v>
      </c>
      <c r="M289" s="79">
        <f>VLOOKUP(E289,town351,24)</f>
        <v>55987087</v>
      </c>
      <c r="N289" s="79">
        <f>SUM(N285:N288)</f>
        <v>55987087</v>
      </c>
      <c r="O289" s="79">
        <v>53028118</v>
      </c>
      <c r="P289" s="79">
        <f>SUM(P285:P288)</f>
        <v>2958969</v>
      </c>
      <c r="Q289" s="39">
        <f t="shared" si="49"/>
        <v>5.5800000294183549</v>
      </c>
      <c r="R289" s="9">
        <v>5319.9999999974998</v>
      </c>
      <c r="S289" s="9">
        <f t="shared" si="47"/>
        <v>5399.0000000025802</v>
      </c>
      <c r="T289" s="90">
        <f t="shared" si="42"/>
        <v>56</v>
      </c>
      <c r="U289" s="90">
        <f t="shared" si="43"/>
        <v>999</v>
      </c>
      <c r="V289" s="373">
        <f t="shared" si="44"/>
        <v>280</v>
      </c>
      <c r="W289" s="90">
        <f t="shared" si="45"/>
        <v>5399.0000000025802</v>
      </c>
      <c r="X289" s="90">
        <f t="shared" si="46"/>
        <v>71380151.427392036</v>
      </c>
      <c r="Y289" s="141">
        <f t="shared" si="48"/>
        <v>280</v>
      </c>
      <c r="Z289" s="298">
        <v>56</v>
      </c>
      <c r="AA289" s="299">
        <v>999</v>
      </c>
      <c r="AB289" s="299">
        <v>280</v>
      </c>
      <c r="AC289" s="301">
        <v>5399.0000000025802</v>
      </c>
      <c r="AD289" s="301">
        <v>71380151.427392036</v>
      </c>
      <c r="AE289" s="126"/>
      <c r="AF289" s="298"/>
      <c r="AG289" s="299"/>
      <c r="AH289" s="299"/>
      <c r="AI289" s="301"/>
      <c r="AJ289" s="301"/>
      <c r="AK289" s="426"/>
      <c r="AL289" s="298"/>
      <c r="AM289" s="299"/>
      <c r="AN289" s="299"/>
      <c r="AO289" s="301"/>
      <c r="AP289" s="301"/>
      <c r="AQ289" s="426"/>
      <c r="AR289" s="298"/>
      <c r="AS289" s="299"/>
      <c r="AT289" s="299"/>
      <c r="AU289" s="301"/>
      <c r="AV289" s="301"/>
      <c r="AW289" s="91"/>
      <c r="AX289" s="298"/>
      <c r="AY289" s="299"/>
      <c r="AZ289" s="299"/>
      <c r="BA289" s="301"/>
      <c r="BB289" s="301"/>
      <c r="BC289" s="426"/>
      <c r="BD289" s="298"/>
      <c r="BE289" s="299"/>
      <c r="BF289" s="299"/>
      <c r="BG289" s="301"/>
      <c r="BH289" s="301"/>
      <c r="BI289" s="91"/>
      <c r="BJ289" s="298"/>
      <c r="BK289" s="299"/>
      <c r="BL289" s="299"/>
      <c r="BM289" s="301"/>
      <c r="BN289" s="301"/>
      <c r="BO289" s="91"/>
      <c r="BP289" s="9"/>
      <c r="BS289" s="81"/>
      <c r="BT289" s="81"/>
      <c r="BV289" s="9"/>
      <c r="BY289" s="81"/>
      <c r="BZ289" s="81"/>
      <c r="CB289" s="9"/>
      <c r="CE289" s="81"/>
      <c r="CF289" s="81"/>
      <c r="CH289" s="9"/>
      <c r="CK289" s="81"/>
      <c r="CL289" s="81"/>
      <c r="CR289" s="9"/>
      <c r="CS289" s="9"/>
      <c r="CT289" s="9"/>
      <c r="CU289" s="9"/>
      <c r="CV289" s="9"/>
      <c r="CW289" s="129"/>
      <c r="CX289" s="9"/>
    </row>
    <row r="290" spans="1:102">
      <c r="A290" s="6" t="str">
        <f t="shared" si="41"/>
        <v>00570057</v>
      </c>
      <c r="B290" s="6" t="s">
        <v>1707</v>
      </c>
      <c r="C290" s="6" t="s">
        <v>1707</v>
      </c>
      <c r="D290" s="6">
        <v>281</v>
      </c>
      <c r="E290" s="6">
        <v>57</v>
      </c>
      <c r="F290" s="6" t="s">
        <v>1176</v>
      </c>
      <c r="G290" s="6">
        <v>57</v>
      </c>
      <c r="H290" s="6" t="s">
        <v>738</v>
      </c>
      <c r="I290" s="33">
        <v>138863180.45907998</v>
      </c>
      <c r="J290" s="88">
        <v>0.96299432736958424</v>
      </c>
      <c r="K290" s="89">
        <f>X290</f>
        <v>146924932.87000003</v>
      </c>
      <c r="L290" s="88">
        <f>IF(K294&gt;0, K290/K294, 0)</f>
        <v>0.96085964318013239</v>
      </c>
      <c r="M290" s="58"/>
      <c r="N290" s="9">
        <f>ROUND(M294*L290,0)</f>
        <v>23727035</v>
      </c>
      <c r="O290" s="9">
        <v>22081668</v>
      </c>
      <c r="P290" s="9">
        <f>N290-O290</f>
        <v>1645367</v>
      </c>
      <c r="Q290" s="40">
        <f t="shared" si="49"/>
        <v>7.4512804014624257</v>
      </c>
      <c r="R290" s="9">
        <v>7110</v>
      </c>
      <c r="S290" s="9">
        <f t="shared" si="47"/>
        <v>7095</v>
      </c>
      <c r="T290" s="90">
        <f t="shared" si="42"/>
        <v>57</v>
      </c>
      <c r="U290" s="90">
        <f t="shared" si="43"/>
        <v>57</v>
      </c>
      <c r="V290" s="373">
        <f t="shared" si="44"/>
        <v>281</v>
      </c>
      <c r="W290" s="90">
        <f t="shared" si="45"/>
        <v>7095</v>
      </c>
      <c r="X290" s="90">
        <f t="shared" si="46"/>
        <v>146924932.87000003</v>
      </c>
      <c r="Y290" s="141">
        <f t="shared" si="48"/>
        <v>281</v>
      </c>
      <c r="Z290" s="298">
        <v>57</v>
      </c>
      <c r="AA290" s="299">
        <v>57</v>
      </c>
      <c r="AB290" s="299">
        <v>281</v>
      </c>
      <c r="AC290" s="301">
        <v>7095</v>
      </c>
      <c r="AD290" s="301">
        <v>146924932.87000003</v>
      </c>
      <c r="AE290" s="126"/>
      <c r="AF290" s="298"/>
      <c r="AG290" s="299"/>
      <c r="AH290" s="299"/>
      <c r="AI290" s="301"/>
      <c r="AJ290" s="301"/>
      <c r="AK290" s="426"/>
      <c r="AL290" s="298"/>
      <c r="AM290" s="299"/>
      <c r="AN290" s="299"/>
      <c r="AO290" s="301"/>
      <c r="AP290" s="301"/>
      <c r="AQ290" s="426"/>
      <c r="AR290" s="298"/>
      <c r="AS290" s="299"/>
      <c r="AT290" s="299"/>
      <c r="AU290" s="301"/>
      <c r="AV290" s="301"/>
      <c r="AW290" s="88"/>
      <c r="AX290" s="298"/>
      <c r="AY290" s="299"/>
      <c r="AZ290" s="299"/>
      <c r="BA290" s="301"/>
      <c r="BB290" s="301"/>
      <c r="BC290" s="426"/>
      <c r="BD290" s="298"/>
      <c r="BE290" s="299"/>
      <c r="BF290" s="299"/>
      <c r="BG290" s="301"/>
      <c r="BH290" s="301"/>
      <c r="BI290" s="88"/>
      <c r="BJ290" s="298"/>
      <c r="BK290" s="299"/>
      <c r="BL290" s="299"/>
      <c r="BM290" s="301"/>
      <c r="BN290" s="301"/>
      <c r="BO290" s="88"/>
      <c r="BP290" s="9"/>
      <c r="BS290" s="81"/>
      <c r="BT290" s="81"/>
      <c r="BV290" s="9"/>
      <c r="BY290" s="81"/>
      <c r="BZ290" s="81"/>
      <c r="CB290" s="9"/>
      <c r="CE290" s="81"/>
      <c r="CF290" s="81"/>
      <c r="CH290" s="9"/>
      <c r="CK290" s="81"/>
      <c r="CL290" s="81"/>
      <c r="CR290" s="9"/>
      <c r="CS290" s="9"/>
      <c r="CT290" s="9"/>
      <c r="CU290" s="9"/>
      <c r="CV290" s="9"/>
      <c r="CW290" s="129"/>
      <c r="CX290" s="9"/>
    </row>
    <row r="291" spans="1:102">
      <c r="A291" s="6" t="str">
        <f t="shared" si="41"/>
        <v>00570853</v>
      </c>
      <c r="B291" s="6" t="s">
        <v>1707</v>
      </c>
      <c r="C291" s="6" t="s">
        <v>2078</v>
      </c>
      <c r="D291" s="6">
        <v>282</v>
      </c>
      <c r="E291" s="6">
        <v>57</v>
      </c>
      <c r="F291" s="6" t="s">
        <v>1176</v>
      </c>
      <c r="G291" s="6">
        <v>853</v>
      </c>
      <c r="H291" s="6" t="s">
        <v>1108</v>
      </c>
      <c r="I291" s="33">
        <v>5336194.8772050263</v>
      </c>
      <c r="J291" s="88">
        <v>3.7005672630415869E-2</v>
      </c>
      <c r="K291" s="89">
        <f t="shared" si="50"/>
        <v>5984947.2699612621</v>
      </c>
      <c r="L291" s="88">
        <f>IF(K294&gt;0, K291/K294, 0)</f>
        <v>3.9140356819867536E-2</v>
      </c>
      <c r="M291" s="58"/>
      <c r="N291" s="9">
        <f>ROUND(M294*L291,0)</f>
        <v>966514</v>
      </c>
      <c r="O291" s="9">
        <v>848548</v>
      </c>
      <c r="P291" s="9">
        <f>N291-O291</f>
        <v>117966</v>
      </c>
      <c r="Q291" s="40">
        <f t="shared" si="49"/>
        <v>13.902101000768372</v>
      </c>
      <c r="R291" s="9">
        <v>232.00000000632002</v>
      </c>
      <c r="S291" s="9">
        <f t="shared" si="47"/>
        <v>252.00000000599999</v>
      </c>
      <c r="T291" s="90">
        <f t="shared" si="42"/>
        <v>57</v>
      </c>
      <c r="U291" s="90">
        <f t="shared" si="43"/>
        <v>853</v>
      </c>
      <c r="V291" s="373">
        <f t="shared" si="44"/>
        <v>282</v>
      </c>
      <c r="W291" s="90">
        <f t="shared" si="45"/>
        <v>252.00000000599999</v>
      </c>
      <c r="X291" s="90">
        <f t="shared" si="46"/>
        <v>5984947.2699612621</v>
      </c>
      <c r="Y291" s="141">
        <f t="shared" si="48"/>
        <v>282</v>
      </c>
      <c r="Z291" s="298">
        <v>57</v>
      </c>
      <c r="AA291" s="299">
        <v>853</v>
      </c>
      <c r="AB291" s="299">
        <v>282</v>
      </c>
      <c r="AC291" s="301">
        <v>252.00000000599999</v>
      </c>
      <c r="AD291" s="301">
        <v>5984947.2699612621</v>
      </c>
      <c r="AE291" s="126"/>
      <c r="AF291" s="298"/>
      <c r="AG291" s="299"/>
      <c r="AH291" s="299"/>
      <c r="AI291" s="301"/>
      <c r="AJ291" s="301"/>
      <c r="AK291" s="426"/>
      <c r="AL291" s="298"/>
      <c r="AM291" s="299"/>
      <c r="AN291" s="299"/>
      <c r="AO291" s="301"/>
      <c r="AP291" s="301"/>
      <c r="AQ291" s="426"/>
      <c r="AR291" s="298"/>
      <c r="AS291" s="299"/>
      <c r="AT291" s="299"/>
      <c r="AU291" s="301"/>
      <c r="AV291" s="301"/>
      <c r="AW291" s="88"/>
      <c r="AX291" s="298"/>
      <c r="AY291" s="299"/>
      <c r="AZ291" s="299"/>
      <c r="BA291" s="301"/>
      <c r="BB291" s="301"/>
      <c r="BC291" s="426"/>
      <c r="BD291" s="298"/>
      <c r="BE291" s="299"/>
      <c r="BF291" s="299"/>
      <c r="BG291" s="301"/>
      <c r="BH291" s="301"/>
      <c r="BI291" s="88"/>
      <c r="BJ291" s="298"/>
      <c r="BK291" s="299"/>
      <c r="BL291" s="299"/>
      <c r="BM291" s="301"/>
      <c r="BN291" s="301"/>
      <c r="BO291" s="88"/>
      <c r="BP291" s="9"/>
      <c r="BS291" s="81"/>
      <c r="BT291" s="81"/>
      <c r="BV291" s="9"/>
      <c r="BY291" s="81"/>
      <c r="BZ291" s="81"/>
      <c r="CB291" s="9"/>
      <c r="CE291" s="81"/>
      <c r="CF291" s="81"/>
      <c r="CH291" s="9"/>
      <c r="CK291" s="81"/>
      <c r="CL291" s="81"/>
      <c r="CR291" s="9"/>
      <c r="CS291" s="9"/>
      <c r="CT291" s="9"/>
      <c r="CU291" s="9"/>
      <c r="CV291" s="9"/>
      <c r="CW291" s="129"/>
      <c r="CX291" s="9"/>
    </row>
    <row r="292" spans="1:102">
      <c r="A292" s="6" t="str">
        <f t="shared" si="41"/>
        <v>00570998</v>
      </c>
      <c r="B292" s="6" t="s">
        <v>1707</v>
      </c>
      <c r="C292" s="6" t="s">
        <v>2091</v>
      </c>
      <c r="D292" s="6">
        <v>283</v>
      </c>
      <c r="E292" s="6">
        <v>57</v>
      </c>
      <c r="F292" s="6" t="s">
        <v>1547</v>
      </c>
      <c r="G292" s="6">
        <v>998</v>
      </c>
      <c r="H292" s="6" t="s">
        <v>1547</v>
      </c>
      <c r="I292" s="33">
        <v>0</v>
      </c>
      <c r="J292" s="88">
        <v>0</v>
      </c>
      <c r="K292" s="89">
        <f t="shared" si="50"/>
        <v>0</v>
      </c>
      <c r="L292" s="88">
        <f>IF(K294&gt;0, K292/K294, 0)</f>
        <v>0</v>
      </c>
      <c r="M292" s="58"/>
      <c r="N292" s="9">
        <f>ROUND(M294*L292,0)</f>
        <v>0</v>
      </c>
      <c r="O292" s="9">
        <v>0</v>
      </c>
      <c r="P292" s="9">
        <f>N292-O292</f>
        <v>0</v>
      </c>
      <c r="Q292" s="40">
        <f t="shared" si="49"/>
        <v>0</v>
      </c>
      <c r="R292" s="9">
        <v>0</v>
      </c>
      <c r="S292" s="9">
        <f t="shared" si="47"/>
        <v>0</v>
      </c>
      <c r="T292" s="90">
        <f t="shared" si="42"/>
        <v>57</v>
      </c>
      <c r="U292" s="90">
        <f t="shared" si="43"/>
        <v>998</v>
      </c>
      <c r="V292" s="373">
        <f t="shared" si="44"/>
        <v>283</v>
      </c>
      <c r="W292" s="90">
        <f t="shared" si="45"/>
        <v>0</v>
      </c>
      <c r="X292" s="90">
        <f t="shared" si="46"/>
        <v>0</v>
      </c>
      <c r="Y292" s="141">
        <f t="shared" si="48"/>
        <v>283</v>
      </c>
      <c r="Z292" s="298">
        <v>57</v>
      </c>
      <c r="AA292" s="299">
        <v>998</v>
      </c>
      <c r="AB292" s="299">
        <v>283</v>
      </c>
      <c r="AC292" s="301">
        <v>0</v>
      </c>
      <c r="AD292" s="301">
        <v>0</v>
      </c>
      <c r="AE292" s="126"/>
      <c r="AF292" s="298"/>
      <c r="AG292" s="299"/>
      <c r="AH292" s="299"/>
      <c r="AI292" s="301"/>
      <c r="AJ292" s="301"/>
      <c r="AK292" s="426"/>
      <c r="AL292" s="298"/>
      <c r="AM292" s="299"/>
      <c r="AN292" s="299"/>
      <c r="AO292" s="301"/>
      <c r="AP292" s="301"/>
      <c r="AQ292" s="426"/>
      <c r="AR292" s="298"/>
      <c r="AS292" s="299"/>
      <c r="AT292" s="299"/>
      <c r="AU292" s="301"/>
      <c r="AV292" s="301"/>
      <c r="AW292" s="88"/>
      <c r="AX292" s="298"/>
      <c r="AY292" s="299"/>
      <c r="AZ292" s="299"/>
      <c r="BA292" s="301"/>
      <c r="BB292" s="301"/>
      <c r="BC292" s="426"/>
      <c r="BD292" s="298"/>
      <c r="BE292" s="299"/>
      <c r="BF292" s="299"/>
      <c r="BG292" s="301"/>
      <c r="BH292" s="301"/>
      <c r="BI292" s="88"/>
      <c r="BJ292" s="298"/>
      <c r="BK292" s="299"/>
      <c r="BL292" s="299"/>
      <c r="BM292" s="301"/>
      <c r="BN292" s="301"/>
      <c r="BO292" s="88"/>
      <c r="BP292" s="9"/>
      <c r="BS292" s="81"/>
      <c r="BT292" s="81"/>
      <c r="BV292" s="9"/>
      <c r="BY292" s="81"/>
      <c r="BZ292" s="81"/>
      <c r="CB292" s="9"/>
      <c r="CE292" s="81"/>
      <c r="CF292" s="81"/>
      <c r="CH292" s="9"/>
      <c r="CK292" s="81"/>
      <c r="CL292" s="81"/>
      <c r="CR292" s="9"/>
      <c r="CS292" s="9"/>
      <c r="CT292" s="9"/>
      <c r="CU292" s="9"/>
      <c r="CV292" s="9"/>
      <c r="CW292" s="129"/>
      <c r="CX292" s="9"/>
    </row>
    <row r="293" spans="1:102">
      <c r="A293" s="6" t="str">
        <f t="shared" si="41"/>
        <v>00570998</v>
      </c>
      <c r="B293" s="6" t="s">
        <v>1707</v>
      </c>
      <c r="C293" s="6" t="s">
        <v>2091</v>
      </c>
      <c r="D293" s="6">
        <v>284</v>
      </c>
      <c r="E293" s="6">
        <v>57</v>
      </c>
      <c r="F293" s="6" t="s">
        <v>1547</v>
      </c>
      <c r="G293" s="6">
        <v>998</v>
      </c>
      <c r="H293" s="6" t="s">
        <v>1547</v>
      </c>
      <c r="I293" s="33">
        <v>0</v>
      </c>
      <c r="J293" s="88">
        <v>0</v>
      </c>
      <c r="K293" s="89">
        <f t="shared" si="50"/>
        <v>0</v>
      </c>
      <c r="L293" s="88">
        <f>IF(K294&gt;0, K293/K294, 0)</f>
        <v>0</v>
      </c>
      <c r="M293" s="58"/>
      <c r="N293" s="9">
        <f>ROUND(M294*L293,0)</f>
        <v>0</v>
      </c>
      <c r="O293" s="9">
        <v>0</v>
      </c>
      <c r="P293" s="9">
        <f>N293-O293</f>
        <v>0</v>
      </c>
      <c r="Q293" s="40">
        <f t="shared" si="49"/>
        <v>0</v>
      </c>
      <c r="R293" s="9">
        <v>0</v>
      </c>
      <c r="S293" s="9">
        <f t="shared" si="47"/>
        <v>0</v>
      </c>
      <c r="T293" s="90">
        <f t="shared" si="42"/>
        <v>57</v>
      </c>
      <c r="U293" s="90">
        <f t="shared" si="43"/>
        <v>998</v>
      </c>
      <c r="V293" s="373">
        <f t="shared" si="44"/>
        <v>284</v>
      </c>
      <c r="W293" s="90">
        <f t="shared" si="45"/>
        <v>0</v>
      </c>
      <c r="X293" s="90">
        <f t="shared" si="46"/>
        <v>0</v>
      </c>
      <c r="Y293" s="141">
        <f t="shared" si="48"/>
        <v>284</v>
      </c>
      <c r="Z293" s="298">
        <v>57</v>
      </c>
      <c r="AA293" s="299">
        <v>998</v>
      </c>
      <c r="AB293" s="299">
        <v>284</v>
      </c>
      <c r="AC293" s="301">
        <v>0</v>
      </c>
      <c r="AD293" s="301">
        <v>0</v>
      </c>
      <c r="AE293" s="126"/>
      <c r="AF293" s="298"/>
      <c r="AG293" s="299"/>
      <c r="AH293" s="299"/>
      <c r="AI293" s="301"/>
      <c r="AJ293" s="301"/>
      <c r="AK293" s="426"/>
      <c r="AL293" s="298"/>
      <c r="AM293" s="299"/>
      <c r="AN293" s="299"/>
      <c r="AO293" s="301"/>
      <c r="AP293" s="301"/>
      <c r="AQ293" s="426"/>
      <c r="AR293" s="298"/>
      <c r="AS293" s="299"/>
      <c r="AT293" s="299"/>
      <c r="AU293" s="301"/>
      <c r="AV293" s="301"/>
      <c r="AW293" s="88"/>
      <c r="AX293" s="298"/>
      <c r="AY293" s="299"/>
      <c r="AZ293" s="299"/>
      <c r="BA293" s="301"/>
      <c r="BB293" s="301"/>
      <c r="BC293" s="426"/>
      <c r="BD293" s="298"/>
      <c r="BE293" s="299"/>
      <c r="BF293" s="299"/>
      <c r="BG293" s="301"/>
      <c r="BH293" s="301"/>
      <c r="BI293" s="88"/>
      <c r="BJ293" s="298"/>
      <c r="BK293" s="299"/>
      <c r="BL293" s="299"/>
      <c r="BM293" s="301"/>
      <c r="BN293" s="301"/>
      <c r="BO293" s="88"/>
      <c r="BP293" s="9"/>
      <c r="BS293" s="81"/>
      <c r="BT293" s="81"/>
      <c r="BV293" s="9"/>
      <c r="BY293" s="81"/>
      <c r="BZ293" s="81"/>
      <c r="CB293" s="9"/>
      <c r="CE293" s="81"/>
      <c r="CF293" s="81"/>
      <c r="CH293" s="9"/>
      <c r="CK293" s="81"/>
      <c r="CL293" s="81"/>
      <c r="CR293" s="9"/>
      <c r="CS293" s="9"/>
      <c r="CT293" s="9"/>
      <c r="CU293" s="9"/>
      <c r="CV293" s="9"/>
      <c r="CW293" s="129"/>
      <c r="CX293" s="9"/>
    </row>
    <row r="294" spans="1:102">
      <c r="A294" s="6" t="str">
        <f t="shared" si="41"/>
        <v>00570999</v>
      </c>
      <c r="B294" s="6" t="s">
        <v>1707</v>
      </c>
      <c r="C294" s="6" t="s">
        <v>2092</v>
      </c>
      <c r="D294" s="6">
        <v>285</v>
      </c>
      <c r="E294" s="10">
        <v>57</v>
      </c>
      <c r="F294" s="10" t="s">
        <v>1176</v>
      </c>
      <c r="G294" s="10">
        <v>999</v>
      </c>
      <c r="H294" s="10" t="s">
        <v>593</v>
      </c>
      <c r="I294" s="92">
        <v>144199375.336285</v>
      </c>
      <c r="J294" s="472">
        <v>1</v>
      </c>
      <c r="K294" s="53">
        <f>SUM(K290:K293)</f>
        <v>152909880.1399613</v>
      </c>
      <c r="L294" s="91">
        <f>SUM(L290:L293)</f>
        <v>0.99999999999999989</v>
      </c>
      <c r="M294" s="79">
        <f>VLOOKUP(E294,town351,24)</f>
        <v>24693549</v>
      </c>
      <c r="N294" s="79">
        <f>SUM(N290:N293)</f>
        <v>24693549</v>
      </c>
      <c r="O294" s="79">
        <v>22930216</v>
      </c>
      <c r="P294" s="79">
        <f>SUM(P290:P293)</f>
        <v>1763333</v>
      </c>
      <c r="Q294" s="39">
        <f t="shared" si="49"/>
        <v>7.6899973380102482</v>
      </c>
      <c r="R294" s="9">
        <v>7342.0000000063201</v>
      </c>
      <c r="S294" s="9">
        <f t="shared" si="47"/>
        <v>7347.0000000059999</v>
      </c>
      <c r="T294" s="90">
        <f t="shared" si="42"/>
        <v>57</v>
      </c>
      <c r="U294" s="90">
        <f t="shared" si="43"/>
        <v>999</v>
      </c>
      <c r="V294" s="373">
        <f t="shared" si="44"/>
        <v>285</v>
      </c>
      <c r="W294" s="90">
        <f t="shared" si="45"/>
        <v>7347.0000000059999</v>
      </c>
      <c r="X294" s="90">
        <f t="shared" si="46"/>
        <v>152909880.1399613</v>
      </c>
      <c r="Y294" s="141">
        <f t="shared" si="48"/>
        <v>285</v>
      </c>
      <c r="Z294" s="298">
        <v>57</v>
      </c>
      <c r="AA294" s="299">
        <v>999</v>
      </c>
      <c r="AB294" s="299">
        <v>285</v>
      </c>
      <c r="AC294" s="301">
        <v>7347.0000000059999</v>
      </c>
      <c r="AD294" s="301">
        <v>152909880.1399613</v>
      </c>
      <c r="AE294" s="126"/>
      <c r="AF294" s="298"/>
      <c r="AG294" s="299"/>
      <c r="AH294" s="299"/>
      <c r="AI294" s="301"/>
      <c r="AJ294" s="301"/>
      <c r="AK294" s="426"/>
      <c r="AL294" s="298"/>
      <c r="AM294" s="299"/>
      <c r="AN294" s="299"/>
      <c r="AO294" s="301"/>
      <c r="AP294" s="301"/>
      <c r="AQ294" s="426"/>
      <c r="AR294" s="298"/>
      <c r="AS294" s="299"/>
      <c r="AT294" s="299"/>
      <c r="AU294" s="301"/>
      <c r="AV294" s="301"/>
      <c r="AW294" s="91"/>
      <c r="AX294" s="298"/>
      <c r="AY294" s="299"/>
      <c r="AZ294" s="299"/>
      <c r="BA294" s="301"/>
      <c r="BB294" s="301"/>
      <c r="BC294" s="426"/>
      <c r="BD294" s="298"/>
      <c r="BE294" s="299"/>
      <c r="BF294" s="299"/>
      <c r="BG294" s="301"/>
      <c r="BH294" s="301"/>
      <c r="BI294" s="91"/>
      <c r="BJ294" s="298"/>
      <c r="BK294" s="299"/>
      <c r="BL294" s="299"/>
      <c r="BM294" s="301"/>
      <c r="BN294" s="301"/>
      <c r="BO294" s="91"/>
      <c r="BP294" s="9"/>
      <c r="BS294" s="81"/>
      <c r="BT294" s="81"/>
      <c r="BV294" s="9"/>
      <c r="BY294" s="81"/>
      <c r="BZ294" s="81"/>
      <c r="CB294" s="9"/>
      <c r="CE294" s="81"/>
      <c r="CF294" s="81"/>
      <c r="CH294" s="9"/>
      <c r="CK294" s="81"/>
      <c r="CL294" s="81"/>
      <c r="CR294" s="9"/>
      <c r="CS294" s="9"/>
      <c r="CT294" s="9"/>
      <c r="CU294" s="9"/>
      <c r="CV294" s="9"/>
      <c r="CW294" s="129"/>
      <c r="CX294" s="9"/>
    </row>
    <row r="295" spans="1:102">
      <c r="A295" s="6" t="str">
        <f t="shared" si="41"/>
        <v>00580058</v>
      </c>
      <c r="B295" s="6" t="s">
        <v>1708</v>
      </c>
      <c r="C295" s="6" t="s">
        <v>1708</v>
      </c>
      <c r="D295" s="6">
        <v>286</v>
      </c>
      <c r="E295" s="6">
        <v>58</v>
      </c>
      <c r="F295" s="6" t="s">
        <v>1177</v>
      </c>
      <c r="G295" s="6">
        <v>58</v>
      </c>
      <c r="H295" s="6" t="s">
        <v>739</v>
      </c>
      <c r="I295" s="33">
        <v>32981.520000000004</v>
      </c>
      <c r="J295" s="88">
        <v>6.0044388395532004E-3</v>
      </c>
      <c r="K295" s="89">
        <f>X295</f>
        <v>16860.330000000002</v>
      </c>
      <c r="L295" s="88">
        <f>IF(K299&gt;0, K295/K299, 0)</f>
        <v>2.9554081910089496E-3</v>
      </c>
      <c r="M295" s="58"/>
      <c r="N295" s="9">
        <f>ROUND(M299*L295,0)</f>
        <v>8468</v>
      </c>
      <c r="O295" s="9">
        <v>16631</v>
      </c>
      <c r="P295" s="9">
        <f>N295-O295</f>
        <v>-8163</v>
      </c>
      <c r="Q295" s="40">
        <f t="shared" si="49"/>
        <v>-49.083037700679455</v>
      </c>
      <c r="R295" s="9">
        <v>2</v>
      </c>
      <c r="S295" s="9">
        <f t="shared" si="47"/>
        <v>1</v>
      </c>
      <c r="T295" s="90">
        <f t="shared" si="42"/>
        <v>58</v>
      </c>
      <c r="U295" s="90">
        <f t="shared" si="43"/>
        <v>58</v>
      </c>
      <c r="V295" s="373">
        <f t="shared" si="44"/>
        <v>286</v>
      </c>
      <c r="W295" s="90">
        <f t="shared" si="45"/>
        <v>1</v>
      </c>
      <c r="X295" s="90">
        <f t="shared" si="46"/>
        <v>16860.330000000002</v>
      </c>
      <c r="Y295" s="141">
        <f t="shared" si="48"/>
        <v>286</v>
      </c>
      <c r="Z295" s="298">
        <v>58</v>
      </c>
      <c r="AA295" s="299">
        <v>58</v>
      </c>
      <c r="AB295" s="299">
        <v>286</v>
      </c>
      <c r="AC295" s="301">
        <v>1</v>
      </c>
      <c r="AD295" s="301">
        <v>16860.330000000002</v>
      </c>
      <c r="AE295" s="126"/>
      <c r="AF295" s="298"/>
      <c r="AG295" s="299"/>
      <c r="AH295" s="299"/>
      <c r="AI295" s="301"/>
      <c r="AJ295" s="301"/>
      <c r="AK295" s="426"/>
      <c r="AL295" s="298"/>
      <c r="AM295" s="299"/>
      <c r="AN295" s="299"/>
      <c r="AO295" s="301"/>
      <c r="AP295" s="301"/>
      <c r="AQ295" s="426"/>
      <c r="AR295" s="298"/>
      <c r="AS295" s="299"/>
      <c r="AT295" s="299"/>
      <c r="AU295" s="301"/>
      <c r="AV295" s="301"/>
      <c r="AW295" s="88"/>
      <c r="AX295" s="298"/>
      <c r="AY295" s="299"/>
      <c r="AZ295" s="299"/>
      <c r="BA295" s="301"/>
      <c r="BB295" s="301"/>
      <c r="BC295" s="426"/>
      <c r="BD295" s="298"/>
      <c r="BE295" s="299"/>
      <c r="BF295" s="299"/>
      <c r="BG295" s="301"/>
      <c r="BH295" s="301"/>
      <c r="BI295" s="88"/>
      <c r="BJ295" s="298"/>
      <c r="BK295" s="299"/>
      <c r="BL295" s="299"/>
      <c r="BM295" s="301"/>
      <c r="BN295" s="301"/>
      <c r="BO295" s="88"/>
      <c r="BP295" s="9"/>
      <c r="BS295" s="81"/>
      <c r="BT295" s="81"/>
      <c r="BV295" s="9"/>
      <c r="BY295" s="81"/>
      <c r="BZ295" s="81"/>
      <c r="CB295" s="9"/>
      <c r="CE295" s="81"/>
      <c r="CF295" s="81"/>
      <c r="CH295" s="9"/>
      <c r="CK295" s="81"/>
      <c r="CL295" s="81"/>
      <c r="CR295" s="9"/>
      <c r="CS295" s="9"/>
      <c r="CT295" s="9"/>
      <c r="CU295" s="9"/>
      <c r="CV295" s="9"/>
      <c r="CW295" s="129"/>
      <c r="CX295" s="9"/>
    </row>
    <row r="296" spans="1:102">
      <c r="A296" s="6" t="str">
        <f t="shared" si="41"/>
        <v>00580603</v>
      </c>
      <c r="B296" s="6" t="s">
        <v>1708</v>
      </c>
      <c r="C296" s="6" t="s">
        <v>2005</v>
      </c>
      <c r="D296" s="6">
        <v>287</v>
      </c>
      <c r="E296" s="6">
        <v>58</v>
      </c>
      <c r="F296" s="6" t="s">
        <v>1177</v>
      </c>
      <c r="G296" s="6">
        <v>603</v>
      </c>
      <c r="H296" s="6" t="s">
        <v>2176</v>
      </c>
      <c r="I296" s="33">
        <v>4402013.4873628132</v>
      </c>
      <c r="J296" s="88">
        <v>0.8014069926358246</v>
      </c>
      <c r="K296" s="89">
        <f t="shared" si="50"/>
        <v>4679540.6578558804</v>
      </c>
      <c r="L296" s="88">
        <f>IF(K299&gt;0, K296/K299, 0)</f>
        <v>0.82026584238782263</v>
      </c>
      <c r="M296" s="58"/>
      <c r="N296" s="9">
        <f>ROUND(M299*L296,0)</f>
        <v>2350342</v>
      </c>
      <c r="O296" s="9">
        <v>2219724</v>
      </c>
      <c r="P296" s="9">
        <f>N296-O296</f>
        <v>130618</v>
      </c>
      <c r="Q296" s="40">
        <f t="shared" si="49"/>
        <v>5.8844252708895342</v>
      </c>
      <c r="R296" s="9">
        <v>289.91652470489998</v>
      </c>
      <c r="S296" s="9">
        <f t="shared" si="47"/>
        <v>296.81687763922997</v>
      </c>
      <c r="T296" s="90">
        <f t="shared" si="42"/>
        <v>58</v>
      </c>
      <c r="U296" s="90">
        <f t="shared" si="43"/>
        <v>603</v>
      </c>
      <c r="V296" s="373">
        <f t="shared" si="44"/>
        <v>287</v>
      </c>
      <c r="W296" s="90">
        <f t="shared" si="45"/>
        <v>296.81687763922997</v>
      </c>
      <c r="X296" s="90">
        <f t="shared" si="46"/>
        <v>4679540.6578558804</v>
      </c>
      <c r="Y296" s="141">
        <f t="shared" si="48"/>
        <v>287</v>
      </c>
      <c r="Z296" s="298">
        <v>58</v>
      </c>
      <c r="AA296" s="299">
        <v>603</v>
      </c>
      <c r="AB296" s="299">
        <v>287</v>
      </c>
      <c r="AC296" s="301">
        <v>296.81687763922997</v>
      </c>
      <c r="AD296" s="301">
        <v>4679540.6578558804</v>
      </c>
      <c r="AE296" s="126"/>
      <c r="AF296" s="298"/>
      <c r="AG296" s="299"/>
      <c r="AH296" s="299"/>
      <c r="AI296" s="301"/>
      <c r="AJ296" s="301"/>
      <c r="AK296" s="426"/>
      <c r="AL296" s="298"/>
      <c r="AM296" s="299"/>
      <c r="AN296" s="299"/>
      <c r="AO296" s="301"/>
      <c r="AP296" s="301"/>
      <c r="AQ296" s="426"/>
      <c r="AR296" s="298"/>
      <c r="AS296" s="299"/>
      <c r="AT296" s="299"/>
      <c r="AU296" s="301"/>
      <c r="AV296" s="301"/>
      <c r="AW296" s="88"/>
      <c r="AX296" s="298"/>
      <c r="AY296" s="299"/>
      <c r="AZ296" s="299"/>
      <c r="BA296" s="301"/>
      <c r="BB296" s="301"/>
      <c r="BC296" s="426"/>
      <c r="BD296" s="298"/>
      <c r="BE296" s="299"/>
      <c r="BF296" s="299"/>
      <c r="BG296" s="301"/>
      <c r="BH296" s="301"/>
      <c r="BI296" s="88"/>
      <c r="BJ296" s="298"/>
      <c r="BK296" s="299"/>
      <c r="BL296" s="299"/>
      <c r="BM296" s="301"/>
      <c r="BN296" s="301"/>
      <c r="BO296" s="88"/>
      <c r="BP296" s="9"/>
      <c r="BS296" s="81"/>
      <c r="BT296" s="81"/>
      <c r="BV296" s="9"/>
      <c r="BY296" s="81"/>
      <c r="BZ296" s="81"/>
      <c r="CB296" s="9"/>
      <c r="CE296" s="81"/>
      <c r="CF296" s="81"/>
      <c r="CH296" s="9"/>
      <c r="CK296" s="81"/>
      <c r="CL296" s="81"/>
      <c r="CR296" s="9"/>
      <c r="CS296" s="9"/>
      <c r="CT296" s="9"/>
      <c r="CU296" s="9"/>
      <c r="CV296" s="9"/>
      <c r="CW296" s="129"/>
      <c r="CX296" s="9"/>
    </row>
    <row r="297" spans="1:102">
      <c r="A297" s="6" t="str">
        <f t="shared" si="41"/>
        <v>00580851</v>
      </c>
      <c r="B297" s="6" t="s">
        <v>1708</v>
      </c>
      <c r="C297" s="6" t="s">
        <v>2076</v>
      </c>
      <c r="D297" s="6">
        <v>288</v>
      </c>
      <c r="E297" s="6">
        <v>58</v>
      </c>
      <c r="F297" s="6" t="s">
        <v>1177</v>
      </c>
      <c r="G297" s="6">
        <v>851</v>
      </c>
      <c r="H297" s="6" t="s">
        <v>1106</v>
      </c>
      <c r="I297" s="33">
        <v>1057861.3413004396</v>
      </c>
      <c r="J297" s="88">
        <v>0.19258856852462233</v>
      </c>
      <c r="K297" s="89">
        <f t="shared" si="50"/>
        <v>1008506.3922119929</v>
      </c>
      <c r="L297" s="88">
        <f>IF(K299&gt;0, K297/K299, 0)</f>
        <v>0.17677874942116839</v>
      </c>
      <c r="M297" s="58"/>
      <c r="N297" s="9">
        <f>ROUND(M299*L297,0)</f>
        <v>506532</v>
      </c>
      <c r="O297" s="9">
        <v>533429</v>
      </c>
      <c r="P297" s="9">
        <f>N297-O297</f>
        <v>-26897</v>
      </c>
      <c r="Q297" s="40">
        <f t="shared" si="49"/>
        <v>-5.0422830404796137</v>
      </c>
      <c r="R297" s="9">
        <v>49.9999999992</v>
      </c>
      <c r="S297" s="9">
        <f t="shared" si="47"/>
        <v>46.000000001259998</v>
      </c>
      <c r="T297" s="90">
        <f t="shared" si="42"/>
        <v>58</v>
      </c>
      <c r="U297" s="90">
        <f t="shared" si="43"/>
        <v>851</v>
      </c>
      <c r="V297" s="373">
        <f t="shared" si="44"/>
        <v>288</v>
      </c>
      <c r="W297" s="90">
        <f t="shared" si="45"/>
        <v>46.000000001259998</v>
      </c>
      <c r="X297" s="90">
        <f t="shared" si="46"/>
        <v>1008506.3922119929</v>
      </c>
      <c r="Y297" s="141">
        <f t="shared" si="48"/>
        <v>288</v>
      </c>
      <c r="Z297" s="298">
        <v>58</v>
      </c>
      <c r="AA297" s="299">
        <v>851</v>
      </c>
      <c r="AB297" s="299">
        <v>288</v>
      </c>
      <c r="AC297" s="301">
        <v>46.000000001259998</v>
      </c>
      <c r="AD297" s="301">
        <v>1008506.3922119929</v>
      </c>
      <c r="AE297" s="126"/>
      <c r="AF297" s="298"/>
      <c r="AG297" s="299"/>
      <c r="AH297" s="299"/>
      <c r="AI297" s="301"/>
      <c r="AJ297" s="301"/>
      <c r="AK297" s="426"/>
      <c r="AL297" s="298"/>
      <c r="AM297" s="299"/>
      <c r="AN297" s="299"/>
      <c r="AO297" s="301"/>
      <c r="AP297" s="301"/>
      <c r="AQ297" s="426"/>
      <c r="AR297" s="298"/>
      <c r="AS297" s="299"/>
      <c r="AT297" s="299"/>
      <c r="AU297" s="301"/>
      <c r="AV297" s="301"/>
      <c r="AW297" s="88"/>
      <c r="AX297" s="298"/>
      <c r="AY297" s="299"/>
      <c r="AZ297" s="299"/>
      <c r="BA297" s="301"/>
      <c r="BB297" s="301"/>
      <c r="BC297" s="426"/>
      <c r="BD297" s="298"/>
      <c r="BE297" s="299"/>
      <c r="BF297" s="299"/>
      <c r="BG297" s="301"/>
      <c r="BH297" s="301"/>
      <c r="BI297" s="88"/>
      <c r="BJ297" s="298"/>
      <c r="BK297" s="299"/>
      <c r="BL297" s="299"/>
      <c r="BM297" s="301"/>
      <c r="BN297" s="301"/>
      <c r="BO297" s="88"/>
      <c r="BP297" s="9"/>
      <c r="BS297" s="81"/>
      <c r="BT297" s="81"/>
      <c r="BV297" s="9"/>
      <c r="BY297" s="81"/>
      <c r="BZ297" s="81"/>
      <c r="CB297" s="9"/>
      <c r="CE297" s="81"/>
      <c r="CF297" s="81"/>
      <c r="CH297" s="9"/>
      <c r="CK297" s="81"/>
      <c r="CL297" s="81"/>
      <c r="CR297" s="9"/>
      <c r="CS297" s="9"/>
      <c r="CT297" s="9"/>
      <c r="CU297" s="9"/>
      <c r="CV297" s="9"/>
      <c r="CW297" s="129"/>
      <c r="CX297" s="9"/>
    </row>
    <row r="298" spans="1:102">
      <c r="A298" s="6" t="str">
        <f t="shared" si="41"/>
        <v>00580998</v>
      </c>
      <c r="B298" s="6" t="s">
        <v>1708</v>
      </c>
      <c r="C298" s="6" t="s">
        <v>2091</v>
      </c>
      <c r="D298" s="6">
        <v>289</v>
      </c>
      <c r="E298" s="6">
        <v>58</v>
      </c>
      <c r="F298" s="6" t="s">
        <v>1547</v>
      </c>
      <c r="G298" s="6">
        <v>998</v>
      </c>
      <c r="H298" s="6" t="s">
        <v>1547</v>
      </c>
      <c r="I298" s="33">
        <v>0</v>
      </c>
      <c r="J298" s="88">
        <v>0</v>
      </c>
      <c r="K298" s="89">
        <f t="shared" si="50"/>
        <v>0</v>
      </c>
      <c r="L298" s="88">
        <f>IF(K299&gt;0, K298/K299, 0)</f>
        <v>0</v>
      </c>
      <c r="M298" s="58"/>
      <c r="N298" s="9">
        <f>ROUND(M299*L298,0)</f>
        <v>0</v>
      </c>
      <c r="O298" s="9">
        <v>0</v>
      </c>
      <c r="P298" s="9">
        <f>N298-O298</f>
        <v>0</v>
      </c>
      <c r="Q298" s="40">
        <f t="shared" si="49"/>
        <v>0</v>
      </c>
      <c r="R298" s="9">
        <v>0</v>
      </c>
      <c r="S298" s="9">
        <f t="shared" si="47"/>
        <v>0</v>
      </c>
      <c r="T298" s="90">
        <f t="shared" si="42"/>
        <v>58</v>
      </c>
      <c r="U298" s="90">
        <f t="shared" si="43"/>
        <v>998</v>
      </c>
      <c r="V298" s="373">
        <f t="shared" si="44"/>
        <v>289</v>
      </c>
      <c r="W298" s="90">
        <f t="shared" si="45"/>
        <v>0</v>
      </c>
      <c r="X298" s="90">
        <f t="shared" si="46"/>
        <v>0</v>
      </c>
      <c r="Y298" s="141">
        <f t="shared" si="48"/>
        <v>289</v>
      </c>
      <c r="Z298" s="298">
        <v>58</v>
      </c>
      <c r="AA298" s="299">
        <v>998</v>
      </c>
      <c r="AB298" s="299">
        <v>289</v>
      </c>
      <c r="AC298" s="301">
        <v>0</v>
      </c>
      <c r="AD298" s="301">
        <v>0</v>
      </c>
      <c r="AE298" s="126"/>
      <c r="AF298" s="298"/>
      <c r="AG298" s="299"/>
      <c r="AH298" s="299"/>
      <c r="AI298" s="301"/>
      <c r="AJ298" s="301"/>
      <c r="AK298" s="426"/>
      <c r="AL298" s="298"/>
      <c r="AM298" s="299"/>
      <c r="AN298" s="299"/>
      <c r="AO298" s="301"/>
      <c r="AP298" s="301"/>
      <c r="AQ298" s="426"/>
      <c r="AR298" s="298"/>
      <c r="AS298" s="299"/>
      <c r="AT298" s="299"/>
      <c r="AU298" s="301"/>
      <c r="AV298" s="301"/>
      <c r="AW298" s="88"/>
      <c r="AX298" s="298"/>
      <c r="AY298" s="299"/>
      <c r="AZ298" s="299"/>
      <c r="BA298" s="301"/>
      <c r="BB298" s="301"/>
      <c r="BC298" s="426"/>
      <c r="BD298" s="298"/>
      <c r="BE298" s="299"/>
      <c r="BF298" s="299"/>
      <c r="BG298" s="301"/>
      <c r="BH298" s="301"/>
      <c r="BI298" s="88"/>
      <c r="BJ298" s="298"/>
      <c r="BK298" s="299"/>
      <c r="BL298" s="299"/>
      <c r="BM298" s="301"/>
      <c r="BN298" s="301"/>
      <c r="BO298" s="88"/>
      <c r="BP298" s="9"/>
      <c r="BS298" s="81"/>
      <c r="BT298" s="81"/>
      <c r="BV298" s="9"/>
      <c r="BY298" s="81"/>
      <c r="BZ298" s="81"/>
      <c r="CB298" s="9"/>
      <c r="CE298" s="81"/>
      <c r="CF298" s="81"/>
      <c r="CH298" s="9"/>
      <c r="CK298" s="81"/>
      <c r="CL298" s="81"/>
      <c r="CR298" s="9"/>
      <c r="CS298" s="9"/>
      <c r="CT298" s="9"/>
      <c r="CU298" s="9"/>
      <c r="CV298" s="9"/>
      <c r="CW298" s="129"/>
      <c r="CX298" s="9"/>
    </row>
    <row r="299" spans="1:102">
      <c r="A299" s="6" t="str">
        <f t="shared" si="41"/>
        <v>00580999</v>
      </c>
      <c r="B299" s="6" t="s">
        <v>1708</v>
      </c>
      <c r="C299" s="6" t="s">
        <v>2092</v>
      </c>
      <c r="D299" s="6">
        <v>290</v>
      </c>
      <c r="E299" s="10">
        <v>58</v>
      </c>
      <c r="F299" s="10" t="s">
        <v>1177</v>
      </c>
      <c r="G299" s="10">
        <v>999</v>
      </c>
      <c r="H299" s="10" t="s">
        <v>593</v>
      </c>
      <c r="I299" s="92">
        <v>5492856.3486632518</v>
      </c>
      <c r="J299" s="472">
        <v>1</v>
      </c>
      <c r="K299" s="53">
        <f>SUM(K295:K298)</f>
        <v>5704907.3800678737</v>
      </c>
      <c r="L299" s="91">
        <f>SUM(L295:L298)</f>
        <v>1</v>
      </c>
      <c r="M299" s="79">
        <f>VLOOKUP(E299,town351,24)</f>
        <v>2865342</v>
      </c>
      <c r="N299" s="79">
        <f>SUM(N295:N298)</f>
        <v>2865342</v>
      </c>
      <c r="O299" s="79">
        <v>2769784</v>
      </c>
      <c r="P299" s="79">
        <f>SUM(P295:P298)</f>
        <v>95558</v>
      </c>
      <c r="Q299" s="39">
        <f t="shared" si="49"/>
        <v>3.4500163189620561</v>
      </c>
      <c r="R299" s="9">
        <v>341.91652470409997</v>
      </c>
      <c r="S299" s="9">
        <f t="shared" si="47"/>
        <v>343.81687764048996</v>
      </c>
      <c r="T299" s="90">
        <f t="shared" si="42"/>
        <v>58</v>
      </c>
      <c r="U299" s="90">
        <f t="shared" si="43"/>
        <v>999</v>
      </c>
      <c r="V299" s="373">
        <f t="shared" si="44"/>
        <v>290</v>
      </c>
      <c r="W299" s="90">
        <f t="shared" si="45"/>
        <v>343.81687764048996</v>
      </c>
      <c r="X299" s="90">
        <f t="shared" si="46"/>
        <v>5704907.3800678737</v>
      </c>
      <c r="Y299" s="141">
        <f t="shared" si="48"/>
        <v>290</v>
      </c>
      <c r="Z299" s="298">
        <v>58</v>
      </c>
      <c r="AA299" s="299">
        <v>999</v>
      </c>
      <c r="AB299" s="299">
        <v>290</v>
      </c>
      <c r="AC299" s="301">
        <v>343.81687764048996</v>
      </c>
      <c r="AD299" s="301">
        <v>5704907.3800678737</v>
      </c>
      <c r="AE299" s="126"/>
      <c r="AF299" s="298"/>
      <c r="AG299" s="299"/>
      <c r="AH299" s="299"/>
      <c r="AI299" s="301"/>
      <c r="AJ299" s="301"/>
      <c r="AK299" s="426"/>
      <c r="AL299" s="298"/>
      <c r="AM299" s="299"/>
      <c r="AN299" s="299"/>
      <c r="AO299" s="301"/>
      <c r="AP299" s="301"/>
      <c r="AQ299" s="426"/>
      <c r="AR299" s="298"/>
      <c r="AS299" s="299"/>
      <c r="AT299" s="299"/>
      <c r="AU299" s="301"/>
      <c r="AV299" s="301"/>
      <c r="AW299" s="91"/>
      <c r="AX299" s="298"/>
      <c r="AY299" s="299"/>
      <c r="AZ299" s="299"/>
      <c r="BA299" s="301"/>
      <c r="BB299" s="301"/>
      <c r="BC299" s="426"/>
      <c r="BD299" s="298"/>
      <c r="BE299" s="299"/>
      <c r="BF299" s="299"/>
      <c r="BG299" s="301"/>
      <c r="BH299" s="301"/>
      <c r="BI299" s="91"/>
      <c r="BJ299" s="298"/>
      <c r="BK299" s="299"/>
      <c r="BL299" s="299"/>
      <c r="BM299" s="301"/>
      <c r="BN299" s="301"/>
      <c r="BO299" s="91"/>
      <c r="BP299" s="9"/>
      <c r="BS299" s="81"/>
      <c r="BT299" s="81"/>
      <c r="BV299" s="9"/>
      <c r="BY299" s="81"/>
      <c r="BZ299" s="81"/>
      <c r="CB299" s="9"/>
      <c r="CE299" s="81"/>
      <c r="CF299" s="81"/>
      <c r="CH299" s="9"/>
      <c r="CK299" s="81"/>
      <c r="CL299" s="81"/>
      <c r="CR299" s="9"/>
      <c r="CS299" s="9"/>
      <c r="CT299" s="9"/>
      <c r="CU299" s="9"/>
      <c r="CV299" s="9"/>
      <c r="CW299" s="129"/>
      <c r="CX299" s="9"/>
    </row>
    <row r="300" spans="1:102">
      <c r="A300" s="6" t="str">
        <f t="shared" si="41"/>
        <v>00590059</v>
      </c>
      <c r="B300" s="6" t="s">
        <v>1709</v>
      </c>
      <c r="C300" s="6" t="s">
        <v>1709</v>
      </c>
      <c r="D300" s="6">
        <v>291</v>
      </c>
      <c r="E300" s="6">
        <v>59</v>
      </c>
      <c r="F300" s="6" t="s">
        <v>1178</v>
      </c>
      <c r="G300" s="6">
        <v>59</v>
      </c>
      <c r="H300" s="6" t="s">
        <v>740</v>
      </c>
      <c r="I300" s="33">
        <v>98944.56</v>
      </c>
      <c r="J300" s="88">
        <v>4.9722905798255113E-2</v>
      </c>
      <c r="K300" s="89">
        <f>X300</f>
        <v>118022.31000000001</v>
      </c>
      <c r="L300" s="88">
        <f>IF(K304&gt;0, K300/K304, 0)</f>
        <v>5.9449676064055441E-2</v>
      </c>
      <c r="M300" s="58"/>
      <c r="N300" s="9">
        <f>ROUND(M304*L300,0)</f>
        <v>59715</v>
      </c>
      <c r="O300" s="9">
        <v>48005</v>
      </c>
      <c r="P300" s="9">
        <f>N300-O300</f>
        <v>11710</v>
      </c>
      <c r="Q300" s="40">
        <f t="shared" si="49"/>
        <v>24.393292365378606</v>
      </c>
      <c r="R300" s="9">
        <v>6</v>
      </c>
      <c r="S300" s="9">
        <f t="shared" si="47"/>
        <v>7</v>
      </c>
      <c r="T300" s="90">
        <f t="shared" si="42"/>
        <v>59</v>
      </c>
      <c r="U300" s="90">
        <f t="shared" si="43"/>
        <v>59</v>
      </c>
      <c r="V300" s="373">
        <f t="shared" si="44"/>
        <v>291</v>
      </c>
      <c r="W300" s="90">
        <f t="shared" si="45"/>
        <v>7</v>
      </c>
      <c r="X300" s="90">
        <f t="shared" si="46"/>
        <v>118022.31000000001</v>
      </c>
      <c r="Y300" s="141">
        <f t="shared" si="48"/>
        <v>291</v>
      </c>
      <c r="Z300" s="298">
        <v>59</v>
      </c>
      <c r="AA300" s="299">
        <v>59</v>
      </c>
      <c r="AB300" s="299">
        <v>291</v>
      </c>
      <c r="AC300" s="301">
        <v>7</v>
      </c>
      <c r="AD300" s="301">
        <v>118022.31000000001</v>
      </c>
      <c r="AE300" s="126"/>
      <c r="AF300" s="298"/>
      <c r="AG300" s="299"/>
      <c r="AH300" s="299"/>
      <c r="AI300" s="301"/>
      <c r="AJ300" s="301"/>
      <c r="AK300" s="426"/>
      <c r="AL300" s="298"/>
      <c r="AM300" s="299"/>
      <c r="AN300" s="299"/>
      <c r="AO300" s="301"/>
      <c r="AP300" s="301"/>
      <c r="AQ300" s="426"/>
      <c r="AR300" s="298"/>
      <c r="AS300" s="299"/>
      <c r="AT300" s="299"/>
      <c r="AU300" s="301"/>
      <c r="AV300" s="301"/>
      <c r="AW300" s="88"/>
      <c r="AX300" s="298"/>
      <c r="AY300" s="299"/>
      <c r="AZ300" s="299"/>
      <c r="BA300" s="301"/>
      <c r="BB300" s="301"/>
      <c r="BC300" s="426"/>
      <c r="BD300" s="298"/>
      <c r="BE300" s="299"/>
      <c r="BF300" s="299"/>
      <c r="BG300" s="301"/>
      <c r="BH300" s="301"/>
      <c r="BI300" s="88"/>
      <c r="BJ300" s="298"/>
      <c r="BK300" s="299"/>
      <c r="BL300" s="299"/>
      <c r="BM300" s="301"/>
      <c r="BN300" s="301"/>
      <c r="BO300" s="88"/>
      <c r="BP300" s="9"/>
      <c r="BS300" s="81"/>
      <c r="BT300" s="81"/>
      <c r="BV300" s="9"/>
      <c r="BY300" s="81"/>
      <c r="BZ300" s="81"/>
      <c r="CB300" s="9"/>
      <c r="CE300" s="81"/>
      <c r="CF300" s="81"/>
      <c r="CH300" s="9"/>
      <c r="CK300" s="81"/>
      <c r="CL300" s="81"/>
      <c r="CR300" s="9"/>
      <c r="CS300" s="9"/>
      <c r="CT300" s="9"/>
      <c r="CU300" s="9"/>
      <c r="CV300" s="9"/>
      <c r="CW300" s="129"/>
      <c r="CX300" s="9"/>
    </row>
    <row r="301" spans="1:102">
      <c r="A301" s="6" t="str">
        <f t="shared" si="41"/>
        <v>00590672</v>
      </c>
      <c r="B301" s="6" t="s">
        <v>1709</v>
      </c>
      <c r="C301" s="6" t="s">
        <v>2025</v>
      </c>
      <c r="D301" s="6">
        <v>292</v>
      </c>
      <c r="E301" s="6">
        <v>59</v>
      </c>
      <c r="F301" s="6" t="s">
        <v>1178</v>
      </c>
      <c r="G301" s="6">
        <v>672</v>
      </c>
      <c r="H301" s="6" t="s">
        <v>1055</v>
      </c>
      <c r="I301" s="33">
        <v>1890974.5408959936</v>
      </c>
      <c r="J301" s="88">
        <v>0.95027709420174489</v>
      </c>
      <c r="K301" s="89">
        <f t="shared" si="50"/>
        <v>1867225.0086369277</v>
      </c>
      <c r="L301" s="88">
        <f>IF(K304&gt;0, K301/K304, 0)</f>
        <v>0.94055032393594451</v>
      </c>
      <c r="M301" s="58"/>
      <c r="N301" s="9">
        <f>ROUND(M304*L301,0)</f>
        <v>944747</v>
      </c>
      <c r="O301" s="9">
        <v>917452</v>
      </c>
      <c r="P301" s="9">
        <f>N301-O301</f>
        <v>27295</v>
      </c>
      <c r="Q301" s="40">
        <f t="shared" si="49"/>
        <v>2.9750875250149327</v>
      </c>
      <c r="R301" s="9">
        <v>128.44390244189998</v>
      </c>
      <c r="S301" s="9">
        <f t="shared" si="47"/>
        <v>119.37888198700001</v>
      </c>
      <c r="T301" s="90">
        <f t="shared" si="42"/>
        <v>59</v>
      </c>
      <c r="U301" s="90">
        <f t="shared" si="43"/>
        <v>672</v>
      </c>
      <c r="V301" s="373">
        <f t="shared" si="44"/>
        <v>292</v>
      </c>
      <c r="W301" s="90">
        <f t="shared" si="45"/>
        <v>119.37888198700001</v>
      </c>
      <c r="X301" s="90">
        <f t="shared" si="46"/>
        <v>1867225.0086369277</v>
      </c>
      <c r="Y301" s="141">
        <f t="shared" si="48"/>
        <v>292</v>
      </c>
      <c r="Z301" s="298">
        <v>59</v>
      </c>
      <c r="AA301" s="299">
        <v>672</v>
      </c>
      <c r="AB301" s="299">
        <v>292</v>
      </c>
      <c r="AC301" s="301">
        <v>119.37888198700001</v>
      </c>
      <c r="AD301" s="301">
        <v>1867225.0086369277</v>
      </c>
      <c r="AE301" s="126"/>
      <c r="AF301" s="298"/>
      <c r="AG301" s="299"/>
      <c r="AH301" s="299"/>
      <c r="AI301" s="301"/>
      <c r="AJ301" s="301"/>
      <c r="AK301" s="426"/>
      <c r="AL301" s="298"/>
      <c r="AM301" s="299"/>
      <c r="AN301" s="299"/>
      <c r="AO301" s="301"/>
      <c r="AP301" s="301"/>
      <c r="AQ301" s="426"/>
      <c r="AR301" s="298"/>
      <c r="AS301" s="299"/>
      <c r="AT301" s="299"/>
      <c r="AU301" s="301"/>
      <c r="AV301" s="301"/>
      <c r="AW301" s="88"/>
      <c r="AX301" s="298"/>
      <c r="AY301" s="299"/>
      <c r="AZ301" s="299"/>
      <c r="BA301" s="301"/>
      <c r="BB301" s="301"/>
      <c r="BC301" s="426"/>
      <c r="BD301" s="298"/>
      <c r="BE301" s="299"/>
      <c r="BF301" s="299"/>
      <c r="BG301" s="301"/>
      <c r="BH301" s="301"/>
      <c r="BI301" s="88"/>
      <c r="BJ301" s="298"/>
      <c r="BK301" s="299"/>
      <c r="BL301" s="299"/>
      <c r="BM301" s="301"/>
      <c r="BN301" s="301"/>
      <c r="BO301" s="88"/>
      <c r="BP301" s="9"/>
      <c r="BS301" s="81"/>
      <c r="BT301" s="81"/>
      <c r="BV301" s="9"/>
      <c r="BY301" s="81"/>
      <c r="BZ301" s="81"/>
      <c r="CB301" s="9"/>
      <c r="CE301" s="81"/>
      <c r="CF301" s="81"/>
      <c r="CH301" s="9"/>
      <c r="CK301" s="81"/>
      <c r="CL301" s="81"/>
      <c r="CR301" s="9"/>
      <c r="CS301" s="9"/>
      <c r="CT301" s="9"/>
      <c r="CU301" s="9"/>
      <c r="CV301" s="9"/>
      <c r="CW301" s="129"/>
      <c r="CX301" s="9"/>
    </row>
    <row r="302" spans="1:102">
      <c r="A302" s="6" t="str">
        <f t="shared" si="41"/>
        <v>00590998</v>
      </c>
      <c r="B302" s="6" t="s">
        <v>1709</v>
      </c>
      <c r="C302" s="6" t="s">
        <v>2091</v>
      </c>
      <c r="D302" s="6">
        <v>293</v>
      </c>
      <c r="E302" s="6">
        <v>59</v>
      </c>
      <c r="F302" s="6" t="s">
        <v>1547</v>
      </c>
      <c r="G302" s="6">
        <v>998</v>
      </c>
      <c r="H302" s="6" t="s">
        <v>1547</v>
      </c>
      <c r="I302" s="33">
        <v>0</v>
      </c>
      <c r="J302" s="88">
        <v>0</v>
      </c>
      <c r="K302" s="89">
        <f t="shared" si="50"/>
        <v>0</v>
      </c>
      <c r="L302" s="88">
        <f>IF(K304&gt;0, K302/K304, 0)</f>
        <v>0</v>
      </c>
      <c r="M302" s="58"/>
      <c r="N302" s="9">
        <f>ROUND(M304*L302,0)</f>
        <v>0</v>
      </c>
      <c r="O302" s="9">
        <v>0</v>
      </c>
      <c r="P302" s="9">
        <f>N302-O302</f>
        <v>0</v>
      </c>
      <c r="Q302" s="40">
        <f t="shared" si="49"/>
        <v>0</v>
      </c>
      <c r="R302" s="9">
        <v>0</v>
      </c>
      <c r="S302" s="9">
        <f t="shared" si="47"/>
        <v>0</v>
      </c>
      <c r="T302" s="90">
        <f t="shared" si="42"/>
        <v>59</v>
      </c>
      <c r="U302" s="90">
        <f t="shared" si="43"/>
        <v>998</v>
      </c>
      <c r="V302" s="373">
        <f t="shared" si="44"/>
        <v>293</v>
      </c>
      <c r="W302" s="90">
        <f t="shared" si="45"/>
        <v>0</v>
      </c>
      <c r="X302" s="90">
        <f t="shared" si="46"/>
        <v>0</v>
      </c>
      <c r="Y302" s="141">
        <f t="shared" si="48"/>
        <v>293</v>
      </c>
      <c r="Z302" s="298">
        <v>59</v>
      </c>
      <c r="AA302" s="299">
        <v>998</v>
      </c>
      <c r="AB302" s="299">
        <v>293</v>
      </c>
      <c r="AC302" s="301">
        <v>0</v>
      </c>
      <c r="AD302" s="301">
        <v>0</v>
      </c>
      <c r="AE302" s="126"/>
      <c r="AF302" s="298"/>
      <c r="AG302" s="299"/>
      <c r="AH302" s="299"/>
      <c r="AI302" s="301"/>
      <c r="AJ302" s="301"/>
      <c r="AK302" s="426"/>
      <c r="AL302" s="298"/>
      <c r="AM302" s="299"/>
      <c r="AN302" s="299"/>
      <c r="AO302" s="301"/>
      <c r="AP302" s="301"/>
      <c r="AQ302" s="426"/>
      <c r="AR302" s="298"/>
      <c r="AS302" s="299"/>
      <c r="AT302" s="299"/>
      <c r="AU302" s="301"/>
      <c r="AV302" s="301"/>
      <c r="AW302" s="88"/>
      <c r="AX302" s="298"/>
      <c r="AY302" s="299"/>
      <c r="AZ302" s="299"/>
      <c r="BA302" s="301"/>
      <c r="BB302" s="301"/>
      <c r="BC302" s="426"/>
      <c r="BD302" s="298"/>
      <c r="BE302" s="299"/>
      <c r="BF302" s="299"/>
      <c r="BG302" s="301"/>
      <c r="BH302" s="301"/>
      <c r="BI302" s="88"/>
      <c r="BJ302" s="298"/>
      <c r="BK302" s="299"/>
      <c r="BL302" s="299"/>
      <c r="BM302" s="301"/>
      <c r="BN302" s="301"/>
      <c r="BO302" s="88"/>
      <c r="BP302" s="9"/>
      <c r="BS302" s="81"/>
      <c r="BT302" s="81"/>
      <c r="BV302" s="9"/>
      <c r="BY302" s="81"/>
      <c r="BZ302" s="81"/>
      <c r="CB302" s="9"/>
      <c r="CE302" s="81"/>
      <c r="CF302" s="81"/>
      <c r="CH302" s="9"/>
      <c r="CK302" s="81"/>
      <c r="CL302" s="81"/>
      <c r="CR302" s="9"/>
      <c r="CS302" s="9"/>
      <c r="CT302" s="9"/>
      <c r="CU302" s="9"/>
      <c r="CV302" s="9"/>
      <c r="CW302" s="129"/>
      <c r="CX302" s="9"/>
    </row>
    <row r="303" spans="1:102">
      <c r="A303" s="6" t="str">
        <f t="shared" si="41"/>
        <v>00590998</v>
      </c>
      <c r="B303" s="6" t="s">
        <v>1709</v>
      </c>
      <c r="C303" s="6" t="s">
        <v>2091</v>
      </c>
      <c r="D303" s="6">
        <v>294</v>
      </c>
      <c r="E303" s="6">
        <v>59</v>
      </c>
      <c r="F303" s="6" t="s">
        <v>1547</v>
      </c>
      <c r="G303" s="6">
        <v>998</v>
      </c>
      <c r="H303" s="6" t="s">
        <v>1547</v>
      </c>
      <c r="I303" s="33">
        <v>0</v>
      </c>
      <c r="J303" s="88">
        <v>0</v>
      </c>
      <c r="K303" s="89">
        <f t="shared" si="50"/>
        <v>0</v>
      </c>
      <c r="L303" s="88">
        <f>IF(K304&gt;0, K303/K304, 0)</f>
        <v>0</v>
      </c>
      <c r="M303" s="58"/>
      <c r="N303" s="9">
        <f>ROUND(M304*L303,0)</f>
        <v>0</v>
      </c>
      <c r="O303" s="9">
        <v>0</v>
      </c>
      <c r="P303" s="9">
        <f>N303-O303</f>
        <v>0</v>
      </c>
      <c r="Q303" s="40">
        <f t="shared" si="49"/>
        <v>0</v>
      </c>
      <c r="R303" s="9">
        <v>0</v>
      </c>
      <c r="S303" s="9">
        <f t="shared" si="47"/>
        <v>0</v>
      </c>
      <c r="T303" s="90">
        <f t="shared" si="42"/>
        <v>59</v>
      </c>
      <c r="U303" s="90">
        <f t="shared" si="43"/>
        <v>998</v>
      </c>
      <c r="V303" s="373">
        <f t="shared" si="44"/>
        <v>294</v>
      </c>
      <c r="W303" s="90">
        <f t="shared" si="45"/>
        <v>0</v>
      </c>
      <c r="X303" s="90">
        <f t="shared" si="46"/>
        <v>0</v>
      </c>
      <c r="Y303" s="141">
        <f t="shared" si="48"/>
        <v>294</v>
      </c>
      <c r="Z303" s="298">
        <v>59</v>
      </c>
      <c r="AA303" s="299">
        <v>998</v>
      </c>
      <c r="AB303" s="299">
        <v>294</v>
      </c>
      <c r="AC303" s="301">
        <v>0</v>
      </c>
      <c r="AD303" s="301">
        <v>0</v>
      </c>
      <c r="AE303" s="126"/>
      <c r="AF303" s="298"/>
      <c r="AG303" s="299"/>
      <c r="AH303" s="299"/>
      <c r="AI303" s="301"/>
      <c r="AJ303" s="301"/>
      <c r="AK303" s="426"/>
      <c r="AL303" s="298"/>
      <c r="AM303" s="299"/>
      <c r="AN303" s="299"/>
      <c r="AO303" s="301"/>
      <c r="AP303" s="301"/>
      <c r="AQ303" s="426"/>
      <c r="AR303" s="298"/>
      <c r="AS303" s="299"/>
      <c r="AT303" s="299"/>
      <c r="AU303" s="301"/>
      <c r="AV303" s="301"/>
      <c r="AW303" s="88"/>
      <c r="AX303" s="298"/>
      <c r="AY303" s="299"/>
      <c r="AZ303" s="299"/>
      <c r="BA303" s="301"/>
      <c r="BB303" s="301"/>
      <c r="BC303" s="426"/>
      <c r="BD303" s="298"/>
      <c r="BE303" s="299"/>
      <c r="BF303" s="299"/>
      <c r="BG303" s="301"/>
      <c r="BH303" s="301"/>
      <c r="BI303" s="88"/>
      <c r="BJ303" s="298"/>
      <c r="BK303" s="299"/>
      <c r="BL303" s="299"/>
      <c r="BM303" s="301"/>
      <c r="BN303" s="301"/>
      <c r="BO303" s="88"/>
      <c r="BP303" s="9"/>
      <c r="BS303" s="81"/>
      <c r="BT303" s="81"/>
      <c r="BV303" s="9"/>
      <c r="BY303" s="81"/>
      <c r="BZ303" s="81"/>
      <c r="CB303" s="9"/>
      <c r="CE303" s="81"/>
      <c r="CF303" s="81"/>
      <c r="CH303" s="9"/>
      <c r="CK303" s="81"/>
      <c r="CL303" s="81"/>
      <c r="CR303" s="9"/>
      <c r="CS303" s="9"/>
      <c r="CT303" s="9"/>
      <c r="CU303" s="9"/>
      <c r="CV303" s="9"/>
      <c r="CW303" s="129"/>
      <c r="CX303" s="9"/>
    </row>
    <row r="304" spans="1:102">
      <c r="A304" s="6" t="str">
        <f t="shared" si="41"/>
        <v>00590999</v>
      </c>
      <c r="B304" s="6" t="s">
        <v>1709</v>
      </c>
      <c r="C304" s="6" t="s">
        <v>2092</v>
      </c>
      <c r="D304" s="6">
        <v>295</v>
      </c>
      <c r="E304" s="10">
        <v>59</v>
      </c>
      <c r="F304" s="10" t="s">
        <v>1178</v>
      </c>
      <c r="G304" s="10">
        <v>999</v>
      </c>
      <c r="H304" s="10" t="s">
        <v>593</v>
      </c>
      <c r="I304" s="92">
        <v>1989919.1008959936</v>
      </c>
      <c r="J304" s="472">
        <v>1</v>
      </c>
      <c r="K304" s="53">
        <f>SUM(K300:K303)</f>
        <v>1985247.3186369278</v>
      </c>
      <c r="L304" s="91">
        <f>SUM(L300:L303)</f>
        <v>1</v>
      </c>
      <c r="M304" s="79">
        <f>VLOOKUP(E304,town351,24)</f>
        <v>1004462</v>
      </c>
      <c r="N304" s="79">
        <f>SUM(N300:N303)</f>
        <v>1004462</v>
      </c>
      <c r="O304" s="79">
        <v>965457</v>
      </c>
      <c r="P304" s="79">
        <f>SUM(P300:P303)</f>
        <v>39005</v>
      </c>
      <c r="Q304" s="39">
        <f t="shared" si="49"/>
        <v>4.0400556420430949</v>
      </c>
      <c r="R304" s="9">
        <v>134.44390244189998</v>
      </c>
      <c r="S304" s="9">
        <f t="shared" si="47"/>
        <v>126.37888198700001</v>
      </c>
      <c r="T304" s="90">
        <f t="shared" si="42"/>
        <v>59</v>
      </c>
      <c r="U304" s="90">
        <f t="shared" si="43"/>
        <v>999</v>
      </c>
      <c r="V304" s="373">
        <f t="shared" si="44"/>
        <v>295</v>
      </c>
      <c r="W304" s="90">
        <f t="shared" si="45"/>
        <v>126.37888198700001</v>
      </c>
      <c r="X304" s="90">
        <f t="shared" si="46"/>
        <v>1985247.3186369278</v>
      </c>
      <c r="Y304" s="141">
        <f t="shared" si="48"/>
        <v>295</v>
      </c>
      <c r="Z304" s="298">
        <v>59</v>
      </c>
      <c r="AA304" s="299">
        <v>999</v>
      </c>
      <c r="AB304" s="299">
        <v>295</v>
      </c>
      <c r="AC304" s="301">
        <v>126.37888198700001</v>
      </c>
      <c r="AD304" s="301">
        <v>1985247.3186369278</v>
      </c>
      <c r="AE304" s="126"/>
      <c r="AF304" s="298"/>
      <c r="AG304" s="299"/>
      <c r="AH304" s="299"/>
      <c r="AI304" s="301"/>
      <c r="AJ304" s="301"/>
      <c r="AK304" s="426"/>
      <c r="AL304" s="298"/>
      <c r="AM304" s="299"/>
      <c r="AN304" s="299"/>
      <c r="AO304" s="301"/>
      <c r="AP304" s="301"/>
      <c r="AQ304" s="426"/>
      <c r="AR304" s="298"/>
      <c r="AS304" s="299"/>
      <c r="AT304" s="299"/>
      <c r="AU304" s="301"/>
      <c r="AV304" s="301"/>
      <c r="AW304" s="91"/>
      <c r="AX304" s="298"/>
      <c r="AY304" s="299"/>
      <c r="AZ304" s="299"/>
      <c r="BA304" s="301"/>
      <c r="BB304" s="301"/>
      <c r="BC304" s="426"/>
      <c r="BD304" s="298"/>
      <c r="BE304" s="299"/>
      <c r="BF304" s="299"/>
      <c r="BG304" s="301"/>
      <c r="BH304" s="301"/>
      <c r="BI304" s="91"/>
      <c r="BJ304" s="298"/>
      <c r="BK304" s="299"/>
      <c r="BL304" s="299"/>
      <c r="BM304" s="301"/>
      <c r="BN304" s="301"/>
      <c r="BO304" s="91"/>
      <c r="BP304" s="9"/>
      <c r="BS304" s="81"/>
      <c r="BT304" s="81"/>
      <c r="BV304" s="9"/>
      <c r="BY304" s="81"/>
      <c r="BZ304" s="81"/>
      <c r="CB304" s="9"/>
      <c r="CE304" s="81"/>
      <c r="CF304" s="81"/>
      <c r="CH304" s="9"/>
      <c r="CK304" s="81"/>
      <c r="CL304" s="81"/>
      <c r="CR304" s="9"/>
      <c r="CS304" s="9"/>
      <c r="CT304" s="9"/>
      <c r="CU304" s="9"/>
      <c r="CV304" s="9"/>
      <c r="CW304" s="129"/>
      <c r="CX304" s="9"/>
    </row>
    <row r="305" spans="1:102">
      <c r="A305" s="6" t="str">
        <f t="shared" si="41"/>
        <v>00600060</v>
      </c>
      <c r="B305" s="6" t="s">
        <v>1710</v>
      </c>
      <c r="C305" s="6" t="s">
        <v>1710</v>
      </c>
      <c r="D305" s="6">
        <v>296</v>
      </c>
      <c r="E305" s="6">
        <v>60</v>
      </c>
      <c r="F305" s="6" t="s">
        <v>1179</v>
      </c>
      <c r="G305" s="6">
        <v>60</v>
      </c>
      <c r="H305" s="6" t="s">
        <v>741</v>
      </c>
      <c r="I305" s="33">
        <v>294623.28000000003</v>
      </c>
      <c r="J305" s="88">
        <v>0.2077992049650268</v>
      </c>
      <c r="K305" s="89">
        <f>X305</f>
        <v>267378.24</v>
      </c>
      <c r="L305" s="88">
        <f>IF(K309&gt;0, K305/K309, 0)</f>
        <v>0.18744543006831496</v>
      </c>
      <c r="M305" s="58"/>
      <c r="N305" s="9">
        <f>ROUND(M309*L305,0)</f>
        <v>204860</v>
      </c>
      <c r="O305" s="9">
        <v>216744</v>
      </c>
      <c r="P305" s="9">
        <f>N305-O305</f>
        <v>-11884</v>
      </c>
      <c r="Q305" s="40">
        <f t="shared" si="49"/>
        <v>-5.4829660797992101</v>
      </c>
      <c r="R305" s="9">
        <v>16</v>
      </c>
      <c r="S305" s="9">
        <f t="shared" si="47"/>
        <v>14</v>
      </c>
      <c r="T305" s="90">
        <f t="shared" si="42"/>
        <v>60</v>
      </c>
      <c r="U305" s="90">
        <f t="shared" si="43"/>
        <v>60</v>
      </c>
      <c r="V305" s="373">
        <f t="shared" si="44"/>
        <v>296</v>
      </c>
      <c r="W305" s="90">
        <f t="shared" si="45"/>
        <v>14</v>
      </c>
      <c r="X305" s="90">
        <f t="shared" si="46"/>
        <v>267378.24</v>
      </c>
      <c r="Y305" s="141">
        <f t="shared" si="48"/>
        <v>296</v>
      </c>
      <c r="Z305" s="298">
        <v>60</v>
      </c>
      <c r="AA305" s="299">
        <v>60</v>
      </c>
      <c r="AB305" s="299">
        <v>296</v>
      </c>
      <c r="AC305" s="301">
        <v>14</v>
      </c>
      <c r="AD305" s="301">
        <v>267378.24</v>
      </c>
      <c r="AE305" s="126"/>
      <c r="AF305" s="298"/>
      <c r="AG305" s="299"/>
      <c r="AH305" s="299"/>
      <c r="AI305" s="301"/>
      <c r="AJ305" s="301"/>
      <c r="AK305" s="426"/>
      <c r="AL305" s="298"/>
      <c r="AM305" s="299"/>
      <c r="AN305" s="299"/>
      <c r="AO305" s="301"/>
      <c r="AP305" s="301"/>
      <c r="AQ305" s="426"/>
      <c r="AR305" s="298"/>
      <c r="AS305" s="299"/>
      <c r="AT305" s="299"/>
      <c r="AU305" s="301"/>
      <c r="AV305" s="301"/>
      <c r="AW305" s="88"/>
      <c r="AX305" s="298"/>
      <c r="AY305" s="299"/>
      <c r="AZ305" s="299"/>
      <c r="BA305" s="301"/>
      <c r="BB305" s="301"/>
      <c r="BC305" s="426"/>
      <c r="BD305" s="298"/>
      <c r="BE305" s="299"/>
      <c r="BF305" s="299"/>
      <c r="BG305" s="301"/>
      <c r="BH305" s="301"/>
      <c r="BI305" s="88"/>
      <c r="BJ305" s="298"/>
      <c r="BK305" s="299"/>
      <c r="BL305" s="299"/>
      <c r="BM305" s="301"/>
      <c r="BN305" s="301"/>
      <c r="BO305" s="88"/>
      <c r="BP305" s="9"/>
      <c r="BS305" s="81"/>
      <c r="BT305" s="81"/>
      <c r="BV305" s="9"/>
      <c r="BY305" s="81"/>
      <c r="BZ305" s="81"/>
      <c r="CB305" s="9"/>
      <c r="CE305" s="81"/>
      <c r="CF305" s="81"/>
      <c r="CH305" s="9"/>
      <c r="CK305" s="81"/>
      <c r="CL305" s="81"/>
      <c r="CR305" s="9"/>
      <c r="CS305" s="9"/>
      <c r="CT305" s="9"/>
      <c r="CU305" s="9"/>
      <c r="CV305" s="9"/>
      <c r="CW305" s="129"/>
      <c r="CX305" s="9"/>
    </row>
    <row r="306" spans="1:102">
      <c r="A306" s="6" t="str">
        <f t="shared" si="41"/>
        <v>00600632</v>
      </c>
      <c r="B306" s="6" t="s">
        <v>1710</v>
      </c>
      <c r="C306" s="6" t="s">
        <v>2014</v>
      </c>
      <c r="D306" s="6">
        <v>297</v>
      </c>
      <c r="E306" s="6">
        <v>60</v>
      </c>
      <c r="F306" s="6" t="s">
        <v>1179</v>
      </c>
      <c r="G306" s="6">
        <v>632</v>
      </c>
      <c r="H306" s="6" t="s">
        <v>1044</v>
      </c>
      <c r="I306" s="33">
        <v>791623.18395320256</v>
      </c>
      <c r="J306" s="88">
        <v>0.55833560829734374</v>
      </c>
      <c r="K306" s="89">
        <f t="shared" si="50"/>
        <v>820896.04173160542</v>
      </c>
      <c r="L306" s="88">
        <f>IF(K309&gt;0, K306/K309, 0)</f>
        <v>0.57548890883475867</v>
      </c>
      <c r="M306" s="58"/>
      <c r="N306" s="9">
        <f>ROUND(M309*L306,0)</f>
        <v>628954</v>
      </c>
      <c r="O306" s="9">
        <v>582370</v>
      </c>
      <c r="P306" s="9">
        <f>N306-O306</f>
        <v>46584</v>
      </c>
      <c r="Q306" s="40">
        <f t="shared" si="49"/>
        <v>7.9990384120061133</v>
      </c>
      <c r="R306" s="9">
        <v>58.00840336161</v>
      </c>
      <c r="S306" s="9">
        <f t="shared" si="47"/>
        <v>58.956521738589998</v>
      </c>
      <c r="T306" s="90">
        <f t="shared" si="42"/>
        <v>60</v>
      </c>
      <c r="U306" s="90">
        <f t="shared" si="43"/>
        <v>632</v>
      </c>
      <c r="V306" s="373">
        <f t="shared" si="44"/>
        <v>297</v>
      </c>
      <c r="W306" s="90">
        <f t="shared" si="45"/>
        <v>58.956521738589998</v>
      </c>
      <c r="X306" s="90">
        <f t="shared" si="46"/>
        <v>820896.04173160542</v>
      </c>
      <c r="Y306" s="141">
        <f t="shared" si="48"/>
        <v>297</v>
      </c>
      <c r="Z306" s="298">
        <v>60</v>
      </c>
      <c r="AA306" s="299">
        <v>632</v>
      </c>
      <c r="AB306" s="299">
        <v>297</v>
      </c>
      <c r="AC306" s="301">
        <v>58.956521738589998</v>
      </c>
      <c r="AD306" s="301">
        <v>820896.04173160542</v>
      </c>
      <c r="AE306" s="126"/>
      <c r="AF306" s="298"/>
      <c r="AG306" s="299"/>
      <c r="AH306" s="299"/>
      <c r="AI306" s="301"/>
      <c r="AJ306" s="301"/>
      <c r="AK306" s="426"/>
      <c r="AL306" s="298"/>
      <c r="AM306" s="299"/>
      <c r="AN306" s="299"/>
      <c r="AO306" s="301"/>
      <c r="AP306" s="301"/>
      <c r="AQ306" s="426"/>
      <c r="AR306" s="298"/>
      <c r="AS306" s="299"/>
      <c r="AT306" s="299"/>
      <c r="AU306" s="301"/>
      <c r="AV306" s="301"/>
      <c r="AW306" s="88"/>
      <c r="AX306" s="298"/>
      <c r="AY306" s="299"/>
      <c r="AZ306" s="299"/>
      <c r="BA306" s="301"/>
      <c r="BB306" s="301"/>
      <c r="BC306" s="426"/>
      <c r="BD306" s="298"/>
      <c r="BE306" s="299"/>
      <c r="BF306" s="299"/>
      <c r="BG306" s="301"/>
      <c r="BH306" s="301"/>
      <c r="BI306" s="88"/>
      <c r="BJ306" s="298"/>
      <c r="BK306" s="299"/>
      <c r="BL306" s="299"/>
      <c r="BM306" s="301"/>
      <c r="BN306" s="301"/>
      <c r="BO306" s="88"/>
      <c r="BP306" s="9"/>
      <c r="BS306" s="81"/>
      <c r="BT306" s="81"/>
      <c r="BV306" s="9"/>
      <c r="BY306" s="81"/>
      <c r="BZ306" s="81"/>
      <c r="CB306" s="9"/>
      <c r="CE306" s="81"/>
      <c r="CF306" s="81"/>
      <c r="CH306" s="9"/>
      <c r="CK306" s="81"/>
      <c r="CL306" s="81"/>
      <c r="CR306" s="9"/>
      <c r="CS306" s="9"/>
      <c r="CT306" s="9"/>
      <c r="CU306" s="9"/>
      <c r="CV306" s="9"/>
      <c r="CW306" s="129"/>
      <c r="CX306" s="9"/>
    </row>
    <row r="307" spans="1:102">
      <c r="A307" s="6" t="str">
        <f t="shared" si="41"/>
        <v>00600683</v>
      </c>
      <c r="B307" s="6" t="s">
        <v>1710</v>
      </c>
      <c r="C307" s="6" t="s">
        <v>2030</v>
      </c>
      <c r="D307" s="6">
        <v>298</v>
      </c>
      <c r="E307" s="6">
        <v>60</v>
      </c>
      <c r="F307" s="6" t="s">
        <v>1179</v>
      </c>
      <c r="G307" s="6">
        <v>683</v>
      </c>
      <c r="H307" s="6" t="s">
        <v>1060</v>
      </c>
      <c r="I307" s="33">
        <v>331580.32729744731</v>
      </c>
      <c r="J307" s="88">
        <v>0.23386518673762954</v>
      </c>
      <c r="K307" s="89">
        <f t="shared" si="50"/>
        <v>338158.14664263267</v>
      </c>
      <c r="L307" s="88">
        <f>IF(K309&gt;0, K307/K309, 0)</f>
        <v>0.23706566109692623</v>
      </c>
      <c r="M307" s="58"/>
      <c r="N307" s="9">
        <f>ROUND(M309*L307,0)</f>
        <v>259090</v>
      </c>
      <c r="O307" s="9">
        <v>243932</v>
      </c>
      <c r="P307" s="9">
        <f>N307-O307</f>
        <v>15158</v>
      </c>
      <c r="Q307" s="40">
        <f t="shared" si="49"/>
        <v>6.2140268599445747</v>
      </c>
      <c r="R307" s="9">
        <v>25.043177893600003</v>
      </c>
      <c r="S307" s="9">
        <f t="shared" si="47"/>
        <v>25.042372883760002</v>
      </c>
      <c r="T307" s="90">
        <f t="shared" si="42"/>
        <v>60</v>
      </c>
      <c r="U307" s="90">
        <f t="shared" si="43"/>
        <v>683</v>
      </c>
      <c r="V307" s="373">
        <f t="shared" si="44"/>
        <v>298</v>
      </c>
      <c r="W307" s="90">
        <f t="shared" si="45"/>
        <v>25.042372883760002</v>
      </c>
      <c r="X307" s="90">
        <f t="shared" si="46"/>
        <v>338158.14664263267</v>
      </c>
      <c r="Y307" s="141">
        <f t="shared" si="48"/>
        <v>298</v>
      </c>
      <c r="Z307" s="298">
        <v>60</v>
      </c>
      <c r="AA307" s="299">
        <v>683</v>
      </c>
      <c r="AB307" s="299">
        <v>298</v>
      </c>
      <c r="AC307" s="301">
        <v>25.042372883760002</v>
      </c>
      <c r="AD307" s="301">
        <v>338158.14664263267</v>
      </c>
      <c r="AE307" s="126"/>
      <c r="AF307" s="298"/>
      <c r="AG307" s="299"/>
      <c r="AH307" s="299"/>
      <c r="AI307" s="301"/>
      <c r="AJ307" s="301"/>
      <c r="AK307" s="426"/>
      <c r="AL307" s="298"/>
      <c r="AM307" s="299"/>
      <c r="AN307" s="299"/>
      <c r="AO307" s="301"/>
      <c r="AP307" s="301"/>
      <c r="AQ307" s="426"/>
      <c r="AR307" s="298"/>
      <c r="AS307" s="299"/>
      <c r="AT307" s="299"/>
      <c r="AU307" s="301"/>
      <c r="AV307" s="301"/>
      <c r="AW307" s="88"/>
      <c r="AX307" s="298"/>
      <c r="AY307" s="299"/>
      <c r="AZ307" s="299"/>
      <c r="BA307" s="301"/>
      <c r="BB307" s="301"/>
      <c r="BC307" s="426"/>
      <c r="BD307" s="298"/>
      <c r="BE307" s="299"/>
      <c r="BF307" s="299"/>
      <c r="BG307" s="301"/>
      <c r="BH307" s="301"/>
      <c r="BI307" s="88"/>
      <c r="BJ307" s="298"/>
      <c r="BK307" s="299"/>
      <c r="BL307" s="299"/>
      <c r="BM307" s="301"/>
      <c r="BN307" s="301"/>
      <c r="BO307" s="88"/>
      <c r="BP307" s="9"/>
      <c r="BS307" s="81"/>
      <c r="BT307" s="81"/>
      <c r="BV307" s="9"/>
      <c r="BY307" s="81"/>
      <c r="BZ307" s="81"/>
      <c r="CB307" s="9"/>
      <c r="CE307" s="81"/>
      <c r="CF307" s="81"/>
      <c r="CH307" s="9"/>
      <c r="CK307" s="81"/>
      <c r="CL307" s="81"/>
      <c r="CR307" s="9"/>
      <c r="CS307" s="9"/>
      <c r="CT307" s="9"/>
      <c r="CU307" s="9"/>
      <c r="CV307" s="9"/>
      <c r="CW307" s="129"/>
      <c r="CX307" s="9"/>
    </row>
    <row r="308" spans="1:102">
      <c r="A308" s="6" t="str">
        <f t="shared" si="41"/>
        <v>00600998</v>
      </c>
      <c r="B308" s="6" t="s">
        <v>1710</v>
      </c>
      <c r="C308" s="6" t="s">
        <v>2091</v>
      </c>
      <c r="D308" s="6">
        <v>299</v>
      </c>
      <c r="E308" s="6">
        <v>60</v>
      </c>
      <c r="F308" s="6" t="s">
        <v>1547</v>
      </c>
      <c r="G308" s="6">
        <v>998</v>
      </c>
      <c r="H308" s="6" t="s">
        <v>1547</v>
      </c>
      <c r="I308" s="33">
        <v>0</v>
      </c>
      <c r="J308" s="88">
        <v>0</v>
      </c>
      <c r="K308" s="89">
        <f t="shared" si="50"/>
        <v>0</v>
      </c>
      <c r="L308" s="88">
        <f>IF(K309&gt;0, K308/K309, 0)</f>
        <v>0</v>
      </c>
      <c r="M308" s="58"/>
      <c r="N308" s="9">
        <f>ROUND(M309*L308,0)</f>
        <v>0</v>
      </c>
      <c r="O308" s="9">
        <v>0</v>
      </c>
      <c r="P308" s="9">
        <f>N308-O308</f>
        <v>0</v>
      </c>
      <c r="Q308" s="40">
        <f t="shared" si="49"/>
        <v>0</v>
      </c>
      <c r="R308" s="9">
        <v>0</v>
      </c>
      <c r="S308" s="9">
        <f t="shared" si="47"/>
        <v>0</v>
      </c>
      <c r="T308" s="90">
        <f t="shared" si="42"/>
        <v>60</v>
      </c>
      <c r="U308" s="90">
        <f t="shared" si="43"/>
        <v>998</v>
      </c>
      <c r="V308" s="373">
        <f t="shared" si="44"/>
        <v>299</v>
      </c>
      <c r="W308" s="90">
        <f t="shared" si="45"/>
        <v>0</v>
      </c>
      <c r="X308" s="90">
        <f t="shared" si="46"/>
        <v>0</v>
      </c>
      <c r="Y308" s="141">
        <f t="shared" si="48"/>
        <v>299</v>
      </c>
      <c r="Z308" s="298">
        <v>60</v>
      </c>
      <c r="AA308" s="299">
        <v>998</v>
      </c>
      <c r="AB308" s="299">
        <v>299</v>
      </c>
      <c r="AC308" s="301">
        <v>0</v>
      </c>
      <c r="AD308" s="301">
        <v>0</v>
      </c>
      <c r="AE308" s="126"/>
      <c r="AF308" s="298"/>
      <c r="AG308" s="299"/>
      <c r="AH308" s="299"/>
      <c r="AI308" s="301"/>
      <c r="AJ308" s="301"/>
      <c r="AK308" s="426"/>
      <c r="AL308" s="298"/>
      <c r="AM308" s="299"/>
      <c r="AN308" s="299"/>
      <c r="AO308" s="301"/>
      <c r="AP308" s="301"/>
      <c r="AQ308" s="426"/>
      <c r="AR308" s="298"/>
      <c r="AS308" s="299"/>
      <c r="AT308" s="299"/>
      <c r="AU308" s="301"/>
      <c r="AV308" s="301"/>
      <c r="AW308" s="88"/>
      <c r="AX308" s="298"/>
      <c r="AY308" s="299"/>
      <c r="AZ308" s="299"/>
      <c r="BA308" s="301"/>
      <c r="BB308" s="301"/>
      <c r="BC308" s="426"/>
      <c r="BD308" s="298"/>
      <c r="BE308" s="299"/>
      <c r="BF308" s="299"/>
      <c r="BG308" s="301"/>
      <c r="BH308" s="301"/>
      <c r="BI308" s="88"/>
      <c r="BJ308" s="298"/>
      <c r="BK308" s="299"/>
      <c r="BL308" s="299"/>
      <c r="BM308" s="301"/>
      <c r="BN308" s="301"/>
      <c r="BO308" s="88"/>
      <c r="BP308" s="9"/>
      <c r="BS308" s="81"/>
      <c r="BT308" s="81"/>
      <c r="BV308" s="9"/>
      <c r="BY308" s="81"/>
      <c r="BZ308" s="81"/>
      <c r="CB308" s="9"/>
      <c r="CE308" s="81"/>
      <c r="CF308" s="81"/>
      <c r="CH308" s="9"/>
      <c r="CK308" s="81"/>
      <c r="CL308" s="81"/>
      <c r="CR308" s="9"/>
      <c r="CS308" s="9"/>
      <c r="CT308" s="9"/>
      <c r="CU308" s="9"/>
      <c r="CV308" s="9"/>
      <c r="CW308" s="129"/>
      <c r="CX308" s="9"/>
    </row>
    <row r="309" spans="1:102">
      <c r="A309" s="6" t="str">
        <f t="shared" si="41"/>
        <v>00600999</v>
      </c>
      <c r="B309" s="6" t="s">
        <v>1710</v>
      </c>
      <c r="C309" s="6" t="s">
        <v>2092</v>
      </c>
      <c r="D309" s="6">
        <v>300</v>
      </c>
      <c r="E309" s="10">
        <v>60</v>
      </c>
      <c r="F309" s="10" t="s">
        <v>1179</v>
      </c>
      <c r="G309" s="10">
        <v>999</v>
      </c>
      <c r="H309" s="10" t="s">
        <v>593</v>
      </c>
      <c r="I309" s="92">
        <v>1417826.7912506498</v>
      </c>
      <c r="J309" s="472">
        <v>1</v>
      </c>
      <c r="K309" s="53">
        <f>SUM(K305:K308)</f>
        <v>1426432.4283742383</v>
      </c>
      <c r="L309" s="91">
        <f>SUM(L305:L308)</f>
        <v>0.99999999999999978</v>
      </c>
      <c r="M309" s="79">
        <f>VLOOKUP(E309,town351,24)</f>
        <v>1092904</v>
      </c>
      <c r="N309" s="79">
        <f>SUM(N305:N308)</f>
        <v>1092904</v>
      </c>
      <c r="O309" s="79">
        <v>1043046</v>
      </c>
      <c r="P309" s="79">
        <f>SUM(P305:P308)</f>
        <v>49858</v>
      </c>
      <c r="Q309" s="39">
        <f t="shared" si="49"/>
        <v>4.7800384642671556</v>
      </c>
      <c r="R309" s="9">
        <v>99.051581255209996</v>
      </c>
      <c r="S309" s="9">
        <f t="shared" si="47"/>
        <v>97.998894622350008</v>
      </c>
      <c r="T309" s="90">
        <f t="shared" si="42"/>
        <v>60</v>
      </c>
      <c r="U309" s="90">
        <f t="shared" si="43"/>
        <v>999</v>
      </c>
      <c r="V309" s="373">
        <f t="shared" si="44"/>
        <v>300</v>
      </c>
      <c r="W309" s="90">
        <f t="shared" si="45"/>
        <v>97.998894622350008</v>
      </c>
      <c r="X309" s="90">
        <f t="shared" si="46"/>
        <v>1426432.4283742383</v>
      </c>
      <c r="Y309" s="141">
        <f t="shared" si="48"/>
        <v>300</v>
      </c>
      <c r="Z309" s="298">
        <v>60</v>
      </c>
      <c r="AA309" s="299">
        <v>999</v>
      </c>
      <c r="AB309" s="299">
        <v>300</v>
      </c>
      <c r="AC309" s="301">
        <v>97.998894622350008</v>
      </c>
      <c r="AD309" s="301">
        <v>1426432.4283742383</v>
      </c>
      <c r="AE309" s="126"/>
      <c r="AF309" s="298"/>
      <c r="AG309" s="299"/>
      <c r="AH309" s="299"/>
      <c r="AI309" s="301"/>
      <c r="AJ309" s="301"/>
      <c r="AK309" s="426"/>
      <c r="AL309" s="298"/>
      <c r="AM309" s="299"/>
      <c r="AN309" s="299"/>
      <c r="AO309" s="301"/>
      <c r="AP309" s="301"/>
      <c r="AQ309" s="426"/>
      <c r="AR309" s="298"/>
      <c r="AS309" s="299"/>
      <c r="AT309" s="299"/>
      <c r="AU309" s="301"/>
      <c r="AV309" s="301"/>
      <c r="AW309" s="91"/>
      <c r="AX309" s="298"/>
      <c r="AY309" s="299"/>
      <c r="AZ309" s="299"/>
      <c r="BA309" s="301"/>
      <c r="BB309" s="301"/>
      <c r="BC309" s="426"/>
      <c r="BD309" s="298"/>
      <c r="BE309" s="299"/>
      <c r="BF309" s="299"/>
      <c r="BG309" s="301"/>
      <c r="BH309" s="301"/>
      <c r="BI309" s="91"/>
      <c r="BJ309" s="298"/>
      <c r="BK309" s="299"/>
      <c r="BL309" s="299"/>
      <c r="BM309" s="301"/>
      <c r="BN309" s="301"/>
      <c r="BO309" s="91"/>
      <c r="BP309" s="9"/>
      <c r="BS309" s="81"/>
      <c r="BT309" s="81"/>
      <c r="BV309" s="9"/>
      <c r="BY309" s="81"/>
      <c r="BZ309" s="81"/>
      <c r="CB309" s="9"/>
      <c r="CE309" s="81"/>
      <c r="CF309" s="81"/>
      <c r="CH309" s="9"/>
      <c r="CK309" s="81"/>
      <c r="CL309" s="81"/>
      <c r="CR309" s="9"/>
      <c r="CS309" s="9"/>
      <c r="CT309" s="9"/>
      <c r="CU309" s="9"/>
      <c r="CV309" s="9"/>
      <c r="CW309" s="129"/>
      <c r="CX309" s="9"/>
    </row>
    <row r="310" spans="1:102">
      <c r="A310" s="6" t="str">
        <f t="shared" si="41"/>
        <v>00610061</v>
      </c>
      <c r="B310" s="6" t="s">
        <v>1711</v>
      </c>
      <c r="C310" s="6" t="s">
        <v>1711</v>
      </c>
      <c r="D310" s="6">
        <v>301</v>
      </c>
      <c r="E310" s="6">
        <v>61</v>
      </c>
      <c r="F310" s="6" t="s">
        <v>1180</v>
      </c>
      <c r="G310" s="6">
        <v>61</v>
      </c>
      <c r="H310" s="6" t="s">
        <v>742</v>
      </c>
      <c r="I310" s="33">
        <v>122693363.2</v>
      </c>
      <c r="J310" s="88">
        <v>1</v>
      </c>
      <c r="K310" s="89">
        <f>X310</f>
        <v>129158251.12</v>
      </c>
      <c r="L310" s="88">
        <f>IF(K314&gt;0, K310/K314, 0)</f>
        <v>1</v>
      </c>
      <c r="M310" s="58"/>
      <c r="N310" s="9">
        <f>ROUND(M314*L310,0)</f>
        <v>35132393</v>
      </c>
      <c r="O310" s="9">
        <v>33865812</v>
      </c>
      <c r="P310" s="9">
        <f>N310-O310</f>
        <v>1266581</v>
      </c>
      <c r="Q310" s="40">
        <f t="shared" si="49"/>
        <v>3.7399989109961398</v>
      </c>
      <c r="R310" s="9">
        <v>7166</v>
      </c>
      <c r="S310" s="9">
        <f t="shared" si="47"/>
        <v>7202</v>
      </c>
      <c r="T310" s="90">
        <f t="shared" si="42"/>
        <v>61</v>
      </c>
      <c r="U310" s="90">
        <f t="shared" si="43"/>
        <v>61</v>
      </c>
      <c r="V310" s="373">
        <f t="shared" si="44"/>
        <v>301</v>
      </c>
      <c r="W310" s="90">
        <f t="shared" si="45"/>
        <v>7202</v>
      </c>
      <c r="X310" s="90">
        <f t="shared" si="46"/>
        <v>129158251.12</v>
      </c>
      <c r="Y310" s="141">
        <f t="shared" si="48"/>
        <v>301</v>
      </c>
      <c r="Z310" s="298">
        <v>61</v>
      </c>
      <c r="AA310" s="299">
        <v>61</v>
      </c>
      <c r="AB310" s="299">
        <v>301</v>
      </c>
      <c r="AC310" s="301">
        <v>7202</v>
      </c>
      <c r="AD310" s="301">
        <v>129158251.12</v>
      </c>
      <c r="AE310" s="126"/>
      <c r="AF310" s="298"/>
      <c r="AG310" s="299"/>
      <c r="AH310" s="299"/>
      <c r="AI310" s="301"/>
      <c r="AJ310" s="301"/>
      <c r="AK310" s="426"/>
      <c r="AL310" s="298"/>
      <c r="AM310" s="299"/>
      <c r="AN310" s="299"/>
      <c r="AO310" s="301"/>
      <c r="AP310" s="301"/>
      <c r="AQ310" s="426"/>
      <c r="AR310" s="298"/>
      <c r="AS310" s="299"/>
      <c r="AT310" s="299"/>
      <c r="AU310" s="301"/>
      <c r="AV310" s="301"/>
      <c r="AW310" s="88"/>
      <c r="AX310" s="298"/>
      <c r="AY310" s="299"/>
      <c r="AZ310" s="299"/>
      <c r="BA310" s="301"/>
      <c r="BB310" s="301"/>
      <c r="BC310" s="426"/>
      <c r="BD310" s="298"/>
      <c r="BE310" s="299"/>
      <c r="BF310" s="299"/>
      <c r="BG310" s="301"/>
      <c r="BH310" s="301"/>
      <c r="BI310" s="88"/>
      <c r="BJ310" s="298"/>
      <c r="BK310" s="299"/>
      <c r="BL310" s="299"/>
      <c r="BM310" s="301"/>
      <c r="BN310" s="301"/>
      <c r="BO310" s="88"/>
      <c r="BP310" s="9"/>
      <c r="BS310" s="81"/>
      <c r="BT310" s="81"/>
      <c r="BV310" s="9"/>
      <c r="BY310" s="81"/>
      <c r="BZ310" s="81"/>
      <c r="CB310" s="9"/>
      <c r="CE310" s="81"/>
      <c r="CF310" s="81"/>
      <c r="CH310" s="9"/>
      <c r="CK310" s="81"/>
      <c r="CL310" s="81"/>
      <c r="CR310" s="9"/>
      <c r="CS310" s="9"/>
      <c r="CT310" s="9"/>
      <c r="CU310" s="9"/>
      <c r="CV310" s="9"/>
      <c r="CW310" s="129"/>
      <c r="CX310" s="9"/>
    </row>
    <row r="311" spans="1:102">
      <c r="A311" s="6" t="str">
        <f t="shared" si="41"/>
        <v>00610998</v>
      </c>
      <c r="B311" s="6" t="s">
        <v>1711</v>
      </c>
      <c r="C311" s="6" t="s">
        <v>2091</v>
      </c>
      <c r="D311" s="6">
        <v>302</v>
      </c>
      <c r="E311" s="6">
        <v>61</v>
      </c>
      <c r="F311" s="6" t="s">
        <v>1547</v>
      </c>
      <c r="G311" s="6">
        <v>998</v>
      </c>
      <c r="H311" s="6" t="s">
        <v>1547</v>
      </c>
      <c r="I311" s="33">
        <v>0</v>
      </c>
      <c r="J311" s="88">
        <v>0</v>
      </c>
      <c r="K311" s="89">
        <f t="shared" si="50"/>
        <v>0</v>
      </c>
      <c r="L311" s="88">
        <f>IF(K314&gt;0, K311/K314, 0)</f>
        <v>0</v>
      </c>
      <c r="M311" s="58"/>
      <c r="N311" s="9">
        <f>ROUND(M314*L311,0)</f>
        <v>0</v>
      </c>
      <c r="O311" s="9">
        <v>0</v>
      </c>
      <c r="P311" s="9">
        <f>N311-O311</f>
        <v>0</v>
      </c>
      <c r="Q311" s="40">
        <f t="shared" si="49"/>
        <v>0</v>
      </c>
      <c r="R311" s="9">
        <v>0</v>
      </c>
      <c r="S311" s="9">
        <f t="shared" si="47"/>
        <v>0</v>
      </c>
      <c r="T311" s="90">
        <f t="shared" si="42"/>
        <v>61</v>
      </c>
      <c r="U311" s="90">
        <f t="shared" si="43"/>
        <v>998</v>
      </c>
      <c r="V311" s="373">
        <f t="shared" si="44"/>
        <v>302</v>
      </c>
      <c r="W311" s="90">
        <f t="shared" si="45"/>
        <v>0</v>
      </c>
      <c r="X311" s="90">
        <f t="shared" si="46"/>
        <v>0</v>
      </c>
      <c r="Y311" s="141">
        <f t="shared" si="48"/>
        <v>302</v>
      </c>
      <c r="Z311" s="298">
        <v>61</v>
      </c>
      <c r="AA311" s="299">
        <v>998</v>
      </c>
      <c r="AB311" s="299">
        <v>302</v>
      </c>
      <c r="AC311" s="301">
        <v>0</v>
      </c>
      <c r="AD311" s="301">
        <v>0</v>
      </c>
      <c r="AE311" s="126"/>
      <c r="AF311" s="298"/>
      <c r="AG311" s="299"/>
      <c r="AH311" s="299"/>
      <c r="AI311" s="301"/>
      <c r="AJ311" s="301"/>
      <c r="AK311" s="426"/>
      <c r="AL311" s="298"/>
      <c r="AM311" s="299"/>
      <c r="AN311" s="299"/>
      <c r="AO311" s="301"/>
      <c r="AP311" s="301"/>
      <c r="AQ311" s="426"/>
      <c r="AR311" s="298"/>
      <c r="AS311" s="299"/>
      <c r="AT311" s="299"/>
      <c r="AU311" s="301"/>
      <c r="AV311" s="301"/>
      <c r="AW311" s="88"/>
      <c r="AX311" s="298"/>
      <c r="AY311" s="299"/>
      <c r="AZ311" s="299"/>
      <c r="BA311" s="301"/>
      <c r="BB311" s="301"/>
      <c r="BC311" s="426"/>
      <c r="BD311" s="298"/>
      <c r="BE311" s="299"/>
      <c r="BF311" s="299"/>
      <c r="BG311" s="301"/>
      <c r="BH311" s="301"/>
      <c r="BI311" s="88"/>
      <c r="BJ311" s="298"/>
      <c r="BK311" s="299"/>
      <c r="BL311" s="299"/>
      <c r="BM311" s="301"/>
      <c r="BN311" s="301"/>
      <c r="BO311" s="88"/>
      <c r="BP311" s="9"/>
      <c r="BS311" s="81"/>
      <c r="BT311" s="81"/>
      <c r="BV311" s="9"/>
      <c r="BY311" s="81"/>
      <c r="BZ311" s="81"/>
      <c r="CB311" s="9"/>
      <c r="CE311" s="81"/>
      <c r="CF311" s="81"/>
      <c r="CH311" s="9"/>
      <c r="CK311" s="81"/>
      <c r="CL311" s="81"/>
      <c r="CR311" s="9"/>
      <c r="CS311" s="9"/>
      <c r="CT311" s="9"/>
      <c r="CU311" s="9"/>
      <c r="CV311" s="9"/>
      <c r="CW311" s="129"/>
      <c r="CX311" s="9"/>
    </row>
    <row r="312" spans="1:102">
      <c r="A312" s="6" t="str">
        <f t="shared" si="41"/>
        <v>00610998</v>
      </c>
      <c r="B312" s="6" t="s">
        <v>1711</v>
      </c>
      <c r="C312" s="6" t="s">
        <v>2091</v>
      </c>
      <c r="D312" s="6">
        <v>303</v>
      </c>
      <c r="E312" s="6">
        <v>61</v>
      </c>
      <c r="F312" s="6" t="s">
        <v>1547</v>
      </c>
      <c r="G312" s="6">
        <v>998</v>
      </c>
      <c r="H312" s="6" t="s">
        <v>1547</v>
      </c>
      <c r="I312" s="33">
        <v>0</v>
      </c>
      <c r="J312" s="88">
        <v>0</v>
      </c>
      <c r="K312" s="89">
        <f t="shared" si="50"/>
        <v>0</v>
      </c>
      <c r="L312" s="88">
        <f>IF(K314&gt;0, K312/K314, 0)</f>
        <v>0</v>
      </c>
      <c r="M312" s="58"/>
      <c r="N312" s="9">
        <f>ROUND(M314*L312,0)</f>
        <v>0</v>
      </c>
      <c r="O312" s="9">
        <v>0</v>
      </c>
      <c r="P312" s="9">
        <f>N312-O312</f>
        <v>0</v>
      </c>
      <c r="Q312" s="40">
        <f t="shared" si="49"/>
        <v>0</v>
      </c>
      <c r="R312" s="9">
        <v>0</v>
      </c>
      <c r="S312" s="9">
        <f t="shared" si="47"/>
        <v>0</v>
      </c>
      <c r="T312" s="90">
        <f t="shared" si="42"/>
        <v>61</v>
      </c>
      <c r="U312" s="90">
        <f t="shared" si="43"/>
        <v>998</v>
      </c>
      <c r="V312" s="373">
        <f t="shared" si="44"/>
        <v>303</v>
      </c>
      <c r="W312" s="90">
        <f t="shared" si="45"/>
        <v>0</v>
      </c>
      <c r="X312" s="90">
        <f t="shared" si="46"/>
        <v>0</v>
      </c>
      <c r="Y312" s="141">
        <f t="shared" si="48"/>
        <v>303</v>
      </c>
      <c r="Z312" s="298">
        <v>61</v>
      </c>
      <c r="AA312" s="299">
        <v>998</v>
      </c>
      <c r="AB312" s="299">
        <v>303</v>
      </c>
      <c r="AC312" s="301">
        <v>0</v>
      </c>
      <c r="AD312" s="301">
        <v>0</v>
      </c>
      <c r="AE312" s="126"/>
      <c r="AF312" s="298"/>
      <c r="AG312" s="299"/>
      <c r="AH312" s="299"/>
      <c r="AI312" s="301"/>
      <c r="AJ312" s="301"/>
      <c r="AK312" s="426"/>
      <c r="AL312" s="298"/>
      <c r="AM312" s="299"/>
      <c r="AN312" s="299"/>
      <c r="AO312" s="301"/>
      <c r="AP312" s="301"/>
      <c r="AQ312" s="426"/>
      <c r="AR312" s="298"/>
      <c r="AS312" s="299"/>
      <c r="AT312" s="299"/>
      <c r="AU312" s="301"/>
      <c r="AV312" s="301"/>
      <c r="AW312" s="88"/>
      <c r="AX312" s="298"/>
      <c r="AY312" s="299"/>
      <c r="AZ312" s="299"/>
      <c r="BA312" s="301"/>
      <c r="BB312" s="301"/>
      <c r="BC312" s="426"/>
      <c r="BD312" s="298"/>
      <c r="BE312" s="299"/>
      <c r="BF312" s="299"/>
      <c r="BG312" s="301"/>
      <c r="BH312" s="301"/>
      <c r="BI312" s="88"/>
      <c r="BJ312" s="298"/>
      <c r="BK312" s="299"/>
      <c r="BL312" s="299"/>
      <c r="BM312" s="301"/>
      <c r="BN312" s="301"/>
      <c r="BO312" s="88"/>
      <c r="BP312" s="9"/>
      <c r="BS312" s="81"/>
      <c r="BT312" s="81"/>
      <c r="BV312" s="9"/>
      <c r="BY312" s="81"/>
      <c r="BZ312" s="81"/>
      <c r="CB312" s="9"/>
      <c r="CE312" s="81"/>
      <c r="CF312" s="81"/>
      <c r="CH312" s="9"/>
      <c r="CK312" s="81"/>
      <c r="CL312" s="81"/>
      <c r="CR312" s="9"/>
      <c r="CS312" s="9"/>
      <c r="CT312" s="9"/>
      <c r="CU312" s="9"/>
      <c r="CV312" s="9"/>
      <c r="CW312" s="129"/>
      <c r="CX312" s="9"/>
    </row>
    <row r="313" spans="1:102">
      <c r="A313" s="6" t="str">
        <f t="shared" si="41"/>
        <v>00610998</v>
      </c>
      <c r="B313" s="6" t="s">
        <v>1711</v>
      </c>
      <c r="C313" s="6" t="s">
        <v>2091</v>
      </c>
      <c r="D313" s="6">
        <v>304</v>
      </c>
      <c r="E313" s="6">
        <v>61</v>
      </c>
      <c r="F313" s="6" t="s">
        <v>1547</v>
      </c>
      <c r="G313" s="6">
        <v>998</v>
      </c>
      <c r="H313" s="6" t="s">
        <v>1547</v>
      </c>
      <c r="I313" s="33">
        <v>0</v>
      </c>
      <c r="J313" s="88">
        <v>0</v>
      </c>
      <c r="K313" s="89">
        <f t="shared" si="50"/>
        <v>0</v>
      </c>
      <c r="L313" s="88">
        <f>IF(K314&gt;0, K313/K314, 0)</f>
        <v>0</v>
      </c>
      <c r="M313" s="58"/>
      <c r="N313" s="9">
        <f>ROUND(M314*L313,0)</f>
        <v>0</v>
      </c>
      <c r="O313" s="9">
        <v>0</v>
      </c>
      <c r="P313" s="9">
        <f>N313-O313</f>
        <v>0</v>
      </c>
      <c r="Q313" s="40">
        <f t="shared" si="49"/>
        <v>0</v>
      </c>
      <c r="R313" s="9">
        <v>0</v>
      </c>
      <c r="S313" s="9">
        <f t="shared" si="47"/>
        <v>0</v>
      </c>
      <c r="T313" s="90">
        <f t="shared" si="42"/>
        <v>61</v>
      </c>
      <c r="U313" s="90">
        <f t="shared" si="43"/>
        <v>998</v>
      </c>
      <c r="V313" s="373">
        <f t="shared" si="44"/>
        <v>304</v>
      </c>
      <c r="W313" s="90">
        <f t="shared" si="45"/>
        <v>0</v>
      </c>
      <c r="X313" s="90">
        <f t="shared" si="46"/>
        <v>0</v>
      </c>
      <c r="Y313" s="141">
        <f t="shared" si="48"/>
        <v>304</v>
      </c>
      <c r="Z313" s="298">
        <v>61</v>
      </c>
      <c r="AA313" s="299">
        <v>998</v>
      </c>
      <c r="AB313" s="299">
        <v>304</v>
      </c>
      <c r="AC313" s="301">
        <v>0</v>
      </c>
      <c r="AD313" s="301">
        <v>0</v>
      </c>
      <c r="AE313" s="126"/>
      <c r="AF313" s="298"/>
      <c r="AG313" s="299"/>
      <c r="AH313" s="299"/>
      <c r="AI313" s="301"/>
      <c r="AJ313" s="301"/>
      <c r="AK313" s="426"/>
      <c r="AL313" s="298"/>
      <c r="AM313" s="299"/>
      <c r="AN313" s="299"/>
      <c r="AO313" s="301"/>
      <c r="AP313" s="301"/>
      <c r="AQ313" s="426"/>
      <c r="AR313" s="298"/>
      <c r="AS313" s="299"/>
      <c r="AT313" s="299"/>
      <c r="AU313" s="301"/>
      <c r="AV313" s="301"/>
      <c r="AW313" s="88"/>
      <c r="AX313" s="298"/>
      <c r="AY313" s="299"/>
      <c r="AZ313" s="299"/>
      <c r="BA313" s="301"/>
      <c r="BB313" s="301"/>
      <c r="BC313" s="426"/>
      <c r="BD313" s="298"/>
      <c r="BE313" s="299"/>
      <c r="BF313" s="299"/>
      <c r="BG313" s="301"/>
      <c r="BH313" s="301"/>
      <c r="BI313" s="88"/>
      <c r="BJ313" s="298"/>
      <c r="BK313" s="299"/>
      <c r="BL313" s="299"/>
      <c r="BM313" s="301"/>
      <c r="BN313" s="301"/>
      <c r="BO313" s="88"/>
      <c r="BP313" s="9"/>
      <c r="BS313" s="81"/>
      <c r="BT313" s="81"/>
      <c r="BV313" s="9"/>
      <c r="BY313" s="81"/>
      <c r="BZ313" s="81"/>
      <c r="CB313" s="9"/>
      <c r="CE313" s="81"/>
      <c r="CF313" s="81"/>
      <c r="CH313" s="9"/>
      <c r="CK313" s="81"/>
      <c r="CL313" s="81"/>
      <c r="CR313" s="9"/>
      <c r="CS313" s="9"/>
      <c r="CT313" s="9"/>
      <c r="CU313" s="9"/>
      <c r="CV313" s="9"/>
      <c r="CW313" s="129"/>
      <c r="CX313" s="9"/>
    </row>
    <row r="314" spans="1:102">
      <c r="A314" s="6" t="str">
        <f t="shared" si="41"/>
        <v>00610999</v>
      </c>
      <c r="B314" s="6" t="s">
        <v>1711</v>
      </c>
      <c r="C314" s="6" t="s">
        <v>2092</v>
      </c>
      <c r="D314" s="6">
        <v>305</v>
      </c>
      <c r="E314" s="10">
        <v>61</v>
      </c>
      <c r="F314" s="10" t="s">
        <v>1180</v>
      </c>
      <c r="G314" s="10">
        <v>999</v>
      </c>
      <c r="H314" s="10" t="s">
        <v>593</v>
      </c>
      <c r="I314" s="92">
        <v>122693363.2</v>
      </c>
      <c r="J314" s="472">
        <v>1</v>
      </c>
      <c r="K314" s="53">
        <f>SUM(K310:K313)</f>
        <v>129158251.12</v>
      </c>
      <c r="L314" s="91">
        <f>SUM(L310:L313)</f>
        <v>1</v>
      </c>
      <c r="M314" s="79">
        <f>VLOOKUP(E314,town351,24)</f>
        <v>35132393</v>
      </c>
      <c r="N314" s="79">
        <f>SUM(N310:N313)</f>
        <v>35132393</v>
      </c>
      <c r="O314" s="79">
        <v>33865812</v>
      </c>
      <c r="P314" s="79">
        <f>SUM(P310:P313)</f>
        <v>1266581</v>
      </c>
      <c r="Q314" s="39">
        <f t="shared" si="49"/>
        <v>3.7399989109961398</v>
      </c>
      <c r="R314" s="9">
        <v>7166</v>
      </c>
      <c r="S314" s="9">
        <f t="shared" si="47"/>
        <v>7202</v>
      </c>
      <c r="T314" s="90">
        <f t="shared" si="42"/>
        <v>61</v>
      </c>
      <c r="U314" s="90">
        <f t="shared" si="43"/>
        <v>999</v>
      </c>
      <c r="V314" s="373">
        <f t="shared" si="44"/>
        <v>305</v>
      </c>
      <c r="W314" s="90">
        <f t="shared" si="45"/>
        <v>7202</v>
      </c>
      <c r="X314" s="90">
        <f t="shared" si="46"/>
        <v>129158251.12</v>
      </c>
      <c r="Y314" s="141">
        <f t="shared" si="48"/>
        <v>305</v>
      </c>
      <c r="Z314" s="298">
        <v>61</v>
      </c>
      <c r="AA314" s="299">
        <v>999</v>
      </c>
      <c r="AB314" s="299">
        <v>305</v>
      </c>
      <c r="AC314" s="301">
        <v>7202</v>
      </c>
      <c r="AD314" s="301">
        <v>129158251.12</v>
      </c>
      <c r="AE314" s="126"/>
      <c r="AF314" s="298"/>
      <c r="AG314" s="299"/>
      <c r="AH314" s="299"/>
      <c r="AI314" s="301"/>
      <c r="AJ314" s="301"/>
      <c r="AK314" s="426"/>
      <c r="AL314" s="298"/>
      <c r="AM314" s="299"/>
      <c r="AN314" s="299"/>
      <c r="AO314" s="301"/>
      <c r="AP314" s="301"/>
      <c r="AQ314" s="426"/>
      <c r="AR314" s="298"/>
      <c r="AS314" s="299"/>
      <c r="AT314" s="299"/>
      <c r="AU314" s="301"/>
      <c r="AV314" s="301"/>
      <c r="AW314" s="91"/>
      <c r="AX314" s="298"/>
      <c r="AY314" s="299"/>
      <c r="AZ314" s="299"/>
      <c r="BA314" s="301"/>
      <c r="BB314" s="301"/>
      <c r="BC314" s="426"/>
      <c r="BD314" s="298"/>
      <c r="BE314" s="299"/>
      <c r="BF314" s="299"/>
      <c r="BG314" s="301"/>
      <c r="BH314" s="301"/>
      <c r="BI314" s="91"/>
      <c r="BJ314" s="298"/>
      <c r="BK314" s="299"/>
      <c r="BL314" s="299"/>
      <c r="BM314" s="301"/>
      <c r="BN314" s="301"/>
      <c r="BO314" s="91"/>
      <c r="BP314" s="9"/>
      <c r="BS314" s="81"/>
      <c r="BT314" s="81"/>
      <c r="BV314" s="9"/>
      <c r="BY314" s="81"/>
      <c r="BZ314" s="81"/>
      <c r="CB314" s="9"/>
      <c r="CE314" s="81"/>
      <c r="CF314" s="81"/>
      <c r="CH314" s="9"/>
      <c r="CK314" s="81"/>
      <c r="CL314" s="81"/>
      <c r="CR314" s="9"/>
      <c r="CS314" s="9"/>
      <c r="CT314" s="9"/>
      <c r="CU314" s="9"/>
      <c r="CV314" s="9"/>
      <c r="CW314" s="129"/>
      <c r="CX314" s="9"/>
    </row>
    <row r="315" spans="1:102">
      <c r="A315" s="6" t="str">
        <f t="shared" si="41"/>
        <v>00620062</v>
      </c>
      <c r="B315" s="6" t="s">
        <v>1712</v>
      </c>
      <c r="C315" s="6" t="s">
        <v>1712</v>
      </c>
      <c r="D315" s="6">
        <v>306</v>
      </c>
      <c r="E315" s="6">
        <v>62</v>
      </c>
      <c r="F315" s="6" t="s">
        <v>1181</v>
      </c>
      <c r="G315" s="6">
        <v>62</v>
      </c>
      <c r="H315" s="6" t="s">
        <v>743</v>
      </c>
      <c r="I315" s="33">
        <v>0</v>
      </c>
      <c r="J315" s="88">
        <v>0</v>
      </c>
      <c r="K315" s="89">
        <f>X315</f>
        <v>0</v>
      </c>
      <c r="L315" s="88">
        <f>IF(K319&gt;0, K315/K319, 0)</f>
        <v>0</v>
      </c>
      <c r="M315" s="58"/>
      <c r="N315" s="9">
        <f>ROUND(M319*L315,0)</f>
        <v>0</v>
      </c>
      <c r="O315" s="9">
        <v>0</v>
      </c>
      <c r="P315" s="9">
        <f>N315-O315</f>
        <v>0</v>
      </c>
      <c r="Q315" s="40">
        <f t="shared" si="49"/>
        <v>0</v>
      </c>
      <c r="R315" s="9">
        <v>0</v>
      </c>
      <c r="S315" s="9">
        <f t="shared" si="47"/>
        <v>0</v>
      </c>
      <c r="T315" s="90">
        <f t="shared" si="42"/>
        <v>62</v>
      </c>
      <c r="U315" s="90">
        <f t="shared" si="43"/>
        <v>62</v>
      </c>
      <c r="V315" s="373">
        <f t="shared" si="44"/>
        <v>306</v>
      </c>
      <c r="W315" s="90">
        <f t="shared" si="45"/>
        <v>0</v>
      </c>
      <c r="X315" s="90">
        <f t="shared" si="46"/>
        <v>0</v>
      </c>
      <c r="Y315" s="141">
        <f t="shared" si="48"/>
        <v>306</v>
      </c>
      <c r="Z315" s="298">
        <v>62</v>
      </c>
      <c r="AA315" s="299">
        <v>62</v>
      </c>
      <c r="AB315" s="299">
        <v>306</v>
      </c>
      <c r="AC315" s="301">
        <v>0</v>
      </c>
      <c r="AD315" s="301">
        <v>0</v>
      </c>
      <c r="AE315" s="126"/>
      <c r="AF315" s="298"/>
      <c r="AG315" s="299"/>
      <c r="AH315" s="299"/>
      <c r="AI315" s="301"/>
      <c r="AJ315" s="301"/>
      <c r="AK315" s="426"/>
      <c r="AL315" s="298"/>
      <c r="AM315" s="299"/>
      <c r="AN315" s="299"/>
      <c r="AO315" s="301"/>
      <c r="AP315" s="301"/>
      <c r="AQ315" s="426"/>
      <c r="AR315" s="298"/>
      <c r="AS315" s="299"/>
      <c r="AT315" s="299"/>
      <c r="AU315" s="301"/>
      <c r="AV315" s="301"/>
      <c r="AW315" s="88"/>
      <c r="AX315" s="298"/>
      <c r="AY315" s="299"/>
      <c r="AZ315" s="299"/>
      <c r="BA315" s="301"/>
      <c r="BB315" s="301"/>
      <c r="BC315" s="426"/>
      <c r="BD315" s="298"/>
      <c r="BE315" s="299"/>
      <c r="BF315" s="299"/>
      <c r="BG315" s="301"/>
      <c r="BH315" s="301"/>
      <c r="BI315" s="88"/>
      <c r="BJ315" s="298"/>
      <c r="BK315" s="299"/>
      <c r="BL315" s="299"/>
      <c r="BM315" s="301"/>
      <c r="BN315" s="301"/>
      <c r="BO315" s="88"/>
      <c r="BP315" s="9"/>
      <c r="BS315" s="81"/>
      <c r="BT315" s="81"/>
      <c r="BV315" s="9"/>
      <c r="BY315" s="81"/>
      <c r="BZ315" s="81"/>
      <c r="CB315" s="9"/>
      <c r="CE315" s="81"/>
      <c r="CF315" s="81"/>
      <c r="CH315" s="9"/>
      <c r="CK315" s="81"/>
      <c r="CL315" s="81"/>
      <c r="CR315" s="9"/>
      <c r="CS315" s="9"/>
      <c r="CT315" s="9"/>
      <c r="CU315" s="9"/>
      <c r="CV315" s="9"/>
      <c r="CW315" s="129"/>
      <c r="CX315" s="9"/>
    </row>
    <row r="316" spans="1:102">
      <c r="A316" s="6" t="str">
        <f t="shared" si="41"/>
        <v>00620700</v>
      </c>
      <c r="B316" s="6" t="s">
        <v>1712</v>
      </c>
      <c r="C316" s="6" t="s">
        <v>2035</v>
      </c>
      <c r="D316" s="6">
        <v>307</v>
      </c>
      <c r="E316" s="6">
        <v>62</v>
      </c>
      <c r="F316" s="6" t="s">
        <v>1181</v>
      </c>
      <c r="G316" s="6">
        <v>700</v>
      </c>
      <c r="H316" s="6" t="s">
        <v>1065</v>
      </c>
      <c r="I316" s="33">
        <v>627821.16202091111</v>
      </c>
      <c r="J316" s="88">
        <v>0.39284202283166897</v>
      </c>
      <c r="K316" s="89">
        <f t="shared" si="50"/>
        <v>548298.68375797267</v>
      </c>
      <c r="L316" s="88">
        <f>IF(K319&gt;0, K316/K319, 0)</f>
        <v>0.38731007943029228</v>
      </c>
      <c r="M316" s="58"/>
      <c r="N316" s="9">
        <f>ROUND(M319*L316,0)</f>
        <v>452346</v>
      </c>
      <c r="O316" s="9">
        <v>517952</v>
      </c>
      <c r="P316" s="9">
        <f>N316-O316</f>
        <v>-65606</v>
      </c>
      <c r="Q316" s="40">
        <f t="shared" si="49"/>
        <v>-12.666424688001976</v>
      </c>
      <c r="R316" s="9">
        <v>34.99999999744</v>
      </c>
      <c r="S316" s="9">
        <f t="shared" si="47"/>
        <v>31.000000003570001</v>
      </c>
      <c r="T316" s="90">
        <f t="shared" si="42"/>
        <v>62</v>
      </c>
      <c r="U316" s="90">
        <f t="shared" si="43"/>
        <v>700</v>
      </c>
      <c r="V316" s="373">
        <f t="shared" si="44"/>
        <v>307</v>
      </c>
      <c r="W316" s="90">
        <f t="shared" si="45"/>
        <v>31.000000003570001</v>
      </c>
      <c r="X316" s="90">
        <f t="shared" si="46"/>
        <v>548298.68375797267</v>
      </c>
      <c r="Y316" s="141">
        <f t="shared" si="48"/>
        <v>307</v>
      </c>
      <c r="Z316" s="298">
        <v>62</v>
      </c>
      <c r="AA316" s="299">
        <v>700</v>
      </c>
      <c r="AB316" s="299">
        <v>307</v>
      </c>
      <c r="AC316" s="301">
        <v>31.000000003570001</v>
      </c>
      <c r="AD316" s="301">
        <v>548298.68375797267</v>
      </c>
      <c r="AE316" s="126"/>
      <c r="AF316" s="298"/>
      <c r="AG316" s="299"/>
      <c r="AH316" s="299"/>
      <c r="AI316" s="301"/>
      <c r="AJ316" s="301"/>
      <c r="AK316" s="426"/>
      <c r="AL316" s="298"/>
      <c r="AM316" s="299"/>
      <c r="AN316" s="299"/>
      <c r="AO316" s="301"/>
      <c r="AP316" s="301"/>
      <c r="AQ316" s="426"/>
      <c r="AR316" s="298"/>
      <c r="AS316" s="299"/>
      <c r="AT316" s="299"/>
      <c r="AU316" s="301"/>
      <c r="AV316" s="301"/>
      <c r="AW316" s="88"/>
      <c r="AX316" s="298"/>
      <c r="AY316" s="299"/>
      <c r="AZ316" s="299"/>
      <c r="BA316" s="301"/>
      <c r="BB316" s="301"/>
      <c r="BC316" s="426"/>
      <c r="BD316" s="298"/>
      <c r="BE316" s="299"/>
      <c r="BF316" s="299"/>
      <c r="BG316" s="301"/>
      <c r="BH316" s="301"/>
      <c r="BI316" s="88"/>
      <c r="BJ316" s="298"/>
      <c r="BK316" s="299"/>
      <c r="BL316" s="299"/>
      <c r="BM316" s="301"/>
      <c r="BN316" s="301"/>
      <c r="BO316" s="88"/>
      <c r="BP316" s="9"/>
      <c r="BS316" s="81"/>
      <c r="BT316" s="81"/>
      <c r="BV316" s="9"/>
      <c r="BY316" s="81"/>
      <c r="BZ316" s="81"/>
      <c r="CB316" s="9"/>
      <c r="CE316" s="81"/>
      <c r="CF316" s="81"/>
      <c r="CH316" s="9"/>
      <c r="CK316" s="81"/>
      <c r="CL316" s="81"/>
      <c r="CR316" s="9"/>
      <c r="CS316" s="9"/>
      <c r="CT316" s="9"/>
      <c r="CU316" s="9"/>
      <c r="CV316" s="9"/>
      <c r="CW316" s="129"/>
      <c r="CX316" s="9"/>
    </row>
    <row r="317" spans="1:102">
      <c r="A317" s="6" t="str">
        <f t="shared" si="41"/>
        <v>00620774</v>
      </c>
      <c r="B317" s="6" t="s">
        <v>1712</v>
      </c>
      <c r="C317" s="6" t="s">
        <v>2058</v>
      </c>
      <c r="D317" s="6">
        <v>308</v>
      </c>
      <c r="E317" s="6">
        <v>62</v>
      </c>
      <c r="F317" s="6" t="s">
        <v>1181</v>
      </c>
      <c r="G317" s="6">
        <v>774</v>
      </c>
      <c r="H317" s="6" t="s">
        <v>1088</v>
      </c>
      <c r="I317" s="33">
        <v>970330.57718324638</v>
      </c>
      <c r="J317" s="88">
        <v>0.60715797716833098</v>
      </c>
      <c r="K317" s="89">
        <f t="shared" si="50"/>
        <v>867359.50041447137</v>
      </c>
      <c r="L317" s="88">
        <f>IF(K319&gt;0, K317/K319, 0)</f>
        <v>0.61268992056970772</v>
      </c>
      <c r="M317" s="58"/>
      <c r="N317" s="9">
        <f>ROUND(M319*L317,0)</f>
        <v>715572</v>
      </c>
      <c r="O317" s="9">
        <v>800523</v>
      </c>
      <c r="P317" s="9">
        <f>N317-O317</f>
        <v>-84951</v>
      </c>
      <c r="Q317" s="40">
        <f t="shared" si="49"/>
        <v>-10.611937445894746</v>
      </c>
      <c r="R317" s="9">
        <v>72.298076922760004</v>
      </c>
      <c r="S317" s="9">
        <f t="shared" si="47"/>
        <v>64.8214285719</v>
      </c>
      <c r="T317" s="90">
        <f t="shared" si="42"/>
        <v>62</v>
      </c>
      <c r="U317" s="90">
        <f t="shared" si="43"/>
        <v>774</v>
      </c>
      <c r="V317" s="373">
        <f t="shared" si="44"/>
        <v>308</v>
      </c>
      <c r="W317" s="90">
        <f t="shared" si="45"/>
        <v>64.8214285719</v>
      </c>
      <c r="X317" s="90">
        <f t="shared" si="46"/>
        <v>867359.50041447137</v>
      </c>
      <c r="Y317" s="141">
        <f t="shared" si="48"/>
        <v>308</v>
      </c>
      <c r="Z317" s="298">
        <v>62</v>
      </c>
      <c r="AA317" s="299">
        <v>774</v>
      </c>
      <c r="AB317" s="299">
        <v>308</v>
      </c>
      <c r="AC317" s="301">
        <v>64.8214285719</v>
      </c>
      <c r="AD317" s="301">
        <v>867359.50041447137</v>
      </c>
      <c r="AE317" s="126"/>
      <c r="AF317" s="298"/>
      <c r="AG317" s="299"/>
      <c r="AH317" s="299"/>
      <c r="AI317" s="301"/>
      <c r="AJ317" s="301"/>
      <c r="AK317" s="426"/>
      <c r="AL317" s="298"/>
      <c r="AM317" s="299"/>
      <c r="AN317" s="299"/>
      <c r="AO317" s="301"/>
      <c r="AP317" s="301"/>
      <c r="AQ317" s="426"/>
      <c r="AR317" s="298"/>
      <c r="AS317" s="299"/>
      <c r="AT317" s="299"/>
      <c r="AU317" s="301"/>
      <c r="AV317" s="301"/>
      <c r="AW317" s="88"/>
      <c r="AX317" s="298"/>
      <c r="AY317" s="299"/>
      <c r="AZ317" s="299"/>
      <c r="BA317" s="301"/>
      <c r="BB317" s="301"/>
      <c r="BC317" s="426"/>
      <c r="BD317" s="298"/>
      <c r="BE317" s="299"/>
      <c r="BF317" s="299"/>
      <c r="BG317" s="301"/>
      <c r="BH317" s="301"/>
      <c r="BI317" s="88"/>
      <c r="BJ317" s="298"/>
      <c r="BK317" s="299"/>
      <c r="BL317" s="299"/>
      <c r="BM317" s="301"/>
      <c r="BN317" s="301"/>
      <c r="BO317" s="88"/>
      <c r="BP317" s="9"/>
      <c r="BS317" s="81"/>
      <c r="BT317" s="81"/>
      <c r="BV317" s="9"/>
      <c r="BY317" s="81"/>
      <c r="BZ317" s="81"/>
      <c r="CB317" s="9"/>
      <c r="CE317" s="81"/>
      <c r="CF317" s="81"/>
      <c r="CH317" s="9"/>
      <c r="CK317" s="81"/>
      <c r="CL317" s="81"/>
      <c r="CR317" s="9"/>
      <c r="CS317" s="9"/>
      <c r="CT317" s="9"/>
      <c r="CU317" s="9"/>
      <c r="CV317" s="9"/>
      <c r="CW317" s="129"/>
      <c r="CX317" s="9"/>
    </row>
    <row r="318" spans="1:102">
      <c r="A318" s="6" t="str">
        <f t="shared" si="41"/>
        <v>00620998</v>
      </c>
      <c r="B318" s="6" t="s">
        <v>1712</v>
      </c>
      <c r="C318" s="6" t="s">
        <v>2091</v>
      </c>
      <c r="D318" s="6">
        <v>309</v>
      </c>
      <c r="E318" s="6">
        <v>62</v>
      </c>
      <c r="F318" s="6" t="s">
        <v>1547</v>
      </c>
      <c r="G318" s="6">
        <v>998</v>
      </c>
      <c r="H318" s="6" t="s">
        <v>1547</v>
      </c>
      <c r="I318" s="33">
        <v>0</v>
      </c>
      <c r="J318" s="88">
        <v>0</v>
      </c>
      <c r="K318" s="89">
        <f t="shared" si="50"/>
        <v>0</v>
      </c>
      <c r="L318" s="88">
        <f>IF(K319&gt;0, K318/K319, 0)</f>
        <v>0</v>
      </c>
      <c r="M318" s="58"/>
      <c r="N318" s="9">
        <f>ROUND(M319*L318,0)</f>
        <v>0</v>
      </c>
      <c r="O318" s="9">
        <v>0</v>
      </c>
      <c r="P318" s="9">
        <f>N318-O318</f>
        <v>0</v>
      </c>
      <c r="Q318" s="40">
        <f t="shared" si="49"/>
        <v>0</v>
      </c>
      <c r="R318" s="9">
        <v>0</v>
      </c>
      <c r="S318" s="9">
        <f t="shared" si="47"/>
        <v>0</v>
      </c>
      <c r="T318" s="90">
        <f t="shared" si="42"/>
        <v>62</v>
      </c>
      <c r="U318" s="90">
        <f t="shared" si="43"/>
        <v>998</v>
      </c>
      <c r="V318" s="373">
        <f t="shared" si="44"/>
        <v>309</v>
      </c>
      <c r="W318" s="90">
        <f t="shared" si="45"/>
        <v>0</v>
      </c>
      <c r="X318" s="90">
        <f t="shared" si="46"/>
        <v>0</v>
      </c>
      <c r="Y318" s="141">
        <f t="shared" si="48"/>
        <v>309</v>
      </c>
      <c r="Z318" s="298">
        <v>62</v>
      </c>
      <c r="AA318" s="299">
        <v>998</v>
      </c>
      <c r="AB318" s="299">
        <v>309</v>
      </c>
      <c r="AC318" s="301">
        <v>0</v>
      </c>
      <c r="AD318" s="301">
        <v>0</v>
      </c>
      <c r="AE318" s="126"/>
      <c r="AF318" s="298"/>
      <c r="AG318" s="299"/>
      <c r="AH318" s="299"/>
      <c r="AI318" s="301"/>
      <c r="AJ318" s="301"/>
      <c r="AK318" s="426"/>
      <c r="AL318" s="298"/>
      <c r="AM318" s="299"/>
      <c r="AN318" s="299"/>
      <c r="AO318" s="301"/>
      <c r="AP318" s="301"/>
      <c r="AQ318" s="426"/>
      <c r="AR318" s="298"/>
      <c r="AS318" s="299"/>
      <c r="AT318" s="299"/>
      <c r="AU318" s="301"/>
      <c r="AV318" s="301"/>
      <c r="AW318" s="88"/>
      <c r="AX318" s="298"/>
      <c r="AY318" s="299"/>
      <c r="AZ318" s="299"/>
      <c r="BA318" s="301"/>
      <c r="BB318" s="301"/>
      <c r="BC318" s="426"/>
      <c r="BD318" s="298"/>
      <c r="BE318" s="299"/>
      <c r="BF318" s="299"/>
      <c r="BG318" s="301"/>
      <c r="BH318" s="301"/>
      <c r="BI318" s="88"/>
      <c r="BJ318" s="298"/>
      <c r="BK318" s="299"/>
      <c r="BL318" s="299"/>
      <c r="BM318" s="301"/>
      <c r="BN318" s="301"/>
      <c r="BO318" s="88"/>
      <c r="BP318" s="9"/>
      <c r="BS318" s="81"/>
      <c r="BT318" s="81"/>
      <c r="BV318" s="9"/>
      <c r="BY318" s="81"/>
      <c r="BZ318" s="81"/>
      <c r="CB318" s="9"/>
      <c r="CE318" s="81"/>
      <c r="CF318" s="81"/>
      <c r="CH318" s="9"/>
      <c r="CK318" s="81"/>
      <c r="CL318" s="81"/>
      <c r="CR318" s="9"/>
      <c r="CS318" s="9"/>
      <c r="CT318" s="9"/>
      <c r="CU318" s="9"/>
      <c r="CV318" s="9"/>
      <c r="CW318" s="129"/>
      <c r="CX318" s="9"/>
    </row>
    <row r="319" spans="1:102">
      <c r="A319" s="6" t="str">
        <f t="shared" si="41"/>
        <v>00620999</v>
      </c>
      <c r="B319" s="6" t="s">
        <v>1712</v>
      </c>
      <c r="C319" s="6" t="s">
        <v>2092</v>
      </c>
      <c r="D319" s="6">
        <v>310</v>
      </c>
      <c r="E319" s="10">
        <v>62</v>
      </c>
      <c r="F319" s="10" t="s">
        <v>1181</v>
      </c>
      <c r="G319" s="10">
        <v>999</v>
      </c>
      <c r="H319" s="10" t="s">
        <v>593</v>
      </c>
      <c r="I319" s="92">
        <v>1598151.7392041576</v>
      </c>
      <c r="J319" s="472">
        <v>1</v>
      </c>
      <c r="K319" s="53">
        <f>SUM(K315:K318)</f>
        <v>1415658.184172444</v>
      </c>
      <c r="L319" s="91">
        <f>SUM(L315:L318)</f>
        <v>1</v>
      </c>
      <c r="M319" s="79">
        <f>VLOOKUP(E319,town351,24)</f>
        <v>1167918</v>
      </c>
      <c r="N319" s="79">
        <f>SUM(N315:N318)</f>
        <v>1167918</v>
      </c>
      <c r="O319" s="79">
        <v>1318475</v>
      </c>
      <c r="P319" s="79">
        <f>SUM(P315:P318)</f>
        <v>-150557</v>
      </c>
      <c r="Q319" s="39">
        <f t="shared" si="49"/>
        <v>-11.419025768406682</v>
      </c>
      <c r="R319" s="9">
        <v>107.2980769202</v>
      </c>
      <c r="S319" s="9">
        <f t="shared" si="47"/>
        <v>95.821428575470009</v>
      </c>
      <c r="T319" s="90">
        <f t="shared" si="42"/>
        <v>62</v>
      </c>
      <c r="U319" s="90">
        <f t="shared" si="43"/>
        <v>999</v>
      </c>
      <c r="V319" s="373">
        <f t="shared" si="44"/>
        <v>310</v>
      </c>
      <c r="W319" s="90">
        <f t="shared" si="45"/>
        <v>95.821428575470009</v>
      </c>
      <c r="X319" s="90">
        <f t="shared" si="46"/>
        <v>1415658.184172444</v>
      </c>
      <c r="Y319" s="141">
        <f t="shared" si="48"/>
        <v>310</v>
      </c>
      <c r="Z319" s="298">
        <v>62</v>
      </c>
      <c r="AA319" s="299">
        <v>999</v>
      </c>
      <c r="AB319" s="299">
        <v>310</v>
      </c>
      <c r="AC319" s="301">
        <v>95.821428575470009</v>
      </c>
      <c r="AD319" s="301">
        <v>1415658.184172444</v>
      </c>
      <c r="AE319" s="126"/>
      <c r="AF319" s="298"/>
      <c r="AG319" s="299"/>
      <c r="AH319" s="299"/>
      <c r="AI319" s="301"/>
      <c r="AJ319" s="301"/>
      <c r="AK319" s="426"/>
      <c r="AL319" s="298"/>
      <c r="AM319" s="299"/>
      <c r="AN319" s="299"/>
      <c r="AO319" s="301"/>
      <c r="AP319" s="301"/>
      <c r="AQ319" s="426"/>
      <c r="AR319" s="298"/>
      <c r="AS319" s="299"/>
      <c r="AT319" s="299"/>
      <c r="AU319" s="301"/>
      <c r="AV319" s="301"/>
      <c r="AW319" s="91"/>
      <c r="AX319" s="298"/>
      <c r="AY319" s="299"/>
      <c r="AZ319" s="299"/>
      <c r="BA319" s="301"/>
      <c r="BB319" s="301"/>
      <c r="BC319" s="426"/>
      <c r="BD319" s="298"/>
      <c r="BE319" s="299"/>
      <c r="BF319" s="299"/>
      <c r="BG319" s="301"/>
      <c r="BH319" s="301"/>
      <c r="BI319" s="91"/>
      <c r="BJ319" s="298"/>
      <c r="BK319" s="299"/>
      <c r="BL319" s="299"/>
      <c r="BM319" s="301"/>
      <c r="BN319" s="301"/>
      <c r="BO319" s="91"/>
      <c r="BP319" s="9"/>
      <c r="BS319" s="81"/>
      <c r="BT319" s="81"/>
      <c r="BV319" s="9"/>
      <c r="BY319" s="81"/>
      <c r="BZ319" s="81"/>
      <c r="CB319" s="9"/>
      <c r="CE319" s="81"/>
      <c r="CF319" s="81"/>
      <c r="CH319" s="9"/>
      <c r="CK319" s="81"/>
      <c r="CL319" s="81"/>
      <c r="CR319" s="9"/>
      <c r="CS319" s="9"/>
      <c r="CT319" s="9"/>
      <c r="CU319" s="9"/>
      <c r="CV319" s="9"/>
      <c r="CW319" s="129"/>
      <c r="CX319" s="9"/>
    </row>
    <row r="320" spans="1:102">
      <c r="A320" s="6" t="str">
        <f t="shared" si="41"/>
        <v>00630063</v>
      </c>
      <c r="B320" s="6" t="s">
        <v>1713</v>
      </c>
      <c r="C320" s="6" t="s">
        <v>1713</v>
      </c>
      <c r="D320" s="6">
        <v>311</v>
      </c>
      <c r="E320" s="6">
        <v>63</v>
      </c>
      <c r="F320" s="6" t="s">
        <v>1182</v>
      </c>
      <c r="G320" s="6">
        <v>63</v>
      </c>
      <c r="H320" s="6" t="s">
        <v>744</v>
      </c>
      <c r="I320" s="33">
        <v>2395286.75</v>
      </c>
      <c r="J320" s="88">
        <v>0.67705984603216862</v>
      </c>
      <c r="K320" s="89">
        <f>X320</f>
        <v>2889718.2099999995</v>
      </c>
      <c r="L320" s="88">
        <f>IF(K324&gt;0, K320/K324, 0)</f>
        <v>0.71709278411474586</v>
      </c>
      <c r="M320" s="58"/>
      <c r="N320" s="9">
        <f>ROUND(M324*L320,0)</f>
        <v>806811</v>
      </c>
      <c r="O320" s="9">
        <v>736864</v>
      </c>
      <c r="P320" s="9">
        <f>N320-O320</f>
        <v>69947</v>
      </c>
      <c r="Q320" s="40">
        <f t="shared" si="49"/>
        <v>9.4925250792547882</v>
      </c>
      <c r="R320" s="9">
        <v>171</v>
      </c>
      <c r="S320" s="9">
        <f t="shared" si="47"/>
        <v>204</v>
      </c>
      <c r="T320" s="90">
        <f t="shared" si="42"/>
        <v>63</v>
      </c>
      <c r="U320" s="90">
        <f t="shared" si="43"/>
        <v>63</v>
      </c>
      <c r="V320" s="373">
        <f t="shared" si="44"/>
        <v>311</v>
      </c>
      <c r="W320" s="90">
        <f t="shared" si="45"/>
        <v>204</v>
      </c>
      <c r="X320" s="90">
        <f t="shared" si="46"/>
        <v>2889718.2099999995</v>
      </c>
      <c r="Y320" s="141">
        <f t="shared" si="48"/>
        <v>311</v>
      </c>
      <c r="Z320" s="298">
        <v>63</v>
      </c>
      <c r="AA320" s="299">
        <v>63</v>
      </c>
      <c r="AB320" s="299">
        <v>311</v>
      </c>
      <c r="AC320" s="301">
        <v>204</v>
      </c>
      <c r="AD320" s="301">
        <v>2889718.2099999995</v>
      </c>
      <c r="AE320" s="126"/>
      <c r="AF320" s="298"/>
      <c r="AG320" s="299"/>
      <c r="AH320" s="299"/>
      <c r="AI320" s="301"/>
      <c r="AJ320" s="301"/>
      <c r="AK320" s="426"/>
      <c r="AL320" s="298"/>
      <c r="AM320" s="299"/>
      <c r="AN320" s="299"/>
      <c r="AO320" s="301"/>
      <c r="AP320" s="301"/>
      <c r="AQ320" s="426"/>
      <c r="AR320" s="298"/>
      <c r="AS320" s="299"/>
      <c r="AT320" s="299"/>
      <c r="AU320" s="301"/>
      <c r="AV320" s="301"/>
      <c r="AW320" s="88"/>
      <c r="AX320" s="298"/>
      <c r="AY320" s="299"/>
      <c r="AZ320" s="299"/>
      <c r="BA320" s="301"/>
      <c r="BB320" s="301"/>
      <c r="BC320" s="426"/>
      <c r="BD320" s="298"/>
      <c r="BE320" s="299"/>
      <c r="BF320" s="299"/>
      <c r="BG320" s="301"/>
      <c r="BH320" s="301"/>
      <c r="BI320" s="88"/>
      <c r="BJ320" s="298"/>
      <c r="BK320" s="299"/>
      <c r="BL320" s="299"/>
      <c r="BM320" s="301"/>
      <c r="BN320" s="301"/>
      <c r="BO320" s="88"/>
      <c r="BP320" s="9"/>
      <c r="BS320" s="81"/>
      <c r="BT320" s="81"/>
      <c r="BV320" s="9"/>
      <c r="BY320" s="81"/>
      <c r="BZ320" s="81"/>
      <c r="CB320" s="9"/>
      <c r="CE320" s="81"/>
      <c r="CF320" s="81"/>
      <c r="CH320" s="9"/>
      <c r="CK320" s="81"/>
      <c r="CL320" s="81"/>
      <c r="CR320" s="9"/>
      <c r="CS320" s="9"/>
      <c r="CT320" s="9"/>
      <c r="CU320" s="9"/>
      <c r="CV320" s="9"/>
      <c r="CW320" s="129"/>
      <c r="CX320" s="9"/>
    </row>
    <row r="321" spans="1:102">
      <c r="A321" s="6" t="str">
        <f t="shared" si="41"/>
        <v>00630851</v>
      </c>
      <c r="B321" s="6" t="s">
        <v>1713</v>
      </c>
      <c r="C321" s="6" t="s">
        <v>2076</v>
      </c>
      <c r="D321" s="6">
        <v>312</v>
      </c>
      <c r="E321" s="6">
        <v>63</v>
      </c>
      <c r="F321" s="6" t="s">
        <v>1182</v>
      </c>
      <c r="G321" s="6">
        <v>851</v>
      </c>
      <c r="H321" s="6" t="s">
        <v>1106</v>
      </c>
      <c r="I321" s="33">
        <v>1142490.2486468737</v>
      </c>
      <c r="J321" s="88">
        <v>0.32294015396783132</v>
      </c>
      <c r="K321" s="89">
        <f t="shared" si="50"/>
        <v>1140050.7041682957</v>
      </c>
      <c r="L321" s="88">
        <f>IF(K324&gt;0, K321/K324, 0)</f>
        <v>0.28290721588525403</v>
      </c>
      <c r="M321" s="58"/>
      <c r="N321" s="9">
        <f>ROUND(M324*L321,0)</f>
        <v>318303</v>
      </c>
      <c r="O321" s="9">
        <v>351465</v>
      </c>
      <c r="P321" s="9">
        <f>N321-O321</f>
        <v>-33162</v>
      </c>
      <c r="Q321" s="40">
        <f t="shared" si="49"/>
        <v>-9.4353634074516659</v>
      </c>
      <c r="R321" s="9">
        <v>54.000000001140002</v>
      </c>
      <c r="S321" s="9">
        <f t="shared" si="47"/>
        <v>51.999999998169997</v>
      </c>
      <c r="T321" s="90">
        <f t="shared" si="42"/>
        <v>63</v>
      </c>
      <c r="U321" s="90">
        <f t="shared" si="43"/>
        <v>851</v>
      </c>
      <c r="V321" s="373">
        <f t="shared" si="44"/>
        <v>312</v>
      </c>
      <c r="W321" s="90">
        <f t="shared" si="45"/>
        <v>51.999999998169997</v>
      </c>
      <c r="X321" s="90">
        <f t="shared" si="46"/>
        <v>1140050.7041682957</v>
      </c>
      <c r="Y321" s="141">
        <f t="shared" si="48"/>
        <v>312</v>
      </c>
      <c r="Z321" s="298">
        <v>63</v>
      </c>
      <c r="AA321" s="299">
        <v>851</v>
      </c>
      <c r="AB321" s="299">
        <v>312</v>
      </c>
      <c r="AC321" s="301">
        <v>51.999999998169997</v>
      </c>
      <c r="AD321" s="301">
        <v>1140050.7041682957</v>
      </c>
      <c r="AE321" s="126"/>
      <c r="AF321" s="298"/>
      <c r="AG321" s="299"/>
      <c r="AH321" s="299"/>
      <c r="AI321" s="301"/>
      <c r="AJ321" s="301"/>
      <c r="AK321" s="426"/>
      <c r="AL321" s="298"/>
      <c r="AM321" s="299"/>
      <c r="AN321" s="299"/>
      <c r="AO321" s="301"/>
      <c r="AP321" s="301"/>
      <c r="AQ321" s="426"/>
      <c r="AR321" s="298"/>
      <c r="AS321" s="299"/>
      <c r="AT321" s="299"/>
      <c r="AU321" s="301"/>
      <c r="AV321" s="301"/>
      <c r="AW321" s="88"/>
      <c r="AX321" s="298"/>
      <c r="AY321" s="299"/>
      <c r="AZ321" s="299"/>
      <c r="BA321" s="301"/>
      <c r="BB321" s="301"/>
      <c r="BC321" s="426"/>
      <c r="BD321" s="298"/>
      <c r="BE321" s="299"/>
      <c r="BF321" s="299"/>
      <c r="BG321" s="301"/>
      <c r="BH321" s="301"/>
      <c r="BI321" s="88"/>
      <c r="BJ321" s="298"/>
      <c r="BK321" s="299"/>
      <c r="BL321" s="299"/>
      <c r="BM321" s="301"/>
      <c r="BN321" s="301"/>
      <c r="BO321" s="88"/>
      <c r="BP321" s="9"/>
      <c r="BS321" s="81"/>
      <c r="BT321" s="81"/>
      <c r="BV321" s="9"/>
      <c r="BY321" s="81"/>
      <c r="BZ321" s="81"/>
      <c r="CB321" s="9"/>
      <c r="CE321" s="81"/>
      <c r="CF321" s="81"/>
      <c r="CH321" s="9"/>
      <c r="CK321" s="81"/>
      <c r="CL321" s="81"/>
      <c r="CR321" s="9"/>
      <c r="CS321" s="9"/>
      <c r="CT321" s="9"/>
      <c r="CU321" s="9"/>
      <c r="CV321" s="9"/>
      <c r="CW321" s="129"/>
      <c r="CX321" s="9"/>
    </row>
    <row r="322" spans="1:102">
      <c r="A322" s="6" t="str">
        <f t="shared" si="41"/>
        <v>00630998</v>
      </c>
      <c r="B322" s="6" t="s">
        <v>1713</v>
      </c>
      <c r="C322" s="6" t="s">
        <v>2091</v>
      </c>
      <c r="D322" s="6">
        <v>313</v>
      </c>
      <c r="E322" s="6">
        <v>63</v>
      </c>
      <c r="F322" s="6" t="s">
        <v>1547</v>
      </c>
      <c r="G322" s="6">
        <v>998</v>
      </c>
      <c r="H322" s="6" t="s">
        <v>1547</v>
      </c>
      <c r="I322" s="33">
        <v>0</v>
      </c>
      <c r="J322" s="88">
        <v>0</v>
      </c>
      <c r="K322" s="89">
        <f t="shared" si="50"/>
        <v>0</v>
      </c>
      <c r="L322" s="88">
        <f>IF(K324&gt;0, K322/K324, 0)</f>
        <v>0</v>
      </c>
      <c r="M322" s="58"/>
      <c r="N322" s="9">
        <f>ROUND(M324*L322,0)</f>
        <v>0</v>
      </c>
      <c r="O322" s="9">
        <v>0</v>
      </c>
      <c r="P322" s="9">
        <f>N322-O322</f>
        <v>0</v>
      </c>
      <c r="Q322" s="40">
        <f t="shared" si="49"/>
        <v>0</v>
      </c>
      <c r="R322" s="9">
        <v>0</v>
      </c>
      <c r="S322" s="9">
        <f t="shared" si="47"/>
        <v>0</v>
      </c>
      <c r="T322" s="90">
        <f t="shared" si="42"/>
        <v>63</v>
      </c>
      <c r="U322" s="90">
        <f t="shared" si="43"/>
        <v>998</v>
      </c>
      <c r="V322" s="373">
        <f t="shared" si="44"/>
        <v>313</v>
      </c>
      <c r="W322" s="90">
        <f t="shared" si="45"/>
        <v>0</v>
      </c>
      <c r="X322" s="90">
        <f t="shared" si="46"/>
        <v>0</v>
      </c>
      <c r="Y322" s="141">
        <f t="shared" si="48"/>
        <v>313</v>
      </c>
      <c r="Z322" s="298">
        <v>63</v>
      </c>
      <c r="AA322" s="299">
        <v>998</v>
      </c>
      <c r="AB322" s="299">
        <v>313</v>
      </c>
      <c r="AC322" s="301">
        <v>0</v>
      </c>
      <c r="AD322" s="301">
        <v>0</v>
      </c>
      <c r="AE322" s="126"/>
      <c r="AF322" s="298"/>
      <c r="AG322" s="299"/>
      <c r="AH322" s="299"/>
      <c r="AI322" s="301"/>
      <c r="AJ322" s="301"/>
      <c r="AK322" s="426"/>
      <c r="AL322" s="298"/>
      <c r="AM322" s="299"/>
      <c r="AN322" s="299"/>
      <c r="AO322" s="301"/>
      <c r="AP322" s="301"/>
      <c r="AQ322" s="426"/>
      <c r="AR322" s="298"/>
      <c r="AS322" s="299"/>
      <c r="AT322" s="299"/>
      <c r="AU322" s="301"/>
      <c r="AV322" s="301"/>
      <c r="AW322" s="88"/>
      <c r="AX322" s="298"/>
      <c r="AY322" s="299"/>
      <c r="AZ322" s="299"/>
      <c r="BA322" s="301"/>
      <c r="BB322" s="301"/>
      <c r="BC322" s="426"/>
      <c r="BD322" s="298"/>
      <c r="BE322" s="299"/>
      <c r="BF322" s="299"/>
      <c r="BG322" s="301"/>
      <c r="BH322" s="301"/>
      <c r="BI322" s="88"/>
      <c r="BJ322" s="298"/>
      <c r="BK322" s="299"/>
      <c r="BL322" s="299"/>
      <c r="BM322" s="301"/>
      <c r="BN322" s="301"/>
      <c r="BO322" s="88"/>
      <c r="BP322" s="9"/>
      <c r="BS322" s="81"/>
      <c r="BT322" s="81"/>
      <c r="BV322" s="9"/>
      <c r="BY322" s="81"/>
      <c r="BZ322" s="81"/>
      <c r="CB322" s="9"/>
      <c r="CE322" s="81"/>
      <c r="CF322" s="81"/>
      <c r="CH322" s="9"/>
      <c r="CK322" s="81"/>
      <c r="CL322" s="81"/>
      <c r="CR322" s="9"/>
      <c r="CS322" s="9"/>
      <c r="CT322" s="9"/>
      <c r="CU322" s="9"/>
      <c r="CV322" s="9"/>
      <c r="CW322" s="129"/>
      <c r="CX322" s="9"/>
    </row>
    <row r="323" spans="1:102">
      <c r="A323" s="6" t="str">
        <f t="shared" si="41"/>
        <v>00630998</v>
      </c>
      <c r="B323" s="6" t="s">
        <v>1713</v>
      </c>
      <c r="C323" s="6" t="s">
        <v>2091</v>
      </c>
      <c r="D323" s="6">
        <v>314</v>
      </c>
      <c r="E323" s="6">
        <v>63</v>
      </c>
      <c r="F323" s="6" t="s">
        <v>1547</v>
      </c>
      <c r="G323" s="6">
        <v>998</v>
      </c>
      <c r="H323" s="6" t="s">
        <v>1547</v>
      </c>
      <c r="I323" s="33">
        <v>0</v>
      </c>
      <c r="J323" s="88">
        <v>0</v>
      </c>
      <c r="K323" s="89">
        <f t="shared" si="50"/>
        <v>0</v>
      </c>
      <c r="L323" s="88">
        <f>IF(K324&gt;0, K323/K324, 0)</f>
        <v>0</v>
      </c>
      <c r="M323" s="58"/>
      <c r="N323" s="9">
        <f>ROUND(M324*L323,0)</f>
        <v>0</v>
      </c>
      <c r="O323" s="9">
        <v>0</v>
      </c>
      <c r="P323" s="9">
        <f>N323-O323</f>
        <v>0</v>
      </c>
      <c r="Q323" s="40">
        <f t="shared" si="49"/>
        <v>0</v>
      </c>
      <c r="R323" s="9">
        <v>0</v>
      </c>
      <c r="S323" s="9">
        <f t="shared" si="47"/>
        <v>0</v>
      </c>
      <c r="T323" s="90">
        <f t="shared" si="42"/>
        <v>63</v>
      </c>
      <c r="U323" s="90">
        <f t="shared" si="43"/>
        <v>998</v>
      </c>
      <c r="V323" s="373">
        <f t="shared" si="44"/>
        <v>314</v>
      </c>
      <c r="W323" s="90">
        <f t="shared" si="45"/>
        <v>0</v>
      </c>
      <c r="X323" s="90">
        <f t="shared" si="46"/>
        <v>0</v>
      </c>
      <c r="Y323" s="141">
        <f t="shared" si="48"/>
        <v>314</v>
      </c>
      <c r="Z323" s="298">
        <v>63</v>
      </c>
      <c r="AA323" s="299">
        <v>998</v>
      </c>
      <c r="AB323" s="299">
        <v>314</v>
      </c>
      <c r="AC323" s="301">
        <v>0</v>
      </c>
      <c r="AD323" s="301">
        <v>0</v>
      </c>
      <c r="AE323" s="126"/>
      <c r="AF323" s="298"/>
      <c r="AG323" s="299"/>
      <c r="AH323" s="299"/>
      <c r="AI323" s="301"/>
      <c r="AJ323" s="301"/>
      <c r="AK323" s="426"/>
      <c r="AL323" s="298"/>
      <c r="AM323" s="299"/>
      <c r="AN323" s="299"/>
      <c r="AO323" s="301"/>
      <c r="AP323" s="301"/>
      <c r="AQ323" s="426"/>
      <c r="AR323" s="298"/>
      <c r="AS323" s="299"/>
      <c r="AT323" s="299"/>
      <c r="AU323" s="301"/>
      <c r="AV323" s="301"/>
      <c r="AW323" s="88"/>
      <c r="AX323" s="298"/>
      <c r="AY323" s="299"/>
      <c r="AZ323" s="299"/>
      <c r="BA323" s="301"/>
      <c r="BB323" s="301"/>
      <c r="BC323" s="426"/>
      <c r="BD323" s="298"/>
      <c r="BE323" s="299"/>
      <c r="BF323" s="299"/>
      <c r="BG323" s="301"/>
      <c r="BH323" s="301"/>
      <c r="BI323" s="88"/>
      <c r="BJ323" s="298"/>
      <c r="BK323" s="299"/>
      <c r="BL323" s="299"/>
      <c r="BM323" s="301"/>
      <c r="BN323" s="301"/>
      <c r="BO323" s="88"/>
      <c r="BP323" s="9"/>
      <c r="BS323" s="81"/>
      <c r="BT323" s="81"/>
      <c r="BV323" s="9"/>
      <c r="BY323" s="81"/>
      <c r="BZ323" s="81"/>
      <c r="CB323" s="9"/>
      <c r="CE323" s="81"/>
      <c r="CF323" s="81"/>
      <c r="CH323" s="9"/>
      <c r="CK323" s="81"/>
      <c r="CL323" s="81"/>
      <c r="CR323" s="9"/>
      <c r="CS323" s="9"/>
      <c r="CT323" s="9"/>
      <c r="CU323" s="9"/>
      <c r="CV323" s="9"/>
      <c r="CW323" s="129"/>
      <c r="CX323" s="9"/>
    </row>
    <row r="324" spans="1:102">
      <c r="A324" s="6" t="str">
        <f t="shared" si="41"/>
        <v>00630999</v>
      </c>
      <c r="B324" s="6" t="s">
        <v>1713</v>
      </c>
      <c r="C324" s="6" t="s">
        <v>2092</v>
      </c>
      <c r="D324" s="6">
        <v>315</v>
      </c>
      <c r="E324" s="10">
        <v>63</v>
      </c>
      <c r="F324" s="10" t="s">
        <v>1182</v>
      </c>
      <c r="G324" s="10">
        <v>999</v>
      </c>
      <c r="H324" s="10" t="s">
        <v>593</v>
      </c>
      <c r="I324" s="92">
        <v>3537776.998646874</v>
      </c>
      <c r="J324" s="472">
        <v>1</v>
      </c>
      <c r="K324" s="53">
        <f>SUM(K320:K323)</f>
        <v>4029768.9141682955</v>
      </c>
      <c r="L324" s="91">
        <f>SUM(L320:L323)</f>
        <v>0.99999999999999989</v>
      </c>
      <c r="M324" s="79">
        <f>VLOOKUP(E324,town351,24)</f>
        <v>1125114</v>
      </c>
      <c r="N324" s="79">
        <f>SUM(N320:N323)</f>
        <v>1125114</v>
      </c>
      <c r="O324" s="79">
        <v>1088329</v>
      </c>
      <c r="P324" s="79">
        <f>SUM(P320:P323)</f>
        <v>36785</v>
      </c>
      <c r="Q324" s="39">
        <f t="shared" si="49"/>
        <v>3.3799522019536372</v>
      </c>
      <c r="R324" s="9">
        <v>225.00000000113999</v>
      </c>
      <c r="S324" s="9">
        <f t="shared" si="47"/>
        <v>255.99999999816998</v>
      </c>
      <c r="T324" s="90">
        <f t="shared" si="42"/>
        <v>63</v>
      </c>
      <c r="U324" s="90">
        <f t="shared" si="43"/>
        <v>999</v>
      </c>
      <c r="V324" s="373">
        <f t="shared" si="44"/>
        <v>315</v>
      </c>
      <c r="W324" s="90">
        <f t="shared" si="45"/>
        <v>255.99999999816998</v>
      </c>
      <c r="X324" s="90">
        <f t="shared" si="46"/>
        <v>4029768.9141682955</v>
      </c>
      <c r="Y324" s="141">
        <f t="shared" si="48"/>
        <v>315</v>
      </c>
      <c r="Z324" s="298">
        <v>63</v>
      </c>
      <c r="AA324" s="299">
        <v>999</v>
      </c>
      <c r="AB324" s="299">
        <v>315</v>
      </c>
      <c r="AC324" s="301">
        <v>255.99999999816998</v>
      </c>
      <c r="AD324" s="301">
        <v>4029768.9141682955</v>
      </c>
      <c r="AE324" s="126"/>
      <c r="AF324" s="298"/>
      <c r="AG324" s="299"/>
      <c r="AH324" s="299"/>
      <c r="AI324" s="301"/>
      <c r="AJ324" s="301"/>
      <c r="AK324" s="426"/>
      <c r="AL324" s="298"/>
      <c r="AM324" s="299"/>
      <c r="AN324" s="299"/>
      <c r="AO324" s="301"/>
      <c r="AP324" s="301"/>
      <c r="AQ324" s="426"/>
      <c r="AR324" s="298"/>
      <c r="AS324" s="299"/>
      <c r="AT324" s="299"/>
      <c r="AU324" s="301"/>
      <c r="AV324" s="301"/>
      <c r="AW324" s="91"/>
      <c r="AX324" s="298"/>
      <c r="AY324" s="299"/>
      <c r="AZ324" s="299"/>
      <c r="BA324" s="301"/>
      <c r="BB324" s="301"/>
      <c r="BC324" s="426"/>
      <c r="BD324" s="298"/>
      <c r="BE324" s="299"/>
      <c r="BF324" s="299"/>
      <c r="BG324" s="301"/>
      <c r="BH324" s="301"/>
      <c r="BI324" s="91"/>
      <c r="BJ324" s="298"/>
      <c r="BK324" s="299"/>
      <c r="BL324" s="299"/>
      <c r="BM324" s="301"/>
      <c r="BN324" s="301"/>
      <c r="BO324" s="91"/>
      <c r="BP324" s="9"/>
      <c r="BS324" s="81"/>
      <c r="BT324" s="81"/>
      <c r="BV324" s="9"/>
      <c r="BY324" s="81"/>
      <c r="BZ324" s="81"/>
      <c r="CB324" s="9"/>
      <c r="CE324" s="81"/>
      <c r="CF324" s="81"/>
      <c r="CH324" s="9"/>
      <c r="CK324" s="81"/>
      <c r="CL324" s="81"/>
      <c r="CR324" s="9"/>
      <c r="CS324" s="9"/>
      <c r="CT324" s="9"/>
      <c r="CU324" s="9"/>
      <c r="CV324" s="9"/>
      <c r="CW324" s="129"/>
      <c r="CX324" s="9"/>
    </row>
    <row r="325" spans="1:102">
      <c r="A325" s="6" t="str">
        <f t="shared" si="41"/>
        <v>00640064</v>
      </c>
      <c r="B325" s="6" t="s">
        <v>1714</v>
      </c>
      <c r="C325" s="6" t="s">
        <v>1714</v>
      </c>
      <c r="D325" s="6">
        <v>316</v>
      </c>
      <c r="E325" s="6">
        <v>64</v>
      </c>
      <c r="F325" s="6" t="s">
        <v>1183</v>
      </c>
      <c r="G325" s="6">
        <v>64</v>
      </c>
      <c r="H325" s="6" t="s">
        <v>745</v>
      </c>
      <c r="I325" s="33">
        <v>32534279.410000004</v>
      </c>
      <c r="J325" s="88">
        <v>1</v>
      </c>
      <c r="K325" s="89">
        <f>X325</f>
        <v>34438020.57</v>
      </c>
      <c r="L325" s="88">
        <f>IF(K329&gt;0, K325/K329, 0)</f>
        <v>1</v>
      </c>
      <c r="M325" s="58"/>
      <c r="N325" s="9">
        <f>ROUND(M329*L325,0)</f>
        <v>14024833</v>
      </c>
      <c r="O325" s="9">
        <v>13217258</v>
      </c>
      <c r="P325" s="9">
        <f>N325-O325</f>
        <v>807575</v>
      </c>
      <c r="Q325" s="40">
        <f t="shared" si="49"/>
        <v>6.1100040568172309</v>
      </c>
      <c r="R325" s="9">
        <v>2062</v>
      </c>
      <c r="S325" s="9">
        <f t="shared" si="47"/>
        <v>2095</v>
      </c>
      <c r="T325" s="90">
        <f t="shared" si="42"/>
        <v>64</v>
      </c>
      <c r="U325" s="90">
        <f t="shared" si="43"/>
        <v>64</v>
      </c>
      <c r="V325" s="373">
        <f t="shared" si="44"/>
        <v>316</v>
      </c>
      <c r="W325" s="90">
        <f t="shared" si="45"/>
        <v>2095</v>
      </c>
      <c r="X325" s="90">
        <f t="shared" si="46"/>
        <v>34438020.57</v>
      </c>
      <c r="Y325" s="141">
        <f t="shared" si="48"/>
        <v>316</v>
      </c>
      <c r="Z325" s="298">
        <v>64</v>
      </c>
      <c r="AA325" s="299">
        <v>64</v>
      </c>
      <c r="AB325" s="299">
        <v>316</v>
      </c>
      <c r="AC325" s="301">
        <v>2095</v>
      </c>
      <c r="AD325" s="301">
        <v>34438020.57</v>
      </c>
      <c r="AE325" s="126"/>
      <c r="AF325" s="298"/>
      <c r="AG325" s="299"/>
      <c r="AH325" s="299"/>
      <c r="AI325" s="301"/>
      <c r="AJ325" s="301"/>
      <c r="AK325" s="426"/>
      <c r="AL325" s="298"/>
      <c r="AM325" s="299"/>
      <c r="AN325" s="299"/>
      <c r="AO325" s="301"/>
      <c r="AP325" s="301"/>
      <c r="AQ325" s="426"/>
      <c r="AR325" s="298"/>
      <c r="AS325" s="299"/>
      <c r="AT325" s="299"/>
      <c r="AU325" s="301"/>
      <c r="AV325" s="301"/>
      <c r="AW325" s="88"/>
      <c r="AX325" s="298"/>
      <c r="AY325" s="299"/>
      <c r="AZ325" s="299"/>
      <c r="BA325" s="301"/>
      <c r="BB325" s="301"/>
      <c r="BC325" s="426"/>
      <c r="BD325" s="298"/>
      <c r="BE325" s="299"/>
      <c r="BF325" s="299"/>
      <c r="BG325" s="301"/>
      <c r="BH325" s="301"/>
      <c r="BI325" s="88"/>
      <c r="BJ325" s="298"/>
      <c r="BK325" s="299"/>
      <c r="BL325" s="299"/>
      <c r="BM325" s="301"/>
      <c r="BN325" s="301"/>
      <c r="BO325" s="88"/>
      <c r="BP325" s="9"/>
      <c r="BS325" s="81"/>
      <c r="BT325" s="81"/>
      <c r="BV325" s="9"/>
      <c r="BY325" s="81"/>
      <c r="BZ325" s="81"/>
      <c r="CB325" s="9"/>
      <c r="CE325" s="81"/>
      <c r="CF325" s="81"/>
      <c r="CH325" s="9"/>
      <c r="CK325" s="81"/>
      <c r="CL325" s="81"/>
      <c r="CR325" s="9"/>
      <c r="CS325" s="9"/>
      <c r="CT325" s="9"/>
      <c r="CU325" s="9"/>
      <c r="CV325" s="9"/>
      <c r="CW325" s="129"/>
      <c r="CX325" s="9"/>
    </row>
    <row r="326" spans="1:102">
      <c r="A326" s="6" t="str">
        <f t="shared" si="41"/>
        <v>00640998</v>
      </c>
      <c r="B326" s="6" t="s">
        <v>1714</v>
      </c>
      <c r="C326" s="6" t="s">
        <v>2091</v>
      </c>
      <c r="D326" s="6">
        <v>317</v>
      </c>
      <c r="E326" s="6">
        <v>64</v>
      </c>
      <c r="F326" s="6" t="s">
        <v>1547</v>
      </c>
      <c r="G326" s="6">
        <v>998</v>
      </c>
      <c r="H326" s="6" t="s">
        <v>1547</v>
      </c>
      <c r="I326" s="33">
        <v>0</v>
      </c>
      <c r="J326" s="88">
        <v>0</v>
      </c>
      <c r="K326" s="89">
        <f t="shared" si="50"/>
        <v>0</v>
      </c>
      <c r="L326" s="88">
        <f>IF(K329&gt;0, K326/K329, 0)</f>
        <v>0</v>
      </c>
      <c r="M326" s="58"/>
      <c r="N326" s="9">
        <f>ROUND(M329*L326,0)</f>
        <v>0</v>
      </c>
      <c r="O326" s="9">
        <v>0</v>
      </c>
      <c r="P326" s="9">
        <f>N326-O326</f>
        <v>0</v>
      </c>
      <c r="Q326" s="40">
        <f t="shared" si="49"/>
        <v>0</v>
      </c>
      <c r="R326" s="9">
        <v>0</v>
      </c>
      <c r="S326" s="9">
        <f t="shared" si="47"/>
        <v>0</v>
      </c>
      <c r="T326" s="90">
        <f t="shared" si="42"/>
        <v>64</v>
      </c>
      <c r="U326" s="90">
        <f t="shared" si="43"/>
        <v>998</v>
      </c>
      <c r="V326" s="373">
        <f t="shared" si="44"/>
        <v>317</v>
      </c>
      <c r="W326" s="90">
        <f t="shared" si="45"/>
        <v>0</v>
      </c>
      <c r="X326" s="90">
        <f t="shared" si="46"/>
        <v>0</v>
      </c>
      <c r="Y326" s="141">
        <f t="shared" si="48"/>
        <v>317</v>
      </c>
      <c r="Z326" s="298">
        <v>64</v>
      </c>
      <c r="AA326" s="299">
        <v>998</v>
      </c>
      <c r="AB326" s="299">
        <v>317</v>
      </c>
      <c r="AC326" s="301">
        <v>0</v>
      </c>
      <c r="AD326" s="301">
        <v>0</v>
      </c>
      <c r="AE326" s="126"/>
      <c r="AF326" s="298"/>
      <c r="AG326" s="299"/>
      <c r="AH326" s="299"/>
      <c r="AI326" s="301"/>
      <c r="AJ326" s="301"/>
      <c r="AK326" s="426"/>
      <c r="AL326" s="298"/>
      <c r="AM326" s="299"/>
      <c r="AN326" s="299"/>
      <c r="AO326" s="301"/>
      <c r="AP326" s="301"/>
      <c r="AQ326" s="426"/>
      <c r="AR326" s="298"/>
      <c r="AS326" s="299"/>
      <c r="AT326" s="299"/>
      <c r="AU326" s="301"/>
      <c r="AV326" s="301"/>
      <c r="AW326" s="88"/>
      <c r="AX326" s="298"/>
      <c r="AY326" s="299"/>
      <c r="AZ326" s="299"/>
      <c r="BA326" s="301"/>
      <c r="BB326" s="301"/>
      <c r="BC326" s="426"/>
      <c r="BD326" s="298"/>
      <c r="BE326" s="299"/>
      <c r="BF326" s="299"/>
      <c r="BG326" s="301"/>
      <c r="BH326" s="301"/>
      <c r="BI326" s="88"/>
      <c r="BJ326" s="298"/>
      <c r="BK326" s="299"/>
      <c r="BL326" s="299"/>
      <c r="BM326" s="301"/>
      <c r="BN326" s="301"/>
      <c r="BO326" s="88"/>
      <c r="BP326" s="9"/>
      <c r="BS326" s="81"/>
      <c r="BT326" s="81"/>
      <c r="BV326" s="9"/>
      <c r="BY326" s="81"/>
      <c r="BZ326" s="81"/>
      <c r="CB326" s="9"/>
      <c r="CE326" s="81"/>
      <c r="CF326" s="81"/>
      <c r="CH326" s="9"/>
      <c r="CK326" s="81"/>
      <c r="CL326" s="81"/>
      <c r="CR326" s="9"/>
      <c r="CS326" s="9"/>
      <c r="CT326" s="9"/>
      <c r="CU326" s="9"/>
      <c r="CV326" s="9"/>
      <c r="CW326" s="129"/>
      <c r="CX326" s="9"/>
    </row>
    <row r="327" spans="1:102">
      <c r="A327" s="6" t="str">
        <f t="shared" si="41"/>
        <v>00640998</v>
      </c>
      <c r="B327" s="6" t="s">
        <v>1714</v>
      </c>
      <c r="C327" s="6" t="s">
        <v>2091</v>
      </c>
      <c r="D327" s="6">
        <v>318</v>
      </c>
      <c r="E327" s="6">
        <v>64</v>
      </c>
      <c r="F327" s="6" t="s">
        <v>1547</v>
      </c>
      <c r="G327" s="6">
        <v>998</v>
      </c>
      <c r="H327" s="6" t="s">
        <v>1547</v>
      </c>
      <c r="I327" s="33">
        <v>0</v>
      </c>
      <c r="J327" s="88">
        <v>0</v>
      </c>
      <c r="K327" s="89">
        <f t="shared" si="50"/>
        <v>0</v>
      </c>
      <c r="L327" s="88">
        <f>IF(K329&gt;0, K327/K329, 0)</f>
        <v>0</v>
      </c>
      <c r="M327" s="58"/>
      <c r="N327" s="9">
        <f>ROUND(M329*L327,0)</f>
        <v>0</v>
      </c>
      <c r="O327" s="9">
        <v>0</v>
      </c>
      <c r="P327" s="9">
        <f>N327-O327</f>
        <v>0</v>
      </c>
      <c r="Q327" s="40">
        <f t="shared" si="49"/>
        <v>0</v>
      </c>
      <c r="R327" s="9">
        <v>0</v>
      </c>
      <c r="S327" s="9">
        <f t="shared" si="47"/>
        <v>0</v>
      </c>
      <c r="T327" s="90">
        <f t="shared" si="42"/>
        <v>64</v>
      </c>
      <c r="U327" s="90">
        <f t="shared" si="43"/>
        <v>998</v>
      </c>
      <c r="V327" s="373">
        <f t="shared" si="44"/>
        <v>318</v>
      </c>
      <c r="W327" s="90">
        <f t="shared" si="45"/>
        <v>0</v>
      </c>
      <c r="X327" s="90">
        <f t="shared" si="46"/>
        <v>0</v>
      </c>
      <c r="Y327" s="141">
        <f t="shared" si="48"/>
        <v>318</v>
      </c>
      <c r="Z327" s="298">
        <v>64</v>
      </c>
      <c r="AA327" s="299">
        <v>998</v>
      </c>
      <c r="AB327" s="299">
        <v>318</v>
      </c>
      <c r="AC327" s="301">
        <v>0</v>
      </c>
      <c r="AD327" s="301">
        <v>0</v>
      </c>
      <c r="AE327" s="126"/>
      <c r="AF327" s="298"/>
      <c r="AG327" s="299"/>
      <c r="AH327" s="299"/>
      <c r="AI327" s="301"/>
      <c r="AJ327" s="301"/>
      <c r="AK327" s="426"/>
      <c r="AL327" s="298"/>
      <c r="AM327" s="299"/>
      <c r="AN327" s="299"/>
      <c r="AO327" s="301"/>
      <c r="AP327" s="301"/>
      <c r="AQ327" s="426"/>
      <c r="AR327" s="298"/>
      <c r="AS327" s="299"/>
      <c r="AT327" s="299"/>
      <c r="AU327" s="301"/>
      <c r="AV327" s="301"/>
      <c r="AW327" s="88"/>
      <c r="AX327" s="298"/>
      <c r="AY327" s="299"/>
      <c r="AZ327" s="299"/>
      <c r="BA327" s="301"/>
      <c r="BB327" s="301"/>
      <c r="BC327" s="426"/>
      <c r="BD327" s="298"/>
      <c r="BE327" s="299"/>
      <c r="BF327" s="299"/>
      <c r="BG327" s="301"/>
      <c r="BH327" s="301"/>
      <c r="BI327" s="88"/>
      <c r="BJ327" s="298"/>
      <c r="BK327" s="299"/>
      <c r="BL327" s="299"/>
      <c r="BM327" s="301"/>
      <c r="BN327" s="301"/>
      <c r="BO327" s="88"/>
      <c r="BP327" s="9"/>
      <c r="BS327" s="81"/>
      <c r="BT327" s="81"/>
      <c r="BV327" s="9"/>
      <c r="BY327" s="81"/>
      <c r="BZ327" s="81"/>
      <c r="CB327" s="9"/>
      <c r="CE327" s="81"/>
      <c r="CF327" s="81"/>
      <c r="CH327" s="9"/>
      <c r="CK327" s="81"/>
      <c r="CL327" s="81"/>
      <c r="CR327" s="9"/>
      <c r="CS327" s="9"/>
      <c r="CT327" s="9"/>
      <c r="CU327" s="9"/>
      <c r="CV327" s="9"/>
      <c r="CW327" s="129"/>
      <c r="CX327" s="9"/>
    </row>
    <row r="328" spans="1:102">
      <c r="A328" s="6" t="str">
        <f t="shared" si="41"/>
        <v>00640998</v>
      </c>
      <c r="B328" s="6" t="s">
        <v>1714</v>
      </c>
      <c r="C328" s="6" t="s">
        <v>2091</v>
      </c>
      <c r="D328" s="6">
        <v>319</v>
      </c>
      <c r="E328" s="6">
        <v>64</v>
      </c>
      <c r="F328" s="6" t="s">
        <v>1547</v>
      </c>
      <c r="G328" s="6">
        <v>998</v>
      </c>
      <c r="H328" s="6" t="s">
        <v>1547</v>
      </c>
      <c r="I328" s="33">
        <v>0</v>
      </c>
      <c r="J328" s="88">
        <v>0</v>
      </c>
      <c r="K328" s="89">
        <f t="shared" si="50"/>
        <v>0</v>
      </c>
      <c r="L328" s="88">
        <f>IF(K329&gt;0, K328/K329, 0)</f>
        <v>0</v>
      </c>
      <c r="M328" s="58"/>
      <c r="N328" s="9">
        <f>ROUND(M329*L328,0)</f>
        <v>0</v>
      </c>
      <c r="O328" s="9">
        <v>0</v>
      </c>
      <c r="P328" s="9">
        <f>N328-O328</f>
        <v>0</v>
      </c>
      <c r="Q328" s="40">
        <f t="shared" si="49"/>
        <v>0</v>
      </c>
      <c r="R328" s="9">
        <v>0</v>
      </c>
      <c r="S328" s="9">
        <f t="shared" si="47"/>
        <v>0</v>
      </c>
      <c r="T328" s="90">
        <f t="shared" si="42"/>
        <v>64</v>
      </c>
      <c r="U328" s="90">
        <f t="shared" si="43"/>
        <v>998</v>
      </c>
      <c r="V328" s="373">
        <f t="shared" si="44"/>
        <v>319</v>
      </c>
      <c r="W328" s="90">
        <f t="shared" si="45"/>
        <v>0</v>
      </c>
      <c r="X328" s="90">
        <f t="shared" si="46"/>
        <v>0</v>
      </c>
      <c r="Y328" s="141">
        <f t="shared" si="48"/>
        <v>319</v>
      </c>
      <c r="Z328" s="298">
        <v>64</v>
      </c>
      <c r="AA328" s="299">
        <v>998</v>
      </c>
      <c r="AB328" s="299">
        <v>319</v>
      </c>
      <c r="AC328" s="301">
        <v>0</v>
      </c>
      <c r="AD328" s="301">
        <v>0</v>
      </c>
      <c r="AE328" s="126"/>
      <c r="AF328" s="298"/>
      <c r="AG328" s="299"/>
      <c r="AH328" s="299"/>
      <c r="AI328" s="301"/>
      <c r="AJ328" s="301"/>
      <c r="AK328" s="426"/>
      <c r="AL328" s="298"/>
      <c r="AM328" s="299"/>
      <c r="AN328" s="299"/>
      <c r="AO328" s="301"/>
      <c r="AP328" s="301"/>
      <c r="AQ328" s="426"/>
      <c r="AR328" s="298"/>
      <c r="AS328" s="299"/>
      <c r="AT328" s="299"/>
      <c r="AU328" s="301"/>
      <c r="AV328" s="301"/>
      <c r="AW328" s="88"/>
      <c r="AX328" s="298"/>
      <c r="AY328" s="299"/>
      <c r="AZ328" s="299"/>
      <c r="BA328" s="301"/>
      <c r="BB328" s="301"/>
      <c r="BC328" s="426"/>
      <c r="BD328" s="298"/>
      <c r="BE328" s="299"/>
      <c r="BF328" s="299"/>
      <c r="BG328" s="301"/>
      <c r="BH328" s="301"/>
      <c r="BI328" s="88"/>
      <c r="BJ328" s="298"/>
      <c r="BK328" s="299"/>
      <c r="BL328" s="299"/>
      <c r="BM328" s="301"/>
      <c r="BN328" s="301"/>
      <c r="BO328" s="88"/>
      <c r="BP328" s="9"/>
      <c r="BS328" s="81"/>
      <c r="BT328" s="81"/>
      <c r="BV328" s="9"/>
      <c r="BY328" s="81"/>
      <c r="BZ328" s="81"/>
      <c r="CB328" s="9"/>
      <c r="CE328" s="81"/>
      <c r="CF328" s="81"/>
      <c r="CH328" s="9"/>
      <c r="CK328" s="81"/>
      <c r="CL328" s="81"/>
      <c r="CR328" s="9"/>
      <c r="CS328" s="9"/>
      <c r="CT328" s="9"/>
      <c r="CU328" s="9"/>
      <c r="CV328" s="9"/>
      <c r="CW328" s="129"/>
      <c r="CX328" s="9"/>
    </row>
    <row r="329" spans="1:102">
      <c r="A329" s="6" t="str">
        <f t="shared" si="41"/>
        <v>00640999</v>
      </c>
      <c r="B329" s="6" t="s">
        <v>1714</v>
      </c>
      <c r="C329" s="6" t="s">
        <v>2092</v>
      </c>
      <c r="D329" s="6">
        <v>320</v>
      </c>
      <c r="E329" s="10">
        <v>64</v>
      </c>
      <c r="F329" s="10" t="s">
        <v>1183</v>
      </c>
      <c r="G329" s="10">
        <v>999</v>
      </c>
      <c r="H329" s="10" t="s">
        <v>593</v>
      </c>
      <c r="I329" s="92">
        <v>32534279.410000004</v>
      </c>
      <c r="J329" s="472">
        <v>1</v>
      </c>
      <c r="K329" s="53">
        <f>SUM(K325:K328)</f>
        <v>34438020.57</v>
      </c>
      <c r="L329" s="91">
        <f>SUM(L325:L328)</f>
        <v>1</v>
      </c>
      <c r="M329" s="79">
        <f>VLOOKUP(E329,town351,24)</f>
        <v>14024833</v>
      </c>
      <c r="N329" s="79">
        <f>SUM(N325:N328)</f>
        <v>14024833</v>
      </c>
      <c r="O329" s="79">
        <v>13217258</v>
      </c>
      <c r="P329" s="79">
        <f>SUM(P325:P328)</f>
        <v>807575</v>
      </c>
      <c r="Q329" s="39">
        <f t="shared" si="49"/>
        <v>6.1100040568172309</v>
      </c>
      <c r="R329" s="9">
        <v>2062</v>
      </c>
      <c r="S329" s="9">
        <f t="shared" si="47"/>
        <v>2095</v>
      </c>
      <c r="T329" s="90">
        <f t="shared" si="42"/>
        <v>64</v>
      </c>
      <c r="U329" s="90">
        <f t="shared" si="43"/>
        <v>999</v>
      </c>
      <c r="V329" s="373">
        <f t="shared" si="44"/>
        <v>320</v>
      </c>
      <c r="W329" s="90">
        <f t="shared" si="45"/>
        <v>2095</v>
      </c>
      <c r="X329" s="90">
        <f t="shared" si="46"/>
        <v>34438020.57</v>
      </c>
      <c r="Y329" s="141">
        <f t="shared" si="48"/>
        <v>320</v>
      </c>
      <c r="Z329" s="298">
        <v>64</v>
      </c>
      <c r="AA329" s="299">
        <v>999</v>
      </c>
      <c r="AB329" s="299">
        <v>320</v>
      </c>
      <c r="AC329" s="301">
        <v>2095</v>
      </c>
      <c r="AD329" s="301">
        <v>34438020.57</v>
      </c>
      <c r="AE329" s="126"/>
      <c r="AF329" s="298"/>
      <c r="AG329" s="299"/>
      <c r="AH329" s="299"/>
      <c r="AI329" s="301"/>
      <c r="AJ329" s="301"/>
      <c r="AK329" s="426"/>
      <c r="AL329" s="298"/>
      <c r="AM329" s="299"/>
      <c r="AN329" s="299"/>
      <c r="AO329" s="301"/>
      <c r="AP329" s="301"/>
      <c r="AQ329" s="426"/>
      <c r="AR329" s="298"/>
      <c r="AS329" s="299"/>
      <c r="AT329" s="299"/>
      <c r="AU329" s="301"/>
      <c r="AV329" s="301"/>
      <c r="AW329" s="91"/>
      <c r="AX329" s="298"/>
      <c r="AY329" s="299"/>
      <c r="AZ329" s="299"/>
      <c r="BA329" s="301"/>
      <c r="BB329" s="301"/>
      <c r="BC329" s="426"/>
      <c r="BD329" s="298"/>
      <c r="BE329" s="299"/>
      <c r="BF329" s="299"/>
      <c r="BG329" s="301"/>
      <c r="BH329" s="301"/>
      <c r="BI329" s="91"/>
      <c r="BJ329" s="298"/>
      <c r="BK329" s="299"/>
      <c r="BL329" s="299"/>
      <c r="BM329" s="301"/>
      <c r="BN329" s="301"/>
      <c r="BO329" s="91"/>
      <c r="BP329" s="9"/>
      <c r="BS329" s="81"/>
      <c r="BT329" s="81"/>
      <c r="BV329" s="9"/>
      <c r="BY329" s="81"/>
      <c r="BZ329" s="81"/>
      <c r="CB329" s="9"/>
      <c r="CE329" s="81"/>
      <c r="CF329" s="81"/>
      <c r="CH329" s="9"/>
      <c r="CK329" s="81"/>
      <c r="CL329" s="81"/>
      <c r="CR329" s="9"/>
      <c r="CS329" s="9"/>
      <c r="CT329" s="9"/>
      <c r="CU329" s="9"/>
      <c r="CV329" s="9"/>
      <c r="CW329" s="129"/>
      <c r="CX329" s="9"/>
    </row>
    <row r="330" spans="1:102">
      <c r="A330" s="6" t="str">
        <f t="shared" ref="A330:A393" si="51">B330&amp;C330</f>
        <v>00650065</v>
      </c>
      <c r="B330" s="6" t="s">
        <v>1715</v>
      </c>
      <c r="C330" s="6" t="s">
        <v>1715</v>
      </c>
      <c r="D330" s="6">
        <v>321</v>
      </c>
      <c r="E330" s="6">
        <v>65</v>
      </c>
      <c r="F330" s="6" t="s">
        <v>1184</v>
      </c>
      <c r="G330" s="6">
        <v>65</v>
      </c>
      <c r="H330" s="6" t="s">
        <v>746</v>
      </c>
      <c r="I330" s="33">
        <v>16687439.717179999</v>
      </c>
      <c r="J330" s="88">
        <v>0.98646344413438647</v>
      </c>
      <c r="K330" s="89">
        <f>X330</f>
        <v>17839057.451559998</v>
      </c>
      <c r="L330" s="88">
        <f>IF(K334&gt;0, K330/K334, 0)</f>
        <v>0.98958102683844273</v>
      </c>
      <c r="M330" s="58"/>
      <c r="N330" s="9">
        <f>ROUND(M334*L330,0)</f>
        <v>14717222</v>
      </c>
      <c r="O330" s="9">
        <v>13767138</v>
      </c>
      <c r="P330" s="9">
        <f>N330-O330</f>
        <v>950084</v>
      </c>
      <c r="Q330" s="40">
        <f t="shared" si="49"/>
        <v>6.90110028678437</v>
      </c>
      <c r="R330" s="9">
        <v>1367</v>
      </c>
      <c r="S330" s="9">
        <f t="shared" si="47"/>
        <v>1433</v>
      </c>
      <c r="T330" s="90">
        <f t="shared" ref="T330:T393" si="52">VLOOKUP($D330, foundoptions, VLOOKUP($T$6, foundoptcell, 2, FALSE), FALSE)</f>
        <v>65</v>
      </c>
      <c r="U330" s="90">
        <f t="shared" ref="U330:U393" si="53">VLOOKUP($D330, foundoptions, VLOOKUP($T$6, foundoptcell, 2, FALSE)+1, FALSE)</f>
        <v>65</v>
      </c>
      <c r="V330" s="373">
        <f t="shared" ref="V330:V393" si="54">VLOOKUP($D330, foundoptions, VLOOKUP($T$6, foundoptcell, 2, FALSE)+2, FALSE)</f>
        <v>321</v>
      </c>
      <c r="W330" s="90">
        <f t="shared" ref="W330:W393" si="55">VLOOKUP($D330, foundoptions, VLOOKUP($T$6, foundoptcell, 2, FALSE)+3, FALSE)</f>
        <v>1433</v>
      </c>
      <c r="X330" s="90">
        <f t="shared" ref="X330:X393" si="56">VLOOKUP($D330, foundoptions, VLOOKUP($T$6, foundoptcell, 2, FALSE)+4, FALSE)</f>
        <v>17839057.451559998</v>
      </c>
      <c r="Y330" s="141">
        <f t="shared" si="48"/>
        <v>321</v>
      </c>
      <c r="Z330" s="298">
        <v>65</v>
      </c>
      <c r="AA330" s="299">
        <v>65</v>
      </c>
      <c r="AB330" s="299">
        <v>321</v>
      </c>
      <c r="AC330" s="301">
        <v>1433</v>
      </c>
      <c r="AD330" s="301">
        <v>17839057.451559998</v>
      </c>
      <c r="AE330" s="126"/>
      <c r="AF330" s="298"/>
      <c r="AG330" s="299"/>
      <c r="AH330" s="299"/>
      <c r="AI330" s="301"/>
      <c r="AJ330" s="301"/>
      <c r="AK330" s="426"/>
      <c r="AL330" s="298"/>
      <c r="AM330" s="299"/>
      <c r="AN330" s="299"/>
      <c r="AO330" s="301"/>
      <c r="AP330" s="301"/>
      <c r="AQ330" s="426"/>
      <c r="AR330" s="298"/>
      <c r="AS330" s="299"/>
      <c r="AT330" s="299"/>
      <c r="AU330" s="301"/>
      <c r="AV330" s="301"/>
      <c r="AW330" s="88"/>
      <c r="AX330" s="298"/>
      <c r="AY330" s="299"/>
      <c r="AZ330" s="299"/>
      <c r="BA330" s="301"/>
      <c r="BB330" s="301"/>
      <c r="BC330" s="426"/>
      <c r="BD330" s="298"/>
      <c r="BE330" s="299"/>
      <c r="BF330" s="299"/>
      <c r="BG330" s="301"/>
      <c r="BH330" s="301"/>
      <c r="BI330" s="88"/>
      <c r="BJ330" s="298"/>
      <c r="BK330" s="299"/>
      <c r="BL330" s="299"/>
      <c r="BM330" s="301"/>
      <c r="BN330" s="301"/>
      <c r="BO330" s="88"/>
      <c r="BP330" s="9"/>
      <c r="BS330" s="81"/>
      <c r="BT330" s="81"/>
      <c r="BV330" s="9"/>
      <c r="BY330" s="81"/>
      <c r="BZ330" s="81"/>
      <c r="CB330" s="9"/>
      <c r="CE330" s="81"/>
      <c r="CF330" s="81"/>
      <c r="CH330" s="9"/>
      <c r="CK330" s="81"/>
      <c r="CL330" s="81"/>
      <c r="CR330" s="9"/>
      <c r="CS330" s="9"/>
      <c r="CT330" s="9"/>
      <c r="CU330" s="9"/>
      <c r="CV330" s="9"/>
      <c r="CW330" s="129"/>
      <c r="CX330" s="9"/>
    </row>
    <row r="331" spans="1:102">
      <c r="A331" s="6" t="str">
        <f t="shared" si="51"/>
        <v>00650873</v>
      </c>
      <c r="B331" s="6" t="s">
        <v>1715</v>
      </c>
      <c r="C331" s="6" t="s">
        <v>2083</v>
      </c>
      <c r="D331" s="6">
        <v>322</v>
      </c>
      <c r="E331" s="6">
        <v>65</v>
      </c>
      <c r="F331" s="6" t="s">
        <v>1184</v>
      </c>
      <c r="G331" s="6">
        <v>873</v>
      </c>
      <c r="H331" s="6" t="s">
        <v>1113</v>
      </c>
      <c r="I331" s="33">
        <v>228990.19860171591</v>
      </c>
      <c r="J331" s="88">
        <v>1.3536555865613574E-2</v>
      </c>
      <c r="K331" s="89">
        <f t="shared" si="50"/>
        <v>187821.56869871556</v>
      </c>
      <c r="L331" s="88">
        <f>IF(K334&gt;0, K331/K334, 0)</f>
        <v>1.0418973161557281E-2</v>
      </c>
      <c r="M331" s="58"/>
      <c r="N331" s="9">
        <f>ROUND(M334*L331,0)</f>
        <v>154953</v>
      </c>
      <c r="O331" s="9">
        <v>188917</v>
      </c>
      <c r="P331" s="9">
        <f>N331-O331</f>
        <v>-33964</v>
      </c>
      <c r="Q331" s="40">
        <f t="shared" si="49"/>
        <v>-17.978265587533148</v>
      </c>
      <c r="R331" s="9">
        <v>10.9999999976</v>
      </c>
      <c r="S331" s="9">
        <f t="shared" ref="S331:S394" si="57">W331</f>
        <v>8.9999999976900007</v>
      </c>
      <c r="T331" s="90">
        <f t="shared" si="52"/>
        <v>65</v>
      </c>
      <c r="U331" s="90">
        <f t="shared" si="53"/>
        <v>873</v>
      </c>
      <c r="V331" s="373">
        <f t="shared" si="54"/>
        <v>322</v>
      </c>
      <c r="W331" s="90">
        <f t="shared" si="55"/>
        <v>8.9999999976900007</v>
      </c>
      <c r="X331" s="90">
        <f t="shared" si="56"/>
        <v>187821.56869871556</v>
      </c>
      <c r="Y331" s="141">
        <f t="shared" ref="Y331:Y394" si="58">D331</f>
        <v>322</v>
      </c>
      <c r="Z331" s="298">
        <v>65</v>
      </c>
      <c r="AA331" s="299">
        <v>873</v>
      </c>
      <c r="AB331" s="299">
        <v>322</v>
      </c>
      <c r="AC331" s="301">
        <v>8.9999999976900007</v>
      </c>
      <c r="AD331" s="301">
        <v>187821.56869871556</v>
      </c>
      <c r="AE331" s="126"/>
      <c r="AF331" s="298"/>
      <c r="AG331" s="299"/>
      <c r="AH331" s="299"/>
      <c r="AI331" s="301"/>
      <c r="AJ331" s="301"/>
      <c r="AK331" s="426"/>
      <c r="AL331" s="298"/>
      <c r="AM331" s="299"/>
      <c r="AN331" s="299"/>
      <c r="AO331" s="301"/>
      <c r="AP331" s="301"/>
      <c r="AQ331" s="426"/>
      <c r="AR331" s="298"/>
      <c r="AS331" s="299"/>
      <c r="AT331" s="299"/>
      <c r="AU331" s="301"/>
      <c r="AV331" s="301"/>
      <c r="AW331" s="88"/>
      <c r="AX331" s="298"/>
      <c r="AY331" s="299"/>
      <c r="AZ331" s="299"/>
      <c r="BA331" s="301"/>
      <c r="BB331" s="301"/>
      <c r="BC331" s="426"/>
      <c r="BD331" s="298"/>
      <c r="BE331" s="299"/>
      <c r="BF331" s="299"/>
      <c r="BG331" s="301"/>
      <c r="BH331" s="301"/>
      <c r="BI331" s="88"/>
      <c r="BJ331" s="298"/>
      <c r="BK331" s="299"/>
      <c r="BL331" s="299"/>
      <c r="BM331" s="301"/>
      <c r="BN331" s="301"/>
      <c r="BO331" s="88"/>
      <c r="BP331" s="9"/>
      <c r="BS331" s="81"/>
      <c r="BT331" s="81"/>
      <c r="BV331" s="9"/>
      <c r="BY331" s="81"/>
      <c r="BZ331" s="81"/>
      <c r="CB331" s="9"/>
      <c r="CE331" s="81"/>
      <c r="CF331" s="81"/>
      <c r="CH331" s="9"/>
      <c r="CK331" s="81"/>
      <c r="CL331" s="81"/>
      <c r="CR331" s="9"/>
      <c r="CS331" s="9"/>
      <c r="CT331" s="9"/>
      <c r="CU331" s="9"/>
      <c r="CV331" s="9"/>
      <c r="CW331" s="129"/>
      <c r="CX331" s="9"/>
    </row>
    <row r="332" spans="1:102">
      <c r="A332" s="6" t="str">
        <f t="shared" si="51"/>
        <v>00650915</v>
      </c>
      <c r="B332" s="6" t="s">
        <v>1715</v>
      </c>
      <c r="C332" s="6" t="s">
        <v>2089</v>
      </c>
      <c r="D332" s="6">
        <v>323</v>
      </c>
      <c r="E332" s="6">
        <v>65</v>
      </c>
      <c r="F332" s="6" t="s">
        <v>1184</v>
      </c>
      <c r="G332" s="6">
        <v>915</v>
      </c>
      <c r="H332" s="6" t="s">
        <v>1119</v>
      </c>
      <c r="I332" s="33">
        <v>0</v>
      </c>
      <c r="J332" s="88">
        <v>0</v>
      </c>
      <c r="K332" s="89">
        <f t="shared" si="50"/>
        <v>0</v>
      </c>
      <c r="L332" s="88">
        <f>IF(K334&gt;0, K332/K334, 0)</f>
        <v>0</v>
      </c>
      <c r="M332" s="58"/>
      <c r="N332" s="9">
        <f>ROUND(M334*L332,0)</f>
        <v>0</v>
      </c>
      <c r="O332" s="9">
        <v>0</v>
      </c>
      <c r="P332" s="9">
        <f>N332-O332</f>
        <v>0</v>
      </c>
      <c r="Q332" s="40">
        <f t="shared" si="49"/>
        <v>0</v>
      </c>
      <c r="R332" s="9">
        <v>0</v>
      </c>
      <c r="S332" s="9">
        <f t="shared" si="57"/>
        <v>0</v>
      </c>
      <c r="T332" s="90">
        <f t="shared" si="52"/>
        <v>65</v>
      </c>
      <c r="U332" s="90">
        <f t="shared" si="53"/>
        <v>915</v>
      </c>
      <c r="V332" s="373">
        <f t="shared" si="54"/>
        <v>323</v>
      </c>
      <c r="W332" s="90">
        <f t="shared" si="55"/>
        <v>0</v>
      </c>
      <c r="X332" s="90">
        <f t="shared" si="56"/>
        <v>0</v>
      </c>
      <c r="Y332" s="141">
        <f t="shared" si="58"/>
        <v>323</v>
      </c>
      <c r="Z332" s="298">
        <v>65</v>
      </c>
      <c r="AA332" s="299">
        <v>915</v>
      </c>
      <c r="AB332" s="299">
        <v>323</v>
      </c>
      <c r="AC332" s="301">
        <v>0</v>
      </c>
      <c r="AD332" s="301">
        <v>0</v>
      </c>
      <c r="AE332" s="126"/>
      <c r="AF332" s="298"/>
      <c r="AG332" s="299"/>
      <c r="AH332" s="299"/>
      <c r="AI332" s="301"/>
      <c r="AJ332" s="301"/>
      <c r="AK332" s="426"/>
      <c r="AL332" s="298"/>
      <c r="AM332" s="299"/>
      <c r="AN332" s="299"/>
      <c r="AO332" s="301"/>
      <c r="AP332" s="301"/>
      <c r="AQ332" s="426"/>
      <c r="AR332" s="298"/>
      <c r="AS332" s="299"/>
      <c r="AT332" s="299"/>
      <c r="AU332" s="301"/>
      <c r="AV332" s="301"/>
      <c r="AW332" s="88"/>
      <c r="AX332" s="298"/>
      <c r="AY332" s="299"/>
      <c r="AZ332" s="299"/>
      <c r="BA332" s="301"/>
      <c r="BB332" s="301"/>
      <c r="BC332" s="426"/>
      <c r="BD332" s="298"/>
      <c r="BE332" s="299"/>
      <c r="BF332" s="299"/>
      <c r="BG332" s="301"/>
      <c r="BH332" s="301"/>
      <c r="BI332" s="88"/>
      <c r="BJ332" s="298"/>
      <c r="BK332" s="299"/>
      <c r="BL332" s="299"/>
      <c r="BM332" s="301"/>
      <c r="BN332" s="301"/>
      <c r="BO332" s="88"/>
      <c r="BP332" s="9"/>
      <c r="BS332" s="81"/>
      <c r="BT332" s="81"/>
      <c r="BV332" s="9"/>
      <c r="BY332" s="81"/>
      <c r="BZ332" s="81"/>
      <c r="CB332" s="9"/>
      <c r="CE332" s="81"/>
      <c r="CF332" s="81"/>
      <c r="CH332" s="9"/>
      <c r="CK332" s="81"/>
      <c r="CL332" s="81"/>
      <c r="CR332" s="9"/>
      <c r="CS332" s="9"/>
      <c r="CT332" s="9"/>
      <c r="CU332" s="9"/>
      <c r="CV332" s="9"/>
      <c r="CW332" s="129"/>
      <c r="CX332" s="9"/>
    </row>
    <row r="333" spans="1:102">
      <c r="A333" s="6" t="str">
        <f t="shared" si="51"/>
        <v>00650998</v>
      </c>
      <c r="B333" s="6" t="s">
        <v>1715</v>
      </c>
      <c r="C333" s="6" t="s">
        <v>2091</v>
      </c>
      <c r="D333" s="6">
        <v>324</v>
      </c>
      <c r="E333" s="6">
        <v>65</v>
      </c>
      <c r="F333" s="6" t="s">
        <v>1547</v>
      </c>
      <c r="G333" s="6">
        <v>998</v>
      </c>
      <c r="H333" s="6" t="s">
        <v>1547</v>
      </c>
      <c r="I333" s="33">
        <v>0</v>
      </c>
      <c r="J333" s="88">
        <v>0</v>
      </c>
      <c r="K333" s="89">
        <f t="shared" si="50"/>
        <v>0</v>
      </c>
      <c r="L333" s="88">
        <f>IF(K334&gt;0, K333/K334, 0)</f>
        <v>0</v>
      </c>
      <c r="M333" s="58"/>
      <c r="N333" s="9">
        <f>ROUND(M334*L333,0)</f>
        <v>0</v>
      </c>
      <c r="O333" s="9">
        <v>0</v>
      </c>
      <c r="P333" s="9">
        <f>N333-O333</f>
        <v>0</v>
      </c>
      <c r="Q333" s="40">
        <f t="shared" si="49"/>
        <v>0</v>
      </c>
      <c r="R333" s="9">
        <v>0</v>
      </c>
      <c r="S333" s="9">
        <f t="shared" si="57"/>
        <v>0</v>
      </c>
      <c r="T333" s="90">
        <f t="shared" si="52"/>
        <v>65</v>
      </c>
      <c r="U333" s="90">
        <f t="shared" si="53"/>
        <v>998</v>
      </c>
      <c r="V333" s="373">
        <f t="shared" si="54"/>
        <v>324</v>
      </c>
      <c r="W333" s="90">
        <f t="shared" si="55"/>
        <v>0</v>
      </c>
      <c r="X333" s="90">
        <f t="shared" si="56"/>
        <v>0</v>
      </c>
      <c r="Y333" s="141">
        <f t="shared" si="58"/>
        <v>324</v>
      </c>
      <c r="Z333" s="298">
        <v>65</v>
      </c>
      <c r="AA333" s="299">
        <v>998</v>
      </c>
      <c r="AB333" s="299">
        <v>324</v>
      </c>
      <c r="AC333" s="301">
        <v>0</v>
      </c>
      <c r="AD333" s="301">
        <v>0</v>
      </c>
      <c r="AE333" s="126"/>
      <c r="AF333" s="298"/>
      <c r="AG333" s="299"/>
      <c r="AH333" s="299"/>
      <c r="AI333" s="301"/>
      <c r="AJ333" s="301"/>
      <c r="AK333" s="426"/>
      <c r="AL333" s="298"/>
      <c r="AM333" s="299"/>
      <c r="AN333" s="299"/>
      <c r="AO333" s="301"/>
      <c r="AP333" s="301"/>
      <c r="AQ333" s="426"/>
      <c r="AR333" s="298"/>
      <c r="AS333" s="299"/>
      <c r="AT333" s="299"/>
      <c r="AU333" s="301"/>
      <c r="AV333" s="301"/>
      <c r="AW333" s="88"/>
      <c r="AX333" s="298"/>
      <c r="AY333" s="299"/>
      <c r="AZ333" s="299"/>
      <c r="BA333" s="301"/>
      <c r="BB333" s="301"/>
      <c r="BC333" s="426"/>
      <c r="BD333" s="298"/>
      <c r="BE333" s="299"/>
      <c r="BF333" s="299"/>
      <c r="BG333" s="301"/>
      <c r="BH333" s="301"/>
      <c r="BI333" s="88"/>
      <c r="BJ333" s="298"/>
      <c r="BK333" s="299"/>
      <c r="BL333" s="299"/>
      <c r="BM333" s="301"/>
      <c r="BN333" s="301"/>
      <c r="BO333" s="88"/>
      <c r="BP333" s="9"/>
      <c r="BS333" s="81"/>
      <c r="BT333" s="81"/>
      <c r="BV333" s="9"/>
      <c r="BY333" s="81"/>
      <c r="BZ333" s="81"/>
      <c r="CB333" s="9"/>
      <c r="CE333" s="81"/>
      <c r="CF333" s="81"/>
      <c r="CH333" s="9"/>
      <c r="CK333" s="81"/>
      <c r="CL333" s="81"/>
      <c r="CR333" s="9"/>
      <c r="CS333" s="9"/>
      <c r="CT333" s="9"/>
      <c r="CU333" s="9"/>
      <c r="CV333" s="9"/>
      <c r="CW333" s="129"/>
      <c r="CX333" s="9"/>
    </row>
    <row r="334" spans="1:102">
      <c r="A334" s="6" t="str">
        <f t="shared" si="51"/>
        <v>00650999</v>
      </c>
      <c r="B334" s="6" t="s">
        <v>1715</v>
      </c>
      <c r="C334" s="6" t="s">
        <v>2092</v>
      </c>
      <c r="D334" s="6">
        <v>325</v>
      </c>
      <c r="E334" s="10">
        <v>65</v>
      </c>
      <c r="F334" s="10" t="s">
        <v>1184</v>
      </c>
      <c r="G334" s="10">
        <v>999</v>
      </c>
      <c r="H334" s="10" t="s">
        <v>593</v>
      </c>
      <c r="I334" s="92">
        <v>16916429.915781714</v>
      </c>
      <c r="J334" s="472">
        <v>1</v>
      </c>
      <c r="K334" s="53">
        <f>SUM(K330:K333)</f>
        <v>18026879.020258714</v>
      </c>
      <c r="L334" s="91">
        <f>SUM(L330:L333)</f>
        <v>1</v>
      </c>
      <c r="M334" s="79">
        <f>VLOOKUP(E334,town351,24)</f>
        <v>14872175</v>
      </c>
      <c r="N334" s="79">
        <f>SUM(N330:N333)</f>
        <v>14872175</v>
      </c>
      <c r="O334" s="79">
        <v>13956055</v>
      </c>
      <c r="P334" s="79">
        <f>SUM(P330:P333)</f>
        <v>916120</v>
      </c>
      <c r="Q334" s="39">
        <f t="shared" si="49"/>
        <v>6.5643192148497551</v>
      </c>
      <c r="R334" s="9">
        <v>1377.9999999976001</v>
      </c>
      <c r="S334" s="9">
        <f t="shared" si="57"/>
        <v>1441.9999999976901</v>
      </c>
      <c r="T334" s="90">
        <f t="shared" si="52"/>
        <v>65</v>
      </c>
      <c r="U334" s="90">
        <f t="shared" si="53"/>
        <v>999</v>
      </c>
      <c r="V334" s="373">
        <f t="shared" si="54"/>
        <v>325</v>
      </c>
      <c r="W334" s="90">
        <f t="shared" si="55"/>
        <v>1441.9999999976901</v>
      </c>
      <c r="X334" s="90">
        <f t="shared" si="56"/>
        <v>18026879.020258714</v>
      </c>
      <c r="Y334" s="141">
        <f t="shared" si="58"/>
        <v>325</v>
      </c>
      <c r="Z334" s="298">
        <v>65</v>
      </c>
      <c r="AA334" s="299">
        <v>999</v>
      </c>
      <c r="AB334" s="299">
        <v>325</v>
      </c>
      <c r="AC334" s="301">
        <v>1441.9999999976901</v>
      </c>
      <c r="AD334" s="301">
        <v>18026879.020258714</v>
      </c>
      <c r="AE334" s="126"/>
      <c r="AF334" s="298"/>
      <c r="AG334" s="299"/>
      <c r="AH334" s="299"/>
      <c r="AI334" s="301"/>
      <c r="AJ334" s="301"/>
      <c r="AK334" s="426"/>
      <c r="AL334" s="298"/>
      <c r="AM334" s="299"/>
      <c r="AN334" s="299"/>
      <c r="AO334" s="301"/>
      <c r="AP334" s="301"/>
      <c r="AQ334" s="426"/>
      <c r="AR334" s="298"/>
      <c r="AS334" s="299"/>
      <c r="AT334" s="299"/>
      <c r="AU334" s="301"/>
      <c r="AV334" s="301"/>
      <c r="AW334" s="91"/>
      <c r="AX334" s="298"/>
      <c r="AY334" s="299"/>
      <c r="AZ334" s="299"/>
      <c r="BA334" s="301"/>
      <c r="BB334" s="301"/>
      <c r="BC334" s="426"/>
      <c r="BD334" s="298"/>
      <c r="BE334" s="299"/>
      <c r="BF334" s="299"/>
      <c r="BG334" s="301"/>
      <c r="BH334" s="301"/>
      <c r="BI334" s="91"/>
      <c r="BJ334" s="298"/>
      <c r="BK334" s="299"/>
      <c r="BL334" s="299"/>
      <c r="BM334" s="301"/>
      <c r="BN334" s="301"/>
      <c r="BO334" s="91"/>
      <c r="BP334" s="9"/>
      <c r="BS334" s="81"/>
      <c r="BT334" s="81"/>
      <c r="BV334" s="9"/>
      <c r="BY334" s="81"/>
      <c r="BZ334" s="81"/>
      <c r="CB334" s="9"/>
      <c r="CE334" s="81"/>
      <c r="CF334" s="81"/>
      <c r="CH334" s="9"/>
      <c r="CK334" s="81"/>
      <c r="CL334" s="81"/>
      <c r="CR334" s="9"/>
      <c r="CS334" s="9"/>
      <c r="CT334" s="9"/>
      <c r="CU334" s="9"/>
      <c r="CV334" s="9"/>
      <c r="CW334" s="129"/>
      <c r="CX334" s="9"/>
    </row>
    <row r="335" spans="1:102">
      <c r="A335" s="6" t="str">
        <f t="shared" si="51"/>
        <v>00660066</v>
      </c>
      <c r="B335" s="6" t="s">
        <v>1716</v>
      </c>
      <c r="C335" s="6" t="s">
        <v>1716</v>
      </c>
      <c r="D335" s="6">
        <v>326</v>
      </c>
      <c r="E335" s="6">
        <v>66</v>
      </c>
      <c r="F335" s="6" t="s">
        <v>1185</v>
      </c>
      <c r="G335" s="6">
        <v>66</v>
      </c>
      <c r="H335" s="6" t="s">
        <v>747</v>
      </c>
      <c r="I335" s="33">
        <v>0</v>
      </c>
      <c r="J335" s="88">
        <v>0</v>
      </c>
      <c r="K335" s="89">
        <f>X335</f>
        <v>0</v>
      </c>
      <c r="L335" s="88">
        <f>IF(K339&gt;0, K335/K339, 0)</f>
        <v>0</v>
      </c>
      <c r="M335" s="58"/>
      <c r="N335" s="9">
        <f>ROUND(M339*L335,0)</f>
        <v>0</v>
      </c>
      <c r="O335" s="9">
        <v>0</v>
      </c>
      <c r="P335" s="9">
        <f>N335-O335</f>
        <v>0</v>
      </c>
      <c r="Q335" s="40">
        <f t="shared" si="49"/>
        <v>0</v>
      </c>
      <c r="R335" s="9">
        <v>0</v>
      </c>
      <c r="S335" s="9">
        <f t="shared" si="57"/>
        <v>0</v>
      </c>
      <c r="T335" s="90">
        <f t="shared" si="52"/>
        <v>66</v>
      </c>
      <c r="U335" s="90">
        <f t="shared" si="53"/>
        <v>66</v>
      </c>
      <c r="V335" s="373">
        <f t="shared" si="54"/>
        <v>326</v>
      </c>
      <c r="W335" s="90">
        <f t="shared" si="55"/>
        <v>0</v>
      </c>
      <c r="X335" s="90">
        <f t="shared" si="56"/>
        <v>0</v>
      </c>
      <c r="Y335" s="141">
        <f t="shared" si="58"/>
        <v>326</v>
      </c>
      <c r="Z335" s="298">
        <v>66</v>
      </c>
      <c r="AA335" s="299">
        <v>66</v>
      </c>
      <c r="AB335" s="299">
        <v>326</v>
      </c>
      <c r="AC335" s="301">
        <v>0</v>
      </c>
      <c r="AD335" s="301">
        <v>0</v>
      </c>
      <c r="AE335" s="126"/>
      <c r="AF335" s="298"/>
      <c r="AG335" s="299"/>
      <c r="AH335" s="299"/>
      <c r="AI335" s="301"/>
      <c r="AJ335" s="301"/>
      <c r="AK335" s="426"/>
      <c r="AL335" s="298"/>
      <c r="AM335" s="299"/>
      <c r="AN335" s="299"/>
      <c r="AO335" s="301"/>
      <c r="AP335" s="301"/>
      <c r="AQ335" s="426"/>
      <c r="AR335" s="298"/>
      <c r="AS335" s="299"/>
      <c r="AT335" s="299"/>
      <c r="AU335" s="301"/>
      <c r="AV335" s="301"/>
      <c r="AW335" s="88"/>
      <c r="AX335" s="298"/>
      <c r="AY335" s="299"/>
      <c r="AZ335" s="299"/>
      <c r="BA335" s="301"/>
      <c r="BB335" s="301"/>
      <c r="BC335" s="426"/>
      <c r="BD335" s="298"/>
      <c r="BE335" s="299"/>
      <c r="BF335" s="299"/>
      <c r="BG335" s="301"/>
      <c r="BH335" s="301"/>
      <c r="BI335" s="88"/>
      <c r="BJ335" s="298"/>
      <c r="BK335" s="299"/>
      <c r="BL335" s="299"/>
      <c r="BM335" s="301"/>
      <c r="BN335" s="301"/>
      <c r="BO335" s="88"/>
      <c r="BP335" s="9"/>
      <c r="BS335" s="81"/>
      <c r="BT335" s="81"/>
      <c r="BV335" s="9"/>
      <c r="BY335" s="81"/>
      <c r="BZ335" s="81"/>
      <c r="CB335" s="9"/>
      <c r="CE335" s="81"/>
      <c r="CF335" s="81"/>
      <c r="CH335" s="9"/>
      <c r="CK335" s="81"/>
      <c r="CL335" s="81"/>
      <c r="CR335" s="9"/>
      <c r="CS335" s="9"/>
      <c r="CT335" s="9"/>
      <c r="CU335" s="9"/>
      <c r="CV335" s="9"/>
      <c r="CW335" s="129"/>
      <c r="CX335" s="9"/>
    </row>
    <row r="336" spans="1:102">
      <c r="A336" s="6" t="str">
        <f t="shared" si="51"/>
        <v>00660717</v>
      </c>
      <c r="B336" s="6" t="s">
        <v>1716</v>
      </c>
      <c r="C336" s="6" t="s">
        <v>2040</v>
      </c>
      <c r="D336" s="6">
        <v>327</v>
      </c>
      <c r="E336" s="6">
        <v>66</v>
      </c>
      <c r="F336" s="6" t="s">
        <v>1185</v>
      </c>
      <c r="G336" s="6">
        <v>717</v>
      </c>
      <c r="H336" s="6" t="s">
        <v>1070</v>
      </c>
      <c r="I336" s="33">
        <v>1998700.5951497108</v>
      </c>
      <c r="J336" s="88">
        <v>0.81671871139944507</v>
      </c>
      <c r="K336" s="89">
        <f t="shared" si="50"/>
        <v>2062405.756623785</v>
      </c>
      <c r="L336" s="88">
        <f>IF(K339&gt;0, K336/K339, 0)</f>
        <v>0.80402071913848816</v>
      </c>
      <c r="M336" s="58"/>
      <c r="N336" s="9">
        <f>ROUND(M339*L336,0)</f>
        <v>1193141</v>
      </c>
      <c r="O336" s="9">
        <v>1157136</v>
      </c>
      <c r="P336" s="9">
        <f>N336-O336</f>
        <v>36005</v>
      </c>
      <c r="Q336" s="40">
        <f>IF(O336&gt;0,P336*100/O336,IF(P336&gt;0,100,0))</f>
        <v>3.1115616487603877</v>
      </c>
      <c r="R336" s="9">
        <v>138.9073170751</v>
      </c>
      <c r="S336" s="9">
        <f t="shared" si="57"/>
        <v>136.7910447774</v>
      </c>
      <c r="T336" s="90">
        <f t="shared" si="52"/>
        <v>66</v>
      </c>
      <c r="U336" s="90">
        <f t="shared" si="53"/>
        <v>717</v>
      </c>
      <c r="V336" s="373">
        <f t="shared" si="54"/>
        <v>327</v>
      </c>
      <c r="W336" s="90">
        <f t="shared" si="55"/>
        <v>136.7910447774</v>
      </c>
      <c r="X336" s="90">
        <f t="shared" si="56"/>
        <v>2062405.756623785</v>
      </c>
      <c r="Y336" s="141">
        <f t="shared" si="58"/>
        <v>327</v>
      </c>
      <c r="Z336" s="298">
        <v>66</v>
      </c>
      <c r="AA336" s="299">
        <v>717</v>
      </c>
      <c r="AB336" s="299">
        <v>327</v>
      </c>
      <c r="AC336" s="301">
        <v>136.7910447774</v>
      </c>
      <c r="AD336" s="301">
        <v>2062405.756623785</v>
      </c>
      <c r="AE336" s="126"/>
      <c r="AF336" s="298"/>
      <c r="AG336" s="299"/>
      <c r="AH336" s="299"/>
      <c r="AI336" s="301"/>
      <c r="AJ336" s="301"/>
      <c r="AK336" s="426"/>
      <c r="AL336" s="298"/>
      <c r="AM336" s="299"/>
      <c r="AN336" s="299"/>
      <c r="AO336" s="301"/>
      <c r="AP336" s="301"/>
      <c r="AQ336" s="426"/>
      <c r="AR336" s="298"/>
      <c r="AS336" s="299"/>
      <c r="AT336" s="299"/>
      <c r="AU336" s="301"/>
      <c r="AV336" s="301"/>
      <c r="AW336" s="88"/>
      <c r="AX336" s="298"/>
      <c r="AY336" s="299"/>
      <c r="AZ336" s="299"/>
      <c r="BA336" s="301"/>
      <c r="BB336" s="301"/>
      <c r="BC336" s="426"/>
      <c r="BD336" s="298"/>
      <c r="BE336" s="299"/>
      <c r="BF336" s="299"/>
      <c r="BG336" s="301"/>
      <c r="BH336" s="301"/>
      <c r="BI336" s="88"/>
      <c r="BJ336" s="298"/>
      <c r="BK336" s="299"/>
      <c r="BL336" s="299"/>
      <c r="BM336" s="301"/>
      <c r="BN336" s="301"/>
      <c r="BO336" s="88"/>
      <c r="BP336" s="9"/>
      <c r="BS336" s="81"/>
      <c r="BT336" s="81"/>
      <c r="BV336" s="9"/>
      <c r="BY336" s="81"/>
      <c r="BZ336" s="81"/>
      <c r="CB336" s="9"/>
      <c r="CE336" s="81"/>
      <c r="CF336" s="81"/>
      <c r="CH336" s="9"/>
      <c r="CK336" s="81"/>
      <c r="CL336" s="81"/>
      <c r="CR336" s="9"/>
      <c r="CS336" s="9"/>
      <c r="CT336" s="9"/>
      <c r="CU336" s="9"/>
      <c r="CV336" s="9"/>
      <c r="CW336" s="129"/>
      <c r="CX336" s="9"/>
    </row>
    <row r="337" spans="1:102">
      <c r="A337" s="6" t="str">
        <f t="shared" si="51"/>
        <v>00660818</v>
      </c>
      <c r="B337" s="6" t="s">
        <v>1716</v>
      </c>
      <c r="C337" s="6" t="s">
        <v>2068</v>
      </c>
      <c r="D337" s="6">
        <v>328</v>
      </c>
      <c r="E337" s="6">
        <v>66</v>
      </c>
      <c r="F337" s="6" t="s">
        <v>1185</v>
      </c>
      <c r="G337" s="6">
        <v>818</v>
      </c>
      <c r="H337" s="6" t="s">
        <v>1098</v>
      </c>
      <c r="I337" s="33">
        <v>448531.93087500008</v>
      </c>
      <c r="J337" s="88">
        <v>0.18328128860055493</v>
      </c>
      <c r="K337" s="89">
        <f t="shared" si="50"/>
        <v>502709.42950433143</v>
      </c>
      <c r="L337" s="88">
        <f>IF(K339&gt;0, K337/K339, 0)</f>
        <v>0.1959792808615119</v>
      </c>
      <c r="M337" s="58"/>
      <c r="N337" s="9">
        <f>ROUND(M339*L337,0)</f>
        <v>290827</v>
      </c>
      <c r="O337" s="9">
        <v>259675</v>
      </c>
      <c r="P337" s="9">
        <f>N337-O337</f>
        <v>31152</v>
      </c>
      <c r="Q337" s="40">
        <f>IF(O337&gt;0,P337*100/O337,IF(P337&gt;0,100,0))</f>
        <v>11.996534129199961</v>
      </c>
      <c r="R337" s="9">
        <v>21</v>
      </c>
      <c r="S337" s="9">
        <f t="shared" si="57"/>
        <v>23.00000000136</v>
      </c>
      <c r="T337" s="90">
        <f t="shared" si="52"/>
        <v>66</v>
      </c>
      <c r="U337" s="90">
        <f t="shared" si="53"/>
        <v>818</v>
      </c>
      <c r="V337" s="373">
        <f t="shared" si="54"/>
        <v>328</v>
      </c>
      <c r="W337" s="90">
        <f t="shared" si="55"/>
        <v>23.00000000136</v>
      </c>
      <c r="X337" s="90">
        <f t="shared" si="56"/>
        <v>502709.42950433143</v>
      </c>
      <c r="Y337" s="141">
        <f t="shared" si="58"/>
        <v>328</v>
      </c>
      <c r="Z337" s="298">
        <v>66</v>
      </c>
      <c r="AA337" s="299">
        <v>818</v>
      </c>
      <c r="AB337" s="299">
        <v>328</v>
      </c>
      <c r="AC337" s="301">
        <v>23.00000000136</v>
      </c>
      <c r="AD337" s="301">
        <v>502709.42950433143</v>
      </c>
      <c r="AE337" s="126"/>
      <c r="AF337" s="298"/>
      <c r="AG337" s="299"/>
      <c r="AH337" s="299"/>
      <c r="AI337" s="301"/>
      <c r="AJ337" s="301"/>
      <c r="AK337" s="426"/>
      <c r="AL337" s="298"/>
      <c r="AM337" s="299"/>
      <c r="AN337" s="299"/>
      <c r="AO337" s="301"/>
      <c r="AP337" s="301"/>
      <c r="AQ337" s="426"/>
      <c r="AR337" s="298"/>
      <c r="AS337" s="299"/>
      <c r="AT337" s="299"/>
      <c r="AU337" s="301"/>
      <c r="AV337" s="301"/>
      <c r="AW337" s="88"/>
      <c r="AX337" s="298"/>
      <c r="AY337" s="299"/>
      <c r="AZ337" s="299"/>
      <c r="BA337" s="301"/>
      <c r="BB337" s="301"/>
      <c r="BC337" s="426"/>
      <c r="BD337" s="298"/>
      <c r="BE337" s="299"/>
      <c r="BF337" s="299"/>
      <c r="BG337" s="301"/>
      <c r="BH337" s="301"/>
      <c r="BI337" s="88"/>
      <c r="BJ337" s="298"/>
      <c r="BK337" s="299"/>
      <c r="BL337" s="299"/>
      <c r="BM337" s="301"/>
      <c r="BN337" s="301"/>
      <c r="BO337" s="88"/>
      <c r="BP337" s="9"/>
      <c r="BS337" s="81"/>
      <c r="BT337" s="81"/>
      <c r="BV337" s="9"/>
      <c r="BY337" s="81"/>
      <c r="BZ337" s="81"/>
      <c r="CB337" s="9"/>
      <c r="CE337" s="81"/>
      <c r="CF337" s="81"/>
      <c r="CH337" s="9"/>
      <c r="CK337" s="81"/>
      <c r="CL337" s="81"/>
      <c r="CR337" s="9"/>
      <c r="CS337" s="9"/>
      <c r="CT337" s="9"/>
      <c r="CU337" s="9"/>
      <c r="CV337" s="9"/>
      <c r="CW337" s="129"/>
      <c r="CX337" s="9"/>
    </row>
    <row r="338" spans="1:102">
      <c r="A338" s="6" t="str">
        <f t="shared" si="51"/>
        <v>00660998</v>
      </c>
      <c r="B338" s="6" t="s">
        <v>1716</v>
      </c>
      <c r="C338" s="6" t="s">
        <v>2091</v>
      </c>
      <c r="D338" s="6">
        <v>329</v>
      </c>
      <c r="E338" s="6">
        <v>66</v>
      </c>
      <c r="F338" s="6" t="s">
        <v>1547</v>
      </c>
      <c r="G338" s="6">
        <v>998</v>
      </c>
      <c r="H338" s="6" t="s">
        <v>1547</v>
      </c>
      <c r="I338" s="33">
        <v>0</v>
      </c>
      <c r="J338" s="88">
        <v>0</v>
      </c>
      <c r="K338" s="89">
        <f t="shared" si="50"/>
        <v>0</v>
      </c>
      <c r="L338" s="88">
        <f>IF(K339&gt;0, K338/K339, 0)</f>
        <v>0</v>
      </c>
      <c r="M338" s="58"/>
      <c r="N338" s="9">
        <f>ROUND(M339*L338,0)</f>
        <v>0</v>
      </c>
      <c r="O338" s="9">
        <v>0</v>
      </c>
      <c r="P338" s="9">
        <f>N338-O338</f>
        <v>0</v>
      </c>
      <c r="Q338" s="40">
        <f>IF(O338&gt;0,P338*100/O338,IF(P338&gt;0,100,0))</f>
        <v>0</v>
      </c>
      <c r="R338" s="9">
        <v>0</v>
      </c>
      <c r="S338" s="9">
        <f t="shared" si="57"/>
        <v>0</v>
      </c>
      <c r="T338" s="90">
        <f t="shared" si="52"/>
        <v>66</v>
      </c>
      <c r="U338" s="90">
        <f t="shared" si="53"/>
        <v>998</v>
      </c>
      <c r="V338" s="373">
        <f t="shared" si="54"/>
        <v>329</v>
      </c>
      <c r="W338" s="90">
        <f t="shared" si="55"/>
        <v>0</v>
      </c>
      <c r="X338" s="90">
        <f t="shared" si="56"/>
        <v>0</v>
      </c>
      <c r="Y338" s="141">
        <f t="shared" si="58"/>
        <v>329</v>
      </c>
      <c r="Z338" s="298">
        <v>66</v>
      </c>
      <c r="AA338" s="299">
        <v>998</v>
      </c>
      <c r="AB338" s="299">
        <v>329</v>
      </c>
      <c r="AC338" s="301">
        <v>0</v>
      </c>
      <c r="AD338" s="301">
        <v>0</v>
      </c>
      <c r="AE338" s="126"/>
      <c r="AF338" s="298"/>
      <c r="AG338" s="299"/>
      <c r="AH338" s="299"/>
      <c r="AI338" s="301"/>
      <c r="AJ338" s="301"/>
      <c r="AK338" s="426"/>
      <c r="AL338" s="298"/>
      <c r="AM338" s="299"/>
      <c r="AN338" s="299"/>
      <c r="AO338" s="301"/>
      <c r="AP338" s="301"/>
      <c r="AQ338" s="426"/>
      <c r="AR338" s="298"/>
      <c r="AS338" s="299"/>
      <c r="AT338" s="299"/>
      <c r="AU338" s="301"/>
      <c r="AV338" s="301"/>
      <c r="AW338" s="88"/>
      <c r="AX338" s="298"/>
      <c r="AY338" s="299"/>
      <c r="AZ338" s="299"/>
      <c r="BA338" s="301"/>
      <c r="BB338" s="301"/>
      <c r="BC338" s="426"/>
      <c r="BD338" s="298"/>
      <c r="BE338" s="299"/>
      <c r="BF338" s="299"/>
      <c r="BG338" s="301"/>
      <c r="BH338" s="301"/>
      <c r="BI338" s="88"/>
      <c r="BJ338" s="298"/>
      <c r="BK338" s="299"/>
      <c r="BL338" s="299"/>
      <c r="BM338" s="301"/>
      <c r="BN338" s="301"/>
      <c r="BO338" s="88"/>
      <c r="BP338" s="9"/>
      <c r="BS338" s="81"/>
      <c r="BT338" s="81"/>
      <c r="BV338" s="9"/>
      <c r="BY338" s="81"/>
      <c r="BZ338" s="81"/>
      <c r="CB338" s="9"/>
      <c r="CE338" s="81"/>
      <c r="CF338" s="81"/>
      <c r="CH338" s="9"/>
      <c r="CK338" s="81"/>
      <c r="CL338" s="81"/>
      <c r="CR338" s="9"/>
      <c r="CS338" s="9"/>
      <c r="CT338" s="9"/>
      <c r="CU338" s="9"/>
      <c r="CV338" s="9"/>
      <c r="CW338" s="129"/>
      <c r="CX338" s="9"/>
    </row>
    <row r="339" spans="1:102">
      <c r="A339" s="6" t="str">
        <f t="shared" si="51"/>
        <v>00660999</v>
      </c>
      <c r="B339" s="6" t="s">
        <v>1716</v>
      </c>
      <c r="C339" s="6" t="s">
        <v>2092</v>
      </c>
      <c r="D339" s="6">
        <v>330</v>
      </c>
      <c r="E339" s="10">
        <v>66</v>
      </c>
      <c r="F339" s="10" t="s">
        <v>1185</v>
      </c>
      <c r="G339" s="10">
        <v>999</v>
      </c>
      <c r="H339" s="10" t="s">
        <v>593</v>
      </c>
      <c r="I339" s="92">
        <v>2447232.5260247109</v>
      </c>
      <c r="J339" s="472">
        <v>1</v>
      </c>
      <c r="K339" s="53">
        <f>SUM(K335:K338)</f>
        <v>2565115.1861281162</v>
      </c>
      <c r="L339" s="91">
        <f>SUM(L335:L338)</f>
        <v>1</v>
      </c>
      <c r="M339" s="79">
        <f>VLOOKUP(E339,town351,24)</f>
        <v>1483968</v>
      </c>
      <c r="N339" s="79">
        <f>SUM(N335:N338)</f>
        <v>1483968</v>
      </c>
      <c r="O339" s="79">
        <v>1416811</v>
      </c>
      <c r="P339" s="79">
        <f>SUM(P335:P338)</f>
        <v>67157</v>
      </c>
      <c r="Q339" s="39">
        <f t="shared" ref="Q339:Q399" si="59">IF(O339&gt;0,P339*100/O339,IF(P339&gt;0,100,0))</f>
        <v>4.7400111941536309</v>
      </c>
      <c r="R339" s="9">
        <v>159.9073170751</v>
      </c>
      <c r="S339" s="9">
        <f t="shared" si="57"/>
        <v>159.79104477876001</v>
      </c>
      <c r="T339" s="90">
        <f t="shared" si="52"/>
        <v>66</v>
      </c>
      <c r="U339" s="90">
        <f t="shared" si="53"/>
        <v>999</v>
      </c>
      <c r="V339" s="373">
        <f t="shared" si="54"/>
        <v>330</v>
      </c>
      <c r="W339" s="90">
        <f t="shared" si="55"/>
        <v>159.79104477876001</v>
      </c>
      <c r="X339" s="90">
        <f t="shared" si="56"/>
        <v>2565115.1861281162</v>
      </c>
      <c r="Y339" s="141">
        <f t="shared" si="58"/>
        <v>330</v>
      </c>
      <c r="Z339" s="298">
        <v>66</v>
      </c>
      <c r="AA339" s="299">
        <v>999</v>
      </c>
      <c r="AB339" s="299">
        <v>330</v>
      </c>
      <c r="AC339" s="301">
        <v>159.79104477876001</v>
      </c>
      <c r="AD339" s="301">
        <v>2565115.1861281162</v>
      </c>
      <c r="AE339" s="126"/>
      <c r="AF339" s="298"/>
      <c r="AG339" s="299"/>
      <c r="AH339" s="299"/>
      <c r="AI339" s="301"/>
      <c r="AJ339" s="301"/>
      <c r="AK339" s="426"/>
      <c r="AL339" s="298"/>
      <c r="AM339" s="299"/>
      <c r="AN339" s="299"/>
      <c r="AO339" s="301"/>
      <c r="AP339" s="301"/>
      <c r="AQ339" s="426"/>
      <c r="AR339" s="298"/>
      <c r="AS339" s="299"/>
      <c r="AT339" s="299"/>
      <c r="AU339" s="301"/>
      <c r="AV339" s="301"/>
      <c r="AW339" s="91"/>
      <c r="AX339" s="298"/>
      <c r="AY339" s="299"/>
      <c r="AZ339" s="299"/>
      <c r="BA339" s="301"/>
      <c r="BB339" s="301"/>
      <c r="BC339" s="426"/>
      <c r="BD339" s="298"/>
      <c r="BE339" s="299"/>
      <c r="BF339" s="299"/>
      <c r="BG339" s="301"/>
      <c r="BH339" s="301"/>
      <c r="BI339" s="91"/>
      <c r="BJ339" s="298"/>
      <c r="BK339" s="299"/>
      <c r="BL339" s="299"/>
      <c r="BM339" s="301"/>
      <c r="BN339" s="301"/>
      <c r="BO339" s="91"/>
      <c r="BP339" s="9"/>
      <c r="BS339" s="81"/>
      <c r="BT339" s="81"/>
      <c r="BV339" s="9"/>
      <c r="BY339" s="81"/>
      <c r="BZ339" s="81"/>
      <c r="CB339" s="9"/>
      <c r="CE339" s="81"/>
      <c r="CF339" s="81"/>
      <c r="CH339" s="9"/>
      <c r="CK339" s="81"/>
      <c r="CL339" s="81"/>
      <c r="CR339" s="9"/>
      <c r="CS339" s="9"/>
      <c r="CT339" s="9"/>
      <c r="CU339" s="9"/>
      <c r="CV339" s="9"/>
      <c r="CW339" s="129"/>
      <c r="CX339" s="9"/>
    </row>
    <row r="340" spans="1:102">
      <c r="A340" s="6" t="str">
        <f t="shared" si="51"/>
        <v>00670067</v>
      </c>
      <c r="B340" s="6" t="s">
        <v>1717</v>
      </c>
      <c r="C340" s="6" t="s">
        <v>1717</v>
      </c>
      <c r="D340" s="6">
        <v>331</v>
      </c>
      <c r="E340" s="6">
        <v>67</v>
      </c>
      <c r="F340" s="6" t="s">
        <v>1186</v>
      </c>
      <c r="G340" s="6">
        <v>67</v>
      </c>
      <c r="H340" s="6" t="s">
        <v>748</v>
      </c>
      <c r="I340" s="33">
        <v>23075622.333200004</v>
      </c>
      <c r="J340" s="88">
        <v>0.61219263121600742</v>
      </c>
      <c r="K340" s="89">
        <f t="shared" ref="K340:K403" si="60">X340</f>
        <v>24161392.54073</v>
      </c>
      <c r="L340" s="88">
        <f>IF(K344&gt;0, K340/K344, 0)</f>
        <v>0.62610103182671939</v>
      </c>
      <c r="M340" s="58"/>
      <c r="N340" s="9">
        <f>ROUND(M344*L340,0)</f>
        <v>19933149</v>
      </c>
      <c r="O340" s="9">
        <v>19037389</v>
      </c>
      <c r="P340" s="9">
        <f>N340-O340</f>
        <v>895760</v>
      </c>
      <c r="Q340" s="40">
        <f t="shared" si="59"/>
        <v>4.7052670930871878</v>
      </c>
      <c r="R340" s="9">
        <v>1925</v>
      </c>
      <c r="S340" s="9">
        <f t="shared" si="57"/>
        <v>1943</v>
      </c>
      <c r="T340" s="90">
        <f t="shared" si="52"/>
        <v>67</v>
      </c>
      <c r="U340" s="90">
        <f t="shared" si="53"/>
        <v>67</v>
      </c>
      <c r="V340" s="373">
        <f t="shared" si="54"/>
        <v>331</v>
      </c>
      <c r="W340" s="90">
        <f t="shared" si="55"/>
        <v>1943</v>
      </c>
      <c r="X340" s="90">
        <f t="shared" si="56"/>
        <v>24161392.54073</v>
      </c>
      <c r="Y340" s="141">
        <f t="shared" si="58"/>
        <v>331</v>
      </c>
      <c r="Z340" s="298">
        <v>67</v>
      </c>
      <c r="AA340" s="299">
        <v>67</v>
      </c>
      <c r="AB340" s="299">
        <v>331</v>
      </c>
      <c r="AC340" s="301">
        <v>1943</v>
      </c>
      <c r="AD340" s="301">
        <v>24161392.54073</v>
      </c>
      <c r="AE340" s="126"/>
      <c r="AF340" s="298"/>
      <c r="AG340" s="299"/>
      <c r="AH340" s="299"/>
      <c r="AI340" s="301"/>
      <c r="AJ340" s="301"/>
      <c r="AK340" s="426"/>
      <c r="AL340" s="298"/>
      <c r="AM340" s="299"/>
      <c r="AN340" s="299"/>
      <c r="AO340" s="301"/>
      <c r="AP340" s="301"/>
      <c r="AQ340" s="426"/>
      <c r="AR340" s="298"/>
      <c r="AS340" s="299"/>
      <c r="AT340" s="299"/>
      <c r="AU340" s="301"/>
      <c r="AV340" s="301"/>
      <c r="AW340" s="88"/>
      <c r="AX340" s="298"/>
      <c r="AY340" s="299"/>
      <c r="AZ340" s="299"/>
      <c r="BA340" s="301"/>
      <c r="BB340" s="301"/>
      <c r="BC340" s="426"/>
      <c r="BD340" s="298"/>
      <c r="BE340" s="299"/>
      <c r="BF340" s="299"/>
      <c r="BG340" s="301"/>
      <c r="BH340" s="301"/>
      <c r="BI340" s="88"/>
      <c r="BJ340" s="298"/>
      <c r="BK340" s="299"/>
      <c r="BL340" s="299"/>
      <c r="BM340" s="301"/>
      <c r="BN340" s="301"/>
      <c r="BO340" s="88"/>
      <c r="BP340" s="9"/>
      <c r="BS340" s="81"/>
      <c r="BT340" s="81"/>
      <c r="BV340" s="9"/>
      <c r="BY340" s="81"/>
      <c r="BZ340" s="81"/>
      <c r="CB340" s="9"/>
      <c r="CE340" s="81"/>
      <c r="CF340" s="81"/>
      <c r="CH340" s="9"/>
      <c r="CK340" s="81"/>
      <c r="CL340" s="81"/>
      <c r="CR340" s="9"/>
      <c r="CS340" s="9"/>
      <c r="CT340" s="9"/>
      <c r="CU340" s="9"/>
      <c r="CV340" s="9"/>
      <c r="CW340" s="129"/>
      <c r="CX340" s="9"/>
    </row>
    <row r="341" spans="1:102">
      <c r="A341" s="6" t="str">
        <f t="shared" si="51"/>
        <v>00670640</v>
      </c>
      <c r="B341" s="6" t="s">
        <v>1717</v>
      </c>
      <c r="C341" s="6" t="s">
        <v>2016</v>
      </c>
      <c r="D341" s="6">
        <v>332</v>
      </c>
      <c r="E341" s="6">
        <v>67</v>
      </c>
      <c r="F341" s="6" t="s">
        <v>1186</v>
      </c>
      <c r="G341" s="6">
        <v>640</v>
      </c>
      <c r="H341" s="6" t="s">
        <v>1046</v>
      </c>
      <c r="I341" s="33">
        <v>13866673.539643588</v>
      </c>
      <c r="J341" s="88">
        <v>0.36788066808643144</v>
      </c>
      <c r="K341" s="89">
        <f t="shared" si="60"/>
        <v>13551716.937811457</v>
      </c>
      <c r="L341" s="88">
        <f>IF(K344&gt;0, K341/K344, 0)</f>
        <v>0.35116949254825647</v>
      </c>
      <c r="M341" s="58"/>
      <c r="N341" s="9">
        <f>ROUND(M344*L341,0)</f>
        <v>11180167</v>
      </c>
      <c r="O341" s="9">
        <v>11440006</v>
      </c>
      <c r="P341" s="9">
        <f>N341-O341</f>
        <v>-259839</v>
      </c>
      <c r="Q341" s="40">
        <f t="shared" si="59"/>
        <v>-2.2713187388188434</v>
      </c>
      <c r="R341" s="9">
        <v>1016.7916337754</v>
      </c>
      <c r="S341" s="9">
        <f t="shared" si="57"/>
        <v>967.18598832468001</v>
      </c>
      <c r="T341" s="90">
        <f t="shared" si="52"/>
        <v>67</v>
      </c>
      <c r="U341" s="90">
        <f t="shared" si="53"/>
        <v>640</v>
      </c>
      <c r="V341" s="373">
        <f t="shared" si="54"/>
        <v>332</v>
      </c>
      <c r="W341" s="90">
        <f t="shared" si="55"/>
        <v>967.18598832468001</v>
      </c>
      <c r="X341" s="90">
        <f t="shared" si="56"/>
        <v>13551716.937811457</v>
      </c>
      <c r="Y341" s="141">
        <f t="shared" si="58"/>
        <v>332</v>
      </c>
      <c r="Z341" s="298">
        <v>67</v>
      </c>
      <c r="AA341" s="299">
        <v>640</v>
      </c>
      <c r="AB341" s="299">
        <v>332</v>
      </c>
      <c r="AC341" s="301">
        <v>967.18598832468001</v>
      </c>
      <c r="AD341" s="301">
        <v>13551716.937811457</v>
      </c>
      <c r="AE341" s="126"/>
      <c r="AF341" s="298"/>
      <c r="AG341" s="299"/>
      <c r="AH341" s="299"/>
      <c r="AI341" s="301"/>
      <c r="AJ341" s="301"/>
      <c r="AK341" s="426"/>
      <c r="AL341" s="298"/>
      <c r="AM341" s="299"/>
      <c r="AN341" s="299"/>
      <c r="AO341" s="301"/>
      <c r="AP341" s="301"/>
      <c r="AQ341" s="426"/>
      <c r="AR341" s="298"/>
      <c r="AS341" s="299"/>
      <c r="AT341" s="299"/>
      <c r="AU341" s="301"/>
      <c r="AV341" s="301"/>
      <c r="AW341" s="88"/>
      <c r="AX341" s="298"/>
      <c r="AY341" s="299"/>
      <c r="AZ341" s="299"/>
      <c r="BA341" s="301"/>
      <c r="BB341" s="301"/>
      <c r="BC341" s="426"/>
      <c r="BD341" s="298"/>
      <c r="BE341" s="299"/>
      <c r="BF341" s="299"/>
      <c r="BG341" s="301"/>
      <c r="BH341" s="301"/>
      <c r="BI341" s="88"/>
      <c r="BJ341" s="298"/>
      <c r="BK341" s="299"/>
      <c r="BL341" s="299"/>
      <c r="BM341" s="301"/>
      <c r="BN341" s="301"/>
      <c r="BO341" s="88"/>
      <c r="BP341" s="9"/>
      <c r="BS341" s="81"/>
      <c r="BT341" s="81"/>
      <c r="BV341" s="9"/>
      <c r="BY341" s="81"/>
      <c r="BZ341" s="81"/>
      <c r="CB341" s="9"/>
      <c r="CE341" s="81"/>
      <c r="CF341" s="81"/>
      <c r="CH341" s="9"/>
      <c r="CK341" s="81"/>
      <c r="CL341" s="81"/>
      <c r="CR341" s="9"/>
      <c r="CS341" s="9"/>
      <c r="CT341" s="9"/>
      <c r="CU341" s="9"/>
      <c r="CV341" s="9"/>
      <c r="CW341" s="129"/>
      <c r="CX341" s="9"/>
    </row>
    <row r="342" spans="1:102">
      <c r="A342" s="6" t="str">
        <f t="shared" si="51"/>
        <v>00670830</v>
      </c>
      <c r="B342" s="6" t="s">
        <v>1717</v>
      </c>
      <c r="C342" s="6" t="s">
        <v>2074</v>
      </c>
      <c r="D342" s="6">
        <v>333</v>
      </c>
      <c r="E342" s="6">
        <v>67</v>
      </c>
      <c r="F342" s="6" t="s">
        <v>1186</v>
      </c>
      <c r="G342" s="6">
        <v>830</v>
      </c>
      <c r="H342" s="6" t="s">
        <v>1104</v>
      </c>
      <c r="I342" s="33">
        <v>751105.11985464836</v>
      </c>
      <c r="J342" s="88">
        <v>1.9926700697561046E-2</v>
      </c>
      <c r="K342" s="89">
        <f t="shared" si="60"/>
        <v>877136.04499082477</v>
      </c>
      <c r="L342" s="88">
        <f>IF(K344&gt;0, K342/K344, 0)</f>
        <v>2.2729475625024163E-2</v>
      </c>
      <c r="M342" s="58"/>
      <c r="N342" s="9">
        <f>ROUND(M344*L342,0)</f>
        <v>723637</v>
      </c>
      <c r="O342" s="9">
        <v>619662</v>
      </c>
      <c r="P342" s="9">
        <f>N342-O342</f>
        <v>103975</v>
      </c>
      <c r="Q342" s="40">
        <f t="shared" si="59"/>
        <v>16.779308719915051</v>
      </c>
      <c r="R342" s="9">
        <v>35.999999997239996</v>
      </c>
      <c r="S342" s="9">
        <f t="shared" si="57"/>
        <v>42.000000002459998</v>
      </c>
      <c r="T342" s="90">
        <f t="shared" si="52"/>
        <v>67</v>
      </c>
      <c r="U342" s="90">
        <f t="shared" si="53"/>
        <v>830</v>
      </c>
      <c r="V342" s="373">
        <f t="shared" si="54"/>
        <v>333</v>
      </c>
      <c r="W342" s="90">
        <f t="shared" si="55"/>
        <v>42.000000002459998</v>
      </c>
      <c r="X342" s="90">
        <f t="shared" si="56"/>
        <v>877136.04499082477</v>
      </c>
      <c r="Y342" s="141">
        <f t="shared" si="58"/>
        <v>333</v>
      </c>
      <c r="Z342" s="298">
        <v>67</v>
      </c>
      <c r="AA342" s="299">
        <v>830</v>
      </c>
      <c r="AB342" s="299">
        <v>333</v>
      </c>
      <c r="AC342" s="301">
        <v>42.000000002459998</v>
      </c>
      <c r="AD342" s="301">
        <v>877136.04499082477</v>
      </c>
      <c r="AE342" s="126"/>
      <c r="AF342" s="298"/>
      <c r="AG342" s="299"/>
      <c r="AH342" s="299"/>
      <c r="AI342" s="301"/>
      <c r="AJ342" s="301"/>
      <c r="AK342" s="426"/>
      <c r="AL342" s="298"/>
      <c r="AM342" s="299"/>
      <c r="AN342" s="299"/>
      <c r="AO342" s="301"/>
      <c r="AP342" s="301"/>
      <c r="AQ342" s="426"/>
      <c r="AR342" s="298"/>
      <c r="AS342" s="299"/>
      <c r="AT342" s="299"/>
      <c r="AU342" s="301"/>
      <c r="AV342" s="301"/>
      <c r="AW342" s="88"/>
      <c r="AX342" s="298"/>
      <c r="AY342" s="299"/>
      <c r="AZ342" s="299"/>
      <c r="BA342" s="301"/>
      <c r="BB342" s="301"/>
      <c r="BC342" s="426"/>
      <c r="BD342" s="298"/>
      <c r="BE342" s="299"/>
      <c r="BF342" s="299"/>
      <c r="BG342" s="301"/>
      <c r="BH342" s="301"/>
      <c r="BI342" s="88"/>
      <c r="BJ342" s="298"/>
      <c r="BK342" s="299"/>
      <c r="BL342" s="299"/>
      <c r="BM342" s="301"/>
      <c r="BN342" s="301"/>
      <c r="BO342" s="88"/>
      <c r="BP342" s="9"/>
      <c r="BS342" s="81"/>
      <c r="BT342" s="81"/>
      <c r="BV342" s="9"/>
      <c r="BY342" s="81"/>
      <c r="BZ342" s="81"/>
      <c r="CB342" s="9"/>
      <c r="CE342" s="81"/>
      <c r="CF342" s="81"/>
      <c r="CH342" s="9"/>
      <c r="CK342" s="81"/>
      <c r="CL342" s="81"/>
      <c r="CR342" s="9"/>
      <c r="CS342" s="9"/>
      <c r="CT342" s="9"/>
      <c r="CU342" s="9"/>
      <c r="CV342" s="9"/>
      <c r="CW342" s="129"/>
      <c r="CX342" s="9"/>
    </row>
    <row r="343" spans="1:102">
      <c r="A343" s="6" t="str">
        <f t="shared" si="51"/>
        <v>00670998</v>
      </c>
      <c r="B343" s="6" t="s">
        <v>1717</v>
      </c>
      <c r="C343" s="6" t="s">
        <v>2091</v>
      </c>
      <c r="D343" s="6">
        <v>334</v>
      </c>
      <c r="E343" s="6">
        <v>67</v>
      </c>
      <c r="F343" s="6" t="s">
        <v>1547</v>
      </c>
      <c r="G343" s="6">
        <v>998</v>
      </c>
      <c r="H343" s="6" t="s">
        <v>1547</v>
      </c>
      <c r="I343" s="33">
        <v>0</v>
      </c>
      <c r="J343" s="88">
        <v>0</v>
      </c>
      <c r="K343" s="89">
        <f t="shared" si="60"/>
        <v>0</v>
      </c>
      <c r="L343" s="88">
        <f>IF(K344&gt;0, K343/K344, 0)</f>
        <v>0</v>
      </c>
      <c r="M343" s="58"/>
      <c r="N343" s="9">
        <f>ROUND(M344*L343,0)</f>
        <v>0</v>
      </c>
      <c r="O343" s="9">
        <v>0</v>
      </c>
      <c r="P343" s="9">
        <f>N343-O343</f>
        <v>0</v>
      </c>
      <c r="Q343" s="40">
        <f t="shared" si="59"/>
        <v>0</v>
      </c>
      <c r="R343" s="9">
        <v>0</v>
      </c>
      <c r="S343" s="9">
        <f t="shared" si="57"/>
        <v>0</v>
      </c>
      <c r="T343" s="90">
        <f t="shared" si="52"/>
        <v>67</v>
      </c>
      <c r="U343" s="90">
        <f t="shared" si="53"/>
        <v>998</v>
      </c>
      <c r="V343" s="373">
        <f t="shared" si="54"/>
        <v>334</v>
      </c>
      <c r="W343" s="90">
        <f t="shared" si="55"/>
        <v>0</v>
      </c>
      <c r="X343" s="90">
        <f t="shared" si="56"/>
        <v>0</v>
      </c>
      <c r="Y343" s="141">
        <f t="shared" si="58"/>
        <v>334</v>
      </c>
      <c r="Z343" s="298">
        <v>67</v>
      </c>
      <c r="AA343" s="299">
        <v>998</v>
      </c>
      <c r="AB343" s="299">
        <v>334</v>
      </c>
      <c r="AC343" s="301">
        <v>0</v>
      </c>
      <c r="AD343" s="301">
        <v>0</v>
      </c>
      <c r="AE343" s="126"/>
      <c r="AF343" s="298"/>
      <c r="AG343" s="299"/>
      <c r="AH343" s="299"/>
      <c r="AI343" s="301"/>
      <c r="AJ343" s="301"/>
      <c r="AK343" s="426"/>
      <c r="AL343" s="298"/>
      <c r="AM343" s="299"/>
      <c r="AN343" s="299"/>
      <c r="AO343" s="301"/>
      <c r="AP343" s="301"/>
      <c r="AQ343" s="426"/>
      <c r="AR343" s="298"/>
      <c r="AS343" s="299"/>
      <c r="AT343" s="299"/>
      <c r="AU343" s="301"/>
      <c r="AV343" s="301"/>
      <c r="AW343" s="88"/>
      <c r="AX343" s="298"/>
      <c r="AY343" s="299"/>
      <c r="AZ343" s="299"/>
      <c r="BA343" s="301"/>
      <c r="BB343" s="301"/>
      <c r="BC343" s="426"/>
      <c r="BD343" s="298"/>
      <c r="BE343" s="299"/>
      <c r="BF343" s="299"/>
      <c r="BG343" s="301"/>
      <c r="BH343" s="301"/>
      <c r="BI343" s="88"/>
      <c r="BJ343" s="298"/>
      <c r="BK343" s="299"/>
      <c r="BL343" s="299"/>
      <c r="BM343" s="301"/>
      <c r="BN343" s="301"/>
      <c r="BO343" s="88"/>
      <c r="BP343" s="9"/>
      <c r="BS343" s="81"/>
      <c r="BT343" s="81"/>
      <c r="BV343" s="9"/>
      <c r="BY343" s="81"/>
      <c r="BZ343" s="81"/>
      <c r="CB343" s="9"/>
      <c r="CE343" s="81"/>
      <c r="CF343" s="81"/>
      <c r="CH343" s="9"/>
      <c r="CK343" s="81"/>
      <c r="CL343" s="81"/>
      <c r="CR343" s="9"/>
      <c r="CS343" s="9"/>
      <c r="CT343" s="9"/>
      <c r="CU343" s="9"/>
      <c r="CV343" s="9"/>
      <c r="CW343" s="129"/>
      <c r="CX343" s="9"/>
    </row>
    <row r="344" spans="1:102">
      <c r="A344" s="6" t="str">
        <f t="shared" si="51"/>
        <v>00670999</v>
      </c>
      <c r="B344" s="6" t="s">
        <v>1717</v>
      </c>
      <c r="C344" s="6" t="s">
        <v>2092</v>
      </c>
      <c r="D344" s="6">
        <v>335</v>
      </c>
      <c r="E344" s="10">
        <v>67</v>
      </c>
      <c r="F344" s="10" t="s">
        <v>1186</v>
      </c>
      <c r="G344" s="10">
        <v>999</v>
      </c>
      <c r="H344" s="10" t="s">
        <v>593</v>
      </c>
      <c r="I344" s="92">
        <v>37693400.992698245</v>
      </c>
      <c r="J344" s="472">
        <v>0.99999999999999989</v>
      </c>
      <c r="K344" s="53">
        <f>SUM(K340:K343)</f>
        <v>38590245.523532279</v>
      </c>
      <c r="L344" s="91">
        <f>SUM(L340:L343)</f>
        <v>1</v>
      </c>
      <c r="M344" s="79">
        <f>VLOOKUP(E344,town351,24)</f>
        <v>31836953</v>
      </c>
      <c r="N344" s="79">
        <f>SUM(N340:N343)</f>
        <v>31836953</v>
      </c>
      <c r="O344" s="79">
        <v>31097057</v>
      </c>
      <c r="P344" s="79">
        <f>SUM(P340:P343)</f>
        <v>739896</v>
      </c>
      <c r="Q344" s="39">
        <f t="shared" si="59"/>
        <v>2.3793119715476614</v>
      </c>
      <c r="R344" s="9">
        <v>2977.7916337726401</v>
      </c>
      <c r="S344" s="9">
        <f t="shared" si="57"/>
        <v>2952.18598832714</v>
      </c>
      <c r="T344" s="90">
        <f t="shared" si="52"/>
        <v>67</v>
      </c>
      <c r="U344" s="90">
        <f t="shared" si="53"/>
        <v>999</v>
      </c>
      <c r="V344" s="373">
        <f t="shared" si="54"/>
        <v>335</v>
      </c>
      <c r="W344" s="90">
        <f t="shared" si="55"/>
        <v>2952.18598832714</v>
      </c>
      <c r="X344" s="90">
        <f t="shared" si="56"/>
        <v>38590245.523532279</v>
      </c>
      <c r="Y344" s="141">
        <f t="shared" si="58"/>
        <v>335</v>
      </c>
      <c r="Z344" s="298">
        <v>67</v>
      </c>
      <c r="AA344" s="299">
        <v>999</v>
      </c>
      <c r="AB344" s="299">
        <v>335</v>
      </c>
      <c r="AC344" s="301">
        <v>2952.18598832714</v>
      </c>
      <c r="AD344" s="301">
        <v>38590245.523532279</v>
      </c>
      <c r="AE344" s="126"/>
      <c r="AF344" s="298"/>
      <c r="AG344" s="299"/>
      <c r="AH344" s="299"/>
      <c r="AI344" s="301"/>
      <c r="AJ344" s="301"/>
      <c r="AK344" s="426"/>
      <c r="AL344" s="298"/>
      <c r="AM344" s="299"/>
      <c r="AN344" s="299"/>
      <c r="AO344" s="301"/>
      <c r="AP344" s="301"/>
      <c r="AQ344" s="426"/>
      <c r="AR344" s="298"/>
      <c r="AS344" s="299"/>
      <c r="AT344" s="299"/>
      <c r="AU344" s="301"/>
      <c r="AV344" s="301"/>
      <c r="AW344" s="91"/>
      <c r="AX344" s="298"/>
      <c r="AY344" s="299"/>
      <c r="AZ344" s="299"/>
      <c r="BA344" s="301"/>
      <c r="BB344" s="301"/>
      <c r="BC344" s="426"/>
      <c r="BD344" s="298"/>
      <c r="BE344" s="299"/>
      <c r="BF344" s="299"/>
      <c r="BG344" s="301"/>
      <c r="BH344" s="301"/>
      <c r="BI344" s="91"/>
      <c r="BJ344" s="298"/>
      <c r="BK344" s="299"/>
      <c r="BL344" s="299"/>
      <c r="BM344" s="301"/>
      <c r="BN344" s="301"/>
      <c r="BO344" s="91"/>
      <c r="BP344" s="9"/>
      <c r="BS344" s="81"/>
      <c r="BT344" s="81"/>
      <c r="BV344" s="9"/>
      <c r="BY344" s="81"/>
      <c r="BZ344" s="81"/>
      <c r="CB344" s="9"/>
      <c r="CE344" s="81"/>
      <c r="CF344" s="81"/>
      <c r="CH344" s="9"/>
      <c r="CK344" s="81"/>
      <c r="CL344" s="81"/>
      <c r="CR344" s="9"/>
      <c r="CS344" s="9"/>
      <c r="CT344" s="9"/>
      <c r="CU344" s="9"/>
      <c r="CV344" s="9"/>
      <c r="CW344" s="129"/>
      <c r="CX344" s="9"/>
    </row>
    <row r="345" spans="1:102">
      <c r="A345" s="6" t="str">
        <f t="shared" si="51"/>
        <v>00680068</v>
      </c>
      <c r="B345" s="6" t="s">
        <v>1718</v>
      </c>
      <c r="C345" s="6" t="s">
        <v>1718</v>
      </c>
      <c r="D345" s="6">
        <v>336</v>
      </c>
      <c r="E345" s="6">
        <v>68</v>
      </c>
      <c r="F345" s="6" t="s">
        <v>1187</v>
      </c>
      <c r="G345" s="6">
        <v>68</v>
      </c>
      <c r="H345" s="6" t="s">
        <v>749</v>
      </c>
      <c r="I345" s="33">
        <v>941811.15000000014</v>
      </c>
      <c r="J345" s="88">
        <v>0.40399129109575599</v>
      </c>
      <c r="K345" s="89">
        <f>X345</f>
        <v>969244.91999999993</v>
      </c>
      <c r="L345" s="88">
        <f>IF(K349&gt;0, K345/K349, 0)</f>
        <v>0.4096861177260418</v>
      </c>
      <c r="M345" s="58"/>
      <c r="N345" s="9">
        <f>ROUND(M349*L345,0)</f>
        <v>799627</v>
      </c>
      <c r="O345" s="9">
        <v>776994</v>
      </c>
      <c r="P345" s="9">
        <f>N345-O345</f>
        <v>22633</v>
      </c>
      <c r="Q345" s="40">
        <f t="shared" si="59"/>
        <v>2.9128925062484394</v>
      </c>
      <c r="R345" s="9">
        <v>66</v>
      </c>
      <c r="S345" s="9">
        <f t="shared" si="57"/>
        <v>68</v>
      </c>
      <c r="T345" s="90">
        <f t="shared" si="52"/>
        <v>68</v>
      </c>
      <c r="U345" s="90">
        <f t="shared" si="53"/>
        <v>68</v>
      </c>
      <c r="V345" s="373">
        <f t="shared" si="54"/>
        <v>336</v>
      </c>
      <c r="W345" s="90">
        <f t="shared" si="55"/>
        <v>68</v>
      </c>
      <c r="X345" s="90">
        <f t="shared" si="56"/>
        <v>969244.91999999993</v>
      </c>
      <c r="Y345" s="141">
        <f t="shared" si="58"/>
        <v>336</v>
      </c>
      <c r="Z345" s="298">
        <v>68</v>
      </c>
      <c r="AA345" s="299">
        <v>68</v>
      </c>
      <c r="AB345" s="299">
        <v>336</v>
      </c>
      <c r="AC345" s="301">
        <v>68</v>
      </c>
      <c r="AD345" s="301">
        <v>969244.91999999993</v>
      </c>
      <c r="AE345" s="126"/>
      <c r="AF345" s="298"/>
      <c r="AG345" s="299"/>
      <c r="AH345" s="299"/>
      <c r="AI345" s="301"/>
      <c r="AJ345" s="301"/>
      <c r="AK345" s="426"/>
      <c r="AL345" s="298"/>
      <c r="AM345" s="299"/>
      <c r="AN345" s="299"/>
      <c r="AO345" s="301"/>
      <c r="AP345" s="301"/>
      <c r="AQ345" s="426"/>
      <c r="AR345" s="298"/>
      <c r="AS345" s="299"/>
      <c r="AT345" s="299"/>
      <c r="AU345" s="301"/>
      <c r="AV345" s="301"/>
      <c r="AW345" s="88"/>
      <c r="AX345" s="298"/>
      <c r="AY345" s="299"/>
      <c r="AZ345" s="299"/>
      <c r="BA345" s="301"/>
      <c r="BB345" s="301"/>
      <c r="BC345" s="426"/>
      <c r="BD345" s="298"/>
      <c r="BE345" s="299"/>
      <c r="BF345" s="299"/>
      <c r="BG345" s="301"/>
      <c r="BH345" s="301"/>
      <c r="BI345" s="88"/>
      <c r="BJ345" s="298"/>
      <c r="BK345" s="299"/>
      <c r="BL345" s="299"/>
      <c r="BM345" s="301"/>
      <c r="BN345" s="301"/>
      <c r="BO345" s="88"/>
      <c r="BP345" s="9"/>
      <c r="BS345" s="81"/>
      <c r="BT345" s="81"/>
      <c r="BV345" s="9"/>
      <c r="BY345" s="81"/>
      <c r="BZ345" s="81"/>
      <c r="CB345" s="9"/>
      <c r="CE345" s="81"/>
      <c r="CF345" s="81"/>
      <c r="CH345" s="9"/>
      <c r="CK345" s="81"/>
      <c r="CL345" s="81"/>
      <c r="CR345" s="9"/>
      <c r="CS345" s="9"/>
      <c r="CT345" s="9"/>
      <c r="CU345" s="9"/>
      <c r="CV345" s="9"/>
      <c r="CW345" s="129"/>
      <c r="CX345" s="9"/>
    </row>
    <row r="346" spans="1:102">
      <c r="A346" s="6" t="str">
        <f t="shared" si="51"/>
        <v>00680670</v>
      </c>
      <c r="B346" s="6" t="s">
        <v>1718</v>
      </c>
      <c r="C346" s="6" t="s">
        <v>2024</v>
      </c>
      <c r="D346" s="6">
        <v>337</v>
      </c>
      <c r="E346" s="6">
        <v>68</v>
      </c>
      <c r="F346" s="6" t="s">
        <v>1187</v>
      </c>
      <c r="G346" s="6">
        <v>670</v>
      </c>
      <c r="H346" s="6" t="s">
        <v>1054</v>
      </c>
      <c r="I346" s="33">
        <v>1197226.8518503029</v>
      </c>
      <c r="J346" s="88">
        <v>0.51355223561911667</v>
      </c>
      <c r="K346" s="89">
        <f t="shared" si="60"/>
        <v>1243579.7529682661</v>
      </c>
      <c r="L346" s="88">
        <f>IF(K349&gt;0, K346/K349, 0)</f>
        <v>0.52564357115875215</v>
      </c>
      <c r="M346" s="58"/>
      <c r="N346" s="9">
        <f>ROUND(M349*L346,0)</f>
        <v>1025953</v>
      </c>
      <c r="O346" s="9">
        <v>987712</v>
      </c>
      <c r="P346" s="9">
        <f>N346-O346</f>
        <v>38241</v>
      </c>
      <c r="Q346" s="40">
        <f t="shared" si="59"/>
        <v>3.8716751441715802</v>
      </c>
      <c r="R346" s="9">
        <v>85.174537987839997</v>
      </c>
      <c r="S346" s="9">
        <f t="shared" si="57"/>
        <v>86.180293501899996</v>
      </c>
      <c r="T346" s="90">
        <f t="shared" si="52"/>
        <v>68</v>
      </c>
      <c r="U346" s="90">
        <f t="shared" si="53"/>
        <v>670</v>
      </c>
      <c r="V346" s="373">
        <f t="shared" si="54"/>
        <v>337</v>
      </c>
      <c r="W346" s="90">
        <f t="shared" si="55"/>
        <v>86.180293501899996</v>
      </c>
      <c r="X346" s="90">
        <f t="shared" si="56"/>
        <v>1243579.7529682661</v>
      </c>
      <c r="Y346" s="141">
        <f t="shared" si="58"/>
        <v>337</v>
      </c>
      <c r="Z346" s="298">
        <v>68</v>
      </c>
      <c r="AA346" s="299">
        <v>670</v>
      </c>
      <c r="AB346" s="299">
        <v>337</v>
      </c>
      <c r="AC346" s="301">
        <v>86.180293501899996</v>
      </c>
      <c r="AD346" s="301">
        <v>1243579.7529682661</v>
      </c>
      <c r="AE346" s="126"/>
      <c r="AF346" s="298"/>
      <c r="AG346" s="299"/>
      <c r="AH346" s="299"/>
      <c r="AI346" s="301"/>
      <c r="AJ346" s="301"/>
      <c r="AK346" s="426"/>
      <c r="AL346" s="298"/>
      <c r="AM346" s="299"/>
      <c r="AN346" s="299"/>
      <c r="AO346" s="301"/>
      <c r="AP346" s="301"/>
      <c r="AQ346" s="426"/>
      <c r="AR346" s="298"/>
      <c r="AS346" s="299"/>
      <c r="AT346" s="299"/>
      <c r="AU346" s="301"/>
      <c r="AV346" s="301"/>
      <c r="AW346" s="88"/>
      <c r="AX346" s="298"/>
      <c r="AY346" s="299"/>
      <c r="AZ346" s="299"/>
      <c r="BA346" s="301"/>
      <c r="BB346" s="301"/>
      <c r="BC346" s="426"/>
      <c r="BD346" s="298"/>
      <c r="BE346" s="299"/>
      <c r="BF346" s="299"/>
      <c r="BG346" s="301"/>
      <c r="BH346" s="301"/>
      <c r="BI346" s="88"/>
      <c r="BJ346" s="298"/>
      <c r="BK346" s="299"/>
      <c r="BL346" s="299"/>
      <c r="BM346" s="301"/>
      <c r="BN346" s="301"/>
      <c r="BO346" s="88"/>
      <c r="BP346" s="9"/>
      <c r="BS346" s="81"/>
      <c r="BT346" s="81"/>
      <c r="BV346" s="9"/>
      <c r="BY346" s="81"/>
      <c r="BZ346" s="81"/>
      <c r="CB346" s="9"/>
      <c r="CE346" s="81"/>
      <c r="CF346" s="81"/>
      <c r="CH346" s="9"/>
      <c r="CK346" s="81"/>
      <c r="CL346" s="81"/>
      <c r="CR346" s="9"/>
      <c r="CS346" s="9"/>
      <c r="CT346" s="9"/>
      <c r="CU346" s="9"/>
      <c r="CV346" s="9"/>
      <c r="CW346" s="129"/>
      <c r="CX346" s="9"/>
    </row>
    <row r="347" spans="1:102">
      <c r="A347" s="6" t="str">
        <f t="shared" si="51"/>
        <v>00680818</v>
      </c>
      <c r="B347" s="6" t="s">
        <v>1718</v>
      </c>
      <c r="C347" s="6" t="s">
        <v>2068</v>
      </c>
      <c r="D347" s="6">
        <v>338</v>
      </c>
      <c r="E347" s="6">
        <v>68</v>
      </c>
      <c r="F347" s="6" t="s">
        <v>1187</v>
      </c>
      <c r="G347" s="6">
        <v>818</v>
      </c>
      <c r="H347" s="6" t="s">
        <v>1098</v>
      </c>
      <c r="I347" s="33">
        <v>192227.97035791312</v>
      </c>
      <c r="J347" s="88">
        <v>8.2456473285127299E-2</v>
      </c>
      <c r="K347" s="89">
        <f t="shared" si="60"/>
        <v>152998.52206646712</v>
      </c>
      <c r="L347" s="88">
        <f>IF(K349&gt;0, K347/K349, 0)</f>
        <v>6.4670311115206103E-2</v>
      </c>
      <c r="M347" s="58"/>
      <c r="N347" s="9">
        <f>ROUND(M349*L347,0)</f>
        <v>126224</v>
      </c>
      <c r="O347" s="9">
        <v>158588</v>
      </c>
      <c r="P347" s="9">
        <f>N347-O347</f>
        <v>-32364</v>
      </c>
      <c r="Q347" s="40">
        <f t="shared" si="59"/>
        <v>-20.407597043912528</v>
      </c>
      <c r="R347" s="9">
        <v>8.9999999991999999</v>
      </c>
      <c r="S347" s="9">
        <f t="shared" si="57"/>
        <v>7.0000000023999993</v>
      </c>
      <c r="T347" s="90">
        <f t="shared" si="52"/>
        <v>68</v>
      </c>
      <c r="U347" s="90">
        <f t="shared" si="53"/>
        <v>818</v>
      </c>
      <c r="V347" s="373">
        <f t="shared" si="54"/>
        <v>338</v>
      </c>
      <c r="W347" s="90">
        <f t="shared" si="55"/>
        <v>7.0000000023999993</v>
      </c>
      <c r="X347" s="90">
        <f t="shared" si="56"/>
        <v>152998.52206646712</v>
      </c>
      <c r="Y347" s="141">
        <f t="shared" si="58"/>
        <v>338</v>
      </c>
      <c r="Z347" s="298">
        <v>68</v>
      </c>
      <c r="AA347" s="299">
        <v>818</v>
      </c>
      <c r="AB347" s="299">
        <v>338</v>
      </c>
      <c r="AC347" s="301">
        <v>7.0000000023999993</v>
      </c>
      <c r="AD347" s="301">
        <v>152998.52206646712</v>
      </c>
      <c r="AE347" s="126"/>
      <c r="AF347" s="298"/>
      <c r="AG347" s="299"/>
      <c r="AH347" s="299"/>
      <c r="AI347" s="301"/>
      <c r="AJ347" s="301"/>
      <c r="AK347" s="426"/>
      <c r="AL347" s="298"/>
      <c r="AM347" s="299"/>
      <c r="AN347" s="299"/>
      <c r="AO347" s="301"/>
      <c r="AP347" s="301"/>
      <c r="AQ347" s="426"/>
      <c r="AR347" s="298"/>
      <c r="AS347" s="299"/>
      <c r="AT347" s="299"/>
      <c r="AU347" s="301"/>
      <c r="AV347" s="301"/>
      <c r="AW347" s="88"/>
      <c r="AX347" s="298"/>
      <c r="AY347" s="299"/>
      <c r="AZ347" s="299"/>
      <c r="BA347" s="301"/>
      <c r="BB347" s="301"/>
      <c r="BC347" s="426"/>
      <c r="BD347" s="298"/>
      <c r="BE347" s="299"/>
      <c r="BF347" s="299"/>
      <c r="BG347" s="301"/>
      <c r="BH347" s="301"/>
      <c r="BI347" s="88"/>
      <c r="BJ347" s="298"/>
      <c r="BK347" s="299"/>
      <c r="BL347" s="299"/>
      <c r="BM347" s="301"/>
      <c r="BN347" s="301"/>
      <c r="BO347" s="88"/>
      <c r="BP347" s="9"/>
      <c r="BS347" s="81"/>
      <c r="BT347" s="81"/>
      <c r="BV347" s="9"/>
      <c r="BY347" s="81"/>
      <c r="BZ347" s="81"/>
      <c r="CB347" s="9"/>
      <c r="CE347" s="81"/>
      <c r="CF347" s="81"/>
      <c r="CH347" s="9"/>
      <c r="CK347" s="81"/>
      <c r="CL347" s="81"/>
      <c r="CR347" s="9"/>
      <c r="CS347" s="9"/>
      <c r="CT347" s="9"/>
      <c r="CU347" s="9"/>
      <c r="CV347" s="9"/>
      <c r="CW347" s="129"/>
      <c r="CX347" s="9"/>
    </row>
    <row r="348" spans="1:102">
      <c r="A348" s="6" t="str">
        <f t="shared" si="51"/>
        <v>00680998</v>
      </c>
      <c r="B348" s="6" t="s">
        <v>1718</v>
      </c>
      <c r="C348" s="6" t="s">
        <v>2091</v>
      </c>
      <c r="D348" s="6">
        <v>339</v>
      </c>
      <c r="E348" s="6">
        <v>68</v>
      </c>
      <c r="F348" s="6" t="s">
        <v>1547</v>
      </c>
      <c r="G348" s="6">
        <v>998</v>
      </c>
      <c r="H348" s="6" t="s">
        <v>1547</v>
      </c>
      <c r="I348" s="33">
        <v>0</v>
      </c>
      <c r="J348" s="88">
        <v>0</v>
      </c>
      <c r="K348" s="89">
        <f t="shared" si="60"/>
        <v>0</v>
      </c>
      <c r="L348" s="88">
        <f>IF(K349&gt;0, K348/K349, 0)</f>
        <v>0</v>
      </c>
      <c r="M348" s="58"/>
      <c r="N348" s="9">
        <f>ROUND(M349*L348,0)</f>
        <v>0</v>
      </c>
      <c r="O348" s="9">
        <v>0</v>
      </c>
      <c r="P348" s="9">
        <f>N348-O348</f>
        <v>0</v>
      </c>
      <c r="Q348" s="40">
        <f t="shared" si="59"/>
        <v>0</v>
      </c>
      <c r="R348" s="9">
        <v>0</v>
      </c>
      <c r="S348" s="9">
        <f t="shared" si="57"/>
        <v>0</v>
      </c>
      <c r="T348" s="90">
        <f t="shared" si="52"/>
        <v>68</v>
      </c>
      <c r="U348" s="90">
        <f t="shared" si="53"/>
        <v>998</v>
      </c>
      <c r="V348" s="373">
        <f t="shared" si="54"/>
        <v>339</v>
      </c>
      <c r="W348" s="90">
        <f t="shared" si="55"/>
        <v>0</v>
      </c>
      <c r="X348" s="90">
        <f t="shared" si="56"/>
        <v>0</v>
      </c>
      <c r="Y348" s="141">
        <f t="shared" si="58"/>
        <v>339</v>
      </c>
      <c r="Z348" s="298">
        <v>68</v>
      </c>
      <c r="AA348" s="299">
        <v>998</v>
      </c>
      <c r="AB348" s="299">
        <v>339</v>
      </c>
      <c r="AC348" s="301">
        <v>0</v>
      </c>
      <c r="AD348" s="301">
        <v>0</v>
      </c>
      <c r="AE348" s="126"/>
      <c r="AF348" s="298"/>
      <c r="AG348" s="299"/>
      <c r="AH348" s="299"/>
      <c r="AI348" s="301"/>
      <c r="AJ348" s="301"/>
      <c r="AK348" s="426"/>
      <c r="AL348" s="298"/>
      <c r="AM348" s="299"/>
      <c r="AN348" s="299"/>
      <c r="AO348" s="301"/>
      <c r="AP348" s="301"/>
      <c r="AQ348" s="426"/>
      <c r="AR348" s="298"/>
      <c r="AS348" s="299"/>
      <c r="AT348" s="299"/>
      <c r="AU348" s="301"/>
      <c r="AV348" s="301"/>
      <c r="AW348" s="88"/>
      <c r="AX348" s="298"/>
      <c r="AY348" s="299"/>
      <c r="AZ348" s="299"/>
      <c r="BA348" s="301"/>
      <c r="BB348" s="301"/>
      <c r="BC348" s="426"/>
      <c r="BD348" s="298"/>
      <c r="BE348" s="299"/>
      <c r="BF348" s="299"/>
      <c r="BG348" s="301"/>
      <c r="BH348" s="301"/>
      <c r="BI348" s="88"/>
      <c r="BJ348" s="298"/>
      <c r="BK348" s="299"/>
      <c r="BL348" s="299"/>
      <c r="BM348" s="301"/>
      <c r="BN348" s="301"/>
      <c r="BO348" s="88"/>
      <c r="BP348" s="9"/>
      <c r="BS348" s="81"/>
      <c r="BT348" s="81"/>
      <c r="BV348" s="9"/>
      <c r="BY348" s="81"/>
      <c r="BZ348" s="81"/>
      <c r="CB348" s="9"/>
      <c r="CE348" s="81"/>
      <c r="CF348" s="81"/>
      <c r="CH348" s="9"/>
      <c r="CK348" s="81"/>
      <c r="CL348" s="81"/>
      <c r="CR348" s="9"/>
      <c r="CS348" s="9"/>
      <c r="CT348" s="9"/>
      <c r="CU348" s="9"/>
      <c r="CV348" s="9"/>
      <c r="CW348" s="129"/>
      <c r="CX348" s="9"/>
    </row>
    <row r="349" spans="1:102">
      <c r="A349" s="6" t="str">
        <f t="shared" si="51"/>
        <v>00680999</v>
      </c>
      <c r="B349" s="6" t="s">
        <v>1718</v>
      </c>
      <c r="C349" s="6" t="s">
        <v>2092</v>
      </c>
      <c r="D349" s="6">
        <v>340</v>
      </c>
      <c r="E349" s="10">
        <v>68</v>
      </c>
      <c r="F349" s="10" t="s">
        <v>1187</v>
      </c>
      <c r="G349" s="10">
        <v>999</v>
      </c>
      <c r="H349" s="10" t="s">
        <v>593</v>
      </c>
      <c r="I349" s="92">
        <v>2331265.9722082163</v>
      </c>
      <c r="J349" s="472">
        <v>0.99999999999999989</v>
      </c>
      <c r="K349" s="53">
        <f>SUM(K345:K348)</f>
        <v>2365823.195034733</v>
      </c>
      <c r="L349" s="91">
        <f>SUM(L345:L348)</f>
        <v>1</v>
      </c>
      <c r="M349" s="79">
        <f>VLOOKUP(E349,town351,24)</f>
        <v>1951804</v>
      </c>
      <c r="N349" s="79">
        <f>SUM(N345:N348)</f>
        <v>1951804</v>
      </c>
      <c r="O349" s="79">
        <v>1923294</v>
      </c>
      <c r="P349" s="79">
        <f>SUM(P345:P348)</f>
        <v>28510</v>
      </c>
      <c r="Q349" s="39">
        <f t="shared" si="59"/>
        <v>1.4823526720303812</v>
      </c>
      <c r="R349" s="9">
        <v>160.17453798703997</v>
      </c>
      <c r="S349" s="9">
        <f t="shared" si="57"/>
        <v>161.18029350429998</v>
      </c>
      <c r="T349" s="90">
        <f t="shared" si="52"/>
        <v>68</v>
      </c>
      <c r="U349" s="90">
        <f t="shared" si="53"/>
        <v>999</v>
      </c>
      <c r="V349" s="373">
        <f t="shared" si="54"/>
        <v>340</v>
      </c>
      <c r="W349" s="90">
        <f t="shared" si="55"/>
        <v>161.18029350429998</v>
      </c>
      <c r="X349" s="90">
        <f t="shared" si="56"/>
        <v>2365823.195034733</v>
      </c>
      <c r="Y349" s="141">
        <f t="shared" si="58"/>
        <v>340</v>
      </c>
      <c r="Z349" s="298">
        <v>68</v>
      </c>
      <c r="AA349" s="299">
        <v>999</v>
      </c>
      <c r="AB349" s="299">
        <v>340</v>
      </c>
      <c r="AC349" s="301">
        <v>161.18029350429998</v>
      </c>
      <c r="AD349" s="301">
        <v>2365823.195034733</v>
      </c>
      <c r="AE349" s="126"/>
      <c r="AF349" s="298"/>
      <c r="AG349" s="299"/>
      <c r="AH349" s="299"/>
      <c r="AI349" s="301"/>
      <c r="AJ349" s="301"/>
      <c r="AK349" s="426"/>
      <c r="AL349" s="298"/>
      <c r="AM349" s="299"/>
      <c r="AN349" s="299"/>
      <c r="AO349" s="301"/>
      <c r="AP349" s="301"/>
      <c r="AQ349" s="426"/>
      <c r="AR349" s="298"/>
      <c r="AS349" s="299"/>
      <c r="AT349" s="299"/>
      <c r="AU349" s="301"/>
      <c r="AV349" s="301"/>
      <c r="AW349" s="91"/>
      <c r="AX349" s="298"/>
      <c r="AY349" s="299"/>
      <c r="AZ349" s="299"/>
      <c r="BA349" s="301"/>
      <c r="BB349" s="301"/>
      <c r="BC349" s="426"/>
      <c r="BD349" s="298"/>
      <c r="BE349" s="299"/>
      <c r="BF349" s="299"/>
      <c r="BG349" s="301"/>
      <c r="BH349" s="301"/>
      <c r="BI349" s="91"/>
      <c r="BJ349" s="298"/>
      <c r="BK349" s="299"/>
      <c r="BL349" s="299"/>
      <c r="BM349" s="301"/>
      <c r="BN349" s="301"/>
      <c r="BO349" s="91"/>
      <c r="BP349" s="9"/>
      <c r="BS349" s="81"/>
      <c r="BT349" s="81"/>
      <c r="BV349" s="9"/>
      <c r="BY349" s="81"/>
      <c r="BZ349" s="81"/>
      <c r="CB349" s="9"/>
      <c r="CE349" s="81"/>
      <c r="CF349" s="81"/>
      <c r="CH349" s="9"/>
      <c r="CK349" s="81"/>
      <c r="CL349" s="81"/>
      <c r="CR349" s="9"/>
      <c r="CS349" s="9"/>
      <c r="CT349" s="9"/>
      <c r="CU349" s="9"/>
      <c r="CV349" s="9"/>
      <c r="CW349" s="129"/>
      <c r="CX349" s="9"/>
    </row>
    <row r="350" spans="1:102">
      <c r="A350" s="6" t="str">
        <f t="shared" si="51"/>
        <v>00690069</v>
      </c>
      <c r="B350" s="6" t="s">
        <v>1719</v>
      </c>
      <c r="C350" s="6" t="s">
        <v>1719</v>
      </c>
      <c r="D350" s="6">
        <v>341</v>
      </c>
      <c r="E350" s="6">
        <v>69</v>
      </c>
      <c r="F350" s="6" t="s">
        <v>1188</v>
      </c>
      <c r="G350" s="6">
        <v>69</v>
      </c>
      <c r="H350" s="6" t="s">
        <v>750</v>
      </c>
      <c r="I350" s="33">
        <v>98944.56</v>
      </c>
      <c r="J350" s="88">
        <v>0.12550348984374107</v>
      </c>
      <c r="K350" s="89">
        <f>X350</f>
        <v>84301.650000000009</v>
      </c>
      <c r="L350" s="88">
        <f>IF(K354&gt;0, K350/K354, 0)</f>
        <v>0.10614305438730257</v>
      </c>
      <c r="M350" s="58"/>
      <c r="N350" s="9">
        <f>ROUND(M354*L350,0)</f>
        <v>69549</v>
      </c>
      <c r="O350" s="9">
        <v>81629</v>
      </c>
      <c r="P350" s="9">
        <f>N350-O350</f>
        <v>-12080</v>
      </c>
      <c r="Q350" s="40">
        <f t="shared" si="59"/>
        <v>-14.798662240135245</v>
      </c>
      <c r="R350" s="9">
        <v>6</v>
      </c>
      <c r="S350" s="9">
        <f t="shared" si="57"/>
        <v>5</v>
      </c>
      <c r="T350" s="90">
        <f t="shared" si="52"/>
        <v>69</v>
      </c>
      <c r="U350" s="90">
        <f t="shared" si="53"/>
        <v>69</v>
      </c>
      <c r="V350" s="373">
        <f t="shared" si="54"/>
        <v>341</v>
      </c>
      <c r="W350" s="90">
        <f t="shared" si="55"/>
        <v>5</v>
      </c>
      <c r="X350" s="90">
        <f t="shared" si="56"/>
        <v>84301.650000000009</v>
      </c>
      <c r="Y350" s="141">
        <f t="shared" si="58"/>
        <v>341</v>
      </c>
      <c r="Z350" s="298">
        <v>69</v>
      </c>
      <c r="AA350" s="299">
        <v>69</v>
      </c>
      <c r="AB350" s="299">
        <v>341</v>
      </c>
      <c r="AC350" s="301">
        <v>5</v>
      </c>
      <c r="AD350" s="301">
        <v>84301.650000000009</v>
      </c>
      <c r="AE350" s="126"/>
      <c r="AF350" s="298"/>
      <c r="AG350" s="299"/>
      <c r="AH350" s="299"/>
      <c r="AI350" s="301"/>
      <c r="AJ350" s="301"/>
      <c r="AK350" s="426"/>
      <c r="AL350" s="298"/>
      <c r="AM350" s="299"/>
      <c r="AN350" s="299"/>
      <c r="AO350" s="301"/>
      <c r="AP350" s="301"/>
      <c r="AQ350" s="426"/>
      <c r="AR350" s="298"/>
      <c r="AS350" s="299"/>
      <c r="AT350" s="299"/>
      <c r="AU350" s="301"/>
      <c r="AV350" s="301"/>
      <c r="AW350" s="88"/>
      <c r="AX350" s="298"/>
      <c r="AY350" s="299"/>
      <c r="AZ350" s="299"/>
      <c r="BA350" s="301"/>
      <c r="BB350" s="301"/>
      <c r="BC350" s="426"/>
      <c r="BD350" s="298"/>
      <c r="BE350" s="299"/>
      <c r="BF350" s="299"/>
      <c r="BG350" s="301"/>
      <c r="BH350" s="301"/>
      <c r="BI350" s="88"/>
      <c r="BJ350" s="298"/>
      <c r="BK350" s="299"/>
      <c r="BL350" s="299"/>
      <c r="BM350" s="301"/>
      <c r="BN350" s="301"/>
      <c r="BO350" s="88"/>
      <c r="BP350" s="9"/>
      <c r="BS350" s="81"/>
      <c r="BT350" s="81"/>
      <c r="BV350" s="9"/>
      <c r="BY350" s="81"/>
      <c r="BZ350" s="81"/>
      <c r="CB350" s="9"/>
      <c r="CE350" s="81"/>
      <c r="CF350" s="81"/>
      <c r="CH350" s="9"/>
      <c r="CK350" s="81"/>
      <c r="CL350" s="81"/>
      <c r="CR350" s="9"/>
      <c r="CS350" s="9"/>
      <c r="CT350" s="9"/>
      <c r="CU350" s="9"/>
      <c r="CV350" s="9"/>
      <c r="CW350" s="129"/>
      <c r="CX350" s="9"/>
    </row>
    <row r="351" spans="1:102">
      <c r="A351" s="6" t="str">
        <f t="shared" si="51"/>
        <v>00690635</v>
      </c>
      <c r="B351" s="6" t="s">
        <v>1719</v>
      </c>
      <c r="C351" s="6" t="s">
        <v>2015</v>
      </c>
      <c r="D351" s="6">
        <v>342</v>
      </c>
      <c r="E351" s="6">
        <v>69</v>
      </c>
      <c r="F351" s="6" t="s">
        <v>1188</v>
      </c>
      <c r="G351" s="6">
        <v>635</v>
      </c>
      <c r="H351" s="6" t="s">
        <v>1045</v>
      </c>
      <c r="I351" s="33">
        <v>689436.38560710277</v>
      </c>
      <c r="J351" s="88">
        <v>0.87449651015625895</v>
      </c>
      <c r="K351" s="89">
        <f t="shared" si="60"/>
        <v>709925.07059533882</v>
      </c>
      <c r="L351" s="88">
        <f>IF(K354&gt;0, K351/K354, 0)</f>
        <v>0.89385694561269746</v>
      </c>
      <c r="M351" s="58"/>
      <c r="N351" s="9">
        <f>ROUND(M354*L351,0)</f>
        <v>585688</v>
      </c>
      <c r="O351" s="9">
        <v>568785</v>
      </c>
      <c r="P351" s="9">
        <f>N351-O351</f>
        <v>16903</v>
      </c>
      <c r="Q351" s="40">
        <f t="shared" si="59"/>
        <v>2.9717731656073911</v>
      </c>
      <c r="R351" s="9">
        <v>48.205061650120001</v>
      </c>
      <c r="S351" s="9">
        <f t="shared" si="57"/>
        <v>48.242268043600006</v>
      </c>
      <c r="T351" s="90">
        <f t="shared" si="52"/>
        <v>69</v>
      </c>
      <c r="U351" s="90">
        <f t="shared" si="53"/>
        <v>635</v>
      </c>
      <c r="V351" s="373">
        <f t="shared" si="54"/>
        <v>342</v>
      </c>
      <c r="W351" s="90">
        <f t="shared" si="55"/>
        <v>48.242268043600006</v>
      </c>
      <c r="X351" s="90">
        <f t="shared" si="56"/>
        <v>709925.07059533882</v>
      </c>
      <c r="Y351" s="141">
        <f t="shared" si="58"/>
        <v>342</v>
      </c>
      <c r="Z351" s="298">
        <v>69</v>
      </c>
      <c r="AA351" s="299">
        <v>635</v>
      </c>
      <c r="AB351" s="299">
        <v>342</v>
      </c>
      <c r="AC351" s="301">
        <v>48.242268043600006</v>
      </c>
      <c r="AD351" s="301">
        <v>709925.07059533882</v>
      </c>
      <c r="AE351" s="126"/>
      <c r="AF351" s="298"/>
      <c r="AG351" s="299"/>
      <c r="AH351" s="299"/>
      <c r="AI351" s="301"/>
      <c r="AJ351" s="301"/>
      <c r="AK351" s="426"/>
      <c r="AL351" s="298"/>
      <c r="AM351" s="299"/>
      <c r="AN351" s="299"/>
      <c r="AO351" s="301"/>
      <c r="AP351" s="301"/>
      <c r="AQ351" s="426"/>
      <c r="AR351" s="298"/>
      <c r="AS351" s="299"/>
      <c r="AT351" s="299"/>
      <c r="AU351" s="301"/>
      <c r="AV351" s="301"/>
      <c r="AW351" s="88"/>
      <c r="AX351" s="298"/>
      <c r="AY351" s="299"/>
      <c r="AZ351" s="299"/>
      <c r="BA351" s="301"/>
      <c r="BB351" s="301"/>
      <c r="BC351" s="426"/>
      <c r="BD351" s="298"/>
      <c r="BE351" s="299"/>
      <c r="BF351" s="299"/>
      <c r="BG351" s="301"/>
      <c r="BH351" s="301"/>
      <c r="BI351" s="88"/>
      <c r="BJ351" s="298"/>
      <c r="BK351" s="299"/>
      <c r="BL351" s="299"/>
      <c r="BM351" s="301"/>
      <c r="BN351" s="301"/>
      <c r="BO351" s="88"/>
      <c r="BP351" s="9"/>
      <c r="BS351" s="81"/>
      <c r="BT351" s="81"/>
      <c r="BV351" s="9"/>
      <c r="BY351" s="81"/>
      <c r="BZ351" s="81"/>
      <c r="CB351" s="9"/>
      <c r="CE351" s="81"/>
      <c r="CF351" s="81"/>
      <c r="CH351" s="9"/>
      <c r="CK351" s="81"/>
      <c r="CL351" s="81"/>
      <c r="CR351" s="9"/>
      <c r="CS351" s="9"/>
      <c r="CT351" s="9"/>
      <c r="CU351" s="9"/>
      <c r="CV351" s="9"/>
      <c r="CW351" s="129"/>
      <c r="CX351" s="9"/>
    </row>
    <row r="352" spans="1:102">
      <c r="A352" s="6" t="str">
        <f t="shared" si="51"/>
        <v>00690998</v>
      </c>
      <c r="B352" s="6" t="s">
        <v>1719</v>
      </c>
      <c r="C352" s="6" t="s">
        <v>2091</v>
      </c>
      <c r="D352" s="6">
        <v>343</v>
      </c>
      <c r="E352" s="6">
        <v>69</v>
      </c>
      <c r="F352" s="6" t="s">
        <v>1547</v>
      </c>
      <c r="G352" s="6">
        <v>998</v>
      </c>
      <c r="H352" s="6" t="s">
        <v>1547</v>
      </c>
      <c r="I352" s="33">
        <v>0</v>
      </c>
      <c r="J352" s="88">
        <v>0</v>
      </c>
      <c r="K352" s="89">
        <f t="shared" si="60"/>
        <v>0</v>
      </c>
      <c r="L352" s="88">
        <f>IF(K354&gt;0, K352/K354, 0)</f>
        <v>0</v>
      </c>
      <c r="M352" s="58"/>
      <c r="N352" s="9">
        <f>ROUND(M354*L352,0)</f>
        <v>0</v>
      </c>
      <c r="O352" s="9">
        <v>0</v>
      </c>
      <c r="P352" s="9">
        <f>N352-O352</f>
        <v>0</v>
      </c>
      <c r="Q352" s="40">
        <f t="shared" si="59"/>
        <v>0</v>
      </c>
      <c r="R352" s="9">
        <v>0</v>
      </c>
      <c r="S352" s="9">
        <f t="shared" si="57"/>
        <v>0</v>
      </c>
      <c r="T352" s="90">
        <f t="shared" si="52"/>
        <v>69</v>
      </c>
      <c r="U352" s="90">
        <f t="shared" si="53"/>
        <v>998</v>
      </c>
      <c r="V352" s="373">
        <f t="shared" si="54"/>
        <v>343</v>
      </c>
      <c r="W352" s="90">
        <f t="shared" si="55"/>
        <v>0</v>
      </c>
      <c r="X352" s="90">
        <f t="shared" si="56"/>
        <v>0</v>
      </c>
      <c r="Y352" s="141">
        <f t="shared" si="58"/>
        <v>343</v>
      </c>
      <c r="Z352" s="298">
        <v>69</v>
      </c>
      <c r="AA352" s="299">
        <v>998</v>
      </c>
      <c r="AB352" s="299">
        <v>343</v>
      </c>
      <c r="AC352" s="301">
        <v>0</v>
      </c>
      <c r="AD352" s="301">
        <v>0</v>
      </c>
      <c r="AE352" s="126"/>
      <c r="AF352" s="298"/>
      <c r="AG352" s="299"/>
      <c r="AH352" s="299"/>
      <c r="AI352" s="301"/>
      <c r="AJ352" s="301"/>
      <c r="AK352" s="426"/>
      <c r="AL352" s="298"/>
      <c r="AM352" s="299"/>
      <c r="AN352" s="299"/>
      <c r="AO352" s="301"/>
      <c r="AP352" s="301"/>
      <c r="AQ352" s="426"/>
      <c r="AR352" s="298"/>
      <c r="AS352" s="299"/>
      <c r="AT352" s="299"/>
      <c r="AU352" s="301"/>
      <c r="AV352" s="301"/>
      <c r="AW352" s="88"/>
      <c r="AX352" s="298"/>
      <c r="AY352" s="299"/>
      <c r="AZ352" s="299"/>
      <c r="BA352" s="301"/>
      <c r="BB352" s="301"/>
      <c r="BC352" s="426"/>
      <c r="BD352" s="298"/>
      <c r="BE352" s="299"/>
      <c r="BF352" s="299"/>
      <c r="BG352" s="301"/>
      <c r="BH352" s="301"/>
      <c r="BI352" s="88"/>
      <c r="BJ352" s="298"/>
      <c r="BK352" s="299"/>
      <c r="BL352" s="299"/>
      <c r="BM352" s="301"/>
      <c r="BN352" s="301"/>
      <c r="BO352" s="88"/>
      <c r="BP352" s="9"/>
      <c r="BS352" s="81"/>
      <c r="BT352" s="81"/>
      <c r="BV352" s="9"/>
      <c r="BY352" s="81"/>
      <c r="BZ352" s="81"/>
      <c r="CB352" s="9"/>
      <c r="CE352" s="81"/>
      <c r="CF352" s="81"/>
      <c r="CH352" s="9"/>
      <c r="CK352" s="81"/>
      <c r="CL352" s="81"/>
      <c r="CR352" s="9"/>
      <c r="CS352" s="9"/>
      <c r="CT352" s="9"/>
      <c r="CU352" s="9"/>
      <c r="CV352" s="9"/>
      <c r="CW352" s="129"/>
      <c r="CX352" s="9"/>
    </row>
    <row r="353" spans="1:102">
      <c r="A353" s="6" t="str">
        <f t="shared" si="51"/>
        <v>00690998</v>
      </c>
      <c r="B353" s="6" t="s">
        <v>1719</v>
      </c>
      <c r="C353" s="6" t="s">
        <v>2091</v>
      </c>
      <c r="D353" s="6">
        <v>344</v>
      </c>
      <c r="E353" s="6">
        <v>69</v>
      </c>
      <c r="F353" s="6" t="s">
        <v>1547</v>
      </c>
      <c r="G353" s="6">
        <v>998</v>
      </c>
      <c r="H353" s="6" t="s">
        <v>1547</v>
      </c>
      <c r="I353" s="33">
        <v>0</v>
      </c>
      <c r="J353" s="88">
        <v>0</v>
      </c>
      <c r="K353" s="89">
        <f t="shared" si="60"/>
        <v>0</v>
      </c>
      <c r="L353" s="88">
        <f>IF(K354&gt;0, K353/K354, 0)</f>
        <v>0</v>
      </c>
      <c r="M353" s="58"/>
      <c r="N353" s="9">
        <f>ROUND(M354*L353,0)</f>
        <v>0</v>
      </c>
      <c r="O353" s="9">
        <v>0</v>
      </c>
      <c r="P353" s="9">
        <f>N353-O353</f>
        <v>0</v>
      </c>
      <c r="Q353" s="40">
        <f t="shared" si="59"/>
        <v>0</v>
      </c>
      <c r="R353" s="9">
        <v>0</v>
      </c>
      <c r="S353" s="9">
        <f t="shared" si="57"/>
        <v>0</v>
      </c>
      <c r="T353" s="90">
        <f t="shared" si="52"/>
        <v>69</v>
      </c>
      <c r="U353" s="90">
        <f t="shared" si="53"/>
        <v>998</v>
      </c>
      <c r="V353" s="373">
        <f t="shared" si="54"/>
        <v>344</v>
      </c>
      <c r="W353" s="90">
        <f t="shared" si="55"/>
        <v>0</v>
      </c>
      <c r="X353" s="90">
        <f t="shared" si="56"/>
        <v>0</v>
      </c>
      <c r="Y353" s="141">
        <f t="shared" si="58"/>
        <v>344</v>
      </c>
      <c r="Z353" s="298">
        <v>69</v>
      </c>
      <c r="AA353" s="299">
        <v>998</v>
      </c>
      <c r="AB353" s="299">
        <v>344</v>
      </c>
      <c r="AC353" s="301">
        <v>0</v>
      </c>
      <c r="AD353" s="301">
        <v>0</v>
      </c>
      <c r="AE353" s="126"/>
      <c r="AF353" s="298"/>
      <c r="AG353" s="299"/>
      <c r="AH353" s="299"/>
      <c r="AI353" s="301"/>
      <c r="AJ353" s="301"/>
      <c r="AK353" s="426"/>
      <c r="AL353" s="298"/>
      <c r="AM353" s="299"/>
      <c r="AN353" s="299"/>
      <c r="AO353" s="301"/>
      <c r="AP353" s="301"/>
      <c r="AQ353" s="426"/>
      <c r="AR353" s="298"/>
      <c r="AS353" s="299"/>
      <c r="AT353" s="299"/>
      <c r="AU353" s="301"/>
      <c r="AV353" s="301"/>
      <c r="AW353" s="88"/>
      <c r="AX353" s="298"/>
      <c r="AY353" s="299"/>
      <c r="AZ353" s="299"/>
      <c r="BA353" s="301"/>
      <c r="BB353" s="301"/>
      <c r="BC353" s="426"/>
      <c r="BD353" s="298"/>
      <c r="BE353" s="299"/>
      <c r="BF353" s="299"/>
      <c r="BG353" s="301"/>
      <c r="BH353" s="301"/>
      <c r="BI353" s="88"/>
      <c r="BJ353" s="298"/>
      <c r="BK353" s="299"/>
      <c r="BL353" s="299"/>
      <c r="BM353" s="301"/>
      <c r="BN353" s="301"/>
      <c r="BO353" s="88"/>
      <c r="BP353" s="9"/>
      <c r="BS353" s="81"/>
      <c r="BT353" s="81"/>
      <c r="BV353" s="9"/>
      <c r="BY353" s="81"/>
      <c r="BZ353" s="81"/>
      <c r="CB353" s="9"/>
      <c r="CE353" s="81"/>
      <c r="CF353" s="81"/>
      <c r="CH353" s="9"/>
      <c r="CK353" s="81"/>
      <c r="CL353" s="81"/>
      <c r="CR353" s="9"/>
      <c r="CS353" s="9"/>
      <c r="CT353" s="9"/>
      <c r="CU353" s="9"/>
      <c r="CV353" s="9"/>
      <c r="CW353" s="129"/>
      <c r="CX353" s="9"/>
    </row>
    <row r="354" spans="1:102">
      <c r="A354" s="6" t="str">
        <f t="shared" si="51"/>
        <v>00690999</v>
      </c>
      <c r="B354" s="6" t="s">
        <v>1719</v>
      </c>
      <c r="C354" s="6" t="s">
        <v>2092</v>
      </c>
      <c r="D354" s="6">
        <v>345</v>
      </c>
      <c r="E354" s="10">
        <v>69</v>
      </c>
      <c r="F354" s="10" t="s">
        <v>1188</v>
      </c>
      <c r="G354" s="10">
        <v>999</v>
      </c>
      <c r="H354" s="10" t="s">
        <v>593</v>
      </c>
      <c r="I354" s="92">
        <v>788380.94560710271</v>
      </c>
      <c r="J354" s="472">
        <v>1</v>
      </c>
      <c r="K354" s="53">
        <f>SUM(K350:K353)</f>
        <v>794226.72059533885</v>
      </c>
      <c r="L354" s="91">
        <f>SUM(L350:L353)</f>
        <v>1</v>
      </c>
      <c r="M354" s="79">
        <f>VLOOKUP(E354,town351,24)</f>
        <v>655237</v>
      </c>
      <c r="N354" s="79">
        <f>SUM(N350:N353)</f>
        <v>655237</v>
      </c>
      <c r="O354" s="79">
        <v>650414</v>
      </c>
      <c r="P354" s="79">
        <f>SUM(P350:P353)</f>
        <v>4823</v>
      </c>
      <c r="Q354" s="39">
        <f t="shared" si="59"/>
        <v>0.74152770389321265</v>
      </c>
      <c r="R354" s="9">
        <v>54.205061650120001</v>
      </c>
      <c r="S354" s="9">
        <f t="shared" si="57"/>
        <v>53.242268043600006</v>
      </c>
      <c r="T354" s="90">
        <f t="shared" si="52"/>
        <v>69</v>
      </c>
      <c r="U354" s="90">
        <f t="shared" si="53"/>
        <v>999</v>
      </c>
      <c r="V354" s="373">
        <f t="shared" si="54"/>
        <v>345</v>
      </c>
      <c r="W354" s="90">
        <f t="shared" si="55"/>
        <v>53.242268043600006</v>
      </c>
      <c r="X354" s="90">
        <f t="shared" si="56"/>
        <v>794226.72059533885</v>
      </c>
      <c r="Y354" s="141">
        <f t="shared" si="58"/>
        <v>345</v>
      </c>
      <c r="Z354" s="298">
        <v>69</v>
      </c>
      <c r="AA354" s="299">
        <v>999</v>
      </c>
      <c r="AB354" s="299">
        <v>345</v>
      </c>
      <c r="AC354" s="301">
        <v>53.242268043600006</v>
      </c>
      <c r="AD354" s="301">
        <v>794226.72059533885</v>
      </c>
      <c r="AE354" s="126"/>
      <c r="AF354" s="298"/>
      <c r="AG354" s="299"/>
      <c r="AH354" s="299"/>
      <c r="AI354" s="301"/>
      <c r="AJ354" s="301"/>
      <c r="AK354" s="426"/>
      <c r="AL354" s="298"/>
      <c r="AM354" s="299"/>
      <c r="AN354" s="299"/>
      <c r="AO354" s="301"/>
      <c r="AP354" s="301"/>
      <c r="AQ354" s="426"/>
      <c r="AR354" s="298"/>
      <c r="AS354" s="299"/>
      <c r="AT354" s="299"/>
      <c r="AU354" s="301"/>
      <c r="AV354" s="301"/>
      <c r="AW354" s="91"/>
      <c r="AX354" s="298"/>
      <c r="AY354" s="299"/>
      <c r="AZ354" s="299"/>
      <c r="BA354" s="301"/>
      <c r="BB354" s="301"/>
      <c r="BC354" s="426"/>
      <c r="BD354" s="298"/>
      <c r="BE354" s="299"/>
      <c r="BF354" s="299"/>
      <c r="BG354" s="301"/>
      <c r="BH354" s="301"/>
      <c r="BI354" s="91"/>
      <c r="BJ354" s="298"/>
      <c r="BK354" s="299"/>
      <c r="BL354" s="299"/>
      <c r="BM354" s="301"/>
      <c r="BN354" s="301"/>
      <c r="BO354" s="91"/>
      <c r="BP354" s="9"/>
      <c r="BS354" s="81"/>
      <c r="BT354" s="81"/>
      <c r="BV354" s="9"/>
      <c r="BY354" s="81"/>
      <c r="BZ354" s="81"/>
      <c r="CB354" s="9"/>
      <c r="CE354" s="81"/>
      <c r="CF354" s="81"/>
      <c r="CH354" s="9"/>
      <c r="CK354" s="81"/>
      <c r="CL354" s="81"/>
      <c r="CR354" s="9"/>
      <c r="CS354" s="9"/>
      <c r="CT354" s="9"/>
      <c r="CU354" s="9"/>
      <c r="CV354" s="9"/>
      <c r="CW354" s="129"/>
      <c r="CX354" s="9"/>
    </row>
    <row r="355" spans="1:102">
      <c r="A355" s="6" t="str">
        <f t="shared" si="51"/>
        <v>00700070</v>
      </c>
      <c r="B355" s="6" t="s">
        <v>1720</v>
      </c>
      <c r="C355" s="6" t="s">
        <v>1720</v>
      </c>
      <c r="D355" s="6">
        <v>346</v>
      </c>
      <c r="E355" s="6">
        <v>70</v>
      </c>
      <c r="F355" s="6" t="s">
        <v>1189</v>
      </c>
      <c r="G355" s="6">
        <v>70</v>
      </c>
      <c r="H355" s="6" t="s">
        <v>751</v>
      </c>
      <c r="I355" s="33">
        <v>212169.47999999998</v>
      </c>
      <c r="J355" s="88">
        <v>1.6642498375335629E-2</v>
      </c>
      <c r="K355" s="89">
        <f>X355</f>
        <v>267378.24</v>
      </c>
      <c r="L355" s="88">
        <f>IF(K359&gt;0, K355/K359, 0)</f>
        <v>1.9984531811920104E-2</v>
      </c>
      <c r="M355" s="58"/>
      <c r="N355" s="9">
        <f>ROUND(M359*L355,0)</f>
        <v>121597</v>
      </c>
      <c r="O355" s="9">
        <v>97790</v>
      </c>
      <c r="P355" s="9">
        <f>N355-O355</f>
        <v>23807</v>
      </c>
      <c r="Q355" s="40">
        <f t="shared" si="59"/>
        <v>24.34502505368647</v>
      </c>
      <c r="R355" s="9">
        <v>11</v>
      </c>
      <c r="S355" s="9">
        <f t="shared" si="57"/>
        <v>14</v>
      </c>
      <c r="T355" s="90">
        <f t="shared" si="52"/>
        <v>70</v>
      </c>
      <c r="U355" s="90">
        <f t="shared" si="53"/>
        <v>70</v>
      </c>
      <c r="V355" s="373">
        <f t="shared" si="54"/>
        <v>346</v>
      </c>
      <c r="W355" s="90">
        <f t="shared" si="55"/>
        <v>14</v>
      </c>
      <c r="X355" s="90">
        <f t="shared" si="56"/>
        <v>267378.24</v>
      </c>
      <c r="Y355" s="141">
        <f t="shared" si="58"/>
        <v>346</v>
      </c>
      <c r="Z355" s="298">
        <v>70</v>
      </c>
      <c r="AA355" s="299">
        <v>70</v>
      </c>
      <c r="AB355" s="299">
        <v>346</v>
      </c>
      <c r="AC355" s="301">
        <v>14</v>
      </c>
      <c r="AD355" s="301">
        <v>267378.24</v>
      </c>
      <c r="AE355" s="126"/>
      <c r="AF355" s="298"/>
      <c r="AG355" s="299"/>
      <c r="AH355" s="299"/>
      <c r="AI355" s="301"/>
      <c r="AJ355" s="301"/>
      <c r="AK355" s="426"/>
      <c r="AL355" s="298"/>
      <c r="AM355" s="299"/>
      <c r="AN355" s="299"/>
      <c r="AO355" s="301"/>
      <c r="AP355" s="301"/>
      <c r="AQ355" s="426"/>
      <c r="AR355" s="298"/>
      <c r="AS355" s="299"/>
      <c r="AT355" s="299"/>
      <c r="AU355" s="301"/>
      <c r="AV355" s="301"/>
      <c r="AW355" s="88"/>
      <c r="AX355" s="298"/>
      <c r="AY355" s="299"/>
      <c r="AZ355" s="299"/>
      <c r="BA355" s="301"/>
      <c r="BB355" s="301"/>
      <c r="BC355" s="426"/>
      <c r="BD355" s="298"/>
      <c r="BE355" s="299"/>
      <c r="BF355" s="299"/>
      <c r="BG355" s="301"/>
      <c r="BH355" s="301"/>
      <c r="BI355" s="88"/>
      <c r="BJ355" s="298"/>
      <c r="BK355" s="299"/>
      <c r="BL355" s="299"/>
      <c r="BM355" s="301"/>
      <c r="BN355" s="301"/>
      <c r="BO355" s="88"/>
      <c r="BP355" s="9"/>
      <c r="BS355" s="81"/>
      <c r="BT355" s="81"/>
      <c r="BV355" s="9"/>
      <c r="BY355" s="81"/>
      <c r="BZ355" s="81"/>
      <c r="CB355" s="9"/>
      <c r="CE355" s="81"/>
      <c r="CF355" s="81"/>
      <c r="CH355" s="9"/>
      <c r="CK355" s="81"/>
      <c r="CL355" s="81"/>
      <c r="CR355" s="9"/>
      <c r="CS355" s="9"/>
      <c r="CT355" s="9"/>
      <c r="CU355" s="9"/>
      <c r="CV355" s="9"/>
      <c r="CW355" s="129"/>
      <c r="CX355" s="9"/>
    </row>
    <row r="356" spans="1:102">
      <c r="A356" s="6" t="str">
        <f t="shared" si="51"/>
        <v>00700635</v>
      </c>
      <c r="B356" s="6" t="s">
        <v>1720</v>
      </c>
      <c r="C356" s="6" t="s">
        <v>2015</v>
      </c>
      <c r="D356" s="6">
        <v>347</v>
      </c>
      <c r="E356" s="6">
        <v>70</v>
      </c>
      <c r="F356" s="6" t="s">
        <v>1189</v>
      </c>
      <c r="G356" s="6">
        <v>635</v>
      </c>
      <c r="H356" s="6" t="s">
        <v>1045</v>
      </c>
      <c r="I356" s="33">
        <v>12536486.113347543</v>
      </c>
      <c r="J356" s="88">
        <v>0.98335750162466429</v>
      </c>
      <c r="K356" s="89">
        <f t="shared" si="60"/>
        <v>13111881.405228106</v>
      </c>
      <c r="L356" s="88">
        <f>IF(K359&gt;0, K356/K359, 0)</f>
        <v>0.98001546818807983</v>
      </c>
      <c r="M356" s="58"/>
      <c r="N356" s="9">
        <f>ROUND(M359*L356,0)</f>
        <v>5962936</v>
      </c>
      <c r="O356" s="9">
        <v>5778147</v>
      </c>
      <c r="P356" s="9">
        <f>N356-O356</f>
        <v>184789</v>
      </c>
      <c r="Q356" s="40">
        <f t="shared" si="59"/>
        <v>3.1980667850783306</v>
      </c>
      <c r="R356" s="9">
        <v>876.54510058623998</v>
      </c>
      <c r="S356" s="9">
        <f t="shared" si="57"/>
        <v>891.00515463760007</v>
      </c>
      <c r="T356" s="90">
        <f t="shared" si="52"/>
        <v>70</v>
      </c>
      <c r="U356" s="90">
        <f t="shared" si="53"/>
        <v>635</v>
      </c>
      <c r="V356" s="373">
        <f t="shared" si="54"/>
        <v>347</v>
      </c>
      <c r="W356" s="90">
        <f t="shared" si="55"/>
        <v>891.00515463760007</v>
      </c>
      <c r="X356" s="90">
        <f t="shared" si="56"/>
        <v>13111881.405228106</v>
      </c>
      <c r="Y356" s="141">
        <f t="shared" si="58"/>
        <v>347</v>
      </c>
      <c r="Z356" s="298">
        <v>70</v>
      </c>
      <c r="AA356" s="299">
        <v>635</v>
      </c>
      <c r="AB356" s="299">
        <v>347</v>
      </c>
      <c r="AC356" s="301">
        <v>891.00515463760007</v>
      </c>
      <c r="AD356" s="301">
        <v>13111881.405228106</v>
      </c>
      <c r="AE356" s="126"/>
      <c r="AF356" s="298"/>
      <c r="AG356" s="299"/>
      <c r="AH356" s="299"/>
      <c r="AI356" s="301"/>
      <c r="AJ356" s="301"/>
      <c r="AK356" s="426"/>
      <c r="AL356" s="298"/>
      <c r="AM356" s="299"/>
      <c r="AN356" s="299"/>
      <c r="AO356" s="301"/>
      <c r="AP356" s="301"/>
      <c r="AQ356" s="426"/>
      <c r="AR356" s="298"/>
      <c r="AS356" s="299"/>
      <c r="AT356" s="299"/>
      <c r="AU356" s="301"/>
      <c r="AV356" s="301"/>
      <c r="AW356" s="88"/>
      <c r="AX356" s="298"/>
      <c r="AY356" s="299"/>
      <c r="AZ356" s="299"/>
      <c r="BA356" s="301"/>
      <c r="BB356" s="301"/>
      <c r="BC356" s="426"/>
      <c r="BD356" s="298"/>
      <c r="BE356" s="299"/>
      <c r="BF356" s="299"/>
      <c r="BG356" s="301"/>
      <c r="BH356" s="301"/>
      <c r="BI356" s="88"/>
      <c r="BJ356" s="298"/>
      <c r="BK356" s="299"/>
      <c r="BL356" s="299"/>
      <c r="BM356" s="301"/>
      <c r="BN356" s="301"/>
      <c r="BO356" s="88"/>
      <c r="BP356" s="9"/>
      <c r="BS356" s="81"/>
      <c r="BT356" s="81"/>
      <c r="BV356" s="9"/>
      <c r="BY356" s="81"/>
      <c r="BZ356" s="81"/>
      <c r="CB356" s="9"/>
      <c r="CE356" s="81"/>
      <c r="CF356" s="81"/>
      <c r="CH356" s="9"/>
      <c r="CK356" s="81"/>
      <c r="CL356" s="81"/>
      <c r="CR356" s="9"/>
      <c r="CS356" s="9"/>
      <c r="CT356" s="9"/>
      <c r="CU356" s="9"/>
      <c r="CV356" s="9"/>
      <c r="CW356" s="129"/>
      <c r="CX356" s="9"/>
    </row>
    <row r="357" spans="1:102">
      <c r="A357" s="6" t="str">
        <f t="shared" si="51"/>
        <v>00700998</v>
      </c>
      <c r="B357" s="6" t="s">
        <v>1720</v>
      </c>
      <c r="C357" s="6" t="s">
        <v>2091</v>
      </c>
      <c r="D357" s="6">
        <v>348</v>
      </c>
      <c r="E357" s="6">
        <v>70</v>
      </c>
      <c r="F357" s="6" t="s">
        <v>1547</v>
      </c>
      <c r="G357" s="6">
        <v>998</v>
      </c>
      <c r="H357" s="6" t="s">
        <v>1547</v>
      </c>
      <c r="I357" s="33">
        <v>0</v>
      </c>
      <c r="J357" s="88">
        <v>0</v>
      </c>
      <c r="K357" s="89">
        <f t="shared" si="60"/>
        <v>0</v>
      </c>
      <c r="L357" s="88">
        <f>IF(K359&gt;0, K357/K359, 0)</f>
        <v>0</v>
      </c>
      <c r="M357" s="58"/>
      <c r="N357" s="9">
        <f>ROUND(M359*L357,0)</f>
        <v>0</v>
      </c>
      <c r="O357" s="9">
        <v>0</v>
      </c>
      <c r="P357" s="9">
        <f>N357-O357</f>
        <v>0</v>
      </c>
      <c r="Q357" s="40">
        <f t="shared" si="59"/>
        <v>0</v>
      </c>
      <c r="R357" s="9">
        <v>0</v>
      </c>
      <c r="S357" s="9">
        <f t="shared" si="57"/>
        <v>0</v>
      </c>
      <c r="T357" s="90">
        <f t="shared" si="52"/>
        <v>70</v>
      </c>
      <c r="U357" s="90">
        <f t="shared" si="53"/>
        <v>998</v>
      </c>
      <c r="V357" s="373">
        <f t="shared" si="54"/>
        <v>348</v>
      </c>
      <c r="W357" s="90">
        <f t="shared" si="55"/>
        <v>0</v>
      </c>
      <c r="X357" s="90">
        <f t="shared" si="56"/>
        <v>0</v>
      </c>
      <c r="Y357" s="141">
        <f t="shared" si="58"/>
        <v>348</v>
      </c>
      <c r="Z357" s="298">
        <v>70</v>
      </c>
      <c r="AA357" s="299">
        <v>998</v>
      </c>
      <c r="AB357" s="299">
        <v>348</v>
      </c>
      <c r="AC357" s="301">
        <v>0</v>
      </c>
      <c r="AD357" s="301">
        <v>0</v>
      </c>
      <c r="AE357" s="126"/>
      <c r="AF357" s="298"/>
      <c r="AG357" s="299"/>
      <c r="AH357" s="299"/>
      <c r="AI357" s="301"/>
      <c r="AJ357" s="301"/>
      <c r="AK357" s="426"/>
      <c r="AL357" s="298"/>
      <c r="AM357" s="299"/>
      <c r="AN357" s="299"/>
      <c r="AO357" s="301"/>
      <c r="AP357" s="301"/>
      <c r="AQ357" s="426"/>
      <c r="AR357" s="298"/>
      <c r="AS357" s="299"/>
      <c r="AT357" s="299"/>
      <c r="AU357" s="301"/>
      <c r="AV357" s="301"/>
      <c r="AW357" s="88"/>
      <c r="AX357" s="298"/>
      <c r="AY357" s="299"/>
      <c r="AZ357" s="299"/>
      <c r="BA357" s="301"/>
      <c r="BB357" s="301"/>
      <c r="BC357" s="426"/>
      <c r="BD357" s="298"/>
      <c r="BE357" s="299"/>
      <c r="BF357" s="299"/>
      <c r="BG357" s="301"/>
      <c r="BH357" s="301"/>
      <c r="BI357" s="88"/>
      <c r="BJ357" s="298"/>
      <c r="BK357" s="299"/>
      <c r="BL357" s="299"/>
      <c r="BM357" s="301"/>
      <c r="BN357" s="301"/>
      <c r="BO357" s="88"/>
      <c r="BP357" s="9"/>
      <c r="BS357" s="81"/>
      <c r="BT357" s="81"/>
      <c r="BV357" s="9"/>
      <c r="BY357" s="81"/>
      <c r="BZ357" s="81"/>
      <c r="CB357" s="9"/>
      <c r="CE357" s="81"/>
      <c r="CF357" s="81"/>
      <c r="CH357" s="9"/>
      <c r="CK357" s="81"/>
      <c r="CL357" s="81"/>
      <c r="CR357" s="9"/>
      <c r="CS357" s="9"/>
      <c r="CT357" s="9"/>
      <c r="CU357" s="9"/>
      <c r="CV357" s="9"/>
      <c r="CW357" s="129"/>
      <c r="CX357" s="9"/>
    </row>
    <row r="358" spans="1:102">
      <c r="A358" s="6" t="str">
        <f t="shared" si="51"/>
        <v>00700998</v>
      </c>
      <c r="B358" s="6" t="s">
        <v>1720</v>
      </c>
      <c r="C358" s="6" t="s">
        <v>2091</v>
      </c>
      <c r="D358" s="6">
        <v>349</v>
      </c>
      <c r="E358" s="6">
        <v>70</v>
      </c>
      <c r="F358" s="6" t="s">
        <v>1547</v>
      </c>
      <c r="G358" s="6">
        <v>998</v>
      </c>
      <c r="H358" s="6" t="s">
        <v>1547</v>
      </c>
      <c r="I358" s="33">
        <v>0</v>
      </c>
      <c r="J358" s="88">
        <v>0</v>
      </c>
      <c r="K358" s="89">
        <f t="shared" si="60"/>
        <v>0</v>
      </c>
      <c r="L358" s="88">
        <f>IF(K359&gt;0, K358/K359, 0)</f>
        <v>0</v>
      </c>
      <c r="M358" s="58"/>
      <c r="N358" s="9">
        <f>ROUND(M359*L358,0)</f>
        <v>0</v>
      </c>
      <c r="O358" s="9">
        <v>0</v>
      </c>
      <c r="P358" s="9">
        <f>N358-O358</f>
        <v>0</v>
      </c>
      <c r="Q358" s="40">
        <f t="shared" si="59"/>
        <v>0</v>
      </c>
      <c r="R358" s="9">
        <v>0</v>
      </c>
      <c r="S358" s="9">
        <f t="shared" si="57"/>
        <v>0</v>
      </c>
      <c r="T358" s="90">
        <f t="shared" si="52"/>
        <v>70</v>
      </c>
      <c r="U358" s="90">
        <f t="shared" si="53"/>
        <v>998</v>
      </c>
      <c r="V358" s="373">
        <f t="shared" si="54"/>
        <v>349</v>
      </c>
      <c r="W358" s="90">
        <f t="shared" si="55"/>
        <v>0</v>
      </c>
      <c r="X358" s="90">
        <f t="shared" si="56"/>
        <v>0</v>
      </c>
      <c r="Y358" s="141">
        <f t="shared" si="58"/>
        <v>349</v>
      </c>
      <c r="Z358" s="298">
        <v>70</v>
      </c>
      <c r="AA358" s="299">
        <v>998</v>
      </c>
      <c r="AB358" s="299">
        <v>349</v>
      </c>
      <c r="AC358" s="301">
        <v>0</v>
      </c>
      <c r="AD358" s="301">
        <v>0</v>
      </c>
      <c r="AE358" s="126"/>
      <c r="AF358" s="298"/>
      <c r="AG358" s="299"/>
      <c r="AH358" s="299"/>
      <c r="AI358" s="301"/>
      <c r="AJ358" s="301"/>
      <c r="AK358" s="426"/>
      <c r="AL358" s="298"/>
      <c r="AM358" s="299"/>
      <c r="AN358" s="299"/>
      <c r="AO358" s="301"/>
      <c r="AP358" s="301"/>
      <c r="AQ358" s="426"/>
      <c r="AR358" s="298"/>
      <c r="AS358" s="299"/>
      <c r="AT358" s="299"/>
      <c r="AU358" s="301"/>
      <c r="AV358" s="301"/>
      <c r="AW358" s="88"/>
      <c r="AX358" s="298"/>
      <c r="AY358" s="299"/>
      <c r="AZ358" s="299"/>
      <c r="BA358" s="301"/>
      <c r="BB358" s="301"/>
      <c r="BC358" s="426"/>
      <c r="BD358" s="298"/>
      <c r="BE358" s="299"/>
      <c r="BF358" s="299"/>
      <c r="BG358" s="301"/>
      <c r="BH358" s="301"/>
      <c r="BI358" s="88"/>
      <c r="BJ358" s="298"/>
      <c r="BK358" s="299"/>
      <c r="BL358" s="299"/>
      <c r="BM358" s="301"/>
      <c r="BN358" s="301"/>
      <c r="BO358" s="88"/>
      <c r="BP358" s="9"/>
      <c r="BS358" s="81"/>
      <c r="BT358" s="81"/>
      <c r="BV358" s="9"/>
      <c r="BY358" s="81"/>
      <c r="BZ358" s="81"/>
      <c r="CB358" s="9"/>
      <c r="CE358" s="81"/>
      <c r="CF358" s="81"/>
      <c r="CH358" s="9"/>
      <c r="CK358" s="81"/>
      <c r="CL358" s="81"/>
      <c r="CR358" s="9"/>
      <c r="CS358" s="9"/>
      <c r="CT358" s="9"/>
      <c r="CU358" s="9"/>
      <c r="CV358" s="9"/>
      <c r="CW358" s="129"/>
      <c r="CX358" s="9"/>
    </row>
    <row r="359" spans="1:102">
      <c r="A359" s="6" t="str">
        <f t="shared" si="51"/>
        <v>00700999</v>
      </c>
      <c r="B359" s="6" t="s">
        <v>1720</v>
      </c>
      <c r="C359" s="6" t="s">
        <v>2092</v>
      </c>
      <c r="D359" s="6">
        <v>350</v>
      </c>
      <c r="E359" s="10">
        <v>70</v>
      </c>
      <c r="F359" s="10" t="s">
        <v>1189</v>
      </c>
      <c r="G359" s="10">
        <v>999</v>
      </c>
      <c r="H359" s="10" t="s">
        <v>593</v>
      </c>
      <c r="I359" s="92">
        <v>12748655.593347544</v>
      </c>
      <c r="J359" s="472">
        <v>0.99999999999999989</v>
      </c>
      <c r="K359" s="53">
        <f>SUM(K355:K358)</f>
        <v>13379259.645228107</v>
      </c>
      <c r="L359" s="91">
        <f>SUM(L355:L358)</f>
        <v>0.99999999999999989</v>
      </c>
      <c r="M359" s="79">
        <f>VLOOKUP(E359,town351,24)</f>
        <v>6084533</v>
      </c>
      <c r="N359" s="79">
        <f>SUM(N355:N358)</f>
        <v>6084533</v>
      </c>
      <c r="O359" s="79">
        <v>5875937</v>
      </c>
      <c r="P359" s="79">
        <f>SUM(P355:P358)</f>
        <v>208596</v>
      </c>
      <c r="Q359" s="39">
        <f t="shared" si="59"/>
        <v>3.5500040248899878</v>
      </c>
      <c r="R359" s="9">
        <v>887.54510058623998</v>
      </c>
      <c r="S359" s="9">
        <f t="shared" si="57"/>
        <v>905.00515463760007</v>
      </c>
      <c r="T359" s="90">
        <f t="shared" si="52"/>
        <v>70</v>
      </c>
      <c r="U359" s="90">
        <f t="shared" si="53"/>
        <v>999</v>
      </c>
      <c r="V359" s="373">
        <f t="shared" si="54"/>
        <v>350</v>
      </c>
      <c r="W359" s="90">
        <f t="shared" si="55"/>
        <v>905.00515463760007</v>
      </c>
      <c r="X359" s="90">
        <f t="shared" si="56"/>
        <v>13379259.645228107</v>
      </c>
      <c r="Y359" s="141">
        <f t="shared" si="58"/>
        <v>350</v>
      </c>
      <c r="Z359" s="298">
        <v>70</v>
      </c>
      <c r="AA359" s="299">
        <v>999</v>
      </c>
      <c r="AB359" s="299">
        <v>350</v>
      </c>
      <c r="AC359" s="301">
        <v>905.00515463760007</v>
      </c>
      <c r="AD359" s="301">
        <v>13379259.645228107</v>
      </c>
      <c r="AE359" s="126"/>
      <c r="AF359" s="298"/>
      <c r="AG359" s="299"/>
      <c r="AH359" s="299"/>
      <c r="AI359" s="301"/>
      <c r="AJ359" s="301"/>
      <c r="AK359" s="426"/>
      <c r="AL359" s="298"/>
      <c r="AM359" s="299"/>
      <c r="AN359" s="299"/>
      <c r="AO359" s="301"/>
      <c r="AP359" s="301"/>
      <c r="AQ359" s="426"/>
      <c r="AR359" s="298"/>
      <c r="AS359" s="299"/>
      <c r="AT359" s="299"/>
      <c r="AU359" s="301"/>
      <c r="AV359" s="301"/>
      <c r="AW359" s="91"/>
      <c r="AX359" s="298"/>
      <c r="AY359" s="299"/>
      <c r="AZ359" s="299"/>
      <c r="BA359" s="301"/>
      <c r="BB359" s="301"/>
      <c r="BC359" s="426"/>
      <c r="BD359" s="298"/>
      <c r="BE359" s="299"/>
      <c r="BF359" s="299"/>
      <c r="BG359" s="301"/>
      <c r="BH359" s="301"/>
      <c r="BI359" s="91"/>
      <c r="BJ359" s="298"/>
      <c r="BK359" s="299"/>
      <c r="BL359" s="299"/>
      <c r="BM359" s="301"/>
      <c r="BN359" s="301"/>
      <c r="BO359" s="91"/>
      <c r="BP359" s="9"/>
      <c r="BS359" s="81"/>
      <c r="BT359" s="81"/>
      <c r="BV359" s="9"/>
      <c r="BY359" s="81"/>
      <c r="BZ359" s="81"/>
      <c r="CB359" s="9"/>
      <c r="CE359" s="81"/>
      <c r="CF359" s="81"/>
      <c r="CH359" s="9"/>
      <c r="CK359" s="81"/>
      <c r="CL359" s="81"/>
      <c r="CR359" s="9"/>
      <c r="CS359" s="9"/>
      <c r="CT359" s="9"/>
      <c r="CU359" s="9"/>
      <c r="CV359" s="9"/>
      <c r="CW359" s="129"/>
      <c r="CX359" s="9"/>
    </row>
    <row r="360" spans="1:102">
      <c r="A360" s="6" t="str">
        <f t="shared" si="51"/>
        <v>00710071</v>
      </c>
      <c r="B360" s="6" t="s">
        <v>1721</v>
      </c>
      <c r="C360" s="6" t="s">
        <v>1721</v>
      </c>
      <c r="D360" s="6">
        <v>351</v>
      </c>
      <c r="E360" s="6">
        <v>71</v>
      </c>
      <c r="F360" s="6" t="s">
        <v>1190</v>
      </c>
      <c r="G360" s="6">
        <v>71</v>
      </c>
      <c r="H360" s="6" t="s">
        <v>752</v>
      </c>
      <c r="I360" s="33">
        <v>42331707.480000004</v>
      </c>
      <c r="J360" s="88">
        <v>0.89718554927237626</v>
      </c>
      <c r="K360" s="89">
        <f>X360</f>
        <v>44328380.18</v>
      </c>
      <c r="L360" s="88">
        <f>IF(K364&gt;0, K360/K364, 0)</f>
        <v>0.90152040593741278</v>
      </c>
      <c r="M360" s="58"/>
      <c r="N360" s="9">
        <f>ROUND(M364*L360,0)</f>
        <v>34918958</v>
      </c>
      <c r="O360" s="9">
        <v>33039603</v>
      </c>
      <c r="P360" s="9">
        <f>N360-O360</f>
        <v>1879355</v>
      </c>
      <c r="Q360" s="40">
        <f t="shared" si="59"/>
        <v>5.6881888078376726</v>
      </c>
      <c r="R360" s="9">
        <v>3315</v>
      </c>
      <c r="S360" s="9">
        <f t="shared" si="57"/>
        <v>3349</v>
      </c>
      <c r="T360" s="90">
        <f t="shared" si="52"/>
        <v>71</v>
      </c>
      <c r="U360" s="90">
        <f t="shared" si="53"/>
        <v>71</v>
      </c>
      <c r="V360" s="373">
        <f t="shared" si="54"/>
        <v>351</v>
      </c>
      <c r="W360" s="90">
        <f t="shared" si="55"/>
        <v>3349</v>
      </c>
      <c r="X360" s="90">
        <f t="shared" si="56"/>
        <v>44328380.18</v>
      </c>
      <c r="Y360" s="141">
        <f t="shared" si="58"/>
        <v>351</v>
      </c>
      <c r="Z360" s="298">
        <v>71</v>
      </c>
      <c r="AA360" s="299">
        <v>71</v>
      </c>
      <c r="AB360" s="299">
        <v>351</v>
      </c>
      <c r="AC360" s="301">
        <v>3349</v>
      </c>
      <c r="AD360" s="301">
        <v>44328380.18</v>
      </c>
      <c r="AE360" s="126"/>
      <c r="AF360" s="298"/>
      <c r="AG360" s="299"/>
      <c r="AH360" s="299"/>
      <c r="AI360" s="301"/>
      <c r="AJ360" s="301"/>
      <c r="AK360" s="426"/>
      <c r="AL360" s="298"/>
      <c r="AM360" s="299"/>
      <c r="AN360" s="299"/>
      <c r="AO360" s="301"/>
      <c r="AP360" s="301"/>
      <c r="AQ360" s="426"/>
      <c r="AR360" s="298"/>
      <c r="AS360" s="299"/>
      <c r="AT360" s="299"/>
      <c r="AU360" s="301"/>
      <c r="AV360" s="301"/>
      <c r="AW360" s="88"/>
      <c r="AX360" s="298"/>
      <c r="AY360" s="299"/>
      <c r="AZ360" s="299"/>
      <c r="BA360" s="301"/>
      <c r="BB360" s="301"/>
      <c r="BC360" s="426"/>
      <c r="BD360" s="298"/>
      <c r="BE360" s="299"/>
      <c r="BF360" s="299"/>
      <c r="BG360" s="301"/>
      <c r="BH360" s="301"/>
      <c r="BI360" s="88"/>
      <c r="BJ360" s="298"/>
      <c r="BK360" s="299"/>
      <c r="BL360" s="299"/>
      <c r="BM360" s="301"/>
      <c r="BN360" s="301"/>
      <c r="BO360" s="88"/>
      <c r="BP360" s="9"/>
      <c r="BS360" s="81"/>
      <c r="BT360" s="81"/>
      <c r="BV360" s="9"/>
      <c r="BY360" s="81"/>
      <c r="BZ360" s="81"/>
      <c r="CB360" s="9"/>
      <c r="CE360" s="81"/>
      <c r="CF360" s="81"/>
      <c r="CH360" s="9"/>
      <c r="CK360" s="81"/>
      <c r="CL360" s="81"/>
      <c r="CR360" s="9"/>
      <c r="CS360" s="9"/>
      <c r="CT360" s="9"/>
      <c r="CU360" s="9"/>
      <c r="CV360" s="9"/>
      <c r="CW360" s="129"/>
      <c r="CX360" s="9"/>
    </row>
    <row r="361" spans="1:102">
      <c r="A361" s="6" t="str">
        <f t="shared" si="51"/>
        <v>00710817</v>
      </c>
      <c r="B361" s="6" t="s">
        <v>1721</v>
      </c>
      <c r="C361" s="6" t="s">
        <v>2067</v>
      </c>
      <c r="D361" s="6">
        <v>352</v>
      </c>
      <c r="E361" s="6">
        <v>71</v>
      </c>
      <c r="F361" s="6" t="s">
        <v>1190</v>
      </c>
      <c r="G361" s="6">
        <v>817</v>
      </c>
      <c r="H361" s="6" t="s">
        <v>1097</v>
      </c>
      <c r="I361" s="33">
        <v>4851071.5051623378</v>
      </c>
      <c r="J361" s="88">
        <v>0.10281445072762381</v>
      </c>
      <c r="K361" s="89">
        <f t="shared" si="60"/>
        <v>4842309.5659595104</v>
      </c>
      <c r="L361" s="88">
        <f>IF(K364&gt;0, K361/K364, 0)</f>
        <v>9.8479594062587175E-2</v>
      </c>
      <c r="M361" s="58"/>
      <c r="N361" s="9">
        <f>ROUND(M364*L361,0)</f>
        <v>3814450</v>
      </c>
      <c r="O361" s="9">
        <v>3786227</v>
      </c>
      <c r="P361" s="9">
        <f>N361-O361</f>
        <v>28223</v>
      </c>
      <c r="Q361" s="40">
        <f t="shared" si="59"/>
        <v>0.74541225341216999</v>
      </c>
      <c r="R361" s="9">
        <v>245.99999999990999</v>
      </c>
      <c r="S361" s="9">
        <f t="shared" si="57"/>
        <v>239.99999999651999</v>
      </c>
      <c r="T361" s="90">
        <f t="shared" si="52"/>
        <v>71</v>
      </c>
      <c r="U361" s="90">
        <f t="shared" si="53"/>
        <v>817</v>
      </c>
      <c r="V361" s="373">
        <f t="shared" si="54"/>
        <v>352</v>
      </c>
      <c r="W361" s="90">
        <f t="shared" si="55"/>
        <v>239.99999999651999</v>
      </c>
      <c r="X361" s="90">
        <f t="shared" si="56"/>
        <v>4842309.5659595104</v>
      </c>
      <c r="Y361" s="141">
        <f t="shared" si="58"/>
        <v>352</v>
      </c>
      <c r="Z361" s="298">
        <v>71</v>
      </c>
      <c r="AA361" s="299">
        <v>817</v>
      </c>
      <c r="AB361" s="299">
        <v>352</v>
      </c>
      <c r="AC361" s="301">
        <v>239.99999999651999</v>
      </c>
      <c r="AD361" s="301">
        <v>4842309.5659595104</v>
      </c>
      <c r="AE361" s="126"/>
      <c r="AF361" s="298"/>
      <c r="AG361" s="299"/>
      <c r="AH361" s="299"/>
      <c r="AI361" s="301"/>
      <c r="AJ361" s="301"/>
      <c r="AK361" s="426"/>
      <c r="AL361" s="298"/>
      <c r="AM361" s="299"/>
      <c r="AN361" s="299"/>
      <c r="AO361" s="301"/>
      <c r="AP361" s="301"/>
      <c r="AQ361" s="426"/>
      <c r="AR361" s="298"/>
      <c r="AS361" s="299"/>
      <c r="AT361" s="299"/>
      <c r="AU361" s="301"/>
      <c r="AV361" s="301"/>
      <c r="AW361" s="88"/>
      <c r="AX361" s="298"/>
      <c r="AY361" s="299"/>
      <c r="AZ361" s="299"/>
      <c r="BA361" s="301"/>
      <c r="BB361" s="301"/>
      <c r="BC361" s="426"/>
      <c r="BD361" s="298"/>
      <c r="BE361" s="299"/>
      <c r="BF361" s="299"/>
      <c r="BG361" s="301"/>
      <c r="BH361" s="301"/>
      <c r="BI361" s="88"/>
      <c r="BJ361" s="298"/>
      <c r="BK361" s="299"/>
      <c r="BL361" s="299"/>
      <c r="BM361" s="301"/>
      <c r="BN361" s="301"/>
      <c r="BO361" s="88"/>
      <c r="BP361" s="9"/>
      <c r="BS361" s="81"/>
      <c r="BT361" s="81"/>
      <c r="BV361" s="9"/>
      <c r="BY361" s="81"/>
      <c r="BZ361" s="81"/>
      <c r="CB361" s="9"/>
      <c r="CE361" s="81"/>
      <c r="CF361" s="81"/>
      <c r="CH361" s="9"/>
      <c r="CK361" s="81"/>
      <c r="CL361" s="81"/>
      <c r="CR361" s="9"/>
      <c r="CS361" s="9"/>
      <c r="CT361" s="9"/>
      <c r="CU361" s="9"/>
      <c r="CV361" s="9"/>
      <c r="CW361" s="129"/>
      <c r="CX361" s="9"/>
    </row>
    <row r="362" spans="1:102">
      <c r="A362" s="6" t="str">
        <f t="shared" si="51"/>
        <v>00710998</v>
      </c>
      <c r="B362" s="6" t="s">
        <v>1721</v>
      </c>
      <c r="C362" s="6" t="s">
        <v>2091</v>
      </c>
      <c r="D362" s="6">
        <v>353</v>
      </c>
      <c r="E362" s="6">
        <v>71</v>
      </c>
      <c r="F362" s="6" t="s">
        <v>1547</v>
      </c>
      <c r="G362" s="6">
        <v>998</v>
      </c>
      <c r="I362" s="33">
        <v>0</v>
      </c>
      <c r="J362" s="88">
        <v>0</v>
      </c>
      <c r="K362" s="89">
        <f t="shared" si="60"/>
        <v>0</v>
      </c>
      <c r="L362" s="88">
        <f>IF(K364&gt;0, K362/K364, 0)</f>
        <v>0</v>
      </c>
      <c r="M362" s="58"/>
      <c r="N362" s="9">
        <f>ROUND(M364*L362,0)</f>
        <v>0</v>
      </c>
      <c r="O362" s="9">
        <v>0</v>
      </c>
      <c r="P362" s="9">
        <f>N362-O362</f>
        <v>0</v>
      </c>
      <c r="Q362" s="40">
        <f t="shared" si="59"/>
        <v>0</v>
      </c>
      <c r="R362" s="9">
        <v>0</v>
      </c>
      <c r="S362" s="9">
        <f t="shared" si="57"/>
        <v>0</v>
      </c>
      <c r="T362" s="90">
        <f t="shared" si="52"/>
        <v>71</v>
      </c>
      <c r="U362" s="90">
        <f t="shared" si="53"/>
        <v>998</v>
      </c>
      <c r="V362" s="373">
        <f t="shared" si="54"/>
        <v>353</v>
      </c>
      <c r="W362" s="90">
        <f t="shared" si="55"/>
        <v>0</v>
      </c>
      <c r="X362" s="90">
        <f t="shared" si="56"/>
        <v>0</v>
      </c>
      <c r="Y362" s="141">
        <f t="shared" si="58"/>
        <v>353</v>
      </c>
      <c r="Z362" s="298">
        <v>71</v>
      </c>
      <c r="AA362" s="299">
        <v>998</v>
      </c>
      <c r="AB362" s="299">
        <v>353</v>
      </c>
      <c r="AC362" s="301">
        <v>0</v>
      </c>
      <c r="AD362" s="301">
        <v>0</v>
      </c>
      <c r="AE362" s="126"/>
      <c r="AF362" s="298"/>
      <c r="AG362" s="299"/>
      <c r="AH362" s="299"/>
      <c r="AI362" s="301"/>
      <c r="AJ362" s="301"/>
      <c r="AK362" s="426"/>
      <c r="AL362" s="298"/>
      <c r="AM362" s="299"/>
      <c r="AN362" s="299"/>
      <c r="AO362" s="301"/>
      <c r="AP362" s="301"/>
      <c r="AQ362" s="426"/>
      <c r="AR362" s="298"/>
      <c r="AS362" s="299"/>
      <c r="AT362" s="299"/>
      <c r="AU362" s="301"/>
      <c r="AV362" s="301"/>
      <c r="AW362" s="88"/>
      <c r="AX362" s="298"/>
      <c r="AY362" s="299"/>
      <c r="AZ362" s="299"/>
      <c r="BA362" s="301"/>
      <c r="BB362" s="301"/>
      <c r="BC362" s="426"/>
      <c r="BD362" s="298"/>
      <c r="BE362" s="299"/>
      <c r="BF362" s="299"/>
      <c r="BG362" s="301"/>
      <c r="BH362" s="301"/>
      <c r="BI362" s="88"/>
      <c r="BJ362" s="298"/>
      <c r="BK362" s="299"/>
      <c r="BL362" s="299"/>
      <c r="BM362" s="301"/>
      <c r="BN362" s="301"/>
      <c r="BO362" s="88"/>
      <c r="BP362" s="9"/>
      <c r="BS362" s="81"/>
      <c r="BT362" s="81"/>
      <c r="BV362" s="9"/>
      <c r="BY362" s="81"/>
      <c r="BZ362" s="81"/>
      <c r="CB362" s="9"/>
      <c r="CE362" s="81"/>
      <c r="CF362" s="81"/>
      <c r="CH362" s="9"/>
      <c r="CK362" s="81"/>
      <c r="CL362" s="81"/>
      <c r="CR362" s="9"/>
      <c r="CS362" s="9"/>
      <c r="CT362" s="9"/>
      <c r="CU362" s="9"/>
      <c r="CV362" s="9"/>
      <c r="CW362" s="129"/>
      <c r="CX362" s="9"/>
    </row>
    <row r="363" spans="1:102">
      <c r="A363" s="6" t="str">
        <f t="shared" si="51"/>
        <v>00710998</v>
      </c>
      <c r="B363" s="6" t="s">
        <v>1721</v>
      </c>
      <c r="C363" s="6" t="s">
        <v>2091</v>
      </c>
      <c r="D363" s="6">
        <v>354</v>
      </c>
      <c r="E363" s="6">
        <v>71</v>
      </c>
      <c r="F363" s="6" t="s">
        <v>1547</v>
      </c>
      <c r="G363" s="6">
        <v>998</v>
      </c>
      <c r="H363" s="6" t="s">
        <v>1547</v>
      </c>
      <c r="I363" s="33">
        <v>0</v>
      </c>
      <c r="J363" s="88">
        <v>0</v>
      </c>
      <c r="K363" s="89">
        <f t="shared" si="60"/>
        <v>0</v>
      </c>
      <c r="L363" s="88">
        <f>IF(K364&gt;0, K363/K364, 0)</f>
        <v>0</v>
      </c>
      <c r="M363" s="58"/>
      <c r="N363" s="9">
        <f>ROUND(M364*L363,0)</f>
        <v>0</v>
      </c>
      <c r="O363" s="9">
        <v>0</v>
      </c>
      <c r="P363" s="9">
        <f>N363-O363</f>
        <v>0</v>
      </c>
      <c r="Q363" s="40">
        <f t="shared" si="59"/>
        <v>0</v>
      </c>
      <c r="R363" s="9">
        <v>0</v>
      </c>
      <c r="S363" s="9">
        <f t="shared" si="57"/>
        <v>0</v>
      </c>
      <c r="T363" s="90">
        <f t="shared" si="52"/>
        <v>71</v>
      </c>
      <c r="U363" s="90">
        <f t="shared" si="53"/>
        <v>998</v>
      </c>
      <c r="V363" s="373">
        <f t="shared" si="54"/>
        <v>354</v>
      </c>
      <c r="W363" s="90">
        <f t="shared" si="55"/>
        <v>0</v>
      </c>
      <c r="X363" s="90">
        <f t="shared" si="56"/>
        <v>0</v>
      </c>
      <c r="Y363" s="141">
        <f t="shared" si="58"/>
        <v>354</v>
      </c>
      <c r="Z363" s="298">
        <v>71</v>
      </c>
      <c r="AA363" s="299">
        <v>998</v>
      </c>
      <c r="AB363" s="299">
        <v>354</v>
      </c>
      <c r="AC363" s="301">
        <v>0</v>
      </c>
      <c r="AD363" s="301">
        <v>0</v>
      </c>
      <c r="AE363" s="126"/>
      <c r="AF363" s="298"/>
      <c r="AG363" s="299"/>
      <c r="AH363" s="299"/>
      <c r="AI363" s="301"/>
      <c r="AJ363" s="301"/>
      <c r="AK363" s="426"/>
      <c r="AL363" s="298"/>
      <c r="AM363" s="299"/>
      <c r="AN363" s="299"/>
      <c r="AO363" s="301"/>
      <c r="AP363" s="301"/>
      <c r="AQ363" s="426"/>
      <c r="AR363" s="298"/>
      <c r="AS363" s="299"/>
      <c r="AT363" s="299"/>
      <c r="AU363" s="301"/>
      <c r="AV363" s="301"/>
      <c r="AW363" s="88"/>
      <c r="AX363" s="298"/>
      <c r="AY363" s="299"/>
      <c r="AZ363" s="299"/>
      <c r="BA363" s="301"/>
      <c r="BB363" s="301"/>
      <c r="BC363" s="426"/>
      <c r="BD363" s="298"/>
      <c r="BE363" s="299"/>
      <c r="BF363" s="299"/>
      <c r="BG363" s="301"/>
      <c r="BH363" s="301"/>
      <c r="BI363" s="88"/>
      <c r="BJ363" s="298"/>
      <c r="BK363" s="299"/>
      <c r="BL363" s="299"/>
      <c r="BM363" s="301"/>
      <c r="BN363" s="301"/>
      <c r="BO363" s="88"/>
      <c r="BP363" s="9"/>
      <c r="BS363" s="81"/>
      <c r="BT363" s="81"/>
      <c r="BV363" s="9"/>
      <c r="BY363" s="81"/>
      <c r="BZ363" s="81"/>
      <c r="CB363" s="9"/>
      <c r="CE363" s="81"/>
      <c r="CF363" s="81"/>
      <c r="CH363" s="9"/>
      <c r="CK363" s="81"/>
      <c r="CL363" s="81"/>
      <c r="CR363" s="9"/>
      <c r="CS363" s="9"/>
      <c r="CT363" s="9"/>
      <c r="CU363" s="9"/>
      <c r="CV363" s="9"/>
      <c r="CW363" s="129"/>
      <c r="CX363" s="9"/>
    </row>
    <row r="364" spans="1:102">
      <c r="A364" s="6" t="str">
        <f t="shared" si="51"/>
        <v>00710999</v>
      </c>
      <c r="B364" s="6" t="s">
        <v>1721</v>
      </c>
      <c r="C364" s="6" t="s">
        <v>2092</v>
      </c>
      <c r="D364" s="6">
        <v>355</v>
      </c>
      <c r="E364" s="10">
        <v>71</v>
      </c>
      <c r="F364" s="10" t="s">
        <v>1190</v>
      </c>
      <c r="G364" s="10">
        <v>999</v>
      </c>
      <c r="H364" s="10" t="s">
        <v>593</v>
      </c>
      <c r="I364" s="92">
        <v>47182778.98516234</v>
      </c>
      <c r="J364" s="472">
        <v>1</v>
      </c>
      <c r="K364" s="53">
        <f>SUM(K360:K363)</f>
        <v>49170689.745959513</v>
      </c>
      <c r="L364" s="91">
        <f>SUM(L360:L363)</f>
        <v>1</v>
      </c>
      <c r="M364" s="79">
        <f>VLOOKUP(E364,town351,24)</f>
        <v>38733408</v>
      </c>
      <c r="N364" s="79">
        <f>SUM(N360:N363)</f>
        <v>38733408</v>
      </c>
      <c r="O364" s="79">
        <v>36825830</v>
      </c>
      <c r="P364" s="79">
        <f>SUM(P360:P363)</f>
        <v>1907578</v>
      </c>
      <c r="Q364" s="39">
        <f t="shared" si="59"/>
        <v>5.1800000162929116</v>
      </c>
      <c r="R364" s="9">
        <v>3560.99999999991</v>
      </c>
      <c r="S364" s="9">
        <f t="shared" si="57"/>
        <v>3588.9999999965198</v>
      </c>
      <c r="T364" s="90">
        <f t="shared" si="52"/>
        <v>71</v>
      </c>
      <c r="U364" s="90">
        <f t="shared" si="53"/>
        <v>999</v>
      </c>
      <c r="V364" s="373">
        <f t="shared" si="54"/>
        <v>355</v>
      </c>
      <c r="W364" s="90">
        <f t="shared" si="55"/>
        <v>3588.9999999965198</v>
      </c>
      <c r="X364" s="90">
        <f t="shared" si="56"/>
        <v>49170689.745959513</v>
      </c>
      <c r="Y364" s="141">
        <f t="shared" si="58"/>
        <v>355</v>
      </c>
      <c r="Z364" s="298">
        <v>71</v>
      </c>
      <c r="AA364" s="299">
        <v>999</v>
      </c>
      <c r="AB364" s="299">
        <v>355</v>
      </c>
      <c r="AC364" s="301">
        <v>3588.9999999965198</v>
      </c>
      <c r="AD364" s="301">
        <v>49170689.745959513</v>
      </c>
      <c r="AE364" s="126"/>
      <c r="AF364" s="298"/>
      <c r="AG364" s="299"/>
      <c r="AH364" s="299"/>
      <c r="AI364" s="301"/>
      <c r="AJ364" s="301"/>
      <c r="AK364" s="426"/>
      <c r="AL364" s="298"/>
      <c r="AM364" s="299"/>
      <c r="AN364" s="299"/>
      <c r="AO364" s="301"/>
      <c r="AP364" s="301"/>
      <c r="AQ364" s="426"/>
      <c r="AR364" s="298"/>
      <c r="AS364" s="299"/>
      <c r="AT364" s="299"/>
      <c r="AU364" s="301"/>
      <c r="AV364" s="301"/>
      <c r="AW364" s="91"/>
      <c r="AX364" s="298"/>
      <c r="AY364" s="299"/>
      <c r="AZ364" s="299"/>
      <c r="BA364" s="301"/>
      <c r="BB364" s="301"/>
      <c r="BC364" s="426"/>
      <c r="BD364" s="298"/>
      <c r="BE364" s="299"/>
      <c r="BF364" s="299"/>
      <c r="BG364" s="301"/>
      <c r="BH364" s="301"/>
      <c r="BI364" s="91"/>
      <c r="BJ364" s="298"/>
      <c r="BK364" s="299"/>
      <c r="BL364" s="299"/>
      <c r="BM364" s="301"/>
      <c r="BN364" s="301"/>
      <c r="BO364" s="91"/>
      <c r="BP364" s="9"/>
      <c r="BS364" s="81"/>
      <c r="BT364" s="81"/>
      <c r="BV364" s="9"/>
      <c r="BY364" s="81"/>
      <c r="BZ364" s="81"/>
      <c r="CB364" s="9"/>
      <c r="CE364" s="81"/>
      <c r="CF364" s="81"/>
      <c r="CH364" s="9"/>
      <c r="CK364" s="81"/>
      <c r="CL364" s="81"/>
      <c r="CR364" s="9"/>
      <c r="CS364" s="9"/>
      <c r="CT364" s="9"/>
      <c r="CU364" s="9"/>
      <c r="CV364" s="9"/>
      <c r="CW364" s="129"/>
      <c r="CX364" s="9"/>
    </row>
    <row r="365" spans="1:102">
      <c r="A365" s="6" t="str">
        <f t="shared" si="51"/>
        <v>00720072</v>
      </c>
      <c r="B365" s="6" t="s">
        <v>1722</v>
      </c>
      <c r="C365" s="6" t="s">
        <v>1722</v>
      </c>
      <c r="D365" s="6">
        <v>356</v>
      </c>
      <c r="E365" s="6">
        <v>72</v>
      </c>
      <c r="F365" s="6" t="s">
        <v>1191</v>
      </c>
      <c r="G365" s="6">
        <v>72</v>
      </c>
      <c r="H365" s="6" t="s">
        <v>753</v>
      </c>
      <c r="I365" s="33">
        <v>43916766.759999998</v>
      </c>
      <c r="J365" s="88">
        <v>0.85126874424979726</v>
      </c>
      <c r="K365" s="89">
        <f>X365</f>
        <v>44678547.479999989</v>
      </c>
      <c r="L365" s="88">
        <f>IF(K369&gt;0, K365/K369, 0)</f>
        <v>0.8525186790493342</v>
      </c>
      <c r="M365" s="58"/>
      <c r="N365" s="9">
        <f>ROUND(M369*L365,0)</f>
        <v>36166183</v>
      </c>
      <c r="O365" s="9">
        <v>34831363</v>
      </c>
      <c r="P365" s="9">
        <f>N365-O365</f>
        <v>1334820</v>
      </c>
      <c r="Q365" s="40">
        <f t="shared" si="59"/>
        <v>3.8322359076215307</v>
      </c>
      <c r="R365" s="9">
        <v>3303</v>
      </c>
      <c r="S365" s="9">
        <f t="shared" si="57"/>
        <v>3284</v>
      </c>
      <c r="T365" s="90">
        <f t="shared" si="52"/>
        <v>72</v>
      </c>
      <c r="U365" s="90">
        <f t="shared" si="53"/>
        <v>72</v>
      </c>
      <c r="V365" s="373">
        <f t="shared" si="54"/>
        <v>356</v>
      </c>
      <c r="W365" s="90">
        <f t="shared" si="55"/>
        <v>3284</v>
      </c>
      <c r="X365" s="90">
        <f t="shared" si="56"/>
        <v>44678547.479999989</v>
      </c>
      <c r="Y365" s="141">
        <f t="shared" si="58"/>
        <v>356</v>
      </c>
      <c r="Z365" s="298">
        <v>72</v>
      </c>
      <c r="AA365" s="299">
        <v>72</v>
      </c>
      <c r="AB365" s="299">
        <v>356</v>
      </c>
      <c r="AC365" s="301">
        <v>3284</v>
      </c>
      <c r="AD365" s="301">
        <v>44678547.479999989</v>
      </c>
      <c r="AE365" s="126"/>
      <c r="AF365" s="298"/>
      <c r="AG365" s="299"/>
      <c r="AH365" s="299"/>
      <c r="AI365" s="301"/>
      <c r="AJ365" s="301"/>
      <c r="AK365" s="426"/>
      <c r="AL365" s="298"/>
      <c r="AM365" s="299"/>
      <c r="AN365" s="299"/>
      <c r="AO365" s="301"/>
      <c r="AP365" s="301"/>
      <c r="AQ365" s="426"/>
      <c r="AR365" s="298"/>
      <c r="AS365" s="299"/>
      <c r="AT365" s="299"/>
      <c r="AU365" s="301"/>
      <c r="AV365" s="301"/>
      <c r="AW365" s="88"/>
      <c r="AX365" s="298"/>
      <c r="AY365" s="299"/>
      <c r="AZ365" s="299"/>
      <c r="BA365" s="301"/>
      <c r="BB365" s="301"/>
      <c r="BC365" s="426"/>
      <c r="BD365" s="298"/>
      <c r="BE365" s="299"/>
      <c r="BF365" s="299"/>
      <c r="BG365" s="301"/>
      <c r="BH365" s="301"/>
      <c r="BI365" s="88"/>
      <c r="BJ365" s="298"/>
      <c r="BK365" s="299"/>
      <c r="BL365" s="299"/>
      <c r="BM365" s="301"/>
      <c r="BN365" s="301"/>
      <c r="BO365" s="88"/>
      <c r="BP365" s="9"/>
      <c r="BS365" s="81"/>
      <c r="BT365" s="81"/>
      <c r="BV365" s="9"/>
      <c r="BY365" s="81"/>
      <c r="BZ365" s="81"/>
      <c r="CB365" s="9"/>
      <c r="CE365" s="81"/>
      <c r="CF365" s="81"/>
      <c r="CH365" s="9"/>
      <c r="CK365" s="81"/>
      <c r="CL365" s="81"/>
      <c r="CR365" s="9"/>
      <c r="CS365" s="9"/>
      <c r="CT365" s="9"/>
      <c r="CU365" s="9"/>
      <c r="CV365" s="9"/>
      <c r="CW365" s="129"/>
      <c r="CX365" s="9"/>
    </row>
    <row r="366" spans="1:102">
      <c r="A366" s="6" t="str">
        <f t="shared" si="51"/>
        <v>00720825</v>
      </c>
      <c r="B366" s="6" t="s">
        <v>1722</v>
      </c>
      <c r="C366" s="6" t="s">
        <v>2071</v>
      </c>
      <c r="D366" s="6">
        <v>357</v>
      </c>
      <c r="E366" s="6">
        <v>72</v>
      </c>
      <c r="F366" s="6" t="s">
        <v>1191</v>
      </c>
      <c r="G366" s="6">
        <v>825</v>
      </c>
      <c r="H366" s="6" t="s">
        <v>1101</v>
      </c>
      <c r="I366" s="33">
        <v>7265764.3004888985</v>
      </c>
      <c r="J366" s="88">
        <v>0.14083728171277132</v>
      </c>
      <c r="K366" s="89">
        <f t="shared" si="60"/>
        <v>7249663.3162780199</v>
      </c>
      <c r="L366" s="88">
        <f>IF(K369&gt;0, K366/K369, 0)</f>
        <v>0.13833201262221864</v>
      </c>
      <c r="M366" s="58"/>
      <c r="N366" s="9">
        <f>ROUND(M369*L366,0)</f>
        <v>5868424</v>
      </c>
      <c r="O366" s="9">
        <v>5762639</v>
      </c>
      <c r="P366" s="9">
        <f>N366-O366</f>
        <v>105785</v>
      </c>
      <c r="Q366" s="40">
        <f t="shared" si="59"/>
        <v>1.835704093211461</v>
      </c>
      <c r="R366" s="9">
        <v>328.99999999415996</v>
      </c>
      <c r="S366" s="9">
        <f t="shared" si="57"/>
        <v>319.00000001040002</v>
      </c>
      <c r="T366" s="90">
        <f t="shared" si="52"/>
        <v>72</v>
      </c>
      <c r="U366" s="90">
        <f t="shared" si="53"/>
        <v>825</v>
      </c>
      <c r="V366" s="373">
        <f t="shared" si="54"/>
        <v>357</v>
      </c>
      <c r="W366" s="90">
        <f t="shared" si="55"/>
        <v>319.00000001040002</v>
      </c>
      <c r="X366" s="90">
        <f t="shared" si="56"/>
        <v>7249663.3162780199</v>
      </c>
      <c r="Y366" s="141">
        <f t="shared" si="58"/>
        <v>357</v>
      </c>
      <c r="Z366" s="298">
        <v>72</v>
      </c>
      <c r="AA366" s="299">
        <v>825</v>
      </c>
      <c r="AB366" s="299">
        <v>357</v>
      </c>
      <c r="AC366" s="301">
        <v>319.00000001040002</v>
      </c>
      <c r="AD366" s="301">
        <v>7249663.3162780199</v>
      </c>
      <c r="AE366" s="126"/>
      <c r="AF366" s="298"/>
      <c r="AG366" s="299"/>
      <c r="AH366" s="299"/>
      <c r="AI366" s="301"/>
      <c r="AJ366" s="301"/>
      <c r="AK366" s="426"/>
      <c r="AL366" s="298"/>
      <c r="AM366" s="299"/>
      <c r="AN366" s="299"/>
      <c r="AO366" s="301"/>
      <c r="AP366" s="301"/>
      <c r="AQ366" s="426"/>
      <c r="AR366" s="298"/>
      <c r="AS366" s="299"/>
      <c r="AT366" s="299"/>
      <c r="AU366" s="301"/>
      <c r="AV366" s="301"/>
      <c r="AW366" s="88"/>
      <c r="AX366" s="298"/>
      <c r="AY366" s="299"/>
      <c r="AZ366" s="299"/>
      <c r="BA366" s="301"/>
      <c r="BB366" s="301"/>
      <c r="BC366" s="426"/>
      <c r="BD366" s="298"/>
      <c r="BE366" s="299"/>
      <c r="BF366" s="299"/>
      <c r="BG366" s="301"/>
      <c r="BH366" s="301"/>
      <c r="BI366" s="88"/>
      <c r="BJ366" s="298"/>
      <c r="BK366" s="299"/>
      <c r="BL366" s="299"/>
      <c r="BM366" s="301"/>
      <c r="BN366" s="301"/>
      <c r="BO366" s="88"/>
      <c r="BP366" s="9"/>
      <c r="BS366" s="81"/>
      <c r="BT366" s="81"/>
      <c r="BV366" s="9"/>
      <c r="BY366" s="81"/>
      <c r="BZ366" s="81"/>
      <c r="CB366" s="9"/>
      <c r="CE366" s="81"/>
      <c r="CF366" s="81"/>
      <c r="CH366" s="9"/>
      <c r="CK366" s="81"/>
      <c r="CL366" s="81"/>
      <c r="CR366" s="9"/>
      <c r="CS366" s="9"/>
      <c r="CT366" s="9"/>
      <c r="CU366" s="9"/>
      <c r="CV366" s="9"/>
      <c r="CW366" s="129"/>
      <c r="CX366" s="9"/>
    </row>
    <row r="367" spans="1:102">
      <c r="A367" s="6" t="str">
        <f t="shared" si="51"/>
        <v>00720910</v>
      </c>
      <c r="B367" s="6" t="s">
        <v>1722</v>
      </c>
      <c r="C367" s="6" t="s">
        <v>2088</v>
      </c>
      <c r="D367" s="6">
        <v>358</v>
      </c>
      <c r="E367" s="6">
        <v>72</v>
      </c>
      <c r="F367" s="6" t="s">
        <v>1191</v>
      </c>
      <c r="G367" s="6">
        <v>910</v>
      </c>
      <c r="H367" s="6" t="s">
        <v>1118</v>
      </c>
      <c r="I367" s="33">
        <v>407248.37949605187</v>
      </c>
      <c r="J367" s="88">
        <v>7.8939740374313703E-3</v>
      </c>
      <c r="K367" s="89">
        <f t="shared" si="60"/>
        <v>479494.25227553357</v>
      </c>
      <c r="L367" s="88">
        <f>IF(K369&gt;0, K367/K369, 0)</f>
        <v>9.1493083284471671E-3</v>
      </c>
      <c r="M367" s="58"/>
      <c r="N367" s="9">
        <f>ROUND(M369*L367,0)</f>
        <v>388139</v>
      </c>
      <c r="O367" s="9">
        <v>322998</v>
      </c>
      <c r="P367" s="9">
        <f>N367-O367</f>
        <v>65141</v>
      </c>
      <c r="Q367" s="40">
        <f t="shared" si="59"/>
        <v>20.167617136948216</v>
      </c>
      <c r="R367" s="9">
        <v>20.000000001469999</v>
      </c>
      <c r="S367" s="9">
        <f t="shared" si="57"/>
        <v>23.000000002140002</v>
      </c>
      <c r="T367" s="90">
        <f t="shared" si="52"/>
        <v>72</v>
      </c>
      <c r="U367" s="90">
        <f t="shared" si="53"/>
        <v>910</v>
      </c>
      <c r="V367" s="373">
        <f t="shared" si="54"/>
        <v>358</v>
      </c>
      <c r="W367" s="90">
        <f t="shared" si="55"/>
        <v>23.000000002140002</v>
      </c>
      <c r="X367" s="90">
        <f t="shared" si="56"/>
        <v>479494.25227553357</v>
      </c>
      <c r="Y367" s="141">
        <f t="shared" si="58"/>
        <v>358</v>
      </c>
      <c r="Z367" s="298">
        <v>72</v>
      </c>
      <c r="AA367" s="299">
        <v>910</v>
      </c>
      <c r="AB367" s="299">
        <v>358</v>
      </c>
      <c r="AC367" s="301">
        <v>23.000000002140002</v>
      </c>
      <c r="AD367" s="301">
        <v>479494.25227553357</v>
      </c>
      <c r="AE367" s="126"/>
      <c r="AF367" s="298"/>
      <c r="AG367" s="299"/>
      <c r="AH367" s="299"/>
      <c r="AI367" s="301"/>
      <c r="AJ367" s="301"/>
      <c r="AK367" s="426"/>
      <c r="AL367" s="298"/>
      <c r="AM367" s="299"/>
      <c r="AN367" s="299"/>
      <c r="AO367" s="301"/>
      <c r="AP367" s="301"/>
      <c r="AQ367" s="426"/>
      <c r="AR367" s="298"/>
      <c r="AS367" s="299"/>
      <c r="AT367" s="299"/>
      <c r="AU367" s="301"/>
      <c r="AV367" s="301"/>
      <c r="AW367" s="88"/>
      <c r="AX367" s="298"/>
      <c r="AY367" s="299"/>
      <c r="AZ367" s="299"/>
      <c r="BA367" s="301"/>
      <c r="BB367" s="301"/>
      <c r="BC367" s="426"/>
      <c r="BD367" s="298"/>
      <c r="BE367" s="299"/>
      <c r="BF367" s="299"/>
      <c r="BG367" s="301"/>
      <c r="BH367" s="301"/>
      <c r="BI367" s="88"/>
      <c r="BJ367" s="298"/>
      <c r="BK367" s="299"/>
      <c r="BL367" s="299"/>
      <c r="BM367" s="301"/>
      <c r="BN367" s="301"/>
      <c r="BO367" s="88"/>
      <c r="BP367" s="9"/>
      <c r="BS367" s="81"/>
      <c r="BT367" s="81"/>
      <c r="BV367" s="9"/>
      <c r="BY367" s="81"/>
      <c r="BZ367" s="81"/>
      <c r="CB367" s="9"/>
      <c r="CE367" s="81"/>
      <c r="CF367" s="81"/>
      <c r="CH367" s="9"/>
      <c r="CK367" s="81"/>
      <c r="CL367" s="81"/>
      <c r="CR367" s="9"/>
      <c r="CS367" s="9"/>
      <c r="CT367" s="9"/>
      <c r="CU367" s="9"/>
      <c r="CV367" s="9"/>
      <c r="CW367" s="129"/>
      <c r="CX367" s="9"/>
    </row>
    <row r="368" spans="1:102">
      <c r="A368" s="6" t="str">
        <f t="shared" si="51"/>
        <v>00720998</v>
      </c>
      <c r="B368" s="6" t="s">
        <v>1722</v>
      </c>
      <c r="C368" s="6" t="s">
        <v>2091</v>
      </c>
      <c r="D368" s="6">
        <v>359</v>
      </c>
      <c r="E368" s="6">
        <v>72</v>
      </c>
      <c r="F368" s="6" t="s">
        <v>1547</v>
      </c>
      <c r="G368" s="6">
        <v>998</v>
      </c>
      <c r="H368" s="6" t="s">
        <v>1547</v>
      </c>
      <c r="I368" s="33">
        <v>0</v>
      </c>
      <c r="J368" s="88">
        <v>0</v>
      </c>
      <c r="K368" s="89">
        <f t="shared" si="60"/>
        <v>0</v>
      </c>
      <c r="L368" s="88">
        <f>IF(K369&gt;0, K368/K369, 0)</f>
        <v>0</v>
      </c>
      <c r="M368" s="58"/>
      <c r="N368" s="9">
        <f>ROUND(M369*L368,0)</f>
        <v>0</v>
      </c>
      <c r="O368" s="9">
        <v>0</v>
      </c>
      <c r="P368" s="9">
        <f>N368-O368</f>
        <v>0</v>
      </c>
      <c r="Q368" s="40">
        <f t="shared" si="59"/>
        <v>0</v>
      </c>
      <c r="R368" s="9">
        <v>0</v>
      </c>
      <c r="S368" s="9">
        <f t="shared" si="57"/>
        <v>0</v>
      </c>
      <c r="T368" s="90">
        <f t="shared" si="52"/>
        <v>72</v>
      </c>
      <c r="U368" s="90">
        <f t="shared" si="53"/>
        <v>998</v>
      </c>
      <c r="V368" s="373">
        <f t="shared" si="54"/>
        <v>359</v>
      </c>
      <c r="W368" s="90">
        <f t="shared" si="55"/>
        <v>0</v>
      </c>
      <c r="X368" s="90">
        <f t="shared" si="56"/>
        <v>0</v>
      </c>
      <c r="Y368" s="141">
        <f t="shared" si="58"/>
        <v>359</v>
      </c>
      <c r="Z368" s="298">
        <v>72</v>
      </c>
      <c r="AA368" s="299">
        <v>998</v>
      </c>
      <c r="AB368" s="299">
        <v>359</v>
      </c>
      <c r="AC368" s="301">
        <v>0</v>
      </c>
      <c r="AD368" s="301">
        <v>0</v>
      </c>
      <c r="AE368" s="126"/>
      <c r="AF368" s="298"/>
      <c r="AG368" s="299"/>
      <c r="AH368" s="299"/>
      <c r="AI368" s="301"/>
      <c r="AJ368" s="301"/>
      <c r="AK368" s="426"/>
      <c r="AL368" s="298"/>
      <c r="AM368" s="299"/>
      <c r="AN368" s="299"/>
      <c r="AO368" s="301"/>
      <c r="AP368" s="301"/>
      <c r="AQ368" s="426"/>
      <c r="AR368" s="298"/>
      <c r="AS368" s="299"/>
      <c r="AT368" s="299"/>
      <c r="AU368" s="301"/>
      <c r="AV368" s="301"/>
      <c r="AW368" s="88"/>
      <c r="AX368" s="298"/>
      <c r="AY368" s="299"/>
      <c r="AZ368" s="299"/>
      <c r="BA368" s="301"/>
      <c r="BB368" s="301"/>
      <c r="BC368" s="426"/>
      <c r="BD368" s="298"/>
      <c r="BE368" s="299"/>
      <c r="BF368" s="299"/>
      <c r="BG368" s="301"/>
      <c r="BH368" s="301"/>
      <c r="BI368" s="88"/>
      <c r="BJ368" s="298"/>
      <c r="BK368" s="299"/>
      <c r="BL368" s="299"/>
      <c r="BM368" s="301"/>
      <c r="BN368" s="301"/>
      <c r="BO368" s="88"/>
      <c r="BP368" s="9"/>
      <c r="BS368" s="81"/>
      <c r="BT368" s="81"/>
      <c r="BV368" s="9"/>
      <c r="BY368" s="81"/>
      <c r="BZ368" s="81"/>
      <c r="CB368" s="9"/>
      <c r="CE368" s="81"/>
      <c r="CF368" s="81"/>
      <c r="CH368" s="9"/>
      <c r="CK368" s="81"/>
      <c r="CL368" s="81"/>
      <c r="CR368" s="9"/>
      <c r="CS368" s="9"/>
      <c r="CT368" s="9"/>
      <c r="CU368" s="9"/>
      <c r="CV368" s="9"/>
      <c r="CW368" s="129"/>
      <c r="CX368" s="9"/>
    </row>
    <row r="369" spans="1:102">
      <c r="A369" s="6" t="str">
        <f t="shared" si="51"/>
        <v>00720999</v>
      </c>
      <c r="B369" s="6" t="s">
        <v>1722</v>
      </c>
      <c r="C369" s="6" t="s">
        <v>2092</v>
      </c>
      <c r="D369" s="6">
        <v>360</v>
      </c>
      <c r="E369" s="10">
        <v>72</v>
      </c>
      <c r="F369" s="10" t="s">
        <v>1191</v>
      </c>
      <c r="G369" s="10">
        <v>999</v>
      </c>
      <c r="H369" s="10" t="s">
        <v>593</v>
      </c>
      <c r="I369" s="92">
        <v>51589779.439984947</v>
      </c>
      <c r="J369" s="472">
        <v>1</v>
      </c>
      <c r="K369" s="53">
        <f>SUM(K365:K368)</f>
        <v>52407705.048553541</v>
      </c>
      <c r="L369" s="91">
        <f>SUM(L365:L368)</f>
        <v>1</v>
      </c>
      <c r="M369" s="79">
        <f>VLOOKUP(E369,town351,24)</f>
        <v>42422746</v>
      </c>
      <c r="N369" s="79">
        <f>SUM(N365:N368)</f>
        <v>42422746</v>
      </c>
      <c r="O369" s="79">
        <v>40917000</v>
      </c>
      <c r="P369" s="79">
        <f>SUM(P365:P368)</f>
        <v>1505746</v>
      </c>
      <c r="Q369" s="39">
        <f t="shared" si="59"/>
        <v>3.6800009775887772</v>
      </c>
      <c r="R369" s="9">
        <v>3651.9999999956303</v>
      </c>
      <c r="S369" s="9">
        <f t="shared" si="57"/>
        <v>3626.0000000125401</v>
      </c>
      <c r="T369" s="90">
        <f t="shared" si="52"/>
        <v>72</v>
      </c>
      <c r="U369" s="90">
        <f t="shared" si="53"/>
        <v>999</v>
      </c>
      <c r="V369" s="373">
        <f t="shared" si="54"/>
        <v>360</v>
      </c>
      <c r="W369" s="90">
        <f t="shared" si="55"/>
        <v>3626.0000000125401</v>
      </c>
      <c r="X369" s="90">
        <f t="shared" si="56"/>
        <v>52407705.048553541</v>
      </c>
      <c r="Y369" s="141">
        <f t="shared" si="58"/>
        <v>360</v>
      </c>
      <c r="Z369" s="298">
        <v>72</v>
      </c>
      <c r="AA369" s="299">
        <v>999</v>
      </c>
      <c r="AB369" s="299">
        <v>360</v>
      </c>
      <c r="AC369" s="301">
        <v>3626.0000000125401</v>
      </c>
      <c r="AD369" s="301">
        <v>52407705.048553541</v>
      </c>
      <c r="AE369" s="126"/>
      <c r="AF369" s="298"/>
      <c r="AG369" s="299"/>
      <c r="AH369" s="299"/>
      <c r="AI369" s="301"/>
      <c r="AJ369" s="301"/>
      <c r="AK369" s="426"/>
      <c r="AL369" s="298"/>
      <c r="AM369" s="299"/>
      <c r="AN369" s="299"/>
      <c r="AO369" s="301"/>
      <c r="AP369" s="301"/>
      <c r="AQ369" s="426"/>
      <c r="AR369" s="298"/>
      <c r="AS369" s="299"/>
      <c r="AT369" s="299"/>
      <c r="AU369" s="301"/>
      <c r="AV369" s="301"/>
      <c r="AW369" s="91"/>
      <c r="AX369" s="298"/>
      <c r="AY369" s="299"/>
      <c r="AZ369" s="299"/>
      <c r="BA369" s="301"/>
      <c r="BB369" s="301"/>
      <c r="BC369" s="426"/>
      <c r="BD369" s="298"/>
      <c r="BE369" s="299"/>
      <c r="BF369" s="299"/>
      <c r="BG369" s="301"/>
      <c r="BH369" s="301"/>
      <c r="BI369" s="91"/>
      <c r="BJ369" s="298"/>
      <c r="BK369" s="299"/>
      <c r="BL369" s="299"/>
      <c r="BM369" s="301"/>
      <c r="BN369" s="301"/>
      <c r="BO369" s="91"/>
      <c r="BP369" s="9"/>
      <c r="BS369" s="81"/>
      <c r="BT369" s="81"/>
      <c r="BV369" s="9"/>
      <c r="BY369" s="81"/>
      <c r="BZ369" s="81"/>
      <c r="CB369" s="9"/>
      <c r="CE369" s="81"/>
      <c r="CF369" s="81"/>
      <c r="CH369" s="9"/>
      <c r="CK369" s="81"/>
      <c r="CL369" s="81"/>
      <c r="CR369" s="9"/>
      <c r="CS369" s="9"/>
      <c r="CT369" s="9"/>
      <c r="CU369" s="9"/>
      <c r="CV369" s="9"/>
      <c r="CW369" s="129"/>
      <c r="CX369" s="9"/>
    </row>
    <row r="370" spans="1:102">
      <c r="A370" s="6" t="str">
        <f t="shared" si="51"/>
        <v>00730073</v>
      </c>
      <c r="B370" s="6" t="s">
        <v>1723</v>
      </c>
      <c r="C370" s="6" t="s">
        <v>1723</v>
      </c>
      <c r="D370" s="6">
        <v>361</v>
      </c>
      <c r="E370" s="6">
        <v>73</v>
      </c>
      <c r="F370" s="6" t="s">
        <v>1192</v>
      </c>
      <c r="G370" s="6">
        <v>73</v>
      </c>
      <c r="H370" s="6" t="s">
        <v>754</v>
      </c>
      <c r="I370" s="33">
        <v>34648058.12985</v>
      </c>
      <c r="J370" s="88">
        <v>0.93366116495180129</v>
      </c>
      <c r="K370" s="89">
        <f>X370</f>
        <v>39060888.148359999</v>
      </c>
      <c r="L370" s="88">
        <f>IF(K374&gt;0, K370/K374, 0)</f>
        <v>0.93910135341800394</v>
      </c>
      <c r="M370" s="58"/>
      <c r="N370" s="9">
        <f>ROUND(M374*L370,0)</f>
        <v>29321375</v>
      </c>
      <c r="O370" s="9">
        <v>27655361</v>
      </c>
      <c r="P370" s="9">
        <f>N370-O370</f>
        <v>1666014</v>
      </c>
      <c r="Q370" s="40">
        <f t="shared" si="59"/>
        <v>6.0241990693956229</v>
      </c>
      <c r="R370" s="9">
        <v>2529</v>
      </c>
      <c r="S370" s="9">
        <f t="shared" si="57"/>
        <v>2748</v>
      </c>
      <c r="T370" s="90">
        <f t="shared" si="52"/>
        <v>73</v>
      </c>
      <c r="U370" s="90">
        <f t="shared" si="53"/>
        <v>73</v>
      </c>
      <c r="V370" s="373">
        <f t="shared" si="54"/>
        <v>361</v>
      </c>
      <c r="W370" s="90">
        <f t="shared" si="55"/>
        <v>2748</v>
      </c>
      <c r="X370" s="90">
        <f t="shared" si="56"/>
        <v>39060888.148359999</v>
      </c>
      <c r="Y370" s="141">
        <f t="shared" si="58"/>
        <v>361</v>
      </c>
      <c r="Z370" s="298">
        <v>73</v>
      </c>
      <c r="AA370" s="299">
        <v>73</v>
      </c>
      <c r="AB370" s="299">
        <v>361</v>
      </c>
      <c r="AC370" s="301">
        <v>2748</v>
      </c>
      <c r="AD370" s="301">
        <v>39060888.148359999</v>
      </c>
      <c r="AE370" s="126"/>
      <c r="AF370" s="298"/>
      <c r="AG370" s="299"/>
      <c r="AH370" s="299"/>
      <c r="AI370" s="301"/>
      <c r="AJ370" s="301"/>
      <c r="AK370" s="426"/>
      <c r="AL370" s="298"/>
      <c r="AM370" s="299"/>
      <c r="AN370" s="299"/>
      <c r="AO370" s="301"/>
      <c r="AP370" s="301"/>
      <c r="AQ370" s="426"/>
      <c r="AR370" s="298"/>
      <c r="AS370" s="299"/>
      <c r="AT370" s="299"/>
      <c r="AU370" s="301"/>
      <c r="AV370" s="301"/>
      <c r="AW370" s="88"/>
      <c r="AX370" s="298"/>
      <c r="AY370" s="299"/>
      <c r="AZ370" s="299"/>
      <c r="BA370" s="301"/>
      <c r="BB370" s="301"/>
      <c r="BC370" s="426"/>
      <c r="BD370" s="298"/>
      <c r="BE370" s="299"/>
      <c r="BF370" s="299"/>
      <c r="BG370" s="301"/>
      <c r="BH370" s="301"/>
      <c r="BI370" s="88"/>
      <c r="BJ370" s="298"/>
      <c r="BK370" s="299"/>
      <c r="BL370" s="299"/>
      <c r="BM370" s="301"/>
      <c r="BN370" s="301"/>
      <c r="BO370" s="88"/>
      <c r="BP370" s="9"/>
      <c r="BS370" s="81"/>
      <c r="BT370" s="81"/>
      <c r="BV370" s="9"/>
      <c r="BY370" s="81"/>
      <c r="BZ370" s="81"/>
      <c r="CB370" s="9"/>
      <c r="CE370" s="81"/>
      <c r="CF370" s="81"/>
      <c r="CH370" s="9"/>
      <c r="CK370" s="81"/>
      <c r="CL370" s="81"/>
      <c r="CR370" s="9"/>
      <c r="CS370" s="9"/>
      <c r="CT370" s="9"/>
      <c r="CU370" s="9"/>
      <c r="CV370" s="9"/>
      <c r="CW370" s="129"/>
      <c r="CX370" s="9"/>
    </row>
    <row r="371" spans="1:102">
      <c r="A371" s="6" t="str">
        <f t="shared" si="51"/>
        <v>00730806</v>
      </c>
      <c r="B371" s="6" t="s">
        <v>1723</v>
      </c>
      <c r="C371" s="6" t="s">
        <v>2064</v>
      </c>
      <c r="D371" s="6">
        <v>362</v>
      </c>
      <c r="E371" s="6">
        <v>73</v>
      </c>
      <c r="F371" s="6" t="s">
        <v>1192</v>
      </c>
      <c r="G371" s="6">
        <v>806</v>
      </c>
      <c r="H371" s="6" t="s">
        <v>1094</v>
      </c>
      <c r="I371" s="33">
        <v>2203506.3207371407</v>
      </c>
      <c r="J371" s="88">
        <v>5.9377881169786734E-2</v>
      </c>
      <c r="K371" s="89">
        <f t="shared" si="60"/>
        <v>2268724.5771412598</v>
      </c>
      <c r="L371" s="88">
        <f>IF(K374&gt;0, K371/K374, 0)</f>
        <v>5.4544646113365423E-2</v>
      </c>
      <c r="M371" s="58"/>
      <c r="N371" s="9">
        <f>ROUND(M374*L371,0)</f>
        <v>1703037</v>
      </c>
      <c r="O371" s="9">
        <v>1758793</v>
      </c>
      <c r="P371" s="9">
        <f>N371-O371</f>
        <v>-55756</v>
      </c>
      <c r="Q371" s="40">
        <f t="shared" si="59"/>
        <v>-3.1701286052423452</v>
      </c>
      <c r="R371" s="9">
        <v>101.00000000074999</v>
      </c>
      <c r="S371" s="9">
        <f t="shared" si="57"/>
        <v>101.9999999968</v>
      </c>
      <c r="T371" s="90">
        <f t="shared" si="52"/>
        <v>73</v>
      </c>
      <c r="U371" s="90">
        <f t="shared" si="53"/>
        <v>806</v>
      </c>
      <c r="V371" s="373">
        <f t="shared" si="54"/>
        <v>362</v>
      </c>
      <c r="W371" s="90">
        <f t="shared" si="55"/>
        <v>101.9999999968</v>
      </c>
      <c r="X371" s="90">
        <f t="shared" si="56"/>
        <v>2268724.5771412598</v>
      </c>
      <c r="Y371" s="141">
        <f t="shared" si="58"/>
        <v>362</v>
      </c>
      <c r="Z371" s="298">
        <v>73</v>
      </c>
      <c r="AA371" s="299">
        <v>806</v>
      </c>
      <c r="AB371" s="299">
        <v>362</v>
      </c>
      <c r="AC371" s="301">
        <v>101.9999999968</v>
      </c>
      <c r="AD371" s="301">
        <v>2268724.5771412598</v>
      </c>
      <c r="AE371" s="126"/>
      <c r="AF371" s="298"/>
      <c r="AG371" s="299"/>
      <c r="AH371" s="299"/>
      <c r="AI371" s="301"/>
      <c r="AJ371" s="301"/>
      <c r="AK371" s="426"/>
      <c r="AL371" s="298"/>
      <c r="AM371" s="299"/>
      <c r="AN371" s="299"/>
      <c r="AO371" s="301"/>
      <c r="AP371" s="301"/>
      <c r="AQ371" s="426"/>
      <c r="AR371" s="298"/>
      <c r="AS371" s="299"/>
      <c r="AT371" s="299"/>
      <c r="AU371" s="301"/>
      <c r="AV371" s="301"/>
      <c r="AW371" s="88"/>
      <c r="AX371" s="298"/>
      <c r="AY371" s="299"/>
      <c r="AZ371" s="299"/>
      <c r="BA371" s="301"/>
      <c r="BB371" s="301"/>
      <c r="BC371" s="426"/>
      <c r="BD371" s="298"/>
      <c r="BE371" s="299"/>
      <c r="BF371" s="299"/>
      <c r="BG371" s="301"/>
      <c r="BH371" s="301"/>
      <c r="BI371" s="88"/>
      <c r="BJ371" s="298"/>
      <c r="BK371" s="299"/>
      <c r="BL371" s="299"/>
      <c r="BM371" s="301"/>
      <c r="BN371" s="301"/>
      <c r="BO371" s="88"/>
      <c r="BP371" s="9"/>
      <c r="BS371" s="81"/>
      <c r="BT371" s="81"/>
      <c r="BV371" s="9"/>
      <c r="BY371" s="81"/>
      <c r="BZ371" s="81"/>
      <c r="CB371" s="9"/>
      <c r="CE371" s="81"/>
      <c r="CF371" s="81"/>
      <c r="CH371" s="9"/>
      <c r="CK371" s="81"/>
      <c r="CL371" s="81"/>
      <c r="CR371" s="9"/>
      <c r="CS371" s="9"/>
      <c r="CT371" s="9"/>
      <c r="CU371" s="9"/>
      <c r="CV371" s="9"/>
      <c r="CW371" s="129"/>
      <c r="CX371" s="9"/>
    </row>
    <row r="372" spans="1:102">
      <c r="A372" s="6" t="str">
        <f t="shared" si="51"/>
        <v>00730915</v>
      </c>
      <c r="B372" s="6" t="s">
        <v>1723</v>
      </c>
      <c r="C372" s="6" t="s">
        <v>2089</v>
      </c>
      <c r="D372" s="6">
        <v>363</v>
      </c>
      <c r="E372" s="6">
        <v>73</v>
      </c>
      <c r="F372" s="6" t="s">
        <v>1192</v>
      </c>
      <c r="G372" s="6">
        <v>915</v>
      </c>
      <c r="H372" s="6" t="s">
        <v>1119</v>
      </c>
      <c r="I372" s="33">
        <v>258320.19545428283</v>
      </c>
      <c r="J372" s="88">
        <v>6.9609538784119688E-3</v>
      </c>
      <c r="K372" s="89">
        <f t="shared" si="60"/>
        <v>264287.66255790152</v>
      </c>
      <c r="L372" s="88">
        <f>IF(K374&gt;0, K372/K374, 0)</f>
        <v>6.3540004686305791E-3</v>
      </c>
      <c r="M372" s="58"/>
      <c r="N372" s="9">
        <f>ROUND(M374*L372,0)</f>
        <v>198390</v>
      </c>
      <c r="O372" s="9">
        <v>206186</v>
      </c>
      <c r="P372" s="9">
        <f>N372-O372</f>
        <v>-7796</v>
      </c>
      <c r="Q372" s="40">
        <f t="shared" si="59"/>
        <v>-3.7810520597906745</v>
      </c>
      <c r="R372" s="9">
        <v>12.00000000012</v>
      </c>
      <c r="S372" s="9">
        <f t="shared" si="57"/>
        <v>11.99999999896</v>
      </c>
      <c r="T372" s="90">
        <f t="shared" si="52"/>
        <v>73</v>
      </c>
      <c r="U372" s="90">
        <f t="shared" si="53"/>
        <v>915</v>
      </c>
      <c r="V372" s="373">
        <f t="shared" si="54"/>
        <v>363</v>
      </c>
      <c r="W372" s="90">
        <f t="shared" si="55"/>
        <v>11.99999999896</v>
      </c>
      <c r="X372" s="90">
        <f t="shared" si="56"/>
        <v>264287.66255790152</v>
      </c>
      <c r="Y372" s="141">
        <f t="shared" si="58"/>
        <v>363</v>
      </c>
      <c r="Z372" s="298">
        <v>73</v>
      </c>
      <c r="AA372" s="299">
        <v>915</v>
      </c>
      <c r="AB372" s="299">
        <v>363</v>
      </c>
      <c r="AC372" s="301">
        <v>11.99999999896</v>
      </c>
      <c r="AD372" s="301">
        <v>264287.66255790152</v>
      </c>
      <c r="AE372" s="126"/>
      <c r="AF372" s="298"/>
      <c r="AG372" s="299"/>
      <c r="AH372" s="299"/>
      <c r="AI372" s="301"/>
      <c r="AJ372" s="301"/>
      <c r="AK372" s="426"/>
      <c r="AL372" s="298"/>
      <c r="AM372" s="299"/>
      <c r="AN372" s="299"/>
      <c r="AO372" s="301"/>
      <c r="AP372" s="301"/>
      <c r="AQ372" s="426"/>
      <c r="AR372" s="298"/>
      <c r="AS372" s="299"/>
      <c r="AT372" s="299"/>
      <c r="AU372" s="301"/>
      <c r="AV372" s="301"/>
      <c r="AW372" s="88"/>
      <c r="AX372" s="298"/>
      <c r="AY372" s="299"/>
      <c r="AZ372" s="299"/>
      <c r="BA372" s="301"/>
      <c r="BB372" s="301"/>
      <c r="BC372" s="426"/>
      <c r="BD372" s="298"/>
      <c r="BE372" s="299"/>
      <c r="BF372" s="299"/>
      <c r="BG372" s="301"/>
      <c r="BH372" s="301"/>
      <c r="BI372" s="88"/>
      <c r="BJ372" s="298"/>
      <c r="BK372" s="299"/>
      <c r="BL372" s="299"/>
      <c r="BM372" s="301"/>
      <c r="BN372" s="301"/>
      <c r="BO372" s="88"/>
      <c r="BP372" s="9"/>
      <c r="BS372" s="81"/>
      <c r="BT372" s="81"/>
      <c r="BV372" s="9"/>
      <c r="BY372" s="81"/>
      <c r="BZ372" s="81"/>
      <c r="CB372" s="9"/>
      <c r="CE372" s="81"/>
      <c r="CF372" s="81"/>
      <c r="CH372" s="9"/>
      <c r="CK372" s="81"/>
      <c r="CL372" s="81"/>
      <c r="CR372" s="9"/>
      <c r="CS372" s="9"/>
      <c r="CT372" s="9"/>
      <c r="CU372" s="9"/>
      <c r="CV372" s="9"/>
      <c r="CW372" s="129"/>
      <c r="CX372" s="9"/>
    </row>
    <row r="373" spans="1:102">
      <c r="A373" s="6" t="str">
        <f t="shared" si="51"/>
        <v>00730998</v>
      </c>
      <c r="B373" s="6" t="s">
        <v>1723</v>
      </c>
      <c r="C373" s="6" t="s">
        <v>2091</v>
      </c>
      <c r="D373" s="6">
        <v>364</v>
      </c>
      <c r="E373" s="6">
        <v>73</v>
      </c>
      <c r="F373" s="6" t="s">
        <v>1547</v>
      </c>
      <c r="G373" s="6">
        <v>998</v>
      </c>
      <c r="H373" s="6" t="s">
        <v>1547</v>
      </c>
      <c r="I373" s="33">
        <v>0</v>
      </c>
      <c r="J373" s="88">
        <v>0</v>
      </c>
      <c r="K373" s="89">
        <f t="shared" si="60"/>
        <v>0</v>
      </c>
      <c r="L373" s="88">
        <f>IF(K374&gt;0, K373/K374, 0)</f>
        <v>0</v>
      </c>
      <c r="M373" s="58"/>
      <c r="N373" s="9">
        <f>ROUND(M374*L373,0)</f>
        <v>0</v>
      </c>
      <c r="O373" s="9">
        <v>0</v>
      </c>
      <c r="P373" s="9">
        <f>N373-O373</f>
        <v>0</v>
      </c>
      <c r="Q373" s="40">
        <f t="shared" si="59"/>
        <v>0</v>
      </c>
      <c r="R373" s="9">
        <v>0</v>
      </c>
      <c r="S373" s="9">
        <f t="shared" si="57"/>
        <v>0</v>
      </c>
      <c r="T373" s="90">
        <f t="shared" si="52"/>
        <v>73</v>
      </c>
      <c r="U373" s="90">
        <f t="shared" si="53"/>
        <v>998</v>
      </c>
      <c r="V373" s="373">
        <f t="shared" si="54"/>
        <v>364</v>
      </c>
      <c r="W373" s="90">
        <f t="shared" si="55"/>
        <v>0</v>
      </c>
      <c r="X373" s="90">
        <f t="shared" si="56"/>
        <v>0</v>
      </c>
      <c r="Y373" s="141">
        <f t="shared" si="58"/>
        <v>364</v>
      </c>
      <c r="Z373" s="298">
        <v>73</v>
      </c>
      <c r="AA373" s="299">
        <v>998</v>
      </c>
      <c r="AB373" s="299">
        <v>364</v>
      </c>
      <c r="AC373" s="301">
        <v>0</v>
      </c>
      <c r="AD373" s="301">
        <v>0</v>
      </c>
      <c r="AE373" s="126"/>
      <c r="AF373" s="298"/>
      <c r="AG373" s="299"/>
      <c r="AH373" s="299"/>
      <c r="AI373" s="301"/>
      <c r="AJ373" s="301"/>
      <c r="AK373" s="426"/>
      <c r="AL373" s="298"/>
      <c r="AM373" s="299"/>
      <c r="AN373" s="299"/>
      <c r="AO373" s="301"/>
      <c r="AP373" s="301"/>
      <c r="AQ373" s="426"/>
      <c r="AR373" s="298"/>
      <c r="AS373" s="299"/>
      <c r="AT373" s="299"/>
      <c r="AU373" s="301"/>
      <c r="AV373" s="301"/>
      <c r="AW373" s="88"/>
      <c r="AX373" s="298"/>
      <c r="AY373" s="299"/>
      <c r="AZ373" s="299"/>
      <c r="BA373" s="301"/>
      <c r="BB373" s="301"/>
      <c r="BC373" s="426"/>
      <c r="BD373" s="298"/>
      <c r="BE373" s="299"/>
      <c r="BF373" s="299"/>
      <c r="BG373" s="301"/>
      <c r="BH373" s="301"/>
      <c r="BI373" s="88"/>
      <c r="BJ373" s="298"/>
      <c r="BK373" s="299"/>
      <c r="BL373" s="299"/>
      <c r="BM373" s="301"/>
      <c r="BN373" s="301"/>
      <c r="BO373" s="88"/>
      <c r="BP373" s="9"/>
      <c r="BS373" s="81"/>
      <c r="BT373" s="81"/>
      <c r="BV373" s="9"/>
      <c r="BY373" s="81"/>
      <c r="BZ373" s="81"/>
      <c r="CB373" s="9"/>
      <c r="CE373" s="81"/>
      <c r="CF373" s="81"/>
      <c r="CH373" s="9"/>
      <c r="CK373" s="81"/>
      <c r="CL373" s="81"/>
      <c r="CR373" s="9"/>
      <c r="CS373" s="9"/>
      <c r="CT373" s="9"/>
      <c r="CU373" s="9"/>
      <c r="CV373" s="9"/>
      <c r="CW373" s="129"/>
      <c r="CX373" s="9"/>
    </row>
    <row r="374" spans="1:102">
      <c r="A374" s="6" t="str">
        <f t="shared" si="51"/>
        <v>00730999</v>
      </c>
      <c r="B374" s="6" t="s">
        <v>1723</v>
      </c>
      <c r="C374" s="6" t="s">
        <v>2092</v>
      </c>
      <c r="D374" s="6">
        <v>365</v>
      </c>
      <c r="E374" s="10">
        <v>73</v>
      </c>
      <c r="F374" s="10" t="s">
        <v>1192</v>
      </c>
      <c r="G374" s="10">
        <v>999</v>
      </c>
      <c r="H374" s="10" t="s">
        <v>593</v>
      </c>
      <c r="I374" s="92">
        <v>37109884.646041423</v>
      </c>
      <c r="J374" s="472">
        <v>1</v>
      </c>
      <c r="K374" s="53">
        <f>SUM(K370:K373)</f>
        <v>41593900.388059162</v>
      </c>
      <c r="L374" s="91">
        <f>SUM(L370:L373)</f>
        <v>0.99999999999999989</v>
      </c>
      <c r="M374" s="79">
        <f>VLOOKUP(E374,town351,24)</f>
        <v>31222801</v>
      </c>
      <c r="N374" s="79">
        <f>SUM(N370:N373)</f>
        <v>31222802</v>
      </c>
      <c r="O374" s="79">
        <v>29620340</v>
      </c>
      <c r="P374" s="79">
        <f>SUM(P370:P373)</f>
        <v>1602462</v>
      </c>
      <c r="Q374" s="39">
        <f t="shared" si="59"/>
        <v>5.4100054219499167</v>
      </c>
      <c r="R374" s="9">
        <v>2642.0000000008699</v>
      </c>
      <c r="S374" s="9">
        <f t="shared" si="57"/>
        <v>2861.9999999957599</v>
      </c>
      <c r="T374" s="90">
        <f t="shared" si="52"/>
        <v>73</v>
      </c>
      <c r="U374" s="90">
        <f t="shared" si="53"/>
        <v>999</v>
      </c>
      <c r="V374" s="373">
        <f t="shared" si="54"/>
        <v>365</v>
      </c>
      <c r="W374" s="90">
        <f t="shared" si="55"/>
        <v>2861.9999999957599</v>
      </c>
      <c r="X374" s="90">
        <f t="shared" si="56"/>
        <v>41593900.388059162</v>
      </c>
      <c r="Y374" s="141">
        <f t="shared" si="58"/>
        <v>365</v>
      </c>
      <c r="Z374" s="298">
        <v>73</v>
      </c>
      <c r="AA374" s="299">
        <v>999</v>
      </c>
      <c r="AB374" s="299">
        <v>365</v>
      </c>
      <c r="AC374" s="301">
        <v>2861.9999999957599</v>
      </c>
      <c r="AD374" s="301">
        <v>41593900.388059162</v>
      </c>
      <c r="AE374" s="126"/>
      <c r="AF374" s="298"/>
      <c r="AG374" s="299"/>
      <c r="AH374" s="299"/>
      <c r="AI374" s="301"/>
      <c r="AJ374" s="301"/>
      <c r="AK374" s="426"/>
      <c r="AL374" s="298"/>
      <c r="AM374" s="299"/>
      <c r="AN374" s="299"/>
      <c r="AO374" s="301"/>
      <c r="AP374" s="301"/>
      <c r="AQ374" s="426"/>
      <c r="AR374" s="298"/>
      <c r="AS374" s="299"/>
      <c r="AT374" s="299"/>
      <c r="AU374" s="301"/>
      <c r="AV374" s="301"/>
      <c r="AW374" s="91"/>
      <c r="AX374" s="298"/>
      <c r="AY374" s="299"/>
      <c r="AZ374" s="299"/>
      <c r="BA374" s="301"/>
      <c r="BB374" s="301"/>
      <c r="BC374" s="426"/>
      <c r="BD374" s="298"/>
      <c r="BE374" s="299"/>
      <c r="BF374" s="299"/>
      <c r="BG374" s="301"/>
      <c r="BH374" s="301"/>
      <c r="BI374" s="91"/>
      <c r="BJ374" s="298"/>
      <c r="BK374" s="299"/>
      <c r="BL374" s="299"/>
      <c r="BM374" s="301"/>
      <c r="BN374" s="301"/>
      <c r="BO374" s="91"/>
      <c r="BP374" s="9"/>
      <c r="BS374" s="81"/>
      <c r="BT374" s="81"/>
      <c r="BV374" s="9"/>
      <c r="BY374" s="81"/>
      <c r="BZ374" s="81"/>
      <c r="CB374" s="9"/>
      <c r="CE374" s="81"/>
      <c r="CF374" s="81"/>
      <c r="CH374" s="9"/>
      <c r="CK374" s="81"/>
      <c r="CL374" s="81"/>
      <c r="CR374" s="9"/>
      <c r="CS374" s="9"/>
      <c r="CT374" s="9"/>
      <c r="CU374" s="9"/>
      <c r="CV374" s="9"/>
      <c r="CW374" s="129"/>
      <c r="CX374" s="9"/>
    </row>
    <row r="375" spans="1:102">
      <c r="A375" s="6" t="str">
        <f t="shared" si="51"/>
        <v>00740074</v>
      </c>
      <c r="B375" s="6" t="s">
        <v>1724</v>
      </c>
      <c r="C375" s="6" t="s">
        <v>1724</v>
      </c>
      <c r="D375" s="6">
        <v>366</v>
      </c>
      <c r="E375" s="6">
        <v>74</v>
      </c>
      <c r="F375" s="6" t="s">
        <v>1193</v>
      </c>
      <c r="G375" s="6">
        <v>74</v>
      </c>
      <c r="H375" s="6" t="s">
        <v>755</v>
      </c>
      <c r="I375" s="33">
        <v>3505682.31</v>
      </c>
      <c r="J375" s="88">
        <v>0.48630737730481977</v>
      </c>
      <c r="K375" s="89">
        <f>X375</f>
        <v>3547455.8600000003</v>
      </c>
      <c r="L375" s="88">
        <f>IF(K379&gt;0, K375/K379, 0)</f>
        <v>0.47707417500468141</v>
      </c>
      <c r="M375" s="58"/>
      <c r="N375" s="9">
        <f>ROUND(M379*L375,0)</f>
        <v>2926651</v>
      </c>
      <c r="O375" s="9">
        <v>2863682</v>
      </c>
      <c r="P375" s="9">
        <f>N375-O375</f>
        <v>62969</v>
      </c>
      <c r="Q375" s="40">
        <f t="shared" si="59"/>
        <v>2.1988824178103576</v>
      </c>
      <c r="R375" s="9">
        <v>281</v>
      </c>
      <c r="S375" s="9">
        <f t="shared" si="57"/>
        <v>279</v>
      </c>
      <c r="T375" s="90">
        <f t="shared" si="52"/>
        <v>74</v>
      </c>
      <c r="U375" s="90">
        <f t="shared" si="53"/>
        <v>74</v>
      </c>
      <c r="V375" s="373">
        <f t="shared" si="54"/>
        <v>366</v>
      </c>
      <c r="W375" s="90">
        <f t="shared" si="55"/>
        <v>279</v>
      </c>
      <c r="X375" s="90">
        <f t="shared" si="56"/>
        <v>3547455.8600000003</v>
      </c>
      <c r="Y375" s="141">
        <f t="shared" si="58"/>
        <v>366</v>
      </c>
      <c r="Z375" s="298">
        <v>74</v>
      </c>
      <c r="AA375" s="299">
        <v>74</v>
      </c>
      <c r="AB375" s="299">
        <v>366</v>
      </c>
      <c r="AC375" s="301">
        <v>279</v>
      </c>
      <c r="AD375" s="301">
        <v>3547455.8600000003</v>
      </c>
      <c r="AE375" s="126"/>
      <c r="AF375" s="298"/>
      <c r="AG375" s="299"/>
      <c r="AH375" s="299"/>
      <c r="AI375" s="301"/>
      <c r="AJ375" s="301"/>
      <c r="AK375" s="426"/>
      <c r="AL375" s="298"/>
      <c r="AM375" s="299"/>
      <c r="AN375" s="299"/>
      <c r="AO375" s="301"/>
      <c r="AP375" s="301"/>
      <c r="AQ375" s="426"/>
      <c r="AR375" s="298"/>
      <c r="AS375" s="299"/>
      <c r="AT375" s="299"/>
      <c r="AU375" s="301"/>
      <c r="AV375" s="301"/>
      <c r="AW375" s="88"/>
      <c r="AX375" s="298"/>
      <c r="AY375" s="299"/>
      <c r="AZ375" s="299"/>
      <c r="BA375" s="301"/>
      <c r="BB375" s="301"/>
      <c r="BC375" s="426"/>
      <c r="BD375" s="298"/>
      <c r="BE375" s="299"/>
      <c r="BF375" s="299"/>
      <c r="BG375" s="301"/>
      <c r="BH375" s="301"/>
      <c r="BI375" s="88"/>
      <c r="BJ375" s="298"/>
      <c r="BK375" s="299"/>
      <c r="BL375" s="299"/>
      <c r="BM375" s="301"/>
      <c r="BN375" s="301"/>
      <c r="BO375" s="88"/>
      <c r="BP375" s="9"/>
      <c r="BS375" s="81"/>
      <c r="BT375" s="81"/>
      <c r="BV375" s="9"/>
      <c r="BY375" s="81"/>
      <c r="BZ375" s="81"/>
      <c r="CB375" s="9"/>
      <c r="CE375" s="81"/>
      <c r="CF375" s="81"/>
      <c r="CH375" s="9"/>
      <c r="CK375" s="81"/>
      <c r="CL375" s="81"/>
      <c r="CR375" s="9"/>
      <c r="CS375" s="9"/>
      <c r="CT375" s="9"/>
      <c r="CU375" s="9"/>
      <c r="CV375" s="9"/>
      <c r="CW375" s="129"/>
      <c r="CX375" s="9"/>
    </row>
    <row r="376" spans="1:102">
      <c r="A376" s="6" t="str">
        <f t="shared" si="51"/>
        <v>00740670</v>
      </c>
      <c r="B376" s="6" t="s">
        <v>1724</v>
      </c>
      <c r="C376" s="6" t="s">
        <v>2024</v>
      </c>
      <c r="D376" s="6">
        <v>367</v>
      </c>
      <c r="E376" s="6">
        <v>74</v>
      </c>
      <c r="F376" s="6" t="s">
        <v>1193</v>
      </c>
      <c r="G376" s="6">
        <v>670</v>
      </c>
      <c r="H376" s="6" t="s">
        <v>1054</v>
      </c>
      <c r="I376" s="33">
        <v>3169129.9019607189</v>
      </c>
      <c r="J376" s="88">
        <v>0.43962091104621448</v>
      </c>
      <c r="K376" s="89">
        <f t="shared" si="60"/>
        <v>3123409.6120806779</v>
      </c>
      <c r="L376" s="88">
        <f>IF(K379&gt;0, K376/K379, 0)</f>
        <v>0.42004696399099983</v>
      </c>
      <c r="M376" s="58"/>
      <c r="N376" s="9">
        <f>ROUND(M379*L376,0)</f>
        <v>2576813</v>
      </c>
      <c r="O376" s="9">
        <v>2588763</v>
      </c>
      <c r="P376" s="9">
        <f>N376-O376</f>
        <v>-11950</v>
      </c>
      <c r="Q376" s="40">
        <f t="shared" si="59"/>
        <v>-0.46161042938268199</v>
      </c>
      <c r="R376" s="9">
        <v>225.46201232103999</v>
      </c>
      <c r="S376" s="9">
        <f t="shared" si="57"/>
        <v>216.45283018904001</v>
      </c>
      <c r="T376" s="90">
        <f t="shared" si="52"/>
        <v>74</v>
      </c>
      <c r="U376" s="90">
        <f t="shared" si="53"/>
        <v>670</v>
      </c>
      <c r="V376" s="373">
        <f t="shared" si="54"/>
        <v>367</v>
      </c>
      <c r="W376" s="90">
        <f t="shared" si="55"/>
        <v>216.45283018904001</v>
      </c>
      <c r="X376" s="90">
        <f t="shared" si="56"/>
        <v>3123409.6120806779</v>
      </c>
      <c r="Y376" s="141">
        <f t="shared" si="58"/>
        <v>367</v>
      </c>
      <c r="Z376" s="298">
        <v>74</v>
      </c>
      <c r="AA376" s="299">
        <v>670</v>
      </c>
      <c r="AB376" s="299">
        <v>367</v>
      </c>
      <c r="AC376" s="301">
        <v>216.45283018904001</v>
      </c>
      <c r="AD376" s="301">
        <v>3123409.6120806779</v>
      </c>
      <c r="AE376" s="126"/>
      <c r="AF376" s="298"/>
      <c r="AG376" s="299"/>
      <c r="AH376" s="299"/>
      <c r="AI376" s="301"/>
      <c r="AJ376" s="301"/>
      <c r="AK376" s="426"/>
      <c r="AL376" s="298"/>
      <c r="AM376" s="299"/>
      <c r="AN376" s="299"/>
      <c r="AO376" s="301"/>
      <c r="AP376" s="301"/>
      <c r="AQ376" s="426"/>
      <c r="AR376" s="298"/>
      <c r="AS376" s="299"/>
      <c r="AT376" s="299"/>
      <c r="AU376" s="301"/>
      <c r="AV376" s="301"/>
      <c r="AW376" s="88"/>
      <c r="AX376" s="298"/>
      <c r="AY376" s="299"/>
      <c r="AZ376" s="299"/>
      <c r="BA376" s="301"/>
      <c r="BB376" s="301"/>
      <c r="BC376" s="426"/>
      <c r="BD376" s="298"/>
      <c r="BE376" s="299"/>
      <c r="BF376" s="299"/>
      <c r="BG376" s="301"/>
      <c r="BH376" s="301"/>
      <c r="BI376" s="88"/>
      <c r="BJ376" s="298"/>
      <c r="BK376" s="299"/>
      <c r="BL376" s="299"/>
      <c r="BM376" s="301"/>
      <c r="BN376" s="301"/>
      <c r="BO376" s="88"/>
      <c r="BP376" s="9"/>
      <c r="BS376" s="81"/>
      <c r="BT376" s="81"/>
      <c r="BV376" s="9"/>
      <c r="BY376" s="81"/>
      <c r="BZ376" s="81"/>
      <c r="CB376" s="9"/>
      <c r="CE376" s="81"/>
      <c r="CF376" s="81"/>
      <c r="CH376" s="9"/>
      <c r="CK376" s="81"/>
      <c r="CL376" s="81"/>
      <c r="CR376" s="9"/>
      <c r="CS376" s="9"/>
      <c r="CT376" s="9"/>
      <c r="CU376" s="9"/>
      <c r="CV376" s="9"/>
      <c r="CW376" s="129"/>
      <c r="CX376" s="9"/>
    </row>
    <row r="377" spans="1:102">
      <c r="A377" s="6" t="str">
        <f t="shared" si="51"/>
        <v>00740818</v>
      </c>
      <c r="B377" s="6" t="s">
        <v>1724</v>
      </c>
      <c r="C377" s="6" t="s">
        <v>2068</v>
      </c>
      <c r="D377" s="6">
        <v>368</v>
      </c>
      <c r="E377" s="6">
        <v>74</v>
      </c>
      <c r="F377" s="6" t="s">
        <v>1193</v>
      </c>
      <c r="G377" s="6">
        <v>818</v>
      </c>
      <c r="H377" s="6" t="s">
        <v>1098</v>
      </c>
      <c r="I377" s="33">
        <v>533966.58434082626</v>
      </c>
      <c r="J377" s="88">
        <v>7.4071711648965713E-2</v>
      </c>
      <c r="K377" s="89">
        <f t="shared" si="60"/>
        <v>764992.6100827296</v>
      </c>
      <c r="L377" s="88">
        <f>IF(K379&gt;0, K377/K379, 0)</f>
        <v>0.10287886100431878</v>
      </c>
      <c r="M377" s="58"/>
      <c r="N377" s="9">
        <f>ROUND(M379*L377,0)</f>
        <v>631119</v>
      </c>
      <c r="O377" s="9">
        <v>436181</v>
      </c>
      <c r="P377" s="9">
        <f>N377-O377</f>
        <v>194938</v>
      </c>
      <c r="Q377" s="40">
        <f t="shared" si="59"/>
        <v>44.691997129631964</v>
      </c>
      <c r="R377" s="9">
        <v>24.9999999984</v>
      </c>
      <c r="S377" s="9">
        <f t="shared" si="57"/>
        <v>35.000000000580002</v>
      </c>
      <c r="T377" s="90">
        <f t="shared" si="52"/>
        <v>74</v>
      </c>
      <c r="U377" s="90">
        <f t="shared" si="53"/>
        <v>818</v>
      </c>
      <c r="V377" s="373">
        <f t="shared" si="54"/>
        <v>368</v>
      </c>
      <c r="W377" s="90">
        <f t="shared" si="55"/>
        <v>35.000000000580002</v>
      </c>
      <c r="X377" s="90">
        <f t="shared" si="56"/>
        <v>764992.6100827296</v>
      </c>
      <c r="Y377" s="141">
        <f t="shared" si="58"/>
        <v>368</v>
      </c>
      <c r="Z377" s="298">
        <v>74</v>
      </c>
      <c r="AA377" s="299">
        <v>818</v>
      </c>
      <c r="AB377" s="299">
        <v>368</v>
      </c>
      <c r="AC377" s="301">
        <v>35.000000000580002</v>
      </c>
      <c r="AD377" s="301">
        <v>764992.6100827296</v>
      </c>
      <c r="AE377" s="126"/>
      <c r="AF377" s="298"/>
      <c r="AG377" s="299"/>
      <c r="AH377" s="299"/>
      <c r="AI377" s="301"/>
      <c r="AJ377" s="301"/>
      <c r="AK377" s="426"/>
      <c r="AL377" s="298"/>
      <c r="AM377" s="299"/>
      <c r="AN377" s="299"/>
      <c r="AO377" s="301"/>
      <c r="AP377" s="301"/>
      <c r="AQ377" s="426"/>
      <c r="AR377" s="298"/>
      <c r="AS377" s="299"/>
      <c r="AT377" s="299"/>
      <c r="AU377" s="301"/>
      <c r="AV377" s="301"/>
      <c r="AW377" s="88"/>
      <c r="AX377" s="298"/>
      <c r="AY377" s="299"/>
      <c r="AZ377" s="299"/>
      <c r="BA377" s="301"/>
      <c r="BB377" s="301"/>
      <c r="BC377" s="426"/>
      <c r="BD377" s="298"/>
      <c r="BE377" s="299"/>
      <c r="BF377" s="299"/>
      <c r="BG377" s="301"/>
      <c r="BH377" s="301"/>
      <c r="BI377" s="88"/>
      <c r="BJ377" s="298"/>
      <c r="BK377" s="299"/>
      <c r="BL377" s="299"/>
      <c r="BM377" s="301"/>
      <c r="BN377" s="301"/>
      <c r="BO377" s="88"/>
      <c r="BP377" s="9"/>
      <c r="BS377" s="81"/>
      <c r="BT377" s="81"/>
      <c r="BV377" s="9"/>
      <c r="BY377" s="81"/>
      <c r="BZ377" s="81"/>
      <c r="CB377" s="9"/>
      <c r="CE377" s="81"/>
      <c r="CF377" s="81"/>
      <c r="CH377" s="9"/>
      <c r="CK377" s="81"/>
      <c r="CL377" s="81"/>
      <c r="CR377" s="9"/>
      <c r="CS377" s="9"/>
      <c r="CT377" s="9"/>
      <c r="CU377" s="9"/>
      <c r="CV377" s="9"/>
      <c r="CW377" s="129"/>
      <c r="CX377" s="9"/>
    </row>
    <row r="378" spans="1:102">
      <c r="A378" s="6" t="str">
        <f t="shared" si="51"/>
        <v>00740998</v>
      </c>
      <c r="B378" s="6" t="s">
        <v>1724</v>
      </c>
      <c r="C378" s="6" t="s">
        <v>2091</v>
      </c>
      <c r="D378" s="6">
        <v>369</v>
      </c>
      <c r="E378" s="6">
        <v>74</v>
      </c>
      <c r="F378" s="6" t="s">
        <v>1547</v>
      </c>
      <c r="G378" s="6">
        <v>998</v>
      </c>
      <c r="H378" s="6" t="s">
        <v>1547</v>
      </c>
      <c r="I378" s="33">
        <v>0</v>
      </c>
      <c r="J378" s="88">
        <v>0</v>
      </c>
      <c r="K378" s="89">
        <f t="shared" si="60"/>
        <v>0</v>
      </c>
      <c r="L378" s="88">
        <f>IF(K379&gt;0, K378/K379, 0)</f>
        <v>0</v>
      </c>
      <c r="M378" s="58"/>
      <c r="N378" s="9">
        <f>ROUND(M379*L378,0)</f>
        <v>0</v>
      </c>
      <c r="O378" s="9">
        <v>0</v>
      </c>
      <c r="P378" s="9">
        <f>N378-O378</f>
        <v>0</v>
      </c>
      <c r="Q378" s="40">
        <f t="shared" si="59"/>
        <v>0</v>
      </c>
      <c r="R378" s="9">
        <v>0</v>
      </c>
      <c r="S378" s="9">
        <f t="shared" si="57"/>
        <v>0</v>
      </c>
      <c r="T378" s="90">
        <f t="shared" si="52"/>
        <v>74</v>
      </c>
      <c r="U378" s="90">
        <f t="shared" si="53"/>
        <v>998</v>
      </c>
      <c r="V378" s="373">
        <f t="shared" si="54"/>
        <v>369</v>
      </c>
      <c r="W378" s="90">
        <f t="shared" si="55"/>
        <v>0</v>
      </c>
      <c r="X378" s="90">
        <f t="shared" si="56"/>
        <v>0</v>
      </c>
      <c r="Y378" s="141">
        <f t="shared" si="58"/>
        <v>369</v>
      </c>
      <c r="Z378" s="298">
        <v>74</v>
      </c>
      <c r="AA378" s="299">
        <v>998</v>
      </c>
      <c r="AB378" s="299">
        <v>369</v>
      </c>
      <c r="AC378" s="301">
        <v>0</v>
      </c>
      <c r="AD378" s="301">
        <v>0</v>
      </c>
      <c r="AE378" s="126"/>
      <c r="AF378" s="298"/>
      <c r="AG378" s="299"/>
      <c r="AH378" s="299"/>
      <c r="AI378" s="301"/>
      <c r="AJ378" s="301"/>
      <c r="AK378" s="426"/>
      <c r="AL378" s="298"/>
      <c r="AM378" s="299"/>
      <c r="AN378" s="299"/>
      <c r="AO378" s="301"/>
      <c r="AP378" s="301"/>
      <c r="AQ378" s="426"/>
      <c r="AR378" s="298"/>
      <c r="AS378" s="299"/>
      <c r="AT378" s="299"/>
      <c r="AU378" s="301"/>
      <c r="AV378" s="301"/>
      <c r="AW378" s="88"/>
      <c r="AX378" s="298"/>
      <c r="AY378" s="299"/>
      <c r="AZ378" s="299"/>
      <c r="BA378" s="301"/>
      <c r="BB378" s="301"/>
      <c r="BC378" s="426"/>
      <c r="BD378" s="298"/>
      <c r="BE378" s="299"/>
      <c r="BF378" s="299"/>
      <c r="BG378" s="301"/>
      <c r="BH378" s="301"/>
      <c r="BI378" s="88"/>
      <c r="BJ378" s="298"/>
      <c r="BK378" s="299"/>
      <c r="BL378" s="299"/>
      <c r="BM378" s="301"/>
      <c r="BN378" s="301"/>
      <c r="BO378" s="88"/>
      <c r="BP378" s="9"/>
      <c r="BS378" s="81"/>
      <c r="BT378" s="81"/>
      <c r="BV378" s="9"/>
      <c r="BY378" s="81"/>
      <c r="BZ378" s="81"/>
      <c r="CB378" s="9"/>
      <c r="CE378" s="81"/>
      <c r="CF378" s="81"/>
      <c r="CH378" s="9"/>
      <c r="CK378" s="81"/>
      <c r="CL378" s="81"/>
      <c r="CR378" s="9"/>
      <c r="CS378" s="9"/>
      <c r="CT378" s="9"/>
      <c r="CU378" s="9"/>
      <c r="CV378" s="9"/>
      <c r="CW378" s="129"/>
      <c r="CX378" s="9"/>
    </row>
    <row r="379" spans="1:102">
      <c r="A379" s="6" t="str">
        <f t="shared" si="51"/>
        <v>00740999</v>
      </c>
      <c r="B379" s="6" t="s">
        <v>1724</v>
      </c>
      <c r="C379" s="6" t="s">
        <v>2092</v>
      </c>
      <c r="D379" s="6">
        <v>370</v>
      </c>
      <c r="E379" s="10">
        <v>74</v>
      </c>
      <c r="F379" s="10" t="s">
        <v>1193</v>
      </c>
      <c r="G379" s="10">
        <v>999</v>
      </c>
      <c r="H379" s="10" t="s">
        <v>593</v>
      </c>
      <c r="I379" s="92">
        <v>7208778.7963015456</v>
      </c>
      <c r="J379" s="472">
        <v>1</v>
      </c>
      <c r="K379" s="53">
        <f>SUM(K375:K378)</f>
        <v>7435858.0821634075</v>
      </c>
      <c r="L379" s="91">
        <f>SUM(L375:L378)</f>
        <v>1</v>
      </c>
      <c r="M379" s="79">
        <f>VLOOKUP(E379,town351,24)</f>
        <v>6134583</v>
      </c>
      <c r="N379" s="79">
        <f>SUM(N375:N378)</f>
        <v>6134583</v>
      </c>
      <c r="O379" s="79">
        <v>5888626</v>
      </c>
      <c r="P379" s="79">
        <f>SUM(P375:P378)</f>
        <v>245957</v>
      </c>
      <c r="Q379" s="39">
        <f t="shared" si="59"/>
        <v>4.1768147612023583</v>
      </c>
      <c r="R379" s="9">
        <v>531.46201231943996</v>
      </c>
      <c r="S379" s="9">
        <f t="shared" si="57"/>
        <v>530.45283018962004</v>
      </c>
      <c r="T379" s="90">
        <f t="shared" si="52"/>
        <v>74</v>
      </c>
      <c r="U379" s="90">
        <f t="shared" si="53"/>
        <v>999</v>
      </c>
      <c r="V379" s="373">
        <f t="shared" si="54"/>
        <v>370</v>
      </c>
      <c r="W379" s="90">
        <f t="shared" si="55"/>
        <v>530.45283018962004</v>
      </c>
      <c r="X379" s="90">
        <f t="shared" si="56"/>
        <v>7435858.0821634075</v>
      </c>
      <c r="Y379" s="141">
        <f t="shared" si="58"/>
        <v>370</v>
      </c>
      <c r="Z379" s="298">
        <v>74</v>
      </c>
      <c r="AA379" s="299">
        <v>999</v>
      </c>
      <c r="AB379" s="299">
        <v>370</v>
      </c>
      <c r="AC379" s="301">
        <v>530.45283018962004</v>
      </c>
      <c r="AD379" s="301">
        <v>7435858.0821634075</v>
      </c>
      <c r="AE379" s="126"/>
      <c r="AF379" s="298"/>
      <c r="AG379" s="299"/>
      <c r="AH379" s="299"/>
      <c r="AI379" s="301"/>
      <c r="AJ379" s="301"/>
      <c r="AK379" s="426"/>
      <c r="AL379" s="298"/>
      <c r="AM379" s="299"/>
      <c r="AN379" s="299"/>
      <c r="AO379" s="301"/>
      <c r="AP379" s="301"/>
      <c r="AQ379" s="426"/>
      <c r="AR379" s="298"/>
      <c r="AS379" s="299"/>
      <c r="AT379" s="299"/>
      <c r="AU379" s="301"/>
      <c r="AV379" s="301"/>
      <c r="AW379" s="91"/>
      <c r="AX379" s="298"/>
      <c r="AY379" s="299"/>
      <c r="AZ379" s="299"/>
      <c r="BA379" s="301"/>
      <c r="BB379" s="301"/>
      <c r="BC379" s="426"/>
      <c r="BD379" s="298"/>
      <c r="BE379" s="299"/>
      <c r="BF379" s="299"/>
      <c r="BG379" s="301"/>
      <c r="BH379" s="301"/>
      <c r="BI379" s="91"/>
      <c r="BJ379" s="298"/>
      <c r="BK379" s="299"/>
      <c r="BL379" s="299"/>
      <c r="BM379" s="301"/>
      <c r="BN379" s="301"/>
      <c r="BO379" s="91"/>
      <c r="BP379" s="9"/>
      <c r="BS379" s="81"/>
      <c r="BT379" s="81"/>
      <c r="BV379" s="9"/>
      <c r="BY379" s="81"/>
      <c r="BZ379" s="81"/>
      <c r="CB379" s="9"/>
      <c r="CE379" s="81"/>
      <c r="CF379" s="81"/>
      <c r="CH379" s="9"/>
      <c r="CK379" s="81"/>
      <c r="CL379" s="81"/>
      <c r="CR379" s="9"/>
      <c r="CS379" s="9"/>
      <c r="CT379" s="9"/>
      <c r="CU379" s="9"/>
      <c r="CV379" s="9"/>
      <c r="CW379" s="129"/>
      <c r="CX379" s="9"/>
    </row>
    <row r="380" spans="1:102">
      <c r="A380" s="6" t="str">
        <f t="shared" si="51"/>
        <v>00750075</v>
      </c>
      <c r="B380" s="6" t="s">
        <v>1725</v>
      </c>
      <c r="C380" s="6" t="s">
        <v>1725</v>
      </c>
      <c r="D380" s="6">
        <v>371</v>
      </c>
      <c r="E380" s="6">
        <v>75</v>
      </c>
      <c r="F380" s="6" t="s">
        <v>1194</v>
      </c>
      <c r="G380" s="6">
        <v>75</v>
      </c>
      <c r="H380" s="6" t="s">
        <v>756</v>
      </c>
      <c r="I380" s="33">
        <v>0</v>
      </c>
      <c r="J380" s="88">
        <v>0</v>
      </c>
      <c r="K380" s="89">
        <f>X380</f>
        <v>0</v>
      </c>
      <c r="L380" s="88">
        <f>IF(K384&gt;0, K380/K384, 0)</f>
        <v>0</v>
      </c>
      <c r="M380" s="58"/>
      <c r="N380" s="9">
        <f>ROUND(M384*L380,0)</f>
        <v>0</v>
      </c>
      <c r="O380" s="9">
        <v>0</v>
      </c>
      <c r="P380" s="9">
        <f>N380-O380</f>
        <v>0</v>
      </c>
      <c r="Q380" s="40">
        <f t="shared" si="59"/>
        <v>0</v>
      </c>
      <c r="R380" s="9">
        <v>0</v>
      </c>
      <c r="S380" s="9">
        <f t="shared" si="57"/>
        <v>0</v>
      </c>
      <c r="T380" s="90">
        <f t="shared" si="52"/>
        <v>75</v>
      </c>
      <c r="U380" s="90">
        <f t="shared" si="53"/>
        <v>75</v>
      </c>
      <c r="V380" s="373">
        <f t="shared" si="54"/>
        <v>371</v>
      </c>
      <c r="W380" s="90">
        <f t="shared" si="55"/>
        <v>0</v>
      </c>
      <c r="X380" s="90">
        <f t="shared" si="56"/>
        <v>0</v>
      </c>
      <c r="Y380" s="141">
        <f t="shared" si="58"/>
        <v>371</v>
      </c>
      <c r="Z380" s="298">
        <v>75</v>
      </c>
      <c r="AA380" s="299">
        <v>75</v>
      </c>
      <c r="AB380" s="299">
        <v>371</v>
      </c>
      <c r="AC380" s="301">
        <v>0</v>
      </c>
      <c r="AD380" s="301">
        <v>0</v>
      </c>
      <c r="AE380" s="126"/>
      <c r="AF380" s="298"/>
      <c r="AG380" s="299"/>
      <c r="AH380" s="299"/>
      <c r="AI380" s="301"/>
      <c r="AJ380" s="301"/>
      <c r="AK380" s="426"/>
      <c r="AL380" s="298"/>
      <c r="AM380" s="299"/>
      <c r="AN380" s="299"/>
      <c r="AO380" s="301"/>
      <c r="AP380" s="301"/>
      <c r="AQ380" s="426"/>
      <c r="AR380" s="298"/>
      <c r="AS380" s="299"/>
      <c r="AT380" s="299"/>
      <c r="AU380" s="301"/>
      <c r="AV380" s="301"/>
      <c r="AW380" s="88"/>
      <c r="AX380" s="298"/>
      <c r="AY380" s="299"/>
      <c r="AZ380" s="299"/>
      <c r="BA380" s="301"/>
      <c r="BB380" s="301"/>
      <c r="BC380" s="426"/>
      <c r="BD380" s="298"/>
      <c r="BE380" s="299"/>
      <c r="BF380" s="299"/>
      <c r="BG380" s="301"/>
      <c r="BH380" s="301"/>
      <c r="BI380" s="88"/>
      <c r="BJ380" s="298"/>
      <c r="BK380" s="299"/>
      <c r="BL380" s="299"/>
      <c r="BM380" s="301"/>
      <c r="BN380" s="301"/>
      <c r="BO380" s="88"/>
      <c r="BP380" s="9"/>
      <c r="BS380" s="81"/>
      <c r="BT380" s="81"/>
      <c r="BV380" s="9"/>
      <c r="BY380" s="81"/>
      <c r="BZ380" s="81"/>
      <c r="CB380" s="9"/>
      <c r="CE380" s="81"/>
      <c r="CF380" s="81"/>
      <c r="CH380" s="9"/>
      <c r="CK380" s="81"/>
      <c r="CL380" s="81"/>
      <c r="CR380" s="9"/>
      <c r="CS380" s="9"/>
      <c r="CT380" s="9"/>
      <c r="CU380" s="9"/>
      <c r="CV380" s="9"/>
      <c r="CW380" s="129"/>
      <c r="CX380" s="9"/>
    </row>
    <row r="381" spans="1:102">
      <c r="A381" s="6" t="str">
        <f t="shared" si="51"/>
        <v>00750645</v>
      </c>
      <c r="B381" s="6" t="s">
        <v>1725</v>
      </c>
      <c r="C381" s="6" t="s">
        <v>2017</v>
      </c>
      <c r="D381" s="6">
        <v>372</v>
      </c>
      <c r="E381" s="6">
        <v>75</v>
      </c>
      <c r="F381" s="6" t="s">
        <v>1194</v>
      </c>
      <c r="G381" s="6">
        <v>645</v>
      </c>
      <c r="H381" s="6" t="s">
        <v>1047</v>
      </c>
      <c r="I381" s="33">
        <v>15222380.63594093</v>
      </c>
      <c r="J381" s="88">
        <v>0.91136165606478103</v>
      </c>
      <c r="K381" s="89">
        <f t="shared" si="60"/>
        <v>16028933.790816883</v>
      </c>
      <c r="L381" s="88">
        <f>IF(K384&gt;0, K381/K384, 0)</f>
        <v>0.92099410620771405</v>
      </c>
      <c r="M381" s="58"/>
      <c r="N381" s="9">
        <f>ROUND(M384*L381,0)</f>
        <v>13223870</v>
      </c>
      <c r="O381" s="9">
        <v>12558464</v>
      </c>
      <c r="P381" s="9">
        <f>N381-O381</f>
        <v>665406</v>
      </c>
      <c r="Q381" s="40">
        <f t="shared" si="59"/>
        <v>5.29846643665977</v>
      </c>
      <c r="R381" s="9">
        <v>979.76441567316999</v>
      </c>
      <c r="S381" s="9">
        <f t="shared" si="57"/>
        <v>982.94304757316991</v>
      </c>
      <c r="T381" s="90">
        <f t="shared" si="52"/>
        <v>75</v>
      </c>
      <c r="U381" s="90">
        <f t="shared" si="53"/>
        <v>645</v>
      </c>
      <c r="V381" s="373">
        <f t="shared" si="54"/>
        <v>372</v>
      </c>
      <c r="W381" s="90">
        <f t="shared" si="55"/>
        <v>982.94304757316991</v>
      </c>
      <c r="X381" s="90">
        <f t="shared" si="56"/>
        <v>16028933.790816883</v>
      </c>
      <c r="Y381" s="141">
        <f t="shared" si="58"/>
        <v>372</v>
      </c>
      <c r="Z381" s="298">
        <v>75</v>
      </c>
      <c r="AA381" s="299">
        <v>645</v>
      </c>
      <c r="AB381" s="299">
        <v>372</v>
      </c>
      <c r="AC381" s="301">
        <v>982.94304757316991</v>
      </c>
      <c r="AD381" s="301">
        <v>16028933.790816883</v>
      </c>
      <c r="AE381" s="126"/>
      <c r="AF381" s="298"/>
      <c r="AG381" s="299"/>
      <c r="AH381" s="299"/>
      <c r="AI381" s="301"/>
      <c r="AJ381" s="301"/>
      <c r="AK381" s="426"/>
      <c r="AL381" s="298"/>
      <c r="AM381" s="299"/>
      <c r="AN381" s="299"/>
      <c r="AO381" s="301"/>
      <c r="AP381" s="301"/>
      <c r="AQ381" s="426"/>
      <c r="AR381" s="298"/>
      <c r="AS381" s="299"/>
      <c r="AT381" s="299"/>
      <c r="AU381" s="301"/>
      <c r="AV381" s="301"/>
      <c r="AW381" s="88"/>
      <c r="AX381" s="298"/>
      <c r="AY381" s="299"/>
      <c r="AZ381" s="299"/>
      <c r="BA381" s="301"/>
      <c r="BB381" s="301"/>
      <c r="BC381" s="426"/>
      <c r="BD381" s="298"/>
      <c r="BE381" s="299"/>
      <c r="BF381" s="299"/>
      <c r="BG381" s="301"/>
      <c r="BH381" s="301"/>
      <c r="BI381" s="88"/>
      <c r="BJ381" s="298"/>
      <c r="BK381" s="299"/>
      <c r="BL381" s="299"/>
      <c r="BM381" s="301"/>
      <c r="BN381" s="301"/>
      <c r="BO381" s="88"/>
      <c r="BP381" s="9"/>
      <c r="BS381" s="81"/>
      <c r="BT381" s="81"/>
      <c r="BV381" s="9"/>
      <c r="BY381" s="81"/>
      <c r="BZ381" s="81"/>
      <c r="CB381" s="9"/>
      <c r="CE381" s="81"/>
      <c r="CF381" s="81"/>
      <c r="CH381" s="9"/>
      <c r="CK381" s="81"/>
      <c r="CL381" s="81"/>
      <c r="CR381" s="9"/>
      <c r="CS381" s="9"/>
      <c r="CT381" s="9"/>
      <c r="CU381" s="9"/>
      <c r="CV381" s="9"/>
      <c r="CW381" s="129"/>
      <c r="CX381" s="9"/>
    </row>
    <row r="382" spans="1:102">
      <c r="A382" s="6" t="str">
        <f t="shared" si="51"/>
        <v>00750815</v>
      </c>
      <c r="B382" s="6" t="s">
        <v>1725</v>
      </c>
      <c r="C382" s="6" t="s">
        <v>2066</v>
      </c>
      <c r="D382" s="6">
        <v>373</v>
      </c>
      <c r="E382" s="6">
        <v>75</v>
      </c>
      <c r="F382" s="6" t="s">
        <v>1194</v>
      </c>
      <c r="G382" s="6">
        <v>815</v>
      </c>
      <c r="H382" s="6" t="s">
        <v>1096</v>
      </c>
      <c r="I382" s="33">
        <v>1480517.2033981644</v>
      </c>
      <c r="J382" s="88">
        <v>8.8638343935218966E-2</v>
      </c>
      <c r="K382" s="89">
        <f t="shared" si="60"/>
        <v>1375014.4893926729</v>
      </c>
      <c r="L382" s="88">
        <f>IF(K384&gt;0, K382/K384, 0)</f>
        <v>7.9005893792285897E-2</v>
      </c>
      <c r="M382" s="58"/>
      <c r="N382" s="9">
        <f>ROUND(M384*L382,0)</f>
        <v>1134387</v>
      </c>
      <c r="O382" s="9">
        <v>1221427</v>
      </c>
      <c r="P382" s="9">
        <f>N382-O382</f>
        <v>-87040</v>
      </c>
      <c r="Q382" s="40">
        <f t="shared" si="59"/>
        <v>-7.126091039415372</v>
      </c>
      <c r="R382" s="9">
        <v>68.203898052810004</v>
      </c>
      <c r="S382" s="9">
        <f t="shared" si="57"/>
        <v>63.094594591529997</v>
      </c>
      <c r="T382" s="90">
        <f t="shared" si="52"/>
        <v>75</v>
      </c>
      <c r="U382" s="90">
        <f t="shared" si="53"/>
        <v>815</v>
      </c>
      <c r="V382" s="373">
        <f t="shared" si="54"/>
        <v>373</v>
      </c>
      <c r="W382" s="90">
        <f t="shared" si="55"/>
        <v>63.094594591529997</v>
      </c>
      <c r="X382" s="90">
        <f t="shared" si="56"/>
        <v>1375014.4893926729</v>
      </c>
      <c r="Y382" s="141">
        <f t="shared" si="58"/>
        <v>373</v>
      </c>
      <c r="Z382" s="298">
        <v>75</v>
      </c>
      <c r="AA382" s="299">
        <v>815</v>
      </c>
      <c r="AB382" s="299">
        <v>373</v>
      </c>
      <c r="AC382" s="301">
        <v>63.094594591529997</v>
      </c>
      <c r="AD382" s="301">
        <v>1375014.4893926729</v>
      </c>
      <c r="AE382" s="126"/>
      <c r="AF382" s="298"/>
      <c r="AG382" s="299"/>
      <c r="AH382" s="299"/>
      <c r="AI382" s="301"/>
      <c r="AJ382" s="301"/>
      <c r="AK382" s="426"/>
      <c r="AL382" s="298"/>
      <c r="AM382" s="299"/>
      <c r="AN382" s="299"/>
      <c r="AO382" s="301"/>
      <c r="AP382" s="301"/>
      <c r="AQ382" s="426"/>
      <c r="AR382" s="298"/>
      <c r="AS382" s="299"/>
      <c r="AT382" s="299"/>
      <c r="AU382" s="301"/>
      <c r="AV382" s="301"/>
      <c r="AW382" s="88"/>
      <c r="AX382" s="298"/>
      <c r="AY382" s="299"/>
      <c r="AZ382" s="299"/>
      <c r="BA382" s="301"/>
      <c r="BB382" s="301"/>
      <c r="BC382" s="426"/>
      <c r="BD382" s="298"/>
      <c r="BE382" s="299"/>
      <c r="BF382" s="299"/>
      <c r="BG382" s="301"/>
      <c r="BH382" s="301"/>
      <c r="BI382" s="88"/>
      <c r="BJ382" s="298"/>
      <c r="BK382" s="299"/>
      <c r="BL382" s="299"/>
      <c r="BM382" s="301"/>
      <c r="BN382" s="301"/>
      <c r="BO382" s="88"/>
      <c r="BP382" s="9"/>
      <c r="BS382" s="81"/>
      <c r="BT382" s="81"/>
      <c r="BV382" s="9"/>
      <c r="BY382" s="81"/>
      <c r="BZ382" s="81"/>
      <c r="CB382" s="9"/>
      <c r="CE382" s="81"/>
      <c r="CF382" s="81"/>
      <c r="CH382" s="9"/>
      <c r="CK382" s="81"/>
      <c r="CL382" s="81"/>
      <c r="CR382" s="9"/>
      <c r="CS382" s="9"/>
      <c r="CT382" s="9"/>
      <c r="CU382" s="9"/>
      <c r="CV382" s="9"/>
      <c r="CW382" s="129"/>
      <c r="CX382" s="9"/>
    </row>
    <row r="383" spans="1:102">
      <c r="A383" s="6" t="str">
        <f t="shared" si="51"/>
        <v>00750998</v>
      </c>
      <c r="B383" s="6" t="s">
        <v>1725</v>
      </c>
      <c r="C383" s="6" t="s">
        <v>2091</v>
      </c>
      <c r="D383" s="6">
        <v>374</v>
      </c>
      <c r="E383" s="6">
        <v>75</v>
      </c>
      <c r="F383" s="6" t="s">
        <v>1547</v>
      </c>
      <c r="G383" s="6">
        <v>998</v>
      </c>
      <c r="H383" s="6" t="s">
        <v>1547</v>
      </c>
      <c r="I383" s="33">
        <v>0</v>
      </c>
      <c r="J383" s="88">
        <v>0</v>
      </c>
      <c r="K383" s="89">
        <f t="shared" si="60"/>
        <v>0</v>
      </c>
      <c r="L383" s="88">
        <f>IF(K384&gt;0, K383/K384, 0)</f>
        <v>0</v>
      </c>
      <c r="M383" s="58"/>
      <c r="N383" s="9">
        <f>ROUND(M384*L383,0)</f>
        <v>0</v>
      </c>
      <c r="O383" s="9">
        <v>0</v>
      </c>
      <c r="P383" s="9">
        <f>N383-O383</f>
        <v>0</v>
      </c>
      <c r="Q383" s="40">
        <f t="shared" si="59"/>
        <v>0</v>
      </c>
      <c r="R383" s="9">
        <v>0</v>
      </c>
      <c r="S383" s="9">
        <f t="shared" si="57"/>
        <v>0</v>
      </c>
      <c r="T383" s="90">
        <f t="shared" si="52"/>
        <v>75</v>
      </c>
      <c r="U383" s="90">
        <f t="shared" si="53"/>
        <v>998</v>
      </c>
      <c r="V383" s="373">
        <f t="shared" si="54"/>
        <v>374</v>
      </c>
      <c r="W383" s="90">
        <f t="shared" si="55"/>
        <v>0</v>
      </c>
      <c r="X383" s="90">
        <f t="shared" si="56"/>
        <v>0</v>
      </c>
      <c r="Y383" s="141">
        <f t="shared" si="58"/>
        <v>374</v>
      </c>
      <c r="Z383" s="298">
        <v>75</v>
      </c>
      <c r="AA383" s="299">
        <v>998</v>
      </c>
      <c r="AB383" s="299">
        <v>374</v>
      </c>
      <c r="AC383" s="301">
        <v>0</v>
      </c>
      <c r="AD383" s="301">
        <v>0</v>
      </c>
      <c r="AE383" s="126"/>
      <c r="AF383" s="298"/>
      <c r="AG383" s="299"/>
      <c r="AH383" s="299"/>
      <c r="AI383" s="301"/>
      <c r="AJ383" s="301"/>
      <c r="AK383" s="426"/>
      <c r="AL383" s="298"/>
      <c r="AM383" s="299"/>
      <c r="AN383" s="299"/>
      <c r="AO383" s="301"/>
      <c r="AP383" s="301"/>
      <c r="AQ383" s="426"/>
      <c r="AR383" s="298"/>
      <c r="AS383" s="299"/>
      <c r="AT383" s="299"/>
      <c r="AU383" s="301"/>
      <c r="AV383" s="301"/>
      <c r="AW383" s="88"/>
      <c r="AX383" s="298"/>
      <c r="AY383" s="299"/>
      <c r="AZ383" s="299"/>
      <c r="BA383" s="301"/>
      <c r="BB383" s="301"/>
      <c r="BC383" s="426"/>
      <c r="BD383" s="298"/>
      <c r="BE383" s="299"/>
      <c r="BF383" s="299"/>
      <c r="BG383" s="301"/>
      <c r="BH383" s="301"/>
      <c r="BI383" s="88"/>
      <c r="BJ383" s="298"/>
      <c r="BK383" s="299"/>
      <c r="BL383" s="299"/>
      <c r="BM383" s="301"/>
      <c r="BN383" s="301"/>
      <c r="BO383" s="88"/>
      <c r="BP383" s="9"/>
      <c r="BS383" s="81"/>
      <c r="BT383" s="81"/>
      <c r="BV383" s="9"/>
      <c r="BY383" s="81"/>
      <c r="BZ383" s="81"/>
      <c r="CB383" s="9"/>
      <c r="CE383" s="81"/>
      <c r="CF383" s="81"/>
      <c r="CH383" s="9"/>
      <c r="CK383" s="81"/>
      <c r="CL383" s="81"/>
      <c r="CR383" s="9"/>
      <c r="CS383" s="9"/>
      <c r="CT383" s="9"/>
      <c r="CU383" s="9"/>
      <c r="CV383" s="9"/>
      <c r="CW383" s="129"/>
      <c r="CX383" s="9"/>
    </row>
    <row r="384" spans="1:102">
      <c r="A384" s="6" t="str">
        <f t="shared" si="51"/>
        <v>00750999</v>
      </c>
      <c r="B384" s="6" t="s">
        <v>1725</v>
      </c>
      <c r="C384" s="6" t="s">
        <v>2092</v>
      </c>
      <c r="D384" s="6">
        <v>375</v>
      </c>
      <c r="E384" s="10">
        <v>75</v>
      </c>
      <c r="F384" s="10" t="s">
        <v>1194</v>
      </c>
      <c r="G384" s="10">
        <v>999</v>
      </c>
      <c r="H384" s="10" t="s">
        <v>593</v>
      </c>
      <c r="I384" s="92">
        <v>16702897.839339094</v>
      </c>
      <c r="J384" s="472">
        <v>1</v>
      </c>
      <c r="K384" s="53">
        <f>SUM(K380:K383)</f>
        <v>17403948.280209556</v>
      </c>
      <c r="L384" s="91">
        <f>SUM(L380:L383)</f>
        <v>1</v>
      </c>
      <c r="M384" s="79">
        <f>VLOOKUP(E384,town351,24)</f>
        <v>14358257</v>
      </c>
      <c r="N384" s="79">
        <f>SUM(N380:N383)</f>
        <v>14358257</v>
      </c>
      <c r="O384" s="79">
        <v>13779891</v>
      </c>
      <c r="P384" s="79">
        <f>SUM(P380:P383)</f>
        <v>578366</v>
      </c>
      <c r="Q384" s="39">
        <f t="shared" si="59"/>
        <v>4.197173983451683</v>
      </c>
      <c r="R384" s="9">
        <v>1047.9683137259799</v>
      </c>
      <c r="S384" s="9">
        <f t="shared" si="57"/>
        <v>1046.0376421646999</v>
      </c>
      <c r="T384" s="90">
        <f t="shared" si="52"/>
        <v>75</v>
      </c>
      <c r="U384" s="90">
        <f t="shared" si="53"/>
        <v>999</v>
      </c>
      <c r="V384" s="373">
        <f t="shared" si="54"/>
        <v>375</v>
      </c>
      <c r="W384" s="90">
        <f t="shared" si="55"/>
        <v>1046.0376421646999</v>
      </c>
      <c r="X384" s="90">
        <f t="shared" si="56"/>
        <v>17403948.280209556</v>
      </c>
      <c r="Y384" s="141">
        <f t="shared" si="58"/>
        <v>375</v>
      </c>
      <c r="Z384" s="298">
        <v>75</v>
      </c>
      <c r="AA384" s="299">
        <v>999</v>
      </c>
      <c r="AB384" s="299">
        <v>375</v>
      </c>
      <c r="AC384" s="301">
        <v>1046.0376421646999</v>
      </c>
      <c r="AD384" s="301">
        <v>17403948.280209556</v>
      </c>
      <c r="AE384" s="126"/>
      <c r="AF384" s="298"/>
      <c r="AG384" s="299"/>
      <c r="AH384" s="299"/>
      <c r="AI384" s="301"/>
      <c r="AJ384" s="301"/>
      <c r="AK384" s="426"/>
      <c r="AL384" s="298"/>
      <c r="AM384" s="299"/>
      <c r="AN384" s="299"/>
      <c r="AO384" s="301"/>
      <c r="AP384" s="301"/>
      <c r="AQ384" s="426"/>
      <c r="AR384" s="298"/>
      <c r="AS384" s="299"/>
      <c r="AT384" s="299"/>
      <c r="AU384" s="301"/>
      <c r="AV384" s="301"/>
      <c r="AW384" s="91"/>
      <c r="AX384" s="298"/>
      <c r="AY384" s="299"/>
      <c r="AZ384" s="299"/>
      <c r="BA384" s="301"/>
      <c r="BB384" s="301"/>
      <c r="BC384" s="426"/>
      <c r="BD384" s="298"/>
      <c r="BE384" s="299"/>
      <c r="BF384" s="299"/>
      <c r="BG384" s="301"/>
      <c r="BH384" s="301"/>
      <c r="BI384" s="91"/>
      <c r="BJ384" s="298"/>
      <c r="BK384" s="299"/>
      <c r="BL384" s="299"/>
      <c r="BM384" s="301"/>
      <c r="BN384" s="301"/>
      <c r="BO384" s="91"/>
      <c r="BP384" s="9"/>
      <c r="BS384" s="81"/>
      <c r="BT384" s="81"/>
      <c r="BV384" s="9"/>
      <c r="BY384" s="81"/>
      <c r="BZ384" s="81"/>
      <c r="CB384" s="9"/>
      <c r="CE384" s="81"/>
      <c r="CF384" s="81"/>
      <c r="CH384" s="9"/>
      <c r="CK384" s="81"/>
      <c r="CL384" s="81"/>
      <c r="CR384" s="9"/>
      <c r="CS384" s="9"/>
      <c r="CT384" s="9"/>
      <c r="CU384" s="9"/>
      <c r="CV384" s="9"/>
      <c r="CW384" s="129"/>
      <c r="CX384" s="9"/>
    </row>
    <row r="385" spans="1:102">
      <c r="A385" s="6" t="str">
        <f t="shared" si="51"/>
        <v>00760076</v>
      </c>
      <c r="B385" s="6" t="s">
        <v>1726</v>
      </c>
      <c r="C385" s="6" t="s">
        <v>1726</v>
      </c>
      <c r="D385" s="6">
        <v>376</v>
      </c>
      <c r="E385" s="6">
        <v>76</v>
      </c>
      <c r="F385" s="6" t="s">
        <v>1195</v>
      </c>
      <c r="G385" s="6">
        <v>76</v>
      </c>
      <c r="H385" s="6" t="s">
        <v>757</v>
      </c>
      <c r="I385" s="33">
        <v>0</v>
      </c>
      <c r="J385" s="88">
        <v>0</v>
      </c>
      <c r="K385" s="89">
        <f>X385</f>
        <v>16860.330000000002</v>
      </c>
      <c r="L385" s="88">
        <f>IF(K389&gt;0, K385/K389, 0)</f>
        <v>9.3398564191789484E-4</v>
      </c>
      <c r="M385" s="58"/>
      <c r="N385" s="9">
        <f>ROUND(M389*L385,0)</f>
        <v>8607</v>
      </c>
      <c r="O385" s="9">
        <v>0</v>
      </c>
      <c r="P385" s="9">
        <f>N385-O385</f>
        <v>8607</v>
      </c>
      <c r="Q385" s="40">
        <f t="shared" si="59"/>
        <v>100</v>
      </c>
      <c r="R385" s="9">
        <v>0</v>
      </c>
      <c r="S385" s="9">
        <f t="shared" si="57"/>
        <v>1</v>
      </c>
      <c r="T385" s="90">
        <f t="shared" si="52"/>
        <v>76</v>
      </c>
      <c r="U385" s="90">
        <f t="shared" si="53"/>
        <v>76</v>
      </c>
      <c r="V385" s="373">
        <f t="shared" si="54"/>
        <v>376</v>
      </c>
      <c r="W385" s="90">
        <f t="shared" si="55"/>
        <v>1</v>
      </c>
      <c r="X385" s="90">
        <f t="shared" si="56"/>
        <v>16860.330000000002</v>
      </c>
      <c r="Y385" s="141">
        <f t="shared" si="58"/>
        <v>376</v>
      </c>
      <c r="Z385" s="298">
        <v>76</v>
      </c>
      <c r="AA385" s="299">
        <v>76</v>
      </c>
      <c r="AB385" s="299">
        <v>376</v>
      </c>
      <c r="AC385" s="301">
        <v>1</v>
      </c>
      <c r="AD385" s="301">
        <v>16860.330000000002</v>
      </c>
      <c r="AE385" s="126"/>
      <c r="AF385" s="298"/>
      <c r="AG385" s="299"/>
      <c r="AH385" s="299"/>
      <c r="AI385" s="301"/>
      <c r="AJ385" s="301"/>
      <c r="AK385" s="426"/>
      <c r="AL385" s="298"/>
      <c r="AM385" s="299"/>
      <c r="AN385" s="299"/>
      <c r="AO385" s="301"/>
      <c r="AP385" s="301"/>
      <c r="AQ385" s="426"/>
      <c r="AR385" s="298"/>
      <c r="AS385" s="299"/>
      <c r="AT385" s="299"/>
      <c r="AU385" s="301"/>
      <c r="AV385" s="301"/>
      <c r="AW385" s="88"/>
      <c r="AX385" s="298"/>
      <c r="AY385" s="299"/>
      <c r="AZ385" s="299"/>
      <c r="BA385" s="301"/>
      <c r="BB385" s="301"/>
      <c r="BC385" s="426"/>
      <c r="BD385" s="298"/>
      <c r="BE385" s="299"/>
      <c r="BF385" s="299"/>
      <c r="BG385" s="301"/>
      <c r="BH385" s="301"/>
      <c r="BI385" s="88"/>
      <c r="BJ385" s="298"/>
      <c r="BK385" s="299"/>
      <c r="BL385" s="299"/>
      <c r="BM385" s="301"/>
      <c r="BN385" s="301"/>
      <c r="BO385" s="88"/>
      <c r="BP385" s="9"/>
      <c r="BS385" s="81"/>
      <c r="BT385" s="81"/>
      <c r="BV385" s="9"/>
      <c r="BY385" s="81"/>
      <c r="BZ385" s="81"/>
      <c r="CB385" s="9"/>
      <c r="CE385" s="81"/>
      <c r="CF385" s="81"/>
      <c r="CH385" s="9"/>
      <c r="CK385" s="81"/>
      <c r="CL385" s="81"/>
      <c r="CR385" s="9"/>
      <c r="CS385" s="9"/>
      <c r="CT385" s="9"/>
      <c r="CU385" s="9"/>
      <c r="CV385" s="9"/>
      <c r="CW385" s="129"/>
      <c r="CX385" s="9"/>
    </row>
    <row r="386" spans="1:102">
      <c r="A386" s="6" t="str">
        <f t="shared" si="51"/>
        <v>00760650</v>
      </c>
      <c r="B386" s="6" t="s">
        <v>1726</v>
      </c>
      <c r="C386" s="6" t="s">
        <v>2018</v>
      </c>
      <c r="D386" s="6">
        <v>377</v>
      </c>
      <c r="E386" s="6">
        <v>76</v>
      </c>
      <c r="F386" s="6" t="s">
        <v>1195</v>
      </c>
      <c r="G386" s="6">
        <v>650</v>
      </c>
      <c r="H386" s="6" t="s">
        <v>1048</v>
      </c>
      <c r="I386" s="33">
        <v>14602231.109717995</v>
      </c>
      <c r="J386" s="88">
        <v>0.84109319037043451</v>
      </c>
      <c r="K386" s="89">
        <f t="shared" si="60"/>
        <v>15216268.247371864</v>
      </c>
      <c r="L386" s="88">
        <f>IF(K389&gt;0, K386/K389, 0)</f>
        <v>0.84291209404658685</v>
      </c>
      <c r="M386" s="58"/>
      <c r="N386" s="9">
        <f>ROUND(M389*L386,0)</f>
        <v>7767533</v>
      </c>
      <c r="O386" s="9">
        <v>7355766</v>
      </c>
      <c r="P386" s="9">
        <f>N386-O386</f>
        <v>411767</v>
      </c>
      <c r="Q386" s="40">
        <f t="shared" si="59"/>
        <v>5.5978806286116223</v>
      </c>
      <c r="R386" s="9">
        <v>1129.91538461142</v>
      </c>
      <c r="S386" s="9">
        <f t="shared" si="57"/>
        <v>1143.0220700121699</v>
      </c>
      <c r="T386" s="90">
        <f t="shared" si="52"/>
        <v>76</v>
      </c>
      <c r="U386" s="90">
        <f t="shared" si="53"/>
        <v>650</v>
      </c>
      <c r="V386" s="373">
        <f t="shared" si="54"/>
        <v>377</v>
      </c>
      <c r="W386" s="90">
        <f t="shared" si="55"/>
        <v>1143.0220700121699</v>
      </c>
      <c r="X386" s="90">
        <f t="shared" si="56"/>
        <v>15216268.247371864</v>
      </c>
      <c r="Y386" s="141">
        <f t="shared" si="58"/>
        <v>377</v>
      </c>
      <c r="Z386" s="298">
        <v>76</v>
      </c>
      <c r="AA386" s="299">
        <v>650</v>
      </c>
      <c r="AB386" s="299">
        <v>377</v>
      </c>
      <c r="AC386" s="301">
        <v>1143.0220700121699</v>
      </c>
      <c r="AD386" s="301">
        <v>15216268.247371864</v>
      </c>
      <c r="AE386" s="126"/>
      <c r="AF386" s="298"/>
      <c r="AG386" s="299"/>
      <c r="AH386" s="299"/>
      <c r="AI386" s="301"/>
      <c r="AJ386" s="301"/>
      <c r="AK386" s="426"/>
      <c r="AL386" s="298"/>
      <c r="AM386" s="299"/>
      <c r="AN386" s="299"/>
      <c r="AO386" s="301"/>
      <c r="AP386" s="301"/>
      <c r="AQ386" s="426"/>
      <c r="AR386" s="298"/>
      <c r="AS386" s="299"/>
      <c r="AT386" s="299"/>
      <c r="AU386" s="301"/>
      <c r="AV386" s="301"/>
      <c r="AW386" s="88"/>
      <c r="AX386" s="298"/>
      <c r="AY386" s="299"/>
      <c r="AZ386" s="299"/>
      <c r="BA386" s="301"/>
      <c r="BB386" s="301"/>
      <c r="BC386" s="426"/>
      <c r="BD386" s="298"/>
      <c r="BE386" s="299"/>
      <c r="BF386" s="299"/>
      <c r="BG386" s="301"/>
      <c r="BH386" s="301"/>
      <c r="BI386" s="88"/>
      <c r="BJ386" s="298"/>
      <c r="BK386" s="299"/>
      <c r="BL386" s="299"/>
      <c r="BM386" s="301"/>
      <c r="BN386" s="301"/>
      <c r="BO386" s="88"/>
      <c r="BP386" s="9"/>
      <c r="BS386" s="81"/>
      <c r="BT386" s="81"/>
      <c r="BV386" s="9"/>
      <c r="BY386" s="81"/>
      <c r="BZ386" s="81"/>
      <c r="CB386" s="9"/>
      <c r="CE386" s="81"/>
      <c r="CF386" s="81"/>
      <c r="CH386" s="9"/>
      <c r="CK386" s="81"/>
      <c r="CL386" s="81"/>
      <c r="CR386" s="9"/>
      <c r="CS386" s="9"/>
      <c r="CT386" s="9"/>
      <c r="CU386" s="9"/>
      <c r="CV386" s="9"/>
      <c r="CW386" s="129"/>
      <c r="CX386" s="9"/>
    </row>
    <row r="387" spans="1:102">
      <c r="A387" s="6" t="str">
        <f t="shared" si="51"/>
        <v>00760810</v>
      </c>
      <c r="B387" s="6" t="s">
        <v>1726</v>
      </c>
      <c r="C387" s="6" t="s">
        <v>2065</v>
      </c>
      <c r="D387" s="6">
        <v>378</v>
      </c>
      <c r="E387" s="6">
        <v>76</v>
      </c>
      <c r="F387" s="6" t="s">
        <v>1195</v>
      </c>
      <c r="G387" s="6">
        <v>810</v>
      </c>
      <c r="H387" s="6" t="s">
        <v>1095</v>
      </c>
      <c r="I387" s="33">
        <v>2249722.9585546255</v>
      </c>
      <c r="J387" s="88">
        <v>0.12958476320793325</v>
      </c>
      <c r="K387" s="89">
        <f t="shared" si="60"/>
        <v>2235161.9794169609</v>
      </c>
      <c r="L387" s="88">
        <f>IF(K389&gt;0, K387/K389, 0)</f>
        <v>0.12381781353841963</v>
      </c>
      <c r="M387" s="58"/>
      <c r="N387" s="9">
        <f>ROUND(M389*L387,0)</f>
        <v>1140996</v>
      </c>
      <c r="O387" s="9">
        <v>1133281</v>
      </c>
      <c r="P387" s="9">
        <f>N387-O387</f>
        <v>7715</v>
      </c>
      <c r="Q387" s="40">
        <f t="shared" si="59"/>
        <v>0.68076672952251027</v>
      </c>
      <c r="R387" s="9">
        <v>111.591774558</v>
      </c>
      <c r="S387" s="9">
        <f t="shared" si="57"/>
        <v>110.3240058855</v>
      </c>
      <c r="T387" s="90">
        <f t="shared" si="52"/>
        <v>76</v>
      </c>
      <c r="U387" s="90">
        <f t="shared" si="53"/>
        <v>810</v>
      </c>
      <c r="V387" s="373">
        <f t="shared" si="54"/>
        <v>378</v>
      </c>
      <c r="W387" s="90">
        <f t="shared" si="55"/>
        <v>110.3240058855</v>
      </c>
      <c r="X387" s="90">
        <f t="shared" si="56"/>
        <v>2235161.9794169609</v>
      </c>
      <c r="Y387" s="141">
        <f t="shared" si="58"/>
        <v>378</v>
      </c>
      <c r="Z387" s="298">
        <v>76</v>
      </c>
      <c r="AA387" s="299">
        <v>810</v>
      </c>
      <c r="AB387" s="299">
        <v>378</v>
      </c>
      <c r="AC387" s="301">
        <v>110.3240058855</v>
      </c>
      <c r="AD387" s="301">
        <v>2235161.9794169609</v>
      </c>
      <c r="AE387" s="126"/>
      <c r="AF387" s="298"/>
      <c r="AG387" s="299"/>
      <c r="AH387" s="299"/>
      <c r="AI387" s="301"/>
      <c r="AJ387" s="301"/>
      <c r="AK387" s="426"/>
      <c r="AL387" s="298"/>
      <c r="AM387" s="299"/>
      <c r="AN387" s="299"/>
      <c r="AO387" s="301"/>
      <c r="AP387" s="301"/>
      <c r="AQ387" s="426"/>
      <c r="AR387" s="298"/>
      <c r="AS387" s="299"/>
      <c r="AT387" s="299"/>
      <c r="AU387" s="301"/>
      <c r="AV387" s="301"/>
      <c r="AW387" s="88"/>
      <c r="AX387" s="298"/>
      <c r="AY387" s="299"/>
      <c r="AZ387" s="299"/>
      <c r="BA387" s="301"/>
      <c r="BB387" s="301"/>
      <c r="BC387" s="426"/>
      <c r="BD387" s="298"/>
      <c r="BE387" s="299"/>
      <c r="BF387" s="299"/>
      <c r="BG387" s="301"/>
      <c r="BH387" s="301"/>
      <c r="BI387" s="88"/>
      <c r="BJ387" s="298"/>
      <c r="BK387" s="299"/>
      <c r="BL387" s="299"/>
      <c r="BM387" s="301"/>
      <c r="BN387" s="301"/>
      <c r="BO387" s="88"/>
      <c r="BP387" s="9"/>
      <c r="BS387" s="81"/>
      <c r="BT387" s="81"/>
      <c r="BV387" s="9"/>
      <c r="BY387" s="81"/>
      <c r="BZ387" s="81"/>
      <c r="CB387" s="9"/>
      <c r="CE387" s="81"/>
      <c r="CF387" s="81"/>
      <c r="CH387" s="9"/>
      <c r="CK387" s="81"/>
      <c r="CL387" s="81"/>
      <c r="CR387" s="9"/>
      <c r="CS387" s="9"/>
      <c r="CT387" s="9"/>
      <c r="CU387" s="9"/>
      <c r="CV387" s="9"/>
      <c r="CW387" s="129"/>
      <c r="CX387" s="9"/>
    </row>
    <row r="388" spans="1:102">
      <c r="A388" s="6" t="str">
        <f t="shared" si="51"/>
        <v>00760910</v>
      </c>
      <c r="B388" s="6" t="s">
        <v>1726</v>
      </c>
      <c r="C388" s="6" t="s">
        <v>2088</v>
      </c>
      <c r="D388" s="6">
        <v>379</v>
      </c>
      <c r="E388" s="6">
        <v>76</v>
      </c>
      <c r="F388" s="6" t="s">
        <v>1195</v>
      </c>
      <c r="G388" s="6">
        <v>910</v>
      </c>
      <c r="H388" s="6" t="s">
        <v>1118</v>
      </c>
      <c r="I388" s="33">
        <v>509060.47434527357</v>
      </c>
      <c r="J388" s="88">
        <v>2.9322046421632195E-2</v>
      </c>
      <c r="K388" s="89">
        <f t="shared" si="60"/>
        <v>583732.13317257492</v>
      </c>
      <c r="L388" s="88">
        <f>IF(K389&gt;0, K388/K389, 0)</f>
        <v>3.2336106773075579E-2</v>
      </c>
      <c r="M388" s="58"/>
      <c r="N388" s="9">
        <f>ROUND(M389*L388,0)</f>
        <v>297981</v>
      </c>
      <c r="O388" s="9">
        <v>256435</v>
      </c>
      <c r="P388" s="9">
        <f>N388-O388</f>
        <v>41546</v>
      </c>
      <c r="Q388" s="40">
        <f t="shared" si="59"/>
        <v>16.201376567161269</v>
      </c>
      <c r="R388" s="9">
        <v>25.000000000619998</v>
      </c>
      <c r="S388" s="9">
        <f t="shared" si="57"/>
        <v>28.000000001050001</v>
      </c>
      <c r="T388" s="90">
        <f t="shared" si="52"/>
        <v>76</v>
      </c>
      <c r="U388" s="90">
        <f t="shared" si="53"/>
        <v>910</v>
      </c>
      <c r="V388" s="373">
        <f t="shared" si="54"/>
        <v>379</v>
      </c>
      <c r="W388" s="90">
        <f t="shared" si="55"/>
        <v>28.000000001050001</v>
      </c>
      <c r="X388" s="90">
        <f t="shared" si="56"/>
        <v>583732.13317257492</v>
      </c>
      <c r="Y388" s="141">
        <f t="shared" si="58"/>
        <v>379</v>
      </c>
      <c r="Z388" s="298">
        <v>76</v>
      </c>
      <c r="AA388" s="299">
        <v>910</v>
      </c>
      <c r="AB388" s="299">
        <v>379</v>
      </c>
      <c r="AC388" s="301">
        <v>28.000000001050001</v>
      </c>
      <c r="AD388" s="301">
        <v>583732.13317257492</v>
      </c>
      <c r="AE388" s="126"/>
      <c r="AF388" s="298"/>
      <c r="AG388" s="299"/>
      <c r="AH388" s="299"/>
      <c r="AI388" s="301"/>
      <c r="AJ388" s="301"/>
      <c r="AK388" s="426"/>
      <c r="AL388" s="298"/>
      <c r="AM388" s="299"/>
      <c r="AN388" s="299"/>
      <c r="AO388" s="301"/>
      <c r="AP388" s="301"/>
      <c r="AQ388" s="426"/>
      <c r="AR388" s="298"/>
      <c r="AS388" s="299"/>
      <c r="AT388" s="299"/>
      <c r="AU388" s="301"/>
      <c r="AV388" s="301"/>
      <c r="AW388" s="88"/>
      <c r="AX388" s="298"/>
      <c r="AY388" s="299"/>
      <c r="AZ388" s="299"/>
      <c r="BA388" s="301"/>
      <c r="BB388" s="301"/>
      <c r="BC388" s="426"/>
      <c r="BD388" s="298"/>
      <c r="BE388" s="299"/>
      <c r="BF388" s="299"/>
      <c r="BG388" s="301"/>
      <c r="BH388" s="301"/>
      <c r="BI388" s="88"/>
      <c r="BJ388" s="298"/>
      <c r="BK388" s="299"/>
      <c r="BL388" s="299"/>
      <c r="BM388" s="301"/>
      <c r="BN388" s="301"/>
      <c r="BO388" s="88"/>
      <c r="BP388" s="9"/>
      <c r="BS388" s="81"/>
      <c r="BT388" s="81"/>
      <c r="BV388" s="9"/>
      <c r="BY388" s="81"/>
      <c r="BZ388" s="81"/>
      <c r="CB388" s="9"/>
      <c r="CE388" s="81"/>
      <c r="CF388" s="81"/>
      <c r="CH388" s="9"/>
      <c r="CK388" s="81"/>
      <c r="CL388" s="81"/>
      <c r="CR388" s="9"/>
      <c r="CS388" s="9"/>
      <c r="CT388" s="9"/>
      <c r="CU388" s="9"/>
      <c r="CV388" s="9"/>
      <c r="CW388" s="129"/>
      <c r="CX388" s="9"/>
    </row>
    <row r="389" spans="1:102">
      <c r="A389" s="6" t="str">
        <f t="shared" si="51"/>
        <v>00760999</v>
      </c>
      <c r="B389" s="6" t="s">
        <v>1726</v>
      </c>
      <c r="C389" s="6" t="s">
        <v>2092</v>
      </c>
      <c r="D389" s="6">
        <v>380</v>
      </c>
      <c r="E389" s="10">
        <v>76</v>
      </c>
      <c r="F389" s="10" t="s">
        <v>1195</v>
      </c>
      <c r="G389" s="10">
        <v>999</v>
      </c>
      <c r="H389" s="10" t="s">
        <v>593</v>
      </c>
      <c r="I389" s="92">
        <v>17361014.542617895</v>
      </c>
      <c r="J389" s="472">
        <v>0.99999999999999989</v>
      </c>
      <c r="K389" s="53">
        <f>SUM(K385:K388)</f>
        <v>18052022.6899614</v>
      </c>
      <c r="L389" s="91">
        <f>SUM(L385:L388)</f>
        <v>1</v>
      </c>
      <c r="M389" s="79">
        <f>VLOOKUP(E389,town351,24)</f>
        <v>9215116</v>
      </c>
      <c r="N389" s="79">
        <f>SUM(N385:N388)</f>
        <v>9215117</v>
      </c>
      <c r="O389" s="79">
        <v>8745482</v>
      </c>
      <c r="P389" s="79">
        <f>SUM(P385:P388)</f>
        <v>469635</v>
      </c>
      <c r="Q389" s="39">
        <f t="shared" si="59"/>
        <v>5.3700299194486938</v>
      </c>
      <c r="R389" s="9">
        <v>1266.50715917004</v>
      </c>
      <c r="S389" s="9">
        <f t="shared" si="57"/>
        <v>1282.3460758987198</v>
      </c>
      <c r="T389" s="90">
        <f t="shared" si="52"/>
        <v>76</v>
      </c>
      <c r="U389" s="90">
        <f t="shared" si="53"/>
        <v>999</v>
      </c>
      <c r="V389" s="373">
        <f t="shared" si="54"/>
        <v>380</v>
      </c>
      <c r="W389" s="90">
        <f t="shared" si="55"/>
        <v>1282.3460758987198</v>
      </c>
      <c r="X389" s="90">
        <f t="shared" si="56"/>
        <v>18052022.6899614</v>
      </c>
      <c r="Y389" s="141">
        <f t="shared" si="58"/>
        <v>380</v>
      </c>
      <c r="Z389" s="298">
        <v>76</v>
      </c>
      <c r="AA389" s="299">
        <v>999</v>
      </c>
      <c r="AB389" s="299">
        <v>380</v>
      </c>
      <c r="AC389" s="301">
        <v>1282.3460758987198</v>
      </c>
      <c r="AD389" s="301">
        <v>18052022.6899614</v>
      </c>
      <c r="AE389" s="126"/>
      <c r="AF389" s="298"/>
      <c r="AG389" s="299"/>
      <c r="AH389" s="299"/>
      <c r="AI389" s="301"/>
      <c r="AJ389" s="301"/>
      <c r="AK389" s="426"/>
      <c r="AL389" s="298"/>
      <c r="AM389" s="299"/>
      <c r="AN389" s="299"/>
      <c r="AO389" s="301"/>
      <c r="AP389" s="301"/>
      <c r="AQ389" s="426"/>
      <c r="AR389" s="298"/>
      <c r="AS389" s="299"/>
      <c r="AT389" s="299"/>
      <c r="AU389" s="301"/>
      <c r="AV389" s="301"/>
      <c r="AW389" s="91"/>
      <c r="AX389" s="298"/>
      <c r="AY389" s="299"/>
      <c r="AZ389" s="299"/>
      <c r="BA389" s="301"/>
      <c r="BB389" s="301"/>
      <c r="BC389" s="426"/>
      <c r="BD389" s="298"/>
      <c r="BE389" s="299"/>
      <c r="BF389" s="299"/>
      <c r="BG389" s="301"/>
      <c r="BH389" s="301"/>
      <c r="BI389" s="91"/>
      <c r="BJ389" s="298"/>
      <c r="BK389" s="299"/>
      <c r="BL389" s="299"/>
      <c r="BM389" s="301"/>
      <c r="BN389" s="301"/>
      <c r="BO389" s="91"/>
      <c r="BP389" s="9"/>
      <c r="BS389" s="81"/>
      <c r="BT389" s="81"/>
      <c r="BV389" s="9"/>
      <c r="BY389" s="81"/>
      <c r="BZ389" s="81"/>
      <c r="CB389" s="9"/>
      <c r="CE389" s="81"/>
      <c r="CF389" s="81"/>
      <c r="CH389" s="9"/>
      <c r="CK389" s="81"/>
      <c r="CL389" s="81"/>
      <c r="CR389" s="9"/>
      <c r="CS389" s="9"/>
      <c r="CT389" s="9"/>
      <c r="CU389" s="9"/>
      <c r="CV389" s="9"/>
      <c r="CW389" s="129"/>
      <c r="CX389" s="9"/>
    </row>
    <row r="390" spans="1:102">
      <c r="A390" s="6" t="str">
        <f t="shared" si="51"/>
        <v>00770077</v>
      </c>
      <c r="B390" s="6" t="s">
        <v>1727</v>
      </c>
      <c r="C390" s="6" t="s">
        <v>1727</v>
      </c>
      <c r="D390" s="6">
        <v>381</v>
      </c>
      <c r="E390" s="6">
        <v>77</v>
      </c>
      <c r="F390" s="6" t="s">
        <v>1196</v>
      </c>
      <c r="G390" s="6">
        <v>77</v>
      </c>
      <c r="H390" s="6" t="s">
        <v>758</v>
      </c>
      <c r="I390" s="33">
        <v>14574247.939999998</v>
      </c>
      <c r="J390" s="88">
        <v>0.87032644596130404</v>
      </c>
      <c r="K390" s="89">
        <f>X390</f>
        <v>14237865.390000002</v>
      </c>
      <c r="L390" s="88">
        <f>IF(K394&gt;0, K390/K394, 0)</f>
        <v>0.85365948744752629</v>
      </c>
      <c r="M390" s="58"/>
      <c r="N390" s="9">
        <f>ROUND(M394*L390,0)</f>
        <v>8850986</v>
      </c>
      <c r="O390" s="9">
        <v>8454786</v>
      </c>
      <c r="P390" s="9">
        <f>N390-O390</f>
        <v>396200</v>
      </c>
      <c r="Q390" s="40">
        <f t="shared" si="59"/>
        <v>4.686103231944605</v>
      </c>
      <c r="R390" s="9">
        <v>1132</v>
      </c>
      <c r="S390" s="9">
        <f t="shared" si="57"/>
        <v>1072</v>
      </c>
      <c r="T390" s="90">
        <f t="shared" si="52"/>
        <v>77</v>
      </c>
      <c r="U390" s="90">
        <f t="shared" si="53"/>
        <v>77</v>
      </c>
      <c r="V390" s="373">
        <f t="shared" si="54"/>
        <v>381</v>
      </c>
      <c r="W390" s="90">
        <f t="shared" si="55"/>
        <v>1072</v>
      </c>
      <c r="X390" s="90">
        <f t="shared" si="56"/>
        <v>14237865.390000002</v>
      </c>
      <c r="Y390" s="141">
        <f t="shared" si="58"/>
        <v>381</v>
      </c>
      <c r="Z390" s="298">
        <v>77</v>
      </c>
      <c r="AA390" s="299">
        <v>77</v>
      </c>
      <c r="AB390" s="299">
        <v>381</v>
      </c>
      <c r="AC390" s="301">
        <v>1072</v>
      </c>
      <c r="AD390" s="301">
        <v>14237865.390000002</v>
      </c>
      <c r="AE390" s="126"/>
      <c r="AF390" s="298"/>
      <c r="AG390" s="299"/>
      <c r="AH390" s="299"/>
      <c r="AI390" s="301"/>
      <c r="AJ390" s="301"/>
      <c r="AK390" s="426"/>
      <c r="AL390" s="298"/>
      <c r="AM390" s="299"/>
      <c r="AN390" s="299"/>
      <c r="AO390" s="301"/>
      <c r="AP390" s="301"/>
      <c r="AQ390" s="426"/>
      <c r="AR390" s="298"/>
      <c r="AS390" s="299"/>
      <c r="AT390" s="299"/>
      <c r="AU390" s="301"/>
      <c r="AV390" s="301"/>
      <c r="AW390" s="88"/>
      <c r="AX390" s="298"/>
      <c r="AY390" s="299"/>
      <c r="AZ390" s="299"/>
      <c r="BA390" s="301"/>
      <c r="BB390" s="301"/>
      <c r="BC390" s="426"/>
      <c r="BD390" s="298"/>
      <c r="BE390" s="299"/>
      <c r="BF390" s="299"/>
      <c r="BG390" s="301"/>
      <c r="BH390" s="301"/>
      <c r="BI390" s="88"/>
      <c r="BJ390" s="298"/>
      <c r="BK390" s="299"/>
      <c r="BL390" s="299"/>
      <c r="BM390" s="301"/>
      <c r="BN390" s="301"/>
      <c r="BO390" s="88"/>
      <c r="BP390" s="9"/>
      <c r="BS390" s="81"/>
      <c r="BT390" s="81"/>
      <c r="BV390" s="9"/>
      <c r="BY390" s="81"/>
      <c r="BZ390" s="81"/>
      <c r="CB390" s="9"/>
      <c r="CE390" s="81"/>
      <c r="CF390" s="81"/>
      <c r="CH390" s="9"/>
      <c r="CK390" s="81"/>
      <c r="CL390" s="81"/>
      <c r="CR390" s="9"/>
      <c r="CS390" s="9"/>
      <c r="CT390" s="9"/>
      <c r="CU390" s="9"/>
      <c r="CV390" s="9"/>
      <c r="CW390" s="129"/>
      <c r="CX390" s="9"/>
    </row>
    <row r="391" spans="1:102">
      <c r="A391" s="6" t="str">
        <f t="shared" si="51"/>
        <v>00770805</v>
      </c>
      <c r="B391" s="6" t="s">
        <v>1727</v>
      </c>
      <c r="C391" s="6" t="s">
        <v>2063</v>
      </c>
      <c r="D391" s="6">
        <v>382</v>
      </c>
      <c r="E391" s="6">
        <v>77</v>
      </c>
      <c r="F391" s="6" t="s">
        <v>1196</v>
      </c>
      <c r="G391" s="6">
        <v>805</v>
      </c>
      <c r="H391" s="6" t="s">
        <v>1093</v>
      </c>
      <c r="I391" s="33">
        <v>2171477.7674410334</v>
      </c>
      <c r="J391" s="88">
        <v>0.12967355403869588</v>
      </c>
      <c r="K391" s="89">
        <f t="shared" si="60"/>
        <v>2440758.3462297092</v>
      </c>
      <c r="L391" s="88">
        <f>IF(K394&gt;0, K391/K394, 0)</f>
        <v>0.14634051255247366</v>
      </c>
      <c r="M391" s="58"/>
      <c r="N391" s="9">
        <f>ROUND(M394*L391,0)</f>
        <v>1517300</v>
      </c>
      <c r="O391" s="9">
        <v>1259714</v>
      </c>
      <c r="P391" s="9">
        <f>N391-O391</f>
        <v>257586</v>
      </c>
      <c r="Q391" s="40">
        <f t="shared" si="59"/>
        <v>20.447974699018985</v>
      </c>
      <c r="R391" s="9">
        <v>114.99999999559999</v>
      </c>
      <c r="S391" s="9">
        <f t="shared" si="57"/>
        <v>126.00000000146001</v>
      </c>
      <c r="T391" s="90">
        <f t="shared" si="52"/>
        <v>77</v>
      </c>
      <c r="U391" s="90">
        <f t="shared" si="53"/>
        <v>805</v>
      </c>
      <c r="V391" s="373">
        <f t="shared" si="54"/>
        <v>382</v>
      </c>
      <c r="W391" s="90">
        <f t="shared" si="55"/>
        <v>126.00000000146001</v>
      </c>
      <c r="X391" s="90">
        <f t="shared" si="56"/>
        <v>2440758.3462297092</v>
      </c>
      <c r="Y391" s="141">
        <f t="shared" si="58"/>
        <v>382</v>
      </c>
      <c r="Z391" s="298">
        <v>77</v>
      </c>
      <c r="AA391" s="299">
        <v>805</v>
      </c>
      <c r="AB391" s="299">
        <v>382</v>
      </c>
      <c r="AC391" s="301">
        <v>126.00000000146001</v>
      </c>
      <c r="AD391" s="301">
        <v>2440758.3462297092</v>
      </c>
      <c r="AE391" s="126"/>
      <c r="AF391" s="298"/>
      <c r="AG391" s="299"/>
      <c r="AH391" s="299"/>
      <c r="AI391" s="301"/>
      <c r="AJ391" s="301"/>
      <c r="AK391" s="426"/>
      <c r="AL391" s="298"/>
      <c r="AM391" s="299"/>
      <c r="AN391" s="299"/>
      <c r="AO391" s="301"/>
      <c r="AP391" s="301"/>
      <c r="AQ391" s="426"/>
      <c r="AR391" s="298"/>
      <c r="AS391" s="299"/>
      <c r="AT391" s="299"/>
      <c r="AU391" s="301"/>
      <c r="AV391" s="301"/>
      <c r="AW391" s="88"/>
      <c r="AX391" s="298"/>
      <c r="AY391" s="299"/>
      <c r="AZ391" s="299"/>
      <c r="BA391" s="301"/>
      <c r="BB391" s="301"/>
      <c r="BC391" s="426"/>
      <c r="BD391" s="298"/>
      <c r="BE391" s="299"/>
      <c r="BF391" s="299"/>
      <c r="BG391" s="301"/>
      <c r="BH391" s="301"/>
      <c r="BI391" s="88"/>
      <c r="BJ391" s="298"/>
      <c r="BK391" s="299"/>
      <c r="BL391" s="299"/>
      <c r="BM391" s="301"/>
      <c r="BN391" s="301"/>
      <c r="BO391" s="88"/>
      <c r="BP391" s="9"/>
      <c r="BS391" s="81"/>
      <c r="BT391" s="81"/>
      <c r="BV391" s="9"/>
      <c r="BY391" s="81"/>
      <c r="BZ391" s="81"/>
      <c r="CB391" s="9"/>
      <c r="CE391" s="81"/>
      <c r="CF391" s="81"/>
      <c r="CH391" s="9"/>
      <c r="CK391" s="81"/>
      <c r="CL391" s="81"/>
      <c r="CR391" s="9"/>
      <c r="CS391" s="9"/>
      <c r="CT391" s="9"/>
      <c r="CU391" s="9"/>
      <c r="CV391" s="9"/>
      <c r="CW391" s="129"/>
      <c r="CX391" s="9"/>
    </row>
    <row r="392" spans="1:102">
      <c r="A392" s="6" t="str">
        <f t="shared" si="51"/>
        <v>00770998</v>
      </c>
      <c r="B392" s="6" t="s">
        <v>1727</v>
      </c>
      <c r="C392" s="6" t="s">
        <v>2091</v>
      </c>
      <c r="D392" s="6">
        <v>383</v>
      </c>
      <c r="E392" s="6">
        <v>77</v>
      </c>
      <c r="F392" s="6" t="s">
        <v>1547</v>
      </c>
      <c r="G392" s="6">
        <v>998</v>
      </c>
      <c r="H392" s="6" t="s">
        <v>1547</v>
      </c>
      <c r="I392" s="33">
        <v>0</v>
      </c>
      <c r="J392" s="88">
        <v>0</v>
      </c>
      <c r="K392" s="89">
        <f t="shared" si="60"/>
        <v>0</v>
      </c>
      <c r="L392" s="88">
        <f>IF(K394&gt;0, K392/K394, 0)</f>
        <v>0</v>
      </c>
      <c r="M392" s="58"/>
      <c r="N392" s="9">
        <f>ROUND(M394*L392,0)</f>
        <v>0</v>
      </c>
      <c r="O392" s="9">
        <v>0</v>
      </c>
      <c r="P392" s="9">
        <f>N392-O392</f>
        <v>0</v>
      </c>
      <c r="Q392" s="40">
        <f t="shared" si="59"/>
        <v>0</v>
      </c>
      <c r="R392" s="9">
        <v>0</v>
      </c>
      <c r="S392" s="9">
        <f t="shared" si="57"/>
        <v>0</v>
      </c>
      <c r="T392" s="90">
        <f t="shared" si="52"/>
        <v>77</v>
      </c>
      <c r="U392" s="90">
        <f t="shared" si="53"/>
        <v>998</v>
      </c>
      <c r="V392" s="373">
        <f t="shared" si="54"/>
        <v>383</v>
      </c>
      <c r="W392" s="90">
        <f t="shared" si="55"/>
        <v>0</v>
      </c>
      <c r="X392" s="90">
        <f t="shared" si="56"/>
        <v>0</v>
      </c>
      <c r="Y392" s="141">
        <f t="shared" si="58"/>
        <v>383</v>
      </c>
      <c r="Z392" s="298">
        <v>77</v>
      </c>
      <c r="AA392" s="299">
        <v>998</v>
      </c>
      <c r="AB392" s="299">
        <v>383</v>
      </c>
      <c r="AC392" s="301">
        <v>0</v>
      </c>
      <c r="AD392" s="301">
        <v>0</v>
      </c>
      <c r="AE392" s="126"/>
      <c r="AF392" s="298"/>
      <c r="AG392" s="299"/>
      <c r="AH392" s="299"/>
      <c r="AI392" s="301"/>
      <c r="AJ392" s="301"/>
      <c r="AK392" s="426"/>
      <c r="AL392" s="298"/>
      <c r="AM392" s="299"/>
      <c r="AN392" s="299"/>
      <c r="AO392" s="301"/>
      <c r="AP392" s="301"/>
      <c r="AQ392" s="426"/>
      <c r="AR392" s="298"/>
      <c r="AS392" s="299"/>
      <c r="AT392" s="299"/>
      <c r="AU392" s="301"/>
      <c r="AV392" s="301"/>
      <c r="AW392" s="88"/>
      <c r="AX392" s="298"/>
      <c r="AY392" s="299"/>
      <c r="AZ392" s="299"/>
      <c r="BA392" s="301"/>
      <c r="BB392" s="301"/>
      <c r="BC392" s="426"/>
      <c r="BD392" s="298"/>
      <c r="BE392" s="299"/>
      <c r="BF392" s="299"/>
      <c r="BG392" s="301"/>
      <c r="BH392" s="301"/>
      <c r="BI392" s="88"/>
      <c r="BJ392" s="298"/>
      <c r="BK392" s="299"/>
      <c r="BL392" s="299"/>
      <c r="BM392" s="301"/>
      <c r="BN392" s="301"/>
      <c r="BO392" s="88"/>
      <c r="BP392" s="9"/>
      <c r="BS392" s="81"/>
      <c r="BT392" s="81"/>
      <c r="BV392" s="9"/>
      <c r="BY392" s="81"/>
      <c r="BZ392" s="81"/>
      <c r="CB392" s="9"/>
      <c r="CE392" s="81"/>
      <c r="CF392" s="81"/>
      <c r="CH392" s="9"/>
      <c r="CK392" s="81"/>
      <c r="CL392" s="81"/>
      <c r="CR392" s="9"/>
      <c r="CS392" s="9"/>
      <c r="CT392" s="9"/>
      <c r="CU392" s="9"/>
      <c r="CV392" s="9"/>
      <c r="CW392" s="129"/>
      <c r="CX392" s="9"/>
    </row>
    <row r="393" spans="1:102">
      <c r="A393" s="6" t="str">
        <f t="shared" si="51"/>
        <v>00770998</v>
      </c>
      <c r="B393" s="6" t="s">
        <v>1727</v>
      </c>
      <c r="C393" s="6" t="s">
        <v>2091</v>
      </c>
      <c r="D393" s="6">
        <v>384</v>
      </c>
      <c r="E393" s="6">
        <v>77</v>
      </c>
      <c r="F393" s="6" t="s">
        <v>1547</v>
      </c>
      <c r="G393" s="6">
        <v>998</v>
      </c>
      <c r="H393" s="6" t="s">
        <v>1547</v>
      </c>
      <c r="I393" s="33">
        <v>0</v>
      </c>
      <c r="J393" s="88">
        <v>0</v>
      </c>
      <c r="K393" s="89">
        <f t="shared" si="60"/>
        <v>0</v>
      </c>
      <c r="L393" s="88">
        <f>IF(K394&gt;0, K393/K394, 0)</f>
        <v>0</v>
      </c>
      <c r="M393" s="58"/>
      <c r="N393" s="9">
        <f>ROUND(M394*L393,0)</f>
        <v>0</v>
      </c>
      <c r="O393" s="9">
        <v>0</v>
      </c>
      <c r="P393" s="9">
        <f>N393-O393</f>
        <v>0</v>
      </c>
      <c r="Q393" s="40">
        <f t="shared" si="59"/>
        <v>0</v>
      </c>
      <c r="R393" s="9">
        <v>0</v>
      </c>
      <c r="S393" s="9">
        <f t="shared" si="57"/>
        <v>0</v>
      </c>
      <c r="T393" s="90">
        <f t="shared" si="52"/>
        <v>77</v>
      </c>
      <c r="U393" s="90">
        <f t="shared" si="53"/>
        <v>998</v>
      </c>
      <c r="V393" s="373">
        <f t="shared" si="54"/>
        <v>384</v>
      </c>
      <c r="W393" s="90">
        <f t="shared" si="55"/>
        <v>0</v>
      </c>
      <c r="X393" s="90">
        <f t="shared" si="56"/>
        <v>0</v>
      </c>
      <c r="Y393" s="141">
        <f t="shared" si="58"/>
        <v>384</v>
      </c>
      <c r="Z393" s="298">
        <v>77</v>
      </c>
      <c r="AA393" s="299">
        <v>998</v>
      </c>
      <c r="AB393" s="299">
        <v>384</v>
      </c>
      <c r="AC393" s="301">
        <v>0</v>
      </c>
      <c r="AD393" s="301">
        <v>0</v>
      </c>
      <c r="AE393" s="126"/>
      <c r="AF393" s="298"/>
      <c r="AG393" s="299"/>
      <c r="AH393" s="299"/>
      <c r="AI393" s="301"/>
      <c r="AJ393" s="301"/>
      <c r="AK393" s="426"/>
      <c r="AL393" s="298"/>
      <c r="AM393" s="299"/>
      <c r="AN393" s="299"/>
      <c r="AO393" s="301"/>
      <c r="AP393" s="301"/>
      <c r="AQ393" s="426"/>
      <c r="AR393" s="298"/>
      <c r="AS393" s="299"/>
      <c r="AT393" s="299"/>
      <c r="AU393" s="301"/>
      <c r="AV393" s="301"/>
      <c r="AW393" s="88"/>
      <c r="AX393" s="298"/>
      <c r="AY393" s="299"/>
      <c r="AZ393" s="299"/>
      <c r="BA393" s="301"/>
      <c r="BB393" s="301"/>
      <c r="BC393" s="426"/>
      <c r="BD393" s="298"/>
      <c r="BE393" s="299"/>
      <c r="BF393" s="299"/>
      <c r="BG393" s="301"/>
      <c r="BH393" s="301"/>
      <c r="BI393" s="88"/>
      <c r="BJ393" s="298"/>
      <c r="BK393" s="299"/>
      <c r="BL393" s="299"/>
      <c r="BM393" s="301"/>
      <c r="BN393" s="301"/>
      <c r="BO393" s="88"/>
      <c r="BP393" s="9"/>
      <c r="BS393" s="81"/>
      <c r="BT393" s="81"/>
      <c r="BV393" s="9"/>
      <c r="BY393" s="81"/>
      <c r="BZ393" s="81"/>
      <c r="CB393" s="9"/>
      <c r="CE393" s="81"/>
      <c r="CF393" s="81"/>
      <c r="CH393" s="9"/>
      <c r="CK393" s="81"/>
      <c r="CL393" s="81"/>
      <c r="CR393" s="9"/>
      <c r="CS393" s="9"/>
      <c r="CT393" s="9"/>
      <c r="CU393" s="9"/>
      <c r="CV393" s="9"/>
      <c r="CW393" s="129"/>
      <c r="CX393" s="9"/>
    </row>
    <row r="394" spans="1:102">
      <c r="A394" s="6" t="str">
        <f t="shared" ref="A394:A457" si="61">B394&amp;C394</f>
        <v>00770999</v>
      </c>
      <c r="B394" s="6" t="s">
        <v>1727</v>
      </c>
      <c r="C394" s="6" t="s">
        <v>2092</v>
      </c>
      <c r="D394" s="6">
        <v>385</v>
      </c>
      <c r="E394" s="10">
        <v>77</v>
      </c>
      <c r="F394" s="10" t="s">
        <v>1196</v>
      </c>
      <c r="G394" s="10">
        <v>999</v>
      </c>
      <c r="H394" s="10" t="s">
        <v>593</v>
      </c>
      <c r="I394" s="92">
        <v>16745725.707441032</v>
      </c>
      <c r="J394" s="472">
        <v>0.99999999999999989</v>
      </c>
      <c r="K394" s="53">
        <f>SUM(K390:K393)</f>
        <v>16678623.736229712</v>
      </c>
      <c r="L394" s="91">
        <f>SUM(L390:L393)</f>
        <v>1</v>
      </c>
      <c r="M394" s="79">
        <f>VLOOKUP(E394,town351,24)</f>
        <v>10368286</v>
      </c>
      <c r="N394" s="79">
        <f>SUM(N390:N393)</f>
        <v>10368286</v>
      </c>
      <c r="O394" s="79">
        <v>9714500</v>
      </c>
      <c r="P394" s="79">
        <f>SUM(P390:P393)</f>
        <v>653786</v>
      </c>
      <c r="Q394" s="39">
        <f t="shared" si="59"/>
        <v>6.7300015440835868</v>
      </c>
      <c r="R394" s="9">
        <v>1246.9999999956001</v>
      </c>
      <c r="S394" s="9">
        <f t="shared" si="57"/>
        <v>1198.00000000146</v>
      </c>
      <c r="T394" s="90">
        <f t="shared" ref="T394:T457" si="62">VLOOKUP($D394, foundoptions, VLOOKUP($T$6, foundoptcell, 2, FALSE), FALSE)</f>
        <v>77</v>
      </c>
      <c r="U394" s="90">
        <f t="shared" ref="U394:U457" si="63">VLOOKUP($D394, foundoptions, VLOOKUP($T$6, foundoptcell, 2, FALSE)+1, FALSE)</f>
        <v>999</v>
      </c>
      <c r="V394" s="373">
        <f t="shared" ref="V394:V457" si="64">VLOOKUP($D394, foundoptions, VLOOKUP($T$6, foundoptcell, 2, FALSE)+2, FALSE)</f>
        <v>385</v>
      </c>
      <c r="W394" s="90">
        <f t="shared" ref="W394:W457" si="65">VLOOKUP($D394, foundoptions, VLOOKUP($T$6, foundoptcell, 2, FALSE)+3, FALSE)</f>
        <v>1198.00000000146</v>
      </c>
      <c r="X394" s="90">
        <f t="shared" ref="X394:X457" si="66">VLOOKUP($D394, foundoptions, VLOOKUP($T$6, foundoptcell, 2, FALSE)+4, FALSE)</f>
        <v>16678623.736229712</v>
      </c>
      <c r="Y394" s="141">
        <f t="shared" si="58"/>
        <v>385</v>
      </c>
      <c r="Z394" s="298">
        <v>77</v>
      </c>
      <c r="AA394" s="299">
        <v>999</v>
      </c>
      <c r="AB394" s="299">
        <v>385</v>
      </c>
      <c r="AC394" s="301">
        <v>1198.00000000146</v>
      </c>
      <c r="AD394" s="301">
        <v>16678623.736229712</v>
      </c>
      <c r="AE394" s="126"/>
      <c r="AF394" s="298"/>
      <c r="AG394" s="299"/>
      <c r="AH394" s="299"/>
      <c r="AI394" s="301"/>
      <c r="AJ394" s="301"/>
      <c r="AK394" s="426"/>
      <c r="AL394" s="298"/>
      <c r="AM394" s="299"/>
      <c r="AN394" s="299"/>
      <c r="AO394" s="301"/>
      <c r="AP394" s="301"/>
      <c r="AQ394" s="426"/>
      <c r="AR394" s="298"/>
      <c r="AS394" s="299"/>
      <c r="AT394" s="299"/>
      <c r="AU394" s="301"/>
      <c r="AV394" s="301"/>
      <c r="AW394" s="91"/>
      <c r="AX394" s="298"/>
      <c r="AY394" s="299"/>
      <c r="AZ394" s="299"/>
      <c r="BA394" s="301"/>
      <c r="BB394" s="301"/>
      <c r="BC394" s="426"/>
      <c r="BD394" s="298"/>
      <c r="BE394" s="299"/>
      <c r="BF394" s="299"/>
      <c r="BG394" s="301"/>
      <c r="BH394" s="301"/>
      <c r="BI394" s="91"/>
      <c r="BJ394" s="298"/>
      <c r="BK394" s="299"/>
      <c r="BL394" s="299"/>
      <c r="BM394" s="301"/>
      <c r="BN394" s="301"/>
      <c r="BO394" s="91"/>
      <c r="BP394" s="9"/>
      <c r="BS394" s="81"/>
      <c r="BT394" s="81"/>
      <c r="BV394" s="9"/>
      <c r="BY394" s="81"/>
      <c r="BZ394" s="81"/>
      <c r="CB394" s="9"/>
      <c r="CE394" s="81"/>
      <c r="CF394" s="81"/>
      <c r="CH394" s="9"/>
      <c r="CK394" s="81"/>
      <c r="CL394" s="81"/>
      <c r="CR394" s="9"/>
      <c r="CS394" s="9"/>
      <c r="CT394" s="9"/>
      <c r="CU394" s="9"/>
      <c r="CV394" s="9"/>
      <c r="CW394" s="129"/>
      <c r="CX394" s="9"/>
    </row>
    <row r="395" spans="1:102">
      <c r="A395" s="6" t="str">
        <f t="shared" si="61"/>
        <v>00780078</v>
      </c>
      <c r="B395" s="6" t="s">
        <v>1728</v>
      </c>
      <c r="C395" s="6" t="s">
        <v>1728</v>
      </c>
      <c r="D395" s="6">
        <v>386</v>
      </c>
      <c r="E395" s="6">
        <v>78</v>
      </c>
      <c r="F395" s="6" t="s">
        <v>1197</v>
      </c>
      <c r="G395" s="6">
        <v>78</v>
      </c>
      <c r="H395" s="6" t="s">
        <v>759</v>
      </c>
      <c r="I395" s="33">
        <v>5901407.9242000002</v>
      </c>
      <c r="J395" s="88">
        <v>0.4189649530905164</v>
      </c>
      <c r="K395" s="89">
        <f>X395</f>
        <v>5959421.4737200011</v>
      </c>
      <c r="L395" s="88">
        <f>IF(K399&gt;0, K395/K399, 0)</f>
        <v>0.42141571354631391</v>
      </c>
      <c r="M395" s="58"/>
      <c r="N395" s="9">
        <f>ROUND(M399*L395,0)</f>
        <v>4916523</v>
      </c>
      <c r="O395" s="9">
        <v>4868661</v>
      </c>
      <c r="P395" s="9">
        <f>N395-O395</f>
        <v>47862</v>
      </c>
      <c r="Q395" s="40">
        <f t="shared" si="59"/>
        <v>0.98306289963503313</v>
      </c>
      <c r="R395" s="9">
        <v>500</v>
      </c>
      <c r="S395" s="9">
        <f t="shared" ref="S395:S458" si="67">W395</f>
        <v>491</v>
      </c>
      <c r="T395" s="90">
        <f t="shared" si="62"/>
        <v>78</v>
      </c>
      <c r="U395" s="90">
        <f t="shared" si="63"/>
        <v>78</v>
      </c>
      <c r="V395" s="373">
        <f t="shared" si="64"/>
        <v>386</v>
      </c>
      <c r="W395" s="90">
        <f t="shared" si="65"/>
        <v>491</v>
      </c>
      <c r="X395" s="90">
        <f t="shared" si="66"/>
        <v>5959421.4737200011</v>
      </c>
      <c r="Y395" s="141">
        <f t="shared" ref="Y395:Y458" si="68">D395</f>
        <v>386</v>
      </c>
      <c r="Z395" s="298">
        <v>78</v>
      </c>
      <c r="AA395" s="299">
        <v>78</v>
      </c>
      <c r="AB395" s="299">
        <v>386</v>
      </c>
      <c r="AC395" s="301">
        <v>491</v>
      </c>
      <c r="AD395" s="301">
        <v>5959421.4737200011</v>
      </c>
      <c r="AE395" s="126"/>
      <c r="AF395" s="298"/>
      <c r="AG395" s="299"/>
      <c r="AH395" s="299"/>
      <c r="AI395" s="301"/>
      <c r="AJ395" s="301"/>
      <c r="AK395" s="426"/>
      <c r="AL395" s="298"/>
      <c r="AM395" s="299"/>
      <c r="AN395" s="299"/>
      <c r="AO395" s="301"/>
      <c r="AP395" s="301"/>
      <c r="AQ395" s="426"/>
      <c r="AR395" s="298"/>
      <c r="AS395" s="299"/>
      <c r="AT395" s="299"/>
      <c r="AU395" s="301"/>
      <c r="AV395" s="301"/>
      <c r="AW395" s="88"/>
      <c r="AX395" s="298"/>
      <c r="AY395" s="299"/>
      <c r="AZ395" s="299"/>
      <c r="BA395" s="301"/>
      <c r="BB395" s="301"/>
      <c r="BC395" s="426"/>
      <c r="BD395" s="298"/>
      <c r="BE395" s="299"/>
      <c r="BF395" s="299"/>
      <c r="BG395" s="301"/>
      <c r="BH395" s="301"/>
      <c r="BI395" s="88"/>
      <c r="BJ395" s="298"/>
      <c r="BK395" s="299"/>
      <c r="BL395" s="299"/>
      <c r="BM395" s="301"/>
      <c r="BN395" s="301"/>
      <c r="BO395" s="88"/>
      <c r="BP395" s="9"/>
      <c r="BS395" s="81"/>
      <c r="BT395" s="81"/>
      <c r="BV395" s="9"/>
      <c r="BY395" s="81"/>
      <c r="BZ395" s="81"/>
      <c r="CB395" s="9"/>
      <c r="CE395" s="81"/>
      <c r="CF395" s="81"/>
      <c r="CH395" s="9"/>
      <c r="CK395" s="81"/>
      <c r="CL395" s="81"/>
      <c r="CR395" s="9"/>
      <c r="CS395" s="9"/>
      <c r="CT395" s="9"/>
      <c r="CU395" s="9"/>
      <c r="CV395" s="9"/>
      <c r="CW395" s="129"/>
      <c r="CX395" s="9"/>
    </row>
    <row r="396" spans="1:102">
      <c r="A396" s="6" t="str">
        <f t="shared" si="61"/>
        <v>00780655</v>
      </c>
      <c r="B396" s="6" t="s">
        <v>1728</v>
      </c>
      <c r="C396" s="6" t="s">
        <v>2019</v>
      </c>
      <c r="D396" s="6">
        <v>387</v>
      </c>
      <c r="E396" s="6">
        <v>78</v>
      </c>
      <c r="F396" s="6" t="s">
        <v>1197</v>
      </c>
      <c r="G396" s="6">
        <v>655</v>
      </c>
      <c r="H396" s="6" t="s">
        <v>1049</v>
      </c>
      <c r="I396" s="33">
        <v>8079293.2395034535</v>
      </c>
      <c r="J396" s="88">
        <v>0.57358189038456553</v>
      </c>
      <c r="K396" s="89">
        <f t="shared" si="60"/>
        <v>8033541.1902133534</v>
      </c>
      <c r="L396" s="88">
        <f>IF(K399&gt;0, K396/K399, 0)</f>
        <v>0.56808542706817244</v>
      </c>
      <c r="M396" s="58"/>
      <c r="N396" s="9">
        <f>ROUND(M399*L396,0)</f>
        <v>6627671</v>
      </c>
      <c r="O396" s="9">
        <v>6665417</v>
      </c>
      <c r="P396" s="9">
        <f>N396-O396</f>
        <v>-37746</v>
      </c>
      <c r="Q396" s="40">
        <f t="shared" si="59"/>
        <v>-0.56629615221373242</v>
      </c>
      <c r="R396" s="9">
        <v>637.80119965936001</v>
      </c>
      <c r="S396" s="9">
        <f t="shared" si="67"/>
        <v>613.35707925183999</v>
      </c>
      <c r="T396" s="90">
        <f t="shared" si="62"/>
        <v>78</v>
      </c>
      <c r="U396" s="90">
        <f t="shared" si="63"/>
        <v>655</v>
      </c>
      <c r="V396" s="373">
        <f t="shared" si="64"/>
        <v>387</v>
      </c>
      <c r="W396" s="90">
        <f t="shared" si="65"/>
        <v>613.35707925183999</v>
      </c>
      <c r="X396" s="90">
        <f t="shared" si="66"/>
        <v>8033541.1902133534</v>
      </c>
      <c r="Y396" s="141">
        <f t="shared" si="68"/>
        <v>387</v>
      </c>
      <c r="Z396" s="298">
        <v>78</v>
      </c>
      <c r="AA396" s="299">
        <v>655</v>
      </c>
      <c r="AB396" s="299">
        <v>387</v>
      </c>
      <c r="AC396" s="301">
        <v>613.35707925183999</v>
      </c>
      <c r="AD396" s="301">
        <v>8033541.1902133534</v>
      </c>
      <c r="AE396" s="126"/>
      <c r="AF396" s="298"/>
      <c r="AG396" s="299"/>
      <c r="AH396" s="299"/>
      <c r="AI396" s="301"/>
      <c r="AJ396" s="301"/>
      <c r="AK396" s="426"/>
      <c r="AL396" s="298"/>
      <c r="AM396" s="299"/>
      <c r="AN396" s="299"/>
      <c r="AO396" s="301"/>
      <c r="AP396" s="301"/>
      <c r="AQ396" s="426"/>
      <c r="AR396" s="298"/>
      <c r="AS396" s="299"/>
      <c r="AT396" s="299"/>
      <c r="AU396" s="301"/>
      <c r="AV396" s="301"/>
      <c r="AW396" s="88"/>
      <c r="AX396" s="298"/>
      <c r="AY396" s="299"/>
      <c r="AZ396" s="299"/>
      <c r="BA396" s="301"/>
      <c r="BB396" s="301"/>
      <c r="BC396" s="426"/>
      <c r="BD396" s="298"/>
      <c r="BE396" s="299"/>
      <c r="BF396" s="299"/>
      <c r="BG396" s="301"/>
      <c r="BH396" s="301"/>
      <c r="BI396" s="88"/>
      <c r="BJ396" s="298"/>
      <c r="BK396" s="299"/>
      <c r="BL396" s="299"/>
      <c r="BM396" s="301"/>
      <c r="BN396" s="301"/>
      <c r="BO396" s="88"/>
      <c r="BP396" s="9"/>
      <c r="BS396" s="81"/>
      <c r="BT396" s="81"/>
      <c r="BV396" s="9"/>
      <c r="BY396" s="81"/>
      <c r="BZ396" s="81"/>
      <c r="CB396" s="9"/>
      <c r="CE396" s="81"/>
      <c r="CF396" s="81"/>
      <c r="CH396" s="9"/>
      <c r="CK396" s="81"/>
      <c r="CL396" s="81"/>
      <c r="CR396" s="9"/>
      <c r="CS396" s="9"/>
      <c r="CT396" s="9"/>
      <c r="CU396" s="9"/>
      <c r="CV396" s="9"/>
      <c r="CW396" s="129"/>
      <c r="CX396" s="9"/>
    </row>
    <row r="397" spans="1:102">
      <c r="A397" s="6" t="str">
        <f t="shared" si="61"/>
        <v>00780830</v>
      </c>
      <c r="B397" s="6" t="s">
        <v>1728</v>
      </c>
      <c r="C397" s="6" t="s">
        <v>2074</v>
      </c>
      <c r="D397" s="6">
        <v>388</v>
      </c>
      <c r="E397" s="6">
        <v>78</v>
      </c>
      <c r="F397" s="6" t="s">
        <v>1197</v>
      </c>
      <c r="G397" s="6">
        <v>830</v>
      </c>
      <c r="H397" s="6" t="s">
        <v>1104</v>
      </c>
      <c r="I397" s="33">
        <v>83456.124442620901</v>
      </c>
      <c r="J397" s="88">
        <v>5.9248897400968727E-3</v>
      </c>
      <c r="K397" s="89">
        <f t="shared" si="60"/>
        <v>104420.95774675885</v>
      </c>
      <c r="L397" s="88">
        <f>IF(K399&gt;0, K397/K399, 0)</f>
        <v>7.3840443425746199E-3</v>
      </c>
      <c r="M397" s="58"/>
      <c r="N397" s="9">
        <f>ROUND(M399*L397,0)</f>
        <v>86147</v>
      </c>
      <c r="O397" s="9">
        <v>68851</v>
      </c>
      <c r="P397" s="9">
        <f>N397-O397</f>
        <v>17296</v>
      </c>
      <c r="Q397" s="40">
        <f t="shared" si="59"/>
        <v>25.120913276495621</v>
      </c>
      <c r="R397" s="9">
        <v>4.00000000038</v>
      </c>
      <c r="S397" s="9">
        <f t="shared" si="67"/>
        <v>5.0000000007600001</v>
      </c>
      <c r="T397" s="90">
        <f t="shared" si="62"/>
        <v>78</v>
      </c>
      <c r="U397" s="90">
        <f t="shared" si="63"/>
        <v>830</v>
      </c>
      <c r="V397" s="373">
        <f t="shared" si="64"/>
        <v>388</v>
      </c>
      <c r="W397" s="90">
        <f t="shared" si="65"/>
        <v>5.0000000007600001</v>
      </c>
      <c r="X397" s="90">
        <f t="shared" si="66"/>
        <v>104420.95774675885</v>
      </c>
      <c r="Y397" s="141">
        <f t="shared" si="68"/>
        <v>388</v>
      </c>
      <c r="Z397" s="298">
        <v>78</v>
      </c>
      <c r="AA397" s="299">
        <v>830</v>
      </c>
      <c r="AB397" s="299">
        <v>388</v>
      </c>
      <c r="AC397" s="301">
        <v>5.0000000007600001</v>
      </c>
      <c r="AD397" s="301">
        <v>104420.95774675885</v>
      </c>
      <c r="AE397" s="126"/>
      <c r="AF397" s="298"/>
      <c r="AG397" s="299"/>
      <c r="AH397" s="299"/>
      <c r="AI397" s="301"/>
      <c r="AJ397" s="301"/>
      <c r="AK397" s="426"/>
      <c r="AL397" s="298"/>
      <c r="AM397" s="299"/>
      <c r="AN397" s="299"/>
      <c r="AO397" s="301"/>
      <c r="AP397" s="301"/>
      <c r="AQ397" s="426"/>
      <c r="AR397" s="298"/>
      <c r="AS397" s="299"/>
      <c r="AT397" s="299"/>
      <c r="AU397" s="301"/>
      <c r="AV397" s="301"/>
      <c r="AW397" s="88"/>
      <c r="AX397" s="298"/>
      <c r="AY397" s="299"/>
      <c r="AZ397" s="299"/>
      <c r="BA397" s="301"/>
      <c r="BB397" s="301"/>
      <c r="BC397" s="426"/>
      <c r="BD397" s="298"/>
      <c r="BE397" s="299"/>
      <c r="BF397" s="299"/>
      <c r="BG397" s="301"/>
      <c r="BH397" s="301"/>
      <c r="BI397" s="88"/>
      <c r="BJ397" s="298"/>
      <c r="BK397" s="299"/>
      <c r="BL397" s="299"/>
      <c r="BM397" s="301"/>
      <c r="BN397" s="301"/>
      <c r="BO397" s="88"/>
      <c r="BP397" s="9"/>
      <c r="BS397" s="81"/>
      <c r="BT397" s="81"/>
      <c r="BV397" s="9"/>
      <c r="BY397" s="81"/>
      <c r="BZ397" s="81"/>
      <c r="CB397" s="9"/>
      <c r="CE397" s="81"/>
      <c r="CF397" s="81"/>
      <c r="CH397" s="9"/>
      <c r="CK397" s="81"/>
      <c r="CL397" s="81"/>
      <c r="CR397" s="9"/>
      <c r="CS397" s="9"/>
      <c r="CT397" s="9"/>
      <c r="CU397" s="9"/>
      <c r="CV397" s="9"/>
      <c r="CW397" s="129"/>
      <c r="CX397" s="9"/>
    </row>
    <row r="398" spans="1:102">
      <c r="A398" s="6" t="str">
        <f t="shared" si="61"/>
        <v>00780915</v>
      </c>
      <c r="B398" s="6" t="s">
        <v>1728</v>
      </c>
      <c r="C398" s="6" t="s">
        <v>2089</v>
      </c>
      <c r="D398" s="6">
        <v>389</v>
      </c>
      <c r="E398" s="6">
        <v>78</v>
      </c>
      <c r="F398" s="6" t="s">
        <v>1197</v>
      </c>
      <c r="G398" s="6">
        <v>915</v>
      </c>
      <c r="H398" s="6" t="s">
        <v>1119</v>
      </c>
      <c r="I398" s="33">
        <v>21526.682954523571</v>
      </c>
      <c r="J398" s="88">
        <v>1.5282667848213526E-3</v>
      </c>
      <c r="K398" s="89">
        <f t="shared" si="60"/>
        <v>44047.943768753496</v>
      </c>
      <c r="L398" s="88">
        <f>IF(K399&gt;0, K398/K399, 0)</f>
        <v>3.1148150429390672E-3</v>
      </c>
      <c r="M398" s="58"/>
      <c r="N398" s="9">
        <f>ROUND(M399*L398,0)</f>
        <v>36340</v>
      </c>
      <c r="O398" s="9">
        <v>17760</v>
      </c>
      <c r="P398" s="9">
        <f>N398-O398</f>
        <v>18580</v>
      </c>
      <c r="Q398" s="40">
        <f t="shared" si="59"/>
        <v>104.61711711711712</v>
      </c>
      <c r="R398" s="9">
        <v>1.00000000001</v>
      </c>
      <c r="S398" s="9">
        <f t="shared" si="67"/>
        <v>2.00000000024</v>
      </c>
      <c r="T398" s="90">
        <f t="shared" si="62"/>
        <v>78</v>
      </c>
      <c r="U398" s="90">
        <f t="shared" si="63"/>
        <v>915</v>
      </c>
      <c r="V398" s="373">
        <f t="shared" si="64"/>
        <v>389</v>
      </c>
      <c r="W398" s="90">
        <f t="shared" si="65"/>
        <v>2.00000000024</v>
      </c>
      <c r="X398" s="90">
        <f t="shared" si="66"/>
        <v>44047.943768753496</v>
      </c>
      <c r="Y398" s="141">
        <f t="shared" si="68"/>
        <v>389</v>
      </c>
      <c r="Z398" s="298">
        <v>78</v>
      </c>
      <c r="AA398" s="299">
        <v>915</v>
      </c>
      <c r="AB398" s="299">
        <v>389</v>
      </c>
      <c r="AC398" s="301">
        <v>2.00000000024</v>
      </c>
      <c r="AD398" s="301">
        <v>44047.943768753496</v>
      </c>
      <c r="AE398" s="126"/>
      <c r="AF398" s="298"/>
      <c r="AG398" s="299"/>
      <c r="AH398" s="299"/>
      <c r="AI398" s="301"/>
      <c r="AJ398" s="301"/>
      <c r="AK398" s="426"/>
      <c r="AL398" s="298"/>
      <c r="AM398" s="299"/>
      <c r="AN398" s="299"/>
      <c r="AO398" s="301"/>
      <c r="AP398" s="301"/>
      <c r="AQ398" s="426"/>
      <c r="AR398" s="298"/>
      <c r="AS398" s="299"/>
      <c r="AT398" s="299"/>
      <c r="AU398" s="301"/>
      <c r="AV398" s="301"/>
      <c r="AW398" s="88"/>
      <c r="AX398" s="298"/>
      <c r="AY398" s="299"/>
      <c r="AZ398" s="299"/>
      <c r="BA398" s="301"/>
      <c r="BB398" s="301"/>
      <c r="BC398" s="426"/>
      <c r="BD398" s="298"/>
      <c r="BE398" s="299"/>
      <c r="BF398" s="299"/>
      <c r="BG398" s="301"/>
      <c r="BH398" s="301"/>
      <c r="BI398" s="88"/>
      <c r="BJ398" s="298"/>
      <c r="BK398" s="299"/>
      <c r="BL398" s="299"/>
      <c r="BM398" s="301"/>
      <c r="BN398" s="301"/>
      <c r="BO398" s="88"/>
      <c r="BP398" s="9"/>
      <c r="BS398" s="81"/>
      <c r="BT398" s="81"/>
      <c r="BV398" s="9"/>
      <c r="BY398" s="81"/>
      <c r="BZ398" s="81"/>
      <c r="CB398" s="9"/>
      <c r="CE398" s="81"/>
      <c r="CF398" s="81"/>
      <c r="CH398" s="9"/>
      <c r="CK398" s="81"/>
      <c r="CL398" s="81"/>
      <c r="CR398" s="9"/>
      <c r="CS398" s="9"/>
      <c r="CT398" s="9"/>
      <c r="CU398" s="9"/>
      <c r="CV398" s="9"/>
      <c r="CW398" s="129"/>
      <c r="CX398" s="9"/>
    </row>
    <row r="399" spans="1:102">
      <c r="A399" s="6" t="str">
        <f t="shared" si="61"/>
        <v>00780999</v>
      </c>
      <c r="B399" s="6" t="s">
        <v>1728</v>
      </c>
      <c r="C399" s="6" t="s">
        <v>2092</v>
      </c>
      <c r="D399" s="6">
        <v>390</v>
      </c>
      <c r="E399" s="10">
        <v>78</v>
      </c>
      <c r="F399" s="10" t="s">
        <v>1197</v>
      </c>
      <c r="G399" s="10">
        <v>999</v>
      </c>
      <c r="H399" s="10" t="s">
        <v>593</v>
      </c>
      <c r="I399" s="92">
        <v>14085683.971100597</v>
      </c>
      <c r="J399" s="472">
        <v>1.0000000000000002</v>
      </c>
      <c r="K399" s="53">
        <f>SUM(K395:K398)</f>
        <v>14141431.565448867</v>
      </c>
      <c r="L399" s="91">
        <f>SUM(L395:L398)</f>
        <v>1</v>
      </c>
      <c r="M399" s="79">
        <f>VLOOKUP(E399,town351,24)</f>
        <v>11666681</v>
      </c>
      <c r="N399" s="79">
        <f>SUM(N395:N398)</f>
        <v>11666681</v>
      </c>
      <c r="O399" s="79">
        <v>11620689</v>
      </c>
      <c r="P399" s="79">
        <f>SUM(P395:P398)</f>
        <v>45992</v>
      </c>
      <c r="Q399" s="39">
        <f t="shared" si="59"/>
        <v>0.39577687691323638</v>
      </c>
      <c r="R399" s="9">
        <v>1142.80119965975</v>
      </c>
      <c r="S399" s="9">
        <f t="shared" si="67"/>
        <v>1111.3570792528401</v>
      </c>
      <c r="T399" s="90">
        <f t="shared" si="62"/>
        <v>78</v>
      </c>
      <c r="U399" s="90">
        <f t="shared" si="63"/>
        <v>999</v>
      </c>
      <c r="V399" s="373">
        <f t="shared" si="64"/>
        <v>390</v>
      </c>
      <c r="W399" s="90">
        <f t="shared" si="65"/>
        <v>1111.3570792528401</v>
      </c>
      <c r="X399" s="90">
        <f t="shared" si="66"/>
        <v>14141431.565448867</v>
      </c>
      <c r="Y399" s="141">
        <f t="shared" si="68"/>
        <v>390</v>
      </c>
      <c r="Z399" s="298">
        <v>78</v>
      </c>
      <c r="AA399" s="299">
        <v>999</v>
      </c>
      <c r="AB399" s="299">
        <v>390</v>
      </c>
      <c r="AC399" s="301">
        <v>1111.3570792528401</v>
      </c>
      <c r="AD399" s="301">
        <v>14141431.565448867</v>
      </c>
      <c r="AE399" s="126"/>
      <c r="AF399" s="298"/>
      <c r="AG399" s="299"/>
      <c r="AH399" s="299"/>
      <c r="AI399" s="301"/>
      <c r="AJ399" s="301"/>
      <c r="AK399" s="426"/>
      <c r="AL399" s="298"/>
      <c r="AM399" s="299"/>
      <c r="AN399" s="299"/>
      <c r="AO399" s="301"/>
      <c r="AP399" s="301"/>
      <c r="AQ399" s="426"/>
      <c r="AR399" s="298"/>
      <c r="AS399" s="299"/>
      <c r="AT399" s="299"/>
      <c r="AU399" s="301"/>
      <c r="AV399" s="301"/>
      <c r="AW399" s="91"/>
      <c r="AX399" s="298"/>
      <c r="AY399" s="299"/>
      <c r="AZ399" s="299"/>
      <c r="BA399" s="301"/>
      <c r="BB399" s="301"/>
      <c r="BC399" s="426"/>
      <c r="BD399" s="298"/>
      <c r="BE399" s="299"/>
      <c r="BF399" s="299"/>
      <c r="BG399" s="301"/>
      <c r="BH399" s="301"/>
      <c r="BI399" s="91"/>
      <c r="BJ399" s="298"/>
      <c r="BK399" s="299"/>
      <c r="BL399" s="299"/>
      <c r="BM399" s="301"/>
      <c r="BN399" s="301"/>
      <c r="BO399" s="91"/>
      <c r="BP399" s="9"/>
      <c r="BS399" s="81"/>
      <c r="BT399" s="81"/>
      <c r="BV399" s="9"/>
      <c r="BY399" s="81"/>
      <c r="BZ399" s="81"/>
      <c r="CB399" s="9"/>
      <c r="CE399" s="81"/>
      <c r="CF399" s="81"/>
      <c r="CH399" s="9"/>
      <c r="CK399" s="81"/>
      <c r="CL399" s="81"/>
      <c r="CR399" s="9"/>
      <c r="CS399" s="9"/>
      <c r="CT399" s="9"/>
      <c r="CU399" s="9"/>
      <c r="CV399" s="9"/>
      <c r="CW399" s="129"/>
      <c r="CX399" s="9"/>
    </row>
    <row r="400" spans="1:102">
      <c r="A400" s="6" t="str">
        <f t="shared" si="61"/>
        <v>00790079</v>
      </c>
      <c r="B400" s="6" t="s">
        <v>1729</v>
      </c>
      <c r="C400" s="6" t="s">
        <v>1729</v>
      </c>
      <c r="D400" s="6">
        <v>391</v>
      </c>
      <c r="E400" s="6">
        <v>79</v>
      </c>
      <c r="F400" s="6" t="s">
        <v>1198</v>
      </c>
      <c r="G400" s="6">
        <v>79</v>
      </c>
      <c r="H400" s="6" t="s">
        <v>760</v>
      </c>
      <c r="I400" s="33">
        <v>54539267.460000008</v>
      </c>
      <c r="J400" s="88">
        <v>0.84380884676411161</v>
      </c>
      <c r="K400" s="89">
        <f>X400</f>
        <v>54583406.889999993</v>
      </c>
      <c r="L400" s="88">
        <f>IF(K404&gt;0, K400/K404, 0)</f>
        <v>0.82771454974713832</v>
      </c>
      <c r="M400" s="58"/>
      <c r="N400" s="9">
        <f>ROUND(M404*L400,0)</f>
        <v>27974680</v>
      </c>
      <c r="O400" s="9">
        <v>27369124</v>
      </c>
      <c r="P400" s="9">
        <f>N400-O400</f>
        <v>605556</v>
      </c>
      <c r="Q400" s="40">
        <f>IF(O400&gt;0,P400*100/O400,IF(P400&gt;0,100,0))</f>
        <v>2.2125516330007495</v>
      </c>
      <c r="R400" s="9">
        <v>3900</v>
      </c>
      <c r="S400" s="9">
        <f t="shared" si="67"/>
        <v>3837</v>
      </c>
      <c r="T400" s="90">
        <f t="shared" si="62"/>
        <v>79</v>
      </c>
      <c r="U400" s="90">
        <f t="shared" si="63"/>
        <v>79</v>
      </c>
      <c r="V400" s="373">
        <f t="shared" si="64"/>
        <v>391</v>
      </c>
      <c r="W400" s="90">
        <f t="shared" si="65"/>
        <v>3837</v>
      </c>
      <c r="X400" s="90">
        <f t="shared" si="66"/>
        <v>54583406.889999993</v>
      </c>
      <c r="Y400" s="141">
        <f t="shared" si="68"/>
        <v>391</v>
      </c>
      <c r="Z400" s="298">
        <v>79</v>
      </c>
      <c r="AA400" s="299">
        <v>79</v>
      </c>
      <c r="AB400" s="299">
        <v>391</v>
      </c>
      <c r="AC400" s="301">
        <v>3837</v>
      </c>
      <c r="AD400" s="301">
        <v>54583406.889999993</v>
      </c>
      <c r="AE400" s="126"/>
      <c r="AF400" s="298"/>
      <c r="AG400" s="299"/>
      <c r="AH400" s="299"/>
      <c r="AI400" s="301"/>
      <c r="AJ400" s="301"/>
      <c r="AK400" s="426"/>
      <c r="AL400" s="298"/>
      <c r="AM400" s="299"/>
      <c r="AN400" s="299"/>
      <c r="AO400" s="301"/>
      <c r="AP400" s="301"/>
      <c r="AQ400" s="426"/>
      <c r="AR400" s="298"/>
      <c r="AS400" s="299"/>
      <c r="AT400" s="299"/>
      <c r="AU400" s="301"/>
      <c r="AV400" s="301"/>
      <c r="AW400" s="88"/>
      <c r="AX400" s="298"/>
      <c r="AY400" s="299"/>
      <c r="AZ400" s="299"/>
      <c r="BA400" s="301"/>
      <c r="BB400" s="301"/>
      <c r="BC400" s="426"/>
      <c r="BD400" s="298"/>
      <c r="BE400" s="299"/>
      <c r="BF400" s="299"/>
      <c r="BG400" s="301"/>
      <c r="BH400" s="301"/>
      <c r="BI400" s="88"/>
      <c r="BJ400" s="298"/>
      <c r="BK400" s="299"/>
      <c r="BL400" s="299"/>
      <c r="BM400" s="301"/>
      <c r="BN400" s="301"/>
      <c r="BO400" s="88"/>
      <c r="BP400" s="9"/>
      <c r="BS400" s="81"/>
      <c r="BT400" s="81"/>
      <c r="BV400" s="9"/>
      <c r="BY400" s="81"/>
      <c r="BZ400" s="81"/>
      <c r="CB400" s="9"/>
      <c r="CE400" s="81"/>
      <c r="CF400" s="81"/>
      <c r="CH400" s="9"/>
      <c r="CK400" s="81"/>
      <c r="CL400" s="81"/>
      <c r="CR400" s="9"/>
      <c r="CS400" s="9"/>
      <c r="CT400" s="9"/>
      <c r="CU400" s="9"/>
      <c r="CV400" s="9"/>
      <c r="CW400" s="129"/>
      <c r="CX400" s="9"/>
    </row>
    <row r="401" spans="1:102">
      <c r="A401" s="6" t="str">
        <f t="shared" si="61"/>
        <v>00790828</v>
      </c>
      <c r="B401" s="6" t="s">
        <v>1729</v>
      </c>
      <c r="C401" s="6" t="s">
        <v>2072</v>
      </c>
      <c r="D401" s="6">
        <v>392</v>
      </c>
      <c r="E401" s="6">
        <v>79</v>
      </c>
      <c r="F401" s="6" t="s">
        <v>1198</v>
      </c>
      <c r="G401" s="6">
        <v>828</v>
      </c>
      <c r="H401" s="6" t="s">
        <v>1102</v>
      </c>
      <c r="I401" s="33">
        <v>10095356.44700267</v>
      </c>
      <c r="J401" s="88">
        <v>0.15619115323588836</v>
      </c>
      <c r="K401" s="89">
        <f t="shared" si="60"/>
        <v>11361316.332123971</v>
      </c>
      <c r="L401" s="88">
        <f>IF(K404&gt;0, K401/K404, 0)</f>
        <v>0.17228545025286168</v>
      </c>
      <c r="M401" s="58"/>
      <c r="N401" s="9">
        <f>ROUND(M404*L401,0)</f>
        <v>5822817</v>
      </c>
      <c r="O401" s="9">
        <v>5066094</v>
      </c>
      <c r="P401" s="9">
        <f>N401-O401</f>
        <v>756723</v>
      </c>
      <c r="Q401" s="40">
        <f>IF(O401&gt;0,P401*100/O401,IF(P401&gt;0,100,0))</f>
        <v>14.937010643703019</v>
      </c>
      <c r="R401" s="9">
        <v>457.00000000104001</v>
      </c>
      <c r="S401" s="9">
        <f t="shared" si="67"/>
        <v>503.00000000019003</v>
      </c>
      <c r="T401" s="90">
        <f t="shared" si="62"/>
        <v>79</v>
      </c>
      <c r="U401" s="90">
        <f t="shared" si="63"/>
        <v>828</v>
      </c>
      <c r="V401" s="373">
        <f t="shared" si="64"/>
        <v>392</v>
      </c>
      <c r="W401" s="90">
        <f t="shared" si="65"/>
        <v>503.00000000019003</v>
      </c>
      <c r="X401" s="90">
        <f t="shared" si="66"/>
        <v>11361316.332123971</v>
      </c>
      <c r="Y401" s="141">
        <f t="shared" si="68"/>
        <v>392</v>
      </c>
      <c r="Z401" s="298">
        <v>79</v>
      </c>
      <c r="AA401" s="299">
        <v>828</v>
      </c>
      <c r="AB401" s="299">
        <v>392</v>
      </c>
      <c r="AC401" s="301">
        <v>503.00000000019003</v>
      </c>
      <c r="AD401" s="301">
        <v>11361316.332123971</v>
      </c>
      <c r="AE401" s="126"/>
      <c r="AF401" s="298"/>
      <c r="AG401" s="299"/>
      <c r="AH401" s="299"/>
      <c r="AI401" s="301"/>
      <c r="AJ401" s="301"/>
      <c r="AK401" s="426"/>
      <c r="AL401" s="298"/>
      <c r="AM401" s="299"/>
      <c r="AN401" s="299"/>
      <c r="AO401" s="301"/>
      <c r="AP401" s="301"/>
      <c r="AQ401" s="426"/>
      <c r="AR401" s="298"/>
      <c r="AS401" s="299"/>
      <c r="AT401" s="299"/>
      <c r="AU401" s="301"/>
      <c r="AV401" s="301"/>
      <c r="AW401" s="88"/>
      <c r="AX401" s="298"/>
      <c r="AY401" s="299"/>
      <c r="AZ401" s="299"/>
      <c r="BA401" s="301"/>
      <c r="BB401" s="301"/>
      <c r="BC401" s="426"/>
      <c r="BD401" s="298"/>
      <c r="BE401" s="299"/>
      <c r="BF401" s="299"/>
      <c r="BG401" s="301"/>
      <c r="BH401" s="301"/>
      <c r="BI401" s="88"/>
      <c r="BJ401" s="298"/>
      <c r="BK401" s="299"/>
      <c r="BL401" s="299"/>
      <c r="BM401" s="301"/>
      <c r="BN401" s="301"/>
      <c r="BO401" s="88"/>
      <c r="BP401" s="9"/>
      <c r="BS401" s="81"/>
      <c r="BT401" s="81"/>
      <c r="BV401" s="9"/>
      <c r="BY401" s="81"/>
      <c r="BZ401" s="81"/>
      <c r="CB401" s="9"/>
      <c r="CE401" s="81"/>
      <c r="CF401" s="81"/>
      <c r="CH401" s="9"/>
      <c r="CK401" s="81"/>
      <c r="CL401" s="81"/>
      <c r="CR401" s="9"/>
      <c r="CS401" s="9"/>
      <c r="CT401" s="9"/>
      <c r="CU401" s="9"/>
      <c r="CV401" s="9"/>
      <c r="CW401" s="129"/>
      <c r="CX401" s="9"/>
    </row>
    <row r="402" spans="1:102">
      <c r="A402" s="6" t="str">
        <f t="shared" si="61"/>
        <v>00790998</v>
      </c>
      <c r="B402" s="6" t="s">
        <v>1729</v>
      </c>
      <c r="C402" s="6" t="s">
        <v>2091</v>
      </c>
      <c r="D402" s="6">
        <v>393</v>
      </c>
      <c r="E402" s="6">
        <v>79</v>
      </c>
      <c r="F402" s="6" t="s">
        <v>1547</v>
      </c>
      <c r="G402" s="6">
        <v>998</v>
      </c>
      <c r="I402" s="33">
        <v>0</v>
      </c>
      <c r="J402" s="88">
        <v>0</v>
      </c>
      <c r="K402" s="89">
        <f t="shared" si="60"/>
        <v>0</v>
      </c>
      <c r="L402" s="88">
        <f>IF(K404&gt;0, K402/K404, 0)</f>
        <v>0</v>
      </c>
      <c r="M402" s="58"/>
      <c r="N402" s="9">
        <f>ROUND(M404*L402,0)</f>
        <v>0</v>
      </c>
      <c r="O402" s="9">
        <v>0</v>
      </c>
      <c r="P402" s="9">
        <f>N402-O402</f>
        <v>0</v>
      </c>
      <c r="Q402" s="40">
        <f>IF(O402&gt;0,P402*100/O402,IF(P402&gt;0,100,0))</f>
        <v>0</v>
      </c>
      <c r="R402" s="9">
        <v>0</v>
      </c>
      <c r="S402" s="9">
        <f t="shared" si="67"/>
        <v>0</v>
      </c>
      <c r="T402" s="90">
        <f t="shared" si="62"/>
        <v>79</v>
      </c>
      <c r="U402" s="90">
        <f t="shared" si="63"/>
        <v>998</v>
      </c>
      <c r="V402" s="373">
        <f t="shared" si="64"/>
        <v>393</v>
      </c>
      <c r="W402" s="90">
        <f t="shared" si="65"/>
        <v>0</v>
      </c>
      <c r="X402" s="90">
        <f t="shared" si="66"/>
        <v>0</v>
      </c>
      <c r="Y402" s="141">
        <f t="shared" si="68"/>
        <v>393</v>
      </c>
      <c r="Z402" s="298">
        <v>79</v>
      </c>
      <c r="AA402" s="299">
        <v>998</v>
      </c>
      <c r="AB402" s="299">
        <v>393</v>
      </c>
      <c r="AC402" s="301">
        <v>0</v>
      </c>
      <c r="AD402" s="301">
        <v>0</v>
      </c>
      <c r="AE402" s="126"/>
      <c r="AF402" s="298"/>
      <c r="AG402" s="299"/>
      <c r="AH402" s="299"/>
      <c r="AI402" s="301"/>
      <c r="AJ402" s="301"/>
      <c r="AK402" s="426"/>
      <c r="AL402" s="298"/>
      <c r="AM402" s="299"/>
      <c r="AN402" s="299"/>
      <c r="AO402" s="301"/>
      <c r="AP402" s="301"/>
      <c r="AQ402" s="426"/>
      <c r="AR402" s="298"/>
      <c r="AS402" s="299"/>
      <c r="AT402" s="299"/>
      <c r="AU402" s="301"/>
      <c r="AV402" s="301"/>
      <c r="AW402" s="88"/>
      <c r="AX402" s="298"/>
      <c r="AY402" s="299"/>
      <c r="AZ402" s="299"/>
      <c r="BA402" s="301"/>
      <c r="BB402" s="301"/>
      <c r="BC402" s="426"/>
      <c r="BD402" s="298"/>
      <c r="BE402" s="299"/>
      <c r="BF402" s="299"/>
      <c r="BG402" s="301"/>
      <c r="BH402" s="301"/>
      <c r="BI402" s="88"/>
      <c r="BJ402" s="298"/>
      <c r="BK402" s="299"/>
      <c r="BL402" s="299"/>
      <c r="BM402" s="301"/>
      <c r="BN402" s="301"/>
      <c r="BO402" s="88"/>
      <c r="BP402" s="9"/>
      <c r="BS402" s="81"/>
      <c r="BT402" s="81"/>
      <c r="BV402" s="9"/>
      <c r="BY402" s="81"/>
      <c r="BZ402" s="81"/>
      <c r="CB402" s="9"/>
      <c r="CE402" s="81"/>
      <c r="CF402" s="81"/>
      <c r="CH402" s="9"/>
      <c r="CK402" s="81"/>
      <c r="CL402" s="81"/>
      <c r="CR402" s="9"/>
      <c r="CS402" s="9"/>
      <c r="CT402" s="9"/>
      <c r="CU402" s="9"/>
      <c r="CV402" s="9"/>
      <c r="CW402" s="129"/>
      <c r="CX402" s="9"/>
    </row>
    <row r="403" spans="1:102">
      <c r="A403" s="6" t="str">
        <f t="shared" si="61"/>
        <v>00790998</v>
      </c>
      <c r="B403" s="6" t="s">
        <v>1729</v>
      </c>
      <c r="C403" s="6" t="s">
        <v>2091</v>
      </c>
      <c r="D403" s="6">
        <v>394</v>
      </c>
      <c r="E403" s="6">
        <v>79</v>
      </c>
      <c r="F403" s="6" t="s">
        <v>1547</v>
      </c>
      <c r="G403" s="6">
        <v>998</v>
      </c>
      <c r="H403" s="6" t="s">
        <v>1547</v>
      </c>
      <c r="I403" s="33">
        <v>0</v>
      </c>
      <c r="J403" s="88">
        <v>0</v>
      </c>
      <c r="K403" s="89">
        <f t="shared" si="60"/>
        <v>0</v>
      </c>
      <c r="L403" s="88">
        <f>IF(K404&gt;0, K403/K404, 0)</f>
        <v>0</v>
      </c>
      <c r="M403" s="58"/>
      <c r="N403" s="9">
        <f>ROUND(M404*L403,0)</f>
        <v>0</v>
      </c>
      <c r="O403" s="9">
        <v>0</v>
      </c>
      <c r="P403" s="9">
        <f>N403-O403</f>
        <v>0</v>
      </c>
      <c r="Q403" s="40">
        <f>IF(O403&gt;0,P403*100/O403,IF(P403&gt;0,100,0))</f>
        <v>0</v>
      </c>
      <c r="R403" s="9">
        <v>0</v>
      </c>
      <c r="S403" s="9">
        <f t="shared" si="67"/>
        <v>0</v>
      </c>
      <c r="T403" s="90">
        <f t="shared" si="62"/>
        <v>79</v>
      </c>
      <c r="U403" s="90">
        <f t="shared" si="63"/>
        <v>998</v>
      </c>
      <c r="V403" s="373">
        <f t="shared" si="64"/>
        <v>394</v>
      </c>
      <c r="W403" s="90">
        <f t="shared" si="65"/>
        <v>0</v>
      </c>
      <c r="X403" s="90">
        <f t="shared" si="66"/>
        <v>0</v>
      </c>
      <c r="Y403" s="141">
        <f t="shared" si="68"/>
        <v>394</v>
      </c>
      <c r="Z403" s="298">
        <v>79</v>
      </c>
      <c r="AA403" s="299">
        <v>998</v>
      </c>
      <c r="AB403" s="299">
        <v>394</v>
      </c>
      <c r="AC403" s="301">
        <v>0</v>
      </c>
      <c r="AD403" s="301">
        <v>0</v>
      </c>
      <c r="AE403" s="126"/>
      <c r="AF403" s="298"/>
      <c r="AG403" s="299"/>
      <c r="AH403" s="299"/>
      <c r="AI403" s="301"/>
      <c r="AJ403" s="301"/>
      <c r="AK403" s="426"/>
      <c r="AL403" s="298"/>
      <c r="AM403" s="299"/>
      <c r="AN403" s="299"/>
      <c r="AO403" s="301"/>
      <c r="AP403" s="301"/>
      <c r="AQ403" s="426"/>
      <c r="AR403" s="298"/>
      <c r="AS403" s="299"/>
      <c r="AT403" s="299"/>
      <c r="AU403" s="301"/>
      <c r="AV403" s="301"/>
      <c r="AW403" s="88"/>
      <c r="AX403" s="298"/>
      <c r="AY403" s="299"/>
      <c r="AZ403" s="299"/>
      <c r="BA403" s="301"/>
      <c r="BB403" s="301"/>
      <c r="BC403" s="426"/>
      <c r="BD403" s="298"/>
      <c r="BE403" s="299"/>
      <c r="BF403" s="299"/>
      <c r="BG403" s="301"/>
      <c r="BH403" s="301"/>
      <c r="BI403" s="88"/>
      <c r="BJ403" s="298"/>
      <c r="BK403" s="299"/>
      <c r="BL403" s="299"/>
      <c r="BM403" s="301"/>
      <c r="BN403" s="301"/>
      <c r="BO403" s="88"/>
      <c r="BP403" s="9"/>
      <c r="BS403" s="81"/>
      <c r="BT403" s="81"/>
      <c r="BV403" s="9"/>
      <c r="BY403" s="81"/>
      <c r="BZ403" s="81"/>
      <c r="CB403" s="9"/>
      <c r="CE403" s="81"/>
      <c r="CF403" s="81"/>
      <c r="CH403" s="9"/>
      <c r="CK403" s="81"/>
      <c r="CL403" s="81"/>
      <c r="CR403" s="9"/>
      <c r="CS403" s="9"/>
      <c r="CT403" s="9"/>
      <c r="CU403" s="9"/>
      <c r="CV403" s="9"/>
      <c r="CW403" s="129"/>
      <c r="CX403" s="9"/>
    </row>
    <row r="404" spans="1:102">
      <c r="A404" s="6" t="str">
        <f t="shared" si="61"/>
        <v>00790999</v>
      </c>
      <c r="B404" s="6" t="s">
        <v>1729</v>
      </c>
      <c r="C404" s="6" t="s">
        <v>2092</v>
      </c>
      <c r="D404" s="6">
        <v>395</v>
      </c>
      <c r="E404" s="10">
        <v>79</v>
      </c>
      <c r="F404" s="10" t="s">
        <v>1198</v>
      </c>
      <c r="G404" s="10">
        <v>999</v>
      </c>
      <c r="H404" s="10" t="s">
        <v>593</v>
      </c>
      <c r="I404" s="92">
        <v>64634623.90700268</v>
      </c>
      <c r="J404" s="472">
        <v>1</v>
      </c>
      <c r="K404" s="53">
        <f>SUM(K400:K403)</f>
        <v>65944723.222123966</v>
      </c>
      <c r="L404" s="91">
        <f>SUM(L400:L403)</f>
        <v>1</v>
      </c>
      <c r="M404" s="79">
        <f>VLOOKUP(E404,town351,24)</f>
        <v>33797497</v>
      </c>
      <c r="N404" s="79">
        <f>SUM(N400:N403)</f>
        <v>33797497</v>
      </c>
      <c r="O404" s="79">
        <v>32435218</v>
      </c>
      <c r="P404" s="79">
        <f>SUM(P400:P403)</f>
        <v>1362279</v>
      </c>
      <c r="Q404" s="39">
        <f t="shared" ref="Q404:Q463" si="69">IF(O404&gt;0,P404*100/O404,IF(P404&gt;0,100,0))</f>
        <v>4.1999995190413086</v>
      </c>
      <c r="R404" s="9">
        <v>4357.0000000010405</v>
      </c>
      <c r="S404" s="9">
        <f t="shared" si="67"/>
        <v>4340.0000000001901</v>
      </c>
      <c r="T404" s="90">
        <f t="shared" si="62"/>
        <v>79</v>
      </c>
      <c r="U404" s="90">
        <f t="shared" si="63"/>
        <v>999</v>
      </c>
      <c r="V404" s="373">
        <f t="shared" si="64"/>
        <v>395</v>
      </c>
      <c r="W404" s="90">
        <f t="shared" si="65"/>
        <v>4340.0000000001901</v>
      </c>
      <c r="X404" s="90">
        <f t="shared" si="66"/>
        <v>65944723.222123966</v>
      </c>
      <c r="Y404" s="141">
        <f t="shared" si="68"/>
        <v>395</v>
      </c>
      <c r="Z404" s="298">
        <v>79</v>
      </c>
      <c r="AA404" s="299">
        <v>999</v>
      </c>
      <c r="AB404" s="299">
        <v>395</v>
      </c>
      <c r="AC404" s="301">
        <v>4340.0000000001901</v>
      </c>
      <c r="AD404" s="301">
        <v>65944723.222123966</v>
      </c>
      <c r="AE404" s="126"/>
      <c r="AF404" s="298"/>
      <c r="AG404" s="299"/>
      <c r="AH404" s="299"/>
      <c r="AI404" s="301"/>
      <c r="AJ404" s="301"/>
      <c r="AK404" s="426"/>
      <c r="AL404" s="298"/>
      <c r="AM404" s="299"/>
      <c r="AN404" s="299"/>
      <c r="AO404" s="301"/>
      <c r="AP404" s="301"/>
      <c r="AQ404" s="426"/>
      <c r="AR404" s="298"/>
      <c r="AS404" s="299"/>
      <c r="AT404" s="299"/>
      <c r="AU404" s="301"/>
      <c r="AV404" s="301"/>
      <c r="AW404" s="91"/>
      <c r="AX404" s="298"/>
      <c r="AY404" s="299"/>
      <c r="AZ404" s="299"/>
      <c r="BA404" s="301"/>
      <c r="BB404" s="301"/>
      <c r="BC404" s="426"/>
      <c r="BD404" s="298"/>
      <c r="BE404" s="299"/>
      <c r="BF404" s="299"/>
      <c r="BG404" s="301"/>
      <c r="BH404" s="301"/>
      <c r="BI404" s="91"/>
      <c r="BJ404" s="298"/>
      <c r="BK404" s="299"/>
      <c r="BL404" s="299"/>
      <c r="BM404" s="301"/>
      <c r="BN404" s="301"/>
      <c r="BO404" s="91"/>
      <c r="BP404" s="9"/>
      <c r="BS404" s="81"/>
      <c r="BT404" s="81"/>
      <c r="BV404" s="9"/>
      <c r="BY404" s="81"/>
      <c r="BZ404" s="81"/>
      <c r="CB404" s="9"/>
      <c r="CE404" s="81"/>
      <c r="CF404" s="81"/>
      <c r="CH404" s="9"/>
      <c r="CK404" s="81"/>
      <c r="CL404" s="81"/>
      <c r="CR404" s="9"/>
      <c r="CS404" s="9"/>
      <c r="CT404" s="9"/>
      <c r="CU404" s="9"/>
      <c r="CV404" s="9"/>
      <c r="CW404" s="129"/>
      <c r="CX404" s="9"/>
    </row>
    <row r="405" spans="1:102">
      <c r="A405" s="6" t="str">
        <f t="shared" si="61"/>
        <v>00800080</v>
      </c>
      <c r="B405" s="6" t="s">
        <v>1730</v>
      </c>
      <c r="C405" s="6" t="s">
        <v>1730</v>
      </c>
      <c r="D405" s="6">
        <v>396</v>
      </c>
      <c r="E405" s="6">
        <v>80</v>
      </c>
      <c r="F405" s="6" t="s">
        <v>1199</v>
      </c>
      <c r="G405" s="6">
        <v>80</v>
      </c>
      <c r="H405" s="6" t="s">
        <v>761</v>
      </c>
      <c r="I405" s="33">
        <v>16490.760000000002</v>
      </c>
      <c r="J405" s="88">
        <v>7.0380912970601081E-4</v>
      </c>
      <c r="K405" s="89">
        <f t="shared" ref="K405:K468" si="70">X405</f>
        <v>0</v>
      </c>
      <c r="L405" s="88">
        <f>IF(K409&gt;0, K405/K409, 0)</f>
        <v>0</v>
      </c>
      <c r="M405" s="58"/>
      <c r="N405" s="9">
        <f>ROUND(M409*L405,0)</f>
        <v>0</v>
      </c>
      <c r="O405" s="9">
        <v>5890</v>
      </c>
      <c r="P405" s="9">
        <f>N405-O405</f>
        <v>-5890</v>
      </c>
      <c r="Q405" s="40">
        <f t="shared" si="69"/>
        <v>-100</v>
      </c>
      <c r="R405" s="9">
        <v>1</v>
      </c>
      <c r="S405" s="9">
        <f t="shared" si="67"/>
        <v>0</v>
      </c>
      <c r="T405" s="90">
        <f t="shared" si="62"/>
        <v>80</v>
      </c>
      <c r="U405" s="90">
        <f t="shared" si="63"/>
        <v>80</v>
      </c>
      <c r="V405" s="373">
        <f t="shared" si="64"/>
        <v>396</v>
      </c>
      <c r="W405" s="90">
        <f t="shared" si="65"/>
        <v>0</v>
      </c>
      <c r="X405" s="90">
        <f t="shared" si="66"/>
        <v>0</v>
      </c>
      <c r="Y405" s="141">
        <f t="shared" si="68"/>
        <v>396</v>
      </c>
      <c r="Z405" s="298">
        <v>80</v>
      </c>
      <c r="AA405" s="299">
        <v>80</v>
      </c>
      <c r="AB405" s="299">
        <v>396</v>
      </c>
      <c r="AC405" s="301">
        <v>0</v>
      </c>
      <c r="AD405" s="301">
        <v>0</v>
      </c>
      <c r="AE405" s="126"/>
      <c r="AF405" s="298"/>
      <c r="AG405" s="299"/>
      <c r="AH405" s="299"/>
      <c r="AI405" s="301"/>
      <c r="AJ405" s="301"/>
      <c r="AK405" s="426"/>
      <c r="AL405" s="298"/>
      <c r="AM405" s="299"/>
      <c r="AN405" s="299"/>
      <c r="AO405" s="301"/>
      <c r="AP405" s="301"/>
      <c r="AQ405" s="426"/>
      <c r="AR405" s="298"/>
      <c r="AS405" s="299"/>
      <c r="AT405" s="299"/>
      <c r="AU405" s="301"/>
      <c r="AV405" s="301"/>
      <c r="AW405" s="88"/>
      <c r="AX405" s="298"/>
      <c r="AY405" s="299"/>
      <c r="AZ405" s="299"/>
      <c r="BA405" s="301"/>
      <c r="BB405" s="301"/>
      <c r="BC405" s="426"/>
      <c r="BD405" s="298"/>
      <c r="BE405" s="299"/>
      <c r="BF405" s="299"/>
      <c r="BG405" s="301"/>
      <c r="BH405" s="301"/>
      <c r="BI405" s="88"/>
      <c r="BJ405" s="298"/>
      <c r="BK405" s="299"/>
      <c r="BL405" s="299"/>
      <c r="BM405" s="301"/>
      <c r="BN405" s="301"/>
      <c r="BO405" s="88"/>
      <c r="BP405" s="9"/>
      <c r="BS405" s="81"/>
      <c r="BT405" s="81"/>
      <c r="BV405" s="9"/>
      <c r="BY405" s="81"/>
      <c r="BZ405" s="81"/>
      <c r="CB405" s="9"/>
      <c r="CE405" s="81"/>
      <c r="CF405" s="81"/>
      <c r="CH405" s="9"/>
      <c r="CK405" s="81"/>
      <c r="CL405" s="81"/>
      <c r="CR405" s="9"/>
      <c r="CS405" s="9"/>
      <c r="CT405" s="9"/>
      <c r="CU405" s="9"/>
      <c r="CV405" s="9"/>
      <c r="CW405" s="129"/>
      <c r="CX405" s="9"/>
    </row>
    <row r="406" spans="1:102">
      <c r="A406" s="6" t="str">
        <f t="shared" si="61"/>
        <v>00800658</v>
      </c>
      <c r="B406" s="6" t="s">
        <v>1730</v>
      </c>
      <c r="C406" s="6" t="s">
        <v>2020</v>
      </c>
      <c r="D406" s="6">
        <v>397</v>
      </c>
      <c r="E406" s="6">
        <v>80</v>
      </c>
      <c r="F406" s="6" t="s">
        <v>1199</v>
      </c>
      <c r="G406" s="6">
        <v>658</v>
      </c>
      <c r="H406" s="6" t="s">
        <v>1050</v>
      </c>
      <c r="I406" s="33">
        <v>20744824.705383021</v>
      </c>
      <c r="J406" s="88">
        <v>0.88536835305342965</v>
      </c>
      <c r="K406" s="89">
        <f t="shared" si="70"/>
        <v>21660827.440697566</v>
      </c>
      <c r="L406" s="88">
        <f>IF(K409&gt;0, K406/K409, 0)</f>
        <v>0.88968870476960948</v>
      </c>
      <c r="M406" s="58"/>
      <c r="N406" s="9">
        <f>ROUND(M409*L406,0)</f>
        <v>8078202</v>
      </c>
      <c r="O406" s="9">
        <v>7409875</v>
      </c>
      <c r="P406" s="9">
        <f>N406-O406</f>
        <v>668327</v>
      </c>
      <c r="Q406" s="40">
        <f t="shared" si="69"/>
        <v>9.0194099090740405</v>
      </c>
      <c r="R406" s="9">
        <v>1517.60982307725</v>
      </c>
      <c r="S406" s="9">
        <f t="shared" si="67"/>
        <v>1536.1581325197799</v>
      </c>
      <c r="T406" s="90">
        <f t="shared" si="62"/>
        <v>80</v>
      </c>
      <c r="U406" s="90">
        <f t="shared" si="63"/>
        <v>658</v>
      </c>
      <c r="V406" s="373">
        <f t="shared" si="64"/>
        <v>397</v>
      </c>
      <c r="W406" s="90">
        <f t="shared" si="65"/>
        <v>1536.1581325197799</v>
      </c>
      <c r="X406" s="90">
        <f t="shared" si="66"/>
        <v>21660827.440697566</v>
      </c>
      <c r="Y406" s="141">
        <f t="shared" si="68"/>
        <v>397</v>
      </c>
      <c r="Z406" s="298">
        <v>80</v>
      </c>
      <c r="AA406" s="299">
        <v>658</v>
      </c>
      <c r="AB406" s="299">
        <v>397</v>
      </c>
      <c r="AC406" s="301">
        <v>1536.1581325197799</v>
      </c>
      <c r="AD406" s="301">
        <v>21660827.440697566</v>
      </c>
      <c r="AE406" s="126"/>
      <c r="AF406" s="298"/>
      <c r="AG406" s="299"/>
      <c r="AH406" s="299"/>
      <c r="AI406" s="301"/>
      <c r="AJ406" s="301"/>
      <c r="AK406" s="426"/>
      <c r="AL406" s="298"/>
      <c r="AM406" s="299"/>
      <c r="AN406" s="299"/>
      <c r="AO406" s="301"/>
      <c r="AP406" s="301"/>
      <c r="AQ406" s="426"/>
      <c r="AR406" s="298"/>
      <c r="AS406" s="299"/>
      <c r="AT406" s="299"/>
      <c r="AU406" s="301"/>
      <c r="AV406" s="301"/>
      <c r="AW406" s="88"/>
      <c r="AX406" s="298"/>
      <c r="AY406" s="299"/>
      <c r="AZ406" s="299"/>
      <c r="BA406" s="301"/>
      <c r="BB406" s="301"/>
      <c r="BC406" s="426"/>
      <c r="BD406" s="298"/>
      <c r="BE406" s="299"/>
      <c r="BF406" s="299"/>
      <c r="BG406" s="301"/>
      <c r="BH406" s="301"/>
      <c r="BI406" s="88"/>
      <c r="BJ406" s="298"/>
      <c r="BK406" s="299"/>
      <c r="BL406" s="299"/>
      <c r="BM406" s="301"/>
      <c r="BN406" s="301"/>
      <c r="BO406" s="88"/>
      <c r="BP406" s="9"/>
      <c r="BS406" s="81"/>
      <c r="BT406" s="81"/>
      <c r="BV406" s="9"/>
      <c r="BY406" s="81"/>
      <c r="BZ406" s="81"/>
      <c r="CB406" s="9"/>
      <c r="CE406" s="81"/>
      <c r="CF406" s="81"/>
      <c r="CH406" s="9"/>
      <c r="CK406" s="81"/>
      <c r="CL406" s="81"/>
      <c r="CR406" s="9"/>
      <c r="CS406" s="9"/>
      <c r="CT406" s="9"/>
      <c r="CU406" s="9"/>
      <c r="CV406" s="9"/>
      <c r="CW406" s="129"/>
      <c r="CX406" s="9"/>
    </row>
    <row r="407" spans="1:102">
      <c r="A407" s="6" t="str">
        <f t="shared" si="61"/>
        <v>00800876</v>
      </c>
      <c r="B407" s="6" t="s">
        <v>1730</v>
      </c>
      <c r="C407" s="6" t="s">
        <v>2084</v>
      </c>
      <c r="D407" s="6">
        <v>398</v>
      </c>
      <c r="E407" s="6">
        <v>80</v>
      </c>
      <c r="F407" s="6" t="s">
        <v>1199</v>
      </c>
      <c r="G407" s="6">
        <v>876</v>
      </c>
      <c r="H407" s="6" t="s">
        <v>1114</v>
      </c>
      <c r="I407" s="33">
        <v>2669412.1338573876</v>
      </c>
      <c r="J407" s="88">
        <v>0.11392783781686429</v>
      </c>
      <c r="K407" s="89">
        <f t="shared" si="70"/>
        <v>2685696.6014467832</v>
      </c>
      <c r="L407" s="88">
        <f>IF(K409&gt;0, K407/K409, 0)</f>
        <v>0.11031129523039039</v>
      </c>
      <c r="M407" s="58"/>
      <c r="N407" s="9">
        <f>ROUND(M409*L407,0)</f>
        <v>1001605</v>
      </c>
      <c r="O407" s="9">
        <v>953491</v>
      </c>
      <c r="P407" s="9">
        <f>N407-O407</f>
        <v>48114</v>
      </c>
      <c r="Q407" s="40">
        <f t="shared" si="69"/>
        <v>5.0460885315120958</v>
      </c>
      <c r="R407" s="9">
        <v>131.99999999648</v>
      </c>
      <c r="S407" s="9">
        <f t="shared" si="67"/>
        <v>130.00000000383</v>
      </c>
      <c r="T407" s="90">
        <f t="shared" si="62"/>
        <v>80</v>
      </c>
      <c r="U407" s="90">
        <f t="shared" si="63"/>
        <v>876</v>
      </c>
      <c r="V407" s="373">
        <f t="shared" si="64"/>
        <v>398</v>
      </c>
      <c r="W407" s="90">
        <f t="shared" si="65"/>
        <v>130.00000000383</v>
      </c>
      <c r="X407" s="90">
        <f t="shared" si="66"/>
        <v>2685696.6014467832</v>
      </c>
      <c r="Y407" s="141">
        <f t="shared" si="68"/>
        <v>398</v>
      </c>
      <c r="Z407" s="298">
        <v>80</v>
      </c>
      <c r="AA407" s="299">
        <v>876</v>
      </c>
      <c r="AB407" s="299">
        <v>398</v>
      </c>
      <c r="AC407" s="301">
        <v>130.00000000383</v>
      </c>
      <c r="AD407" s="301">
        <v>2685696.6014467832</v>
      </c>
      <c r="AE407" s="126"/>
      <c r="AF407" s="298"/>
      <c r="AG407" s="299"/>
      <c r="AH407" s="299"/>
      <c r="AI407" s="301"/>
      <c r="AJ407" s="301"/>
      <c r="AK407" s="426"/>
      <c r="AL407" s="298"/>
      <c r="AM407" s="299"/>
      <c r="AN407" s="299"/>
      <c r="AO407" s="301"/>
      <c r="AP407" s="301"/>
      <c r="AQ407" s="426"/>
      <c r="AR407" s="298"/>
      <c r="AS407" s="299"/>
      <c r="AT407" s="299"/>
      <c r="AU407" s="301"/>
      <c r="AV407" s="301"/>
      <c r="AW407" s="88"/>
      <c r="AX407" s="298"/>
      <c r="AY407" s="299"/>
      <c r="AZ407" s="299"/>
      <c r="BA407" s="301"/>
      <c r="BB407" s="301"/>
      <c r="BC407" s="426"/>
      <c r="BD407" s="298"/>
      <c r="BE407" s="299"/>
      <c r="BF407" s="299"/>
      <c r="BG407" s="301"/>
      <c r="BH407" s="301"/>
      <c r="BI407" s="88"/>
      <c r="BJ407" s="298"/>
      <c r="BK407" s="299"/>
      <c r="BL407" s="299"/>
      <c r="BM407" s="301"/>
      <c r="BN407" s="301"/>
      <c r="BO407" s="88"/>
      <c r="BP407" s="9"/>
      <c r="BS407" s="81"/>
      <c r="BT407" s="81"/>
      <c r="BV407" s="9"/>
      <c r="BY407" s="81"/>
      <c r="BZ407" s="81"/>
      <c r="CB407" s="9"/>
      <c r="CE407" s="81"/>
      <c r="CF407" s="81"/>
      <c r="CH407" s="9"/>
      <c r="CK407" s="81"/>
      <c r="CL407" s="81"/>
      <c r="CR407" s="9"/>
      <c r="CS407" s="9"/>
      <c r="CT407" s="9"/>
      <c r="CU407" s="9"/>
      <c r="CV407" s="9"/>
      <c r="CW407" s="129"/>
      <c r="CX407" s="9"/>
    </row>
    <row r="408" spans="1:102">
      <c r="A408" s="6" t="str">
        <f t="shared" si="61"/>
        <v>00800998</v>
      </c>
      <c r="B408" s="6" t="s">
        <v>1730</v>
      </c>
      <c r="C408" s="6" t="s">
        <v>2091</v>
      </c>
      <c r="D408" s="6">
        <v>399</v>
      </c>
      <c r="E408" s="6">
        <v>80</v>
      </c>
      <c r="F408" s="6" t="s">
        <v>1547</v>
      </c>
      <c r="G408" s="6">
        <v>998</v>
      </c>
      <c r="H408" s="6" t="s">
        <v>1547</v>
      </c>
      <c r="I408" s="33">
        <v>0</v>
      </c>
      <c r="J408" s="88">
        <v>0</v>
      </c>
      <c r="K408" s="89">
        <f t="shared" si="70"/>
        <v>0</v>
      </c>
      <c r="L408" s="88">
        <f>IF(K409&gt;0, K408/K409, 0)</f>
        <v>0</v>
      </c>
      <c r="M408" s="58"/>
      <c r="N408" s="9">
        <f>ROUND(M409*L408,0)</f>
        <v>0</v>
      </c>
      <c r="O408" s="9">
        <v>0</v>
      </c>
      <c r="P408" s="9">
        <f>N408-O408</f>
        <v>0</v>
      </c>
      <c r="Q408" s="40">
        <f t="shared" si="69"/>
        <v>0</v>
      </c>
      <c r="R408" s="9">
        <v>0</v>
      </c>
      <c r="S408" s="9">
        <f t="shared" si="67"/>
        <v>0</v>
      </c>
      <c r="T408" s="90">
        <f t="shared" si="62"/>
        <v>80</v>
      </c>
      <c r="U408" s="90">
        <f t="shared" si="63"/>
        <v>998</v>
      </c>
      <c r="V408" s="373">
        <f t="shared" si="64"/>
        <v>399</v>
      </c>
      <c r="W408" s="90">
        <f t="shared" si="65"/>
        <v>0</v>
      </c>
      <c r="X408" s="90">
        <f t="shared" si="66"/>
        <v>0</v>
      </c>
      <c r="Y408" s="141">
        <f t="shared" si="68"/>
        <v>399</v>
      </c>
      <c r="Z408" s="298">
        <v>80</v>
      </c>
      <c r="AA408" s="299">
        <v>998</v>
      </c>
      <c r="AB408" s="299">
        <v>399</v>
      </c>
      <c r="AC408" s="301">
        <v>0</v>
      </c>
      <c r="AD408" s="301">
        <v>0</v>
      </c>
      <c r="AE408" s="126"/>
      <c r="AF408" s="298"/>
      <c r="AG408" s="299"/>
      <c r="AH408" s="299"/>
      <c r="AI408" s="301"/>
      <c r="AJ408" s="301"/>
      <c r="AK408" s="426"/>
      <c r="AL408" s="298"/>
      <c r="AM408" s="299"/>
      <c r="AN408" s="299"/>
      <c r="AO408" s="301"/>
      <c r="AP408" s="301"/>
      <c r="AQ408" s="426"/>
      <c r="AR408" s="298"/>
      <c r="AS408" s="299"/>
      <c r="AT408" s="299"/>
      <c r="AU408" s="301"/>
      <c r="AV408" s="301"/>
      <c r="AW408" s="88"/>
      <c r="AX408" s="298"/>
      <c r="AY408" s="299"/>
      <c r="AZ408" s="299"/>
      <c r="BA408" s="301"/>
      <c r="BB408" s="301"/>
      <c r="BC408" s="426"/>
      <c r="BD408" s="298"/>
      <c r="BE408" s="299"/>
      <c r="BF408" s="299"/>
      <c r="BG408" s="301"/>
      <c r="BH408" s="301"/>
      <c r="BI408" s="88"/>
      <c r="BJ408" s="298"/>
      <c r="BK408" s="299"/>
      <c r="BL408" s="299"/>
      <c r="BM408" s="301"/>
      <c r="BN408" s="301"/>
      <c r="BO408" s="88"/>
      <c r="BP408" s="9"/>
      <c r="BS408" s="81"/>
      <c r="BT408" s="81"/>
      <c r="BV408" s="9"/>
      <c r="BY408" s="81"/>
      <c r="BZ408" s="81"/>
      <c r="CB408" s="9"/>
      <c r="CE408" s="81"/>
      <c r="CF408" s="81"/>
      <c r="CH408" s="9"/>
      <c r="CK408" s="81"/>
      <c r="CL408" s="81"/>
      <c r="CR408" s="9"/>
      <c r="CS408" s="9"/>
      <c r="CT408" s="9"/>
      <c r="CU408" s="9"/>
      <c r="CV408" s="9"/>
      <c r="CW408" s="129"/>
      <c r="CX408" s="9"/>
    </row>
    <row r="409" spans="1:102">
      <c r="A409" s="6" t="str">
        <f t="shared" si="61"/>
        <v>00800999</v>
      </c>
      <c r="B409" s="6" t="s">
        <v>1730</v>
      </c>
      <c r="C409" s="6" t="s">
        <v>2092</v>
      </c>
      <c r="D409" s="6">
        <v>400</v>
      </c>
      <c r="E409" s="10">
        <v>80</v>
      </c>
      <c r="F409" s="10" t="s">
        <v>1199</v>
      </c>
      <c r="G409" s="10">
        <v>999</v>
      </c>
      <c r="H409" s="10" t="s">
        <v>593</v>
      </c>
      <c r="I409" s="92">
        <v>23430727.599240411</v>
      </c>
      <c r="J409" s="472">
        <v>1</v>
      </c>
      <c r="K409" s="53">
        <f>SUM(K405:K408)</f>
        <v>24346524.042144351</v>
      </c>
      <c r="L409" s="91">
        <f>SUM(L405:L408)</f>
        <v>0.99999999999999989</v>
      </c>
      <c r="M409" s="79">
        <f>VLOOKUP(E409,town351,24)</f>
        <v>9079807</v>
      </c>
      <c r="N409" s="79">
        <f>SUM(N405:N408)</f>
        <v>9079807</v>
      </c>
      <c r="O409" s="79">
        <v>8369256</v>
      </c>
      <c r="P409" s="79">
        <f>SUM(P405:P408)</f>
        <v>710551</v>
      </c>
      <c r="Q409" s="39">
        <f t="shared" si="69"/>
        <v>8.4900139271638952</v>
      </c>
      <c r="R409" s="9">
        <v>1650.60982307373</v>
      </c>
      <c r="S409" s="9">
        <f t="shared" si="67"/>
        <v>1666.1581325236098</v>
      </c>
      <c r="T409" s="90">
        <f t="shared" si="62"/>
        <v>80</v>
      </c>
      <c r="U409" s="90">
        <f t="shared" si="63"/>
        <v>999</v>
      </c>
      <c r="V409" s="373">
        <f t="shared" si="64"/>
        <v>400</v>
      </c>
      <c r="W409" s="90">
        <f t="shared" si="65"/>
        <v>1666.1581325236098</v>
      </c>
      <c r="X409" s="90">
        <f t="shared" si="66"/>
        <v>24346524.042144351</v>
      </c>
      <c r="Y409" s="141">
        <f t="shared" si="68"/>
        <v>400</v>
      </c>
      <c r="Z409" s="298">
        <v>80</v>
      </c>
      <c r="AA409" s="299">
        <v>999</v>
      </c>
      <c r="AB409" s="299">
        <v>400</v>
      </c>
      <c r="AC409" s="301">
        <v>1666.1581325236098</v>
      </c>
      <c r="AD409" s="301">
        <v>24346524.042144351</v>
      </c>
      <c r="AE409" s="126"/>
      <c r="AF409" s="298"/>
      <c r="AG409" s="299"/>
      <c r="AH409" s="299"/>
      <c r="AI409" s="301"/>
      <c r="AJ409" s="301"/>
      <c r="AK409" s="426"/>
      <c r="AL409" s="298"/>
      <c r="AM409" s="299"/>
      <c r="AN409" s="299"/>
      <c r="AO409" s="301"/>
      <c r="AP409" s="301"/>
      <c r="AQ409" s="426"/>
      <c r="AR409" s="298"/>
      <c r="AS409" s="299"/>
      <c r="AT409" s="299"/>
      <c r="AU409" s="301"/>
      <c r="AV409" s="301"/>
      <c r="AW409" s="91"/>
      <c r="AX409" s="298"/>
      <c r="AY409" s="299"/>
      <c r="AZ409" s="299"/>
      <c r="BA409" s="301"/>
      <c r="BB409" s="301"/>
      <c r="BC409" s="426"/>
      <c r="BD409" s="298"/>
      <c r="BE409" s="299"/>
      <c r="BF409" s="299"/>
      <c r="BG409" s="301"/>
      <c r="BH409" s="301"/>
      <c r="BI409" s="91"/>
      <c r="BJ409" s="298"/>
      <c r="BK409" s="299"/>
      <c r="BL409" s="299"/>
      <c r="BM409" s="301"/>
      <c r="BN409" s="301"/>
      <c r="BO409" s="91"/>
      <c r="BP409" s="9"/>
      <c r="BS409" s="81"/>
      <c r="BT409" s="81"/>
      <c r="BV409" s="9"/>
      <c r="BY409" s="81"/>
      <c r="BZ409" s="81"/>
      <c r="CB409" s="9"/>
      <c r="CE409" s="81"/>
      <c r="CF409" s="81"/>
      <c r="CH409" s="9"/>
      <c r="CK409" s="81"/>
      <c r="CL409" s="81"/>
      <c r="CR409" s="9"/>
      <c r="CS409" s="9"/>
      <c r="CT409" s="9"/>
      <c r="CU409" s="9"/>
      <c r="CV409" s="9"/>
      <c r="CW409" s="129"/>
      <c r="CX409" s="9"/>
    </row>
    <row r="410" spans="1:102">
      <c r="A410" s="6" t="str">
        <f t="shared" si="61"/>
        <v>00810081</v>
      </c>
      <c r="B410" s="6" t="s">
        <v>1731</v>
      </c>
      <c r="C410" s="6" t="s">
        <v>1731</v>
      </c>
      <c r="D410" s="6">
        <v>401</v>
      </c>
      <c r="E410" s="6">
        <v>81</v>
      </c>
      <c r="F410" s="6" t="s">
        <v>1200</v>
      </c>
      <c r="G410" s="6">
        <v>81</v>
      </c>
      <c r="H410" s="6" t="s">
        <v>762</v>
      </c>
      <c r="I410" s="33">
        <v>0</v>
      </c>
      <c r="J410" s="88">
        <v>0</v>
      </c>
      <c r="K410" s="89">
        <f>X410</f>
        <v>0</v>
      </c>
      <c r="L410" s="88">
        <f>IF(K414&gt;0, K410/K414, 0)</f>
        <v>0</v>
      </c>
      <c r="M410" s="58"/>
      <c r="N410" s="9">
        <f>ROUND(M414*L410,0)</f>
        <v>0</v>
      </c>
      <c r="O410" s="9">
        <v>0</v>
      </c>
      <c r="P410" s="9">
        <f>N410-O410</f>
        <v>0</v>
      </c>
      <c r="Q410" s="40">
        <f t="shared" si="69"/>
        <v>0</v>
      </c>
      <c r="R410" s="9">
        <v>0</v>
      </c>
      <c r="S410" s="9">
        <f t="shared" si="67"/>
        <v>0</v>
      </c>
      <c r="T410" s="90">
        <f t="shared" si="62"/>
        <v>81</v>
      </c>
      <c r="U410" s="90">
        <f t="shared" si="63"/>
        <v>81</v>
      </c>
      <c r="V410" s="373">
        <f t="shared" si="64"/>
        <v>401</v>
      </c>
      <c r="W410" s="90">
        <f t="shared" si="65"/>
        <v>0</v>
      </c>
      <c r="X410" s="90">
        <f t="shared" si="66"/>
        <v>0</v>
      </c>
      <c r="Y410" s="141">
        <f t="shared" si="68"/>
        <v>401</v>
      </c>
      <c r="Z410" s="298">
        <v>81</v>
      </c>
      <c r="AA410" s="299">
        <v>81</v>
      </c>
      <c r="AB410" s="299">
        <v>401</v>
      </c>
      <c r="AC410" s="301">
        <v>0</v>
      </c>
      <c r="AD410" s="301">
        <v>0</v>
      </c>
      <c r="AE410" s="126"/>
      <c r="AF410" s="298"/>
      <c r="AG410" s="299"/>
      <c r="AH410" s="299"/>
      <c r="AI410" s="301"/>
      <c r="AJ410" s="301"/>
      <c r="AK410" s="426"/>
      <c r="AL410" s="298"/>
      <c r="AM410" s="299"/>
      <c r="AN410" s="299"/>
      <c r="AO410" s="301"/>
      <c r="AP410" s="301"/>
      <c r="AQ410" s="426"/>
      <c r="AR410" s="298"/>
      <c r="AS410" s="299"/>
      <c r="AT410" s="299"/>
      <c r="AU410" s="301"/>
      <c r="AV410" s="301"/>
      <c r="AW410" s="88"/>
      <c r="AX410" s="298"/>
      <c r="AY410" s="299"/>
      <c r="AZ410" s="299"/>
      <c r="BA410" s="301"/>
      <c r="BB410" s="301"/>
      <c r="BC410" s="426"/>
      <c r="BD410" s="298"/>
      <c r="BE410" s="299"/>
      <c r="BF410" s="299"/>
      <c r="BG410" s="301"/>
      <c r="BH410" s="301"/>
      <c r="BI410" s="88"/>
      <c r="BJ410" s="298"/>
      <c r="BK410" s="299"/>
      <c r="BL410" s="299"/>
      <c r="BM410" s="301"/>
      <c r="BN410" s="301"/>
      <c r="BO410" s="88"/>
      <c r="BP410" s="9"/>
      <c r="BS410" s="81"/>
      <c r="BT410" s="81"/>
      <c r="BV410" s="9"/>
      <c r="BY410" s="81"/>
      <c r="BZ410" s="81"/>
      <c r="CB410" s="9"/>
      <c r="CE410" s="81"/>
      <c r="CF410" s="81"/>
      <c r="CH410" s="9"/>
      <c r="CK410" s="81"/>
      <c r="CL410" s="81"/>
      <c r="CR410" s="9"/>
      <c r="CS410" s="9"/>
      <c r="CT410" s="9"/>
      <c r="CU410" s="9"/>
      <c r="CV410" s="9"/>
      <c r="CW410" s="129"/>
      <c r="CX410" s="9"/>
    </row>
    <row r="411" spans="1:102">
      <c r="A411" s="6" t="str">
        <f t="shared" si="61"/>
        <v>00810673</v>
      </c>
      <c r="B411" s="6" t="s">
        <v>1731</v>
      </c>
      <c r="C411" s="6" t="s">
        <v>2026</v>
      </c>
      <c r="D411" s="6">
        <v>402</v>
      </c>
      <c r="E411" s="6">
        <v>81</v>
      </c>
      <c r="F411" s="6" t="s">
        <v>1200</v>
      </c>
      <c r="G411" s="6">
        <v>673</v>
      </c>
      <c r="H411" s="6" t="s">
        <v>1056</v>
      </c>
      <c r="I411" s="33">
        <v>6297868.3222599598</v>
      </c>
      <c r="J411" s="88">
        <v>0.96284963895580844</v>
      </c>
      <c r="K411" s="89">
        <f t="shared" si="70"/>
        <v>6570196.3018176313</v>
      </c>
      <c r="L411" s="88">
        <f>IF(K414&gt;0, K411/K414, 0)</f>
        <v>0.97323363364695492</v>
      </c>
      <c r="M411" s="58"/>
      <c r="N411" s="9">
        <f>ROUND(M414*L411,0)</f>
        <v>5323258</v>
      </c>
      <c r="O411" s="9">
        <v>5070243</v>
      </c>
      <c r="P411" s="9">
        <f>N411-O411</f>
        <v>253015</v>
      </c>
      <c r="Q411" s="40">
        <f t="shared" si="69"/>
        <v>4.9901947500346626</v>
      </c>
      <c r="R411" s="9">
        <v>524.17293869361004</v>
      </c>
      <c r="S411" s="9">
        <f t="shared" si="67"/>
        <v>531.69469598249998</v>
      </c>
      <c r="T411" s="90">
        <f t="shared" si="62"/>
        <v>81</v>
      </c>
      <c r="U411" s="90">
        <f t="shared" si="63"/>
        <v>673</v>
      </c>
      <c r="V411" s="373">
        <f t="shared" si="64"/>
        <v>402</v>
      </c>
      <c r="W411" s="90">
        <f t="shared" si="65"/>
        <v>531.69469598249998</v>
      </c>
      <c r="X411" s="90">
        <f t="shared" si="66"/>
        <v>6570196.3018176313</v>
      </c>
      <c r="Y411" s="141">
        <f t="shared" si="68"/>
        <v>402</v>
      </c>
      <c r="Z411" s="298">
        <v>81</v>
      </c>
      <c r="AA411" s="299">
        <v>673</v>
      </c>
      <c r="AB411" s="299">
        <v>402</v>
      </c>
      <c r="AC411" s="301">
        <v>531.69469598249998</v>
      </c>
      <c r="AD411" s="301">
        <v>6570196.3018176313</v>
      </c>
      <c r="AE411" s="126"/>
      <c r="AF411" s="298"/>
      <c r="AG411" s="299"/>
      <c r="AH411" s="299"/>
      <c r="AI411" s="301"/>
      <c r="AJ411" s="301"/>
      <c r="AK411" s="426"/>
      <c r="AL411" s="298"/>
      <c r="AM411" s="299"/>
      <c r="AN411" s="299"/>
      <c r="AO411" s="301"/>
      <c r="AP411" s="301"/>
      <c r="AQ411" s="426"/>
      <c r="AR411" s="298"/>
      <c r="AS411" s="299"/>
      <c r="AT411" s="299"/>
      <c r="AU411" s="301"/>
      <c r="AV411" s="301"/>
      <c r="AW411" s="88"/>
      <c r="AX411" s="298"/>
      <c r="AY411" s="299"/>
      <c r="AZ411" s="299"/>
      <c r="BA411" s="301"/>
      <c r="BB411" s="301"/>
      <c r="BC411" s="426"/>
      <c r="BD411" s="298"/>
      <c r="BE411" s="299"/>
      <c r="BF411" s="299"/>
      <c r="BG411" s="301"/>
      <c r="BH411" s="301"/>
      <c r="BI411" s="88"/>
      <c r="BJ411" s="298"/>
      <c r="BK411" s="299"/>
      <c r="BL411" s="299"/>
      <c r="BM411" s="301"/>
      <c r="BN411" s="301"/>
      <c r="BO411" s="88"/>
      <c r="BP411" s="9"/>
      <c r="BS411" s="81"/>
      <c r="BT411" s="81"/>
      <c r="BV411" s="9"/>
      <c r="BY411" s="81"/>
      <c r="BZ411" s="81"/>
      <c r="CB411" s="9"/>
      <c r="CE411" s="81"/>
      <c r="CF411" s="81"/>
      <c r="CH411" s="9"/>
      <c r="CK411" s="81"/>
      <c r="CL411" s="81"/>
      <c r="CR411" s="9"/>
      <c r="CS411" s="9"/>
      <c r="CT411" s="9"/>
      <c r="CU411" s="9"/>
      <c r="CV411" s="9"/>
      <c r="CW411" s="129"/>
      <c r="CX411" s="9"/>
    </row>
    <row r="412" spans="1:102">
      <c r="A412" s="6" t="str">
        <f t="shared" si="61"/>
        <v>00810828</v>
      </c>
      <c r="B412" s="6" t="s">
        <v>1731</v>
      </c>
      <c r="C412" s="6" t="s">
        <v>2072</v>
      </c>
      <c r="D412" s="6">
        <v>403</v>
      </c>
      <c r="E412" s="6">
        <v>81</v>
      </c>
      <c r="F412" s="6" t="s">
        <v>1200</v>
      </c>
      <c r="G412" s="6">
        <v>828</v>
      </c>
      <c r="H412" s="6" t="s">
        <v>1102</v>
      </c>
      <c r="I412" s="33">
        <v>242995.45070657946</v>
      </c>
      <c r="J412" s="88">
        <v>3.7150361044191484E-2</v>
      </c>
      <c r="K412" s="89">
        <f t="shared" si="70"/>
        <v>180696.88011796252</v>
      </c>
      <c r="L412" s="88">
        <f>IF(K414&gt;0, K412/K414, 0)</f>
        <v>2.676636635304511E-2</v>
      </c>
      <c r="M412" s="58"/>
      <c r="N412" s="9">
        <f>ROUND(M414*L412,0)</f>
        <v>146403</v>
      </c>
      <c r="O412" s="9">
        <v>195629</v>
      </c>
      <c r="P412" s="9">
        <f>N412-O412</f>
        <v>-49226</v>
      </c>
      <c r="Q412" s="40">
        <f t="shared" si="69"/>
        <v>-25.162935965526582</v>
      </c>
      <c r="R412" s="9">
        <v>11.00000000556</v>
      </c>
      <c r="S412" s="9">
        <f t="shared" si="67"/>
        <v>8.0000000037299994</v>
      </c>
      <c r="T412" s="90">
        <f t="shared" si="62"/>
        <v>81</v>
      </c>
      <c r="U412" s="90">
        <f t="shared" si="63"/>
        <v>828</v>
      </c>
      <c r="V412" s="373">
        <f t="shared" si="64"/>
        <v>403</v>
      </c>
      <c r="W412" s="90">
        <f t="shared" si="65"/>
        <v>8.0000000037299994</v>
      </c>
      <c r="X412" s="90">
        <f t="shared" si="66"/>
        <v>180696.88011796252</v>
      </c>
      <c r="Y412" s="141">
        <f t="shared" si="68"/>
        <v>403</v>
      </c>
      <c r="Z412" s="298">
        <v>81</v>
      </c>
      <c r="AA412" s="299">
        <v>828</v>
      </c>
      <c r="AB412" s="299">
        <v>403</v>
      </c>
      <c r="AC412" s="301">
        <v>8.0000000037299994</v>
      </c>
      <c r="AD412" s="301">
        <v>180696.88011796252</v>
      </c>
      <c r="AE412" s="126"/>
      <c r="AF412" s="298"/>
      <c r="AG412" s="299"/>
      <c r="AH412" s="299"/>
      <c r="AI412" s="301"/>
      <c r="AJ412" s="301"/>
      <c r="AK412" s="426"/>
      <c r="AL412" s="298"/>
      <c r="AM412" s="299"/>
      <c r="AN412" s="299"/>
      <c r="AO412" s="301"/>
      <c r="AP412" s="301"/>
      <c r="AQ412" s="426"/>
      <c r="AR412" s="298"/>
      <c r="AS412" s="299"/>
      <c r="AT412" s="299"/>
      <c r="AU412" s="301"/>
      <c r="AV412" s="301"/>
      <c r="AW412" s="88"/>
      <c r="AX412" s="298"/>
      <c r="AY412" s="299"/>
      <c r="AZ412" s="299"/>
      <c r="BA412" s="301"/>
      <c r="BB412" s="301"/>
      <c r="BC412" s="426"/>
      <c r="BD412" s="298"/>
      <c r="BE412" s="299"/>
      <c r="BF412" s="299"/>
      <c r="BG412" s="301"/>
      <c r="BH412" s="301"/>
      <c r="BI412" s="88"/>
      <c r="BJ412" s="298"/>
      <c r="BK412" s="299"/>
      <c r="BL412" s="299"/>
      <c r="BM412" s="301"/>
      <c r="BN412" s="301"/>
      <c r="BO412" s="88"/>
      <c r="BP412" s="9"/>
      <c r="BS412" s="81"/>
      <c r="BT412" s="81"/>
      <c r="BV412" s="9"/>
      <c r="BY412" s="81"/>
      <c r="BZ412" s="81"/>
      <c r="CB412" s="9"/>
      <c r="CE412" s="81"/>
      <c r="CF412" s="81"/>
      <c r="CH412" s="9"/>
      <c r="CK412" s="81"/>
      <c r="CL412" s="81"/>
      <c r="CR412" s="9"/>
      <c r="CS412" s="9"/>
      <c r="CT412" s="9"/>
      <c r="CU412" s="9"/>
      <c r="CV412" s="9"/>
      <c r="CW412" s="129"/>
      <c r="CX412" s="9"/>
    </row>
    <row r="413" spans="1:102">
      <c r="A413" s="6" t="str">
        <f t="shared" si="61"/>
        <v>00810998</v>
      </c>
      <c r="B413" s="6" t="s">
        <v>1731</v>
      </c>
      <c r="C413" s="6" t="s">
        <v>2091</v>
      </c>
      <c r="D413" s="6">
        <v>404</v>
      </c>
      <c r="E413" s="6">
        <v>81</v>
      </c>
      <c r="F413" s="6" t="s">
        <v>1547</v>
      </c>
      <c r="G413" s="6">
        <v>998</v>
      </c>
      <c r="H413" s="6" t="s">
        <v>1547</v>
      </c>
      <c r="I413" s="33">
        <v>0</v>
      </c>
      <c r="J413" s="88">
        <v>0</v>
      </c>
      <c r="K413" s="89">
        <f t="shared" si="70"/>
        <v>0</v>
      </c>
      <c r="L413" s="88">
        <f>IF(K414&gt;0, K413/K414, 0)</f>
        <v>0</v>
      </c>
      <c r="M413" s="58"/>
      <c r="N413" s="9">
        <f>ROUND(M414*L413,0)</f>
        <v>0</v>
      </c>
      <c r="O413" s="9">
        <v>0</v>
      </c>
      <c r="P413" s="9">
        <f>N413-O413</f>
        <v>0</v>
      </c>
      <c r="Q413" s="40">
        <f t="shared" si="69"/>
        <v>0</v>
      </c>
      <c r="R413" s="9">
        <v>0</v>
      </c>
      <c r="S413" s="9">
        <f t="shared" si="67"/>
        <v>0</v>
      </c>
      <c r="T413" s="90">
        <f t="shared" si="62"/>
        <v>81</v>
      </c>
      <c r="U413" s="90">
        <f t="shared" si="63"/>
        <v>998</v>
      </c>
      <c r="V413" s="373">
        <f t="shared" si="64"/>
        <v>404</v>
      </c>
      <c r="W413" s="90">
        <f t="shared" si="65"/>
        <v>0</v>
      </c>
      <c r="X413" s="90">
        <f t="shared" si="66"/>
        <v>0</v>
      </c>
      <c r="Y413" s="141">
        <f t="shared" si="68"/>
        <v>404</v>
      </c>
      <c r="Z413" s="298">
        <v>81</v>
      </c>
      <c r="AA413" s="299">
        <v>998</v>
      </c>
      <c r="AB413" s="299">
        <v>404</v>
      </c>
      <c r="AC413" s="301">
        <v>0</v>
      </c>
      <c r="AD413" s="301">
        <v>0</v>
      </c>
      <c r="AE413" s="126"/>
      <c r="AF413" s="298"/>
      <c r="AG413" s="299"/>
      <c r="AH413" s="299"/>
      <c r="AI413" s="301"/>
      <c r="AJ413" s="301"/>
      <c r="AK413" s="426"/>
      <c r="AL413" s="298"/>
      <c r="AM413" s="299"/>
      <c r="AN413" s="299"/>
      <c r="AO413" s="301"/>
      <c r="AP413" s="301"/>
      <c r="AQ413" s="426"/>
      <c r="AR413" s="298"/>
      <c r="AS413" s="299"/>
      <c r="AT413" s="299"/>
      <c r="AU413" s="301"/>
      <c r="AV413" s="301"/>
      <c r="AW413" s="88"/>
      <c r="AX413" s="298"/>
      <c r="AY413" s="299"/>
      <c r="AZ413" s="299"/>
      <c r="BA413" s="301"/>
      <c r="BB413" s="301"/>
      <c r="BC413" s="426"/>
      <c r="BD413" s="298"/>
      <c r="BE413" s="299"/>
      <c r="BF413" s="299"/>
      <c r="BG413" s="301"/>
      <c r="BH413" s="301"/>
      <c r="BI413" s="88"/>
      <c r="BJ413" s="298"/>
      <c r="BK413" s="299"/>
      <c r="BL413" s="299"/>
      <c r="BM413" s="301"/>
      <c r="BN413" s="301"/>
      <c r="BO413" s="88"/>
      <c r="BP413" s="9"/>
      <c r="BS413" s="81"/>
      <c r="BT413" s="81"/>
      <c r="BV413" s="9"/>
      <c r="BY413" s="81"/>
      <c r="BZ413" s="81"/>
      <c r="CB413" s="9"/>
      <c r="CE413" s="81"/>
      <c r="CF413" s="81"/>
      <c r="CH413" s="9"/>
      <c r="CK413" s="81"/>
      <c r="CL413" s="81"/>
      <c r="CR413" s="9"/>
      <c r="CS413" s="9"/>
      <c r="CT413" s="9"/>
      <c r="CU413" s="9"/>
      <c r="CV413" s="9"/>
      <c r="CW413" s="129"/>
      <c r="CX413" s="9"/>
    </row>
    <row r="414" spans="1:102">
      <c r="A414" s="6" t="str">
        <f t="shared" si="61"/>
        <v>00810999</v>
      </c>
      <c r="B414" s="6" t="s">
        <v>1731</v>
      </c>
      <c r="C414" s="6" t="s">
        <v>2092</v>
      </c>
      <c r="D414" s="6">
        <v>405</v>
      </c>
      <c r="E414" s="10">
        <v>81</v>
      </c>
      <c r="F414" s="10" t="s">
        <v>1200</v>
      </c>
      <c r="G414" s="10">
        <v>999</v>
      </c>
      <c r="H414" s="10" t="s">
        <v>593</v>
      </c>
      <c r="I414" s="92">
        <v>6540863.7729665395</v>
      </c>
      <c r="J414" s="472">
        <v>0.99999999999999989</v>
      </c>
      <c r="K414" s="53">
        <f>SUM(K410:K413)</f>
        <v>6750893.1819355935</v>
      </c>
      <c r="L414" s="91">
        <f>SUM(L410:L413)</f>
        <v>1</v>
      </c>
      <c r="M414" s="79">
        <f>VLOOKUP(E414,town351,24)</f>
        <v>5469661</v>
      </c>
      <c r="N414" s="79">
        <f>SUM(N410:N413)</f>
        <v>5469661</v>
      </c>
      <c r="O414" s="79">
        <v>5265872</v>
      </c>
      <c r="P414" s="79">
        <f>SUM(P410:P413)</f>
        <v>203789</v>
      </c>
      <c r="Q414" s="39">
        <f t="shared" si="69"/>
        <v>3.8699953208129632</v>
      </c>
      <c r="R414" s="9">
        <v>535.17293869917</v>
      </c>
      <c r="S414" s="9">
        <f t="shared" si="67"/>
        <v>539.69469598622993</v>
      </c>
      <c r="T414" s="90">
        <f t="shared" si="62"/>
        <v>81</v>
      </c>
      <c r="U414" s="90">
        <f t="shared" si="63"/>
        <v>999</v>
      </c>
      <c r="V414" s="373">
        <f t="shared" si="64"/>
        <v>405</v>
      </c>
      <c r="W414" s="90">
        <f t="shared" si="65"/>
        <v>539.69469598622993</v>
      </c>
      <c r="X414" s="90">
        <f t="shared" si="66"/>
        <v>6750893.1819355935</v>
      </c>
      <c r="Y414" s="141">
        <f t="shared" si="68"/>
        <v>405</v>
      </c>
      <c r="Z414" s="298">
        <v>81</v>
      </c>
      <c r="AA414" s="299">
        <v>999</v>
      </c>
      <c r="AB414" s="299">
        <v>405</v>
      </c>
      <c r="AC414" s="301">
        <v>539.69469598622993</v>
      </c>
      <c r="AD414" s="301">
        <v>6750893.1819355935</v>
      </c>
      <c r="AE414" s="126"/>
      <c r="AF414" s="298"/>
      <c r="AG414" s="299"/>
      <c r="AH414" s="299"/>
      <c r="AI414" s="301"/>
      <c r="AJ414" s="301"/>
      <c r="AK414" s="426"/>
      <c r="AL414" s="298"/>
      <c r="AM414" s="299"/>
      <c r="AN414" s="299"/>
      <c r="AO414" s="301"/>
      <c r="AP414" s="301"/>
      <c r="AQ414" s="426"/>
      <c r="AR414" s="298"/>
      <c r="AS414" s="299"/>
      <c r="AT414" s="299"/>
      <c r="AU414" s="301"/>
      <c r="AV414" s="301"/>
      <c r="AW414" s="91"/>
      <c r="AX414" s="298"/>
      <c r="AY414" s="299"/>
      <c r="AZ414" s="299"/>
      <c r="BA414" s="301"/>
      <c r="BB414" s="301"/>
      <c r="BC414" s="426"/>
      <c r="BD414" s="298"/>
      <c r="BE414" s="299"/>
      <c r="BF414" s="299"/>
      <c r="BG414" s="301"/>
      <c r="BH414" s="301"/>
      <c r="BI414" s="91"/>
      <c r="BJ414" s="298"/>
      <c r="BK414" s="299"/>
      <c r="BL414" s="299"/>
      <c r="BM414" s="301"/>
      <c r="BN414" s="301"/>
      <c r="BO414" s="91"/>
      <c r="BP414" s="9"/>
      <c r="BS414" s="81"/>
      <c r="BT414" s="81"/>
      <c r="BV414" s="9"/>
      <c r="BY414" s="81"/>
      <c r="BZ414" s="81"/>
      <c r="CB414" s="9"/>
      <c r="CE414" s="81"/>
      <c r="CF414" s="81"/>
      <c r="CH414" s="9"/>
      <c r="CK414" s="81"/>
      <c r="CL414" s="81"/>
      <c r="CR414" s="9"/>
      <c r="CS414" s="9"/>
      <c r="CT414" s="9"/>
      <c r="CU414" s="9"/>
      <c r="CV414" s="9"/>
      <c r="CW414" s="129"/>
      <c r="CX414" s="9"/>
    </row>
    <row r="415" spans="1:102">
      <c r="A415" s="6" t="str">
        <f t="shared" si="61"/>
        <v>00820082</v>
      </c>
      <c r="B415" s="6" t="s">
        <v>1732</v>
      </c>
      <c r="C415" s="6" t="s">
        <v>1732</v>
      </c>
      <c r="D415" s="6">
        <v>406</v>
      </c>
      <c r="E415" s="6">
        <v>82</v>
      </c>
      <c r="F415" s="6" t="s">
        <v>1201</v>
      </c>
      <c r="G415" s="6">
        <v>82</v>
      </c>
      <c r="H415" s="6" t="s">
        <v>763</v>
      </c>
      <c r="I415" s="33">
        <v>33659011.201460004</v>
      </c>
      <c r="J415" s="88">
        <v>1</v>
      </c>
      <c r="K415" s="89">
        <f>X415</f>
        <v>33652713.458800003</v>
      </c>
      <c r="L415" s="88">
        <f>IF(K419&gt;0, K415/K419, 0)</f>
        <v>1</v>
      </c>
      <c r="M415" s="58"/>
      <c r="N415" s="9">
        <f>ROUND(M419*L415,0)</f>
        <v>27763489</v>
      </c>
      <c r="O415" s="9">
        <v>26987503</v>
      </c>
      <c r="P415" s="9">
        <f>N415-O415</f>
        <v>775986</v>
      </c>
      <c r="Q415" s="40">
        <f t="shared" si="69"/>
        <v>2.8753530847222137</v>
      </c>
      <c r="R415" s="9">
        <v>2729</v>
      </c>
      <c r="S415" s="9">
        <f t="shared" si="67"/>
        <v>2658</v>
      </c>
      <c r="T415" s="90">
        <f t="shared" si="62"/>
        <v>82</v>
      </c>
      <c r="U415" s="90">
        <f t="shared" si="63"/>
        <v>82</v>
      </c>
      <c r="V415" s="373">
        <f t="shared" si="64"/>
        <v>406</v>
      </c>
      <c r="W415" s="90">
        <f t="shared" si="65"/>
        <v>2658</v>
      </c>
      <c r="X415" s="90">
        <f t="shared" si="66"/>
        <v>33652713.458800003</v>
      </c>
      <c r="Y415" s="141">
        <f t="shared" si="68"/>
        <v>406</v>
      </c>
      <c r="Z415" s="298">
        <v>82</v>
      </c>
      <c r="AA415" s="299">
        <v>82</v>
      </c>
      <c r="AB415" s="299">
        <v>406</v>
      </c>
      <c r="AC415" s="301">
        <v>2658</v>
      </c>
      <c r="AD415" s="301">
        <v>33652713.458800003</v>
      </c>
      <c r="AE415" s="126"/>
      <c r="AF415" s="298"/>
      <c r="AG415" s="299"/>
      <c r="AH415" s="299"/>
      <c r="AI415" s="301"/>
      <c r="AJ415" s="301"/>
      <c r="AK415" s="426"/>
      <c r="AL415" s="298"/>
      <c r="AM415" s="299"/>
      <c r="AN415" s="299"/>
      <c r="AO415" s="301"/>
      <c r="AP415" s="301"/>
      <c r="AQ415" s="426"/>
      <c r="AR415" s="298"/>
      <c r="AS415" s="299"/>
      <c r="AT415" s="299"/>
      <c r="AU415" s="301"/>
      <c r="AV415" s="301"/>
      <c r="AW415" s="88"/>
      <c r="AX415" s="298"/>
      <c r="AY415" s="299"/>
      <c r="AZ415" s="299"/>
      <c r="BA415" s="301"/>
      <c r="BB415" s="301"/>
      <c r="BC415" s="426"/>
      <c r="BD415" s="298"/>
      <c r="BE415" s="299"/>
      <c r="BF415" s="299"/>
      <c r="BG415" s="301"/>
      <c r="BH415" s="301"/>
      <c r="BI415" s="88"/>
      <c r="BJ415" s="298"/>
      <c r="BK415" s="299"/>
      <c r="BL415" s="299"/>
      <c r="BM415" s="301"/>
      <c r="BN415" s="301"/>
      <c r="BO415" s="88"/>
      <c r="BP415" s="9"/>
      <c r="BS415" s="81"/>
      <c r="BT415" s="81"/>
      <c r="BV415" s="9"/>
      <c r="BY415" s="81"/>
      <c r="BZ415" s="81"/>
      <c r="CB415" s="9"/>
      <c r="CE415" s="81"/>
      <c r="CF415" s="81"/>
      <c r="CH415" s="9"/>
      <c r="CK415" s="81"/>
      <c r="CL415" s="81"/>
      <c r="CR415" s="9"/>
      <c r="CS415" s="9"/>
      <c r="CT415" s="9"/>
      <c r="CU415" s="9"/>
      <c r="CV415" s="9"/>
      <c r="CW415" s="129"/>
      <c r="CX415" s="9"/>
    </row>
    <row r="416" spans="1:102">
      <c r="A416" s="6" t="str">
        <f t="shared" si="61"/>
        <v>00820998</v>
      </c>
      <c r="B416" s="6" t="s">
        <v>1732</v>
      </c>
      <c r="C416" s="6" t="s">
        <v>2091</v>
      </c>
      <c r="D416" s="6">
        <v>407</v>
      </c>
      <c r="E416" s="6">
        <v>82</v>
      </c>
      <c r="F416" s="6" t="s">
        <v>1547</v>
      </c>
      <c r="G416" s="6">
        <v>998</v>
      </c>
      <c r="H416" s="6" t="s">
        <v>1547</v>
      </c>
      <c r="I416" s="33">
        <v>0</v>
      </c>
      <c r="J416" s="88">
        <v>0</v>
      </c>
      <c r="K416" s="89">
        <f t="shared" si="70"/>
        <v>0</v>
      </c>
      <c r="L416" s="88">
        <f>IF(K419&gt;0, K416/K419, 0)</f>
        <v>0</v>
      </c>
      <c r="M416" s="58"/>
      <c r="N416" s="9">
        <f>ROUND(M419*L416,0)</f>
        <v>0</v>
      </c>
      <c r="O416" s="9">
        <v>0</v>
      </c>
      <c r="P416" s="9">
        <f>N416-O416</f>
        <v>0</v>
      </c>
      <c r="Q416" s="40">
        <f t="shared" si="69"/>
        <v>0</v>
      </c>
      <c r="R416" s="9">
        <v>0</v>
      </c>
      <c r="S416" s="9">
        <f t="shared" si="67"/>
        <v>0</v>
      </c>
      <c r="T416" s="90">
        <f t="shared" si="62"/>
        <v>82</v>
      </c>
      <c r="U416" s="90">
        <f t="shared" si="63"/>
        <v>998</v>
      </c>
      <c r="V416" s="373">
        <f t="shared" si="64"/>
        <v>407</v>
      </c>
      <c r="W416" s="90">
        <f t="shared" si="65"/>
        <v>0</v>
      </c>
      <c r="X416" s="90">
        <f t="shared" si="66"/>
        <v>0</v>
      </c>
      <c r="Y416" s="141">
        <f t="shared" si="68"/>
        <v>407</v>
      </c>
      <c r="Z416" s="298">
        <v>82</v>
      </c>
      <c r="AA416" s="299">
        <v>998</v>
      </c>
      <c r="AB416" s="299">
        <v>407</v>
      </c>
      <c r="AC416" s="301">
        <v>0</v>
      </c>
      <c r="AD416" s="301">
        <v>0</v>
      </c>
      <c r="AE416" s="126"/>
      <c r="AF416" s="298"/>
      <c r="AG416" s="299"/>
      <c r="AH416" s="299"/>
      <c r="AI416" s="301"/>
      <c r="AJ416" s="301"/>
      <c r="AK416" s="426"/>
      <c r="AL416" s="298"/>
      <c r="AM416" s="299"/>
      <c r="AN416" s="299"/>
      <c r="AO416" s="301"/>
      <c r="AP416" s="301"/>
      <c r="AQ416" s="426"/>
      <c r="AR416" s="298"/>
      <c r="AS416" s="299"/>
      <c r="AT416" s="299"/>
      <c r="AU416" s="301"/>
      <c r="AV416" s="301"/>
      <c r="AW416" s="88"/>
      <c r="AX416" s="298"/>
      <c r="AY416" s="299"/>
      <c r="AZ416" s="299"/>
      <c r="BA416" s="301"/>
      <c r="BB416" s="301"/>
      <c r="BC416" s="426"/>
      <c r="BD416" s="298"/>
      <c r="BE416" s="299"/>
      <c r="BF416" s="299"/>
      <c r="BG416" s="301"/>
      <c r="BH416" s="301"/>
      <c r="BI416" s="88"/>
      <c r="BJ416" s="298"/>
      <c r="BK416" s="299"/>
      <c r="BL416" s="299"/>
      <c r="BM416" s="301"/>
      <c r="BN416" s="301"/>
      <c r="BO416" s="88"/>
      <c r="BP416" s="9"/>
      <c r="BS416" s="81"/>
      <c r="BT416" s="81"/>
      <c r="BV416" s="9"/>
      <c r="BY416" s="81"/>
      <c r="BZ416" s="81"/>
      <c r="CB416" s="9"/>
      <c r="CE416" s="81"/>
      <c r="CF416" s="81"/>
      <c r="CH416" s="9"/>
      <c r="CK416" s="81"/>
      <c r="CL416" s="81"/>
      <c r="CR416" s="9"/>
      <c r="CS416" s="9"/>
      <c r="CT416" s="9"/>
      <c r="CU416" s="9"/>
      <c r="CV416" s="9"/>
      <c r="CW416" s="129"/>
      <c r="CX416" s="9"/>
    </row>
    <row r="417" spans="1:102">
      <c r="A417" s="6" t="str">
        <f t="shared" si="61"/>
        <v>00820998</v>
      </c>
      <c r="B417" s="6" t="s">
        <v>1732</v>
      </c>
      <c r="C417" s="6" t="s">
        <v>2091</v>
      </c>
      <c r="D417" s="6">
        <v>408</v>
      </c>
      <c r="E417" s="6">
        <v>82</v>
      </c>
      <c r="F417" s="6" t="s">
        <v>1547</v>
      </c>
      <c r="G417" s="6">
        <v>998</v>
      </c>
      <c r="H417" s="6" t="s">
        <v>1547</v>
      </c>
      <c r="I417" s="33">
        <v>0</v>
      </c>
      <c r="J417" s="88">
        <v>0</v>
      </c>
      <c r="K417" s="89">
        <f t="shared" si="70"/>
        <v>0</v>
      </c>
      <c r="L417" s="88">
        <f>IF(K419&gt;0, K417/K419, 0)</f>
        <v>0</v>
      </c>
      <c r="M417" s="58"/>
      <c r="N417" s="9">
        <f>ROUND(M419*L417,0)</f>
        <v>0</v>
      </c>
      <c r="O417" s="9">
        <v>0</v>
      </c>
      <c r="P417" s="9">
        <f>N417-O417</f>
        <v>0</v>
      </c>
      <c r="Q417" s="40">
        <f t="shared" si="69"/>
        <v>0</v>
      </c>
      <c r="R417" s="9">
        <v>0</v>
      </c>
      <c r="S417" s="9">
        <f t="shared" si="67"/>
        <v>0</v>
      </c>
      <c r="T417" s="90">
        <f t="shared" si="62"/>
        <v>82</v>
      </c>
      <c r="U417" s="90">
        <f t="shared" si="63"/>
        <v>998</v>
      </c>
      <c r="V417" s="373">
        <f t="shared" si="64"/>
        <v>408</v>
      </c>
      <c r="W417" s="90">
        <f t="shared" si="65"/>
        <v>0</v>
      </c>
      <c r="X417" s="90">
        <f t="shared" si="66"/>
        <v>0</v>
      </c>
      <c r="Y417" s="141">
        <f t="shared" si="68"/>
        <v>408</v>
      </c>
      <c r="Z417" s="298">
        <v>82</v>
      </c>
      <c r="AA417" s="299">
        <v>998</v>
      </c>
      <c r="AB417" s="299">
        <v>408</v>
      </c>
      <c r="AC417" s="301">
        <v>0</v>
      </c>
      <c r="AD417" s="301">
        <v>0</v>
      </c>
      <c r="AE417" s="126"/>
      <c r="AF417" s="298"/>
      <c r="AG417" s="299"/>
      <c r="AH417" s="299"/>
      <c r="AI417" s="301"/>
      <c r="AJ417" s="301"/>
      <c r="AK417" s="426"/>
      <c r="AL417" s="298"/>
      <c r="AM417" s="299"/>
      <c r="AN417" s="299"/>
      <c r="AO417" s="301"/>
      <c r="AP417" s="301"/>
      <c r="AQ417" s="426"/>
      <c r="AR417" s="298"/>
      <c r="AS417" s="299"/>
      <c r="AT417" s="299"/>
      <c r="AU417" s="301"/>
      <c r="AV417" s="301"/>
      <c r="AW417" s="88"/>
      <c r="AX417" s="298"/>
      <c r="AY417" s="299"/>
      <c r="AZ417" s="299"/>
      <c r="BA417" s="301"/>
      <c r="BB417" s="301"/>
      <c r="BC417" s="426"/>
      <c r="BD417" s="298"/>
      <c r="BE417" s="299"/>
      <c r="BF417" s="299"/>
      <c r="BG417" s="301"/>
      <c r="BH417" s="301"/>
      <c r="BI417" s="88"/>
      <c r="BJ417" s="298"/>
      <c r="BK417" s="299"/>
      <c r="BL417" s="299"/>
      <c r="BM417" s="301"/>
      <c r="BN417" s="301"/>
      <c r="BO417" s="88"/>
      <c r="BP417" s="9"/>
      <c r="BS417" s="81"/>
      <c r="BT417" s="81"/>
      <c r="BV417" s="9"/>
      <c r="BY417" s="81"/>
      <c r="BZ417" s="81"/>
      <c r="CB417" s="9"/>
      <c r="CE417" s="81"/>
      <c r="CF417" s="81"/>
      <c r="CH417" s="9"/>
      <c r="CK417" s="81"/>
      <c r="CL417" s="81"/>
      <c r="CR417" s="9"/>
      <c r="CS417" s="9"/>
      <c r="CT417" s="9"/>
      <c r="CU417" s="9"/>
      <c r="CV417" s="9"/>
      <c r="CW417" s="129"/>
      <c r="CX417" s="9"/>
    </row>
    <row r="418" spans="1:102">
      <c r="A418" s="6" t="str">
        <f t="shared" si="61"/>
        <v>00820998</v>
      </c>
      <c r="B418" s="6" t="s">
        <v>1732</v>
      </c>
      <c r="C418" s="6" t="s">
        <v>2091</v>
      </c>
      <c r="D418" s="6">
        <v>409</v>
      </c>
      <c r="E418" s="6">
        <v>82</v>
      </c>
      <c r="F418" s="6" t="s">
        <v>1547</v>
      </c>
      <c r="G418" s="6">
        <v>998</v>
      </c>
      <c r="H418" s="6" t="s">
        <v>1547</v>
      </c>
      <c r="I418" s="33">
        <v>0</v>
      </c>
      <c r="J418" s="88">
        <v>0</v>
      </c>
      <c r="K418" s="89">
        <f t="shared" si="70"/>
        <v>0</v>
      </c>
      <c r="L418" s="88">
        <f>IF(K419&gt;0, K418/K419, 0)</f>
        <v>0</v>
      </c>
      <c r="M418" s="58"/>
      <c r="N418" s="9">
        <f>ROUND(M419*L418,0)</f>
        <v>0</v>
      </c>
      <c r="O418" s="9">
        <v>0</v>
      </c>
      <c r="P418" s="9">
        <f>N418-O418</f>
        <v>0</v>
      </c>
      <c r="Q418" s="40">
        <f t="shared" si="69"/>
        <v>0</v>
      </c>
      <c r="R418" s="9">
        <v>0</v>
      </c>
      <c r="S418" s="9">
        <f t="shared" si="67"/>
        <v>0</v>
      </c>
      <c r="T418" s="90">
        <f t="shared" si="62"/>
        <v>82</v>
      </c>
      <c r="U418" s="90">
        <f t="shared" si="63"/>
        <v>998</v>
      </c>
      <c r="V418" s="373">
        <f t="shared" si="64"/>
        <v>409</v>
      </c>
      <c r="W418" s="90">
        <f t="shared" si="65"/>
        <v>0</v>
      </c>
      <c r="X418" s="90">
        <f t="shared" si="66"/>
        <v>0</v>
      </c>
      <c r="Y418" s="141">
        <f t="shared" si="68"/>
        <v>409</v>
      </c>
      <c r="Z418" s="298">
        <v>82</v>
      </c>
      <c r="AA418" s="299">
        <v>998</v>
      </c>
      <c r="AB418" s="299">
        <v>409</v>
      </c>
      <c r="AC418" s="301">
        <v>0</v>
      </c>
      <c r="AD418" s="301">
        <v>0</v>
      </c>
      <c r="AE418" s="126"/>
      <c r="AF418" s="298"/>
      <c r="AG418" s="299"/>
      <c r="AH418" s="299"/>
      <c r="AI418" s="301"/>
      <c r="AJ418" s="301"/>
      <c r="AK418" s="426"/>
      <c r="AL418" s="298"/>
      <c r="AM418" s="299"/>
      <c r="AN418" s="299"/>
      <c r="AO418" s="301"/>
      <c r="AP418" s="301"/>
      <c r="AQ418" s="426"/>
      <c r="AR418" s="298"/>
      <c r="AS418" s="299"/>
      <c r="AT418" s="299"/>
      <c r="AU418" s="301"/>
      <c r="AV418" s="301"/>
      <c r="AW418" s="88"/>
      <c r="AX418" s="298"/>
      <c r="AY418" s="299"/>
      <c r="AZ418" s="299"/>
      <c r="BA418" s="301"/>
      <c r="BB418" s="301"/>
      <c r="BC418" s="426"/>
      <c r="BD418" s="298"/>
      <c r="BE418" s="299"/>
      <c r="BF418" s="299"/>
      <c r="BG418" s="301"/>
      <c r="BH418" s="301"/>
      <c r="BI418" s="88"/>
      <c r="BJ418" s="298"/>
      <c r="BK418" s="299"/>
      <c r="BL418" s="299"/>
      <c r="BM418" s="301"/>
      <c r="BN418" s="301"/>
      <c r="BO418" s="88"/>
      <c r="BP418" s="9"/>
      <c r="BS418" s="81"/>
      <c r="BT418" s="81"/>
      <c r="BV418" s="9"/>
      <c r="BY418" s="81"/>
      <c r="BZ418" s="81"/>
      <c r="CB418" s="9"/>
      <c r="CE418" s="81"/>
      <c r="CF418" s="81"/>
      <c r="CH418" s="9"/>
      <c r="CK418" s="81"/>
      <c r="CL418" s="81"/>
      <c r="CR418" s="9"/>
      <c r="CS418" s="9"/>
      <c r="CT418" s="9"/>
      <c r="CU418" s="9"/>
      <c r="CV418" s="9"/>
      <c r="CW418" s="129"/>
      <c r="CX418" s="9"/>
    </row>
    <row r="419" spans="1:102">
      <c r="A419" s="6" t="str">
        <f t="shared" si="61"/>
        <v>00820999</v>
      </c>
      <c r="B419" s="6" t="s">
        <v>1732</v>
      </c>
      <c r="C419" s="6" t="s">
        <v>2092</v>
      </c>
      <c r="D419" s="6">
        <v>410</v>
      </c>
      <c r="E419" s="10">
        <v>82</v>
      </c>
      <c r="F419" s="10" t="s">
        <v>1201</v>
      </c>
      <c r="G419" s="10">
        <v>999</v>
      </c>
      <c r="H419" s="10" t="s">
        <v>593</v>
      </c>
      <c r="I419" s="92">
        <v>33659011.201460004</v>
      </c>
      <c r="J419" s="472">
        <v>1</v>
      </c>
      <c r="K419" s="53">
        <f>SUM(K415:K418)</f>
        <v>33652713.458800003</v>
      </c>
      <c r="L419" s="91">
        <f>SUM(L415:L418)</f>
        <v>1</v>
      </c>
      <c r="M419" s="79">
        <f>VLOOKUP(E419,town351,24)</f>
        <v>27763489</v>
      </c>
      <c r="N419" s="79">
        <f>SUM(N415:N418)</f>
        <v>27763489</v>
      </c>
      <c r="O419" s="79">
        <v>26987503</v>
      </c>
      <c r="P419" s="79">
        <f>SUM(P415:P418)</f>
        <v>775986</v>
      </c>
      <c r="Q419" s="39">
        <f t="shared" si="69"/>
        <v>2.8753530847222137</v>
      </c>
      <c r="R419" s="9">
        <v>2729</v>
      </c>
      <c r="S419" s="9">
        <f t="shared" si="67"/>
        <v>2658</v>
      </c>
      <c r="T419" s="90">
        <f t="shared" si="62"/>
        <v>82</v>
      </c>
      <c r="U419" s="90">
        <f t="shared" si="63"/>
        <v>999</v>
      </c>
      <c r="V419" s="373">
        <f t="shared" si="64"/>
        <v>410</v>
      </c>
      <c r="W419" s="90">
        <f t="shared" si="65"/>
        <v>2658</v>
      </c>
      <c r="X419" s="90">
        <f t="shared" si="66"/>
        <v>33652713.458800003</v>
      </c>
      <c r="Y419" s="141">
        <f t="shared" si="68"/>
        <v>410</v>
      </c>
      <c r="Z419" s="298">
        <v>82</v>
      </c>
      <c r="AA419" s="299">
        <v>999</v>
      </c>
      <c r="AB419" s="299">
        <v>410</v>
      </c>
      <c r="AC419" s="301">
        <v>2658</v>
      </c>
      <c r="AD419" s="301">
        <v>33652713.458800003</v>
      </c>
      <c r="AE419" s="126"/>
      <c r="AF419" s="298"/>
      <c r="AG419" s="299"/>
      <c r="AH419" s="299"/>
      <c r="AI419" s="301"/>
      <c r="AJ419" s="301"/>
      <c r="AK419" s="426"/>
      <c r="AL419" s="298"/>
      <c r="AM419" s="299"/>
      <c r="AN419" s="299"/>
      <c r="AO419" s="301"/>
      <c r="AP419" s="301"/>
      <c r="AQ419" s="426"/>
      <c r="AR419" s="298"/>
      <c r="AS419" s="299"/>
      <c r="AT419" s="299"/>
      <c r="AU419" s="301"/>
      <c r="AV419" s="301"/>
      <c r="AW419" s="91"/>
      <c r="AX419" s="298"/>
      <c r="AY419" s="299"/>
      <c r="AZ419" s="299"/>
      <c r="BA419" s="301"/>
      <c r="BB419" s="301"/>
      <c r="BC419" s="426"/>
      <c r="BD419" s="298"/>
      <c r="BE419" s="299"/>
      <c r="BF419" s="299"/>
      <c r="BG419" s="301"/>
      <c r="BH419" s="301"/>
      <c r="BI419" s="91"/>
      <c r="BJ419" s="298"/>
      <c r="BK419" s="299"/>
      <c r="BL419" s="299"/>
      <c r="BM419" s="301"/>
      <c r="BN419" s="301"/>
      <c r="BO419" s="91"/>
      <c r="BP419" s="9"/>
      <c r="BS419" s="81"/>
      <c r="BT419" s="81"/>
      <c r="BV419" s="9"/>
      <c r="BY419" s="81"/>
      <c r="BZ419" s="81"/>
      <c r="CB419" s="9"/>
      <c r="CE419" s="81"/>
      <c r="CF419" s="81"/>
      <c r="CH419" s="9"/>
      <c r="CK419" s="81"/>
      <c r="CL419" s="81"/>
      <c r="CR419" s="9"/>
      <c r="CS419" s="9"/>
      <c r="CT419" s="9"/>
      <c r="CU419" s="9"/>
      <c r="CV419" s="9"/>
      <c r="CW419" s="129"/>
      <c r="CX419" s="9"/>
    </row>
    <row r="420" spans="1:102">
      <c r="A420" s="6" t="str">
        <f t="shared" si="61"/>
        <v>00830083</v>
      </c>
      <c r="B420" s="6" t="s">
        <v>1733</v>
      </c>
      <c r="C420" s="6" t="s">
        <v>1733</v>
      </c>
      <c r="D420" s="6">
        <v>411</v>
      </c>
      <c r="E420" s="6">
        <v>83</v>
      </c>
      <c r="F420" s="6" t="s">
        <v>1202</v>
      </c>
      <c r="G420" s="6">
        <v>83</v>
      </c>
      <c r="H420" s="6" t="s">
        <v>764</v>
      </c>
      <c r="I420" s="33">
        <v>26867274.059999999</v>
      </c>
      <c r="J420" s="88">
        <v>0.92641222226308084</v>
      </c>
      <c r="K420" s="89">
        <f>X420</f>
        <v>26713492.300000004</v>
      </c>
      <c r="L420" s="88">
        <f>IF(K424&gt;0, K420/K424, 0)</f>
        <v>0.92425013752022245</v>
      </c>
      <c r="M420" s="58"/>
      <c r="N420" s="9">
        <f>ROUND(M424*L420,0)</f>
        <v>14744525</v>
      </c>
      <c r="O420" s="9">
        <v>13993957</v>
      </c>
      <c r="P420" s="9">
        <f>N420-O420</f>
        <v>750568</v>
      </c>
      <c r="Q420" s="40">
        <f t="shared" si="69"/>
        <v>5.363515122992017</v>
      </c>
      <c r="R420" s="9">
        <v>2022</v>
      </c>
      <c r="S420" s="9">
        <f t="shared" si="67"/>
        <v>1963</v>
      </c>
      <c r="T420" s="90">
        <f t="shared" si="62"/>
        <v>83</v>
      </c>
      <c r="U420" s="90">
        <f t="shared" si="63"/>
        <v>83</v>
      </c>
      <c r="V420" s="373">
        <f t="shared" si="64"/>
        <v>411</v>
      </c>
      <c r="W420" s="90">
        <f t="shared" si="65"/>
        <v>1963</v>
      </c>
      <c r="X420" s="90">
        <f t="shared" si="66"/>
        <v>26713492.300000004</v>
      </c>
      <c r="Y420" s="141">
        <f t="shared" si="68"/>
        <v>411</v>
      </c>
      <c r="Z420" s="298">
        <v>83</v>
      </c>
      <c r="AA420" s="299">
        <v>83</v>
      </c>
      <c r="AB420" s="299">
        <v>411</v>
      </c>
      <c r="AC420" s="301">
        <v>1963</v>
      </c>
      <c r="AD420" s="301">
        <v>26713492.300000004</v>
      </c>
      <c r="AE420" s="126"/>
      <c r="AF420" s="298"/>
      <c r="AG420" s="299"/>
      <c r="AH420" s="299"/>
      <c r="AI420" s="301"/>
      <c r="AJ420" s="301"/>
      <c r="AK420" s="426"/>
      <c r="AL420" s="298"/>
      <c r="AM420" s="299"/>
      <c r="AN420" s="299"/>
      <c r="AO420" s="301"/>
      <c r="AP420" s="301"/>
      <c r="AQ420" s="426"/>
      <c r="AR420" s="298"/>
      <c r="AS420" s="299"/>
      <c r="AT420" s="299"/>
      <c r="AU420" s="301"/>
      <c r="AV420" s="301"/>
      <c r="AW420" s="88"/>
      <c r="AX420" s="298"/>
      <c r="AY420" s="299"/>
      <c r="AZ420" s="299"/>
      <c r="BA420" s="301"/>
      <c r="BB420" s="301"/>
      <c r="BC420" s="426"/>
      <c r="BD420" s="298"/>
      <c r="BE420" s="299"/>
      <c r="BF420" s="299"/>
      <c r="BG420" s="301"/>
      <c r="BH420" s="301"/>
      <c r="BI420" s="88"/>
      <c r="BJ420" s="298"/>
      <c r="BK420" s="299"/>
      <c r="BL420" s="299"/>
      <c r="BM420" s="301"/>
      <c r="BN420" s="301"/>
      <c r="BO420" s="88"/>
      <c r="BP420" s="9"/>
      <c r="BS420" s="81"/>
      <c r="BT420" s="81"/>
      <c r="BV420" s="9"/>
      <c r="BY420" s="81"/>
      <c r="BZ420" s="81"/>
      <c r="CB420" s="9"/>
      <c r="CE420" s="81"/>
      <c r="CF420" s="81"/>
      <c r="CH420" s="9"/>
      <c r="CK420" s="81"/>
      <c r="CL420" s="81"/>
      <c r="CR420" s="9"/>
      <c r="CS420" s="9"/>
      <c r="CT420" s="9"/>
      <c r="CU420" s="9"/>
      <c r="CV420" s="9"/>
      <c r="CW420" s="129"/>
      <c r="CX420" s="9"/>
    </row>
    <row r="421" spans="1:102">
      <c r="A421" s="6" t="str">
        <f t="shared" si="61"/>
        <v>00830872</v>
      </c>
      <c r="B421" s="6" t="s">
        <v>1733</v>
      </c>
      <c r="C421" s="6" t="s">
        <v>2082</v>
      </c>
      <c r="D421" s="6">
        <v>412</v>
      </c>
      <c r="E421" s="6">
        <v>83</v>
      </c>
      <c r="F421" s="6" t="s">
        <v>1202</v>
      </c>
      <c r="G421" s="6">
        <v>872</v>
      </c>
      <c r="H421" s="6" t="s">
        <v>1112</v>
      </c>
      <c r="I421" s="33">
        <v>2134150.3754067691</v>
      </c>
      <c r="J421" s="88">
        <v>7.3587777736919144E-2</v>
      </c>
      <c r="K421" s="89">
        <f t="shared" si="70"/>
        <v>2189389.3069995041</v>
      </c>
      <c r="L421" s="88">
        <f>IF(K424&gt;0, K421/K424, 0)</f>
        <v>7.5749862479777524E-2</v>
      </c>
      <c r="M421" s="58"/>
      <c r="N421" s="9">
        <f>ROUND(M424*L421,0)</f>
        <v>1208435</v>
      </c>
      <c r="O421" s="9">
        <v>1111583</v>
      </c>
      <c r="P421" s="9">
        <f>N421-O421</f>
        <v>96852</v>
      </c>
      <c r="Q421" s="40">
        <f t="shared" si="69"/>
        <v>8.7129795975649138</v>
      </c>
      <c r="R421" s="9">
        <v>100.42944785025</v>
      </c>
      <c r="S421" s="9">
        <f t="shared" si="67"/>
        <v>100.17921146726999</v>
      </c>
      <c r="T421" s="90">
        <f t="shared" si="62"/>
        <v>83</v>
      </c>
      <c r="U421" s="90">
        <f t="shared" si="63"/>
        <v>872</v>
      </c>
      <c r="V421" s="373">
        <f t="shared" si="64"/>
        <v>412</v>
      </c>
      <c r="W421" s="90">
        <f t="shared" si="65"/>
        <v>100.17921146726999</v>
      </c>
      <c r="X421" s="90">
        <f t="shared" si="66"/>
        <v>2189389.3069995041</v>
      </c>
      <c r="Y421" s="141">
        <f t="shared" si="68"/>
        <v>412</v>
      </c>
      <c r="Z421" s="298">
        <v>83</v>
      </c>
      <c r="AA421" s="299">
        <v>872</v>
      </c>
      <c r="AB421" s="299">
        <v>412</v>
      </c>
      <c r="AC421" s="301">
        <v>100.17921146726999</v>
      </c>
      <c r="AD421" s="301">
        <v>2189389.3069995041</v>
      </c>
      <c r="AE421" s="126"/>
      <c r="AF421" s="298"/>
      <c r="AG421" s="299"/>
      <c r="AH421" s="299"/>
      <c r="AI421" s="301"/>
      <c r="AJ421" s="301"/>
      <c r="AK421" s="426"/>
      <c r="AL421" s="298"/>
      <c r="AM421" s="299"/>
      <c r="AN421" s="299"/>
      <c r="AO421" s="301"/>
      <c r="AP421" s="301"/>
      <c r="AQ421" s="426"/>
      <c r="AR421" s="298"/>
      <c r="AS421" s="299"/>
      <c r="AT421" s="299"/>
      <c r="AU421" s="301"/>
      <c r="AV421" s="301"/>
      <c r="AW421" s="88"/>
      <c r="AX421" s="298"/>
      <c r="AY421" s="299"/>
      <c r="AZ421" s="299"/>
      <c r="BA421" s="301"/>
      <c r="BB421" s="301"/>
      <c r="BC421" s="426"/>
      <c r="BD421" s="298"/>
      <c r="BE421" s="299"/>
      <c r="BF421" s="299"/>
      <c r="BG421" s="301"/>
      <c r="BH421" s="301"/>
      <c r="BI421" s="88"/>
      <c r="BJ421" s="298"/>
      <c r="BK421" s="299"/>
      <c r="BL421" s="299"/>
      <c r="BM421" s="301"/>
      <c r="BN421" s="301"/>
      <c r="BO421" s="88"/>
      <c r="BP421" s="9"/>
      <c r="BS421" s="81"/>
      <c r="BT421" s="81"/>
      <c r="BV421" s="9"/>
      <c r="BY421" s="81"/>
      <c r="BZ421" s="81"/>
      <c r="CB421" s="9"/>
      <c r="CE421" s="81"/>
      <c r="CF421" s="81"/>
      <c r="CH421" s="9"/>
      <c r="CK421" s="81"/>
      <c r="CL421" s="81"/>
      <c r="CR421" s="9"/>
      <c r="CS421" s="9"/>
      <c r="CT421" s="9"/>
      <c r="CU421" s="9"/>
      <c r="CV421" s="9"/>
      <c r="CW421" s="129"/>
      <c r="CX421" s="9"/>
    </row>
    <row r="422" spans="1:102">
      <c r="A422" s="6" t="str">
        <f t="shared" si="61"/>
        <v>00830998</v>
      </c>
      <c r="B422" s="6" t="s">
        <v>1733</v>
      </c>
      <c r="C422" s="6" t="s">
        <v>2091</v>
      </c>
      <c r="D422" s="6">
        <v>413</v>
      </c>
      <c r="E422" s="6">
        <v>83</v>
      </c>
      <c r="F422" s="6" t="s">
        <v>1547</v>
      </c>
      <c r="G422" s="6">
        <v>998</v>
      </c>
      <c r="H422" s="6" t="s">
        <v>1547</v>
      </c>
      <c r="I422" s="33">
        <v>0</v>
      </c>
      <c r="J422" s="88">
        <v>0</v>
      </c>
      <c r="K422" s="89">
        <f t="shared" si="70"/>
        <v>0</v>
      </c>
      <c r="L422" s="88">
        <f>IF(K424&gt;0, K422/K424, 0)</f>
        <v>0</v>
      </c>
      <c r="M422" s="58"/>
      <c r="N422" s="9">
        <f>ROUND(M424*L422,0)</f>
        <v>0</v>
      </c>
      <c r="O422" s="9">
        <v>0</v>
      </c>
      <c r="P422" s="9">
        <f>N422-O422</f>
        <v>0</v>
      </c>
      <c r="Q422" s="40">
        <f t="shared" si="69"/>
        <v>0</v>
      </c>
      <c r="R422" s="9">
        <v>0</v>
      </c>
      <c r="S422" s="9">
        <f t="shared" si="67"/>
        <v>0</v>
      </c>
      <c r="T422" s="90">
        <f t="shared" si="62"/>
        <v>83</v>
      </c>
      <c r="U422" s="90">
        <f t="shared" si="63"/>
        <v>998</v>
      </c>
      <c r="V422" s="373">
        <f t="shared" si="64"/>
        <v>413</v>
      </c>
      <c r="W422" s="90">
        <f t="shared" si="65"/>
        <v>0</v>
      </c>
      <c r="X422" s="90">
        <f t="shared" si="66"/>
        <v>0</v>
      </c>
      <c r="Y422" s="141">
        <f t="shared" si="68"/>
        <v>413</v>
      </c>
      <c r="Z422" s="298">
        <v>83</v>
      </c>
      <c r="AA422" s="299">
        <v>998</v>
      </c>
      <c r="AB422" s="299">
        <v>413</v>
      </c>
      <c r="AC422" s="301">
        <v>0</v>
      </c>
      <c r="AD422" s="301">
        <v>0</v>
      </c>
      <c r="AE422" s="126"/>
      <c r="AF422" s="298"/>
      <c r="AG422" s="299"/>
      <c r="AH422" s="299"/>
      <c r="AI422" s="301"/>
      <c r="AJ422" s="301"/>
      <c r="AK422" s="426"/>
      <c r="AL422" s="298"/>
      <c r="AM422" s="299"/>
      <c r="AN422" s="299"/>
      <c r="AO422" s="301"/>
      <c r="AP422" s="301"/>
      <c r="AQ422" s="426"/>
      <c r="AR422" s="298"/>
      <c r="AS422" s="299"/>
      <c r="AT422" s="299"/>
      <c r="AU422" s="301"/>
      <c r="AV422" s="301"/>
      <c r="AW422" s="88"/>
      <c r="AX422" s="298"/>
      <c r="AY422" s="299"/>
      <c r="AZ422" s="299"/>
      <c r="BA422" s="301"/>
      <c r="BB422" s="301"/>
      <c r="BC422" s="426"/>
      <c r="BD422" s="298"/>
      <c r="BE422" s="299"/>
      <c r="BF422" s="299"/>
      <c r="BG422" s="301"/>
      <c r="BH422" s="301"/>
      <c r="BI422" s="88"/>
      <c r="BJ422" s="298"/>
      <c r="BK422" s="299"/>
      <c r="BL422" s="299"/>
      <c r="BM422" s="301"/>
      <c r="BN422" s="301"/>
      <c r="BO422" s="88"/>
      <c r="BP422" s="9"/>
      <c r="BS422" s="81"/>
      <c r="BT422" s="81"/>
      <c r="BV422" s="9"/>
      <c r="BY422" s="81"/>
      <c r="BZ422" s="81"/>
      <c r="CB422" s="9"/>
      <c r="CE422" s="81"/>
      <c r="CF422" s="81"/>
      <c r="CH422" s="9"/>
      <c r="CK422" s="81"/>
      <c r="CL422" s="81"/>
      <c r="CR422" s="9"/>
      <c r="CS422" s="9"/>
      <c r="CT422" s="9"/>
      <c r="CU422" s="9"/>
      <c r="CV422" s="9"/>
      <c r="CW422" s="129"/>
      <c r="CX422" s="9"/>
    </row>
    <row r="423" spans="1:102">
      <c r="A423" s="6" t="str">
        <f t="shared" si="61"/>
        <v>00830998</v>
      </c>
      <c r="B423" s="6" t="s">
        <v>1733</v>
      </c>
      <c r="C423" s="6" t="s">
        <v>2091</v>
      </c>
      <c r="D423" s="6">
        <v>414</v>
      </c>
      <c r="E423" s="6">
        <v>83</v>
      </c>
      <c r="F423" s="6" t="s">
        <v>1547</v>
      </c>
      <c r="G423" s="6">
        <v>998</v>
      </c>
      <c r="H423" s="6" t="s">
        <v>1547</v>
      </c>
      <c r="I423" s="33">
        <v>0</v>
      </c>
      <c r="J423" s="88">
        <v>0</v>
      </c>
      <c r="K423" s="89">
        <f t="shared" si="70"/>
        <v>0</v>
      </c>
      <c r="L423" s="88">
        <f>IF(K424&gt;0, K423/K424, 0)</f>
        <v>0</v>
      </c>
      <c r="M423" s="58"/>
      <c r="N423" s="9">
        <f>ROUND(M424*L423,0)</f>
        <v>0</v>
      </c>
      <c r="O423" s="9">
        <v>0</v>
      </c>
      <c r="P423" s="9">
        <f>N423-O423</f>
        <v>0</v>
      </c>
      <c r="Q423" s="40">
        <f t="shared" si="69"/>
        <v>0</v>
      </c>
      <c r="R423" s="9">
        <v>0</v>
      </c>
      <c r="S423" s="9">
        <f t="shared" si="67"/>
        <v>0</v>
      </c>
      <c r="T423" s="90">
        <f t="shared" si="62"/>
        <v>83</v>
      </c>
      <c r="U423" s="90">
        <f t="shared" si="63"/>
        <v>998</v>
      </c>
      <c r="V423" s="373">
        <f t="shared" si="64"/>
        <v>414</v>
      </c>
      <c r="W423" s="90">
        <f t="shared" si="65"/>
        <v>0</v>
      </c>
      <c r="X423" s="90">
        <f t="shared" si="66"/>
        <v>0</v>
      </c>
      <c r="Y423" s="141">
        <f t="shared" si="68"/>
        <v>414</v>
      </c>
      <c r="Z423" s="298">
        <v>83</v>
      </c>
      <c r="AA423" s="299">
        <v>998</v>
      </c>
      <c r="AB423" s="299">
        <v>414</v>
      </c>
      <c r="AC423" s="301">
        <v>0</v>
      </c>
      <c r="AD423" s="301">
        <v>0</v>
      </c>
      <c r="AE423" s="126"/>
      <c r="AF423" s="298"/>
      <c r="AG423" s="299"/>
      <c r="AH423" s="299"/>
      <c r="AI423" s="301"/>
      <c r="AJ423" s="301"/>
      <c r="AK423" s="426"/>
      <c r="AL423" s="298"/>
      <c r="AM423" s="299"/>
      <c r="AN423" s="299"/>
      <c r="AO423" s="301"/>
      <c r="AP423" s="301"/>
      <c r="AQ423" s="426"/>
      <c r="AR423" s="298"/>
      <c r="AS423" s="299"/>
      <c r="AT423" s="299"/>
      <c r="AU423" s="301"/>
      <c r="AV423" s="301"/>
      <c r="AW423" s="88"/>
      <c r="AX423" s="298"/>
      <c r="AY423" s="299"/>
      <c r="AZ423" s="299"/>
      <c r="BA423" s="301"/>
      <c r="BB423" s="301"/>
      <c r="BC423" s="426"/>
      <c r="BD423" s="298"/>
      <c r="BE423" s="299"/>
      <c r="BF423" s="299"/>
      <c r="BG423" s="301"/>
      <c r="BH423" s="301"/>
      <c r="BI423" s="88"/>
      <c r="BJ423" s="298"/>
      <c r="BK423" s="299"/>
      <c r="BL423" s="299"/>
      <c r="BM423" s="301"/>
      <c r="BN423" s="301"/>
      <c r="BO423" s="88"/>
      <c r="BP423" s="9"/>
      <c r="BS423" s="81"/>
      <c r="BT423" s="81"/>
      <c r="BV423" s="9"/>
      <c r="BY423" s="81"/>
      <c r="BZ423" s="81"/>
      <c r="CB423" s="9"/>
      <c r="CE423" s="81"/>
      <c r="CF423" s="81"/>
      <c r="CH423" s="9"/>
      <c r="CK423" s="81"/>
      <c r="CL423" s="81"/>
      <c r="CR423" s="9"/>
      <c r="CS423" s="9"/>
      <c r="CT423" s="9"/>
      <c r="CU423" s="9"/>
      <c r="CV423" s="9"/>
      <c r="CW423" s="129"/>
      <c r="CX423" s="9"/>
    </row>
    <row r="424" spans="1:102">
      <c r="A424" s="6" t="str">
        <f t="shared" si="61"/>
        <v>00830999</v>
      </c>
      <c r="B424" s="6" t="s">
        <v>1733</v>
      </c>
      <c r="C424" s="6" t="s">
        <v>2092</v>
      </c>
      <c r="D424" s="6">
        <v>415</v>
      </c>
      <c r="E424" s="10">
        <v>83</v>
      </c>
      <c r="F424" s="10" t="s">
        <v>1202</v>
      </c>
      <c r="G424" s="10">
        <v>999</v>
      </c>
      <c r="H424" s="10" t="s">
        <v>593</v>
      </c>
      <c r="I424" s="92">
        <v>29001424.435406767</v>
      </c>
      <c r="J424" s="472">
        <v>1</v>
      </c>
      <c r="K424" s="53">
        <f>SUM(K420:K423)</f>
        <v>28902881.606999509</v>
      </c>
      <c r="L424" s="91">
        <f>SUM(L420:L423)</f>
        <v>1</v>
      </c>
      <c r="M424" s="79">
        <f>VLOOKUP(E424,town351,24)</f>
        <v>15952960</v>
      </c>
      <c r="N424" s="79">
        <f>SUM(N420:N423)</f>
        <v>15952960</v>
      </c>
      <c r="O424" s="79">
        <v>15105540</v>
      </c>
      <c r="P424" s="79">
        <f>SUM(P420:P423)</f>
        <v>847420</v>
      </c>
      <c r="Q424" s="39">
        <f t="shared" si="69"/>
        <v>5.6099947436503426</v>
      </c>
      <c r="R424" s="9">
        <v>2122.4294478502502</v>
      </c>
      <c r="S424" s="9">
        <f t="shared" si="67"/>
        <v>2063.1792114672699</v>
      </c>
      <c r="T424" s="90">
        <f t="shared" si="62"/>
        <v>83</v>
      </c>
      <c r="U424" s="90">
        <f t="shared" si="63"/>
        <v>999</v>
      </c>
      <c r="V424" s="373">
        <f t="shared" si="64"/>
        <v>415</v>
      </c>
      <c r="W424" s="90">
        <f t="shared" si="65"/>
        <v>2063.1792114672699</v>
      </c>
      <c r="X424" s="90">
        <f t="shared" si="66"/>
        <v>28902881.606999509</v>
      </c>
      <c r="Y424" s="141">
        <f t="shared" si="68"/>
        <v>415</v>
      </c>
      <c r="Z424" s="298">
        <v>83</v>
      </c>
      <c r="AA424" s="299">
        <v>999</v>
      </c>
      <c r="AB424" s="299">
        <v>415</v>
      </c>
      <c r="AC424" s="301">
        <v>2063.1792114672699</v>
      </c>
      <c r="AD424" s="301">
        <v>28902881.606999509</v>
      </c>
      <c r="AE424" s="126"/>
      <c r="AF424" s="298"/>
      <c r="AG424" s="299"/>
      <c r="AH424" s="299"/>
      <c r="AI424" s="301"/>
      <c r="AJ424" s="301"/>
      <c r="AK424" s="426"/>
      <c r="AL424" s="298"/>
      <c r="AM424" s="299"/>
      <c r="AN424" s="299"/>
      <c r="AO424" s="301"/>
      <c r="AP424" s="301"/>
      <c r="AQ424" s="426"/>
      <c r="AR424" s="298"/>
      <c r="AS424" s="299"/>
      <c r="AT424" s="299"/>
      <c r="AU424" s="301"/>
      <c r="AV424" s="301"/>
      <c r="AW424" s="91"/>
      <c r="AX424" s="298"/>
      <c r="AY424" s="299"/>
      <c r="AZ424" s="299"/>
      <c r="BA424" s="301"/>
      <c r="BB424" s="301"/>
      <c r="BC424" s="426"/>
      <c r="BD424" s="298"/>
      <c r="BE424" s="299"/>
      <c r="BF424" s="299"/>
      <c r="BG424" s="301"/>
      <c r="BH424" s="301"/>
      <c r="BI424" s="91"/>
      <c r="BJ424" s="298"/>
      <c r="BK424" s="299"/>
      <c r="BL424" s="299"/>
      <c r="BM424" s="301"/>
      <c r="BN424" s="301"/>
      <c r="BO424" s="91"/>
      <c r="BP424" s="9"/>
      <c r="BS424" s="81"/>
      <c r="BT424" s="81"/>
      <c r="BV424" s="9"/>
      <c r="BY424" s="81"/>
      <c r="BZ424" s="81"/>
      <c r="CB424" s="9"/>
      <c r="CE424" s="81"/>
      <c r="CF424" s="81"/>
      <c r="CH424" s="9"/>
      <c r="CK424" s="81"/>
      <c r="CL424" s="81"/>
      <c r="CR424" s="9"/>
      <c r="CS424" s="9"/>
      <c r="CT424" s="9"/>
      <c r="CU424" s="9"/>
      <c r="CV424" s="9"/>
      <c r="CW424" s="129"/>
      <c r="CX424" s="9"/>
    </row>
    <row r="425" spans="1:102">
      <c r="A425" s="6" t="str">
        <f t="shared" si="61"/>
        <v>00840084</v>
      </c>
      <c r="B425" s="6" t="s">
        <v>1734</v>
      </c>
      <c r="C425" s="6" t="s">
        <v>1734</v>
      </c>
      <c r="D425" s="6">
        <v>416</v>
      </c>
      <c r="E425" s="6">
        <v>84</v>
      </c>
      <c r="F425" s="6" t="s">
        <v>1203</v>
      </c>
      <c r="G425" s="6">
        <v>84</v>
      </c>
      <c r="H425" s="6" t="s">
        <v>765</v>
      </c>
      <c r="I425" s="33">
        <v>278132.51999999996</v>
      </c>
      <c r="J425" s="88">
        <v>6.7836763371227529E-2</v>
      </c>
      <c r="K425" s="89">
        <f>X425</f>
        <v>267378.24</v>
      </c>
      <c r="L425" s="88">
        <f>IF(K429&gt;0, K425/K429, 0)</f>
        <v>6.3543687498996276E-2</v>
      </c>
      <c r="M425" s="58"/>
      <c r="N425" s="9">
        <f>ROUND(M429*L425,0)</f>
        <v>141860</v>
      </c>
      <c r="O425" s="9">
        <v>144480</v>
      </c>
      <c r="P425" s="9">
        <f>N425-O425</f>
        <v>-2620</v>
      </c>
      <c r="Q425" s="40">
        <f t="shared" si="69"/>
        <v>-1.8133997785160576</v>
      </c>
      <c r="R425" s="9">
        <v>15</v>
      </c>
      <c r="S425" s="9">
        <f t="shared" si="67"/>
        <v>14</v>
      </c>
      <c r="T425" s="90">
        <f t="shared" si="62"/>
        <v>84</v>
      </c>
      <c r="U425" s="90">
        <f t="shared" si="63"/>
        <v>84</v>
      </c>
      <c r="V425" s="373">
        <f t="shared" si="64"/>
        <v>416</v>
      </c>
      <c r="W425" s="90">
        <f t="shared" si="65"/>
        <v>14</v>
      </c>
      <c r="X425" s="90">
        <f t="shared" si="66"/>
        <v>267378.24</v>
      </c>
      <c r="Y425" s="141">
        <f t="shared" si="68"/>
        <v>416</v>
      </c>
      <c r="Z425" s="298">
        <v>84</v>
      </c>
      <c r="AA425" s="299">
        <v>84</v>
      </c>
      <c r="AB425" s="299">
        <v>416</v>
      </c>
      <c r="AC425" s="301">
        <v>14</v>
      </c>
      <c r="AD425" s="301">
        <v>267378.24</v>
      </c>
      <c r="AE425" s="126"/>
      <c r="AF425" s="298"/>
      <c r="AG425" s="299"/>
      <c r="AH425" s="299"/>
      <c r="AI425" s="301"/>
      <c r="AJ425" s="301"/>
      <c r="AK425" s="426"/>
      <c r="AL425" s="298"/>
      <c r="AM425" s="299"/>
      <c r="AN425" s="299"/>
      <c r="AO425" s="301"/>
      <c r="AP425" s="301"/>
      <c r="AQ425" s="426"/>
      <c r="AR425" s="298"/>
      <c r="AS425" s="299"/>
      <c r="AT425" s="299"/>
      <c r="AU425" s="301"/>
      <c r="AV425" s="301"/>
      <c r="AW425" s="88"/>
      <c r="AX425" s="298"/>
      <c r="AY425" s="299"/>
      <c r="AZ425" s="299"/>
      <c r="BA425" s="301"/>
      <c r="BB425" s="301"/>
      <c r="BC425" s="426"/>
      <c r="BD425" s="298"/>
      <c r="BE425" s="299"/>
      <c r="BF425" s="299"/>
      <c r="BG425" s="301"/>
      <c r="BH425" s="301"/>
      <c r="BI425" s="88"/>
      <c r="BJ425" s="298"/>
      <c r="BK425" s="299"/>
      <c r="BL425" s="299"/>
      <c r="BM425" s="301"/>
      <c r="BN425" s="301"/>
      <c r="BO425" s="88"/>
      <c r="BP425" s="9"/>
      <c r="BS425" s="81"/>
      <c r="BT425" s="81"/>
      <c r="BV425" s="9"/>
      <c r="BY425" s="81"/>
      <c r="BZ425" s="81"/>
      <c r="CB425" s="9"/>
      <c r="CE425" s="81"/>
      <c r="CF425" s="81"/>
      <c r="CH425" s="9"/>
      <c r="CK425" s="81"/>
      <c r="CL425" s="81"/>
      <c r="CR425" s="9"/>
      <c r="CS425" s="9"/>
      <c r="CT425" s="9"/>
      <c r="CU425" s="9"/>
      <c r="CV425" s="9"/>
      <c r="CW425" s="129"/>
      <c r="CX425" s="9"/>
    </row>
    <row r="426" spans="1:102">
      <c r="A426" s="6" t="str">
        <f t="shared" si="61"/>
        <v>00840767</v>
      </c>
      <c r="B426" s="6" t="s">
        <v>1734</v>
      </c>
      <c r="C426" s="6" t="s">
        <v>2055</v>
      </c>
      <c r="D426" s="6">
        <v>417</v>
      </c>
      <c r="E426" s="6">
        <v>84</v>
      </c>
      <c r="F426" s="6" t="s">
        <v>1203</v>
      </c>
      <c r="G426" s="6">
        <v>767</v>
      </c>
      <c r="H426" s="6" t="s">
        <v>1085</v>
      </c>
      <c r="I426" s="33">
        <v>3821893.869495579</v>
      </c>
      <c r="J426" s="88">
        <v>0.93216323662877243</v>
      </c>
      <c r="K426" s="89">
        <f t="shared" si="70"/>
        <v>3940407.7812979217</v>
      </c>
      <c r="L426" s="88">
        <f>IF(K429&gt;0, K426/K429, 0)</f>
        <v>0.93645631250100381</v>
      </c>
      <c r="M426" s="58"/>
      <c r="N426" s="9">
        <f>ROUND(M429*L426,0)</f>
        <v>2090612</v>
      </c>
      <c r="O426" s="9">
        <v>1985335</v>
      </c>
      <c r="P426" s="9">
        <f>N426-O426</f>
        <v>105277</v>
      </c>
      <c r="Q426" s="40">
        <f t="shared" si="69"/>
        <v>5.3027322844759199</v>
      </c>
      <c r="R426" s="9">
        <v>253.29317268527998</v>
      </c>
      <c r="S426" s="9">
        <f t="shared" si="67"/>
        <v>249.36375488592</v>
      </c>
      <c r="T426" s="90">
        <f t="shared" si="62"/>
        <v>84</v>
      </c>
      <c r="U426" s="90">
        <f t="shared" si="63"/>
        <v>767</v>
      </c>
      <c r="V426" s="373">
        <f t="shared" si="64"/>
        <v>417</v>
      </c>
      <c r="W426" s="90">
        <f t="shared" si="65"/>
        <v>249.36375488592</v>
      </c>
      <c r="X426" s="90">
        <f t="shared" si="66"/>
        <v>3940407.7812979217</v>
      </c>
      <c r="Y426" s="141">
        <f t="shared" si="68"/>
        <v>417</v>
      </c>
      <c r="Z426" s="298">
        <v>84</v>
      </c>
      <c r="AA426" s="299">
        <v>767</v>
      </c>
      <c r="AB426" s="299">
        <v>417</v>
      </c>
      <c r="AC426" s="301">
        <v>249.36375488592</v>
      </c>
      <c r="AD426" s="301">
        <v>3940407.7812979217</v>
      </c>
      <c r="AE426" s="126"/>
      <c r="AF426" s="298"/>
      <c r="AG426" s="299"/>
      <c r="AH426" s="299"/>
      <c r="AI426" s="301"/>
      <c r="AJ426" s="301"/>
      <c r="AK426" s="426"/>
      <c r="AL426" s="298"/>
      <c r="AM426" s="299"/>
      <c r="AN426" s="299"/>
      <c r="AO426" s="301"/>
      <c r="AP426" s="301"/>
      <c r="AQ426" s="426"/>
      <c r="AR426" s="298"/>
      <c r="AS426" s="299"/>
      <c r="AT426" s="299"/>
      <c r="AU426" s="301"/>
      <c r="AV426" s="301"/>
      <c r="AW426" s="88"/>
      <c r="AX426" s="298"/>
      <c r="AY426" s="299"/>
      <c r="AZ426" s="299"/>
      <c r="BA426" s="301"/>
      <c r="BB426" s="301"/>
      <c r="BC426" s="426"/>
      <c r="BD426" s="298"/>
      <c r="BE426" s="299"/>
      <c r="BF426" s="299"/>
      <c r="BG426" s="301"/>
      <c r="BH426" s="301"/>
      <c r="BI426" s="88"/>
      <c r="BJ426" s="298"/>
      <c r="BK426" s="299"/>
      <c r="BL426" s="299"/>
      <c r="BM426" s="301"/>
      <c r="BN426" s="301"/>
      <c r="BO426" s="88"/>
      <c r="BP426" s="9"/>
      <c r="BS426" s="81"/>
      <c r="BT426" s="81"/>
      <c r="BV426" s="9"/>
      <c r="BY426" s="81"/>
      <c r="BZ426" s="81"/>
      <c r="CB426" s="9"/>
      <c r="CE426" s="81"/>
      <c r="CF426" s="81"/>
      <c r="CH426" s="9"/>
      <c r="CK426" s="81"/>
      <c r="CL426" s="81"/>
      <c r="CR426" s="9"/>
      <c r="CS426" s="9"/>
      <c r="CT426" s="9"/>
      <c r="CU426" s="9"/>
      <c r="CV426" s="9"/>
      <c r="CW426" s="129"/>
      <c r="CX426" s="9"/>
    </row>
    <row r="427" spans="1:102">
      <c r="A427" s="6" t="str">
        <f t="shared" si="61"/>
        <v>00840998</v>
      </c>
      <c r="B427" s="6" t="s">
        <v>1734</v>
      </c>
      <c r="C427" s="6" t="s">
        <v>2091</v>
      </c>
      <c r="D427" s="6">
        <v>418</v>
      </c>
      <c r="E427" s="6">
        <v>84</v>
      </c>
      <c r="F427" s="6" t="s">
        <v>1547</v>
      </c>
      <c r="G427" s="6">
        <v>998</v>
      </c>
      <c r="H427" s="6" t="s">
        <v>1547</v>
      </c>
      <c r="I427" s="33">
        <v>0</v>
      </c>
      <c r="J427" s="88">
        <v>0</v>
      </c>
      <c r="K427" s="89">
        <f t="shared" si="70"/>
        <v>0</v>
      </c>
      <c r="L427" s="88">
        <f>IF(K429&gt;0, K427/K429, 0)</f>
        <v>0</v>
      </c>
      <c r="M427" s="58"/>
      <c r="N427" s="9">
        <f>ROUND(M429*L427,0)</f>
        <v>0</v>
      </c>
      <c r="O427" s="9">
        <v>0</v>
      </c>
      <c r="P427" s="9">
        <f>N427-O427</f>
        <v>0</v>
      </c>
      <c r="Q427" s="40">
        <f t="shared" si="69"/>
        <v>0</v>
      </c>
      <c r="R427" s="9">
        <v>0</v>
      </c>
      <c r="S427" s="9">
        <f t="shared" si="67"/>
        <v>0</v>
      </c>
      <c r="T427" s="90">
        <f t="shared" si="62"/>
        <v>84</v>
      </c>
      <c r="U427" s="90">
        <f t="shared" si="63"/>
        <v>998</v>
      </c>
      <c r="V427" s="373">
        <f t="shared" si="64"/>
        <v>418</v>
      </c>
      <c r="W427" s="90">
        <f t="shared" si="65"/>
        <v>0</v>
      </c>
      <c r="X427" s="90">
        <f t="shared" si="66"/>
        <v>0</v>
      </c>
      <c r="Y427" s="141">
        <f t="shared" si="68"/>
        <v>418</v>
      </c>
      <c r="Z427" s="298">
        <v>84</v>
      </c>
      <c r="AA427" s="299">
        <v>998</v>
      </c>
      <c r="AB427" s="299">
        <v>418</v>
      </c>
      <c r="AC427" s="301">
        <v>0</v>
      </c>
      <c r="AD427" s="301">
        <v>0</v>
      </c>
      <c r="AE427" s="126"/>
      <c r="AF427" s="298"/>
      <c r="AG427" s="299"/>
      <c r="AH427" s="299"/>
      <c r="AI427" s="301"/>
      <c r="AJ427" s="301"/>
      <c r="AK427" s="426"/>
      <c r="AL427" s="298"/>
      <c r="AM427" s="299"/>
      <c r="AN427" s="299"/>
      <c r="AO427" s="301"/>
      <c r="AP427" s="301"/>
      <c r="AQ427" s="426"/>
      <c r="AR427" s="298"/>
      <c r="AS427" s="299"/>
      <c r="AT427" s="299"/>
      <c r="AU427" s="301"/>
      <c r="AV427" s="301"/>
      <c r="AW427" s="88"/>
      <c r="AX427" s="298"/>
      <c r="AY427" s="299"/>
      <c r="AZ427" s="299"/>
      <c r="BA427" s="301"/>
      <c r="BB427" s="301"/>
      <c r="BC427" s="426"/>
      <c r="BD427" s="298"/>
      <c r="BE427" s="299"/>
      <c r="BF427" s="299"/>
      <c r="BG427" s="301"/>
      <c r="BH427" s="301"/>
      <c r="BI427" s="88"/>
      <c r="BJ427" s="298"/>
      <c r="BK427" s="299"/>
      <c r="BL427" s="299"/>
      <c r="BM427" s="301"/>
      <c r="BN427" s="301"/>
      <c r="BO427" s="88"/>
      <c r="BP427" s="9"/>
      <c r="BS427" s="81"/>
      <c r="BT427" s="81"/>
      <c r="BV427" s="9"/>
      <c r="BY427" s="81"/>
      <c r="BZ427" s="81"/>
      <c r="CB427" s="9"/>
      <c r="CE427" s="81"/>
      <c r="CF427" s="81"/>
      <c r="CH427" s="9"/>
      <c r="CK427" s="81"/>
      <c r="CL427" s="81"/>
      <c r="CR427" s="9"/>
      <c r="CS427" s="9"/>
      <c r="CT427" s="9"/>
      <c r="CU427" s="9"/>
      <c r="CV427" s="9"/>
      <c r="CW427" s="129"/>
      <c r="CX427" s="9"/>
    </row>
    <row r="428" spans="1:102">
      <c r="A428" s="6" t="str">
        <f t="shared" si="61"/>
        <v>00840998</v>
      </c>
      <c r="B428" s="6" t="s">
        <v>1734</v>
      </c>
      <c r="C428" s="6" t="s">
        <v>2091</v>
      </c>
      <c r="D428" s="6">
        <v>419</v>
      </c>
      <c r="E428" s="6">
        <v>84</v>
      </c>
      <c r="F428" s="6" t="s">
        <v>1547</v>
      </c>
      <c r="G428" s="6">
        <v>998</v>
      </c>
      <c r="H428" s="6" t="s">
        <v>1547</v>
      </c>
      <c r="I428" s="33">
        <v>0</v>
      </c>
      <c r="J428" s="88">
        <v>0</v>
      </c>
      <c r="K428" s="89">
        <f t="shared" si="70"/>
        <v>0</v>
      </c>
      <c r="L428" s="88">
        <f>IF(K429&gt;0, K428/K429, 0)</f>
        <v>0</v>
      </c>
      <c r="M428" s="58"/>
      <c r="N428" s="9">
        <f>ROUND(M429*L428,0)</f>
        <v>0</v>
      </c>
      <c r="O428" s="9">
        <v>0</v>
      </c>
      <c r="P428" s="9">
        <f>N428-O428</f>
        <v>0</v>
      </c>
      <c r="Q428" s="40">
        <f t="shared" si="69"/>
        <v>0</v>
      </c>
      <c r="R428" s="9">
        <v>0</v>
      </c>
      <c r="S428" s="9">
        <f t="shared" si="67"/>
        <v>0</v>
      </c>
      <c r="T428" s="90">
        <f t="shared" si="62"/>
        <v>84</v>
      </c>
      <c r="U428" s="90">
        <f t="shared" si="63"/>
        <v>998</v>
      </c>
      <c r="V428" s="373">
        <f t="shared" si="64"/>
        <v>419</v>
      </c>
      <c r="W428" s="90">
        <f t="shared" si="65"/>
        <v>0</v>
      </c>
      <c r="X428" s="90">
        <f t="shared" si="66"/>
        <v>0</v>
      </c>
      <c r="Y428" s="141">
        <f t="shared" si="68"/>
        <v>419</v>
      </c>
      <c r="Z428" s="298">
        <v>84</v>
      </c>
      <c r="AA428" s="299">
        <v>998</v>
      </c>
      <c r="AB428" s="299">
        <v>419</v>
      </c>
      <c r="AC428" s="301">
        <v>0</v>
      </c>
      <c r="AD428" s="301">
        <v>0</v>
      </c>
      <c r="AE428" s="126"/>
      <c r="AF428" s="298"/>
      <c r="AG428" s="299"/>
      <c r="AH428" s="299"/>
      <c r="AI428" s="301"/>
      <c r="AJ428" s="301"/>
      <c r="AK428" s="426"/>
      <c r="AL428" s="298"/>
      <c r="AM428" s="299"/>
      <c r="AN428" s="299"/>
      <c r="AO428" s="301"/>
      <c r="AP428" s="301"/>
      <c r="AQ428" s="426"/>
      <c r="AR428" s="298"/>
      <c r="AS428" s="299"/>
      <c r="AT428" s="299"/>
      <c r="AU428" s="301"/>
      <c r="AV428" s="301"/>
      <c r="AW428" s="88"/>
      <c r="AX428" s="298"/>
      <c r="AY428" s="299"/>
      <c r="AZ428" s="299"/>
      <c r="BA428" s="301"/>
      <c r="BB428" s="301"/>
      <c r="BC428" s="426"/>
      <c r="BD428" s="298"/>
      <c r="BE428" s="299"/>
      <c r="BF428" s="299"/>
      <c r="BG428" s="301"/>
      <c r="BH428" s="301"/>
      <c r="BI428" s="88"/>
      <c r="BJ428" s="298"/>
      <c r="BK428" s="299"/>
      <c r="BL428" s="299"/>
      <c r="BM428" s="301"/>
      <c r="BN428" s="301"/>
      <c r="BO428" s="88"/>
      <c r="BP428" s="9"/>
      <c r="BS428" s="81"/>
      <c r="BT428" s="81"/>
      <c r="BV428" s="9"/>
      <c r="BY428" s="81"/>
      <c r="BZ428" s="81"/>
      <c r="CB428" s="9"/>
      <c r="CE428" s="81"/>
      <c r="CF428" s="81"/>
      <c r="CH428" s="9"/>
      <c r="CK428" s="81"/>
      <c r="CL428" s="81"/>
      <c r="CR428" s="9"/>
      <c r="CS428" s="9"/>
      <c r="CT428" s="9"/>
      <c r="CU428" s="9"/>
      <c r="CV428" s="9"/>
      <c r="CW428" s="129"/>
      <c r="CX428" s="9"/>
    </row>
    <row r="429" spans="1:102">
      <c r="A429" s="6" t="str">
        <f t="shared" si="61"/>
        <v>00840999</v>
      </c>
      <c r="B429" s="6" t="s">
        <v>1734</v>
      </c>
      <c r="C429" s="6" t="s">
        <v>2092</v>
      </c>
      <c r="D429" s="6">
        <v>420</v>
      </c>
      <c r="E429" s="10">
        <v>84</v>
      </c>
      <c r="F429" s="10" t="s">
        <v>1203</v>
      </c>
      <c r="G429" s="10">
        <v>999</v>
      </c>
      <c r="H429" s="10" t="s">
        <v>593</v>
      </c>
      <c r="I429" s="92">
        <v>4100026.3894955791</v>
      </c>
      <c r="J429" s="472">
        <v>1</v>
      </c>
      <c r="K429" s="53">
        <f>SUM(K425:K428)</f>
        <v>4207786.0212979214</v>
      </c>
      <c r="L429" s="91">
        <f>SUM(L425:L428)</f>
        <v>1</v>
      </c>
      <c r="M429" s="79">
        <f>VLOOKUP(E429,town351,24)</f>
        <v>2232472</v>
      </c>
      <c r="N429" s="79">
        <f>SUM(N425:N428)</f>
        <v>2232472</v>
      </c>
      <c r="O429" s="79">
        <v>2129815</v>
      </c>
      <c r="P429" s="79">
        <f>SUM(P425:P428)</f>
        <v>102657</v>
      </c>
      <c r="Q429" s="39">
        <f t="shared" si="69"/>
        <v>4.8199961029479086</v>
      </c>
      <c r="R429" s="9">
        <v>268.29317268527996</v>
      </c>
      <c r="S429" s="9">
        <f t="shared" si="67"/>
        <v>263.36375488592</v>
      </c>
      <c r="T429" s="90">
        <f t="shared" si="62"/>
        <v>84</v>
      </c>
      <c r="U429" s="90">
        <f t="shared" si="63"/>
        <v>999</v>
      </c>
      <c r="V429" s="373">
        <f t="shared" si="64"/>
        <v>420</v>
      </c>
      <c r="W429" s="90">
        <f t="shared" si="65"/>
        <v>263.36375488592</v>
      </c>
      <c r="X429" s="90">
        <f t="shared" si="66"/>
        <v>4207786.0212979214</v>
      </c>
      <c r="Y429" s="141">
        <f t="shared" si="68"/>
        <v>420</v>
      </c>
      <c r="Z429" s="298">
        <v>84</v>
      </c>
      <c r="AA429" s="299">
        <v>999</v>
      </c>
      <c r="AB429" s="299">
        <v>420</v>
      </c>
      <c r="AC429" s="301">
        <v>263.36375488592</v>
      </c>
      <c r="AD429" s="301">
        <v>4207786.0212979214</v>
      </c>
      <c r="AE429" s="126"/>
      <c r="AF429" s="298"/>
      <c r="AG429" s="299"/>
      <c r="AH429" s="299"/>
      <c r="AI429" s="301"/>
      <c r="AJ429" s="301"/>
      <c r="AK429" s="426"/>
      <c r="AL429" s="298"/>
      <c r="AM429" s="299"/>
      <c r="AN429" s="299"/>
      <c r="AO429" s="301"/>
      <c r="AP429" s="301"/>
      <c r="AQ429" s="426"/>
      <c r="AR429" s="298"/>
      <c r="AS429" s="299"/>
      <c r="AT429" s="299"/>
      <c r="AU429" s="301"/>
      <c r="AV429" s="301"/>
      <c r="AW429" s="91"/>
      <c r="AX429" s="298"/>
      <c r="AY429" s="299"/>
      <c r="AZ429" s="299"/>
      <c r="BA429" s="301"/>
      <c r="BB429" s="301"/>
      <c r="BC429" s="426"/>
      <c r="BD429" s="298"/>
      <c r="BE429" s="299"/>
      <c r="BF429" s="299"/>
      <c r="BG429" s="301"/>
      <c r="BH429" s="301"/>
      <c r="BI429" s="91"/>
      <c r="BJ429" s="298"/>
      <c r="BK429" s="299"/>
      <c r="BL429" s="299"/>
      <c r="BM429" s="301"/>
      <c r="BN429" s="301"/>
      <c r="BO429" s="91"/>
      <c r="BP429" s="9"/>
      <c r="BS429" s="81"/>
      <c r="BT429" s="81"/>
      <c r="BV429" s="9"/>
      <c r="BY429" s="81"/>
      <c r="BZ429" s="81"/>
      <c r="CB429" s="9"/>
      <c r="CE429" s="81"/>
      <c r="CF429" s="81"/>
      <c r="CH429" s="9"/>
      <c r="CK429" s="81"/>
      <c r="CL429" s="81"/>
      <c r="CR429" s="9"/>
      <c r="CS429" s="9"/>
      <c r="CT429" s="9"/>
      <c r="CU429" s="9"/>
      <c r="CV429" s="9"/>
      <c r="CW429" s="129"/>
      <c r="CX429" s="9"/>
    </row>
    <row r="430" spans="1:102">
      <c r="A430" s="6" t="str">
        <f t="shared" si="61"/>
        <v>00850085</v>
      </c>
      <c r="B430" s="6" t="s">
        <v>1735</v>
      </c>
      <c r="C430" s="6" t="s">
        <v>1735</v>
      </c>
      <c r="D430" s="6">
        <v>421</v>
      </c>
      <c r="E430" s="6">
        <v>85</v>
      </c>
      <c r="F430" s="6" t="s">
        <v>1204</v>
      </c>
      <c r="G430" s="6">
        <v>85</v>
      </c>
      <c r="H430" s="6" t="s">
        <v>766</v>
      </c>
      <c r="I430" s="33">
        <v>2896212.01</v>
      </c>
      <c r="J430" s="88">
        <v>0.43664445697882981</v>
      </c>
      <c r="K430" s="89">
        <f>X430</f>
        <v>2893667.62</v>
      </c>
      <c r="L430" s="88">
        <f>IF(K434&gt;0, K430/K434, 0)</f>
        <v>0.40931917275927587</v>
      </c>
      <c r="M430" s="58"/>
      <c r="N430" s="9">
        <f>ROUND(M434*L430,0)</f>
        <v>2387276</v>
      </c>
      <c r="O430" s="9">
        <v>2389375</v>
      </c>
      <c r="P430" s="9">
        <f>N430-O430</f>
        <v>-2099</v>
      </c>
      <c r="Q430" s="40">
        <f t="shared" si="69"/>
        <v>-8.7847240387130529E-2</v>
      </c>
      <c r="R430" s="9">
        <v>197</v>
      </c>
      <c r="S430" s="9">
        <f t="shared" si="67"/>
        <v>198</v>
      </c>
      <c r="T430" s="90">
        <f t="shared" si="62"/>
        <v>85</v>
      </c>
      <c r="U430" s="90">
        <f t="shared" si="63"/>
        <v>85</v>
      </c>
      <c r="V430" s="373">
        <f t="shared" si="64"/>
        <v>421</v>
      </c>
      <c r="W430" s="90">
        <f t="shared" si="65"/>
        <v>198</v>
      </c>
      <c r="X430" s="90">
        <f t="shared" si="66"/>
        <v>2893667.62</v>
      </c>
      <c r="Y430" s="141">
        <f t="shared" si="68"/>
        <v>421</v>
      </c>
      <c r="Z430" s="298">
        <v>85</v>
      </c>
      <c r="AA430" s="299">
        <v>85</v>
      </c>
      <c r="AB430" s="299">
        <v>421</v>
      </c>
      <c r="AC430" s="301">
        <v>198</v>
      </c>
      <c r="AD430" s="301">
        <v>2893667.62</v>
      </c>
      <c r="AE430" s="126"/>
      <c r="AF430" s="298"/>
      <c r="AG430" s="299"/>
      <c r="AH430" s="299"/>
      <c r="AI430" s="301"/>
      <c r="AJ430" s="301"/>
      <c r="AK430" s="426"/>
      <c r="AL430" s="298"/>
      <c r="AM430" s="299"/>
      <c r="AN430" s="299"/>
      <c r="AO430" s="301"/>
      <c r="AP430" s="301"/>
      <c r="AQ430" s="426"/>
      <c r="AR430" s="298"/>
      <c r="AS430" s="299"/>
      <c r="AT430" s="299"/>
      <c r="AU430" s="301"/>
      <c r="AV430" s="301"/>
      <c r="AW430" s="88"/>
      <c r="AX430" s="298"/>
      <c r="AY430" s="299"/>
      <c r="AZ430" s="299"/>
      <c r="BA430" s="301"/>
      <c r="BB430" s="301"/>
      <c r="BC430" s="426"/>
      <c r="BD430" s="298"/>
      <c r="BE430" s="299"/>
      <c r="BF430" s="299"/>
      <c r="BG430" s="301"/>
      <c r="BH430" s="301"/>
      <c r="BI430" s="88"/>
      <c r="BJ430" s="298"/>
      <c r="BK430" s="299"/>
      <c r="BL430" s="299"/>
      <c r="BM430" s="301"/>
      <c r="BN430" s="301"/>
      <c r="BO430" s="88"/>
      <c r="BP430" s="9"/>
      <c r="BS430" s="81"/>
      <c r="BT430" s="81"/>
      <c r="BV430" s="9"/>
      <c r="BY430" s="81"/>
      <c r="BZ430" s="81"/>
      <c r="CB430" s="9"/>
      <c r="CE430" s="81"/>
      <c r="CF430" s="81"/>
      <c r="CH430" s="9"/>
      <c r="CK430" s="81"/>
      <c r="CL430" s="81"/>
      <c r="CR430" s="9"/>
      <c r="CS430" s="9"/>
      <c r="CT430" s="9"/>
      <c r="CU430" s="9"/>
      <c r="CV430" s="9"/>
      <c r="CW430" s="129"/>
      <c r="CX430" s="9"/>
    </row>
    <row r="431" spans="1:102">
      <c r="A431" s="6" t="str">
        <f t="shared" si="61"/>
        <v>00850660</v>
      </c>
      <c r="B431" s="6" t="s">
        <v>1735</v>
      </c>
      <c r="C431" s="6" t="s">
        <v>2021</v>
      </c>
      <c r="D431" s="6">
        <v>422</v>
      </c>
      <c r="E431" s="6">
        <v>85</v>
      </c>
      <c r="F431" s="6" t="s">
        <v>1204</v>
      </c>
      <c r="G431" s="6">
        <v>660</v>
      </c>
      <c r="H431" s="6" t="s">
        <v>1051</v>
      </c>
      <c r="I431" s="33">
        <v>3257681.0787673928</v>
      </c>
      <c r="J431" s="88">
        <v>0.49114097336009488</v>
      </c>
      <c r="K431" s="89">
        <f t="shared" si="70"/>
        <v>3564679.9619386801</v>
      </c>
      <c r="L431" s="88">
        <f>IF(K434&gt;0, K431/K434, 0)</f>
        <v>0.5042361614331875</v>
      </c>
      <c r="M431" s="58"/>
      <c r="N431" s="9">
        <f>ROUND(M434*L431,0)</f>
        <v>2940861</v>
      </c>
      <c r="O431" s="9">
        <v>2687587</v>
      </c>
      <c r="P431" s="9">
        <f>N431-O431</f>
        <v>253274</v>
      </c>
      <c r="Q431" s="40">
        <f t="shared" si="69"/>
        <v>9.4238437676622198</v>
      </c>
      <c r="R431" s="9">
        <v>227.0000000007</v>
      </c>
      <c r="S431" s="9">
        <f t="shared" si="67"/>
        <v>242.00000000279999</v>
      </c>
      <c r="T431" s="90">
        <f t="shared" si="62"/>
        <v>85</v>
      </c>
      <c r="U431" s="90">
        <f t="shared" si="63"/>
        <v>660</v>
      </c>
      <c r="V431" s="373">
        <f t="shared" si="64"/>
        <v>422</v>
      </c>
      <c r="W431" s="90">
        <f t="shared" si="65"/>
        <v>242.00000000279999</v>
      </c>
      <c r="X431" s="90">
        <f t="shared" si="66"/>
        <v>3564679.9619386801</v>
      </c>
      <c r="Y431" s="141">
        <f t="shared" si="68"/>
        <v>422</v>
      </c>
      <c r="Z431" s="298">
        <v>85</v>
      </c>
      <c r="AA431" s="299">
        <v>660</v>
      </c>
      <c r="AB431" s="299">
        <v>422</v>
      </c>
      <c r="AC431" s="301">
        <v>242.00000000279999</v>
      </c>
      <c r="AD431" s="301">
        <v>3564679.9619386801</v>
      </c>
      <c r="AE431" s="126"/>
      <c r="AF431" s="298"/>
      <c r="AG431" s="299"/>
      <c r="AH431" s="299"/>
      <c r="AI431" s="301"/>
      <c r="AJ431" s="301"/>
      <c r="AK431" s="426"/>
      <c r="AL431" s="298"/>
      <c r="AM431" s="299"/>
      <c r="AN431" s="299"/>
      <c r="AO431" s="301"/>
      <c r="AP431" s="301"/>
      <c r="AQ431" s="426"/>
      <c r="AR431" s="298"/>
      <c r="AS431" s="299"/>
      <c r="AT431" s="299"/>
      <c r="AU431" s="301"/>
      <c r="AV431" s="301"/>
      <c r="AW431" s="88"/>
      <c r="AX431" s="298"/>
      <c r="AY431" s="299"/>
      <c r="AZ431" s="299"/>
      <c r="BA431" s="301"/>
      <c r="BB431" s="301"/>
      <c r="BC431" s="426"/>
      <c r="BD431" s="298"/>
      <c r="BE431" s="299"/>
      <c r="BF431" s="299"/>
      <c r="BG431" s="301"/>
      <c r="BH431" s="301"/>
      <c r="BI431" s="88"/>
      <c r="BJ431" s="298"/>
      <c r="BK431" s="299"/>
      <c r="BL431" s="299"/>
      <c r="BM431" s="301"/>
      <c r="BN431" s="301"/>
      <c r="BO431" s="88"/>
      <c r="BP431" s="9"/>
      <c r="BS431" s="81"/>
      <c r="BT431" s="81"/>
      <c r="BV431" s="9"/>
      <c r="BY431" s="81"/>
      <c r="BZ431" s="81"/>
      <c r="CB431" s="9"/>
      <c r="CE431" s="81"/>
      <c r="CF431" s="81"/>
      <c r="CH431" s="9"/>
      <c r="CK431" s="81"/>
      <c r="CL431" s="81"/>
      <c r="CR431" s="9"/>
      <c r="CS431" s="9"/>
      <c r="CT431" s="9"/>
      <c r="CU431" s="9"/>
      <c r="CV431" s="9"/>
      <c r="CW431" s="129"/>
      <c r="CX431" s="9"/>
    </row>
    <row r="432" spans="1:102">
      <c r="A432" s="6" t="str">
        <f t="shared" si="61"/>
        <v>00850815</v>
      </c>
      <c r="B432" s="6" t="s">
        <v>1735</v>
      </c>
      <c r="C432" s="6" t="s">
        <v>2066</v>
      </c>
      <c r="D432" s="6">
        <v>423</v>
      </c>
      <c r="E432" s="6">
        <v>85</v>
      </c>
      <c r="F432" s="6" t="s">
        <v>1204</v>
      </c>
      <c r="G432" s="6">
        <v>815</v>
      </c>
      <c r="H432" s="6" t="s">
        <v>1096</v>
      </c>
      <c r="I432" s="33">
        <v>478990.85996991891</v>
      </c>
      <c r="J432" s="88">
        <v>7.2214569661075326E-2</v>
      </c>
      <c r="K432" s="89">
        <f t="shared" si="70"/>
        <v>611117.55084118794</v>
      </c>
      <c r="L432" s="88">
        <f>IF(K434&gt;0, K432/K434, 0)</f>
        <v>8.6444665807536583E-2</v>
      </c>
      <c r="M432" s="58"/>
      <c r="N432" s="9">
        <f>ROUND(M434*L432,0)</f>
        <v>504172</v>
      </c>
      <c r="O432" s="9">
        <v>395167</v>
      </c>
      <c r="P432" s="9">
        <f>N432-O432</f>
        <v>109005</v>
      </c>
      <c r="Q432" s="40">
        <f t="shared" si="69"/>
        <v>27.584540207051703</v>
      </c>
      <c r="R432" s="9">
        <v>22.065967019249999</v>
      </c>
      <c r="S432" s="9">
        <f t="shared" si="67"/>
        <v>28.042042040679998</v>
      </c>
      <c r="T432" s="90">
        <f t="shared" si="62"/>
        <v>85</v>
      </c>
      <c r="U432" s="90">
        <f t="shared" si="63"/>
        <v>815</v>
      </c>
      <c r="V432" s="373">
        <f t="shared" si="64"/>
        <v>423</v>
      </c>
      <c r="W432" s="90">
        <f t="shared" si="65"/>
        <v>28.042042040679998</v>
      </c>
      <c r="X432" s="90">
        <f t="shared" si="66"/>
        <v>611117.55084118794</v>
      </c>
      <c r="Y432" s="141">
        <f t="shared" si="68"/>
        <v>423</v>
      </c>
      <c r="Z432" s="298">
        <v>85</v>
      </c>
      <c r="AA432" s="299">
        <v>815</v>
      </c>
      <c r="AB432" s="299">
        <v>423</v>
      </c>
      <c r="AC432" s="301">
        <v>28.042042040679998</v>
      </c>
      <c r="AD432" s="301">
        <v>611117.55084118794</v>
      </c>
      <c r="AE432" s="126"/>
      <c r="AF432" s="298"/>
      <c r="AG432" s="299"/>
      <c r="AH432" s="299"/>
      <c r="AI432" s="301"/>
      <c r="AJ432" s="301"/>
      <c r="AK432" s="426"/>
      <c r="AL432" s="298"/>
      <c r="AM432" s="299"/>
      <c r="AN432" s="299"/>
      <c r="AO432" s="301"/>
      <c r="AP432" s="301"/>
      <c r="AQ432" s="426"/>
      <c r="AR432" s="298"/>
      <c r="AS432" s="299"/>
      <c r="AT432" s="299"/>
      <c r="AU432" s="301"/>
      <c r="AV432" s="301"/>
      <c r="AW432" s="88"/>
      <c r="AX432" s="298"/>
      <c r="AY432" s="299"/>
      <c r="AZ432" s="299"/>
      <c r="BA432" s="301"/>
      <c r="BB432" s="301"/>
      <c r="BC432" s="426"/>
      <c r="BD432" s="298"/>
      <c r="BE432" s="299"/>
      <c r="BF432" s="299"/>
      <c r="BG432" s="301"/>
      <c r="BH432" s="301"/>
      <c r="BI432" s="88"/>
      <c r="BJ432" s="298"/>
      <c r="BK432" s="299"/>
      <c r="BL432" s="299"/>
      <c r="BM432" s="301"/>
      <c r="BN432" s="301"/>
      <c r="BO432" s="88"/>
      <c r="BP432" s="9"/>
      <c r="BS432" s="81"/>
      <c r="BT432" s="81"/>
      <c r="BV432" s="9"/>
      <c r="BY432" s="81"/>
      <c r="BZ432" s="81"/>
      <c r="CB432" s="9"/>
      <c r="CE432" s="81"/>
      <c r="CF432" s="81"/>
      <c r="CH432" s="9"/>
      <c r="CK432" s="81"/>
      <c r="CL432" s="81"/>
      <c r="CR432" s="9"/>
      <c r="CS432" s="9"/>
      <c r="CT432" s="9"/>
      <c r="CU432" s="9"/>
      <c r="CV432" s="9"/>
      <c r="CW432" s="129"/>
      <c r="CX432" s="9"/>
    </row>
    <row r="433" spans="1:102">
      <c r="A433" s="6" t="str">
        <f t="shared" si="61"/>
        <v>00850998</v>
      </c>
      <c r="B433" s="6" t="s">
        <v>1735</v>
      </c>
      <c r="C433" s="6" t="s">
        <v>2091</v>
      </c>
      <c r="D433" s="6">
        <v>424</v>
      </c>
      <c r="E433" s="6">
        <v>85</v>
      </c>
      <c r="F433" s="6" t="s">
        <v>1547</v>
      </c>
      <c r="G433" s="6">
        <v>998</v>
      </c>
      <c r="H433" s="6" t="s">
        <v>1547</v>
      </c>
      <c r="I433" s="33">
        <v>0</v>
      </c>
      <c r="J433" s="88">
        <v>0</v>
      </c>
      <c r="K433" s="89">
        <f t="shared" si="70"/>
        <v>0</v>
      </c>
      <c r="L433" s="88">
        <f>IF(K434&gt;0, K433/K434, 0)</f>
        <v>0</v>
      </c>
      <c r="M433" s="58"/>
      <c r="N433" s="9">
        <f>ROUND(M434*L433,0)</f>
        <v>0</v>
      </c>
      <c r="O433" s="9">
        <v>0</v>
      </c>
      <c r="P433" s="9">
        <f>N433-O433</f>
        <v>0</v>
      </c>
      <c r="Q433" s="40">
        <f t="shared" si="69"/>
        <v>0</v>
      </c>
      <c r="R433" s="9">
        <v>0</v>
      </c>
      <c r="S433" s="9">
        <f t="shared" si="67"/>
        <v>0</v>
      </c>
      <c r="T433" s="90">
        <f t="shared" si="62"/>
        <v>85</v>
      </c>
      <c r="U433" s="90">
        <f t="shared" si="63"/>
        <v>998</v>
      </c>
      <c r="V433" s="373">
        <f t="shared" si="64"/>
        <v>424</v>
      </c>
      <c r="W433" s="90">
        <f t="shared" si="65"/>
        <v>0</v>
      </c>
      <c r="X433" s="90">
        <f t="shared" si="66"/>
        <v>0</v>
      </c>
      <c r="Y433" s="141">
        <f t="shared" si="68"/>
        <v>424</v>
      </c>
      <c r="Z433" s="298">
        <v>85</v>
      </c>
      <c r="AA433" s="299">
        <v>998</v>
      </c>
      <c r="AB433" s="299">
        <v>424</v>
      </c>
      <c r="AC433" s="301">
        <v>0</v>
      </c>
      <c r="AD433" s="301">
        <v>0</v>
      </c>
      <c r="AE433" s="126"/>
      <c r="AF433" s="298"/>
      <c r="AG433" s="299"/>
      <c r="AH433" s="299"/>
      <c r="AI433" s="301"/>
      <c r="AJ433" s="301"/>
      <c r="AK433" s="426"/>
      <c r="AL433" s="298"/>
      <c r="AM433" s="299"/>
      <c r="AN433" s="299"/>
      <c r="AO433" s="301"/>
      <c r="AP433" s="301"/>
      <c r="AQ433" s="426"/>
      <c r="AR433" s="298"/>
      <c r="AS433" s="299"/>
      <c r="AT433" s="299"/>
      <c r="AU433" s="301"/>
      <c r="AV433" s="301"/>
      <c r="AW433" s="88"/>
      <c r="AX433" s="298"/>
      <c r="AY433" s="299"/>
      <c r="AZ433" s="299"/>
      <c r="BA433" s="301"/>
      <c r="BB433" s="301"/>
      <c r="BC433" s="426"/>
      <c r="BD433" s="298"/>
      <c r="BE433" s="299"/>
      <c r="BF433" s="299"/>
      <c r="BG433" s="301"/>
      <c r="BH433" s="301"/>
      <c r="BI433" s="88"/>
      <c r="BJ433" s="298"/>
      <c r="BK433" s="299"/>
      <c r="BL433" s="299"/>
      <c r="BM433" s="301"/>
      <c r="BN433" s="301"/>
      <c r="BO433" s="88"/>
      <c r="BP433" s="9"/>
      <c r="BS433" s="81"/>
      <c r="BT433" s="81"/>
      <c r="BV433" s="9"/>
      <c r="BY433" s="81"/>
      <c r="BZ433" s="81"/>
      <c r="CB433" s="9"/>
      <c r="CE433" s="81"/>
      <c r="CF433" s="81"/>
      <c r="CH433" s="9"/>
      <c r="CK433" s="81"/>
      <c r="CL433" s="81"/>
      <c r="CR433" s="9"/>
      <c r="CS433" s="9"/>
      <c r="CT433" s="9"/>
      <c r="CU433" s="9"/>
      <c r="CV433" s="9"/>
      <c r="CW433" s="129"/>
      <c r="CX433" s="9"/>
    </row>
    <row r="434" spans="1:102">
      <c r="A434" s="6" t="str">
        <f t="shared" si="61"/>
        <v>00850999</v>
      </c>
      <c r="B434" s="6" t="s">
        <v>1735</v>
      </c>
      <c r="C434" s="6" t="s">
        <v>2092</v>
      </c>
      <c r="D434" s="6">
        <v>425</v>
      </c>
      <c r="E434" s="10">
        <v>85</v>
      </c>
      <c r="F434" s="10" t="s">
        <v>1204</v>
      </c>
      <c r="G434" s="10">
        <v>999</v>
      </c>
      <c r="H434" s="10" t="s">
        <v>593</v>
      </c>
      <c r="I434" s="92">
        <v>6632883.9487373112</v>
      </c>
      <c r="J434" s="472">
        <v>1</v>
      </c>
      <c r="K434" s="53">
        <f>SUM(K430:K433)</f>
        <v>7069465.1327798683</v>
      </c>
      <c r="L434" s="91">
        <f>SUM(L430:L433)</f>
        <v>1</v>
      </c>
      <c r="M434" s="79">
        <f>VLOOKUP(E434,town351,24)</f>
        <v>5832309</v>
      </c>
      <c r="N434" s="79">
        <f>SUM(N430:N433)</f>
        <v>5832309</v>
      </c>
      <c r="O434" s="79">
        <v>5472129</v>
      </c>
      <c r="P434" s="79">
        <f>SUM(P430:P433)</f>
        <v>360180</v>
      </c>
      <c r="Q434" s="39">
        <f t="shared" si="69"/>
        <v>6.5820816724167139</v>
      </c>
      <c r="R434" s="9">
        <v>446.06596701994999</v>
      </c>
      <c r="S434" s="9">
        <f t="shared" si="67"/>
        <v>468.04204204347997</v>
      </c>
      <c r="T434" s="90">
        <f t="shared" si="62"/>
        <v>85</v>
      </c>
      <c r="U434" s="90">
        <f t="shared" si="63"/>
        <v>999</v>
      </c>
      <c r="V434" s="373">
        <f t="shared" si="64"/>
        <v>425</v>
      </c>
      <c r="W434" s="90">
        <f t="shared" si="65"/>
        <v>468.04204204347997</v>
      </c>
      <c r="X434" s="90">
        <f t="shared" si="66"/>
        <v>7069465.1327798683</v>
      </c>
      <c r="Y434" s="141">
        <f t="shared" si="68"/>
        <v>425</v>
      </c>
      <c r="Z434" s="298">
        <v>85</v>
      </c>
      <c r="AA434" s="299">
        <v>999</v>
      </c>
      <c r="AB434" s="299">
        <v>425</v>
      </c>
      <c r="AC434" s="301">
        <v>468.04204204347997</v>
      </c>
      <c r="AD434" s="301">
        <v>7069465.1327798683</v>
      </c>
      <c r="AE434" s="126"/>
      <c r="AF434" s="298"/>
      <c r="AG434" s="299"/>
      <c r="AH434" s="299"/>
      <c r="AI434" s="301"/>
      <c r="AJ434" s="301"/>
      <c r="AK434" s="426"/>
      <c r="AL434" s="298"/>
      <c r="AM434" s="299"/>
      <c r="AN434" s="299"/>
      <c r="AO434" s="301"/>
      <c r="AP434" s="301"/>
      <c r="AQ434" s="426"/>
      <c r="AR434" s="298"/>
      <c r="AS434" s="299"/>
      <c r="AT434" s="299"/>
      <c r="AU434" s="301"/>
      <c r="AV434" s="301"/>
      <c r="AW434" s="91"/>
      <c r="AX434" s="298"/>
      <c r="AY434" s="299"/>
      <c r="AZ434" s="299"/>
      <c r="BA434" s="301"/>
      <c r="BB434" s="301"/>
      <c r="BC434" s="426"/>
      <c r="BD434" s="298"/>
      <c r="BE434" s="299"/>
      <c r="BF434" s="299"/>
      <c r="BG434" s="301"/>
      <c r="BH434" s="301"/>
      <c r="BI434" s="91"/>
      <c r="BJ434" s="298"/>
      <c r="BK434" s="299"/>
      <c r="BL434" s="299"/>
      <c r="BM434" s="301"/>
      <c r="BN434" s="301"/>
      <c r="BO434" s="91"/>
      <c r="BP434" s="9"/>
      <c r="BS434" s="81"/>
      <c r="BT434" s="81"/>
      <c r="BV434" s="9"/>
      <c r="BY434" s="81"/>
      <c r="BZ434" s="81"/>
      <c r="CB434" s="9"/>
      <c r="CE434" s="81"/>
      <c r="CF434" s="81"/>
      <c r="CH434" s="9"/>
      <c r="CK434" s="81"/>
      <c r="CL434" s="81"/>
      <c r="CR434" s="9"/>
      <c r="CS434" s="9"/>
      <c r="CT434" s="9"/>
      <c r="CU434" s="9"/>
      <c r="CV434" s="9"/>
      <c r="CW434" s="129"/>
      <c r="CX434" s="9"/>
    </row>
    <row r="435" spans="1:102">
      <c r="A435" s="6" t="str">
        <f t="shared" si="61"/>
        <v>00860086</v>
      </c>
      <c r="B435" s="6" t="s">
        <v>1736</v>
      </c>
      <c r="C435" s="6" t="s">
        <v>1736</v>
      </c>
      <c r="D435" s="6">
        <v>426</v>
      </c>
      <c r="E435" s="6">
        <v>86</v>
      </c>
      <c r="F435" s="6" t="s">
        <v>1205</v>
      </c>
      <c r="G435" s="6">
        <v>86</v>
      </c>
      <c r="H435" s="6" t="s">
        <v>767</v>
      </c>
      <c r="I435" s="33">
        <v>22559015.459999997</v>
      </c>
      <c r="J435" s="88">
        <v>1</v>
      </c>
      <c r="K435" s="89">
        <f>X435</f>
        <v>23097746.730000004</v>
      </c>
      <c r="L435" s="88">
        <f>IF(K439&gt;0, K435/K439, 0)</f>
        <v>1</v>
      </c>
      <c r="M435" s="58"/>
      <c r="N435" s="9">
        <f>ROUND(M439*L435,0)</f>
        <v>14936633</v>
      </c>
      <c r="O435" s="9">
        <v>13894543</v>
      </c>
      <c r="P435" s="9">
        <f>N435-O435</f>
        <v>1042090</v>
      </c>
      <c r="Q435" s="40">
        <f t="shared" si="69"/>
        <v>7.4999947821241761</v>
      </c>
      <c r="R435" s="9">
        <v>1591</v>
      </c>
      <c r="S435" s="9">
        <f t="shared" si="67"/>
        <v>1580</v>
      </c>
      <c r="T435" s="90">
        <f t="shared" si="62"/>
        <v>86</v>
      </c>
      <c r="U435" s="90">
        <f t="shared" si="63"/>
        <v>86</v>
      </c>
      <c r="V435" s="373">
        <f t="shared" si="64"/>
        <v>426</v>
      </c>
      <c r="W435" s="90">
        <f t="shared" si="65"/>
        <v>1580</v>
      </c>
      <c r="X435" s="90">
        <f t="shared" si="66"/>
        <v>23097746.730000004</v>
      </c>
      <c r="Y435" s="141">
        <f t="shared" si="68"/>
        <v>426</v>
      </c>
      <c r="Z435" s="298">
        <v>86</v>
      </c>
      <c r="AA435" s="299">
        <v>86</v>
      </c>
      <c r="AB435" s="299">
        <v>426</v>
      </c>
      <c r="AC435" s="301">
        <v>1580</v>
      </c>
      <c r="AD435" s="301">
        <v>23097746.730000004</v>
      </c>
      <c r="AE435" s="126"/>
      <c r="AF435" s="298"/>
      <c r="AG435" s="299"/>
      <c r="AH435" s="299"/>
      <c r="AI435" s="301"/>
      <c r="AJ435" s="301"/>
      <c r="AK435" s="426"/>
      <c r="AL435" s="298"/>
      <c r="AM435" s="299"/>
      <c r="AN435" s="299"/>
      <c r="AO435" s="301"/>
      <c r="AP435" s="301"/>
      <c r="AQ435" s="426"/>
      <c r="AR435" s="298"/>
      <c r="AS435" s="299"/>
      <c r="AT435" s="299"/>
      <c r="AU435" s="301"/>
      <c r="AV435" s="301"/>
      <c r="AW435" s="88"/>
      <c r="AX435" s="298"/>
      <c r="AY435" s="299"/>
      <c r="AZ435" s="299"/>
      <c r="BA435" s="301"/>
      <c r="BB435" s="301"/>
      <c r="BC435" s="426"/>
      <c r="BD435" s="298"/>
      <c r="BE435" s="299"/>
      <c r="BF435" s="299"/>
      <c r="BG435" s="301"/>
      <c r="BH435" s="301"/>
      <c r="BI435" s="88"/>
      <c r="BJ435" s="298"/>
      <c r="BK435" s="299"/>
      <c r="BL435" s="299"/>
      <c r="BM435" s="301"/>
      <c r="BN435" s="301"/>
      <c r="BO435" s="88"/>
      <c r="BP435" s="9"/>
      <c r="BS435" s="81"/>
      <c r="BT435" s="81"/>
      <c r="BV435" s="9"/>
      <c r="BY435" s="81"/>
      <c r="BZ435" s="81"/>
      <c r="CB435" s="9"/>
      <c r="CE435" s="81"/>
      <c r="CF435" s="81"/>
      <c r="CH435" s="9"/>
      <c r="CK435" s="81"/>
      <c r="CL435" s="81"/>
      <c r="CR435" s="9"/>
      <c r="CS435" s="9"/>
      <c r="CT435" s="9"/>
      <c r="CU435" s="9"/>
      <c r="CV435" s="9"/>
      <c r="CW435" s="129"/>
      <c r="CX435" s="9"/>
    </row>
    <row r="436" spans="1:102">
      <c r="A436" s="6" t="str">
        <f t="shared" si="61"/>
        <v>00860998</v>
      </c>
      <c r="B436" s="6" t="s">
        <v>1736</v>
      </c>
      <c r="C436" s="6" t="s">
        <v>2091</v>
      </c>
      <c r="D436" s="6">
        <v>427</v>
      </c>
      <c r="E436" s="6">
        <v>86</v>
      </c>
      <c r="F436" s="6" t="s">
        <v>1547</v>
      </c>
      <c r="G436" s="6">
        <v>998</v>
      </c>
      <c r="H436" s="6" t="s">
        <v>1547</v>
      </c>
      <c r="I436" s="33">
        <v>0</v>
      </c>
      <c r="J436" s="88">
        <v>0</v>
      </c>
      <c r="K436" s="89">
        <f t="shared" si="70"/>
        <v>0</v>
      </c>
      <c r="L436" s="88">
        <f>IF(K439&gt;0, K436/K439, 0)</f>
        <v>0</v>
      </c>
      <c r="M436" s="58"/>
      <c r="N436" s="9">
        <f>ROUND(M439*L436,0)</f>
        <v>0</v>
      </c>
      <c r="O436" s="9">
        <v>0</v>
      </c>
      <c r="P436" s="9">
        <f>N436-O436</f>
        <v>0</v>
      </c>
      <c r="Q436" s="40">
        <f t="shared" si="69"/>
        <v>0</v>
      </c>
      <c r="R436" s="9">
        <v>0</v>
      </c>
      <c r="S436" s="9">
        <f t="shared" si="67"/>
        <v>0</v>
      </c>
      <c r="T436" s="90">
        <f t="shared" si="62"/>
        <v>86</v>
      </c>
      <c r="U436" s="90">
        <f t="shared" si="63"/>
        <v>998</v>
      </c>
      <c r="V436" s="373">
        <f t="shared" si="64"/>
        <v>427</v>
      </c>
      <c r="W436" s="90">
        <f t="shared" si="65"/>
        <v>0</v>
      </c>
      <c r="X436" s="90">
        <f t="shared" si="66"/>
        <v>0</v>
      </c>
      <c r="Y436" s="141">
        <f t="shared" si="68"/>
        <v>427</v>
      </c>
      <c r="Z436" s="298">
        <v>86</v>
      </c>
      <c r="AA436" s="299">
        <v>998</v>
      </c>
      <c r="AB436" s="299">
        <v>427</v>
      </c>
      <c r="AC436" s="301">
        <v>0</v>
      </c>
      <c r="AD436" s="301">
        <v>0</v>
      </c>
      <c r="AE436" s="126"/>
      <c r="AF436" s="298"/>
      <c r="AG436" s="299"/>
      <c r="AH436" s="299"/>
      <c r="AI436" s="301"/>
      <c r="AJ436" s="301"/>
      <c r="AK436" s="426"/>
      <c r="AL436" s="298"/>
      <c r="AM436" s="299"/>
      <c r="AN436" s="299"/>
      <c r="AO436" s="301"/>
      <c r="AP436" s="301"/>
      <c r="AQ436" s="426"/>
      <c r="AR436" s="298"/>
      <c r="AS436" s="299"/>
      <c r="AT436" s="299"/>
      <c r="AU436" s="301"/>
      <c r="AV436" s="301"/>
      <c r="AW436" s="88"/>
      <c r="AX436" s="298"/>
      <c r="AY436" s="299"/>
      <c r="AZ436" s="299"/>
      <c r="BA436" s="301"/>
      <c r="BB436" s="301"/>
      <c r="BC436" s="426"/>
      <c r="BD436" s="298"/>
      <c r="BE436" s="299"/>
      <c r="BF436" s="299"/>
      <c r="BG436" s="301"/>
      <c r="BH436" s="301"/>
      <c r="BI436" s="88"/>
      <c r="BJ436" s="298"/>
      <c r="BK436" s="299"/>
      <c r="BL436" s="299"/>
      <c r="BM436" s="301"/>
      <c r="BN436" s="301"/>
      <c r="BO436" s="88"/>
      <c r="BP436" s="9"/>
      <c r="BS436" s="81"/>
      <c r="BT436" s="81"/>
      <c r="BV436" s="9"/>
      <c r="BY436" s="81"/>
      <c r="BZ436" s="81"/>
      <c r="CB436" s="9"/>
      <c r="CE436" s="81"/>
      <c r="CF436" s="81"/>
      <c r="CH436" s="9"/>
      <c r="CK436" s="81"/>
      <c r="CL436" s="81"/>
      <c r="CR436" s="9"/>
      <c r="CS436" s="9"/>
      <c r="CT436" s="9"/>
      <c r="CU436" s="9"/>
      <c r="CV436" s="9"/>
      <c r="CW436" s="129"/>
      <c r="CX436" s="9"/>
    </row>
    <row r="437" spans="1:102">
      <c r="A437" s="6" t="str">
        <f t="shared" si="61"/>
        <v>00860998</v>
      </c>
      <c r="B437" s="6" t="s">
        <v>1736</v>
      </c>
      <c r="C437" s="6" t="s">
        <v>2091</v>
      </c>
      <c r="D437" s="6">
        <v>428</v>
      </c>
      <c r="E437" s="6">
        <v>86</v>
      </c>
      <c r="F437" s="6" t="s">
        <v>1547</v>
      </c>
      <c r="G437" s="6">
        <v>998</v>
      </c>
      <c r="H437" s="6" t="s">
        <v>1547</v>
      </c>
      <c r="I437" s="33">
        <v>0</v>
      </c>
      <c r="J437" s="88">
        <v>0</v>
      </c>
      <c r="K437" s="89">
        <f t="shared" si="70"/>
        <v>0</v>
      </c>
      <c r="L437" s="88">
        <f>IF(K439&gt;0, K437/K439, 0)</f>
        <v>0</v>
      </c>
      <c r="M437" s="58"/>
      <c r="N437" s="9">
        <f>ROUND(M439*L437,0)</f>
        <v>0</v>
      </c>
      <c r="O437" s="9">
        <v>0</v>
      </c>
      <c r="P437" s="9">
        <f>N437-O437</f>
        <v>0</v>
      </c>
      <c r="Q437" s="40">
        <f t="shared" si="69"/>
        <v>0</v>
      </c>
      <c r="R437" s="9">
        <v>0</v>
      </c>
      <c r="S437" s="9">
        <f t="shared" si="67"/>
        <v>0</v>
      </c>
      <c r="T437" s="90">
        <f t="shared" si="62"/>
        <v>86</v>
      </c>
      <c r="U437" s="90">
        <f t="shared" si="63"/>
        <v>998</v>
      </c>
      <c r="V437" s="373">
        <f t="shared" si="64"/>
        <v>428</v>
      </c>
      <c r="W437" s="90">
        <f t="shared" si="65"/>
        <v>0</v>
      </c>
      <c r="X437" s="90">
        <f t="shared" si="66"/>
        <v>0</v>
      </c>
      <c r="Y437" s="141">
        <f t="shared" si="68"/>
        <v>428</v>
      </c>
      <c r="Z437" s="298">
        <v>86</v>
      </c>
      <c r="AA437" s="299">
        <v>998</v>
      </c>
      <c r="AB437" s="299">
        <v>428</v>
      </c>
      <c r="AC437" s="301">
        <v>0</v>
      </c>
      <c r="AD437" s="301">
        <v>0</v>
      </c>
      <c r="AE437" s="126"/>
      <c r="AF437" s="298"/>
      <c r="AG437" s="299"/>
      <c r="AH437" s="299"/>
      <c r="AI437" s="301"/>
      <c r="AJ437" s="301"/>
      <c r="AK437" s="426"/>
      <c r="AL437" s="298"/>
      <c r="AM437" s="299"/>
      <c r="AN437" s="299"/>
      <c r="AO437" s="301"/>
      <c r="AP437" s="301"/>
      <c r="AQ437" s="426"/>
      <c r="AR437" s="298"/>
      <c r="AS437" s="299"/>
      <c r="AT437" s="299"/>
      <c r="AU437" s="301"/>
      <c r="AV437" s="301"/>
      <c r="AW437" s="88"/>
      <c r="AX437" s="298"/>
      <c r="AY437" s="299"/>
      <c r="AZ437" s="299"/>
      <c r="BA437" s="301"/>
      <c r="BB437" s="301"/>
      <c r="BC437" s="426"/>
      <c r="BD437" s="298"/>
      <c r="BE437" s="299"/>
      <c r="BF437" s="299"/>
      <c r="BG437" s="301"/>
      <c r="BH437" s="301"/>
      <c r="BI437" s="88"/>
      <c r="BJ437" s="298"/>
      <c r="BK437" s="299"/>
      <c r="BL437" s="299"/>
      <c r="BM437" s="301"/>
      <c r="BN437" s="301"/>
      <c r="BO437" s="88"/>
      <c r="BP437" s="9"/>
      <c r="BS437" s="81"/>
      <c r="BT437" s="81"/>
      <c r="BV437" s="9"/>
      <c r="BY437" s="81"/>
      <c r="BZ437" s="81"/>
      <c r="CB437" s="9"/>
      <c r="CE437" s="81"/>
      <c r="CF437" s="81"/>
      <c r="CH437" s="9"/>
      <c r="CK437" s="81"/>
      <c r="CL437" s="81"/>
      <c r="CR437" s="9"/>
      <c r="CS437" s="9"/>
      <c r="CT437" s="9"/>
      <c r="CU437" s="9"/>
      <c r="CV437" s="9"/>
      <c r="CW437" s="129"/>
      <c r="CX437" s="9"/>
    </row>
    <row r="438" spans="1:102">
      <c r="A438" s="6" t="str">
        <f t="shared" si="61"/>
        <v>00860998</v>
      </c>
      <c r="B438" s="6" t="s">
        <v>1736</v>
      </c>
      <c r="C438" s="6" t="s">
        <v>2091</v>
      </c>
      <c r="D438" s="6">
        <v>429</v>
      </c>
      <c r="E438" s="6">
        <v>86</v>
      </c>
      <c r="F438" s="6" t="s">
        <v>1547</v>
      </c>
      <c r="G438" s="6">
        <v>998</v>
      </c>
      <c r="H438" s="6" t="s">
        <v>1547</v>
      </c>
      <c r="I438" s="33">
        <v>0</v>
      </c>
      <c r="J438" s="88">
        <v>0</v>
      </c>
      <c r="K438" s="89">
        <f t="shared" si="70"/>
        <v>0</v>
      </c>
      <c r="L438" s="88">
        <f>IF(K439&gt;0, K438/K439, 0)</f>
        <v>0</v>
      </c>
      <c r="M438" s="58"/>
      <c r="N438" s="9">
        <f>ROUND(M439*L438,0)</f>
        <v>0</v>
      </c>
      <c r="O438" s="9">
        <v>0</v>
      </c>
      <c r="P438" s="9">
        <f>N438-O438</f>
        <v>0</v>
      </c>
      <c r="Q438" s="40">
        <f t="shared" si="69"/>
        <v>0</v>
      </c>
      <c r="R438" s="9">
        <v>0</v>
      </c>
      <c r="S438" s="9">
        <f t="shared" si="67"/>
        <v>0</v>
      </c>
      <c r="T438" s="90">
        <f t="shared" si="62"/>
        <v>86</v>
      </c>
      <c r="U438" s="90">
        <f t="shared" si="63"/>
        <v>998</v>
      </c>
      <c r="V438" s="373">
        <f t="shared" si="64"/>
        <v>429</v>
      </c>
      <c r="W438" s="90">
        <f t="shared" si="65"/>
        <v>0</v>
      </c>
      <c r="X438" s="90">
        <f t="shared" si="66"/>
        <v>0</v>
      </c>
      <c r="Y438" s="141">
        <f t="shared" si="68"/>
        <v>429</v>
      </c>
      <c r="Z438" s="298">
        <v>86</v>
      </c>
      <c r="AA438" s="299">
        <v>998</v>
      </c>
      <c r="AB438" s="299">
        <v>429</v>
      </c>
      <c r="AC438" s="301">
        <v>0</v>
      </c>
      <c r="AD438" s="301">
        <v>0</v>
      </c>
      <c r="AE438" s="126"/>
      <c r="AF438" s="298"/>
      <c r="AG438" s="299"/>
      <c r="AH438" s="299"/>
      <c r="AI438" s="301"/>
      <c r="AJ438" s="301"/>
      <c r="AK438" s="426"/>
      <c r="AL438" s="298"/>
      <c r="AM438" s="299"/>
      <c r="AN438" s="299"/>
      <c r="AO438" s="301"/>
      <c r="AP438" s="301"/>
      <c r="AQ438" s="426"/>
      <c r="AR438" s="298"/>
      <c r="AS438" s="299"/>
      <c r="AT438" s="299"/>
      <c r="AU438" s="301"/>
      <c r="AV438" s="301"/>
      <c r="AW438" s="88"/>
      <c r="AX438" s="298"/>
      <c r="AY438" s="299"/>
      <c r="AZ438" s="299"/>
      <c r="BA438" s="301"/>
      <c r="BB438" s="301"/>
      <c r="BC438" s="426"/>
      <c r="BD438" s="298"/>
      <c r="BE438" s="299"/>
      <c r="BF438" s="299"/>
      <c r="BG438" s="301"/>
      <c r="BH438" s="301"/>
      <c r="BI438" s="88"/>
      <c r="BJ438" s="298"/>
      <c r="BK438" s="299"/>
      <c r="BL438" s="299"/>
      <c r="BM438" s="301"/>
      <c r="BN438" s="301"/>
      <c r="BO438" s="88"/>
      <c r="BP438" s="9"/>
      <c r="BS438" s="81"/>
      <c r="BT438" s="81"/>
      <c r="BV438" s="9"/>
      <c r="BY438" s="81"/>
      <c r="BZ438" s="81"/>
      <c r="CB438" s="9"/>
      <c r="CE438" s="81"/>
      <c r="CF438" s="81"/>
      <c r="CH438" s="9"/>
      <c r="CK438" s="81"/>
      <c r="CL438" s="81"/>
      <c r="CR438" s="9"/>
      <c r="CS438" s="9"/>
      <c r="CT438" s="9"/>
      <c r="CU438" s="9"/>
      <c r="CV438" s="9"/>
      <c r="CW438" s="129"/>
      <c r="CX438" s="9"/>
    </row>
    <row r="439" spans="1:102">
      <c r="A439" s="6" t="str">
        <f t="shared" si="61"/>
        <v>00860999</v>
      </c>
      <c r="B439" s="6" t="s">
        <v>1736</v>
      </c>
      <c r="C439" s="6" t="s">
        <v>2092</v>
      </c>
      <c r="D439" s="6">
        <v>430</v>
      </c>
      <c r="E439" s="10">
        <v>86</v>
      </c>
      <c r="F439" s="10" t="s">
        <v>1205</v>
      </c>
      <c r="G439" s="10">
        <v>999</v>
      </c>
      <c r="H439" s="10" t="s">
        <v>593</v>
      </c>
      <c r="I439" s="92">
        <v>22559015.459999997</v>
      </c>
      <c r="J439" s="472">
        <v>1</v>
      </c>
      <c r="K439" s="53">
        <f>SUM(K435:K438)</f>
        <v>23097746.730000004</v>
      </c>
      <c r="L439" s="91">
        <f>SUM(L435:L438)</f>
        <v>1</v>
      </c>
      <c r="M439" s="79">
        <f>VLOOKUP(E439,town351,24)</f>
        <v>14936633</v>
      </c>
      <c r="N439" s="79">
        <f>SUM(N435:N438)</f>
        <v>14936633</v>
      </c>
      <c r="O439" s="79">
        <v>13894543</v>
      </c>
      <c r="P439" s="79">
        <f>SUM(P435:P438)</f>
        <v>1042090</v>
      </c>
      <c r="Q439" s="39">
        <f t="shared" si="69"/>
        <v>7.4999947821241761</v>
      </c>
      <c r="R439" s="9">
        <v>1591</v>
      </c>
      <c r="S439" s="9">
        <f t="shared" si="67"/>
        <v>1580</v>
      </c>
      <c r="T439" s="90">
        <f t="shared" si="62"/>
        <v>86</v>
      </c>
      <c r="U439" s="90">
        <f t="shared" si="63"/>
        <v>999</v>
      </c>
      <c r="V439" s="373">
        <f t="shared" si="64"/>
        <v>430</v>
      </c>
      <c r="W439" s="90">
        <f t="shared" si="65"/>
        <v>1580</v>
      </c>
      <c r="X439" s="90">
        <f t="shared" si="66"/>
        <v>23097746.730000004</v>
      </c>
      <c r="Y439" s="141">
        <f t="shared" si="68"/>
        <v>430</v>
      </c>
      <c r="Z439" s="298">
        <v>86</v>
      </c>
      <c r="AA439" s="299">
        <v>999</v>
      </c>
      <c r="AB439" s="299">
        <v>430</v>
      </c>
      <c r="AC439" s="301">
        <v>1580</v>
      </c>
      <c r="AD439" s="301">
        <v>23097746.730000004</v>
      </c>
      <c r="AE439" s="126"/>
      <c r="AF439" s="298"/>
      <c r="AG439" s="299"/>
      <c r="AH439" s="299"/>
      <c r="AI439" s="301"/>
      <c r="AJ439" s="301"/>
      <c r="AK439" s="426"/>
      <c r="AL439" s="298"/>
      <c r="AM439" s="299"/>
      <c r="AN439" s="299"/>
      <c r="AO439" s="301"/>
      <c r="AP439" s="301"/>
      <c r="AQ439" s="426"/>
      <c r="AR439" s="298"/>
      <c r="AS439" s="299"/>
      <c r="AT439" s="299"/>
      <c r="AU439" s="301"/>
      <c r="AV439" s="301"/>
      <c r="AW439" s="91"/>
      <c r="AX439" s="298"/>
      <c r="AY439" s="299"/>
      <c r="AZ439" s="299"/>
      <c r="BA439" s="301"/>
      <c r="BB439" s="301"/>
      <c r="BC439" s="426"/>
      <c r="BD439" s="298"/>
      <c r="BE439" s="299"/>
      <c r="BF439" s="299"/>
      <c r="BG439" s="301"/>
      <c r="BH439" s="301"/>
      <c r="BI439" s="91"/>
      <c r="BJ439" s="298"/>
      <c r="BK439" s="299"/>
      <c r="BL439" s="299"/>
      <c r="BM439" s="301"/>
      <c r="BN439" s="301"/>
      <c r="BO439" s="91"/>
      <c r="BP439" s="9"/>
      <c r="BS439" s="81"/>
      <c r="BT439" s="81"/>
      <c r="BV439" s="9"/>
      <c r="BY439" s="81"/>
      <c r="BZ439" s="81"/>
      <c r="CB439" s="9"/>
      <c r="CE439" s="81"/>
      <c r="CF439" s="81"/>
      <c r="CH439" s="9"/>
      <c r="CK439" s="81"/>
      <c r="CL439" s="81"/>
      <c r="CR439" s="9"/>
      <c r="CS439" s="9"/>
      <c r="CT439" s="9"/>
      <c r="CU439" s="9"/>
      <c r="CV439" s="9"/>
      <c r="CW439" s="129"/>
      <c r="CX439" s="9"/>
    </row>
    <row r="440" spans="1:102">
      <c r="A440" s="6" t="str">
        <f t="shared" si="61"/>
        <v>00870087</v>
      </c>
      <c r="B440" s="6" t="s">
        <v>1737</v>
      </c>
      <c r="C440" s="6" t="s">
        <v>1737</v>
      </c>
      <c r="D440" s="6">
        <v>431</v>
      </c>
      <c r="E440" s="6">
        <v>87</v>
      </c>
      <c r="F440" s="6" t="s">
        <v>1206</v>
      </c>
      <c r="G440" s="6">
        <v>87</v>
      </c>
      <c r="H440" s="6" t="s">
        <v>768</v>
      </c>
      <c r="I440" s="33">
        <v>33881345.879999995</v>
      </c>
      <c r="J440" s="88">
        <v>1</v>
      </c>
      <c r="K440" s="89">
        <f>X440</f>
        <v>34416160.82</v>
      </c>
      <c r="L440" s="88">
        <f>IF(K444&gt;0, K440/K444, 0)</f>
        <v>1</v>
      </c>
      <c r="M440" s="58"/>
      <c r="N440" s="9">
        <f>ROUND(M444*L440,0)</f>
        <v>19663608</v>
      </c>
      <c r="O440" s="9">
        <v>18843898</v>
      </c>
      <c r="P440" s="9">
        <f>N440-O440</f>
        <v>819710</v>
      </c>
      <c r="Q440" s="40">
        <f t="shared" si="69"/>
        <v>4.3500023190530959</v>
      </c>
      <c r="R440" s="9">
        <v>2552</v>
      </c>
      <c r="S440" s="9">
        <f t="shared" si="67"/>
        <v>2522</v>
      </c>
      <c r="T440" s="90">
        <f t="shared" si="62"/>
        <v>87</v>
      </c>
      <c r="U440" s="90">
        <f t="shared" si="63"/>
        <v>87</v>
      </c>
      <c r="V440" s="373">
        <f t="shared" si="64"/>
        <v>431</v>
      </c>
      <c r="W440" s="90">
        <f t="shared" si="65"/>
        <v>2522</v>
      </c>
      <c r="X440" s="90">
        <f t="shared" si="66"/>
        <v>34416160.82</v>
      </c>
      <c r="Y440" s="141">
        <f t="shared" si="68"/>
        <v>431</v>
      </c>
      <c r="Z440" s="298">
        <v>87</v>
      </c>
      <c r="AA440" s="299">
        <v>87</v>
      </c>
      <c r="AB440" s="299">
        <v>431</v>
      </c>
      <c r="AC440" s="301">
        <v>2522</v>
      </c>
      <c r="AD440" s="301">
        <v>34416160.82</v>
      </c>
      <c r="AE440" s="126"/>
      <c r="AF440" s="298"/>
      <c r="AG440" s="299"/>
      <c r="AH440" s="299"/>
      <c r="AI440" s="301"/>
      <c r="AJ440" s="301"/>
      <c r="AK440" s="426"/>
      <c r="AL440" s="298"/>
      <c r="AM440" s="299"/>
      <c r="AN440" s="299"/>
      <c r="AO440" s="301"/>
      <c r="AP440" s="301"/>
      <c r="AQ440" s="426"/>
      <c r="AR440" s="298"/>
      <c r="AS440" s="299"/>
      <c r="AT440" s="299"/>
      <c r="AU440" s="301"/>
      <c r="AV440" s="301"/>
      <c r="AW440" s="88"/>
      <c r="AX440" s="298"/>
      <c r="AY440" s="299"/>
      <c r="AZ440" s="299"/>
      <c r="BA440" s="301"/>
      <c r="BB440" s="301"/>
      <c r="BC440" s="426"/>
      <c r="BD440" s="298"/>
      <c r="BE440" s="299"/>
      <c r="BF440" s="299"/>
      <c r="BG440" s="301"/>
      <c r="BH440" s="301"/>
      <c r="BI440" s="88"/>
      <c r="BJ440" s="298"/>
      <c r="BK440" s="299"/>
      <c r="BL440" s="299"/>
      <c r="BM440" s="301"/>
      <c r="BN440" s="301"/>
      <c r="BO440" s="88"/>
      <c r="BP440" s="9"/>
      <c r="BS440" s="81"/>
      <c r="BT440" s="81"/>
      <c r="BV440" s="9"/>
      <c r="BY440" s="81"/>
      <c r="BZ440" s="81"/>
      <c r="CB440" s="9"/>
      <c r="CE440" s="81"/>
      <c r="CF440" s="81"/>
      <c r="CH440" s="9"/>
      <c r="CK440" s="81"/>
      <c r="CL440" s="81"/>
      <c r="CR440" s="9"/>
      <c r="CS440" s="9"/>
      <c r="CT440" s="9"/>
      <c r="CU440" s="9"/>
      <c r="CV440" s="9"/>
      <c r="CW440" s="129"/>
      <c r="CX440" s="9"/>
    </row>
    <row r="441" spans="1:102">
      <c r="A441" s="6" t="str">
        <f t="shared" si="61"/>
        <v>00870998</v>
      </c>
      <c r="B441" s="6" t="s">
        <v>1737</v>
      </c>
      <c r="C441" s="6" t="s">
        <v>2091</v>
      </c>
      <c r="D441" s="6">
        <v>432</v>
      </c>
      <c r="E441" s="6">
        <v>87</v>
      </c>
      <c r="F441" s="6" t="s">
        <v>1547</v>
      </c>
      <c r="G441" s="6">
        <v>998</v>
      </c>
      <c r="H441" s="6" t="s">
        <v>1547</v>
      </c>
      <c r="I441" s="33">
        <v>0</v>
      </c>
      <c r="J441" s="88">
        <v>0</v>
      </c>
      <c r="K441" s="89">
        <f t="shared" si="70"/>
        <v>0</v>
      </c>
      <c r="L441" s="88">
        <f>IF(K444&gt;0, K441/K444, 0)</f>
        <v>0</v>
      </c>
      <c r="M441" s="58"/>
      <c r="N441" s="9">
        <f>ROUND(M444*L441,0)</f>
        <v>0</v>
      </c>
      <c r="O441" s="9">
        <v>0</v>
      </c>
      <c r="P441" s="9">
        <f>N441-O441</f>
        <v>0</v>
      </c>
      <c r="Q441" s="40">
        <f t="shared" si="69"/>
        <v>0</v>
      </c>
      <c r="R441" s="9">
        <v>0</v>
      </c>
      <c r="S441" s="9">
        <f t="shared" si="67"/>
        <v>0</v>
      </c>
      <c r="T441" s="90">
        <f t="shared" si="62"/>
        <v>87</v>
      </c>
      <c r="U441" s="90">
        <f t="shared" si="63"/>
        <v>998</v>
      </c>
      <c r="V441" s="373">
        <f t="shared" si="64"/>
        <v>432</v>
      </c>
      <c r="W441" s="90">
        <f t="shared" si="65"/>
        <v>0</v>
      </c>
      <c r="X441" s="90">
        <f t="shared" si="66"/>
        <v>0</v>
      </c>
      <c r="Y441" s="141">
        <f t="shared" si="68"/>
        <v>432</v>
      </c>
      <c r="Z441" s="298">
        <v>87</v>
      </c>
      <c r="AA441" s="299">
        <v>998</v>
      </c>
      <c r="AB441" s="299">
        <v>432</v>
      </c>
      <c r="AC441" s="301">
        <v>0</v>
      </c>
      <c r="AD441" s="301">
        <v>0</v>
      </c>
      <c r="AE441" s="126"/>
      <c r="AF441" s="298"/>
      <c r="AG441" s="299"/>
      <c r="AH441" s="299"/>
      <c r="AI441" s="301"/>
      <c r="AJ441" s="301"/>
      <c r="AK441" s="426"/>
      <c r="AL441" s="298"/>
      <c r="AM441" s="299"/>
      <c r="AN441" s="299"/>
      <c r="AO441" s="301"/>
      <c r="AP441" s="301"/>
      <c r="AQ441" s="426"/>
      <c r="AR441" s="298"/>
      <c r="AS441" s="299"/>
      <c r="AT441" s="299"/>
      <c r="AU441" s="301"/>
      <c r="AV441" s="301"/>
      <c r="AW441" s="88"/>
      <c r="AX441" s="298"/>
      <c r="AY441" s="299"/>
      <c r="AZ441" s="299"/>
      <c r="BA441" s="301"/>
      <c r="BB441" s="301"/>
      <c r="BC441" s="426"/>
      <c r="BD441" s="298"/>
      <c r="BE441" s="299"/>
      <c r="BF441" s="299"/>
      <c r="BG441" s="301"/>
      <c r="BH441" s="301"/>
      <c r="BI441" s="88"/>
      <c r="BJ441" s="298"/>
      <c r="BK441" s="299"/>
      <c r="BL441" s="299"/>
      <c r="BM441" s="301"/>
      <c r="BN441" s="301"/>
      <c r="BO441" s="88"/>
      <c r="BP441" s="9"/>
      <c r="BS441" s="81"/>
      <c r="BT441" s="81"/>
      <c r="BV441" s="9"/>
      <c r="BY441" s="81"/>
      <c r="BZ441" s="81"/>
      <c r="CB441" s="9"/>
      <c r="CE441" s="81"/>
      <c r="CF441" s="81"/>
      <c r="CH441" s="9"/>
      <c r="CK441" s="81"/>
      <c r="CL441" s="81"/>
      <c r="CR441" s="9"/>
      <c r="CS441" s="9"/>
      <c r="CT441" s="9"/>
      <c r="CU441" s="9"/>
      <c r="CV441" s="9"/>
      <c r="CW441" s="129"/>
      <c r="CX441" s="9"/>
    </row>
    <row r="442" spans="1:102">
      <c r="A442" s="6" t="str">
        <f t="shared" si="61"/>
        <v>00870998</v>
      </c>
      <c r="B442" s="6" t="s">
        <v>1737</v>
      </c>
      <c r="C442" s="6" t="s">
        <v>2091</v>
      </c>
      <c r="D442" s="6">
        <v>433</v>
      </c>
      <c r="E442" s="6">
        <v>87</v>
      </c>
      <c r="F442" s="6" t="s">
        <v>1547</v>
      </c>
      <c r="G442" s="6">
        <v>998</v>
      </c>
      <c r="H442" s="6" t="s">
        <v>1547</v>
      </c>
      <c r="I442" s="33">
        <v>0</v>
      </c>
      <c r="J442" s="88">
        <v>0</v>
      </c>
      <c r="K442" s="89">
        <f t="shared" si="70"/>
        <v>0</v>
      </c>
      <c r="L442" s="88">
        <f>IF(K444&gt;0, K442/K444, 0)</f>
        <v>0</v>
      </c>
      <c r="M442" s="58"/>
      <c r="N442" s="9">
        <f>ROUND(M444*L442,0)</f>
        <v>0</v>
      </c>
      <c r="O442" s="9">
        <v>0</v>
      </c>
      <c r="P442" s="9">
        <f>N442-O442</f>
        <v>0</v>
      </c>
      <c r="Q442" s="40">
        <f t="shared" si="69"/>
        <v>0</v>
      </c>
      <c r="R442" s="9">
        <v>0</v>
      </c>
      <c r="S442" s="9">
        <f t="shared" si="67"/>
        <v>0</v>
      </c>
      <c r="T442" s="90">
        <f t="shared" si="62"/>
        <v>87</v>
      </c>
      <c r="U442" s="90">
        <f t="shared" si="63"/>
        <v>998</v>
      </c>
      <c r="V442" s="373">
        <f t="shared" si="64"/>
        <v>433</v>
      </c>
      <c r="W442" s="90">
        <f t="shared" si="65"/>
        <v>0</v>
      </c>
      <c r="X442" s="90">
        <f t="shared" si="66"/>
        <v>0</v>
      </c>
      <c r="Y442" s="141">
        <f t="shared" si="68"/>
        <v>433</v>
      </c>
      <c r="Z442" s="298">
        <v>87</v>
      </c>
      <c r="AA442" s="299">
        <v>998</v>
      </c>
      <c r="AB442" s="299">
        <v>433</v>
      </c>
      <c r="AC442" s="301">
        <v>0</v>
      </c>
      <c r="AD442" s="301">
        <v>0</v>
      </c>
      <c r="AE442" s="126"/>
      <c r="AF442" s="298"/>
      <c r="AG442" s="299"/>
      <c r="AH442" s="299"/>
      <c r="AI442" s="301"/>
      <c r="AJ442" s="301"/>
      <c r="AK442" s="426"/>
      <c r="AL442" s="298"/>
      <c r="AM442" s="299"/>
      <c r="AN442" s="299"/>
      <c r="AO442" s="301"/>
      <c r="AP442" s="301"/>
      <c r="AQ442" s="426"/>
      <c r="AR442" s="298"/>
      <c r="AS442" s="299"/>
      <c r="AT442" s="299"/>
      <c r="AU442" s="301"/>
      <c r="AV442" s="301"/>
      <c r="AW442" s="88"/>
      <c r="AX442" s="298"/>
      <c r="AY442" s="299"/>
      <c r="AZ442" s="299"/>
      <c r="BA442" s="301"/>
      <c r="BB442" s="301"/>
      <c r="BC442" s="426"/>
      <c r="BD442" s="298"/>
      <c r="BE442" s="299"/>
      <c r="BF442" s="299"/>
      <c r="BG442" s="301"/>
      <c r="BH442" s="301"/>
      <c r="BI442" s="88"/>
      <c r="BJ442" s="298"/>
      <c r="BK442" s="299"/>
      <c r="BL442" s="299"/>
      <c r="BM442" s="301"/>
      <c r="BN442" s="301"/>
      <c r="BO442" s="88"/>
      <c r="BP442" s="9"/>
      <c r="BS442" s="81"/>
      <c r="BT442" s="81"/>
      <c r="BV442" s="9"/>
      <c r="BY442" s="81"/>
      <c r="BZ442" s="81"/>
      <c r="CB442" s="9"/>
      <c r="CE442" s="81"/>
      <c r="CF442" s="81"/>
      <c r="CH442" s="9"/>
      <c r="CK442" s="81"/>
      <c r="CL442" s="81"/>
      <c r="CR442" s="9"/>
      <c r="CS442" s="9"/>
      <c r="CT442" s="9"/>
      <c r="CU442" s="9"/>
      <c r="CV442" s="9"/>
      <c r="CW442" s="129"/>
      <c r="CX442" s="9"/>
    </row>
    <row r="443" spans="1:102">
      <c r="A443" s="6" t="str">
        <f t="shared" si="61"/>
        <v>00870998</v>
      </c>
      <c r="B443" s="6" t="s">
        <v>1737</v>
      </c>
      <c r="C443" s="6" t="s">
        <v>2091</v>
      </c>
      <c r="D443" s="6">
        <v>434</v>
      </c>
      <c r="E443" s="6">
        <v>87</v>
      </c>
      <c r="F443" s="6" t="s">
        <v>1547</v>
      </c>
      <c r="G443" s="6">
        <v>998</v>
      </c>
      <c r="H443" s="6" t="s">
        <v>1547</v>
      </c>
      <c r="I443" s="33">
        <v>0</v>
      </c>
      <c r="J443" s="88">
        <v>0</v>
      </c>
      <c r="K443" s="89">
        <f t="shared" si="70"/>
        <v>0</v>
      </c>
      <c r="L443" s="88">
        <f>IF(K444&gt;0, K443/K444, 0)</f>
        <v>0</v>
      </c>
      <c r="M443" s="58"/>
      <c r="N443" s="9">
        <f>ROUND(M444*L443,0)</f>
        <v>0</v>
      </c>
      <c r="O443" s="9">
        <v>0</v>
      </c>
      <c r="P443" s="9">
        <f>N443-O443</f>
        <v>0</v>
      </c>
      <c r="Q443" s="40">
        <f t="shared" si="69"/>
        <v>0</v>
      </c>
      <c r="R443" s="9">
        <v>0</v>
      </c>
      <c r="S443" s="9">
        <f t="shared" si="67"/>
        <v>0</v>
      </c>
      <c r="T443" s="90">
        <f t="shared" si="62"/>
        <v>87</v>
      </c>
      <c r="U443" s="90">
        <f t="shared" si="63"/>
        <v>998</v>
      </c>
      <c r="V443" s="373">
        <f t="shared" si="64"/>
        <v>434</v>
      </c>
      <c r="W443" s="90">
        <f t="shared" si="65"/>
        <v>0</v>
      </c>
      <c r="X443" s="90">
        <f t="shared" si="66"/>
        <v>0</v>
      </c>
      <c r="Y443" s="141">
        <f t="shared" si="68"/>
        <v>434</v>
      </c>
      <c r="Z443" s="298">
        <v>87</v>
      </c>
      <c r="AA443" s="299">
        <v>998</v>
      </c>
      <c r="AB443" s="299">
        <v>434</v>
      </c>
      <c r="AC443" s="301">
        <v>0</v>
      </c>
      <c r="AD443" s="301">
        <v>0</v>
      </c>
      <c r="AE443" s="126"/>
      <c r="AF443" s="298"/>
      <c r="AG443" s="299"/>
      <c r="AH443" s="299"/>
      <c r="AI443" s="301"/>
      <c r="AJ443" s="301"/>
      <c r="AK443" s="426"/>
      <c r="AL443" s="298"/>
      <c r="AM443" s="299"/>
      <c r="AN443" s="299"/>
      <c r="AO443" s="301"/>
      <c r="AP443" s="301"/>
      <c r="AQ443" s="426"/>
      <c r="AR443" s="298"/>
      <c r="AS443" s="299"/>
      <c r="AT443" s="299"/>
      <c r="AU443" s="301"/>
      <c r="AV443" s="301"/>
      <c r="AW443" s="88"/>
      <c r="AX443" s="298"/>
      <c r="AY443" s="299"/>
      <c r="AZ443" s="299"/>
      <c r="BA443" s="301"/>
      <c r="BB443" s="301"/>
      <c r="BC443" s="426"/>
      <c r="BD443" s="298"/>
      <c r="BE443" s="299"/>
      <c r="BF443" s="299"/>
      <c r="BG443" s="301"/>
      <c r="BH443" s="301"/>
      <c r="BI443" s="88"/>
      <c r="BJ443" s="298"/>
      <c r="BK443" s="299"/>
      <c r="BL443" s="299"/>
      <c r="BM443" s="301"/>
      <c r="BN443" s="301"/>
      <c r="BO443" s="88"/>
      <c r="BP443" s="9"/>
      <c r="BS443" s="81"/>
      <c r="BT443" s="81"/>
      <c r="BV443" s="9"/>
      <c r="BY443" s="81"/>
      <c r="BZ443" s="81"/>
      <c r="CB443" s="9"/>
      <c r="CE443" s="81"/>
      <c r="CF443" s="81"/>
      <c r="CH443" s="9"/>
      <c r="CK443" s="81"/>
      <c r="CL443" s="81"/>
      <c r="CR443" s="9"/>
      <c r="CS443" s="9"/>
      <c r="CT443" s="9"/>
      <c r="CU443" s="9"/>
      <c r="CV443" s="9"/>
      <c r="CW443" s="129"/>
      <c r="CX443" s="9"/>
    </row>
    <row r="444" spans="1:102">
      <c r="A444" s="6" t="str">
        <f t="shared" si="61"/>
        <v>00870999</v>
      </c>
      <c r="B444" s="6" t="s">
        <v>1737</v>
      </c>
      <c r="C444" s="6" t="s">
        <v>2092</v>
      </c>
      <c r="D444" s="6">
        <v>435</v>
      </c>
      <c r="E444" s="10">
        <v>87</v>
      </c>
      <c r="F444" s="10" t="s">
        <v>1206</v>
      </c>
      <c r="G444" s="10">
        <v>999</v>
      </c>
      <c r="H444" s="10" t="s">
        <v>593</v>
      </c>
      <c r="I444" s="92">
        <v>33881345.879999995</v>
      </c>
      <c r="J444" s="472">
        <v>1</v>
      </c>
      <c r="K444" s="53">
        <f>SUM(K440:K443)</f>
        <v>34416160.82</v>
      </c>
      <c r="L444" s="91">
        <f>SUM(L440:L443)</f>
        <v>1</v>
      </c>
      <c r="M444" s="79">
        <f>VLOOKUP(E444,town351,24)</f>
        <v>19663608</v>
      </c>
      <c r="N444" s="79">
        <f>SUM(N440:N443)</f>
        <v>19663608</v>
      </c>
      <c r="O444" s="79">
        <v>18843898</v>
      </c>
      <c r="P444" s="79">
        <f>SUM(P440:P443)</f>
        <v>819710</v>
      </c>
      <c r="Q444" s="39">
        <f t="shared" si="69"/>
        <v>4.3500023190530959</v>
      </c>
      <c r="R444" s="9">
        <v>2552</v>
      </c>
      <c r="S444" s="9">
        <f t="shared" si="67"/>
        <v>2522</v>
      </c>
      <c r="T444" s="90">
        <f t="shared" si="62"/>
        <v>87</v>
      </c>
      <c r="U444" s="90">
        <f t="shared" si="63"/>
        <v>999</v>
      </c>
      <c r="V444" s="373">
        <f t="shared" si="64"/>
        <v>435</v>
      </c>
      <c r="W444" s="90">
        <f t="shared" si="65"/>
        <v>2522</v>
      </c>
      <c r="X444" s="90">
        <f t="shared" si="66"/>
        <v>34416160.82</v>
      </c>
      <c r="Y444" s="141">
        <f t="shared" si="68"/>
        <v>435</v>
      </c>
      <c r="Z444" s="298">
        <v>87</v>
      </c>
      <c r="AA444" s="299">
        <v>999</v>
      </c>
      <c r="AB444" s="299">
        <v>435</v>
      </c>
      <c r="AC444" s="301">
        <v>2522</v>
      </c>
      <c r="AD444" s="301">
        <v>34416160.82</v>
      </c>
      <c r="AE444" s="126"/>
      <c r="AF444" s="298"/>
      <c r="AG444" s="299"/>
      <c r="AH444" s="299"/>
      <c r="AI444" s="301"/>
      <c r="AJ444" s="301"/>
      <c r="AK444" s="426"/>
      <c r="AL444" s="298"/>
      <c r="AM444" s="299"/>
      <c r="AN444" s="299"/>
      <c r="AO444" s="301"/>
      <c r="AP444" s="301"/>
      <c r="AQ444" s="426"/>
      <c r="AR444" s="298"/>
      <c r="AS444" s="299"/>
      <c r="AT444" s="299"/>
      <c r="AU444" s="301"/>
      <c r="AV444" s="301"/>
      <c r="AW444" s="91"/>
      <c r="AX444" s="298"/>
      <c r="AY444" s="299"/>
      <c r="AZ444" s="299"/>
      <c r="BA444" s="301"/>
      <c r="BB444" s="301"/>
      <c r="BC444" s="426"/>
      <c r="BD444" s="298"/>
      <c r="BE444" s="299"/>
      <c r="BF444" s="299"/>
      <c r="BG444" s="301"/>
      <c r="BH444" s="301"/>
      <c r="BI444" s="91"/>
      <c r="BJ444" s="298"/>
      <c r="BK444" s="299"/>
      <c r="BL444" s="299"/>
      <c r="BM444" s="301"/>
      <c r="BN444" s="301"/>
      <c r="BO444" s="91"/>
      <c r="BP444" s="9"/>
      <c r="BS444" s="81"/>
      <c r="BT444" s="81"/>
      <c r="BV444" s="9"/>
      <c r="BY444" s="81"/>
      <c r="BZ444" s="81"/>
      <c r="CB444" s="9"/>
      <c r="CE444" s="81"/>
      <c r="CF444" s="81"/>
      <c r="CH444" s="9"/>
      <c r="CK444" s="81"/>
      <c r="CL444" s="81"/>
      <c r="CR444" s="9"/>
      <c r="CS444" s="9"/>
      <c r="CT444" s="9"/>
      <c r="CU444" s="9"/>
      <c r="CV444" s="9"/>
      <c r="CW444" s="129"/>
      <c r="CX444" s="9"/>
    </row>
    <row r="445" spans="1:102">
      <c r="A445" s="6" t="str">
        <f t="shared" si="61"/>
        <v>00880088</v>
      </c>
      <c r="B445" s="6" t="s">
        <v>1738</v>
      </c>
      <c r="C445" s="6" t="s">
        <v>1738</v>
      </c>
      <c r="D445" s="6">
        <v>436</v>
      </c>
      <c r="E445" s="6">
        <v>88</v>
      </c>
      <c r="F445" s="6" t="s">
        <v>1207</v>
      </c>
      <c r="G445" s="6">
        <v>88</v>
      </c>
      <c r="H445" s="6" t="s">
        <v>769</v>
      </c>
      <c r="I445" s="33">
        <v>43192301.489999995</v>
      </c>
      <c r="J445" s="88">
        <v>0.96077232305984028</v>
      </c>
      <c r="K445" s="89">
        <f>X445</f>
        <v>44308894.519999996</v>
      </c>
      <c r="L445" s="88">
        <f>IF(K449&gt;0, K445/K449, 0)</f>
        <v>0.95445614594591355</v>
      </c>
      <c r="M445" s="58"/>
      <c r="N445" s="9">
        <f>ROUND(M449*L445,0)</f>
        <v>34692019</v>
      </c>
      <c r="O445" s="9">
        <v>33376275</v>
      </c>
      <c r="P445" s="9">
        <f>N445-O445</f>
        <v>1315744</v>
      </c>
      <c r="Q445" s="40">
        <f t="shared" si="69"/>
        <v>3.9421535207269236</v>
      </c>
      <c r="R445" s="9">
        <v>3418</v>
      </c>
      <c r="S445" s="9">
        <f t="shared" si="67"/>
        <v>3404</v>
      </c>
      <c r="T445" s="90">
        <f t="shared" si="62"/>
        <v>88</v>
      </c>
      <c r="U445" s="90">
        <f t="shared" si="63"/>
        <v>88</v>
      </c>
      <c r="V445" s="373">
        <f t="shared" si="64"/>
        <v>436</v>
      </c>
      <c r="W445" s="90">
        <f t="shared" si="65"/>
        <v>3404</v>
      </c>
      <c r="X445" s="90">
        <f t="shared" si="66"/>
        <v>44308894.519999996</v>
      </c>
      <c r="Y445" s="141">
        <f t="shared" si="68"/>
        <v>436</v>
      </c>
      <c r="Z445" s="298">
        <v>88</v>
      </c>
      <c r="AA445" s="299">
        <v>88</v>
      </c>
      <c r="AB445" s="299">
        <v>436</v>
      </c>
      <c r="AC445" s="301">
        <v>3404</v>
      </c>
      <c r="AD445" s="301">
        <v>44308894.519999996</v>
      </c>
      <c r="AE445" s="126"/>
      <c r="AF445" s="298"/>
      <c r="AG445" s="299"/>
      <c r="AH445" s="299"/>
      <c r="AI445" s="301"/>
      <c r="AJ445" s="301"/>
      <c r="AK445" s="426"/>
      <c r="AL445" s="298"/>
      <c r="AM445" s="299"/>
      <c r="AN445" s="299"/>
      <c r="AO445" s="301"/>
      <c r="AP445" s="301"/>
      <c r="AQ445" s="426"/>
      <c r="AR445" s="298"/>
      <c r="AS445" s="299"/>
      <c r="AT445" s="299"/>
      <c r="AU445" s="301"/>
      <c r="AV445" s="301"/>
      <c r="AW445" s="88"/>
      <c r="AX445" s="298"/>
      <c r="AY445" s="299"/>
      <c r="AZ445" s="299"/>
      <c r="BA445" s="301"/>
      <c r="BB445" s="301"/>
      <c r="BC445" s="426"/>
      <c r="BD445" s="298"/>
      <c r="BE445" s="299"/>
      <c r="BF445" s="299"/>
      <c r="BG445" s="301"/>
      <c r="BH445" s="301"/>
      <c r="BI445" s="88"/>
      <c r="BJ445" s="298"/>
      <c r="BK445" s="299"/>
      <c r="BL445" s="299"/>
      <c r="BM445" s="301"/>
      <c r="BN445" s="301"/>
      <c r="BO445" s="88"/>
      <c r="BP445" s="9"/>
      <c r="BS445" s="81"/>
      <c r="BT445" s="81"/>
      <c r="BV445" s="9"/>
      <c r="BY445" s="81"/>
      <c r="BZ445" s="81"/>
      <c r="CB445" s="9"/>
      <c r="CE445" s="81"/>
      <c r="CF445" s="81"/>
      <c r="CH445" s="9"/>
      <c r="CK445" s="81"/>
      <c r="CL445" s="81"/>
      <c r="CR445" s="9"/>
      <c r="CS445" s="9"/>
      <c r="CT445" s="9"/>
      <c r="CU445" s="9"/>
      <c r="CV445" s="9"/>
      <c r="CW445" s="129"/>
      <c r="CX445" s="9"/>
    </row>
    <row r="446" spans="1:102">
      <c r="A446" s="6" t="str">
        <f t="shared" si="61"/>
        <v>00880872</v>
      </c>
      <c r="B446" s="6" t="s">
        <v>1738</v>
      </c>
      <c r="C446" s="6" t="s">
        <v>2082</v>
      </c>
      <c r="D446" s="6">
        <v>437</v>
      </c>
      <c r="E446" s="6">
        <v>88</v>
      </c>
      <c r="F446" s="6" t="s">
        <v>1207</v>
      </c>
      <c r="G446" s="6">
        <v>872</v>
      </c>
      <c r="H446" s="6" t="s">
        <v>1112</v>
      </c>
      <c r="I446" s="33">
        <v>1600612.7816420437</v>
      </c>
      <c r="J446" s="88">
        <v>3.5604133317451048E-2</v>
      </c>
      <c r="K446" s="89">
        <f t="shared" si="70"/>
        <v>1926662.5902035444</v>
      </c>
      <c r="L446" s="88">
        <f>IF(K449&gt;0, K446/K449, 0)</f>
        <v>4.1502162721613438E-2</v>
      </c>
      <c r="M446" s="58"/>
      <c r="N446" s="9">
        <f>ROUND(M449*L446,0)</f>
        <v>1508497</v>
      </c>
      <c r="O446" s="9">
        <v>1236852</v>
      </c>
      <c r="P446" s="9">
        <f>N446-O446</f>
        <v>271645</v>
      </c>
      <c r="Q446" s="40">
        <f t="shared" si="69"/>
        <v>21.962611533150287</v>
      </c>
      <c r="R446" s="9">
        <v>75.322085891780006</v>
      </c>
      <c r="S446" s="9">
        <f t="shared" si="67"/>
        <v>88.15770609321001</v>
      </c>
      <c r="T446" s="90">
        <f t="shared" si="62"/>
        <v>88</v>
      </c>
      <c r="U446" s="90">
        <f t="shared" si="63"/>
        <v>872</v>
      </c>
      <c r="V446" s="373">
        <f t="shared" si="64"/>
        <v>437</v>
      </c>
      <c r="W446" s="90">
        <f t="shared" si="65"/>
        <v>88.15770609321001</v>
      </c>
      <c r="X446" s="90">
        <f t="shared" si="66"/>
        <v>1926662.5902035444</v>
      </c>
      <c r="Y446" s="141">
        <f t="shared" si="68"/>
        <v>437</v>
      </c>
      <c r="Z446" s="298">
        <v>88</v>
      </c>
      <c r="AA446" s="299">
        <v>872</v>
      </c>
      <c r="AB446" s="299">
        <v>437</v>
      </c>
      <c r="AC446" s="301">
        <v>88.15770609321001</v>
      </c>
      <c r="AD446" s="301">
        <v>1926662.5902035444</v>
      </c>
      <c r="AE446" s="126"/>
      <c r="AF446" s="298"/>
      <c r="AG446" s="299"/>
      <c r="AH446" s="299"/>
      <c r="AI446" s="301"/>
      <c r="AJ446" s="301"/>
      <c r="AK446" s="426"/>
      <c r="AL446" s="298"/>
      <c r="AM446" s="299"/>
      <c r="AN446" s="299"/>
      <c r="AO446" s="301"/>
      <c r="AP446" s="301"/>
      <c r="AQ446" s="426"/>
      <c r="AR446" s="298"/>
      <c r="AS446" s="299"/>
      <c r="AT446" s="299"/>
      <c r="AU446" s="301"/>
      <c r="AV446" s="301"/>
      <c r="AW446" s="88"/>
      <c r="AX446" s="298"/>
      <c r="AY446" s="299"/>
      <c r="AZ446" s="299"/>
      <c r="BA446" s="301"/>
      <c r="BB446" s="301"/>
      <c r="BC446" s="426"/>
      <c r="BD446" s="298"/>
      <c r="BE446" s="299"/>
      <c r="BF446" s="299"/>
      <c r="BG446" s="301"/>
      <c r="BH446" s="301"/>
      <c r="BI446" s="88"/>
      <c r="BJ446" s="298"/>
      <c r="BK446" s="299"/>
      <c r="BL446" s="299"/>
      <c r="BM446" s="301"/>
      <c r="BN446" s="301"/>
      <c r="BO446" s="88"/>
      <c r="BP446" s="9"/>
      <c r="BS446" s="81"/>
      <c r="BT446" s="81"/>
      <c r="BV446" s="9"/>
      <c r="BY446" s="81"/>
      <c r="BZ446" s="81"/>
      <c r="CB446" s="9"/>
      <c r="CE446" s="81"/>
      <c r="CF446" s="81"/>
      <c r="CH446" s="9"/>
      <c r="CK446" s="81"/>
      <c r="CL446" s="81"/>
      <c r="CR446" s="9"/>
      <c r="CS446" s="9"/>
      <c r="CT446" s="9"/>
      <c r="CU446" s="9"/>
      <c r="CV446" s="9"/>
      <c r="CW446" s="129"/>
      <c r="CX446" s="9"/>
    </row>
    <row r="447" spans="1:102">
      <c r="A447" s="6" t="str">
        <f t="shared" si="61"/>
        <v>00880910</v>
      </c>
      <c r="B447" s="6" t="s">
        <v>1738</v>
      </c>
      <c r="C447" s="6" t="s">
        <v>2088</v>
      </c>
      <c r="D447" s="6">
        <v>438</v>
      </c>
      <c r="E447" s="6">
        <v>88</v>
      </c>
      <c r="F447" s="6" t="s">
        <v>1207</v>
      </c>
      <c r="G447" s="6">
        <v>910</v>
      </c>
      <c r="H447" s="6" t="s">
        <v>1118</v>
      </c>
      <c r="I447" s="33">
        <v>162899.35175875475</v>
      </c>
      <c r="J447" s="88">
        <v>3.6235436227086983E-3</v>
      </c>
      <c r="K447" s="89">
        <f t="shared" si="70"/>
        <v>187628.18563598057</v>
      </c>
      <c r="L447" s="88">
        <f>IF(K449&gt;0, K447/K449, 0)</f>
        <v>4.0416913324729555E-3</v>
      </c>
      <c r="M447" s="58"/>
      <c r="N447" s="9">
        <f>ROUND(M449*L447,0)</f>
        <v>146905</v>
      </c>
      <c r="O447" s="9">
        <v>125878</v>
      </c>
      <c r="P447" s="9">
        <f>N447-O447</f>
        <v>21027</v>
      </c>
      <c r="Q447" s="40">
        <f t="shared" si="69"/>
        <v>16.704269213047553</v>
      </c>
      <c r="R447" s="9">
        <v>7.999999998639999</v>
      </c>
      <c r="S447" s="9">
        <f t="shared" si="67"/>
        <v>8.9999999990599999</v>
      </c>
      <c r="T447" s="90">
        <f t="shared" si="62"/>
        <v>88</v>
      </c>
      <c r="U447" s="90">
        <f t="shared" si="63"/>
        <v>910</v>
      </c>
      <c r="V447" s="373">
        <f t="shared" si="64"/>
        <v>438</v>
      </c>
      <c r="W447" s="90">
        <f t="shared" si="65"/>
        <v>8.9999999990599999</v>
      </c>
      <c r="X447" s="90">
        <f t="shared" si="66"/>
        <v>187628.18563598057</v>
      </c>
      <c r="Y447" s="141">
        <f t="shared" si="68"/>
        <v>438</v>
      </c>
      <c r="Z447" s="298">
        <v>88</v>
      </c>
      <c r="AA447" s="299">
        <v>910</v>
      </c>
      <c r="AB447" s="299">
        <v>438</v>
      </c>
      <c r="AC447" s="301">
        <v>8.9999999990599999</v>
      </c>
      <c r="AD447" s="301">
        <v>187628.18563598057</v>
      </c>
      <c r="AE447" s="126"/>
      <c r="AF447" s="298"/>
      <c r="AG447" s="299"/>
      <c r="AH447" s="299"/>
      <c r="AI447" s="301"/>
      <c r="AJ447" s="301"/>
      <c r="AK447" s="426"/>
      <c r="AL447" s="298"/>
      <c r="AM447" s="299"/>
      <c r="AN447" s="299"/>
      <c r="AO447" s="301"/>
      <c r="AP447" s="301"/>
      <c r="AQ447" s="426"/>
      <c r="AR447" s="298"/>
      <c r="AS447" s="299"/>
      <c r="AT447" s="299"/>
      <c r="AU447" s="301"/>
      <c r="AV447" s="301"/>
      <c r="AW447" s="88"/>
      <c r="AX447" s="298"/>
      <c r="AY447" s="299"/>
      <c r="AZ447" s="299"/>
      <c r="BA447" s="301"/>
      <c r="BB447" s="301"/>
      <c r="BC447" s="426"/>
      <c r="BD447" s="298"/>
      <c r="BE447" s="299"/>
      <c r="BF447" s="299"/>
      <c r="BG447" s="301"/>
      <c r="BH447" s="301"/>
      <c r="BI447" s="88"/>
      <c r="BJ447" s="298"/>
      <c r="BK447" s="299"/>
      <c r="BL447" s="299"/>
      <c r="BM447" s="301"/>
      <c r="BN447" s="301"/>
      <c r="BO447" s="88"/>
      <c r="BP447" s="9"/>
      <c r="BS447" s="81"/>
      <c r="BT447" s="81"/>
      <c r="BV447" s="9"/>
      <c r="BY447" s="81"/>
      <c r="BZ447" s="81"/>
      <c r="CB447" s="9"/>
      <c r="CE447" s="81"/>
      <c r="CF447" s="81"/>
      <c r="CH447" s="9"/>
      <c r="CK447" s="81"/>
      <c r="CL447" s="81"/>
      <c r="CR447" s="9"/>
      <c r="CS447" s="9"/>
      <c r="CT447" s="9"/>
      <c r="CU447" s="9"/>
      <c r="CV447" s="9"/>
      <c r="CW447" s="129"/>
      <c r="CX447" s="9"/>
    </row>
    <row r="448" spans="1:102">
      <c r="A448" s="6" t="str">
        <f t="shared" si="61"/>
        <v>00880998</v>
      </c>
      <c r="B448" s="6" t="s">
        <v>1738</v>
      </c>
      <c r="C448" s="6" t="s">
        <v>2091</v>
      </c>
      <c r="D448" s="6">
        <v>439</v>
      </c>
      <c r="E448" s="6">
        <v>88</v>
      </c>
      <c r="F448" s="6" t="s">
        <v>1547</v>
      </c>
      <c r="G448" s="6">
        <v>998</v>
      </c>
      <c r="H448" s="6" t="s">
        <v>1547</v>
      </c>
      <c r="I448" s="33">
        <v>0</v>
      </c>
      <c r="J448" s="88">
        <v>0</v>
      </c>
      <c r="K448" s="89">
        <f t="shared" si="70"/>
        <v>0</v>
      </c>
      <c r="L448" s="88">
        <f>IF(K449&gt;0, K448/K449, 0)</f>
        <v>0</v>
      </c>
      <c r="M448" s="58"/>
      <c r="N448" s="9">
        <f>ROUND(M449*L448,0)</f>
        <v>0</v>
      </c>
      <c r="O448" s="9">
        <v>0</v>
      </c>
      <c r="P448" s="9">
        <f>N448-O448</f>
        <v>0</v>
      </c>
      <c r="Q448" s="40">
        <f t="shared" si="69"/>
        <v>0</v>
      </c>
      <c r="R448" s="9">
        <v>0</v>
      </c>
      <c r="S448" s="9">
        <f t="shared" si="67"/>
        <v>0</v>
      </c>
      <c r="T448" s="90">
        <f t="shared" si="62"/>
        <v>88</v>
      </c>
      <c r="U448" s="90">
        <f t="shared" si="63"/>
        <v>998</v>
      </c>
      <c r="V448" s="373">
        <f t="shared" si="64"/>
        <v>439</v>
      </c>
      <c r="W448" s="90">
        <f t="shared" si="65"/>
        <v>0</v>
      </c>
      <c r="X448" s="90">
        <f t="shared" si="66"/>
        <v>0</v>
      </c>
      <c r="Y448" s="141">
        <f t="shared" si="68"/>
        <v>439</v>
      </c>
      <c r="Z448" s="298">
        <v>88</v>
      </c>
      <c r="AA448" s="299">
        <v>998</v>
      </c>
      <c r="AB448" s="299">
        <v>439</v>
      </c>
      <c r="AC448" s="301">
        <v>0</v>
      </c>
      <c r="AD448" s="301">
        <v>0</v>
      </c>
      <c r="AE448" s="126"/>
      <c r="AF448" s="298"/>
      <c r="AG448" s="299"/>
      <c r="AH448" s="299"/>
      <c r="AI448" s="301"/>
      <c r="AJ448" s="301"/>
      <c r="AK448" s="426"/>
      <c r="AL448" s="298"/>
      <c r="AM448" s="299"/>
      <c r="AN448" s="299"/>
      <c r="AO448" s="301"/>
      <c r="AP448" s="301"/>
      <c r="AQ448" s="426"/>
      <c r="AR448" s="298"/>
      <c r="AS448" s="299"/>
      <c r="AT448" s="299"/>
      <c r="AU448" s="301"/>
      <c r="AV448" s="301"/>
      <c r="AW448" s="88"/>
      <c r="AX448" s="298"/>
      <c r="AY448" s="299"/>
      <c r="AZ448" s="299"/>
      <c r="BA448" s="301"/>
      <c r="BB448" s="301"/>
      <c r="BC448" s="426"/>
      <c r="BD448" s="298"/>
      <c r="BE448" s="299"/>
      <c r="BF448" s="299"/>
      <c r="BG448" s="301"/>
      <c r="BH448" s="301"/>
      <c r="BI448" s="88"/>
      <c r="BJ448" s="298"/>
      <c r="BK448" s="299"/>
      <c r="BL448" s="299"/>
      <c r="BM448" s="301"/>
      <c r="BN448" s="301"/>
      <c r="BO448" s="88"/>
      <c r="BP448" s="9"/>
      <c r="BS448" s="81"/>
      <c r="BT448" s="81"/>
      <c r="BV448" s="9"/>
      <c r="BY448" s="81"/>
      <c r="BZ448" s="81"/>
      <c r="CB448" s="9"/>
      <c r="CE448" s="81"/>
      <c r="CF448" s="81"/>
      <c r="CH448" s="9"/>
      <c r="CK448" s="81"/>
      <c r="CL448" s="81"/>
      <c r="CR448" s="9"/>
      <c r="CS448" s="9"/>
      <c r="CT448" s="9"/>
      <c r="CU448" s="9"/>
      <c r="CV448" s="9"/>
      <c r="CW448" s="129"/>
      <c r="CX448" s="9"/>
    </row>
    <row r="449" spans="1:102">
      <c r="A449" s="6" t="str">
        <f t="shared" si="61"/>
        <v>00880999</v>
      </c>
      <c r="B449" s="6" t="s">
        <v>1738</v>
      </c>
      <c r="C449" s="6" t="s">
        <v>2092</v>
      </c>
      <c r="D449" s="6">
        <v>440</v>
      </c>
      <c r="E449" s="10">
        <v>88</v>
      </c>
      <c r="F449" s="10" t="s">
        <v>1207</v>
      </c>
      <c r="G449" s="10">
        <v>999</v>
      </c>
      <c r="H449" s="10" t="s">
        <v>593</v>
      </c>
      <c r="I449" s="92">
        <v>44955813.623400792</v>
      </c>
      <c r="J449" s="472">
        <v>1</v>
      </c>
      <c r="K449" s="53">
        <f>SUM(K445:K448)</f>
        <v>46423185.295839526</v>
      </c>
      <c r="L449" s="91">
        <f>SUM(L445:L448)</f>
        <v>1</v>
      </c>
      <c r="M449" s="79">
        <f>VLOOKUP(E449,town351,24)</f>
        <v>36347421</v>
      </c>
      <c r="N449" s="79">
        <f>SUM(N445:N448)</f>
        <v>36347421</v>
      </c>
      <c r="O449" s="79">
        <v>34739005</v>
      </c>
      <c r="P449" s="79">
        <f>SUM(P445:P448)</f>
        <v>1608416</v>
      </c>
      <c r="Q449" s="39">
        <f t="shared" si="69"/>
        <v>4.6300001971846916</v>
      </c>
      <c r="R449" s="9">
        <v>3501.3220858904197</v>
      </c>
      <c r="S449" s="9">
        <f t="shared" si="67"/>
        <v>3501.15770609227</v>
      </c>
      <c r="T449" s="90">
        <f t="shared" si="62"/>
        <v>88</v>
      </c>
      <c r="U449" s="90">
        <f t="shared" si="63"/>
        <v>999</v>
      </c>
      <c r="V449" s="373">
        <f t="shared" si="64"/>
        <v>440</v>
      </c>
      <c r="W449" s="90">
        <f t="shared" si="65"/>
        <v>3501.15770609227</v>
      </c>
      <c r="X449" s="90">
        <f t="shared" si="66"/>
        <v>46423185.295839526</v>
      </c>
      <c r="Y449" s="141">
        <f t="shared" si="68"/>
        <v>440</v>
      </c>
      <c r="Z449" s="298">
        <v>88</v>
      </c>
      <c r="AA449" s="299">
        <v>999</v>
      </c>
      <c r="AB449" s="299">
        <v>440</v>
      </c>
      <c r="AC449" s="301">
        <v>3501.15770609227</v>
      </c>
      <c r="AD449" s="301">
        <v>46423185.295839526</v>
      </c>
      <c r="AE449" s="126"/>
      <c r="AF449" s="298"/>
      <c r="AG449" s="299"/>
      <c r="AH449" s="299"/>
      <c r="AI449" s="301"/>
      <c r="AJ449" s="301"/>
      <c r="AK449" s="426"/>
      <c r="AL449" s="298"/>
      <c r="AM449" s="299"/>
      <c r="AN449" s="299"/>
      <c r="AO449" s="301"/>
      <c r="AP449" s="301"/>
      <c r="AQ449" s="426"/>
      <c r="AR449" s="298"/>
      <c r="AS449" s="299"/>
      <c r="AT449" s="299"/>
      <c r="AU449" s="301"/>
      <c r="AV449" s="301"/>
      <c r="AW449" s="91"/>
      <c r="AX449" s="298"/>
      <c r="AY449" s="299"/>
      <c r="AZ449" s="299"/>
      <c r="BA449" s="301"/>
      <c r="BB449" s="301"/>
      <c r="BC449" s="426"/>
      <c r="BD449" s="298"/>
      <c r="BE449" s="299"/>
      <c r="BF449" s="299"/>
      <c r="BG449" s="301"/>
      <c r="BH449" s="301"/>
      <c r="BI449" s="91"/>
      <c r="BJ449" s="298"/>
      <c r="BK449" s="299"/>
      <c r="BL449" s="299"/>
      <c r="BM449" s="301"/>
      <c r="BN449" s="301"/>
      <c r="BO449" s="91"/>
      <c r="BP449" s="9"/>
      <c r="BS449" s="81"/>
      <c r="BT449" s="81"/>
      <c r="BV449" s="9"/>
      <c r="BY449" s="81"/>
      <c r="BZ449" s="81"/>
      <c r="CB449" s="9"/>
      <c r="CE449" s="81"/>
      <c r="CF449" s="81"/>
      <c r="CH449" s="9"/>
      <c r="CK449" s="81"/>
      <c r="CL449" s="81"/>
      <c r="CR449" s="9"/>
      <c r="CS449" s="9"/>
      <c r="CT449" s="9"/>
      <c r="CU449" s="9"/>
      <c r="CV449" s="9"/>
      <c r="CW449" s="129"/>
      <c r="CX449" s="9"/>
    </row>
    <row r="450" spans="1:102">
      <c r="A450" s="6" t="str">
        <f t="shared" si="61"/>
        <v>00890089</v>
      </c>
      <c r="B450" s="6" t="s">
        <v>1739</v>
      </c>
      <c r="C450" s="6" t="s">
        <v>1739</v>
      </c>
      <c r="D450" s="6">
        <v>441</v>
      </c>
      <c r="E450" s="6">
        <v>89</v>
      </c>
      <c r="F450" s="6" t="s">
        <v>1208</v>
      </c>
      <c r="G450" s="6">
        <v>89</v>
      </c>
      <c r="H450" s="6" t="s">
        <v>770</v>
      </c>
      <c r="I450" s="33">
        <v>6660865.3400000008</v>
      </c>
      <c r="J450" s="88">
        <v>0.66388496745276215</v>
      </c>
      <c r="K450" s="89">
        <f>X450</f>
        <v>6714943.7300000014</v>
      </c>
      <c r="L450" s="88">
        <f>IF(K454&gt;0, K450/K454, 0)</f>
        <v>0.62892590688873784</v>
      </c>
      <c r="M450" s="58"/>
      <c r="N450" s="9">
        <f>ROUND(M454*L450,0)</f>
        <v>5539828</v>
      </c>
      <c r="O450" s="9">
        <v>5495214</v>
      </c>
      <c r="P450" s="9">
        <f>N450-O450</f>
        <v>44614</v>
      </c>
      <c r="Q450" s="40">
        <f t="shared" si="69"/>
        <v>0.81187011097293027</v>
      </c>
      <c r="R450" s="9">
        <v>438</v>
      </c>
      <c r="S450" s="9">
        <f t="shared" si="67"/>
        <v>434</v>
      </c>
      <c r="T450" s="90">
        <f t="shared" si="62"/>
        <v>89</v>
      </c>
      <c r="U450" s="90">
        <f t="shared" si="63"/>
        <v>89</v>
      </c>
      <c r="V450" s="373">
        <f t="shared" si="64"/>
        <v>441</v>
      </c>
      <c r="W450" s="90">
        <f t="shared" si="65"/>
        <v>434</v>
      </c>
      <c r="X450" s="90">
        <f t="shared" si="66"/>
        <v>6714943.7300000014</v>
      </c>
      <c r="Y450" s="141">
        <f t="shared" si="68"/>
        <v>441</v>
      </c>
      <c r="Z450" s="298">
        <v>89</v>
      </c>
      <c r="AA450" s="299">
        <v>89</v>
      </c>
      <c r="AB450" s="299">
        <v>441</v>
      </c>
      <c r="AC450" s="301">
        <v>434</v>
      </c>
      <c r="AD450" s="301">
        <v>6714943.7300000014</v>
      </c>
      <c r="AE450" s="126"/>
      <c r="AF450" s="298"/>
      <c r="AG450" s="299"/>
      <c r="AH450" s="299"/>
      <c r="AI450" s="301"/>
      <c r="AJ450" s="301"/>
      <c r="AK450" s="426"/>
      <c r="AL450" s="298"/>
      <c r="AM450" s="299"/>
      <c r="AN450" s="299"/>
      <c r="AO450" s="301"/>
      <c r="AP450" s="301"/>
      <c r="AQ450" s="426"/>
      <c r="AR450" s="298"/>
      <c r="AS450" s="299"/>
      <c r="AT450" s="299"/>
      <c r="AU450" s="301"/>
      <c r="AV450" s="301"/>
      <c r="AW450" s="88"/>
      <c r="AX450" s="298"/>
      <c r="AY450" s="299"/>
      <c r="AZ450" s="299"/>
      <c r="BA450" s="301"/>
      <c r="BB450" s="301"/>
      <c r="BC450" s="426"/>
      <c r="BD450" s="298"/>
      <c r="BE450" s="299"/>
      <c r="BF450" s="299"/>
      <c r="BG450" s="301"/>
      <c r="BH450" s="301"/>
      <c r="BI450" s="88"/>
      <c r="BJ450" s="298"/>
      <c r="BK450" s="299"/>
      <c r="BL450" s="299"/>
      <c r="BM450" s="301"/>
      <c r="BN450" s="301"/>
      <c r="BO450" s="88"/>
      <c r="BP450" s="9"/>
      <c r="BS450" s="81"/>
      <c r="BT450" s="81"/>
      <c r="BV450" s="9"/>
      <c r="BY450" s="81"/>
      <c r="BZ450" s="81"/>
      <c r="CB450" s="9"/>
      <c r="CE450" s="81"/>
      <c r="CF450" s="81"/>
      <c r="CH450" s="9"/>
      <c r="CK450" s="81"/>
      <c r="CL450" s="81"/>
      <c r="CR450" s="9"/>
      <c r="CS450" s="9"/>
      <c r="CT450" s="9"/>
      <c r="CU450" s="9"/>
      <c r="CV450" s="9"/>
      <c r="CW450" s="129"/>
      <c r="CX450" s="9"/>
    </row>
    <row r="451" spans="1:102">
      <c r="A451" s="6" t="str">
        <f t="shared" si="61"/>
        <v>00890700</v>
      </c>
      <c r="B451" s="6" t="s">
        <v>1739</v>
      </c>
      <c r="C451" s="6" t="s">
        <v>2035</v>
      </c>
      <c r="D451" s="6">
        <v>442</v>
      </c>
      <c r="E451" s="6">
        <v>89</v>
      </c>
      <c r="F451" s="6" t="s">
        <v>1208</v>
      </c>
      <c r="G451" s="6">
        <v>700</v>
      </c>
      <c r="H451" s="6" t="s">
        <v>1065</v>
      </c>
      <c r="I451" s="33">
        <v>3372296.5277206232</v>
      </c>
      <c r="J451" s="88">
        <v>0.33611503254723785</v>
      </c>
      <c r="K451" s="89">
        <f t="shared" si="70"/>
        <v>3961900.1659979569</v>
      </c>
      <c r="L451" s="88">
        <f>IF(K454&gt;0, K451/K454, 0)</f>
        <v>0.3710740931112621</v>
      </c>
      <c r="M451" s="58"/>
      <c r="N451" s="9">
        <f>ROUND(M454*L451,0)</f>
        <v>3268568</v>
      </c>
      <c r="O451" s="9">
        <v>2782145</v>
      </c>
      <c r="P451" s="9">
        <f>N451-O451</f>
        <v>486423</v>
      </c>
      <c r="Q451" s="40">
        <f t="shared" si="69"/>
        <v>17.483740063871583</v>
      </c>
      <c r="R451" s="9">
        <v>188.00000000263998</v>
      </c>
      <c r="S451" s="9">
        <f t="shared" si="67"/>
        <v>223.99999999688998</v>
      </c>
      <c r="T451" s="90">
        <f t="shared" si="62"/>
        <v>89</v>
      </c>
      <c r="U451" s="90">
        <f t="shared" si="63"/>
        <v>700</v>
      </c>
      <c r="V451" s="373">
        <f t="shared" si="64"/>
        <v>442</v>
      </c>
      <c r="W451" s="90">
        <f t="shared" si="65"/>
        <v>223.99999999688998</v>
      </c>
      <c r="X451" s="90">
        <f t="shared" si="66"/>
        <v>3961900.1659979569</v>
      </c>
      <c r="Y451" s="141">
        <f t="shared" si="68"/>
        <v>442</v>
      </c>
      <c r="Z451" s="298">
        <v>89</v>
      </c>
      <c r="AA451" s="299">
        <v>700</v>
      </c>
      <c r="AB451" s="299">
        <v>442</v>
      </c>
      <c r="AC451" s="301">
        <v>223.99999999688998</v>
      </c>
      <c r="AD451" s="301">
        <v>3961900.1659979569</v>
      </c>
      <c r="AE451" s="126"/>
      <c r="AF451" s="298"/>
      <c r="AG451" s="299"/>
      <c r="AH451" s="299"/>
      <c r="AI451" s="301"/>
      <c r="AJ451" s="301"/>
      <c r="AK451" s="426"/>
      <c r="AL451" s="298"/>
      <c r="AM451" s="299"/>
      <c r="AN451" s="299"/>
      <c r="AO451" s="301"/>
      <c r="AP451" s="301"/>
      <c r="AQ451" s="426"/>
      <c r="AR451" s="298"/>
      <c r="AS451" s="299"/>
      <c r="AT451" s="299"/>
      <c r="AU451" s="301"/>
      <c r="AV451" s="301"/>
      <c r="AW451" s="88"/>
      <c r="AX451" s="298"/>
      <c r="AY451" s="299"/>
      <c r="AZ451" s="299"/>
      <c r="BA451" s="301"/>
      <c r="BB451" s="301"/>
      <c r="BC451" s="426"/>
      <c r="BD451" s="298"/>
      <c r="BE451" s="299"/>
      <c r="BF451" s="299"/>
      <c r="BG451" s="301"/>
      <c r="BH451" s="301"/>
      <c r="BI451" s="88"/>
      <c r="BJ451" s="298"/>
      <c r="BK451" s="299"/>
      <c r="BL451" s="299"/>
      <c r="BM451" s="301"/>
      <c r="BN451" s="301"/>
      <c r="BO451" s="88"/>
      <c r="BP451" s="9"/>
      <c r="BS451" s="81"/>
      <c r="BT451" s="81"/>
      <c r="BV451" s="9"/>
      <c r="BY451" s="81"/>
      <c r="BZ451" s="81"/>
      <c r="CB451" s="9"/>
      <c r="CE451" s="81"/>
      <c r="CF451" s="81"/>
      <c r="CH451" s="9"/>
      <c r="CK451" s="81"/>
      <c r="CL451" s="81"/>
      <c r="CR451" s="9"/>
      <c r="CS451" s="9"/>
      <c r="CT451" s="9"/>
      <c r="CU451" s="9"/>
      <c r="CV451" s="9"/>
      <c r="CW451" s="129"/>
      <c r="CX451" s="9"/>
    </row>
    <row r="452" spans="1:102">
      <c r="A452" s="6" t="str">
        <f t="shared" si="61"/>
        <v>00890998</v>
      </c>
      <c r="B452" s="6" t="s">
        <v>1739</v>
      </c>
      <c r="C452" s="6" t="s">
        <v>2091</v>
      </c>
      <c r="D452" s="6">
        <v>443</v>
      </c>
      <c r="E452" s="6">
        <v>89</v>
      </c>
      <c r="F452" s="6" t="s">
        <v>1547</v>
      </c>
      <c r="G452" s="6">
        <v>998</v>
      </c>
      <c r="H452" s="6" t="s">
        <v>1547</v>
      </c>
      <c r="I452" s="33">
        <v>0</v>
      </c>
      <c r="J452" s="88">
        <v>0</v>
      </c>
      <c r="K452" s="89">
        <f t="shared" si="70"/>
        <v>0</v>
      </c>
      <c r="L452" s="88">
        <f>IF(K454&gt;0, K452/K454, 0)</f>
        <v>0</v>
      </c>
      <c r="M452" s="58"/>
      <c r="N452" s="9">
        <f>ROUND(M454*L452,0)</f>
        <v>0</v>
      </c>
      <c r="O452" s="9">
        <v>0</v>
      </c>
      <c r="P452" s="9">
        <f>N452-O452</f>
        <v>0</v>
      </c>
      <c r="Q452" s="40">
        <f t="shared" si="69"/>
        <v>0</v>
      </c>
      <c r="R452" s="9">
        <v>0</v>
      </c>
      <c r="S452" s="9">
        <f t="shared" si="67"/>
        <v>0</v>
      </c>
      <c r="T452" s="90">
        <f t="shared" si="62"/>
        <v>89</v>
      </c>
      <c r="U452" s="90">
        <f t="shared" si="63"/>
        <v>998</v>
      </c>
      <c r="V452" s="373">
        <f t="shared" si="64"/>
        <v>443</v>
      </c>
      <c r="W452" s="90">
        <f t="shared" si="65"/>
        <v>0</v>
      </c>
      <c r="X452" s="90">
        <f t="shared" si="66"/>
        <v>0</v>
      </c>
      <c r="Y452" s="141">
        <f t="shared" si="68"/>
        <v>443</v>
      </c>
      <c r="Z452" s="298">
        <v>89</v>
      </c>
      <c r="AA452" s="299">
        <v>998</v>
      </c>
      <c r="AB452" s="299">
        <v>443</v>
      </c>
      <c r="AC452" s="301">
        <v>0</v>
      </c>
      <c r="AD452" s="301">
        <v>0</v>
      </c>
      <c r="AE452" s="126"/>
      <c r="AF452" s="298"/>
      <c r="AG452" s="299"/>
      <c r="AH452" s="299"/>
      <c r="AI452" s="301"/>
      <c r="AJ452" s="301"/>
      <c r="AK452" s="426"/>
      <c r="AL452" s="298"/>
      <c r="AM452" s="299"/>
      <c r="AN452" s="299"/>
      <c r="AO452" s="301"/>
      <c r="AP452" s="301"/>
      <c r="AQ452" s="426"/>
      <c r="AR452" s="298"/>
      <c r="AS452" s="299"/>
      <c r="AT452" s="299"/>
      <c r="AU452" s="301"/>
      <c r="AV452" s="301"/>
      <c r="AW452" s="88"/>
      <c r="AX452" s="298"/>
      <c r="AY452" s="299"/>
      <c r="AZ452" s="299"/>
      <c r="BA452" s="301"/>
      <c r="BB452" s="301"/>
      <c r="BC452" s="426"/>
      <c r="BD452" s="298"/>
      <c r="BE452" s="299"/>
      <c r="BF452" s="299"/>
      <c r="BG452" s="301"/>
      <c r="BH452" s="301"/>
      <c r="BI452" s="88"/>
      <c r="BJ452" s="298"/>
      <c r="BK452" s="299"/>
      <c r="BL452" s="299"/>
      <c r="BM452" s="301"/>
      <c r="BN452" s="301"/>
      <c r="BO452" s="88"/>
      <c r="BP452" s="9"/>
      <c r="BS452" s="81"/>
      <c r="BT452" s="81"/>
      <c r="BV452" s="9"/>
      <c r="BY452" s="81"/>
      <c r="BZ452" s="81"/>
      <c r="CB452" s="9"/>
      <c r="CE452" s="81"/>
      <c r="CF452" s="81"/>
      <c r="CH452" s="9"/>
      <c r="CK452" s="81"/>
      <c r="CL452" s="81"/>
      <c r="CR452" s="9"/>
      <c r="CS452" s="9"/>
      <c r="CT452" s="9"/>
      <c r="CU452" s="9"/>
      <c r="CV452" s="9"/>
      <c r="CW452" s="129"/>
      <c r="CX452" s="9"/>
    </row>
    <row r="453" spans="1:102">
      <c r="A453" s="6" t="str">
        <f t="shared" si="61"/>
        <v>00890998</v>
      </c>
      <c r="B453" s="6" t="s">
        <v>1739</v>
      </c>
      <c r="C453" s="6" t="s">
        <v>2091</v>
      </c>
      <c r="D453" s="6">
        <v>444</v>
      </c>
      <c r="E453" s="6">
        <v>89</v>
      </c>
      <c r="F453" s="6" t="s">
        <v>1547</v>
      </c>
      <c r="G453" s="6">
        <v>998</v>
      </c>
      <c r="H453" s="6" t="s">
        <v>1547</v>
      </c>
      <c r="I453" s="33">
        <v>0</v>
      </c>
      <c r="J453" s="88">
        <v>0</v>
      </c>
      <c r="K453" s="89">
        <f t="shared" si="70"/>
        <v>0</v>
      </c>
      <c r="L453" s="88">
        <f>IF(K454&gt;0, K453/K454, 0)</f>
        <v>0</v>
      </c>
      <c r="M453" s="58"/>
      <c r="N453" s="9">
        <f>ROUND(M454*L453,0)</f>
        <v>0</v>
      </c>
      <c r="O453" s="9">
        <v>0</v>
      </c>
      <c r="P453" s="9">
        <f>N453-O453</f>
        <v>0</v>
      </c>
      <c r="Q453" s="40">
        <f t="shared" si="69"/>
        <v>0</v>
      </c>
      <c r="R453" s="9">
        <v>0</v>
      </c>
      <c r="S453" s="9">
        <f t="shared" si="67"/>
        <v>0</v>
      </c>
      <c r="T453" s="90">
        <f t="shared" si="62"/>
        <v>89</v>
      </c>
      <c r="U453" s="90">
        <f t="shared" si="63"/>
        <v>998</v>
      </c>
      <c r="V453" s="373">
        <f t="shared" si="64"/>
        <v>444</v>
      </c>
      <c r="W453" s="90">
        <f t="shared" si="65"/>
        <v>0</v>
      </c>
      <c r="X453" s="90">
        <f t="shared" si="66"/>
        <v>0</v>
      </c>
      <c r="Y453" s="141">
        <f t="shared" si="68"/>
        <v>444</v>
      </c>
      <c r="Z453" s="298">
        <v>89</v>
      </c>
      <c r="AA453" s="299">
        <v>998</v>
      </c>
      <c r="AB453" s="299">
        <v>444</v>
      </c>
      <c r="AC453" s="301">
        <v>0</v>
      </c>
      <c r="AD453" s="301">
        <v>0</v>
      </c>
      <c r="AE453" s="126"/>
      <c r="AF453" s="298"/>
      <c r="AG453" s="299"/>
      <c r="AH453" s="299"/>
      <c r="AI453" s="301"/>
      <c r="AJ453" s="301"/>
      <c r="AK453" s="426"/>
      <c r="AL453" s="298"/>
      <c r="AM453" s="299"/>
      <c r="AN453" s="299"/>
      <c r="AO453" s="301"/>
      <c r="AP453" s="301"/>
      <c r="AQ453" s="426"/>
      <c r="AR453" s="298"/>
      <c r="AS453" s="299"/>
      <c r="AT453" s="299"/>
      <c r="AU453" s="301"/>
      <c r="AV453" s="301"/>
      <c r="AW453" s="88"/>
      <c r="AX453" s="298"/>
      <c r="AY453" s="299"/>
      <c r="AZ453" s="299"/>
      <c r="BA453" s="301"/>
      <c r="BB453" s="301"/>
      <c r="BC453" s="426"/>
      <c r="BD453" s="298"/>
      <c r="BE453" s="299"/>
      <c r="BF453" s="299"/>
      <c r="BG453" s="301"/>
      <c r="BH453" s="301"/>
      <c r="BI453" s="88"/>
      <c r="BJ453" s="298"/>
      <c r="BK453" s="299"/>
      <c r="BL453" s="299"/>
      <c r="BM453" s="301"/>
      <c r="BN453" s="301"/>
      <c r="BO453" s="88"/>
      <c r="BP453" s="9"/>
      <c r="BS453" s="81"/>
      <c r="BT453" s="81"/>
      <c r="BV453" s="9"/>
      <c r="BY453" s="81"/>
      <c r="BZ453" s="81"/>
      <c r="CB453" s="9"/>
      <c r="CE453" s="81"/>
      <c r="CF453" s="81"/>
      <c r="CH453" s="9"/>
      <c r="CK453" s="81"/>
      <c r="CL453" s="81"/>
      <c r="CR453" s="9"/>
      <c r="CS453" s="9"/>
      <c r="CT453" s="9"/>
      <c r="CU453" s="9"/>
      <c r="CV453" s="9"/>
      <c r="CW453" s="129"/>
      <c r="CX453" s="9"/>
    </row>
    <row r="454" spans="1:102">
      <c r="A454" s="6" t="str">
        <f t="shared" si="61"/>
        <v>00890999</v>
      </c>
      <c r="B454" s="6" t="s">
        <v>1739</v>
      </c>
      <c r="C454" s="6" t="s">
        <v>2092</v>
      </c>
      <c r="D454" s="6">
        <v>445</v>
      </c>
      <c r="E454" s="10">
        <v>89</v>
      </c>
      <c r="F454" s="10" t="s">
        <v>1208</v>
      </c>
      <c r="G454" s="10">
        <v>999</v>
      </c>
      <c r="H454" s="10" t="s">
        <v>593</v>
      </c>
      <c r="I454" s="92">
        <v>10033161.867720624</v>
      </c>
      <c r="J454" s="472">
        <v>1</v>
      </c>
      <c r="K454" s="53">
        <f>SUM(K450:K453)</f>
        <v>10676843.895997958</v>
      </c>
      <c r="L454" s="91">
        <f>SUM(L450:L453)</f>
        <v>1</v>
      </c>
      <c r="M454" s="79">
        <f>VLOOKUP(E454,town351,24)</f>
        <v>8808396</v>
      </c>
      <c r="N454" s="79">
        <f>SUM(N450:N453)</f>
        <v>8808396</v>
      </c>
      <c r="O454" s="79">
        <v>8277359</v>
      </c>
      <c r="P454" s="79">
        <f>SUM(P450:P453)</f>
        <v>531037</v>
      </c>
      <c r="Q454" s="39">
        <f t="shared" si="69"/>
        <v>6.4155366464110113</v>
      </c>
      <c r="R454" s="9">
        <v>626.00000000264004</v>
      </c>
      <c r="S454" s="9">
        <f t="shared" si="67"/>
        <v>657.99999999688998</v>
      </c>
      <c r="T454" s="90">
        <f t="shared" si="62"/>
        <v>89</v>
      </c>
      <c r="U454" s="90">
        <f t="shared" si="63"/>
        <v>999</v>
      </c>
      <c r="V454" s="373">
        <f t="shared" si="64"/>
        <v>445</v>
      </c>
      <c r="W454" s="90">
        <f t="shared" si="65"/>
        <v>657.99999999688998</v>
      </c>
      <c r="X454" s="90">
        <f t="shared" si="66"/>
        <v>10676843.895997958</v>
      </c>
      <c r="Y454" s="141">
        <f t="shared" si="68"/>
        <v>445</v>
      </c>
      <c r="Z454" s="298">
        <v>89</v>
      </c>
      <c r="AA454" s="299">
        <v>999</v>
      </c>
      <c r="AB454" s="299">
        <v>445</v>
      </c>
      <c r="AC454" s="301">
        <v>657.99999999688998</v>
      </c>
      <c r="AD454" s="301">
        <v>10676843.895997958</v>
      </c>
      <c r="AE454" s="126"/>
      <c r="AF454" s="298"/>
      <c r="AG454" s="299"/>
      <c r="AH454" s="299"/>
      <c r="AI454" s="301"/>
      <c r="AJ454" s="301"/>
      <c r="AK454" s="426"/>
      <c r="AL454" s="298"/>
      <c r="AM454" s="299"/>
      <c r="AN454" s="299"/>
      <c r="AO454" s="301"/>
      <c r="AP454" s="301"/>
      <c r="AQ454" s="426"/>
      <c r="AR454" s="298"/>
      <c r="AS454" s="299"/>
      <c r="AT454" s="299"/>
      <c r="AU454" s="301"/>
      <c r="AV454" s="301"/>
      <c r="AW454" s="91"/>
      <c r="AX454" s="298"/>
      <c r="AY454" s="299"/>
      <c r="AZ454" s="299"/>
      <c r="BA454" s="301"/>
      <c r="BB454" s="301"/>
      <c r="BC454" s="426"/>
      <c r="BD454" s="298"/>
      <c r="BE454" s="299"/>
      <c r="BF454" s="299"/>
      <c r="BG454" s="301"/>
      <c r="BH454" s="301"/>
      <c r="BI454" s="91"/>
      <c r="BJ454" s="298"/>
      <c r="BK454" s="299"/>
      <c r="BL454" s="299"/>
      <c r="BM454" s="301"/>
      <c r="BN454" s="301"/>
      <c r="BO454" s="91"/>
      <c r="BP454" s="9"/>
      <c r="BS454" s="81"/>
      <c r="BT454" s="81"/>
      <c r="BV454" s="9"/>
      <c r="BY454" s="81"/>
      <c r="BZ454" s="81"/>
      <c r="CB454" s="9"/>
      <c r="CE454" s="81"/>
      <c r="CF454" s="81"/>
      <c r="CH454" s="9"/>
      <c r="CK454" s="81"/>
      <c r="CL454" s="81"/>
      <c r="CR454" s="9"/>
      <c r="CS454" s="9"/>
      <c r="CT454" s="9"/>
      <c r="CU454" s="9"/>
      <c r="CV454" s="9"/>
      <c r="CW454" s="129"/>
      <c r="CX454" s="9"/>
    </row>
    <row r="455" spans="1:102">
      <c r="A455" s="6" t="str">
        <f t="shared" si="61"/>
        <v>00900090</v>
      </c>
      <c r="B455" s="6" t="s">
        <v>1740</v>
      </c>
      <c r="C455" s="6" t="s">
        <v>1740</v>
      </c>
      <c r="D455" s="6">
        <v>446</v>
      </c>
      <c r="E455" s="6">
        <v>90</v>
      </c>
      <c r="F455" s="6" t="s">
        <v>1209</v>
      </c>
      <c r="G455" s="6">
        <v>90</v>
      </c>
      <c r="H455" s="6" t="s">
        <v>771</v>
      </c>
      <c r="I455" s="33">
        <v>0</v>
      </c>
      <c r="J455" s="88">
        <v>0</v>
      </c>
      <c r="K455" s="89">
        <f>X455</f>
        <v>0</v>
      </c>
      <c r="L455" s="88">
        <f>IF(K459&gt;0, K455/K459, 0)</f>
        <v>0</v>
      </c>
      <c r="M455" s="58"/>
      <c r="N455" s="9">
        <f>ROUND(M459*L455,0)</f>
        <v>0</v>
      </c>
      <c r="O455" s="9">
        <v>0</v>
      </c>
      <c r="P455" s="9">
        <f>N455-O455</f>
        <v>0</v>
      </c>
      <c r="Q455" s="40">
        <f t="shared" si="69"/>
        <v>0</v>
      </c>
      <c r="R455" s="9">
        <v>0</v>
      </c>
      <c r="S455" s="9">
        <f t="shared" si="67"/>
        <v>0</v>
      </c>
      <c r="T455" s="90">
        <f t="shared" si="62"/>
        <v>90</v>
      </c>
      <c r="U455" s="90">
        <f t="shared" si="63"/>
        <v>90</v>
      </c>
      <c r="V455" s="373">
        <f t="shared" si="64"/>
        <v>446</v>
      </c>
      <c r="W455" s="90">
        <f t="shared" si="65"/>
        <v>0</v>
      </c>
      <c r="X455" s="90">
        <f t="shared" si="66"/>
        <v>0</v>
      </c>
      <c r="Y455" s="141">
        <f t="shared" si="68"/>
        <v>446</v>
      </c>
      <c r="Z455" s="298">
        <v>90</v>
      </c>
      <c r="AA455" s="299">
        <v>90</v>
      </c>
      <c r="AB455" s="299">
        <v>446</v>
      </c>
      <c r="AC455" s="301">
        <v>0</v>
      </c>
      <c r="AD455" s="301">
        <v>0</v>
      </c>
      <c r="AE455" s="126"/>
      <c r="AF455" s="298"/>
      <c r="AG455" s="299"/>
      <c r="AH455" s="299"/>
      <c r="AI455" s="301"/>
      <c r="AJ455" s="301"/>
      <c r="AK455" s="426"/>
      <c r="AL455" s="298"/>
      <c r="AM455" s="299"/>
      <c r="AN455" s="299"/>
      <c r="AO455" s="301"/>
      <c r="AP455" s="301"/>
      <c r="AQ455" s="426"/>
      <c r="AR455" s="298"/>
      <c r="AS455" s="299"/>
      <c r="AT455" s="299"/>
      <c r="AU455" s="301"/>
      <c r="AV455" s="301"/>
      <c r="AW455" s="88"/>
      <c r="AX455" s="298"/>
      <c r="AY455" s="299"/>
      <c r="AZ455" s="299"/>
      <c r="BA455" s="301"/>
      <c r="BB455" s="301"/>
      <c r="BC455" s="426"/>
      <c r="BD455" s="298"/>
      <c r="BE455" s="299"/>
      <c r="BF455" s="299"/>
      <c r="BG455" s="301"/>
      <c r="BH455" s="301"/>
      <c r="BI455" s="88"/>
      <c r="BJ455" s="298"/>
      <c r="BK455" s="299"/>
      <c r="BL455" s="299"/>
      <c r="BM455" s="301"/>
      <c r="BN455" s="301"/>
      <c r="BO455" s="88"/>
      <c r="BP455" s="9"/>
      <c r="BS455" s="81"/>
      <c r="BT455" s="81"/>
      <c r="BV455" s="9"/>
      <c r="BY455" s="81"/>
      <c r="BZ455" s="81"/>
      <c r="CB455" s="9"/>
      <c r="CE455" s="81"/>
      <c r="CF455" s="81"/>
      <c r="CH455" s="9"/>
      <c r="CK455" s="81"/>
      <c r="CL455" s="81"/>
      <c r="CR455" s="9"/>
      <c r="CS455" s="9"/>
      <c r="CT455" s="9"/>
      <c r="CU455" s="9"/>
      <c r="CV455" s="9"/>
      <c r="CW455" s="129"/>
      <c r="CX455" s="9"/>
    </row>
    <row r="456" spans="1:102">
      <c r="A456" s="6" t="str">
        <f t="shared" si="61"/>
        <v>00900765</v>
      </c>
      <c r="B456" s="6" t="s">
        <v>1740</v>
      </c>
      <c r="C456" s="6" t="s">
        <v>2053</v>
      </c>
      <c r="D456" s="6">
        <v>447</v>
      </c>
      <c r="E456" s="6">
        <v>90</v>
      </c>
      <c r="F456" s="6" t="s">
        <v>1209</v>
      </c>
      <c r="G456" s="6">
        <v>765</v>
      </c>
      <c r="H456" s="6" t="s">
        <v>1083</v>
      </c>
      <c r="I456" s="33">
        <v>1293907.663036203</v>
      </c>
      <c r="J456" s="88">
        <v>1</v>
      </c>
      <c r="K456" s="89">
        <f t="shared" si="70"/>
        <v>1269627.7468174584</v>
      </c>
      <c r="L456" s="88">
        <f>IF(K459&gt;0, K456/K459, 0)</f>
        <v>1</v>
      </c>
      <c r="M456" s="58"/>
      <c r="N456" s="9">
        <f>ROUND(M459*L456,0)</f>
        <v>1047443</v>
      </c>
      <c r="O456" s="9">
        <v>1067474</v>
      </c>
      <c r="P456" s="9">
        <f>N456-O456</f>
        <v>-20031</v>
      </c>
      <c r="Q456" s="40">
        <f t="shared" si="69"/>
        <v>-1.8764859846703525</v>
      </c>
      <c r="R456" s="9">
        <v>90.203007518700005</v>
      </c>
      <c r="S456" s="9">
        <f t="shared" si="67"/>
        <v>87.237366002200005</v>
      </c>
      <c r="T456" s="90">
        <f t="shared" si="62"/>
        <v>90</v>
      </c>
      <c r="U456" s="90">
        <f t="shared" si="63"/>
        <v>765</v>
      </c>
      <c r="V456" s="373">
        <f t="shared" si="64"/>
        <v>447</v>
      </c>
      <c r="W456" s="90">
        <f t="shared" si="65"/>
        <v>87.237366002200005</v>
      </c>
      <c r="X456" s="90">
        <f t="shared" si="66"/>
        <v>1269627.7468174584</v>
      </c>
      <c r="Y456" s="141">
        <f t="shared" si="68"/>
        <v>447</v>
      </c>
      <c r="Z456" s="298">
        <v>90</v>
      </c>
      <c r="AA456" s="299">
        <v>765</v>
      </c>
      <c r="AB456" s="299">
        <v>447</v>
      </c>
      <c r="AC456" s="301">
        <v>87.237366002200005</v>
      </c>
      <c r="AD456" s="301">
        <v>1269627.7468174584</v>
      </c>
      <c r="AE456" s="126"/>
      <c r="AF456" s="298"/>
      <c r="AG456" s="299"/>
      <c r="AH456" s="299"/>
      <c r="AI456" s="301"/>
      <c r="AJ456" s="301"/>
      <c r="AK456" s="426"/>
      <c r="AL456" s="298"/>
      <c r="AM456" s="299"/>
      <c r="AN456" s="299"/>
      <c r="AO456" s="301"/>
      <c r="AP456" s="301"/>
      <c r="AQ456" s="426"/>
      <c r="AR456" s="298"/>
      <c r="AS456" s="299"/>
      <c r="AT456" s="299"/>
      <c r="AU456" s="301"/>
      <c r="AV456" s="301"/>
      <c r="AW456" s="88"/>
      <c r="AX456" s="298"/>
      <c r="AY456" s="299"/>
      <c r="AZ456" s="299"/>
      <c r="BA456" s="301"/>
      <c r="BB456" s="301"/>
      <c r="BC456" s="426"/>
      <c r="BD456" s="298"/>
      <c r="BE456" s="299"/>
      <c r="BF456" s="299"/>
      <c r="BG456" s="301"/>
      <c r="BH456" s="301"/>
      <c r="BI456" s="88"/>
      <c r="BJ456" s="298"/>
      <c r="BK456" s="299"/>
      <c r="BL456" s="299"/>
      <c r="BM456" s="301"/>
      <c r="BN456" s="301"/>
      <c r="BO456" s="88"/>
      <c r="BP456" s="9"/>
      <c r="BS456" s="81"/>
      <c r="BT456" s="81"/>
      <c r="BV456" s="9"/>
      <c r="BY456" s="81"/>
      <c r="BZ456" s="81"/>
      <c r="CB456" s="9"/>
      <c r="CE456" s="81"/>
      <c r="CF456" s="81"/>
      <c r="CH456" s="9"/>
      <c r="CK456" s="81"/>
      <c r="CL456" s="81"/>
      <c r="CR456" s="9"/>
      <c r="CS456" s="9"/>
      <c r="CT456" s="9"/>
      <c r="CU456" s="9"/>
      <c r="CV456" s="9"/>
      <c r="CW456" s="129"/>
      <c r="CX456" s="9"/>
    </row>
    <row r="457" spans="1:102">
      <c r="A457" s="6" t="str">
        <f t="shared" si="61"/>
        <v>00900998</v>
      </c>
      <c r="B457" s="6" t="s">
        <v>1740</v>
      </c>
      <c r="C457" s="6" t="s">
        <v>2091</v>
      </c>
      <c r="D457" s="6">
        <v>448</v>
      </c>
      <c r="E457" s="6">
        <v>90</v>
      </c>
      <c r="F457" s="6" t="s">
        <v>1547</v>
      </c>
      <c r="G457" s="6">
        <v>998</v>
      </c>
      <c r="H457" s="6" t="s">
        <v>1547</v>
      </c>
      <c r="I457" s="33">
        <v>0</v>
      </c>
      <c r="J457" s="88">
        <v>0</v>
      </c>
      <c r="K457" s="89">
        <f t="shared" si="70"/>
        <v>0</v>
      </c>
      <c r="L457" s="88">
        <f>IF(K459&gt;0, K457/K459, 0)</f>
        <v>0</v>
      </c>
      <c r="M457" s="58"/>
      <c r="N457" s="9">
        <f>ROUND(M459*L457,0)</f>
        <v>0</v>
      </c>
      <c r="O457" s="9">
        <v>0</v>
      </c>
      <c r="P457" s="9">
        <f>N457-O457</f>
        <v>0</v>
      </c>
      <c r="Q457" s="40">
        <f t="shared" si="69"/>
        <v>0</v>
      </c>
      <c r="R457" s="9">
        <v>0</v>
      </c>
      <c r="S457" s="9">
        <f t="shared" si="67"/>
        <v>0</v>
      </c>
      <c r="T457" s="90">
        <f t="shared" si="62"/>
        <v>90</v>
      </c>
      <c r="U457" s="90">
        <f t="shared" si="63"/>
        <v>998</v>
      </c>
      <c r="V457" s="373">
        <f t="shared" si="64"/>
        <v>448</v>
      </c>
      <c r="W457" s="90">
        <f t="shared" si="65"/>
        <v>0</v>
      </c>
      <c r="X457" s="90">
        <f t="shared" si="66"/>
        <v>0</v>
      </c>
      <c r="Y457" s="141">
        <f t="shared" si="68"/>
        <v>448</v>
      </c>
      <c r="Z457" s="298">
        <v>90</v>
      </c>
      <c r="AA457" s="299">
        <v>998</v>
      </c>
      <c r="AB457" s="299">
        <v>448</v>
      </c>
      <c r="AC457" s="301">
        <v>0</v>
      </c>
      <c r="AD457" s="301">
        <v>0</v>
      </c>
      <c r="AE457" s="126"/>
      <c r="AF457" s="298"/>
      <c r="AG457" s="299"/>
      <c r="AH457" s="299"/>
      <c r="AI457" s="301"/>
      <c r="AJ457" s="301"/>
      <c r="AK457" s="426"/>
      <c r="AL457" s="298"/>
      <c r="AM457" s="299"/>
      <c r="AN457" s="299"/>
      <c r="AO457" s="301"/>
      <c r="AP457" s="301"/>
      <c r="AQ457" s="426"/>
      <c r="AR457" s="298"/>
      <c r="AS457" s="299"/>
      <c r="AT457" s="299"/>
      <c r="AU457" s="301"/>
      <c r="AV457" s="301"/>
      <c r="AW457" s="88"/>
      <c r="AX457" s="298"/>
      <c r="AY457" s="299"/>
      <c r="AZ457" s="299"/>
      <c r="BA457" s="301"/>
      <c r="BB457" s="301"/>
      <c r="BC457" s="426"/>
      <c r="BD457" s="298"/>
      <c r="BE457" s="299"/>
      <c r="BF457" s="299"/>
      <c r="BG457" s="301"/>
      <c r="BH457" s="301"/>
      <c r="BI457" s="88"/>
      <c r="BJ457" s="298"/>
      <c r="BK457" s="299"/>
      <c r="BL457" s="299"/>
      <c r="BM457" s="301"/>
      <c r="BN457" s="301"/>
      <c r="BO457" s="88"/>
      <c r="BP457" s="9"/>
      <c r="BS457" s="81"/>
      <c r="BT457" s="81"/>
      <c r="BV457" s="9"/>
      <c r="BY457" s="81"/>
      <c r="BZ457" s="81"/>
      <c r="CB457" s="9"/>
      <c r="CE457" s="81"/>
      <c r="CF457" s="81"/>
      <c r="CH457" s="9"/>
      <c r="CK457" s="81"/>
      <c r="CL457" s="81"/>
      <c r="CR457" s="9"/>
      <c r="CS457" s="9"/>
      <c r="CT457" s="9"/>
      <c r="CU457" s="9"/>
      <c r="CV457" s="9"/>
      <c r="CW457" s="129"/>
      <c r="CX457" s="9"/>
    </row>
    <row r="458" spans="1:102">
      <c r="A458" s="6" t="str">
        <f t="shared" ref="A458:A521" si="71">B458&amp;C458</f>
        <v>00900998</v>
      </c>
      <c r="B458" s="6" t="s">
        <v>1740</v>
      </c>
      <c r="C458" s="6" t="s">
        <v>2091</v>
      </c>
      <c r="D458" s="6">
        <v>449</v>
      </c>
      <c r="E458" s="6">
        <v>90</v>
      </c>
      <c r="F458" s="6" t="s">
        <v>1547</v>
      </c>
      <c r="G458" s="6">
        <v>998</v>
      </c>
      <c r="H458" s="6" t="s">
        <v>1547</v>
      </c>
      <c r="I458" s="33">
        <v>0</v>
      </c>
      <c r="J458" s="88">
        <v>0</v>
      </c>
      <c r="K458" s="89">
        <f t="shared" si="70"/>
        <v>0</v>
      </c>
      <c r="L458" s="88">
        <f>IF(K459&gt;0, K458/K459, 0)</f>
        <v>0</v>
      </c>
      <c r="M458" s="58"/>
      <c r="N458" s="9">
        <f>ROUND(M459*L458,0)</f>
        <v>0</v>
      </c>
      <c r="O458" s="9">
        <v>0</v>
      </c>
      <c r="P458" s="9">
        <f>N458-O458</f>
        <v>0</v>
      </c>
      <c r="Q458" s="40">
        <f t="shared" si="69"/>
        <v>0</v>
      </c>
      <c r="R458" s="9">
        <v>0</v>
      </c>
      <c r="S458" s="9">
        <f t="shared" si="67"/>
        <v>0</v>
      </c>
      <c r="T458" s="90">
        <f t="shared" ref="T458:T521" si="72">VLOOKUP($D458, foundoptions, VLOOKUP($T$6, foundoptcell, 2, FALSE), FALSE)</f>
        <v>90</v>
      </c>
      <c r="U458" s="90">
        <f t="shared" ref="U458:U521" si="73">VLOOKUP($D458, foundoptions, VLOOKUP($T$6, foundoptcell, 2, FALSE)+1, FALSE)</f>
        <v>998</v>
      </c>
      <c r="V458" s="373">
        <f t="shared" ref="V458:V521" si="74">VLOOKUP($D458, foundoptions, VLOOKUP($T$6, foundoptcell, 2, FALSE)+2, FALSE)</f>
        <v>449</v>
      </c>
      <c r="W458" s="90">
        <f t="shared" ref="W458:W521" si="75">VLOOKUP($D458, foundoptions, VLOOKUP($T$6, foundoptcell, 2, FALSE)+3, FALSE)</f>
        <v>0</v>
      </c>
      <c r="X458" s="90">
        <f t="shared" ref="X458:X521" si="76">VLOOKUP($D458, foundoptions, VLOOKUP($T$6, foundoptcell, 2, FALSE)+4, FALSE)</f>
        <v>0</v>
      </c>
      <c r="Y458" s="141">
        <f t="shared" si="68"/>
        <v>449</v>
      </c>
      <c r="Z458" s="298">
        <v>90</v>
      </c>
      <c r="AA458" s="299">
        <v>998</v>
      </c>
      <c r="AB458" s="299">
        <v>449</v>
      </c>
      <c r="AC458" s="301">
        <v>0</v>
      </c>
      <c r="AD458" s="301">
        <v>0</v>
      </c>
      <c r="AE458" s="126"/>
      <c r="AF458" s="298"/>
      <c r="AG458" s="299"/>
      <c r="AH458" s="299"/>
      <c r="AI458" s="301"/>
      <c r="AJ458" s="301"/>
      <c r="AK458" s="426"/>
      <c r="AL458" s="298"/>
      <c r="AM458" s="299"/>
      <c r="AN458" s="299"/>
      <c r="AO458" s="301"/>
      <c r="AP458" s="301"/>
      <c r="AQ458" s="426"/>
      <c r="AR458" s="298"/>
      <c r="AS458" s="299"/>
      <c r="AT458" s="299"/>
      <c r="AU458" s="301"/>
      <c r="AV458" s="301"/>
      <c r="AW458" s="88"/>
      <c r="AX458" s="298"/>
      <c r="AY458" s="299"/>
      <c r="AZ458" s="299"/>
      <c r="BA458" s="301"/>
      <c r="BB458" s="301"/>
      <c r="BC458" s="426"/>
      <c r="BD458" s="298"/>
      <c r="BE458" s="299"/>
      <c r="BF458" s="299"/>
      <c r="BG458" s="301"/>
      <c r="BH458" s="301"/>
      <c r="BI458" s="88"/>
      <c r="BJ458" s="298"/>
      <c r="BK458" s="299"/>
      <c r="BL458" s="299"/>
      <c r="BM458" s="301"/>
      <c r="BN458" s="301"/>
      <c r="BO458" s="88"/>
      <c r="BP458" s="9"/>
      <c r="BS458" s="81"/>
      <c r="BT458" s="81"/>
      <c r="BV458" s="9"/>
      <c r="BY458" s="81"/>
      <c r="BZ458" s="81"/>
      <c r="CB458" s="9"/>
      <c r="CE458" s="81"/>
      <c r="CF458" s="81"/>
      <c r="CH458" s="9"/>
      <c r="CK458" s="81"/>
      <c r="CL458" s="81"/>
      <c r="CR458" s="9"/>
      <c r="CS458" s="9"/>
      <c r="CT458" s="9"/>
      <c r="CU458" s="9"/>
      <c r="CV458" s="9"/>
      <c r="CW458" s="129"/>
      <c r="CX458" s="9"/>
    </row>
    <row r="459" spans="1:102">
      <c r="A459" s="6" t="str">
        <f t="shared" si="71"/>
        <v>00900999</v>
      </c>
      <c r="B459" s="6" t="s">
        <v>1740</v>
      </c>
      <c r="C459" s="6" t="s">
        <v>2092</v>
      </c>
      <c r="D459" s="6">
        <v>450</v>
      </c>
      <c r="E459" s="10">
        <v>90</v>
      </c>
      <c r="F459" s="10" t="s">
        <v>1209</v>
      </c>
      <c r="G459" s="10">
        <v>999</v>
      </c>
      <c r="H459" s="10" t="s">
        <v>593</v>
      </c>
      <c r="I459" s="92">
        <v>1293907.663036203</v>
      </c>
      <c r="J459" s="472">
        <v>1</v>
      </c>
      <c r="K459" s="53">
        <f>SUM(K455:K458)</f>
        <v>1269627.7468174584</v>
      </c>
      <c r="L459" s="91">
        <f>SUM(L455:L458)</f>
        <v>1</v>
      </c>
      <c r="M459" s="79">
        <f>VLOOKUP(E459,town351,24)</f>
        <v>1047443</v>
      </c>
      <c r="N459" s="79">
        <f>SUM(N455:N458)</f>
        <v>1047443</v>
      </c>
      <c r="O459" s="79">
        <v>1067474</v>
      </c>
      <c r="P459" s="79">
        <f>SUM(P455:P458)</f>
        <v>-20031</v>
      </c>
      <c r="Q459" s="39">
        <f t="shared" si="69"/>
        <v>-1.8764859846703525</v>
      </c>
      <c r="R459" s="9">
        <v>90.203007518700005</v>
      </c>
      <c r="S459" s="9">
        <f t="shared" ref="S459:S522" si="77">W459</f>
        <v>87.237366002200005</v>
      </c>
      <c r="T459" s="90">
        <f t="shared" si="72"/>
        <v>90</v>
      </c>
      <c r="U459" s="90">
        <f t="shared" si="73"/>
        <v>999</v>
      </c>
      <c r="V459" s="373">
        <f t="shared" si="74"/>
        <v>450</v>
      </c>
      <c r="W459" s="90">
        <f t="shared" si="75"/>
        <v>87.237366002200005</v>
      </c>
      <c r="X459" s="90">
        <f t="shared" si="76"/>
        <v>1269627.7468174584</v>
      </c>
      <c r="Y459" s="141">
        <f t="shared" ref="Y459:Y522" si="78">D459</f>
        <v>450</v>
      </c>
      <c r="Z459" s="298">
        <v>90</v>
      </c>
      <c r="AA459" s="299">
        <v>999</v>
      </c>
      <c r="AB459" s="299">
        <v>450</v>
      </c>
      <c r="AC459" s="301">
        <v>87.237366002200005</v>
      </c>
      <c r="AD459" s="301">
        <v>1269627.7468174584</v>
      </c>
      <c r="AE459" s="126"/>
      <c r="AF459" s="298"/>
      <c r="AG459" s="299"/>
      <c r="AH459" s="299"/>
      <c r="AI459" s="301"/>
      <c r="AJ459" s="301"/>
      <c r="AK459" s="426"/>
      <c r="AL459" s="298"/>
      <c r="AM459" s="299"/>
      <c r="AN459" s="299"/>
      <c r="AO459" s="301"/>
      <c r="AP459" s="301"/>
      <c r="AQ459" s="426"/>
      <c r="AR459" s="298"/>
      <c r="AS459" s="299"/>
      <c r="AT459" s="299"/>
      <c r="AU459" s="301"/>
      <c r="AV459" s="301"/>
      <c r="AW459" s="91"/>
      <c r="AX459" s="298"/>
      <c r="AY459" s="299"/>
      <c r="AZ459" s="299"/>
      <c r="BA459" s="301"/>
      <c r="BB459" s="301"/>
      <c r="BC459" s="426"/>
      <c r="BD459" s="298"/>
      <c r="BE459" s="299"/>
      <c r="BF459" s="299"/>
      <c r="BG459" s="301"/>
      <c r="BH459" s="301"/>
      <c r="BI459" s="91"/>
      <c r="BJ459" s="298"/>
      <c r="BK459" s="299"/>
      <c r="BL459" s="299"/>
      <c r="BM459" s="301"/>
      <c r="BN459" s="301"/>
      <c r="BO459" s="91"/>
      <c r="BP459" s="9"/>
      <c r="BS459" s="81"/>
      <c r="BT459" s="81"/>
      <c r="BV459" s="9"/>
      <c r="BY459" s="81"/>
      <c r="BZ459" s="81"/>
      <c r="CB459" s="9"/>
      <c r="CE459" s="81"/>
      <c r="CF459" s="81"/>
      <c r="CH459" s="9"/>
      <c r="CK459" s="81"/>
      <c r="CL459" s="81"/>
      <c r="CR459" s="9"/>
      <c r="CS459" s="9"/>
      <c r="CT459" s="9"/>
      <c r="CU459" s="9"/>
      <c r="CV459" s="9"/>
      <c r="CW459" s="129"/>
      <c r="CX459" s="9"/>
    </row>
    <row r="460" spans="1:102">
      <c r="A460" s="6" t="str">
        <f t="shared" si="71"/>
        <v>00910091</v>
      </c>
      <c r="B460" s="6" t="s">
        <v>1741</v>
      </c>
      <c r="C460" s="6" t="s">
        <v>1741</v>
      </c>
      <c r="D460" s="6">
        <v>451</v>
      </c>
      <c r="E460" s="6">
        <v>91</v>
      </c>
      <c r="F460" s="6" t="s">
        <v>1210</v>
      </c>
      <c r="G460" s="6">
        <v>91</v>
      </c>
      <c r="H460" s="6" t="s">
        <v>772</v>
      </c>
      <c r="I460" s="33">
        <v>2671388.7799999998</v>
      </c>
      <c r="J460" s="88">
        <v>0.81708055326597928</v>
      </c>
      <c r="K460" s="89">
        <f>X460</f>
        <v>2756151.77</v>
      </c>
      <c r="L460" s="88">
        <f>IF(K464&gt;0, K460/K464, 0)</f>
        <v>0.8236442909294559</v>
      </c>
      <c r="M460" s="58"/>
      <c r="N460" s="9">
        <f>ROUND(M464*L460,0)</f>
        <v>2220663</v>
      </c>
      <c r="O460" s="9">
        <v>2115389</v>
      </c>
      <c r="P460" s="9">
        <f>N460-O460</f>
        <v>105274</v>
      </c>
      <c r="Q460" s="40">
        <f t="shared" si="69"/>
        <v>4.9765787758185374</v>
      </c>
      <c r="R460" s="9">
        <v>203</v>
      </c>
      <c r="S460" s="9">
        <f t="shared" si="77"/>
        <v>204</v>
      </c>
      <c r="T460" s="90">
        <f t="shared" si="72"/>
        <v>91</v>
      </c>
      <c r="U460" s="90">
        <f t="shared" si="73"/>
        <v>91</v>
      </c>
      <c r="V460" s="373">
        <f t="shared" si="74"/>
        <v>451</v>
      </c>
      <c r="W460" s="90">
        <f t="shared" si="75"/>
        <v>204</v>
      </c>
      <c r="X460" s="90">
        <f t="shared" si="76"/>
        <v>2756151.77</v>
      </c>
      <c r="Y460" s="141">
        <f t="shared" si="78"/>
        <v>451</v>
      </c>
      <c r="Z460" s="298">
        <v>91</v>
      </c>
      <c r="AA460" s="299">
        <v>91</v>
      </c>
      <c r="AB460" s="299">
        <v>451</v>
      </c>
      <c r="AC460" s="301">
        <v>204</v>
      </c>
      <c r="AD460" s="301">
        <v>2756151.77</v>
      </c>
      <c r="AE460" s="126"/>
      <c r="AF460" s="298"/>
      <c r="AG460" s="299"/>
      <c r="AH460" s="299"/>
      <c r="AI460" s="301"/>
      <c r="AJ460" s="301"/>
      <c r="AK460" s="426"/>
      <c r="AL460" s="298"/>
      <c r="AM460" s="299"/>
      <c r="AN460" s="299"/>
      <c r="AO460" s="301"/>
      <c r="AP460" s="301"/>
      <c r="AQ460" s="426"/>
      <c r="AR460" s="298"/>
      <c r="AS460" s="299"/>
      <c r="AT460" s="299"/>
      <c r="AU460" s="301"/>
      <c r="AV460" s="301"/>
      <c r="AW460" s="88"/>
      <c r="AX460" s="298"/>
      <c r="AY460" s="299"/>
      <c r="AZ460" s="299"/>
      <c r="BA460" s="301"/>
      <c r="BB460" s="301"/>
      <c r="BC460" s="426"/>
      <c r="BD460" s="298"/>
      <c r="BE460" s="299"/>
      <c r="BF460" s="299"/>
      <c r="BG460" s="301"/>
      <c r="BH460" s="301"/>
      <c r="BI460" s="88"/>
      <c r="BJ460" s="298"/>
      <c r="BK460" s="299"/>
      <c r="BL460" s="299"/>
      <c r="BM460" s="301"/>
      <c r="BN460" s="301"/>
      <c r="BO460" s="88"/>
      <c r="BP460" s="9"/>
      <c r="BS460" s="81"/>
      <c r="BT460" s="81"/>
      <c r="BV460" s="9"/>
      <c r="BY460" s="81"/>
      <c r="BZ460" s="81"/>
      <c r="CB460" s="9"/>
      <c r="CE460" s="81"/>
      <c r="CF460" s="81"/>
      <c r="CH460" s="9"/>
      <c r="CK460" s="81"/>
      <c r="CL460" s="81"/>
      <c r="CR460" s="9"/>
      <c r="CS460" s="9"/>
      <c r="CT460" s="9"/>
      <c r="CU460" s="9"/>
      <c r="CV460" s="9"/>
      <c r="CW460" s="129"/>
      <c r="CX460" s="9"/>
    </row>
    <row r="461" spans="1:102">
      <c r="A461" s="6" t="str">
        <f t="shared" si="71"/>
        <v>00910818</v>
      </c>
      <c r="B461" s="6" t="s">
        <v>1741</v>
      </c>
      <c r="C461" s="6" t="s">
        <v>2068</v>
      </c>
      <c r="D461" s="6">
        <v>452</v>
      </c>
      <c r="E461" s="6">
        <v>91</v>
      </c>
      <c r="F461" s="6" t="s">
        <v>1210</v>
      </c>
      <c r="G461" s="6">
        <v>818</v>
      </c>
      <c r="H461" s="6" t="s">
        <v>1098</v>
      </c>
      <c r="I461" s="33">
        <v>598042.5745000001</v>
      </c>
      <c r="J461" s="88">
        <v>0.18291944673402077</v>
      </c>
      <c r="K461" s="89">
        <f t="shared" si="70"/>
        <v>590137.15636379749</v>
      </c>
      <c r="L461" s="88">
        <f>IF(K464&gt;0, K461/K464, 0)</f>
        <v>0.17635570907054418</v>
      </c>
      <c r="M461" s="58"/>
      <c r="N461" s="9">
        <f>ROUND(M464*L461,0)</f>
        <v>475480</v>
      </c>
      <c r="O461" s="9">
        <v>473571</v>
      </c>
      <c r="P461" s="9">
        <f>N461-O461</f>
        <v>1909</v>
      </c>
      <c r="Q461" s="40">
        <f t="shared" si="69"/>
        <v>0.40310745379256752</v>
      </c>
      <c r="R461" s="9">
        <v>28</v>
      </c>
      <c r="S461" s="9">
        <f t="shared" si="77"/>
        <v>27.000000001100002</v>
      </c>
      <c r="T461" s="90">
        <f t="shared" si="72"/>
        <v>91</v>
      </c>
      <c r="U461" s="90">
        <f t="shared" si="73"/>
        <v>818</v>
      </c>
      <c r="V461" s="373">
        <f t="shared" si="74"/>
        <v>452</v>
      </c>
      <c r="W461" s="90">
        <f t="shared" si="75"/>
        <v>27.000000001100002</v>
      </c>
      <c r="X461" s="90">
        <f t="shared" si="76"/>
        <v>590137.15636379749</v>
      </c>
      <c r="Y461" s="141">
        <f t="shared" si="78"/>
        <v>452</v>
      </c>
      <c r="Z461" s="298">
        <v>91</v>
      </c>
      <c r="AA461" s="299">
        <v>818</v>
      </c>
      <c r="AB461" s="299">
        <v>452</v>
      </c>
      <c r="AC461" s="301">
        <v>27.000000001100002</v>
      </c>
      <c r="AD461" s="301">
        <v>590137.15636379749</v>
      </c>
      <c r="AE461" s="126"/>
      <c r="AF461" s="298"/>
      <c r="AG461" s="299"/>
      <c r="AH461" s="299"/>
      <c r="AI461" s="301"/>
      <c r="AJ461" s="301"/>
      <c r="AK461" s="426"/>
      <c r="AL461" s="298"/>
      <c r="AM461" s="299"/>
      <c r="AN461" s="299"/>
      <c r="AO461" s="301"/>
      <c r="AP461" s="301"/>
      <c r="AQ461" s="426"/>
      <c r="AR461" s="298"/>
      <c r="AS461" s="299"/>
      <c r="AT461" s="299"/>
      <c r="AU461" s="301"/>
      <c r="AV461" s="301"/>
      <c r="AW461" s="88"/>
      <c r="AX461" s="298"/>
      <c r="AY461" s="299"/>
      <c r="AZ461" s="299"/>
      <c r="BA461" s="301"/>
      <c r="BB461" s="301"/>
      <c r="BC461" s="426"/>
      <c r="BD461" s="298"/>
      <c r="BE461" s="299"/>
      <c r="BF461" s="299"/>
      <c r="BG461" s="301"/>
      <c r="BH461" s="301"/>
      <c r="BI461" s="88"/>
      <c r="BJ461" s="298"/>
      <c r="BK461" s="299"/>
      <c r="BL461" s="299"/>
      <c r="BM461" s="301"/>
      <c r="BN461" s="301"/>
      <c r="BO461" s="88"/>
      <c r="BP461" s="9"/>
      <c r="BS461" s="81"/>
      <c r="BT461" s="81"/>
      <c r="BV461" s="9"/>
      <c r="BY461" s="81"/>
      <c r="BZ461" s="81"/>
      <c r="CB461" s="9"/>
      <c r="CE461" s="81"/>
      <c r="CF461" s="81"/>
      <c r="CH461" s="9"/>
      <c r="CK461" s="81"/>
      <c r="CL461" s="81"/>
      <c r="CR461" s="9"/>
      <c r="CS461" s="9"/>
      <c r="CT461" s="9"/>
      <c r="CU461" s="9"/>
      <c r="CV461" s="9"/>
      <c r="CW461" s="129"/>
      <c r="CX461" s="9"/>
    </row>
    <row r="462" spans="1:102">
      <c r="A462" s="6" t="str">
        <f t="shared" si="71"/>
        <v>00910998</v>
      </c>
      <c r="B462" s="6" t="s">
        <v>1741</v>
      </c>
      <c r="C462" s="6" t="s">
        <v>2091</v>
      </c>
      <c r="D462" s="6">
        <v>453</v>
      </c>
      <c r="E462" s="6">
        <v>91</v>
      </c>
      <c r="F462" s="6" t="s">
        <v>1547</v>
      </c>
      <c r="G462" s="6">
        <v>998</v>
      </c>
      <c r="H462" s="6" t="s">
        <v>1547</v>
      </c>
      <c r="I462" s="33">
        <v>0</v>
      </c>
      <c r="J462" s="88">
        <v>0</v>
      </c>
      <c r="K462" s="89">
        <f t="shared" si="70"/>
        <v>0</v>
      </c>
      <c r="L462" s="88">
        <f>IF(K464&gt;0, K462/K464, 0)</f>
        <v>0</v>
      </c>
      <c r="M462" s="58"/>
      <c r="N462" s="9">
        <f>ROUND(M464*L462,0)</f>
        <v>0</v>
      </c>
      <c r="O462" s="9">
        <v>0</v>
      </c>
      <c r="P462" s="9">
        <f>N462-O462</f>
        <v>0</v>
      </c>
      <c r="Q462" s="40">
        <f t="shared" si="69"/>
        <v>0</v>
      </c>
      <c r="R462" s="9">
        <v>0</v>
      </c>
      <c r="S462" s="9">
        <f t="shared" si="77"/>
        <v>0</v>
      </c>
      <c r="T462" s="90">
        <f t="shared" si="72"/>
        <v>91</v>
      </c>
      <c r="U462" s="90">
        <f t="shared" si="73"/>
        <v>998</v>
      </c>
      <c r="V462" s="373">
        <f t="shared" si="74"/>
        <v>453</v>
      </c>
      <c r="W462" s="90">
        <f t="shared" si="75"/>
        <v>0</v>
      </c>
      <c r="X462" s="90">
        <f t="shared" si="76"/>
        <v>0</v>
      </c>
      <c r="Y462" s="141">
        <f t="shared" si="78"/>
        <v>453</v>
      </c>
      <c r="Z462" s="298">
        <v>91</v>
      </c>
      <c r="AA462" s="299">
        <v>998</v>
      </c>
      <c r="AB462" s="299">
        <v>453</v>
      </c>
      <c r="AC462" s="301">
        <v>0</v>
      </c>
      <c r="AD462" s="301">
        <v>0</v>
      </c>
      <c r="AE462" s="126"/>
      <c r="AF462" s="298"/>
      <c r="AG462" s="299"/>
      <c r="AH462" s="299"/>
      <c r="AI462" s="301"/>
      <c r="AJ462" s="301"/>
      <c r="AK462" s="426"/>
      <c r="AL462" s="298"/>
      <c r="AM462" s="299"/>
      <c r="AN462" s="299"/>
      <c r="AO462" s="301"/>
      <c r="AP462" s="301"/>
      <c r="AQ462" s="426"/>
      <c r="AR462" s="298"/>
      <c r="AS462" s="299"/>
      <c r="AT462" s="299"/>
      <c r="AU462" s="301"/>
      <c r="AV462" s="301"/>
      <c r="AW462" s="88"/>
      <c r="AX462" s="298"/>
      <c r="AY462" s="299"/>
      <c r="AZ462" s="299"/>
      <c r="BA462" s="301"/>
      <c r="BB462" s="301"/>
      <c r="BC462" s="426"/>
      <c r="BD462" s="298"/>
      <c r="BE462" s="299"/>
      <c r="BF462" s="299"/>
      <c r="BG462" s="301"/>
      <c r="BH462" s="301"/>
      <c r="BI462" s="88"/>
      <c r="BJ462" s="298"/>
      <c r="BK462" s="299"/>
      <c r="BL462" s="299"/>
      <c r="BM462" s="301"/>
      <c r="BN462" s="301"/>
      <c r="BO462" s="88"/>
      <c r="BP462" s="9"/>
      <c r="BS462" s="81"/>
      <c r="BT462" s="81"/>
      <c r="BV462" s="9"/>
      <c r="BY462" s="81"/>
      <c r="BZ462" s="81"/>
      <c r="CB462" s="9"/>
      <c r="CE462" s="81"/>
      <c r="CF462" s="81"/>
      <c r="CH462" s="9"/>
      <c r="CK462" s="81"/>
      <c r="CL462" s="81"/>
      <c r="CR462" s="9"/>
      <c r="CS462" s="9"/>
      <c r="CT462" s="9"/>
      <c r="CU462" s="9"/>
      <c r="CV462" s="9"/>
      <c r="CW462" s="129"/>
      <c r="CX462" s="9"/>
    </row>
    <row r="463" spans="1:102">
      <c r="A463" s="6" t="str">
        <f t="shared" si="71"/>
        <v>00910998</v>
      </c>
      <c r="B463" s="6" t="s">
        <v>1741</v>
      </c>
      <c r="C463" s="6" t="s">
        <v>2091</v>
      </c>
      <c r="D463" s="6">
        <v>454</v>
      </c>
      <c r="E463" s="6">
        <v>91</v>
      </c>
      <c r="F463" s="6" t="s">
        <v>1547</v>
      </c>
      <c r="G463" s="6">
        <v>998</v>
      </c>
      <c r="H463" s="6" t="s">
        <v>1547</v>
      </c>
      <c r="I463" s="33">
        <v>0</v>
      </c>
      <c r="J463" s="88">
        <v>0</v>
      </c>
      <c r="K463" s="89">
        <f t="shared" si="70"/>
        <v>0</v>
      </c>
      <c r="L463" s="88">
        <f>IF(K464&gt;0, K463/K464, 0)</f>
        <v>0</v>
      </c>
      <c r="M463" s="58"/>
      <c r="N463" s="9">
        <f>ROUND(M464*L463,0)</f>
        <v>0</v>
      </c>
      <c r="O463" s="9">
        <v>0</v>
      </c>
      <c r="P463" s="9">
        <f>N463-O463</f>
        <v>0</v>
      </c>
      <c r="Q463" s="40">
        <f t="shared" si="69"/>
        <v>0</v>
      </c>
      <c r="R463" s="9">
        <v>0</v>
      </c>
      <c r="S463" s="9">
        <f t="shared" si="77"/>
        <v>0</v>
      </c>
      <c r="T463" s="90">
        <f t="shared" si="72"/>
        <v>91</v>
      </c>
      <c r="U463" s="90">
        <f t="shared" si="73"/>
        <v>998</v>
      </c>
      <c r="V463" s="373">
        <f t="shared" si="74"/>
        <v>454</v>
      </c>
      <c r="W463" s="90">
        <f t="shared" si="75"/>
        <v>0</v>
      </c>
      <c r="X463" s="90">
        <f t="shared" si="76"/>
        <v>0</v>
      </c>
      <c r="Y463" s="141">
        <f t="shared" si="78"/>
        <v>454</v>
      </c>
      <c r="Z463" s="298">
        <v>91</v>
      </c>
      <c r="AA463" s="299">
        <v>998</v>
      </c>
      <c r="AB463" s="299">
        <v>454</v>
      </c>
      <c r="AC463" s="301">
        <v>0</v>
      </c>
      <c r="AD463" s="301">
        <v>0</v>
      </c>
      <c r="AE463" s="126"/>
      <c r="AF463" s="298"/>
      <c r="AG463" s="299"/>
      <c r="AH463" s="299"/>
      <c r="AI463" s="301"/>
      <c r="AJ463" s="301"/>
      <c r="AK463" s="426"/>
      <c r="AL463" s="298"/>
      <c r="AM463" s="299"/>
      <c r="AN463" s="299"/>
      <c r="AO463" s="301"/>
      <c r="AP463" s="301"/>
      <c r="AQ463" s="426"/>
      <c r="AR463" s="298"/>
      <c r="AS463" s="299"/>
      <c r="AT463" s="299"/>
      <c r="AU463" s="301"/>
      <c r="AV463" s="301"/>
      <c r="AW463" s="88"/>
      <c r="AX463" s="298"/>
      <c r="AY463" s="299"/>
      <c r="AZ463" s="299"/>
      <c r="BA463" s="301"/>
      <c r="BB463" s="301"/>
      <c r="BC463" s="426"/>
      <c r="BD463" s="298"/>
      <c r="BE463" s="299"/>
      <c r="BF463" s="299"/>
      <c r="BG463" s="301"/>
      <c r="BH463" s="301"/>
      <c r="BI463" s="88"/>
      <c r="BJ463" s="298"/>
      <c r="BK463" s="299"/>
      <c r="BL463" s="299"/>
      <c r="BM463" s="301"/>
      <c r="BN463" s="301"/>
      <c r="BO463" s="88"/>
      <c r="BP463" s="9"/>
      <c r="BS463" s="81"/>
      <c r="BT463" s="81"/>
      <c r="BV463" s="9"/>
      <c r="BY463" s="81"/>
      <c r="BZ463" s="81"/>
      <c r="CB463" s="9"/>
      <c r="CE463" s="81"/>
      <c r="CF463" s="81"/>
      <c r="CH463" s="9"/>
      <c r="CK463" s="81"/>
      <c r="CL463" s="81"/>
      <c r="CR463" s="9"/>
      <c r="CS463" s="9"/>
      <c r="CT463" s="9"/>
      <c r="CU463" s="9"/>
      <c r="CV463" s="9"/>
      <c r="CW463" s="129"/>
      <c r="CX463" s="9"/>
    </row>
    <row r="464" spans="1:102">
      <c r="A464" s="6" t="str">
        <f t="shared" si="71"/>
        <v>00910999</v>
      </c>
      <c r="B464" s="6" t="s">
        <v>1741</v>
      </c>
      <c r="C464" s="6" t="s">
        <v>2092</v>
      </c>
      <c r="D464" s="6">
        <v>455</v>
      </c>
      <c r="E464" s="10">
        <v>91</v>
      </c>
      <c r="F464" s="10" t="s">
        <v>1210</v>
      </c>
      <c r="G464" s="10">
        <v>999</v>
      </c>
      <c r="H464" s="10" t="s">
        <v>593</v>
      </c>
      <c r="I464" s="92">
        <v>3269431.3544999999</v>
      </c>
      <c r="J464" s="472">
        <v>1</v>
      </c>
      <c r="K464" s="53">
        <f>SUM(K460:K463)</f>
        <v>3346288.9263637974</v>
      </c>
      <c r="L464" s="91">
        <f>SUM(L460:L463)</f>
        <v>1</v>
      </c>
      <c r="M464" s="79">
        <f>VLOOKUP(E464,town351,24)</f>
        <v>2696143</v>
      </c>
      <c r="N464" s="79">
        <f>SUM(N460:N463)</f>
        <v>2696143</v>
      </c>
      <c r="O464" s="79">
        <v>2588960</v>
      </c>
      <c r="P464" s="79">
        <f>SUM(P460:P463)</f>
        <v>107183</v>
      </c>
      <c r="Q464" s="39">
        <f t="shared" ref="Q464:Q527" si="79">IF(O464&gt;0,P464*100/O464,IF(P464&gt;0,100,0))</f>
        <v>4.1400021630307151</v>
      </c>
      <c r="R464" s="9">
        <v>231</v>
      </c>
      <c r="S464" s="9">
        <f t="shared" si="77"/>
        <v>231.00000000110001</v>
      </c>
      <c r="T464" s="90">
        <f t="shared" si="72"/>
        <v>91</v>
      </c>
      <c r="U464" s="90">
        <f t="shared" si="73"/>
        <v>999</v>
      </c>
      <c r="V464" s="373">
        <f t="shared" si="74"/>
        <v>455</v>
      </c>
      <c r="W464" s="90">
        <f t="shared" si="75"/>
        <v>231.00000000110001</v>
      </c>
      <c r="X464" s="90">
        <f t="shared" si="76"/>
        <v>3346288.9263637974</v>
      </c>
      <c r="Y464" s="141">
        <f t="shared" si="78"/>
        <v>455</v>
      </c>
      <c r="Z464" s="298">
        <v>91</v>
      </c>
      <c r="AA464" s="299">
        <v>999</v>
      </c>
      <c r="AB464" s="299">
        <v>455</v>
      </c>
      <c r="AC464" s="301">
        <v>231.00000000110001</v>
      </c>
      <c r="AD464" s="301">
        <v>3346288.9263637974</v>
      </c>
      <c r="AE464" s="126"/>
      <c r="AF464" s="298"/>
      <c r="AG464" s="299"/>
      <c r="AH464" s="299"/>
      <c r="AI464" s="301"/>
      <c r="AJ464" s="301"/>
      <c r="AK464" s="426"/>
      <c r="AL464" s="298"/>
      <c r="AM464" s="299"/>
      <c r="AN464" s="299"/>
      <c r="AO464" s="301"/>
      <c r="AP464" s="301"/>
      <c r="AQ464" s="426"/>
      <c r="AR464" s="298"/>
      <c r="AS464" s="299"/>
      <c r="AT464" s="299"/>
      <c r="AU464" s="301"/>
      <c r="AV464" s="301"/>
      <c r="AW464" s="91"/>
      <c r="AX464" s="298"/>
      <c r="AY464" s="299"/>
      <c r="AZ464" s="299"/>
      <c r="BA464" s="301"/>
      <c r="BB464" s="301"/>
      <c r="BC464" s="426"/>
      <c r="BD464" s="298"/>
      <c r="BE464" s="299"/>
      <c r="BF464" s="299"/>
      <c r="BG464" s="301"/>
      <c r="BH464" s="301"/>
      <c r="BI464" s="91"/>
      <c r="BJ464" s="298"/>
      <c r="BK464" s="299"/>
      <c r="BL464" s="299"/>
      <c r="BM464" s="301"/>
      <c r="BN464" s="301"/>
      <c r="BO464" s="91"/>
      <c r="BP464" s="9"/>
      <c r="BS464" s="81"/>
      <c r="BT464" s="81"/>
      <c r="BV464" s="9"/>
      <c r="BY464" s="81"/>
      <c r="BZ464" s="81"/>
      <c r="CB464" s="9"/>
      <c r="CE464" s="81"/>
      <c r="CF464" s="81"/>
      <c r="CH464" s="9"/>
      <c r="CK464" s="81"/>
      <c r="CL464" s="81"/>
      <c r="CR464" s="9"/>
      <c r="CS464" s="9"/>
      <c r="CT464" s="9"/>
      <c r="CU464" s="9"/>
      <c r="CV464" s="9"/>
      <c r="CW464" s="129"/>
      <c r="CX464" s="9"/>
    </row>
    <row r="465" spans="1:102">
      <c r="A465" s="6" t="str">
        <f t="shared" si="71"/>
        <v>00920092</v>
      </c>
      <c r="B465" s="6" t="s">
        <v>1742</v>
      </c>
      <c r="C465" s="6" t="s">
        <v>1742</v>
      </c>
      <c r="D465" s="6">
        <v>456</v>
      </c>
      <c r="E465" s="6">
        <v>92</v>
      </c>
      <c r="F465" s="6" t="s">
        <v>1211</v>
      </c>
      <c r="G465" s="6">
        <v>92</v>
      </c>
      <c r="H465" s="6" t="s">
        <v>773</v>
      </c>
      <c r="I465" s="33">
        <v>0</v>
      </c>
      <c r="J465" s="88">
        <v>0</v>
      </c>
      <c r="K465" s="89">
        <f>X465</f>
        <v>0</v>
      </c>
      <c r="L465" s="88">
        <f>IF(K469&gt;0, K465/K469, 0)</f>
        <v>0</v>
      </c>
      <c r="M465" s="58"/>
      <c r="N465" s="9">
        <f>ROUND(M469*L465,0)</f>
        <v>0</v>
      </c>
      <c r="O465" s="9">
        <v>0</v>
      </c>
      <c r="P465" s="9">
        <f>N465-O465</f>
        <v>0</v>
      </c>
      <c r="Q465" s="40">
        <f t="shared" si="79"/>
        <v>0</v>
      </c>
      <c r="R465" s="9">
        <v>0</v>
      </c>
      <c r="S465" s="9">
        <f t="shared" si="77"/>
        <v>0</v>
      </c>
      <c r="T465" s="90">
        <f t="shared" si="72"/>
        <v>92</v>
      </c>
      <c r="U465" s="90">
        <f t="shared" si="73"/>
        <v>92</v>
      </c>
      <c r="V465" s="373">
        <f t="shared" si="74"/>
        <v>456</v>
      </c>
      <c r="W465" s="90">
        <f t="shared" si="75"/>
        <v>0</v>
      </c>
      <c r="X465" s="90">
        <f t="shared" si="76"/>
        <v>0</v>
      </c>
      <c r="Y465" s="141">
        <f t="shared" si="78"/>
        <v>456</v>
      </c>
      <c r="Z465" s="298">
        <v>92</v>
      </c>
      <c r="AA465" s="299">
        <v>92</v>
      </c>
      <c r="AB465" s="299">
        <v>456</v>
      </c>
      <c r="AC465" s="301">
        <v>0</v>
      </c>
      <c r="AD465" s="301">
        <v>0</v>
      </c>
      <c r="AE465" s="126"/>
      <c r="AF465" s="298"/>
      <c r="AG465" s="299"/>
      <c r="AH465" s="299"/>
      <c r="AI465" s="301"/>
      <c r="AJ465" s="301"/>
      <c r="AK465" s="426"/>
      <c r="AL465" s="298"/>
      <c r="AM465" s="299"/>
      <c r="AN465" s="299"/>
      <c r="AO465" s="301"/>
      <c r="AP465" s="301"/>
      <c r="AQ465" s="426"/>
      <c r="AR465" s="298"/>
      <c r="AS465" s="299"/>
      <c r="AT465" s="299"/>
      <c r="AU465" s="301"/>
      <c r="AV465" s="301"/>
      <c r="AW465" s="88"/>
      <c r="AX465" s="298"/>
      <c r="AY465" s="299"/>
      <c r="AZ465" s="299"/>
      <c r="BA465" s="301"/>
      <c r="BB465" s="301"/>
      <c r="BC465" s="426"/>
      <c r="BD465" s="298"/>
      <c r="BE465" s="299"/>
      <c r="BF465" s="299"/>
      <c r="BG465" s="301"/>
      <c r="BH465" s="301"/>
      <c r="BI465" s="88"/>
      <c r="BJ465" s="298"/>
      <c r="BK465" s="299"/>
      <c r="BL465" s="299"/>
      <c r="BM465" s="301"/>
      <c r="BN465" s="301"/>
      <c r="BO465" s="88"/>
      <c r="BP465" s="9"/>
      <c r="BS465" s="81"/>
      <c r="BT465" s="81"/>
      <c r="BV465" s="9"/>
      <c r="BY465" s="81"/>
      <c r="BZ465" s="81"/>
      <c r="CB465" s="9"/>
      <c r="CE465" s="81"/>
      <c r="CF465" s="81"/>
      <c r="CH465" s="9"/>
      <c r="CK465" s="81"/>
      <c r="CL465" s="81"/>
      <c r="CR465" s="9"/>
      <c r="CS465" s="9"/>
      <c r="CT465" s="9"/>
      <c r="CU465" s="9"/>
      <c r="CV465" s="9"/>
      <c r="CW465" s="129"/>
      <c r="CX465" s="9"/>
    </row>
    <row r="466" spans="1:102">
      <c r="A466" s="6" t="str">
        <f t="shared" si="71"/>
        <v>00920698</v>
      </c>
      <c r="B466" s="6" t="s">
        <v>1742</v>
      </c>
      <c r="C466" s="6" t="s">
        <v>2034</v>
      </c>
      <c r="D466" s="6">
        <v>457</v>
      </c>
      <c r="E466" s="6">
        <v>92</v>
      </c>
      <c r="F466" s="6" t="s">
        <v>1211</v>
      </c>
      <c r="G466" s="6">
        <v>698</v>
      </c>
      <c r="H466" s="6" t="s">
        <v>1064</v>
      </c>
      <c r="I466" s="33">
        <v>6338341.5474519432</v>
      </c>
      <c r="J466" s="88">
        <v>0.93593852472223082</v>
      </c>
      <c r="K466" s="89">
        <f t="shared" si="70"/>
        <v>6379142.5933382753</v>
      </c>
      <c r="L466" s="88">
        <f>IF(K469&gt;0, K466/K469, 0)</f>
        <v>0.94331239109872234</v>
      </c>
      <c r="M466" s="58"/>
      <c r="N466" s="9">
        <f>ROUND(M469*L466,0)</f>
        <v>5126297</v>
      </c>
      <c r="O466" s="9">
        <v>4838954</v>
      </c>
      <c r="P466" s="9">
        <f>N466-O466</f>
        <v>287343</v>
      </c>
      <c r="Q466" s="40">
        <f t="shared" si="79"/>
        <v>5.9381221644181776</v>
      </c>
      <c r="R466" s="9">
        <v>496.23697478962004</v>
      </c>
      <c r="S466" s="9">
        <f t="shared" si="77"/>
        <v>489.83641160920001</v>
      </c>
      <c r="T466" s="90">
        <f t="shared" si="72"/>
        <v>92</v>
      </c>
      <c r="U466" s="90">
        <f t="shared" si="73"/>
        <v>698</v>
      </c>
      <c r="V466" s="373">
        <f t="shared" si="74"/>
        <v>457</v>
      </c>
      <c r="W466" s="90">
        <f t="shared" si="75"/>
        <v>489.83641160920001</v>
      </c>
      <c r="X466" s="90">
        <f t="shared" si="76"/>
        <v>6379142.5933382753</v>
      </c>
      <c r="Y466" s="141">
        <f t="shared" si="78"/>
        <v>457</v>
      </c>
      <c r="Z466" s="298">
        <v>92</v>
      </c>
      <c r="AA466" s="299">
        <v>698</v>
      </c>
      <c r="AB466" s="299">
        <v>457</v>
      </c>
      <c r="AC466" s="301">
        <v>489.83641160920001</v>
      </c>
      <c r="AD466" s="301">
        <v>6379142.5933382753</v>
      </c>
      <c r="AE466" s="126"/>
      <c r="AF466" s="298"/>
      <c r="AG466" s="299"/>
      <c r="AH466" s="299"/>
      <c r="AI466" s="301"/>
      <c r="AJ466" s="301"/>
      <c r="AK466" s="426"/>
      <c r="AL466" s="298"/>
      <c r="AM466" s="299"/>
      <c r="AN466" s="299"/>
      <c r="AO466" s="301"/>
      <c r="AP466" s="301"/>
      <c r="AQ466" s="426"/>
      <c r="AR466" s="298"/>
      <c r="AS466" s="299"/>
      <c r="AT466" s="299"/>
      <c r="AU466" s="301"/>
      <c r="AV466" s="301"/>
      <c r="AW466" s="88"/>
      <c r="AX466" s="298"/>
      <c r="AY466" s="299"/>
      <c r="AZ466" s="299"/>
      <c r="BA466" s="301"/>
      <c r="BB466" s="301"/>
      <c r="BC466" s="426"/>
      <c r="BD466" s="298"/>
      <c r="BE466" s="299"/>
      <c r="BF466" s="299"/>
      <c r="BG466" s="301"/>
      <c r="BH466" s="301"/>
      <c r="BI466" s="88"/>
      <c r="BJ466" s="298"/>
      <c r="BK466" s="299"/>
      <c r="BL466" s="299"/>
      <c r="BM466" s="301"/>
      <c r="BN466" s="301"/>
      <c r="BO466" s="88"/>
      <c r="BP466" s="9"/>
      <c r="BS466" s="81"/>
      <c r="BT466" s="81"/>
      <c r="BV466" s="9"/>
      <c r="BY466" s="81"/>
      <c r="BZ466" s="81"/>
      <c r="CB466" s="9"/>
      <c r="CE466" s="81"/>
      <c r="CF466" s="81"/>
      <c r="CH466" s="9"/>
      <c r="CK466" s="81"/>
      <c r="CL466" s="81"/>
      <c r="CR466" s="9"/>
      <c r="CS466" s="9"/>
      <c r="CT466" s="9"/>
      <c r="CU466" s="9"/>
      <c r="CV466" s="9"/>
      <c r="CW466" s="129"/>
      <c r="CX466" s="9"/>
    </row>
    <row r="467" spans="1:102">
      <c r="A467" s="6" t="str">
        <f t="shared" si="71"/>
        <v>00920817</v>
      </c>
      <c r="B467" s="6" t="s">
        <v>1742</v>
      </c>
      <c r="C467" s="6" t="s">
        <v>2067</v>
      </c>
      <c r="D467" s="6">
        <v>458</v>
      </c>
      <c r="E467" s="6">
        <v>92</v>
      </c>
      <c r="F467" s="6" t="s">
        <v>1211</v>
      </c>
      <c r="G467" s="6">
        <v>817</v>
      </c>
      <c r="H467" s="6" t="s">
        <v>1097</v>
      </c>
      <c r="I467" s="33">
        <v>433835.66294020851</v>
      </c>
      <c r="J467" s="88">
        <v>6.4061475277769148E-2</v>
      </c>
      <c r="K467" s="89">
        <f t="shared" si="70"/>
        <v>383349.50740490976</v>
      </c>
      <c r="L467" s="88">
        <f>IF(K469&gt;0, K467/K469, 0)</f>
        <v>5.668760890127774E-2</v>
      </c>
      <c r="M467" s="58"/>
      <c r="N467" s="9">
        <f>ROUND(M469*L467,0)</f>
        <v>308061</v>
      </c>
      <c r="O467" s="9">
        <v>331208</v>
      </c>
      <c r="P467" s="9">
        <f>N467-O467</f>
        <v>-23147</v>
      </c>
      <c r="Q467" s="40">
        <f t="shared" si="79"/>
        <v>-6.988659694210285</v>
      </c>
      <c r="R467" s="9">
        <v>21.999999993749999</v>
      </c>
      <c r="S467" s="9">
        <f t="shared" si="77"/>
        <v>19.000000004669999</v>
      </c>
      <c r="T467" s="90">
        <f t="shared" si="72"/>
        <v>92</v>
      </c>
      <c r="U467" s="90">
        <f t="shared" si="73"/>
        <v>817</v>
      </c>
      <c r="V467" s="373">
        <f t="shared" si="74"/>
        <v>458</v>
      </c>
      <c r="W467" s="90">
        <f t="shared" si="75"/>
        <v>19.000000004669999</v>
      </c>
      <c r="X467" s="90">
        <f t="shared" si="76"/>
        <v>383349.50740490976</v>
      </c>
      <c r="Y467" s="141">
        <f t="shared" si="78"/>
        <v>458</v>
      </c>
      <c r="Z467" s="298">
        <v>92</v>
      </c>
      <c r="AA467" s="299">
        <v>817</v>
      </c>
      <c r="AB467" s="299">
        <v>458</v>
      </c>
      <c r="AC467" s="301">
        <v>19.000000004669999</v>
      </c>
      <c r="AD467" s="301">
        <v>383349.50740490976</v>
      </c>
      <c r="AE467" s="126"/>
      <c r="AF467" s="298"/>
      <c r="AG467" s="299"/>
      <c r="AH467" s="299"/>
      <c r="AI467" s="301"/>
      <c r="AJ467" s="301"/>
      <c r="AK467" s="426"/>
      <c r="AL467" s="298"/>
      <c r="AM467" s="299"/>
      <c r="AN467" s="299"/>
      <c r="AO467" s="301"/>
      <c r="AP467" s="301"/>
      <c r="AQ467" s="426"/>
      <c r="AR467" s="298"/>
      <c r="AS467" s="299"/>
      <c r="AT467" s="299"/>
      <c r="AU467" s="301"/>
      <c r="AV467" s="301"/>
      <c r="AW467" s="88"/>
      <c r="AX467" s="298"/>
      <c r="AY467" s="299"/>
      <c r="AZ467" s="299"/>
      <c r="BA467" s="301"/>
      <c r="BB467" s="301"/>
      <c r="BC467" s="426"/>
      <c r="BD467" s="298"/>
      <c r="BE467" s="299"/>
      <c r="BF467" s="299"/>
      <c r="BG467" s="301"/>
      <c r="BH467" s="301"/>
      <c r="BI467" s="88"/>
      <c r="BJ467" s="298"/>
      <c r="BK467" s="299"/>
      <c r="BL467" s="299"/>
      <c r="BM467" s="301"/>
      <c r="BN467" s="301"/>
      <c r="BO467" s="88"/>
      <c r="BP467" s="9"/>
      <c r="BS467" s="81"/>
      <c r="BT467" s="81"/>
      <c r="BV467" s="9"/>
      <c r="BY467" s="81"/>
      <c r="BZ467" s="81"/>
      <c r="CB467" s="9"/>
      <c r="CE467" s="81"/>
      <c r="CF467" s="81"/>
      <c r="CH467" s="9"/>
      <c r="CK467" s="81"/>
      <c r="CL467" s="81"/>
      <c r="CR467" s="9"/>
      <c r="CS467" s="9"/>
      <c r="CT467" s="9"/>
      <c r="CU467" s="9"/>
      <c r="CV467" s="9"/>
      <c r="CW467" s="129"/>
      <c r="CX467" s="9"/>
    </row>
    <row r="468" spans="1:102">
      <c r="A468" s="6" t="str">
        <f t="shared" si="71"/>
        <v>00920998</v>
      </c>
      <c r="B468" s="6" t="s">
        <v>1742</v>
      </c>
      <c r="C468" s="6" t="s">
        <v>2091</v>
      </c>
      <c r="D468" s="6">
        <v>459</v>
      </c>
      <c r="E468" s="6">
        <v>92</v>
      </c>
      <c r="F468" s="6" t="s">
        <v>1547</v>
      </c>
      <c r="G468" s="6">
        <v>998</v>
      </c>
      <c r="H468" s="6" t="s">
        <v>1547</v>
      </c>
      <c r="I468" s="33">
        <v>0</v>
      </c>
      <c r="J468" s="88">
        <v>0</v>
      </c>
      <c r="K468" s="89">
        <f t="shared" si="70"/>
        <v>0</v>
      </c>
      <c r="L468" s="88">
        <f>IF(K469&gt;0, K468/K469, 0)</f>
        <v>0</v>
      </c>
      <c r="M468" s="58"/>
      <c r="N468" s="9">
        <f>ROUND(M469*L468,0)</f>
        <v>0</v>
      </c>
      <c r="O468" s="9">
        <v>0</v>
      </c>
      <c r="P468" s="9">
        <f>N468-O468</f>
        <v>0</v>
      </c>
      <c r="Q468" s="40">
        <f t="shared" si="79"/>
        <v>0</v>
      </c>
      <c r="R468" s="9">
        <v>0</v>
      </c>
      <c r="S468" s="9">
        <f t="shared" si="77"/>
        <v>0</v>
      </c>
      <c r="T468" s="90">
        <f t="shared" si="72"/>
        <v>92</v>
      </c>
      <c r="U468" s="90">
        <f t="shared" si="73"/>
        <v>998</v>
      </c>
      <c r="V468" s="373">
        <f t="shared" si="74"/>
        <v>459</v>
      </c>
      <c r="W468" s="90">
        <f t="shared" si="75"/>
        <v>0</v>
      </c>
      <c r="X468" s="90">
        <f t="shared" si="76"/>
        <v>0</v>
      </c>
      <c r="Y468" s="141">
        <f t="shared" si="78"/>
        <v>459</v>
      </c>
      <c r="Z468" s="298">
        <v>92</v>
      </c>
      <c r="AA468" s="299">
        <v>998</v>
      </c>
      <c r="AB468" s="299">
        <v>459</v>
      </c>
      <c r="AC468" s="301">
        <v>0</v>
      </c>
      <c r="AD468" s="301">
        <v>0</v>
      </c>
      <c r="AE468" s="126"/>
      <c r="AF468" s="298"/>
      <c r="AG468" s="299"/>
      <c r="AH468" s="299"/>
      <c r="AI468" s="301"/>
      <c r="AJ468" s="301"/>
      <c r="AK468" s="426"/>
      <c r="AL468" s="298"/>
      <c r="AM468" s="299"/>
      <c r="AN468" s="299"/>
      <c r="AO468" s="301"/>
      <c r="AP468" s="301"/>
      <c r="AQ468" s="426"/>
      <c r="AR468" s="298"/>
      <c r="AS468" s="299"/>
      <c r="AT468" s="299"/>
      <c r="AU468" s="301"/>
      <c r="AV468" s="301"/>
      <c r="AW468" s="88"/>
      <c r="AX468" s="298"/>
      <c r="AY468" s="299"/>
      <c r="AZ468" s="299"/>
      <c r="BA468" s="301"/>
      <c r="BB468" s="301"/>
      <c r="BC468" s="426"/>
      <c r="BD468" s="298"/>
      <c r="BE468" s="299"/>
      <c r="BF468" s="299"/>
      <c r="BG468" s="301"/>
      <c r="BH468" s="301"/>
      <c r="BI468" s="88"/>
      <c r="BJ468" s="298"/>
      <c r="BK468" s="299"/>
      <c r="BL468" s="299"/>
      <c r="BM468" s="301"/>
      <c r="BN468" s="301"/>
      <c r="BO468" s="88"/>
      <c r="BP468" s="9"/>
      <c r="BS468" s="81"/>
      <c r="BT468" s="81"/>
      <c r="BV468" s="9"/>
      <c r="BY468" s="81"/>
      <c r="BZ468" s="81"/>
      <c r="CB468" s="9"/>
      <c r="CE468" s="81"/>
      <c r="CF468" s="81"/>
      <c r="CH468" s="9"/>
      <c r="CK468" s="81"/>
      <c r="CL468" s="81"/>
      <c r="CR468" s="9"/>
      <c r="CS468" s="9"/>
      <c r="CT468" s="9"/>
      <c r="CU468" s="9"/>
      <c r="CV468" s="9"/>
      <c r="CW468" s="129"/>
      <c r="CX468" s="9"/>
    </row>
    <row r="469" spans="1:102">
      <c r="A469" s="6" t="str">
        <f t="shared" si="71"/>
        <v>00920999</v>
      </c>
      <c r="B469" s="6" t="s">
        <v>1742</v>
      </c>
      <c r="C469" s="6" t="s">
        <v>2092</v>
      </c>
      <c r="D469" s="6">
        <v>460</v>
      </c>
      <c r="E469" s="10">
        <v>92</v>
      </c>
      <c r="F469" s="10" t="s">
        <v>1211</v>
      </c>
      <c r="G469" s="10">
        <v>999</v>
      </c>
      <c r="H469" s="10" t="s">
        <v>593</v>
      </c>
      <c r="I469" s="92">
        <v>6772177.210392152</v>
      </c>
      <c r="J469" s="472">
        <v>1</v>
      </c>
      <c r="K469" s="53">
        <f>SUM(K465:K468)</f>
        <v>6762492.1007431848</v>
      </c>
      <c r="L469" s="91">
        <f>SUM(L465:L468)</f>
        <v>1</v>
      </c>
      <c r="M469" s="79">
        <f>VLOOKUP(E469,town351,24)</f>
        <v>5434358</v>
      </c>
      <c r="N469" s="79">
        <f>SUM(N465:N468)</f>
        <v>5434358</v>
      </c>
      <c r="O469" s="79">
        <v>5170162</v>
      </c>
      <c r="P469" s="79">
        <f>SUM(P465:P468)</f>
        <v>264196</v>
      </c>
      <c r="Q469" s="39">
        <f t="shared" si="79"/>
        <v>5.1100139608778212</v>
      </c>
      <c r="R469" s="9">
        <v>518.23697478336999</v>
      </c>
      <c r="S469" s="9">
        <f t="shared" si="77"/>
        <v>508.83641161387004</v>
      </c>
      <c r="T469" s="90">
        <f t="shared" si="72"/>
        <v>92</v>
      </c>
      <c r="U469" s="90">
        <f t="shared" si="73"/>
        <v>999</v>
      </c>
      <c r="V469" s="373">
        <f t="shared" si="74"/>
        <v>460</v>
      </c>
      <c r="W469" s="90">
        <f t="shared" si="75"/>
        <v>508.83641161387004</v>
      </c>
      <c r="X469" s="90">
        <f t="shared" si="76"/>
        <v>6762492.1007431848</v>
      </c>
      <c r="Y469" s="141">
        <f t="shared" si="78"/>
        <v>460</v>
      </c>
      <c r="Z469" s="298">
        <v>92</v>
      </c>
      <c r="AA469" s="299">
        <v>999</v>
      </c>
      <c r="AB469" s="299">
        <v>460</v>
      </c>
      <c r="AC469" s="301">
        <v>508.83641161387004</v>
      </c>
      <c r="AD469" s="301">
        <v>6762492.1007431848</v>
      </c>
      <c r="AE469" s="126"/>
      <c r="AF469" s="298"/>
      <c r="AG469" s="299"/>
      <c r="AH469" s="299"/>
      <c r="AI469" s="301"/>
      <c r="AJ469" s="301"/>
      <c r="AK469" s="426"/>
      <c r="AL469" s="298"/>
      <c r="AM469" s="299"/>
      <c r="AN469" s="299"/>
      <c r="AO469" s="301"/>
      <c r="AP469" s="301"/>
      <c r="AQ469" s="426"/>
      <c r="AR469" s="298"/>
      <c r="AS469" s="299"/>
      <c r="AT469" s="299"/>
      <c r="AU469" s="301"/>
      <c r="AV469" s="301"/>
      <c r="AW469" s="91"/>
      <c r="AX469" s="298"/>
      <c r="AY469" s="299"/>
      <c r="AZ469" s="299"/>
      <c r="BA469" s="301"/>
      <c r="BB469" s="301"/>
      <c r="BC469" s="426"/>
      <c r="BD469" s="298"/>
      <c r="BE469" s="299"/>
      <c r="BF469" s="299"/>
      <c r="BG469" s="301"/>
      <c r="BH469" s="301"/>
      <c r="BI469" s="91"/>
      <c r="BJ469" s="298"/>
      <c r="BK469" s="299"/>
      <c r="BL469" s="299"/>
      <c r="BM469" s="301"/>
      <c r="BN469" s="301"/>
      <c r="BO469" s="91"/>
      <c r="BP469" s="9"/>
      <c r="BS469" s="81"/>
      <c r="BT469" s="81"/>
      <c r="BV469" s="9"/>
      <c r="BY469" s="81"/>
      <c r="BZ469" s="81"/>
      <c r="CB469" s="9"/>
      <c r="CE469" s="81"/>
      <c r="CF469" s="81"/>
      <c r="CH469" s="9"/>
      <c r="CK469" s="81"/>
      <c r="CL469" s="81"/>
      <c r="CR469" s="9"/>
      <c r="CS469" s="9"/>
      <c r="CT469" s="9"/>
      <c r="CU469" s="9"/>
      <c r="CV469" s="9"/>
      <c r="CW469" s="129"/>
      <c r="CX469" s="9"/>
    </row>
    <row r="470" spans="1:102">
      <c r="A470" s="6" t="str">
        <f t="shared" si="71"/>
        <v>00930093</v>
      </c>
      <c r="B470" s="6" t="s">
        <v>1743</v>
      </c>
      <c r="C470" s="6" t="s">
        <v>1743</v>
      </c>
      <c r="D470" s="6">
        <v>461</v>
      </c>
      <c r="E470" s="6">
        <v>93</v>
      </c>
      <c r="F470" s="6" t="s">
        <v>1212</v>
      </c>
      <c r="G470" s="6">
        <v>93</v>
      </c>
      <c r="H470" s="6" t="s">
        <v>774</v>
      </c>
      <c r="I470" s="33">
        <v>152643280.48403001</v>
      </c>
      <c r="J470" s="88">
        <v>1</v>
      </c>
      <c r="K470" s="89">
        <f t="shared" ref="K470:K533" si="80">X470</f>
        <v>161811104.85304004</v>
      </c>
      <c r="L470" s="88">
        <f>IF(K474&gt;0, K470/K474, 0)</f>
        <v>1</v>
      </c>
      <c r="M470" s="58"/>
      <c r="N470" s="9">
        <f>ROUND(M474*L470,0)</f>
        <v>43738229</v>
      </c>
      <c r="O470" s="9">
        <v>40961068</v>
      </c>
      <c r="P470" s="9">
        <f>N470-O470</f>
        <v>2777161</v>
      </c>
      <c r="Q470" s="40">
        <f t="shared" si="79"/>
        <v>6.7800014394155932</v>
      </c>
      <c r="R470" s="9">
        <v>7937</v>
      </c>
      <c r="S470" s="9">
        <f t="shared" si="77"/>
        <v>8020</v>
      </c>
      <c r="T470" s="90">
        <f t="shared" si="72"/>
        <v>93</v>
      </c>
      <c r="U470" s="90">
        <f t="shared" si="73"/>
        <v>93</v>
      </c>
      <c r="V470" s="373">
        <f t="shared" si="74"/>
        <v>461</v>
      </c>
      <c r="W470" s="90">
        <f t="shared" si="75"/>
        <v>8020</v>
      </c>
      <c r="X470" s="90">
        <f t="shared" si="76"/>
        <v>161811104.85304004</v>
      </c>
      <c r="Y470" s="141">
        <f t="shared" si="78"/>
        <v>461</v>
      </c>
      <c r="Z470" s="298">
        <v>93</v>
      </c>
      <c r="AA470" s="299">
        <v>93</v>
      </c>
      <c r="AB470" s="299">
        <v>461</v>
      </c>
      <c r="AC470" s="301">
        <v>8020</v>
      </c>
      <c r="AD470" s="301">
        <v>161811104.85304004</v>
      </c>
      <c r="AE470" s="126"/>
      <c r="AF470" s="298"/>
      <c r="AG470" s="299"/>
      <c r="AH470" s="299"/>
      <c r="AI470" s="301"/>
      <c r="AJ470" s="301"/>
      <c r="AK470" s="426"/>
      <c r="AL470" s="298"/>
      <c r="AM470" s="299"/>
      <c r="AN470" s="299"/>
      <c r="AO470" s="301"/>
      <c r="AP470" s="301"/>
      <c r="AQ470" s="426"/>
      <c r="AR470" s="298"/>
      <c r="AS470" s="299"/>
      <c r="AT470" s="299"/>
      <c r="AU470" s="301"/>
      <c r="AV470" s="301"/>
      <c r="AW470" s="88"/>
      <c r="AX470" s="298"/>
      <c r="AY470" s="299"/>
      <c r="AZ470" s="299"/>
      <c r="BA470" s="301"/>
      <c r="BB470" s="301"/>
      <c r="BC470" s="426"/>
      <c r="BD470" s="298"/>
      <c r="BE470" s="299"/>
      <c r="BF470" s="299"/>
      <c r="BG470" s="301"/>
      <c r="BH470" s="301"/>
      <c r="BI470" s="88"/>
      <c r="BJ470" s="298"/>
      <c r="BK470" s="299"/>
      <c r="BL470" s="299"/>
      <c r="BM470" s="301"/>
      <c r="BN470" s="301"/>
      <c r="BO470" s="88"/>
      <c r="BP470" s="9"/>
      <c r="BS470" s="81"/>
      <c r="BT470" s="81"/>
      <c r="BV470" s="9"/>
      <c r="BY470" s="81"/>
      <c r="BZ470" s="81"/>
      <c r="CB470" s="9"/>
      <c r="CE470" s="81"/>
      <c r="CF470" s="81"/>
      <c r="CH470" s="9"/>
      <c r="CK470" s="81"/>
      <c r="CL470" s="81"/>
      <c r="CR470" s="9"/>
      <c r="CS470" s="9"/>
      <c r="CT470" s="9"/>
      <c r="CU470" s="9"/>
      <c r="CV470" s="9"/>
      <c r="CW470" s="129"/>
      <c r="CX470" s="9"/>
    </row>
    <row r="471" spans="1:102">
      <c r="A471" s="6" t="str">
        <f t="shared" si="71"/>
        <v>00930998</v>
      </c>
      <c r="B471" s="6" t="s">
        <v>1743</v>
      </c>
      <c r="C471" s="6" t="s">
        <v>2091</v>
      </c>
      <c r="D471" s="6">
        <v>462</v>
      </c>
      <c r="E471" s="6">
        <v>93</v>
      </c>
      <c r="F471" s="6" t="s">
        <v>1547</v>
      </c>
      <c r="G471" s="6">
        <v>998</v>
      </c>
      <c r="H471" s="6" t="s">
        <v>1547</v>
      </c>
      <c r="I471" s="33">
        <v>0</v>
      </c>
      <c r="J471" s="88">
        <v>0</v>
      </c>
      <c r="K471" s="89">
        <f t="shared" si="80"/>
        <v>0</v>
      </c>
      <c r="L471" s="88">
        <f>IF(K474&gt;0, K471/K474, 0)</f>
        <v>0</v>
      </c>
      <c r="M471" s="58"/>
      <c r="N471" s="9">
        <f>ROUND(M474*L471,0)</f>
        <v>0</v>
      </c>
      <c r="O471" s="9">
        <v>0</v>
      </c>
      <c r="P471" s="9">
        <f>N471-O471</f>
        <v>0</v>
      </c>
      <c r="Q471" s="40">
        <f t="shared" si="79"/>
        <v>0</v>
      </c>
      <c r="R471" s="9">
        <v>0</v>
      </c>
      <c r="S471" s="9">
        <f t="shared" si="77"/>
        <v>0</v>
      </c>
      <c r="T471" s="90">
        <f t="shared" si="72"/>
        <v>93</v>
      </c>
      <c r="U471" s="90">
        <f t="shared" si="73"/>
        <v>998</v>
      </c>
      <c r="V471" s="373">
        <f t="shared" si="74"/>
        <v>462</v>
      </c>
      <c r="W471" s="90">
        <f t="shared" si="75"/>
        <v>0</v>
      </c>
      <c r="X471" s="90">
        <f t="shared" si="76"/>
        <v>0</v>
      </c>
      <c r="Y471" s="141">
        <f t="shared" si="78"/>
        <v>462</v>
      </c>
      <c r="Z471" s="298">
        <v>93</v>
      </c>
      <c r="AA471" s="299">
        <v>998</v>
      </c>
      <c r="AB471" s="299">
        <v>462</v>
      </c>
      <c r="AC471" s="301">
        <v>0</v>
      </c>
      <c r="AD471" s="301">
        <v>0</v>
      </c>
      <c r="AE471" s="126"/>
      <c r="AF471" s="298"/>
      <c r="AG471" s="299"/>
      <c r="AH471" s="299"/>
      <c r="AI471" s="301"/>
      <c r="AJ471" s="301"/>
      <c r="AK471" s="426"/>
      <c r="AL471" s="298"/>
      <c r="AM471" s="299"/>
      <c r="AN471" s="299"/>
      <c r="AO471" s="301"/>
      <c r="AP471" s="301"/>
      <c r="AQ471" s="426"/>
      <c r="AR471" s="298"/>
      <c r="AS471" s="299"/>
      <c r="AT471" s="299"/>
      <c r="AU471" s="301"/>
      <c r="AV471" s="301"/>
      <c r="AW471" s="88"/>
      <c r="AX471" s="298"/>
      <c r="AY471" s="299"/>
      <c r="AZ471" s="299"/>
      <c r="BA471" s="301"/>
      <c r="BB471" s="301"/>
      <c r="BC471" s="426"/>
      <c r="BD471" s="298"/>
      <c r="BE471" s="299"/>
      <c r="BF471" s="299"/>
      <c r="BG471" s="301"/>
      <c r="BH471" s="301"/>
      <c r="BI471" s="88"/>
      <c r="BJ471" s="298"/>
      <c r="BK471" s="299"/>
      <c r="BL471" s="299"/>
      <c r="BM471" s="301"/>
      <c r="BN471" s="301"/>
      <c r="BO471" s="88"/>
      <c r="BP471" s="9"/>
      <c r="BS471" s="81"/>
      <c r="BT471" s="81"/>
      <c r="BV471" s="9"/>
      <c r="BY471" s="81"/>
      <c r="BZ471" s="81"/>
      <c r="CB471" s="9"/>
      <c r="CE471" s="81"/>
      <c r="CF471" s="81"/>
      <c r="CH471" s="9"/>
      <c r="CK471" s="81"/>
      <c r="CL471" s="81"/>
      <c r="CR471" s="9"/>
      <c r="CS471" s="9"/>
      <c r="CT471" s="9"/>
      <c r="CU471" s="9"/>
      <c r="CV471" s="9"/>
      <c r="CW471" s="129"/>
      <c r="CX471" s="9"/>
    </row>
    <row r="472" spans="1:102">
      <c r="A472" s="6" t="str">
        <f t="shared" si="71"/>
        <v>00930998</v>
      </c>
      <c r="B472" s="6" t="s">
        <v>1743</v>
      </c>
      <c r="C472" s="6" t="s">
        <v>2091</v>
      </c>
      <c r="D472" s="6">
        <v>463</v>
      </c>
      <c r="E472" s="6">
        <v>93</v>
      </c>
      <c r="F472" s="6" t="s">
        <v>1547</v>
      </c>
      <c r="G472" s="6">
        <v>998</v>
      </c>
      <c r="H472" s="6" t="s">
        <v>1547</v>
      </c>
      <c r="I472" s="33">
        <v>0</v>
      </c>
      <c r="J472" s="88">
        <v>0</v>
      </c>
      <c r="K472" s="89">
        <f t="shared" si="80"/>
        <v>0</v>
      </c>
      <c r="L472" s="88">
        <f>IF(K474&gt;0, K472/K474, 0)</f>
        <v>0</v>
      </c>
      <c r="M472" s="58"/>
      <c r="N472" s="9">
        <f>ROUND(M474*L472,0)</f>
        <v>0</v>
      </c>
      <c r="O472" s="9">
        <v>0</v>
      </c>
      <c r="P472" s="9">
        <f>N472-O472</f>
        <v>0</v>
      </c>
      <c r="Q472" s="40">
        <f t="shared" si="79"/>
        <v>0</v>
      </c>
      <c r="R472" s="9">
        <v>0</v>
      </c>
      <c r="S472" s="9">
        <f t="shared" si="77"/>
        <v>0</v>
      </c>
      <c r="T472" s="90">
        <f t="shared" si="72"/>
        <v>93</v>
      </c>
      <c r="U472" s="90">
        <f t="shared" si="73"/>
        <v>998</v>
      </c>
      <c r="V472" s="373">
        <f t="shared" si="74"/>
        <v>463</v>
      </c>
      <c r="W472" s="90">
        <f t="shared" si="75"/>
        <v>0</v>
      </c>
      <c r="X472" s="90">
        <f t="shared" si="76"/>
        <v>0</v>
      </c>
      <c r="Y472" s="141">
        <f t="shared" si="78"/>
        <v>463</v>
      </c>
      <c r="Z472" s="298">
        <v>93</v>
      </c>
      <c r="AA472" s="299">
        <v>998</v>
      </c>
      <c r="AB472" s="299">
        <v>463</v>
      </c>
      <c r="AC472" s="301">
        <v>0</v>
      </c>
      <c r="AD472" s="301">
        <v>0</v>
      </c>
      <c r="AE472" s="126"/>
      <c r="AF472" s="298"/>
      <c r="AG472" s="299"/>
      <c r="AH472" s="299"/>
      <c r="AI472" s="301"/>
      <c r="AJ472" s="301"/>
      <c r="AK472" s="426"/>
      <c r="AL472" s="298"/>
      <c r="AM472" s="299"/>
      <c r="AN472" s="299"/>
      <c r="AO472" s="301"/>
      <c r="AP472" s="301"/>
      <c r="AQ472" s="426"/>
      <c r="AR472" s="298"/>
      <c r="AS472" s="299"/>
      <c r="AT472" s="299"/>
      <c r="AU472" s="301"/>
      <c r="AV472" s="301"/>
      <c r="AW472" s="88"/>
      <c r="AX472" s="298"/>
      <c r="AY472" s="299"/>
      <c r="AZ472" s="299"/>
      <c r="BA472" s="301"/>
      <c r="BB472" s="301"/>
      <c r="BC472" s="426"/>
      <c r="BD472" s="298"/>
      <c r="BE472" s="299"/>
      <c r="BF472" s="299"/>
      <c r="BG472" s="301"/>
      <c r="BH472" s="301"/>
      <c r="BI472" s="88"/>
      <c r="BJ472" s="298"/>
      <c r="BK472" s="299"/>
      <c r="BL472" s="299"/>
      <c r="BM472" s="301"/>
      <c r="BN472" s="301"/>
      <c r="BO472" s="88"/>
      <c r="BP472" s="9"/>
      <c r="BS472" s="81"/>
      <c r="BT472" s="81"/>
      <c r="BV472" s="9"/>
      <c r="BY472" s="81"/>
      <c r="BZ472" s="81"/>
      <c r="CB472" s="9"/>
      <c r="CE472" s="81"/>
      <c r="CF472" s="81"/>
      <c r="CH472" s="9"/>
      <c r="CK472" s="81"/>
      <c r="CL472" s="81"/>
      <c r="CR472" s="9"/>
      <c r="CS472" s="9"/>
      <c r="CT472" s="9"/>
      <c r="CU472" s="9"/>
      <c r="CV472" s="9"/>
      <c r="CW472" s="129"/>
      <c r="CX472" s="9"/>
    </row>
    <row r="473" spans="1:102">
      <c r="A473" s="6" t="str">
        <f t="shared" si="71"/>
        <v>00930998</v>
      </c>
      <c r="B473" s="6" t="s">
        <v>1743</v>
      </c>
      <c r="C473" s="6" t="s">
        <v>2091</v>
      </c>
      <c r="D473" s="6">
        <v>464</v>
      </c>
      <c r="E473" s="6">
        <v>93</v>
      </c>
      <c r="F473" s="6" t="s">
        <v>1547</v>
      </c>
      <c r="G473" s="6">
        <v>998</v>
      </c>
      <c r="H473" s="6" t="s">
        <v>1547</v>
      </c>
      <c r="I473" s="33">
        <v>0</v>
      </c>
      <c r="J473" s="88">
        <v>0</v>
      </c>
      <c r="K473" s="89">
        <f t="shared" si="80"/>
        <v>0</v>
      </c>
      <c r="L473" s="88">
        <f>IF(K474&gt;0, K473/K474, 0)</f>
        <v>0</v>
      </c>
      <c r="M473" s="58"/>
      <c r="N473" s="9">
        <f>ROUND(M474*L473,0)</f>
        <v>0</v>
      </c>
      <c r="O473" s="9">
        <v>0</v>
      </c>
      <c r="P473" s="9">
        <f>N473-O473</f>
        <v>0</v>
      </c>
      <c r="Q473" s="40">
        <f t="shared" si="79"/>
        <v>0</v>
      </c>
      <c r="R473" s="9">
        <v>0</v>
      </c>
      <c r="S473" s="9">
        <f t="shared" si="77"/>
        <v>0</v>
      </c>
      <c r="T473" s="90">
        <f t="shared" si="72"/>
        <v>93</v>
      </c>
      <c r="U473" s="90">
        <f t="shared" si="73"/>
        <v>998</v>
      </c>
      <c r="V473" s="373">
        <f t="shared" si="74"/>
        <v>464</v>
      </c>
      <c r="W473" s="90">
        <f t="shared" si="75"/>
        <v>0</v>
      </c>
      <c r="X473" s="90">
        <f t="shared" si="76"/>
        <v>0</v>
      </c>
      <c r="Y473" s="141">
        <f t="shared" si="78"/>
        <v>464</v>
      </c>
      <c r="Z473" s="298">
        <v>93</v>
      </c>
      <c r="AA473" s="299">
        <v>998</v>
      </c>
      <c r="AB473" s="299">
        <v>464</v>
      </c>
      <c r="AC473" s="301">
        <v>0</v>
      </c>
      <c r="AD473" s="301">
        <v>0</v>
      </c>
      <c r="AE473" s="126"/>
      <c r="AF473" s="298"/>
      <c r="AG473" s="299"/>
      <c r="AH473" s="299"/>
      <c r="AI473" s="301"/>
      <c r="AJ473" s="301"/>
      <c r="AK473" s="426"/>
      <c r="AL473" s="298"/>
      <c r="AM473" s="299"/>
      <c r="AN473" s="299"/>
      <c r="AO473" s="301"/>
      <c r="AP473" s="301"/>
      <c r="AQ473" s="426"/>
      <c r="AR473" s="298"/>
      <c r="AS473" s="299"/>
      <c r="AT473" s="299"/>
      <c r="AU473" s="301"/>
      <c r="AV473" s="301"/>
      <c r="AW473" s="88"/>
      <c r="AX473" s="298"/>
      <c r="AY473" s="299"/>
      <c r="AZ473" s="299"/>
      <c r="BA473" s="301"/>
      <c r="BB473" s="301"/>
      <c r="BC473" s="426"/>
      <c r="BD473" s="298"/>
      <c r="BE473" s="299"/>
      <c r="BF473" s="299"/>
      <c r="BG473" s="301"/>
      <c r="BH473" s="301"/>
      <c r="BI473" s="88"/>
      <c r="BJ473" s="298"/>
      <c r="BK473" s="299"/>
      <c r="BL473" s="299"/>
      <c r="BM473" s="301"/>
      <c r="BN473" s="301"/>
      <c r="BO473" s="88"/>
      <c r="BP473" s="9"/>
      <c r="BS473" s="81"/>
      <c r="BT473" s="81"/>
      <c r="BV473" s="9"/>
      <c r="BY473" s="81"/>
      <c r="BZ473" s="81"/>
      <c r="CB473" s="9"/>
      <c r="CE473" s="81"/>
      <c r="CF473" s="81"/>
      <c r="CH473" s="9"/>
      <c r="CK473" s="81"/>
      <c r="CL473" s="81"/>
      <c r="CR473" s="9"/>
      <c r="CS473" s="9"/>
      <c r="CT473" s="9"/>
      <c r="CU473" s="9"/>
      <c r="CV473" s="9"/>
      <c r="CW473" s="129"/>
      <c r="CX473" s="9"/>
    </row>
    <row r="474" spans="1:102">
      <c r="A474" s="6" t="str">
        <f t="shared" si="71"/>
        <v>00930999</v>
      </c>
      <c r="B474" s="6" t="s">
        <v>1743</v>
      </c>
      <c r="C474" s="6" t="s">
        <v>2092</v>
      </c>
      <c r="D474" s="6">
        <v>465</v>
      </c>
      <c r="E474" s="10">
        <v>93</v>
      </c>
      <c r="F474" s="10" t="s">
        <v>1212</v>
      </c>
      <c r="G474" s="10">
        <v>999</v>
      </c>
      <c r="H474" s="10" t="s">
        <v>593</v>
      </c>
      <c r="I474" s="92">
        <v>152643280.48403001</v>
      </c>
      <c r="J474" s="472">
        <v>1</v>
      </c>
      <c r="K474" s="53">
        <f>SUM(K470:K473)</f>
        <v>161811104.85304004</v>
      </c>
      <c r="L474" s="91">
        <f>SUM(L470:L473)</f>
        <v>1</v>
      </c>
      <c r="M474" s="79">
        <f>VLOOKUP(E474,town351,24)</f>
        <v>43738229</v>
      </c>
      <c r="N474" s="79">
        <f>SUM(N470:N473)</f>
        <v>43738229</v>
      </c>
      <c r="O474" s="79">
        <v>40961068</v>
      </c>
      <c r="P474" s="79">
        <f>SUM(P470:P473)</f>
        <v>2777161</v>
      </c>
      <c r="Q474" s="39">
        <f t="shared" si="79"/>
        <v>6.7800014394155932</v>
      </c>
      <c r="R474" s="9">
        <v>7937</v>
      </c>
      <c r="S474" s="9">
        <f t="shared" si="77"/>
        <v>8020</v>
      </c>
      <c r="T474" s="90">
        <f t="shared" si="72"/>
        <v>93</v>
      </c>
      <c r="U474" s="90">
        <f t="shared" si="73"/>
        <v>999</v>
      </c>
      <c r="V474" s="373">
        <f t="shared" si="74"/>
        <v>465</v>
      </c>
      <c r="W474" s="90">
        <f t="shared" si="75"/>
        <v>8020</v>
      </c>
      <c r="X474" s="90">
        <f t="shared" si="76"/>
        <v>161811104.85304004</v>
      </c>
      <c r="Y474" s="141">
        <f t="shared" si="78"/>
        <v>465</v>
      </c>
      <c r="Z474" s="298">
        <v>93</v>
      </c>
      <c r="AA474" s="299">
        <v>999</v>
      </c>
      <c r="AB474" s="299">
        <v>465</v>
      </c>
      <c r="AC474" s="301">
        <v>8020</v>
      </c>
      <c r="AD474" s="301">
        <v>161811104.85304004</v>
      </c>
      <c r="AE474" s="126"/>
      <c r="AF474" s="298"/>
      <c r="AG474" s="299"/>
      <c r="AH474" s="299"/>
      <c r="AI474" s="301"/>
      <c r="AJ474" s="301"/>
      <c r="AK474" s="426"/>
      <c r="AL474" s="298"/>
      <c r="AM474" s="299"/>
      <c r="AN474" s="299"/>
      <c r="AO474" s="301"/>
      <c r="AP474" s="301"/>
      <c r="AQ474" s="426"/>
      <c r="AR474" s="298"/>
      <c r="AS474" s="299"/>
      <c r="AT474" s="299"/>
      <c r="AU474" s="301"/>
      <c r="AV474" s="301"/>
      <c r="AW474" s="91"/>
      <c r="AX474" s="298"/>
      <c r="AY474" s="299"/>
      <c r="AZ474" s="299"/>
      <c r="BA474" s="301"/>
      <c r="BB474" s="301"/>
      <c r="BC474" s="426"/>
      <c r="BD474" s="298"/>
      <c r="BE474" s="299"/>
      <c r="BF474" s="299"/>
      <c r="BG474" s="301"/>
      <c r="BH474" s="301"/>
      <c r="BI474" s="91"/>
      <c r="BJ474" s="298"/>
      <c r="BK474" s="299"/>
      <c r="BL474" s="299"/>
      <c r="BM474" s="301"/>
      <c r="BN474" s="301"/>
      <c r="BO474" s="91"/>
      <c r="BP474" s="9"/>
      <c r="BS474" s="81"/>
      <c r="BT474" s="81"/>
      <c r="BV474" s="9"/>
      <c r="BY474" s="81"/>
      <c r="BZ474" s="81"/>
      <c r="CB474" s="9"/>
      <c r="CE474" s="81"/>
      <c r="CF474" s="81"/>
      <c r="CH474" s="9"/>
      <c r="CK474" s="81"/>
      <c r="CL474" s="81"/>
      <c r="CR474" s="9"/>
      <c r="CS474" s="9"/>
      <c r="CT474" s="9"/>
      <c r="CU474" s="9"/>
      <c r="CV474" s="9"/>
      <c r="CW474" s="129"/>
      <c r="CX474" s="9"/>
    </row>
    <row r="475" spans="1:102">
      <c r="A475" s="6" t="str">
        <f t="shared" si="71"/>
        <v>00940094</v>
      </c>
      <c r="B475" s="6" t="s">
        <v>1744</v>
      </c>
      <c r="C475" s="6" t="s">
        <v>1744</v>
      </c>
      <c r="D475" s="6">
        <v>466</v>
      </c>
      <c r="E475" s="6">
        <v>94</v>
      </c>
      <c r="F475" s="6" t="s">
        <v>1213</v>
      </c>
      <c r="G475" s="6">
        <v>94</v>
      </c>
      <c r="H475" s="6" t="s">
        <v>775</v>
      </c>
      <c r="I475" s="33">
        <v>23768492.649999999</v>
      </c>
      <c r="J475" s="88">
        <v>0.8452968673112673</v>
      </c>
      <c r="K475" s="89">
        <f>X475</f>
        <v>23598054.430000003</v>
      </c>
      <c r="L475" s="88">
        <f>IF(K479&gt;0, K475/K479, 0)</f>
        <v>0.83611972409212754</v>
      </c>
      <c r="M475" s="58"/>
      <c r="N475" s="9">
        <f>ROUND(M479*L475,0)</f>
        <v>14889430</v>
      </c>
      <c r="O475" s="9">
        <v>14136790</v>
      </c>
      <c r="P475" s="9">
        <f>N475-O475</f>
        <v>752640</v>
      </c>
      <c r="Q475" s="40">
        <f t="shared" si="79"/>
        <v>5.323980903727084</v>
      </c>
      <c r="R475" s="9">
        <v>1659</v>
      </c>
      <c r="S475" s="9">
        <f t="shared" si="77"/>
        <v>1595</v>
      </c>
      <c r="T475" s="90">
        <f t="shared" si="72"/>
        <v>94</v>
      </c>
      <c r="U475" s="90">
        <f t="shared" si="73"/>
        <v>94</v>
      </c>
      <c r="V475" s="373">
        <f t="shared" si="74"/>
        <v>466</v>
      </c>
      <c r="W475" s="90">
        <f t="shared" si="75"/>
        <v>1595</v>
      </c>
      <c r="X475" s="90">
        <f t="shared" si="76"/>
        <v>23598054.430000003</v>
      </c>
      <c r="Y475" s="141">
        <f t="shared" si="78"/>
        <v>466</v>
      </c>
      <c r="Z475" s="298">
        <v>94</v>
      </c>
      <c r="AA475" s="299">
        <v>94</v>
      </c>
      <c r="AB475" s="299">
        <v>466</v>
      </c>
      <c r="AC475" s="301">
        <v>1595</v>
      </c>
      <c r="AD475" s="301">
        <v>23598054.430000003</v>
      </c>
      <c r="AE475" s="126"/>
      <c r="AF475" s="298"/>
      <c r="AG475" s="299"/>
      <c r="AH475" s="299"/>
      <c r="AI475" s="301"/>
      <c r="AJ475" s="301"/>
      <c r="AK475" s="426"/>
      <c r="AL475" s="298"/>
      <c r="AM475" s="299"/>
      <c r="AN475" s="299"/>
      <c r="AO475" s="301"/>
      <c r="AP475" s="301"/>
      <c r="AQ475" s="426"/>
      <c r="AR475" s="298"/>
      <c r="AS475" s="299"/>
      <c r="AT475" s="299"/>
      <c r="AU475" s="301"/>
      <c r="AV475" s="301"/>
      <c r="AW475" s="88"/>
      <c r="AX475" s="298"/>
      <c r="AY475" s="299"/>
      <c r="AZ475" s="299"/>
      <c r="BA475" s="301"/>
      <c r="BB475" s="301"/>
      <c r="BC475" s="426"/>
      <c r="BD475" s="298"/>
      <c r="BE475" s="299"/>
      <c r="BF475" s="299"/>
      <c r="BG475" s="301"/>
      <c r="BH475" s="301"/>
      <c r="BI475" s="88"/>
      <c r="BJ475" s="298"/>
      <c r="BK475" s="299"/>
      <c r="BL475" s="299"/>
      <c r="BM475" s="301"/>
      <c r="BN475" s="301"/>
      <c r="BO475" s="88"/>
      <c r="BP475" s="9"/>
      <c r="BS475" s="81"/>
      <c r="BT475" s="81"/>
      <c r="BV475" s="9"/>
      <c r="BY475" s="81"/>
      <c r="BZ475" s="81"/>
      <c r="CB475" s="9"/>
      <c r="CE475" s="81"/>
      <c r="CF475" s="81"/>
      <c r="CH475" s="9"/>
      <c r="CK475" s="81"/>
      <c r="CL475" s="81"/>
      <c r="CR475" s="9"/>
      <c r="CS475" s="9"/>
      <c r="CT475" s="9"/>
      <c r="CU475" s="9"/>
      <c r="CV475" s="9"/>
      <c r="CW475" s="129"/>
      <c r="CX475" s="9"/>
    </row>
    <row r="476" spans="1:102">
      <c r="A476" s="6" t="str">
        <f t="shared" si="71"/>
        <v>00940825</v>
      </c>
      <c r="B476" s="6" t="s">
        <v>1744</v>
      </c>
      <c r="C476" s="6" t="s">
        <v>2071</v>
      </c>
      <c r="D476" s="6">
        <v>467</v>
      </c>
      <c r="E476" s="6">
        <v>94</v>
      </c>
      <c r="F476" s="6" t="s">
        <v>1213</v>
      </c>
      <c r="G476" s="6">
        <v>825</v>
      </c>
      <c r="H476" s="6" t="s">
        <v>1101</v>
      </c>
      <c r="I476" s="33">
        <v>3820599.4650312057</v>
      </c>
      <c r="J476" s="88">
        <v>0.13587486621882949</v>
      </c>
      <c r="K476" s="89">
        <f t="shared" si="80"/>
        <v>3999814.2432606099</v>
      </c>
      <c r="L476" s="88">
        <f>IF(K479&gt;0, K476/K479, 0)</f>
        <v>0.14172030967278446</v>
      </c>
      <c r="M476" s="58"/>
      <c r="N476" s="9">
        <f>ROUND(M479*L476,0)</f>
        <v>2523723</v>
      </c>
      <c r="O476" s="9">
        <v>2272379</v>
      </c>
      <c r="P476" s="9">
        <f>N476-O476</f>
        <v>251344</v>
      </c>
      <c r="Q476" s="40">
        <f t="shared" si="79"/>
        <v>11.060830961736576</v>
      </c>
      <c r="R476" s="9">
        <v>172.9999999984</v>
      </c>
      <c r="S476" s="9">
        <f t="shared" si="77"/>
        <v>175.9999999968</v>
      </c>
      <c r="T476" s="90">
        <f t="shared" si="72"/>
        <v>94</v>
      </c>
      <c r="U476" s="90">
        <f t="shared" si="73"/>
        <v>825</v>
      </c>
      <c r="V476" s="373">
        <f t="shared" si="74"/>
        <v>467</v>
      </c>
      <c r="W476" s="90">
        <f t="shared" si="75"/>
        <v>175.9999999968</v>
      </c>
      <c r="X476" s="90">
        <f t="shared" si="76"/>
        <v>3999814.2432606099</v>
      </c>
      <c r="Y476" s="141">
        <f t="shared" si="78"/>
        <v>467</v>
      </c>
      <c r="Z476" s="298">
        <v>94</v>
      </c>
      <c r="AA476" s="299">
        <v>825</v>
      </c>
      <c r="AB476" s="299">
        <v>467</v>
      </c>
      <c r="AC476" s="301">
        <v>175.9999999968</v>
      </c>
      <c r="AD476" s="301">
        <v>3999814.2432606099</v>
      </c>
      <c r="AE476" s="126"/>
      <c r="AF476" s="298"/>
      <c r="AG476" s="299"/>
      <c r="AH476" s="299"/>
      <c r="AI476" s="301"/>
      <c r="AJ476" s="301"/>
      <c r="AK476" s="426"/>
      <c r="AL476" s="298"/>
      <c r="AM476" s="299"/>
      <c r="AN476" s="299"/>
      <c r="AO476" s="301"/>
      <c r="AP476" s="301"/>
      <c r="AQ476" s="426"/>
      <c r="AR476" s="298"/>
      <c r="AS476" s="299"/>
      <c r="AT476" s="299"/>
      <c r="AU476" s="301"/>
      <c r="AV476" s="301"/>
      <c r="AW476" s="88"/>
      <c r="AX476" s="298"/>
      <c r="AY476" s="299"/>
      <c r="AZ476" s="299"/>
      <c r="BA476" s="301"/>
      <c r="BB476" s="301"/>
      <c r="BC476" s="426"/>
      <c r="BD476" s="298"/>
      <c r="BE476" s="299"/>
      <c r="BF476" s="299"/>
      <c r="BG476" s="301"/>
      <c r="BH476" s="301"/>
      <c r="BI476" s="88"/>
      <c r="BJ476" s="298"/>
      <c r="BK476" s="299"/>
      <c r="BL476" s="299"/>
      <c r="BM476" s="301"/>
      <c r="BN476" s="301"/>
      <c r="BO476" s="88"/>
      <c r="BP476" s="9"/>
      <c r="BS476" s="81"/>
      <c r="BT476" s="81"/>
      <c r="BV476" s="9"/>
      <c r="BY476" s="81"/>
      <c r="BZ476" s="81"/>
      <c r="CB476" s="9"/>
      <c r="CE476" s="81"/>
      <c r="CF476" s="81"/>
      <c r="CH476" s="9"/>
      <c r="CK476" s="81"/>
      <c r="CL476" s="81"/>
      <c r="CR476" s="9"/>
      <c r="CS476" s="9"/>
      <c r="CT476" s="9"/>
      <c r="CU476" s="9"/>
      <c r="CV476" s="9"/>
      <c r="CW476" s="129"/>
      <c r="CX476" s="9"/>
    </row>
    <row r="477" spans="1:102">
      <c r="A477" s="6" t="str">
        <f t="shared" si="71"/>
        <v>00940910</v>
      </c>
      <c r="B477" s="6" t="s">
        <v>1744</v>
      </c>
      <c r="C477" s="6" t="s">
        <v>2088</v>
      </c>
      <c r="D477" s="6">
        <v>468</v>
      </c>
      <c r="E477" s="6">
        <v>94</v>
      </c>
      <c r="F477" s="6" t="s">
        <v>1213</v>
      </c>
      <c r="G477" s="6">
        <v>910</v>
      </c>
      <c r="H477" s="6" t="s">
        <v>1118</v>
      </c>
      <c r="I477" s="33">
        <v>529422.89331511792</v>
      </c>
      <c r="J477" s="88">
        <v>1.8828266469903234E-2</v>
      </c>
      <c r="K477" s="89">
        <f t="shared" si="80"/>
        <v>625427.28548877896</v>
      </c>
      <c r="L477" s="88">
        <f>IF(K479&gt;0, K477/K479, 0)</f>
        <v>2.2159966235087886E-2</v>
      </c>
      <c r="M477" s="58"/>
      <c r="N477" s="9">
        <f>ROUND(M479*L477,0)</f>
        <v>394620</v>
      </c>
      <c r="O477" s="9">
        <v>314885</v>
      </c>
      <c r="P477" s="9">
        <f>N477-O477</f>
        <v>79735</v>
      </c>
      <c r="Q477" s="40">
        <f t="shared" si="79"/>
        <v>25.321942931546438</v>
      </c>
      <c r="R477" s="9">
        <v>26.000000000450001</v>
      </c>
      <c r="S477" s="9">
        <f t="shared" si="77"/>
        <v>29.999999998570001</v>
      </c>
      <c r="T477" s="90">
        <f t="shared" si="72"/>
        <v>94</v>
      </c>
      <c r="U477" s="90">
        <f t="shared" si="73"/>
        <v>910</v>
      </c>
      <c r="V477" s="373">
        <f t="shared" si="74"/>
        <v>468</v>
      </c>
      <c r="W477" s="90">
        <f t="shared" si="75"/>
        <v>29.999999998570001</v>
      </c>
      <c r="X477" s="90">
        <f t="shared" si="76"/>
        <v>625427.28548877896</v>
      </c>
      <c r="Y477" s="141">
        <f t="shared" si="78"/>
        <v>468</v>
      </c>
      <c r="Z477" s="298">
        <v>94</v>
      </c>
      <c r="AA477" s="299">
        <v>910</v>
      </c>
      <c r="AB477" s="299">
        <v>468</v>
      </c>
      <c r="AC477" s="301">
        <v>29.999999998570001</v>
      </c>
      <c r="AD477" s="301">
        <v>625427.28548877896</v>
      </c>
      <c r="AE477" s="126"/>
      <c r="AF477" s="298"/>
      <c r="AG477" s="299"/>
      <c r="AH477" s="299"/>
      <c r="AI477" s="301"/>
      <c r="AJ477" s="301"/>
      <c r="AK477" s="426"/>
      <c r="AL477" s="298"/>
      <c r="AM477" s="299"/>
      <c r="AN477" s="299"/>
      <c r="AO477" s="301"/>
      <c r="AP477" s="301"/>
      <c r="AQ477" s="426"/>
      <c r="AR477" s="298"/>
      <c r="AS477" s="299"/>
      <c r="AT477" s="299"/>
      <c r="AU477" s="301"/>
      <c r="AV477" s="301"/>
      <c r="AW477" s="88"/>
      <c r="AX477" s="298"/>
      <c r="AY477" s="299"/>
      <c r="AZ477" s="299"/>
      <c r="BA477" s="301"/>
      <c r="BB477" s="301"/>
      <c r="BC477" s="426"/>
      <c r="BD477" s="298"/>
      <c r="BE477" s="299"/>
      <c r="BF477" s="299"/>
      <c r="BG477" s="301"/>
      <c r="BH477" s="301"/>
      <c r="BI477" s="88"/>
      <c r="BJ477" s="298"/>
      <c r="BK477" s="299"/>
      <c r="BL477" s="299"/>
      <c r="BM477" s="301"/>
      <c r="BN477" s="301"/>
      <c r="BO477" s="88"/>
      <c r="BP477" s="9"/>
      <c r="BS477" s="81"/>
      <c r="BT477" s="81"/>
      <c r="BV477" s="9"/>
      <c r="BY477" s="81"/>
      <c r="BZ477" s="81"/>
      <c r="CB477" s="9"/>
      <c r="CE477" s="81"/>
      <c r="CF477" s="81"/>
      <c r="CH477" s="9"/>
      <c r="CK477" s="81"/>
      <c r="CL477" s="81"/>
      <c r="CR477" s="9"/>
      <c r="CS477" s="9"/>
      <c r="CT477" s="9"/>
      <c r="CU477" s="9"/>
      <c r="CV477" s="9"/>
      <c r="CW477" s="129"/>
      <c r="CX477" s="9"/>
    </row>
    <row r="478" spans="1:102">
      <c r="A478" s="6" t="str">
        <f t="shared" si="71"/>
        <v>00940998</v>
      </c>
      <c r="B478" s="6" t="s">
        <v>1744</v>
      </c>
      <c r="C478" s="6" t="s">
        <v>2091</v>
      </c>
      <c r="D478" s="6">
        <v>469</v>
      </c>
      <c r="E478" s="6">
        <v>94</v>
      </c>
      <c r="F478" s="6" t="s">
        <v>1547</v>
      </c>
      <c r="G478" s="6">
        <v>998</v>
      </c>
      <c r="H478" s="6" t="s">
        <v>1547</v>
      </c>
      <c r="I478" s="33">
        <v>0</v>
      </c>
      <c r="J478" s="88">
        <v>0</v>
      </c>
      <c r="K478" s="89">
        <f t="shared" si="80"/>
        <v>0</v>
      </c>
      <c r="L478" s="88">
        <f>IF(K479&gt;0, K478/K479, 0)</f>
        <v>0</v>
      </c>
      <c r="M478" s="58"/>
      <c r="N478" s="9">
        <f>ROUND(M479*L478,0)</f>
        <v>0</v>
      </c>
      <c r="O478" s="9">
        <v>0</v>
      </c>
      <c r="P478" s="9">
        <f>N478-O478</f>
        <v>0</v>
      </c>
      <c r="Q478" s="40">
        <f t="shared" si="79"/>
        <v>0</v>
      </c>
      <c r="R478" s="9">
        <v>0</v>
      </c>
      <c r="S478" s="9">
        <f t="shared" si="77"/>
        <v>0</v>
      </c>
      <c r="T478" s="90">
        <f t="shared" si="72"/>
        <v>94</v>
      </c>
      <c r="U478" s="90">
        <f t="shared" si="73"/>
        <v>998</v>
      </c>
      <c r="V478" s="373">
        <f t="shared" si="74"/>
        <v>469</v>
      </c>
      <c r="W478" s="90">
        <f t="shared" si="75"/>
        <v>0</v>
      </c>
      <c r="X478" s="90">
        <f t="shared" si="76"/>
        <v>0</v>
      </c>
      <c r="Y478" s="141">
        <f t="shared" si="78"/>
        <v>469</v>
      </c>
      <c r="Z478" s="298">
        <v>94</v>
      </c>
      <c r="AA478" s="299">
        <v>998</v>
      </c>
      <c r="AB478" s="299">
        <v>469</v>
      </c>
      <c r="AC478" s="301">
        <v>0</v>
      </c>
      <c r="AD478" s="301">
        <v>0</v>
      </c>
      <c r="AE478" s="126"/>
      <c r="AF478" s="298"/>
      <c r="AG478" s="299"/>
      <c r="AH478" s="299"/>
      <c r="AI478" s="301"/>
      <c r="AJ478" s="301"/>
      <c r="AK478" s="426"/>
      <c r="AL478" s="298"/>
      <c r="AM478" s="299"/>
      <c r="AN478" s="299"/>
      <c r="AO478" s="301"/>
      <c r="AP478" s="301"/>
      <c r="AQ478" s="426"/>
      <c r="AR478" s="298"/>
      <c r="AS478" s="299"/>
      <c r="AT478" s="299"/>
      <c r="AU478" s="301"/>
      <c r="AV478" s="301"/>
      <c r="AW478" s="88"/>
      <c r="AX478" s="298"/>
      <c r="AY478" s="299"/>
      <c r="AZ478" s="299"/>
      <c r="BA478" s="301"/>
      <c r="BB478" s="301"/>
      <c r="BC478" s="426"/>
      <c r="BD478" s="298"/>
      <c r="BE478" s="299"/>
      <c r="BF478" s="299"/>
      <c r="BG478" s="301"/>
      <c r="BH478" s="301"/>
      <c r="BI478" s="88"/>
      <c r="BJ478" s="298"/>
      <c r="BK478" s="299"/>
      <c r="BL478" s="299"/>
      <c r="BM478" s="301"/>
      <c r="BN478" s="301"/>
      <c r="BO478" s="88"/>
      <c r="BP478" s="9"/>
      <c r="BS478" s="81"/>
      <c r="BT478" s="81"/>
      <c r="BV478" s="9"/>
      <c r="BY478" s="81"/>
      <c r="BZ478" s="81"/>
      <c r="CB478" s="9"/>
      <c r="CE478" s="81"/>
      <c r="CF478" s="81"/>
      <c r="CH478" s="9"/>
      <c r="CK478" s="81"/>
      <c r="CL478" s="81"/>
      <c r="CR478" s="9"/>
      <c r="CS478" s="9"/>
      <c r="CT478" s="9"/>
      <c r="CU478" s="9"/>
      <c r="CV478" s="9"/>
      <c r="CW478" s="129"/>
      <c r="CX478" s="9"/>
    </row>
    <row r="479" spans="1:102">
      <c r="A479" s="6" t="str">
        <f t="shared" si="71"/>
        <v>00940999</v>
      </c>
      <c r="B479" s="6" t="s">
        <v>1744</v>
      </c>
      <c r="C479" s="6" t="s">
        <v>2092</v>
      </c>
      <c r="D479" s="6">
        <v>470</v>
      </c>
      <c r="E479" s="10">
        <v>94</v>
      </c>
      <c r="F479" s="10" t="s">
        <v>1213</v>
      </c>
      <c r="G479" s="10">
        <v>999</v>
      </c>
      <c r="H479" s="10" t="s">
        <v>593</v>
      </c>
      <c r="I479" s="92">
        <v>28118515.008346323</v>
      </c>
      <c r="J479" s="472">
        <v>1</v>
      </c>
      <c r="K479" s="53">
        <f>SUM(K475:K478)</f>
        <v>28223295.958749395</v>
      </c>
      <c r="L479" s="91">
        <f>SUM(L475:L478)</f>
        <v>0.99999999999999989</v>
      </c>
      <c r="M479" s="79">
        <f>VLOOKUP(E479,town351,24)</f>
        <v>17807773</v>
      </c>
      <c r="N479" s="79">
        <f>SUM(N475:N478)</f>
        <v>17807773</v>
      </c>
      <c r="O479" s="79">
        <v>16724054</v>
      </c>
      <c r="P479" s="79">
        <f>SUM(P475:P478)</f>
        <v>1083719</v>
      </c>
      <c r="Q479" s="39">
        <f t="shared" si="79"/>
        <v>6.4800017986069642</v>
      </c>
      <c r="R479" s="9">
        <v>1857.9999999988499</v>
      </c>
      <c r="S479" s="9">
        <f t="shared" si="77"/>
        <v>1800.99999999537</v>
      </c>
      <c r="T479" s="90">
        <f t="shared" si="72"/>
        <v>94</v>
      </c>
      <c r="U479" s="90">
        <f t="shared" si="73"/>
        <v>999</v>
      </c>
      <c r="V479" s="373">
        <f t="shared" si="74"/>
        <v>470</v>
      </c>
      <c r="W479" s="90">
        <f t="shared" si="75"/>
        <v>1800.99999999537</v>
      </c>
      <c r="X479" s="90">
        <f t="shared" si="76"/>
        <v>28223295.958749395</v>
      </c>
      <c r="Y479" s="141">
        <f t="shared" si="78"/>
        <v>470</v>
      </c>
      <c r="Z479" s="298">
        <v>94</v>
      </c>
      <c r="AA479" s="299">
        <v>999</v>
      </c>
      <c r="AB479" s="299">
        <v>470</v>
      </c>
      <c r="AC479" s="301">
        <v>1800.99999999537</v>
      </c>
      <c r="AD479" s="301">
        <v>28223295.958749395</v>
      </c>
      <c r="AE479" s="126"/>
      <c r="AF479" s="298"/>
      <c r="AG479" s="299"/>
      <c r="AH479" s="299"/>
      <c r="AI479" s="301"/>
      <c r="AJ479" s="301"/>
      <c r="AK479" s="426"/>
      <c r="AL479" s="298"/>
      <c r="AM479" s="299"/>
      <c r="AN479" s="299"/>
      <c r="AO479" s="301"/>
      <c r="AP479" s="301"/>
      <c r="AQ479" s="426"/>
      <c r="AR479" s="298"/>
      <c r="AS479" s="299"/>
      <c r="AT479" s="299"/>
      <c r="AU479" s="301"/>
      <c r="AV479" s="301"/>
      <c r="AW479" s="91"/>
      <c r="AX479" s="298"/>
      <c r="AY479" s="299"/>
      <c r="AZ479" s="299"/>
      <c r="BA479" s="301"/>
      <c r="BB479" s="301"/>
      <c r="BC479" s="426"/>
      <c r="BD479" s="298"/>
      <c r="BE479" s="299"/>
      <c r="BF479" s="299"/>
      <c r="BG479" s="301"/>
      <c r="BH479" s="301"/>
      <c r="BI479" s="91"/>
      <c r="BJ479" s="298"/>
      <c r="BK479" s="299"/>
      <c r="BL479" s="299"/>
      <c r="BM479" s="301"/>
      <c r="BN479" s="301"/>
      <c r="BO479" s="91"/>
      <c r="BP479" s="9"/>
      <c r="BS479" s="81"/>
      <c r="BT479" s="81"/>
      <c r="BV479" s="9"/>
      <c r="BY479" s="81"/>
      <c r="BZ479" s="81"/>
      <c r="CB479" s="9"/>
      <c r="CE479" s="81"/>
      <c r="CF479" s="81"/>
      <c r="CH479" s="9"/>
      <c r="CK479" s="81"/>
      <c r="CL479" s="81"/>
      <c r="CR479" s="9"/>
      <c r="CS479" s="9"/>
      <c r="CT479" s="9"/>
      <c r="CU479" s="9"/>
      <c r="CV479" s="9"/>
      <c r="CW479" s="129"/>
      <c r="CX479" s="9"/>
    </row>
    <row r="480" spans="1:102">
      <c r="A480" s="6" t="str">
        <f t="shared" si="71"/>
        <v>00950095</v>
      </c>
      <c r="B480" s="6" t="s">
        <v>1745</v>
      </c>
      <c r="C480" s="6" t="s">
        <v>1745</v>
      </c>
      <c r="D480" s="6">
        <v>471</v>
      </c>
      <c r="E480" s="6">
        <v>95</v>
      </c>
      <c r="F480" s="6" t="s">
        <v>1214</v>
      </c>
      <c r="G480" s="6">
        <v>95</v>
      </c>
      <c r="H480" s="6" t="s">
        <v>776</v>
      </c>
      <c r="I480" s="33">
        <v>226544925.61000004</v>
      </c>
      <c r="J480" s="88">
        <v>0.90556743182564459</v>
      </c>
      <c r="K480" s="89">
        <f>X480</f>
        <v>243053149.76999998</v>
      </c>
      <c r="L480" s="88">
        <f>IF(K484&gt;0, K480/K484, 0)</f>
        <v>0.90792156255545275</v>
      </c>
      <c r="M480" s="58"/>
      <c r="N480" s="9">
        <f>ROUND(M484*L480,0)</f>
        <v>40721548</v>
      </c>
      <c r="O480" s="9">
        <v>38520449</v>
      </c>
      <c r="P480" s="9">
        <f>N480-O480</f>
        <v>2201099</v>
      </c>
      <c r="Q480" s="40">
        <f t="shared" si="79"/>
        <v>5.7141052535498744</v>
      </c>
      <c r="R480" s="9">
        <v>12238</v>
      </c>
      <c r="S480" s="9">
        <f t="shared" si="77"/>
        <v>12433</v>
      </c>
      <c r="T480" s="90">
        <f t="shared" si="72"/>
        <v>95</v>
      </c>
      <c r="U480" s="90">
        <f t="shared" si="73"/>
        <v>95</v>
      </c>
      <c r="V480" s="373">
        <f t="shared" si="74"/>
        <v>471</v>
      </c>
      <c r="W480" s="90">
        <f t="shared" si="75"/>
        <v>12433</v>
      </c>
      <c r="X480" s="90">
        <f t="shared" si="76"/>
        <v>243053149.76999998</v>
      </c>
      <c r="Y480" s="141">
        <f t="shared" si="78"/>
        <v>471</v>
      </c>
      <c r="Z480" s="298">
        <v>95</v>
      </c>
      <c r="AA480" s="299">
        <v>95</v>
      </c>
      <c r="AB480" s="299">
        <v>471</v>
      </c>
      <c r="AC480" s="301">
        <v>12433</v>
      </c>
      <c r="AD480" s="301">
        <v>243053149.76999998</v>
      </c>
      <c r="AE480" s="126"/>
      <c r="AF480" s="298"/>
      <c r="AG480" s="299"/>
      <c r="AH480" s="299"/>
      <c r="AI480" s="301"/>
      <c r="AJ480" s="301"/>
      <c r="AK480" s="426"/>
      <c r="AL480" s="298"/>
      <c r="AM480" s="299"/>
      <c r="AN480" s="299"/>
      <c r="AO480" s="301"/>
      <c r="AP480" s="301"/>
      <c r="AQ480" s="426"/>
      <c r="AR480" s="298"/>
      <c r="AS480" s="299"/>
      <c r="AT480" s="299"/>
      <c r="AU480" s="301"/>
      <c r="AV480" s="301"/>
      <c r="AW480" s="88"/>
      <c r="AX480" s="298"/>
      <c r="AY480" s="299"/>
      <c r="AZ480" s="299"/>
      <c r="BA480" s="301"/>
      <c r="BB480" s="301"/>
      <c r="BC480" s="426"/>
      <c r="BD480" s="298"/>
      <c r="BE480" s="299"/>
      <c r="BF480" s="299"/>
      <c r="BG480" s="301"/>
      <c r="BH480" s="301"/>
      <c r="BI480" s="88"/>
      <c r="BJ480" s="298"/>
      <c r="BK480" s="299"/>
      <c r="BL480" s="299"/>
      <c r="BM480" s="301"/>
      <c r="BN480" s="301"/>
      <c r="BO480" s="88"/>
      <c r="BP480" s="9"/>
      <c r="BS480" s="81"/>
      <c r="BT480" s="81"/>
      <c r="BV480" s="9"/>
      <c r="BY480" s="81"/>
      <c r="BZ480" s="81"/>
      <c r="CB480" s="9"/>
      <c r="CE480" s="81"/>
      <c r="CF480" s="81"/>
      <c r="CH480" s="9"/>
      <c r="CK480" s="81"/>
      <c r="CL480" s="81"/>
      <c r="CR480" s="9"/>
      <c r="CS480" s="9"/>
      <c r="CT480" s="9"/>
      <c r="CU480" s="9"/>
      <c r="CV480" s="9"/>
      <c r="CW480" s="129"/>
      <c r="CX480" s="9"/>
    </row>
    <row r="481" spans="1:102">
      <c r="A481" s="6" t="str">
        <f t="shared" si="71"/>
        <v>00950821</v>
      </c>
      <c r="B481" s="6" t="s">
        <v>1745</v>
      </c>
      <c r="C481" s="6" t="s">
        <v>2069</v>
      </c>
      <c r="D481" s="6">
        <v>472</v>
      </c>
      <c r="E481" s="6">
        <v>95</v>
      </c>
      <c r="F481" s="6" t="s">
        <v>1214</v>
      </c>
      <c r="G481" s="6">
        <v>821</v>
      </c>
      <c r="H481" s="6" t="s">
        <v>1099</v>
      </c>
      <c r="I481" s="33">
        <v>22524533.313323878</v>
      </c>
      <c r="J481" s="88">
        <v>9.0037257425630485E-2</v>
      </c>
      <c r="K481" s="89">
        <f t="shared" si="80"/>
        <v>23586429.675041087</v>
      </c>
      <c r="L481" s="88">
        <f>IF(K484&gt;0, K481/K484, 0)</f>
        <v>8.8106770498272341E-2</v>
      </c>
      <c r="M481" s="58"/>
      <c r="N481" s="9">
        <f>ROUND(M484*L481,0)</f>
        <v>3951711</v>
      </c>
      <c r="O481" s="9">
        <v>3829947</v>
      </c>
      <c r="P481" s="9">
        <f>N481-O481</f>
        <v>121764</v>
      </c>
      <c r="Q481" s="40">
        <f t="shared" si="79"/>
        <v>3.179260705174249</v>
      </c>
      <c r="R481" s="9">
        <v>1059.0000000054999</v>
      </c>
      <c r="S481" s="9">
        <f t="shared" si="77"/>
        <v>1074.99999999648</v>
      </c>
      <c r="T481" s="90">
        <f t="shared" si="72"/>
        <v>95</v>
      </c>
      <c r="U481" s="90">
        <f t="shared" si="73"/>
        <v>821</v>
      </c>
      <c r="V481" s="373">
        <f t="shared" si="74"/>
        <v>472</v>
      </c>
      <c r="W481" s="90">
        <f t="shared" si="75"/>
        <v>1074.99999999648</v>
      </c>
      <c r="X481" s="90">
        <f t="shared" si="76"/>
        <v>23586429.675041087</v>
      </c>
      <c r="Y481" s="141">
        <f t="shared" si="78"/>
        <v>472</v>
      </c>
      <c r="Z481" s="298">
        <v>95</v>
      </c>
      <c r="AA481" s="299">
        <v>821</v>
      </c>
      <c r="AB481" s="299">
        <v>472</v>
      </c>
      <c r="AC481" s="301">
        <v>1074.99999999648</v>
      </c>
      <c r="AD481" s="301">
        <v>23586429.675041087</v>
      </c>
      <c r="AE481" s="126"/>
      <c r="AF481" s="298"/>
      <c r="AG481" s="299"/>
      <c r="AH481" s="299"/>
      <c r="AI481" s="301"/>
      <c r="AJ481" s="301"/>
      <c r="AK481" s="426"/>
      <c r="AL481" s="298"/>
      <c r="AM481" s="299"/>
      <c r="AN481" s="299"/>
      <c r="AO481" s="301"/>
      <c r="AP481" s="301"/>
      <c r="AQ481" s="426"/>
      <c r="AR481" s="298"/>
      <c r="AS481" s="299"/>
      <c r="AT481" s="299"/>
      <c r="AU481" s="301"/>
      <c r="AV481" s="301"/>
      <c r="AW481" s="88"/>
      <c r="AX481" s="298"/>
      <c r="AY481" s="299"/>
      <c r="AZ481" s="299"/>
      <c r="BA481" s="301"/>
      <c r="BB481" s="301"/>
      <c r="BC481" s="426"/>
      <c r="BD481" s="298"/>
      <c r="BE481" s="299"/>
      <c r="BF481" s="299"/>
      <c r="BG481" s="301"/>
      <c r="BH481" s="301"/>
      <c r="BI481" s="88"/>
      <c r="BJ481" s="298"/>
      <c r="BK481" s="299"/>
      <c r="BL481" s="299"/>
      <c r="BM481" s="301"/>
      <c r="BN481" s="301"/>
      <c r="BO481" s="88"/>
      <c r="BP481" s="9"/>
      <c r="BS481" s="81"/>
      <c r="BT481" s="81"/>
      <c r="BV481" s="9"/>
      <c r="BY481" s="81"/>
      <c r="BZ481" s="81"/>
      <c r="CB481" s="9"/>
      <c r="CE481" s="81"/>
      <c r="CF481" s="81"/>
      <c r="CH481" s="9"/>
      <c r="CK481" s="81"/>
      <c r="CL481" s="81"/>
      <c r="CR481" s="9"/>
      <c r="CS481" s="9"/>
      <c r="CT481" s="9"/>
      <c r="CU481" s="9"/>
      <c r="CV481" s="9"/>
      <c r="CW481" s="129"/>
      <c r="CX481" s="9"/>
    </row>
    <row r="482" spans="1:102">
      <c r="A482" s="6" t="str">
        <f t="shared" si="71"/>
        <v>00950910</v>
      </c>
      <c r="B482" s="6" t="s">
        <v>1745</v>
      </c>
      <c r="C482" s="6" t="s">
        <v>2088</v>
      </c>
      <c r="D482" s="6">
        <v>473</v>
      </c>
      <c r="E482" s="6">
        <v>95</v>
      </c>
      <c r="F482" s="6" t="s">
        <v>1214</v>
      </c>
      <c r="G482" s="6">
        <v>910</v>
      </c>
      <c r="H482" s="6" t="s">
        <v>1118</v>
      </c>
      <c r="I482" s="33">
        <v>1099570.6245699245</v>
      </c>
      <c r="J482" s="88">
        <v>4.3953107487248585E-3</v>
      </c>
      <c r="K482" s="89">
        <f t="shared" si="80"/>
        <v>1063226.3853415775</v>
      </c>
      <c r="L482" s="88">
        <f>IF(K484&gt;0, K482/K484, 0)</f>
        <v>3.9716669462748965E-3</v>
      </c>
      <c r="M482" s="58"/>
      <c r="N482" s="9">
        <f>ROUND(M484*L482,0)</f>
        <v>178135</v>
      </c>
      <c r="O482" s="9">
        <v>186965</v>
      </c>
      <c r="P482" s="9">
        <f>N482-O482</f>
        <v>-8830</v>
      </c>
      <c r="Q482" s="40">
        <f t="shared" si="79"/>
        <v>-4.7228090819137272</v>
      </c>
      <c r="R482" s="9">
        <v>54.00000000056</v>
      </c>
      <c r="S482" s="9">
        <f t="shared" si="77"/>
        <v>50.99999999808</v>
      </c>
      <c r="T482" s="90">
        <f t="shared" si="72"/>
        <v>95</v>
      </c>
      <c r="U482" s="90">
        <f t="shared" si="73"/>
        <v>910</v>
      </c>
      <c r="V482" s="373">
        <f t="shared" si="74"/>
        <v>473</v>
      </c>
      <c r="W482" s="90">
        <f t="shared" si="75"/>
        <v>50.99999999808</v>
      </c>
      <c r="X482" s="90">
        <f t="shared" si="76"/>
        <v>1063226.3853415775</v>
      </c>
      <c r="Y482" s="141">
        <f t="shared" si="78"/>
        <v>473</v>
      </c>
      <c r="Z482" s="298">
        <v>95</v>
      </c>
      <c r="AA482" s="299">
        <v>910</v>
      </c>
      <c r="AB482" s="299">
        <v>473</v>
      </c>
      <c r="AC482" s="301">
        <v>50.99999999808</v>
      </c>
      <c r="AD482" s="301">
        <v>1063226.3853415775</v>
      </c>
      <c r="AE482" s="126"/>
      <c r="AF482" s="298"/>
      <c r="AG482" s="299"/>
      <c r="AH482" s="299"/>
      <c r="AI482" s="301"/>
      <c r="AJ482" s="301"/>
      <c r="AK482" s="426"/>
      <c r="AL482" s="298"/>
      <c r="AM482" s="299"/>
      <c r="AN482" s="299"/>
      <c r="AO482" s="301"/>
      <c r="AP482" s="301"/>
      <c r="AQ482" s="426"/>
      <c r="AR482" s="298"/>
      <c r="AS482" s="299"/>
      <c r="AT482" s="299"/>
      <c r="AU482" s="301"/>
      <c r="AV482" s="301"/>
      <c r="AW482" s="88"/>
      <c r="AX482" s="298"/>
      <c r="AY482" s="299"/>
      <c r="AZ482" s="299"/>
      <c r="BA482" s="301"/>
      <c r="BB482" s="301"/>
      <c r="BC482" s="426"/>
      <c r="BD482" s="298"/>
      <c r="BE482" s="299"/>
      <c r="BF482" s="299"/>
      <c r="BG482" s="301"/>
      <c r="BH482" s="301"/>
      <c r="BI482" s="88"/>
      <c r="BJ482" s="298"/>
      <c r="BK482" s="299"/>
      <c r="BL482" s="299"/>
      <c r="BM482" s="301"/>
      <c r="BN482" s="301"/>
      <c r="BO482" s="88"/>
      <c r="BP482" s="9"/>
      <c r="BS482" s="81"/>
      <c r="BT482" s="81"/>
      <c r="BV482" s="9"/>
      <c r="BY482" s="81"/>
      <c r="BZ482" s="81"/>
      <c r="CB482" s="9"/>
      <c r="CE482" s="81"/>
      <c r="CF482" s="81"/>
      <c r="CH482" s="9"/>
      <c r="CK482" s="81"/>
      <c r="CL482" s="81"/>
      <c r="CR482" s="9"/>
      <c r="CS482" s="9"/>
      <c r="CT482" s="9"/>
      <c r="CU482" s="9"/>
      <c r="CV482" s="9"/>
      <c r="CW482" s="129"/>
      <c r="CX482" s="9"/>
    </row>
    <row r="483" spans="1:102">
      <c r="A483" s="6" t="str">
        <f t="shared" si="71"/>
        <v>00950998</v>
      </c>
      <c r="B483" s="6" t="s">
        <v>1745</v>
      </c>
      <c r="C483" s="6" t="s">
        <v>2091</v>
      </c>
      <c r="D483" s="6">
        <v>474</v>
      </c>
      <c r="E483" s="6">
        <v>95</v>
      </c>
      <c r="F483" s="6" t="s">
        <v>1547</v>
      </c>
      <c r="G483" s="6">
        <v>998</v>
      </c>
      <c r="H483" s="6" t="s">
        <v>1547</v>
      </c>
      <c r="I483" s="33">
        <v>0</v>
      </c>
      <c r="J483" s="88">
        <v>0</v>
      </c>
      <c r="K483" s="89">
        <f t="shared" si="80"/>
        <v>0</v>
      </c>
      <c r="L483" s="88">
        <f>IF(K484&gt;0, K483/K484, 0)</f>
        <v>0</v>
      </c>
      <c r="M483" s="58"/>
      <c r="N483" s="9">
        <f>ROUND(M484*L483,0)</f>
        <v>0</v>
      </c>
      <c r="O483" s="9">
        <v>0</v>
      </c>
      <c r="P483" s="9">
        <f>N483-O483</f>
        <v>0</v>
      </c>
      <c r="Q483" s="40">
        <f t="shared" si="79"/>
        <v>0</v>
      </c>
      <c r="R483" s="9">
        <v>0</v>
      </c>
      <c r="S483" s="9">
        <f t="shared" si="77"/>
        <v>0</v>
      </c>
      <c r="T483" s="90">
        <f t="shared" si="72"/>
        <v>95</v>
      </c>
      <c r="U483" s="90">
        <f t="shared" si="73"/>
        <v>998</v>
      </c>
      <c r="V483" s="373">
        <f t="shared" si="74"/>
        <v>474</v>
      </c>
      <c r="W483" s="90">
        <f t="shared" si="75"/>
        <v>0</v>
      </c>
      <c r="X483" s="90">
        <f t="shared" si="76"/>
        <v>0</v>
      </c>
      <c r="Y483" s="141">
        <f t="shared" si="78"/>
        <v>474</v>
      </c>
      <c r="Z483" s="298">
        <v>95</v>
      </c>
      <c r="AA483" s="299">
        <v>998</v>
      </c>
      <c r="AB483" s="299">
        <v>474</v>
      </c>
      <c r="AC483" s="301">
        <v>0</v>
      </c>
      <c r="AD483" s="301">
        <v>0</v>
      </c>
      <c r="AE483" s="126"/>
      <c r="AF483" s="298"/>
      <c r="AG483" s="299"/>
      <c r="AH483" s="299"/>
      <c r="AI483" s="301"/>
      <c r="AJ483" s="301"/>
      <c r="AK483" s="426"/>
      <c r="AL483" s="298"/>
      <c r="AM483" s="299"/>
      <c r="AN483" s="299"/>
      <c r="AO483" s="301"/>
      <c r="AP483" s="301"/>
      <c r="AQ483" s="426"/>
      <c r="AR483" s="298"/>
      <c r="AS483" s="299"/>
      <c r="AT483" s="299"/>
      <c r="AU483" s="301"/>
      <c r="AV483" s="301"/>
      <c r="AW483" s="88"/>
      <c r="AX483" s="298"/>
      <c r="AY483" s="299"/>
      <c r="AZ483" s="299"/>
      <c r="BA483" s="301"/>
      <c r="BB483" s="301"/>
      <c r="BC483" s="426"/>
      <c r="BD483" s="298"/>
      <c r="BE483" s="299"/>
      <c r="BF483" s="299"/>
      <c r="BG483" s="301"/>
      <c r="BH483" s="301"/>
      <c r="BI483" s="88"/>
      <c r="BJ483" s="298"/>
      <c r="BK483" s="299"/>
      <c r="BL483" s="299"/>
      <c r="BM483" s="301"/>
      <c r="BN483" s="301"/>
      <c r="BO483" s="88"/>
      <c r="BP483" s="9"/>
      <c r="BS483" s="81"/>
      <c r="BT483" s="81"/>
      <c r="BV483" s="9"/>
      <c r="BY483" s="81"/>
      <c r="BZ483" s="81"/>
      <c r="CB483" s="9"/>
      <c r="CE483" s="81"/>
      <c r="CF483" s="81"/>
      <c r="CH483" s="9"/>
      <c r="CK483" s="81"/>
      <c r="CL483" s="81"/>
      <c r="CR483" s="9"/>
      <c r="CS483" s="9"/>
      <c r="CT483" s="9"/>
      <c r="CU483" s="9"/>
      <c r="CV483" s="9"/>
      <c r="CW483" s="129"/>
      <c r="CX483" s="9"/>
    </row>
    <row r="484" spans="1:102">
      <c r="A484" s="6" t="str">
        <f t="shared" si="71"/>
        <v>00950999</v>
      </c>
      <c r="B484" s="6" t="s">
        <v>1745</v>
      </c>
      <c r="C484" s="6" t="s">
        <v>2092</v>
      </c>
      <c r="D484" s="6">
        <v>475</v>
      </c>
      <c r="E484" s="10">
        <v>95</v>
      </c>
      <c r="F484" s="10" t="s">
        <v>1214</v>
      </c>
      <c r="G484" s="10">
        <v>999</v>
      </c>
      <c r="H484" s="10" t="s">
        <v>593</v>
      </c>
      <c r="I484" s="92">
        <v>250169029.54789385</v>
      </c>
      <c r="J484" s="472">
        <v>1</v>
      </c>
      <c r="K484" s="53">
        <f>SUM(K480:K483)</f>
        <v>267702805.83038265</v>
      </c>
      <c r="L484" s="91">
        <f>SUM(L480:L483)</f>
        <v>1</v>
      </c>
      <c r="M484" s="79">
        <f>VLOOKUP(E484,town351,24)</f>
        <v>44851394</v>
      </c>
      <c r="N484" s="79">
        <f>SUM(N480:N483)</f>
        <v>44851394</v>
      </c>
      <c r="O484" s="79">
        <v>42537361</v>
      </c>
      <c r="P484" s="79">
        <f>SUM(P480:P483)</f>
        <v>2314033</v>
      </c>
      <c r="Q484" s="39">
        <f t="shared" si="79"/>
        <v>5.440001320251155</v>
      </c>
      <c r="R484" s="9">
        <v>13351.000000006061</v>
      </c>
      <c r="S484" s="9">
        <f t="shared" si="77"/>
        <v>13558.999999994559</v>
      </c>
      <c r="T484" s="90">
        <f t="shared" si="72"/>
        <v>95</v>
      </c>
      <c r="U484" s="90">
        <f t="shared" si="73"/>
        <v>999</v>
      </c>
      <c r="V484" s="373">
        <f t="shared" si="74"/>
        <v>475</v>
      </c>
      <c r="W484" s="90">
        <f t="shared" si="75"/>
        <v>13558.999999994559</v>
      </c>
      <c r="X484" s="90">
        <f t="shared" si="76"/>
        <v>267702805.83038265</v>
      </c>
      <c r="Y484" s="141">
        <f t="shared" si="78"/>
        <v>475</v>
      </c>
      <c r="Z484" s="298">
        <v>95</v>
      </c>
      <c r="AA484" s="299">
        <v>999</v>
      </c>
      <c r="AB484" s="299">
        <v>475</v>
      </c>
      <c r="AC484" s="301">
        <v>13558.999999994559</v>
      </c>
      <c r="AD484" s="301">
        <v>267702805.83038265</v>
      </c>
      <c r="AE484" s="126"/>
      <c r="AF484" s="298"/>
      <c r="AG484" s="299"/>
      <c r="AH484" s="299"/>
      <c r="AI484" s="301"/>
      <c r="AJ484" s="301"/>
      <c r="AK484" s="426"/>
      <c r="AL484" s="298"/>
      <c r="AM484" s="299"/>
      <c r="AN484" s="299"/>
      <c r="AO484" s="301"/>
      <c r="AP484" s="301"/>
      <c r="AQ484" s="426"/>
      <c r="AR484" s="298"/>
      <c r="AS484" s="299"/>
      <c r="AT484" s="299"/>
      <c r="AU484" s="301"/>
      <c r="AV484" s="301"/>
      <c r="AW484" s="91"/>
      <c r="AX484" s="298"/>
      <c r="AY484" s="299"/>
      <c r="AZ484" s="299"/>
      <c r="BA484" s="301"/>
      <c r="BB484" s="301"/>
      <c r="BC484" s="426"/>
      <c r="BD484" s="298"/>
      <c r="BE484" s="299"/>
      <c r="BF484" s="299"/>
      <c r="BG484" s="301"/>
      <c r="BH484" s="301"/>
      <c r="BI484" s="91"/>
      <c r="BJ484" s="298"/>
      <c r="BK484" s="299"/>
      <c r="BL484" s="299"/>
      <c r="BM484" s="301"/>
      <c r="BN484" s="301"/>
      <c r="BO484" s="91"/>
      <c r="BP484" s="9"/>
      <c r="BS484" s="81"/>
      <c r="BT484" s="81"/>
      <c r="BV484" s="9"/>
      <c r="BY484" s="81"/>
      <c r="BZ484" s="81"/>
      <c r="CB484" s="9"/>
      <c r="CE484" s="81"/>
      <c r="CF484" s="81"/>
      <c r="CH484" s="9"/>
      <c r="CK484" s="81"/>
      <c r="CL484" s="81"/>
      <c r="CR484" s="9"/>
      <c r="CS484" s="9"/>
      <c r="CT484" s="9"/>
      <c r="CU484" s="9"/>
      <c r="CV484" s="9"/>
      <c r="CW484" s="129"/>
      <c r="CX484" s="9"/>
    </row>
    <row r="485" spans="1:102">
      <c r="A485" s="6" t="str">
        <f t="shared" si="71"/>
        <v>00960096</v>
      </c>
      <c r="B485" s="6" t="s">
        <v>1746</v>
      </c>
      <c r="C485" s="6" t="s">
        <v>1746</v>
      </c>
      <c r="D485" s="6">
        <v>476</v>
      </c>
      <c r="E485" s="6">
        <v>96</v>
      </c>
      <c r="F485" s="6" t="s">
        <v>1215</v>
      </c>
      <c r="G485" s="6">
        <v>96</v>
      </c>
      <c r="H485" s="6" t="s">
        <v>777</v>
      </c>
      <c r="I485" s="33">
        <v>42847018.859999999</v>
      </c>
      <c r="J485" s="88">
        <v>0.91589216223637149</v>
      </c>
      <c r="K485" s="89">
        <f>X485</f>
        <v>43218462.880000003</v>
      </c>
      <c r="L485" s="88">
        <f>IF(K489&gt;0, K485/K489, 0)</f>
        <v>0.90922548649091983</v>
      </c>
      <c r="M485" s="58"/>
      <c r="N485" s="9">
        <f>ROUND(M489*L485,0)</f>
        <v>35655232</v>
      </c>
      <c r="O485" s="9">
        <v>33524110</v>
      </c>
      <c r="P485" s="9">
        <f>N485-O485</f>
        <v>2131122</v>
      </c>
      <c r="Q485" s="40">
        <f t="shared" si="79"/>
        <v>6.356983078745416</v>
      </c>
      <c r="R485" s="9">
        <v>2959</v>
      </c>
      <c r="S485" s="9">
        <f t="shared" si="77"/>
        <v>2870</v>
      </c>
      <c r="T485" s="90">
        <f t="shared" si="72"/>
        <v>96</v>
      </c>
      <c r="U485" s="90">
        <f t="shared" si="73"/>
        <v>96</v>
      </c>
      <c r="V485" s="373">
        <f t="shared" si="74"/>
        <v>476</v>
      </c>
      <c r="W485" s="90">
        <f t="shared" si="75"/>
        <v>2870</v>
      </c>
      <c r="X485" s="90">
        <f t="shared" si="76"/>
        <v>43218462.880000003</v>
      </c>
      <c r="Y485" s="141">
        <f t="shared" si="78"/>
        <v>476</v>
      </c>
      <c r="Z485" s="298">
        <v>96</v>
      </c>
      <c r="AA485" s="299">
        <v>96</v>
      </c>
      <c r="AB485" s="299">
        <v>476</v>
      </c>
      <c r="AC485" s="301">
        <v>2870</v>
      </c>
      <c r="AD485" s="301">
        <v>43218462.880000003</v>
      </c>
      <c r="AE485" s="126"/>
      <c r="AF485" s="298"/>
      <c r="AG485" s="299"/>
      <c r="AH485" s="299"/>
      <c r="AI485" s="301"/>
      <c r="AJ485" s="301"/>
      <c r="AK485" s="426"/>
      <c r="AL485" s="298"/>
      <c r="AM485" s="299"/>
      <c r="AN485" s="299"/>
      <c r="AO485" s="301"/>
      <c r="AP485" s="301"/>
      <c r="AQ485" s="426"/>
      <c r="AR485" s="298"/>
      <c r="AS485" s="299"/>
      <c r="AT485" s="299"/>
      <c r="AU485" s="301"/>
      <c r="AV485" s="301"/>
      <c r="AW485" s="88"/>
      <c r="AX485" s="298"/>
      <c r="AY485" s="299"/>
      <c r="AZ485" s="299"/>
      <c r="BA485" s="301"/>
      <c r="BB485" s="301"/>
      <c r="BC485" s="426"/>
      <c r="BD485" s="298"/>
      <c r="BE485" s="299"/>
      <c r="BF485" s="299"/>
      <c r="BG485" s="301"/>
      <c r="BH485" s="301"/>
      <c r="BI485" s="88"/>
      <c r="BJ485" s="298"/>
      <c r="BK485" s="299"/>
      <c r="BL485" s="299"/>
      <c r="BM485" s="301"/>
      <c r="BN485" s="301"/>
      <c r="BO485" s="88"/>
      <c r="BP485" s="9"/>
      <c r="BS485" s="81"/>
      <c r="BT485" s="81"/>
      <c r="BV485" s="9"/>
      <c r="BY485" s="81"/>
      <c r="BZ485" s="81"/>
      <c r="CB485" s="9"/>
      <c r="CE485" s="81"/>
      <c r="CF485" s="81"/>
      <c r="CH485" s="9"/>
      <c r="CK485" s="81"/>
      <c r="CL485" s="81"/>
      <c r="CR485" s="9"/>
      <c r="CS485" s="9"/>
      <c r="CT485" s="9"/>
      <c r="CU485" s="9"/>
      <c r="CV485" s="9"/>
      <c r="CW485" s="129"/>
      <c r="CX485" s="9"/>
    </row>
    <row r="486" spans="1:102">
      <c r="A486" s="6" t="str">
        <f t="shared" si="71"/>
        <v>00960879</v>
      </c>
      <c r="B486" s="6" t="s">
        <v>1746</v>
      </c>
      <c r="C486" s="6" t="s">
        <v>2086</v>
      </c>
      <c r="D486" s="6">
        <v>477</v>
      </c>
      <c r="E486" s="6">
        <v>96</v>
      </c>
      <c r="F486" s="6" t="s">
        <v>1215</v>
      </c>
      <c r="G486" s="6">
        <v>879</v>
      </c>
      <c r="H486" s="6" t="s">
        <v>1116</v>
      </c>
      <c r="I486" s="33">
        <v>3934710.0668844432</v>
      </c>
      <c r="J486" s="88">
        <v>8.4107837763628499E-2</v>
      </c>
      <c r="K486" s="89">
        <f t="shared" si="80"/>
        <v>4314809.6933393814</v>
      </c>
      <c r="L486" s="88">
        <f>IF(K489&gt;0, K486/K489, 0)</f>
        <v>9.0774513509080071E-2</v>
      </c>
      <c r="M486" s="58"/>
      <c r="N486" s="9">
        <f>ROUND(M489*L486,0)</f>
        <v>3559718</v>
      </c>
      <c r="O486" s="9">
        <v>3078572</v>
      </c>
      <c r="P486" s="9">
        <f>N486-O486</f>
        <v>481146</v>
      </c>
      <c r="Q486" s="40">
        <f t="shared" si="79"/>
        <v>15.62886948884093</v>
      </c>
      <c r="R486" s="9">
        <v>187.94803548807002</v>
      </c>
      <c r="S486" s="9">
        <f t="shared" si="77"/>
        <v>203.71395076304</v>
      </c>
      <c r="T486" s="90">
        <f t="shared" si="72"/>
        <v>96</v>
      </c>
      <c r="U486" s="90">
        <f t="shared" si="73"/>
        <v>879</v>
      </c>
      <c r="V486" s="373">
        <f t="shared" si="74"/>
        <v>477</v>
      </c>
      <c r="W486" s="90">
        <f t="shared" si="75"/>
        <v>203.71395076304</v>
      </c>
      <c r="X486" s="90">
        <f t="shared" si="76"/>
        <v>4314809.6933393814</v>
      </c>
      <c r="Y486" s="141">
        <f t="shared" si="78"/>
        <v>477</v>
      </c>
      <c r="Z486" s="298">
        <v>96</v>
      </c>
      <c r="AA486" s="299">
        <v>879</v>
      </c>
      <c r="AB486" s="299">
        <v>477</v>
      </c>
      <c r="AC486" s="301">
        <v>203.71395076304</v>
      </c>
      <c r="AD486" s="301">
        <v>4314809.6933393814</v>
      </c>
      <c r="AE486" s="126"/>
      <c r="AF486" s="298"/>
      <c r="AG486" s="299"/>
      <c r="AH486" s="299"/>
      <c r="AI486" s="301"/>
      <c r="AJ486" s="301"/>
      <c r="AK486" s="426"/>
      <c r="AL486" s="298"/>
      <c r="AM486" s="299"/>
      <c r="AN486" s="299"/>
      <c r="AO486" s="301"/>
      <c r="AP486" s="301"/>
      <c r="AQ486" s="426"/>
      <c r="AR486" s="298"/>
      <c r="AS486" s="299"/>
      <c r="AT486" s="299"/>
      <c r="AU486" s="301"/>
      <c r="AV486" s="301"/>
      <c r="AW486" s="88"/>
      <c r="AX486" s="298"/>
      <c r="AY486" s="299"/>
      <c r="AZ486" s="299"/>
      <c r="BA486" s="301"/>
      <c r="BB486" s="301"/>
      <c r="BC486" s="426"/>
      <c r="BD486" s="298"/>
      <c r="BE486" s="299"/>
      <c r="BF486" s="299"/>
      <c r="BG486" s="301"/>
      <c r="BH486" s="301"/>
      <c r="BI486" s="88"/>
      <c r="BJ486" s="298"/>
      <c r="BK486" s="299"/>
      <c r="BL486" s="299"/>
      <c r="BM486" s="301"/>
      <c r="BN486" s="301"/>
      <c r="BO486" s="88"/>
      <c r="BP486" s="9"/>
      <c r="BS486" s="81"/>
      <c r="BT486" s="81"/>
      <c r="BV486" s="9"/>
      <c r="BY486" s="81"/>
      <c r="BZ486" s="81"/>
      <c r="CB486" s="9"/>
      <c r="CE486" s="81"/>
      <c r="CF486" s="81"/>
      <c r="CH486" s="9"/>
      <c r="CK486" s="81"/>
      <c r="CL486" s="81"/>
      <c r="CR486" s="9"/>
      <c r="CS486" s="9"/>
      <c r="CT486" s="9"/>
      <c r="CU486" s="9"/>
      <c r="CV486" s="9"/>
      <c r="CW486" s="129"/>
      <c r="CX486" s="9"/>
    </row>
    <row r="487" spans="1:102">
      <c r="A487" s="6" t="str">
        <f t="shared" si="71"/>
        <v>00960998</v>
      </c>
      <c r="B487" s="6" t="s">
        <v>1746</v>
      </c>
      <c r="C487" s="6" t="s">
        <v>2091</v>
      </c>
      <c r="D487" s="6">
        <v>478</v>
      </c>
      <c r="E487" s="6">
        <v>96</v>
      </c>
      <c r="F487" s="6" t="s">
        <v>1547</v>
      </c>
      <c r="G487" s="6">
        <v>998</v>
      </c>
      <c r="H487" s="6" t="s">
        <v>1547</v>
      </c>
      <c r="I487" s="33">
        <v>0</v>
      </c>
      <c r="J487" s="88">
        <v>0</v>
      </c>
      <c r="K487" s="89">
        <f t="shared" si="80"/>
        <v>0</v>
      </c>
      <c r="L487" s="88">
        <f>IF(K489&gt;0, K487/K489, 0)</f>
        <v>0</v>
      </c>
      <c r="M487" s="58"/>
      <c r="N487" s="9">
        <f>ROUND(M489*L487,0)</f>
        <v>0</v>
      </c>
      <c r="O487" s="9">
        <v>0</v>
      </c>
      <c r="P487" s="9">
        <f>N487-O487</f>
        <v>0</v>
      </c>
      <c r="Q487" s="40">
        <f t="shared" si="79"/>
        <v>0</v>
      </c>
      <c r="R487" s="9">
        <v>0</v>
      </c>
      <c r="S487" s="9">
        <f t="shared" si="77"/>
        <v>0</v>
      </c>
      <c r="T487" s="90">
        <f t="shared" si="72"/>
        <v>96</v>
      </c>
      <c r="U487" s="90">
        <f t="shared" si="73"/>
        <v>998</v>
      </c>
      <c r="V487" s="373">
        <f t="shared" si="74"/>
        <v>478</v>
      </c>
      <c r="W487" s="90">
        <f t="shared" si="75"/>
        <v>0</v>
      </c>
      <c r="X487" s="90">
        <f t="shared" si="76"/>
        <v>0</v>
      </c>
      <c r="Y487" s="141">
        <f t="shared" si="78"/>
        <v>478</v>
      </c>
      <c r="Z487" s="298">
        <v>96</v>
      </c>
      <c r="AA487" s="299">
        <v>998</v>
      </c>
      <c r="AB487" s="299">
        <v>478</v>
      </c>
      <c r="AC487" s="301">
        <v>0</v>
      </c>
      <c r="AD487" s="301">
        <v>0</v>
      </c>
      <c r="AE487" s="126"/>
      <c r="AF487" s="298"/>
      <c r="AG487" s="299"/>
      <c r="AH487" s="299"/>
      <c r="AI487" s="301"/>
      <c r="AJ487" s="301"/>
      <c r="AK487" s="426"/>
      <c r="AL487" s="298"/>
      <c r="AM487" s="299"/>
      <c r="AN487" s="299"/>
      <c r="AO487" s="301"/>
      <c r="AP487" s="301"/>
      <c r="AQ487" s="426"/>
      <c r="AR487" s="298"/>
      <c r="AS487" s="299"/>
      <c r="AT487" s="299"/>
      <c r="AU487" s="301"/>
      <c r="AV487" s="301"/>
      <c r="AW487" s="88"/>
      <c r="AX487" s="298"/>
      <c r="AY487" s="299"/>
      <c r="AZ487" s="299"/>
      <c r="BA487" s="301"/>
      <c r="BB487" s="301"/>
      <c r="BC487" s="426"/>
      <c r="BD487" s="298"/>
      <c r="BE487" s="299"/>
      <c r="BF487" s="299"/>
      <c r="BG487" s="301"/>
      <c r="BH487" s="301"/>
      <c r="BI487" s="88"/>
      <c r="BJ487" s="298"/>
      <c r="BK487" s="299"/>
      <c r="BL487" s="299"/>
      <c r="BM487" s="301"/>
      <c r="BN487" s="301"/>
      <c r="BO487" s="88"/>
      <c r="BP487" s="9"/>
      <c r="BS487" s="81"/>
      <c r="BT487" s="81"/>
      <c r="BV487" s="9"/>
      <c r="BY487" s="81"/>
      <c r="BZ487" s="81"/>
      <c r="CB487" s="9"/>
      <c r="CE487" s="81"/>
      <c r="CF487" s="81"/>
      <c r="CH487" s="9"/>
      <c r="CK487" s="81"/>
      <c r="CL487" s="81"/>
      <c r="CR487" s="9"/>
      <c r="CS487" s="9"/>
      <c r="CT487" s="9"/>
      <c r="CU487" s="9"/>
      <c r="CV487" s="9"/>
      <c r="CW487" s="129"/>
      <c r="CX487" s="9"/>
    </row>
    <row r="488" spans="1:102">
      <c r="A488" s="6" t="str">
        <f t="shared" si="71"/>
        <v>00960998</v>
      </c>
      <c r="B488" s="6" t="s">
        <v>1746</v>
      </c>
      <c r="C488" s="6" t="s">
        <v>2091</v>
      </c>
      <c r="D488" s="6">
        <v>479</v>
      </c>
      <c r="E488" s="6">
        <v>96</v>
      </c>
      <c r="F488" s="6" t="s">
        <v>1547</v>
      </c>
      <c r="G488" s="6">
        <v>998</v>
      </c>
      <c r="H488" s="6" t="s">
        <v>1547</v>
      </c>
      <c r="I488" s="33">
        <v>0</v>
      </c>
      <c r="J488" s="88">
        <v>0</v>
      </c>
      <c r="K488" s="89">
        <f t="shared" si="80"/>
        <v>0</v>
      </c>
      <c r="L488" s="88">
        <f>IF(K489&gt;0, K488/K489, 0)</f>
        <v>0</v>
      </c>
      <c r="M488" s="58"/>
      <c r="N488" s="9">
        <f>ROUND(M489*L488,0)</f>
        <v>0</v>
      </c>
      <c r="O488" s="9">
        <v>0</v>
      </c>
      <c r="P488" s="9">
        <f>N488-O488</f>
        <v>0</v>
      </c>
      <c r="Q488" s="40">
        <f t="shared" si="79"/>
        <v>0</v>
      </c>
      <c r="R488" s="9">
        <v>0</v>
      </c>
      <c r="S488" s="9">
        <f t="shared" si="77"/>
        <v>0</v>
      </c>
      <c r="T488" s="90">
        <f t="shared" si="72"/>
        <v>96</v>
      </c>
      <c r="U488" s="90">
        <f t="shared" si="73"/>
        <v>998</v>
      </c>
      <c r="V488" s="373">
        <f t="shared" si="74"/>
        <v>479</v>
      </c>
      <c r="W488" s="90">
        <f t="shared" si="75"/>
        <v>0</v>
      </c>
      <c r="X488" s="90">
        <f t="shared" si="76"/>
        <v>0</v>
      </c>
      <c r="Y488" s="141">
        <f t="shared" si="78"/>
        <v>479</v>
      </c>
      <c r="Z488" s="298">
        <v>96</v>
      </c>
      <c r="AA488" s="299">
        <v>998</v>
      </c>
      <c r="AB488" s="299">
        <v>479</v>
      </c>
      <c r="AC488" s="301">
        <v>0</v>
      </c>
      <c r="AD488" s="301">
        <v>0</v>
      </c>
      <c r="AE488" s="126"/>
      <c r="AF488" s="298"/>
      <c r="AG488" s="299"/>
      <c r="AH488" s="299"/>
      <c r="AI488" s="301"/>
      <c r="AJ488" s="301"/>
      <c r="AK488" s="426"/>
      <c r="AL488" s="298"/>
      <c r="AM488" s="299"/>
      <c r="AN488" s="299"/>
      <c r="AO488" s="301"/>
      <c r="AP488" s="301"/>
      <c r="AQ488" s="426"/>
      <c r="AR488" s="298"/>
      <c r="AS488" s="299"/>
      <c r="AT488" s="299"/>
      <c r="AU488" s="301"/>
      <c r="AV488" s="301"/>
      <c r="AW488" s="88"/>
      <c r="AX488" s="298"/>
      <c r="AY488" s="299"/>
      <c r="AZ488" s="299"/>
      <c r="BA488" s="301"/>
      <c r="BB488" s="301"/>
      <c r="BC488" s="426"/>
      <c r="BD488" s="298"/>
      <c r="BE488" s="299"/>
      <c r="BF488" s="299"/>
      <c r="BG488" s="301"/>
      <c r="BH488" s="301"/>
      <c r="BI488" s="88"/>
      <c r="BJ488" s="298"/>
      <c r="BK488" s="299"/>
      <c r="BL488" s="299"/>
      <c r="BM488" s="301"/>
      <c r="BN488" s="301"/>
      <c r="BO488" s="88"/>
      <c r="BP488" s="9"/>
      <c r="BS488" s="81"/>
      <c r="BT488" s="81"/>
      <c r="BV488" s="9"/>
      <c r="BY488" s="81"/>
      <c r="BZ488" s="81"/>
      <c r="CB488" s="9"/>
      <c r="CE488" s="81"/>
      <c r="CF488" s="81"/>
      <c r="CH488" s="9"/>
      <c r="CK488" s="81"/>
      <c r="CL488" s="81"/>
      <c r="CR488" s="9"/>
      <c r="CS488" s="9"/>
      <c r="CT488" s="9"/>
      <c r="CU488" s="9"/>
      <c r="CV488" s="9"/>
      <c r="CW488" s="129"/>
      <c r="CX488" s="9"/>
    </row>
    <row r="489" spans="1:102">
      <c r="A489" s="6" t="str">
        <f t="shared" si="71"/>
        <v>00960999</v>
      </c>
      <c r="B489" s="6" t="s">
        <v>1746</v>
      </c>
      <c r="C489" s="6" t="s">
        <v>2092</v>
      </c>
      <c r="D489" s="6">
        <v>480</v>
      </c>
      <c r="E489" s="10">
        <v>96</v>
      </c>
      <c r="F489" s="10" t="s">
        <v>1215</v>
      </c>
      <c r="G489" s="10">
        <v>999</v>
      </c>
      <c r="H489" s="10" t="s">
        <v>593</v>
      </c>
      <c r="I489" s="92">
        <v>46781728.926884443</v>
      </c>
      <c r="J489" s="472">
        <v>1</v>
      </c>
      <c r="K489" s="53">
        <f>SUM(K485:K488)</f>
        <v>47533272.573339388</v>
      </c>
      <c r="L489" s="91">
        <f>SUM(L485:L488)</f>
        <v>0.99999999999999989</v>
      </c>
      <c r="M489" s="79">
        <f>VLOOKUP(E489,town351,24)</f>
        <v>39214950</v>
      </c>
      <c r="N489" s="79">
        <f>SUM(N485:N488)</f>
        <v>39214950</v>
      </c>
      <c r="O489" s="79">
        <v>36602682</v>
      </c>
      <c r="P489" s="79">
        <f>SUM(P485:P488)</f>
        <v>2612268</v>
      </c>
      <c r="Q489" s="39">
        <f t="shared" si="79"/>
        <v>7.1368212853910542</v>
      </c>
      <c r="R489" s="9">
        <v>3146.9480354880702</v>
      </c>
      <c r="S489" s="9">
        <f t="shared" si="77"/>
        <v>3073.71395076304</v>
      </c>
      <c r="T489" s="90">
        <f t="shared" si="72"/>
        <v>96</v>
      </c>
      <c r="U489" s="90">
        <f t="shared" si="73"/>
        <v>999</v>
      </c>
      <c r="V489" s="373">
        <f t="shared" si="74"/>
        <v>480</v>
      </c>
      <c r="W489" s="90">
        <f t="shared" si="75"/>
        <v>3073.71395076304</v>
      </c>
      <c r="X489" s="90">
        <f t="shared" si="76"/>
        <v>47533272.573339388</v>
      </c>
      <c r="Y489" s="141">
        <f t="shared" si="78"/>
        <v>480</v>
      </c>
      <c r="Z489" s="298">
        <v>96</v>
      </c>
      <c r="AA489" s="299">
        <v>999</v>
      </c>
      <c r="AB489" s="299">
        <v>480</v>
      </c>
      <c r="AC489" s="301">
        <v>3073.71395076304</v>
      </c>
      <c r="AD489" s="301">
        <v>47533272.573339388</v>
      </c>
      <c r="AE489" s="126"/>
      <c r="AF489" s="298"/>
      <c r="AG489" s="299"/>
      <c r="AH489" s="299"/>
      <c r="AI489" s="301"/>
      <c r="AJ489" s="301"/>
      <c r="AK489" s="426"/>
      <c r="AL489" s="298"/>
      <c r="AM489" s="299"/>
      <c r="AN489" s="299"/>
      <c r="AO489" s="301"/>
      <c r="AP489" s="301"/>
      <c r="AQ489" s="426"/>
      <c r="AR489" s="298"/>
      <c r="AS489" s="299"/>
      <c r="AT489" s="299"/>
      <c r="AU489" s="301"/>
      <c r="AV489" s="301"/>
      <c r="AW489" s="91"/>
      <c r="AX489" s="298"/>
      <c r="AY489" s="299"/>
      <c r="AZ489" s="299"/>
      <c r="BA489" s="301"/>
      <c r="BB489" s="301"/>
      <c r="BC489" s="426"/>
      <c r="BD489" s="298"/>
      <c r="BE489" s="299"/>
      <c r="BF489" s="299"/>
      <c r="BG489" s="301"/>
      <c r="BH489" s="301"/>
      <c r="BI489" s="91"/>
      <c r="BJ489" s="298"/>
      <c r="BK489" s="299"/>
      <c r="BL489" s="299"/>
      <c r="BM489" s="301"/>
      <c r="BN489" s="301"/>
      <c r="BO489" s="91"/>
      <c r="BP489" s="9"/>
      <c r="BS489" s="81"/>
      <c r="BT489" s="81"/>
      <c r="BV489" s="9"/>
      <c r="BY489" s="81"/>
      <c r="BZ489" s="81"/>
      <c r="CB489" s="9"/>
      <c r="CE489" s="81"/>
      <c r="CF489" s="81"/>
      <c r="CH489" s="9"/>
      <c r="CK489" s="81"/>
      <c r="CL489" s="81"/>
      <c r="CR489" s="9"/>
      <c r="CS489" s="9"/>
      <c r="CT489" s="9"/>
      <c r="CU489" s="9"/>
      <c r="CV489" s="9"/>
      <c r="CW489" s="129"/>
      <c r="CX489" s="9"/>
    </row>
    <row r="490" spans="1:102">
      <c r="A490" s="6" t="str">
        <f t="shared" si="71"/>
        <v>00970097</v>
      </c>
      <c r="B490" s="6" t="s">
        <v>1747</v>
      </c>
      <c r="C490" s="6" t="s">
        <v>1747</v>
      </c>
      <c r="D490" s="6">
        <v>481</v>
      </c>
      <c r="E490" s="6">
        <v>97</v>
      </c>
      <c r="F490" s="6" t="s">
        <v>1216</v>
      </c>
      <c r="G490" s="6">
        <v>97</v>
      </c>
      <c r="H490" s="6" t="s">
        <v>778</v>
      </c>
      <c r="I490" s="33">
        <v>96678430.429999992</v>
      </c>
      <c r="J490" s="88">
        <v>0.92964935915175884</v>
      </c>
      <c r="K490" s="89">
        <f>X490</f>
        <v>101071841.39</v>
      </c>
      <c r="L490" s="88">
        <f>IF(K494&gt;0, K490/K494, 0)</f>
        <v>0.92817823442911984</v>
      </c>
      <c r="M490" s="58"/>
      <c r="N490" s="9">
        <f>ROUND(M494*L490,0)</f>
        <v>23118748</v>
      </c>
      <c r="O490" s="9">
        <v>21950317</v>
      </c>
      <c r="P490" s="9">
        <f>N490-O490</f>
        <v>1168431</v>
      </c>
      <c r="Q490" s="40">
        <f t="shared" si="79"/>
        <v>5.3230711884479849</v>
      </c>
      <c r="R490" s="9">
        <v>5661</v>
      </c>
      <c r="S490" s="9">
        <f t="shared" si="77"/>
        <v>5623</v>
      </c>
      <c r="T490" s="90">
        <f t="shared" si="72"/>
        <v>97</v>
      </c>
      <c r="U490" s="90">
        <f t="shared" si="73"/>
        <v>97</v>
      </c>
      <c r="V490" s="373">
        <f t="shared" si="74"/>
        <v>481</v>
      </c>
      <c r="W490" s="90">
        <f t="shared" si="75"/>
        <v>5623</v>
      </c>
      <c r="X490" s="90">
        <f t="shared" si="76"/>
        <v>101071841.39</v>
      </c>
      <c r="Y490" s="141">
        <f t="shared" si="78"/>
        <v>481</v>
      </c>
      <c r="Z490" s="298">
        <v>97</v>
      </c>
      <c r="AA490" s="299">
        <v>97</v>
      </c>
      <c r="AB490" s="299">
        <v>481</v>
      </c>
      <c r="AC490" s="301">
        <v>5623</v>
      </c>
      <c r="AD490" s="301">
        <v>101071841.39</v>
      </c>
      <c r="AE490" s="126"/>
      <c r="AF490" s="298"/>
      <c r="AG490" s="299"/>
      <c r="AH490" s="299"/>
      <c r="AI490" s="301"/>
      <c r="AJ490" s="301"/>
      <c r="AK490" s="426"/>
      <c r="AL490" s="298"/>
      <c r="AM490" s="299"/>
      <c r="AN490" s="299"/>
      <c r="AO490" s="301"/>
      <c r="AP490" s="301"/>
      <c r="AQ490" s="426"/>
      <c r="AR490" s="298"/>
      <c r="AS490" s="299"/>
      <c r="AT490" s="299"/>
      <c r="AU490" s="301"/>
      <c r="AV490" s="301"/>
      <c r="AW490" s="88"/>
      <c r="AX490" s="298"/>
      <c r="AY490" s="299"/>
      <c r="AZ490" s="299"/>
      <c r="BA490" s="301"/>
      <c r="BB490" s="301"/>
      <c r="BC490" s="426"/>
      <c r="BD490" s="298"/>
      <c r="BE490" s="299"/>
      <c r="BF490" s="299"/>
      <c r="BG490" s="301"/>
      <c r="BH490" s="301"/>
      <c r="BI490" s="88"/>
      <c r="BJ490" s="298"/>
      <c r="BK490" s="299"/>
      <c r="BL490" s="299"/>
      <c r="BM490" s="301"/>
      <c r="BN490" s="301"/>
      <c r="BO490" s="88"/>
      <c r="BP490" s="9"/>
      <c r="BS490" s="81"/>
      <c r="BT490" s="81"/>
      <c r="BV490" s="9"/>
      <c r="BY490" s="81"/>
      <c r="BZ490" s="81"/>
      <c r="CB490" s="9"/>
      <c r="CE490" s="81"/>
      <c r="CF490" s="81"/>
      <c r="CH490" s="9"/>
      <c r="CK490" s="81"/>
      <c r="CL490" s="81"/>
      <c r="CR490" s="9"/>
      <c r="CS490" s="9"/>
      <c r="CT490" s="9"/>
      <c r="CU490" s="9"/>
      <c r="CV490" s="9"/>
      <c r="CW490" s="129"/>
      <c r="CX490" s="9"/>
    </row>
    <row r="491" spans="1:102">
      <c r="A491" s="6" t="str">
        <f t="shared" si="71"/>
        <v>00970832</v>
      </c>
      <c r="B491" s="6" t="s">
        <v>1747</v>
      </c>
      <c r="C491" s="6" t="s">
        <v>2075</v>
      </c>
      <c r="D491" s="6">
        <v>482</v>
      </c>
      <c r="E491" s="6">
        <v>97</v>
      </c>
      <c r="F491" s="6" t="s">
        <v>1216</v>
      </c>
      <c r="G491" s="6">
        <v>832</v>
      </c>
      <c r="H491" s="6" t="s">
        <v>1105</v>
      </c>
      <c r="I491" s="33">
        <v>7316080.4877641238</v>
      </c>
      <c r="J491" s="88">
        <v>7.0350640848241219E-2</v>
      </c>
      <c r="K491" s="89">
        <f t="shared" si="80"/>
        <v>7820866.541429447</v>
      </c>
      <c r="L491" s="88">
        <f>IF(K494&gt;0, K491/K494, 0)</f>
        <v>7.1821765570880144E-2</v>
      </c>
      <c r="M491" s="58"/>
      <c r="N491" s="9">
        <f>ROUND(M494*L491,0)</f>
        <v>1788912</v>
      </c>
      <c r="O491" s="9">
        <v>1661077</v>
      </c>
      <c r="P491" s="9">
        <f>N491-O491</f>
        <v>127835</v>
      </c>
      <c r="Q491" s="40">
        <f t="shared" si="79"/>
        <v>7.6959105447851002</v>
      </c>
      <c r="R491" s="9">
        <v>363.49624059874998</v>
      </c>
      <c r="S491" s="9">
        <f t="shared" si="77"/>
        <v>386.00000000568002</v>
      </c>
      <c r="T491" s="90">
        <f t="shared" si="72"/>
        <v>97</v>
      </c>
      <c r="U491" s="90">
        <f t="shared" si="73"/>
        <v>832</v>
      </c>
      <c r="V491" s="373">
        <f t="shared" si="74"/>
        <v>482</v>
      </c>
      <c r="W491" s="90">
        <f t="shared" si="75"/>
        <v>386.00000000568002</v>
      </c>
      <c r="X491" s="90">
        <f t="shared" si="76"/>
        <v>7820866.541429447</v>
      </c>
      <c r="Y491" s="141">
        <f t="shared" si="78"/>
        <v>482</v>
      </c>
      <c r="Z491" s="298">
        <v>97</v>
      </c>
      <c r="AA491" s="299">
        <v>832</v>
      </c>
      <c r="AB491" s="299">
        <v>482</v>
      </c>
      <c r="AC491" s="301">
        <v>386.00000000568002</v>
      </c>
      <c r="AD491" s="301">
        <v>7820866.541429447</v>
      </c>
      <c r="AE491" s="126"/>
      <c r="AF491" s="298"/>
      <c r="AG491" s="299"/>
      <c r="AH491" s="299"/>
      <c r="AI491" s="301"/>
      <c r="AJ491" s="301"/>
      <c r="AK491" s="426"/>
      <c r="AL491" s="298"/>
      <c r="AM491" s="299"/>
      <c r="AN491" s="299"/>
      <c r="AO491" s="301"/>
      <c r="AP491" s="301"/>
      <c r="AQ491" s="426"/>
      <c r="AR491" s="298"/>
      <c r="AS491" s="299"/>
      <c r="AT491" s="299"/>
      <c r="AU491" s="301"/>
      <c r="AV491" s="301"/>
      <c r="AW491" s="88"/>
      <c r="AX491" s="298"/>
      <c r="AY491" s="299"/>
      <c r="AZ491" s="299"/>
      <c r="BA491" s="301"/>
      <c r="BB491" s="301"/>
      <c r="BC491" s="426"/>
      <c r="BD491" s="298"/>
      <c r="BE491" s="299"/>
      <c r="BF491" s="299"/>
      <c r="BG491" s="301"/>
      <c r="BH491" s="301"/>
      <c r="BI491" s="88"/>
      <c r="BJ491" s="298"/>
      <c r="BK491" s="299"/>
      <c r="BL491" s="299"/>
      <c r="BM491" s="301"/>
      <c r="BN491" s="301"/>
      <c r="BO491" s="88"/>
      <c r="BP491" s="9"/>
      <c r="BS491" s="81"/>
      <c r="BT491" s="81"/>
      <c r="BV491" s="9"/>
      <c r="BY491" s="81"/>
      <c r="BZ491" s="81"/>
      <c r="CB491" s="9"/>
      <c r="CE491" s="81"/>
      <c r="CF491" s="81"/>
      <c r="CH491" s="9"/>
      <c r="CK491" s="81"/>
      <c r="CL491" s="81"/>
      <c r="CR491" s="9"/>
      <c r="CS491" s="9"/>
      <c r="CT491" s="9"/>
      <c r="CU491" s="9"/>
      <c r="CV491" s="9"/>
      <c r="CW491" s="129"/>
      <c r="CX491" s="9"/>
    </row>
    <row r="492" spans="1:102">
      <c r="A492" s="6" t="str">
        <f t="shared" si="71"/>
        <v>00970998</v>
      </c>
      <c r="B492" s="6" t="s">
        <v>1747</v>
      </c>
      <c r="C492" s="6" t="s">
        <v>2091</v>
      </c>
      <c r="D492" s="6">
        <v>483</v>
      </c>
      <c r="E492" s="6">
        <v>97</v>
      </c>
      <c r="F492" s="6" t="s">
        <v>1547</v>
      </c>
      <c r="G492" s="6">
        <v>998</v>
      </c>
      <c r="H492" s="6" t="s">
        <v>1547</v>
      </c>
      <c r="I492" s="33">
        <v>0</v>
      </c>
      <c r="J492" s="88">
        <v>0</v>
      </c>
      <c r="K492" s="89">
        <f t="shared" si="80"/>
        <v>0</v>
      </c>
      <c r="L492" s="88">
        <f>IF(K494&gt;0, K492/K494, 0)</f>
        <v>0</v>
      </c>
      <c r="M492" s="58"/>
      <c r="N492" s="9">
        <f>ROUND(M494*L492,0)</f>
        <v>0</v>
      </c>
      <c r="O492" s="9">
        <v>0</v>
      </c>
      <c r="P492" s="9">
        <f>N492-O492</f>
        <v>0</v>
      </c>
      <c r="Q492" s="40">
        <f t="shared" si="79"/>
        <v>0</v>
      </c>
      <c r="R492" s="9">
        <v>0</v>
      </c>
      <c r="S492" s="9">
        <f t="shared" si="77"/>
        <v>0</v>
      </c>
      <c r="T492" s="90">
        <f t="shared" si="72"/>
        <v>97</v>
      </c>
      <c r="U492" s="90">
        <f t="shared" si="73"/>
        <v>998</v>
      </c>
      <c r="V492" s="373">
        <f t="shared" si="74"/>
        <v>483</v>
      </c>
      <c r="W492" s="90">
        <f t="shared" si="75"/>
        <v>0</v>
      </c>
      <c r="X492" s="90">
        <f t="shared" si="76"/>
        <v>0</v>
      </c>
      <c r="Y492" s="141">
        <f t="shared" si="78"/>
        <v>483</v>
      </c>
      <c r="Z492" s="298">
        <v>97</v>
      </c>
      <c r="AA492" s="299">
        <v>998</v>
      </c>
      <c r="AB492" s="299">
        <v>483</v>
      </c>
      <c r="AC492" s="301">
        <v>0</v>
      </c>
      <c r="AD492" s="301">
        <v>0</v>
      </c>
      <c r="AE492" s="126"/>
      <c r="AF492" s="298"/>
      <c r="AG492" s="299"/>
      <c r="AH492" s="299"/>
      <c r="AI492" s="301"/>
      <c r="AJ492" s="301"/>
      <c r="AK492" s="426"/>
      <c r="AL492" s="298"/>
      <c r="AM492" s="299"/>
      <c r="AN492" s="299"/>
      <c r="AO492" s="301"/>
      <c r="AP492" s="301"/>
      <c r="AQ492" s="426"/>
      <c r="AR492" s="298"/>
      <c r="AS492" s="299"/>
      <c r="AT492" s="299"/>
      <c r="AU492" s="301"/>
      <c r="AV492" s="301"/>
      <c r="AW492" s="88"/>
      <c r="AX492" s="298"/>
      <c r="AY492" s="299"/>
      <c r="AZ492" s="299"/>
      <c r="BA492" s="301"/>
      <c r="BB492" s="301"/>
      <c r="BC492" s="426"/>
      <c r="BD492" s="298"/>
      <c r="BE492" s="299"/>
      <c r="BF492" s="299"/>
      <c r="BG492" s="301"/>
      <c r="BH492" s="301"/>
      <c r="BI492" s="88"/>
      <c r="BJ492" s="298"/>
      <c r="BK492" s="299"/>
      <c r="BL492" s="299"/>
      <c r="BM492" s="301"/>
      <c r="BN492" s="301"/>
      <c r="BO492" s="88"/>
      <c r="BP492" s="9"/>
      <c r="BS492" s="81"/>
      <c r="BT492" s="81"/>
      <c r="BV492" s="9"/>
      <c r="BY492" s="81"/>
      <c r="BZ492" s="81"/>
      <c r="CB492" s="9"/>
      <c r="CE492" s="81"/>
      <c r="CF492" s="81"/>
      <c r="CH492" s="9"/>
      <c r="CK492" s="81"/>
      <c r="CL492" s="81"/>
      <c r="CR492" s="9"/>
      <c r="CS492" s="9"/>
      <c r="CT492" s="9"/>
      <c r="CU492" s="9"/>
      <c r="CV492" s="9"/>
      <c r="CW492" s="129"/>
      <c r="CX492" s="9"/>
    </row>
    <row r="493" spans="1:102">
      <c r="A493" s="6" t="str">
        <f t="shared" si="71"/>
        <v>00970998</v>
      </c>
      <c r="B493" s="6" t="s">
        <v>1747</v>
      </c>
      <c r="C493" s="6" t="s">
        <v>2091</v>
      </c>
      <c r="D493" s="6">
        <v>484</v>
      </c>
      <c r="E493" s="6">
        <v>97</v>
      </c>
      <c r="F493" s="6" t="s">
        <v>1547</v>
      </c>
      <c r="G493" s="6">
        <v>998</v>
      </c>
      <c r="H493" s="6" t="s">
        <v>1547</v>
      </c>
      <c r="I493" s="33">
        <v>0</v>
      </c>
      <c r="J493" s="88">
        <v>0</v>
      </c>
      <c r="K493" s="89">
        <f t="shared" si="80"/>
        <v>0</v>
      </c>
      <c r="L493" s="88">
        <f>IF(K494&gt;0, K493/K494, 0)</f>
        <v>0</v>
      </c>
      <c r="M493" s="58"/>
      <c r="N493" s="9">
        <f>ROUND(M494*L493,0)</f>
        <v>0</v>
      </c>
      <c r="O493" s="9">
        <v>0</v>
      </c>
      <c r="P493" s="9">
        <f>N493-O493</f>
        <v>0</v>
      </c>
      <c r="Q493" s="40">
        <f t="shared" si="79"/>
        <v>0</v>
      </c>
      <c r="R493" s="9">
        <v>0</v>
      </c>
      <c r="S493" s="9">
        <f t="shared" si="77"/>
        <v>0</v>
      </c>
      <c r="T493" s="90">
        <f t="shared" si="72"/>
        <v>97</v>
      </c>
      <c r="U493" s="90">
        <f t="shared" si="73"/>
        <v>998</v>
      </c>
      <c r="V493" s="373">
        <f t="shared" si="74"/>
        <v>484</v>
      </c>
      <c r="W493" s="90">
        <f t="shared" si="75"/>
        <v>0</v>
      </c>
      <c r="X493" s="90">
        <f t="shared" si="76"/>
        <v>0</v>
      </c>
      <c r="Y493" s="141">
        <f t="shared" si="78"/>
        <v>484</v>
      </c>
      <c r="Z493" s="298">
        <v>97</v>
      </c>
      <c r="AA493" s="299">
        <v>998</v>
      </c>
      <c r="AB493" s="299">
        <v>484</v>
      </c>
      <c r="AC493" s="301">
        <v>0</v>
      </c>
      <c r="AD493" s="301">
        <v>0</v>
      </c>
      <c r="AE493" s="126"/>
      <c r="AF493" s="298"/>
      <c r="AG493" s="299"/>
      <c r="AH493" s="299"/>
      <c r="AI493" s="301"/>
      <c r="AJ493" s="301"/>
      <c r="AK493" s="426"/>
      <c r="AL493" s="298"/>
      <c r="AM493" s="299"/>
      <c r="AN493" s="299"/>
      <c r="AO493" s="301"/>
      <c r="AP493" s="301"/>
      <c r="AQ493" s="426"/>
      <c r="AR493" s="298"/>
      <c r="AS493" s="299"/>
      <c r="AT493" s="299"/>
      <c r="AU493" s="301"/>
      <c r="AV493" s="301"/>
      <c r="AW493" s="88"/>
      <c r="AX493" s="298"/>
      <c r="AY493" s="299"/>
      <c r="AZ493" s="299"/>
      <c r="BA493" s="301"/>
      <c r="BB493" s="301"/>
      <c r="BC493" s="426"/>
      <c r="BD493" s="298"/>
      <c r="BE493" s="299"/>
      <c r="BF493" s="299"/>
      <c r="BG493" s="301"/>
      <c r="BH493" s="301"/>
      <c r="BI493" s="88"/>
      <c r="BJ493" s="298"/>
      <c r="BK493" s="299"/>
      <c r="BL493" s="299"/>
      <c r="BM493" s="301"/>
      <c r="BN493" s="301"/>
      <c r="BO493" s="88"/>
      <c r="BP493" s="9"/>
      <c r="BS493" s="81"/>
      <c r="BT493" s="81"/>
      <c r="BV493" s="9"/>
      <c r="BY493" s="81"/>
      <c r="BZ493" s="81"/>
      <c r="CB493" s="9"/>
      <c r="CE493" s="81"/>
      <c r="CF493" s="81"/>
      <c r="CH493" s="9"/>
      <c r="CK493" s="81"/>
      <c r="CL493" s="81"/>
      <c r="CR493" s="9"/>
      <c r="CS493" s="9"/>
      <c r="CT493" s="9"/>
      <c r="CU493" s="9"/>
      <c r="CV493" s="9"/>
      <c r="CW493" s="129"/>
      <c r="CX493" s="9"/>
    </row>
    <row r="494" spans="1:102">
      <c r="A494" s="6" t="str">
        <f t="shared" si="71"/>
        <v>00970999</v>
      </c>
      <c r="B494" s="6" t="s">
        <v>1747</v>
      </c>
      <c r="C494" s="6" t="s">
        <v>2092</v>
      </c>
      <c r="D494" s="6">
        <v>485</v>
      </c>
      <c r="E494" s="10">
        <v>97</v>
      </c>
      <c r="F494" s="10" t="s">
        <v>1216</v>
      </c>
      <c r="G494" s="10">
        <v>999</v>
      </c>
      <c r="H494" s="10" t="s">
        <v>593</v>
      </c>
      <c r="I494" s="92">
        <v>103994510.91776411</v>
      </c>
      <c r="J494" s="472">
        <v>1</v>
      </c>
      <c r="K494" s="53">
        <f>SUM(K490:K493)</f>
        <v>108892707.93142945</v>
      </c>
      <c r="L494" s="91">
        <f>SUM(L490:L493)</f>
        <v>1</v>
      </c>
      <c r="M494" s="79">
        <f>VLOOKUP(E494,town351,24)</f>
        <v>24907660</v>
      </c>
      <c r="N494" s="79">
        <f>SUM(N490:N493)</f>
        <v>24907660</v>
      </c>
      <c r="O494" s="79">
        <v>23611394</v>
      </c>
      <c r="P494" s="79">
        <f>SUM(P490:P493)</f>
        <v>1296266</v>
      </c>
      <c r="Q494" s="39">
        <f t="shared" si="79"/>
        <v>5.4900019880232396</v>
      </c>
      <c r="R494" s="9">
        <v>6024.4962405987499</v>
      </c>
      <c r="S494" s="9">
        <f t="shared" si="77"/>
        <v>6009.0000000056798</v>
      </c>
      <c r="T494" s="90">
        <f t="shared" si="72"/>
        <v>97</v>
      </c>
      <c r="U494" s="90">
        <f t="shared" si="73"/>
        <v>999</v>
      </c>
      <c r="V494" s="373">
        <f t="shared" si="74"/>
        <v>485</v>
      </c>
      <c r="W494" s="90">
        <f t="shared" si="75"/>
        <v>6009.0000000056798</v>
      </c>
      <c r="X494" s="90">
        <f t="shared" si="76"/>
        <v>108892707.93142945</v>
      </c>
      <c r="Y494" s="141">
        <f t="shared" si="78"/>
        <v>485</v>
      </c>
      <c r="Z494" s="298">
        <v>97</v>
      </c>
      <c r="AA494" s="299">
        <v>999</v>
      </c>
      <c r="AB494" s="299">
        <v>485</v>
      </c>
      <c r="AC494" s="301">
        <v>6009.0000000056798</v>
      </c>
      <c r="AD494" s="301">
        <v>108892707.93142945</v>
      </c>
      <c r="AE494" s="126"/>
      <c r="AF494" s="298"/>
      <c r="AG494" s="299"/>
      <c r="AH494" s="299"/>
      <c r="AI494" s="301"/>
      <c r="AJ494" s="301"/>
      <c r="AK494" s="426"/>
      <c r="AL494" s="298"/>
      <c r="AM494" s="299"/>
      <c r="AN494" s="299"/>
      <c r="AO494" s="301"/>
      <c r="AP494" s="301"/>
      <c r="AQ494" s="426"/>
      <c r="AR494" s="298"/>
      <c r="AS494" s="299"/>
      <c r="AT494" s="299"/>
      <c r="AU494" s="301"/>
      <c r="AV494" s="301"/>
      <c r="AW494" s="91"/>
      <c r="AX494" s="298"/>
      <c r="AY494" s="299"/>
      <c r="AZ494" s="299"/>
      <c r="BA494" s="301"/>
      <c r="BB494" s="301"/>
      <c r="BC494" s="426"/>
      <c r="BD494" s="298"/>
      <c r="BE494" s="299"/>
      <c r="BF494" s="299"/>
      <c r="BG494" s="301"/>
      <c r="BH494" s="301"/>
      <c r="BI494" s="91"/>
      <c r="BJ494" s="298"/>
      <c r="BK494" s="299"/>
      <c r="BL494" s="299"/>
      <c r="BM494" s="301"/>
      <c r="BN494" s="301"/>
      <c r="BO494" s="91"/>
      <c r="BP494" s="9"/>
      <c r="BS494" s="81"/>
      <c r="BT494" s="81"/>
      <c r="BV494" s="9"/>
      <c r="BY494" s="81"/>
      <c r="BZ494" s="81"/>
      <c r="CB494" s="9"/>
      <c r="CE494" s="81"/>
      <c r="CF494" s="81"/>
      <c r="CH494" s="9"/>
      <c r="CK494" s="81"/>
      <c r="CL494" s="81"/>
      <c r="CR494" s="9"/>
      <c r="CS494" s="9"/>
      <c r="CT494" s="9"/>
      <c r="CU494" s="9"/>
      <c r="CV494" s="9"/>
      <c r="CW494" s="129"/>
      <c r="CX494" s="9"/>
    </row>
    <row r="495" spans="1:102">
      <c r="A495" s="6" t="str">
        <f t="shared" si="71"/>
        <v>00980098</v>
      </c>
      <c r="B495" s="6" t="s">
        <v>1748</v>
      </c>
      <c r="C495" s="6" t="s">
        <v>1748</v>
      </c>
      <c r="D495" s="6">
        <v>486</v>
      </c>
      <c r="E495" s="6">
        <v>98</v>
      </c>
      <c r="F495" s="6" t="s">
        <v>1217</v>
      </c>
      <c r="G495" s="6">
        <v>98</v>
      </c>
      <c r="H495" s="6" t="s">
        <v>779</v>
      </c>
      <c r="I495" s="33">
        <v>917915.93000000017</v>
      </c>
      <c r="J495" s="88">
        <v>0.56798058426524212</v>
      </c>
      <c r="K495" s="89">
        <f>X495</f>
        <v>865066.34</v>
      </c>
      <c r="L495" s="88">
        <f>IF(K499&gt;0, K495/K499, 0)</f>
        <v>0.55218081145763032</v>
      </c>
      <c r="M495" s="58"/>
      <c r="N495" s="9">
        <f>ROUND(M499*L495,0)</f>
        <v>439942</v>
      </c>
      <c r="O495" s="9">
        <v>425391</v>
      </c>
      <c r="P495" s="9">
        <f>N495-O495</f>
        <v>14551</v>
      </c>
      <c r="Q495" s="40">
        <f t="shared" si="79"/>
        <v>3.4206177375637941</v>
      </c>
      <c r="R495" s="9">
        <v>57</v>
      </c>
      <c r="S495" s="9">
        <f t="shared" si="77"/>
        <v>55</v>
      </c>
      <c r="T495" s="90">
        <f t="shared" si="72"/>
        <v>98</v>
      </c>
      <c r="U495" s="90">
        <f t="shared" si="73"/>
        <v>98</v>
      </c>
      <c r="V495" s="373">
        <f t="shared" si="74"/>
        <v>486</v>
      </c>
      <c r="W495" s="90">
        <f t="shared" si="75"/>
        <v>55</v>
      </c>
      <c r="X495" s="90">
        <f t="shared" si="76"/>
        <v>865066.34</v>
      </c>
      <c r="Y495" s="141">
        <f t="shared" si="78"/>
        <v>486</v>
      </c>
      <c r="Z495" s="298">
        <v>98</v>
      </c>
      <c r="AA495" s="299">
        <v>98</v>
      </c>
      <c r="AB495" s="299">
        <v>486</v>
      </c>
      <c r="AC495" s="301">
        <v>55</v>
      </c>
      <c r="AD495" s="301">
        <v>865066.34</v>
      </c>
      <c r="AE495" s="126"/>
      <c r="AF495" s="298"/>
      <c r="AG495" s="299"/>
      <c r="AH495" s="299"/>
      <c r="AI495" s="301"/>
      <c r="AJ495" s="301"/>
      <c r="AK495" s="426"/>
      <c r="AL495" s="298"/>
      <c r="AM495" s="299"/>
      <c r="AN495" s="299"/>
      <c r="AO495" s="301"/>
      <c r="AP495" s="301"/>
      <c r="AQ495" s="426"/>
      <c r="AR495" s="298"/>
      <c r="AS495" s="299"/>
      <c r="AT495" s="299"/>
      <c r="AU495" s="301"/>
      <c r="AV495" s="301"/>
      <c r="AW495" s="88"/>
      <c r="AX495" s="298"/>
      <c r="AY495" s="299"/>
      <c r="AZ495" s="299"/>
      <c r="BA495" s="301"/>
      <c r="BB495" s="301"/>
      <c r="BC495" s="426"/>
      <c r="BD495" s="298"/>
      <c r="BE495" s="299"/>
      <c r="BF495" s="299"/>
      <c r="BG495" s="301"/>
      <c r="BH495" s="301"/>
      <c r="BI495" s="88"/>
      <c r="BJ495" s="298"/>
      <c r="BK495" s="299"/>
      <c r="BL495" s="299"/>
      <c r="BM495" s="301"/>
      <c r="BN495" s="301"/>
      <c r="BO495" s="88"/>
      <c r="BP495" s="9"/>
      <c r="BS495" s="81"/>
      <c r="BT495" s="81"/>
      <c r="BV495" s="9"/>
      <c r="BY495" s="81"/>
      <c r="BZ495" s="81"/>
      <c r="CB495" s="9"/>
      <c r="CE495" s="81"/>
      <c r="CF495" s="81"/>
      <c r="CH495" s="9"/>
      <c r="CK495" s="81"/>
      <c r="CL495" s="81"/>
      <c r="CR495" s="9"/>
      <c r="CS495" s="9"/>
      <c r="CT495" s="9"/>
      <c r="CU495" s="9"/>
      <c r="CV495" s="9"/>
      <c r="CW495" s="129"/>
      <c r="CX495" s="9"/>
    </row>
    <row r="496" spans="1:102">
      <c r="A496" s="6" t="str">
        <f t="shared" si="71"/>
        <v>00980851</v>
      </c>
      <c r="B496" s="6" t="s">
        <v>1748</v>
      </c>
      <c r="C496" s="6" t="s">
        <v>2076</v>
      </c>
      <c r="D496" s="6">
        <v>487</v>
      </c>
      <c r="E496" s="6">
        <v>98</v>
      </c>
      <c r="F496" s="6" t="s">
        <v>1217</v>
      </c>
      <c r="G496" s="6">
        <v>851</v>
      </c>
      <c r="H496" s="6" t="s">
        <v>1106</v>
      </c>
      <c r="I496" s="33">
        <v>698188.4852370905</v>
      </c>
      <c r="J496" s="88">
        <v>0.43201941573475794</v>
      </c>
      <c r="K496" s="89">
        <f t="shared" si="80"/>
        <v>701569.66409515112</v>
      </c>
      <c r="L496" s="88">
        <f>IF(K499&gt;0, K496/K499, 0)</f>
        <v>0.44781918854236968</v>
      </c>
      <c r="M496" s="58"/>
      <c r="N496" s="9">
        <f>ROUND(M499*L496,0)</f>
        <v>356794</v>
      </c>
      <c r="O496" s="9">
        <v>323562</v>
      </c>
      <c r="P496" s="9">
        <f>N496-O496</f>
        <v>33232</v>
      </c>
      <c r="Q496" s="40">
        <f t="shared" si="79"/>
        <v>10.27067455387221</v>
      </c>
      <c r="R496" s="9">
        <v>32.999999998469995</v>
      </c>
      <c r="S496" s="9">
        <f t="shared" si="77"/>
        <v>31.999999998489997</v>
      </c>
      <c r="T496" s="90">
        <f t="shared" si="72"/>
        <v>98</v>
      </c>
      <c r="U496" s="90">
        <f t="shared" si="73"/>
        <v>851</v>
      </c>
      <c r="V496" s="373">
        <f t="shared" si="74"/>
        <v>487</v>
      </c>
      <c r="W496" s="90">
        <f t="shared" si="75"/>
        <v>31.999999998489997</v>
      </c>
      <c r="X496" s="90">
        <f t="shared" si="76"/>
        <v>701569.66409515112</v>
      </c>
      <c r="Y496" s="141">
        <f t="shared" si="78"/>
        <v>487</v>
      </c>
      <c r="Z496" s="298">
        <v>98</v>
      </c>
      <c r="AA496" s="299">
        <v>851</v>
      </c>
      <c r="AB496" s="299">
        <v>487</v>
      </c>
      <c r="AC496" s="301">
        <v>31.999999998489997</v>
      </c>
      <c r="AD496" s="301">
        <v>701569.66409515112</v>
      </c>
      <c r="AE496" s="126"/>
      <c r="AF496" s="298"/>
      <c r="AG496" s="299"/>
      <c r="AH496" s="299"/>
      <c r="AI496" s="301"/>
      <c r="AJ496" s="301"/>
      <c r="AK496" s="426"/>
      <c r="AL496" s="298"/>
      <c r="AM496" s="299"/>
      <c r="AN496" s="299"/>
      <c r="AO496" s="301"/>
      <c r="AP496" s="301"/>
      <c r="AQ496" s="426"/>
      <c r="AR496" s="298"/>
      <c r="AS496" s="299"/>
      <c r="AT496" s="299"/>
      <c r="AU496" s="301"/>
      <c r="AV496" s="301"/>
      <c r="AW496" s="88"/>
      <c r="AX496" s="298"/>
      <c r="AY496" s="299"/>
      <c r="AZ496" s="299"/>
      <c r="BA496" s="301"/>
      <c r="BB496" s="301"/>
      <c r="BC496" s="426"/>
      <c r="BD496" s="298"/>
      <c r="BE496" s="299"/>
      <c r="BF496" s="299"/>
      <c r="BG496" s="301"/>
      <c r="BH496" s="301"/>
      <c r="BI496" s="88"/>
      <c r="BJ496" s="298"/>
      <c r="BK496" s="299"/>
      <c r="BL496" s="299"/>
      <c r="BM496" s="301"/>
      <c r="BN496" s="301"/>
      <c r="BO496" s="88"/>
      <c r="BP496" s="9"/>
      <c r="BS496" s="81"/>
      <c r="BT496" s="81"/>
      <c r="BV496" s="9"/>
      <c r="BY496" s="81"/>
      <c r="BZ496" s="81"/>
      <c r="CB496" s="9"/>
      <c r="CE496" s="81"/>
      <c r="CF496" s="81"/>
      <c r="CH496" s="9"/>
      <c r="CK496" s="81"/>
      <c r="CL496" s="81"/>
      <c r="CR496" s="9"/>
      <c r="CS496" s="9"/>
      <c r="CT496" s="9"/>
      <c r="CU496" s="9"/>
      <c r="CV496" s="9"/>
      <c r="CW496" s="129"/>
      <c r="CX496" s="9"/>
    </row>
    <row r="497" spans="1:102">
      <c r="A497" s="6" t="str">
        <f t="shared" si="71"/>
        <v>00980998</v>
      </c>
      <c r="B497" s="6" t="s">
        <v>1748</v>
      </c>
      <c r="C497" s="6" t="s">
        <v>2091</v>
      </c>
      <c r="D497" s="6">
        <v>488</v>
      </c>
      <c r="E497" s="6">
        <v>98</v>
      </c>
      <c r="F497" s="6" t="s">
        <v>1547</v>
      </c>
      <c r="G497" s="6">
        <v>998</v>
      </c>
      <c r="H497" s="6" t="s">
        <v>1547</v>
      </c>
      <c r="I497" s="33">
        <v>0</v>
      </c>
      <c r="J497" s="88">
        <v>0</v>
      </c>
      <c r="K497" s="89">
        <f t="shared" si="80"/>
        <v>0</v>
      </c>
      <c r="L497" s="88">
        <f>IF(K499&gt;0, K497/K499, 0)</f>
        <v>0</v>
      </c>
      <c r="M497" s="58"/>
      <c r="N497" s="9">
        <f>ROUND(M499*L497,0)</f>
        <v>0</v>
      </c>
      <c r="O497" s="9">
        <v>0</v>
      </c>
      <c r="P497" s="9">
        <f>N497-O497</f>
        <v>0</v>
      </c>
      <c r="Q497" s="40">
        <f t="shared" si="79"/>
        <v>0</v>
      </c>
      <c r="R497" s="9">
        <v>0</v>
      </c>
      <c r="S497" s="9">
        <f t="shared" si="77"/>
        <v>0</v>
      </c>
      <c r="T497" s="90">
        <f t="shared" si="72"/>
        <v>98</v>
      </c>
      <c r="U497" s="90">
        <f t="shared" si="73"/>
        <v>998</v>
      </c>
      <c r="V497" s="373">
        <f t="shared" si="74"/>
        <v>488</v>
      </c>
      <c r="W497" s="90">
        <f t="shared" si="75"/>
        <v>0</v>
      </c>
      <c r="X497" s="90">
        <f t="shared" si="76"/>
        <v>0</v>
      </c>
      <c r="Y497" s="141">
        <f t="shared" si="78"/>
        <v>488</v>
      </c>
      <c r="Z497" s="298">
        <v>98</v>
      </c>
      <c r="AA497" s="299">
        <v>998</v>
      </c>
      <c r="AB497" s="299">
        <v>488</v>
      </c>
      <c r="AC497" s="301">
        <v>0</v>
      </c>
      <c r="AD497" s="301">
        <v>0</v>
      </c>
      <c r="AE497" s="126"/>
      <c r="AF497" s="298"/>
      <c r="AG497" s="299"/>
      <c r="AH497" s="299"/>
      <c r="AI497" s="301"/>
      <c r="AJ497" s="301"/>
      <c r="AK497" s="426"/>
      <c r="AL497" s="298"/>
      <c r="AM497" s="299"/>
      <c r="AN497" s="299"/>
      <c r="AO497" s="301"/>
      <c r="AP497" s="301"/>
      <c r="AQ497" s="426"/>
      <c r="AR497" s="298"/>
      <c r="AS497" s="299"/>
      <c r="AT497" s="299"/>
      <c r="AU497" s="301"/>
      <c r="AV497" s="301"/>
      <c r="AW497" s="88"/>
      <c r="AX497" s="298"/>
      <c r="AY497" s="299"/>
      <c r="AZ497" s="299"/>
      <c r="BA497" s="301"/>
      <c r="BB497" s="301"/>
      <c r="BC497" s="426"/>
      <c r="BD497" s="298"/>
      <c r="BE497" s="299"/>
      <c r="BF497" s="299"/>
      <c r="BG497" s="301"/>
      <c r="BH497" s="301"/>
      <c r="BI497" s="88"/>
      <c r="BJ497" s="298"/>
      <c r="BK497" s="299"/>
      <c r="BL497" s="299"/>
      <c r="BM497" s="301"/>
      <c r="BN497" s="301"/>
      <c r="BO497" s="88"/>
      <c r="BP497" s="9"/>
      <c r="BS497" s="81"/>
      <c r="BT497" s="81"/>
      <c r="BV497" s="9"/>
      <c r="BY497" s="81"/>
      <c r="BZ497" s="81"/>
      <c r="CB497" s="9"/>
      <c r="CE497" s="81"/>
      <c r="CF497" s="81"/>
      <c r="CH497" s="9"/>
      <c r="CK497" s="81"/>
      <c r="CL497" s="81"/>
      <c r="CR497" s="9"/>
      <c r="CS497" s="9"/>
      <c r="CT497" s="9"/>
      <c r="CU497" s="9"/>
      <c r="CV497" s="9"/>
      <c r="CW497" s="129"/>
      <c r="CX497" s="9"/>
    </row>
    <row r="498" spans="1:102">
      <c r="A498" s="6" t="str">
        <f t="shared" si="71"/>
        <v>00980998</v>
      </c>
      <c r="B498" s="6" t="s">
        <v>1748</v>
      </c>
      <c r="C498" s="6" t="s">
        <v>2091</v>
      </c>
      <c r="D498" s="6">
        <v>489</v>
      </c>
      <c r="E498" s="6">
        <v>98</v>
      </c>
      <c r="F498" s="6" t="s">
        <v>1547</v>
      </c>
      <c r="G498" s="6">
        <v>998</v>
      </c>
      <c r="H498" s="6" t="s">
        <v>1547</v>
      </c>
      <c r="I498" s="33">
        <v>0</v>
      </c>
      <c r="J498" s="88">
        <v>0</v>
      </c>
      <c r="K498" s="89">
        <f t="shared" si="80"/>
        <v>0</v>
      </c>
      <c r="L498" s="88">
        <f>IF(K499&gt;0, K498/K499, 0)</f>
        <v>0</v>
      </c>
      <c r="M498" s="58"/>
      <c r="N498" s="9">
        <f>ROUND(M499*L498,0)</f>
        <v>0</v>
      </c>
      <c r="O498" s="9">
        <v>0</v>
      </c>
      <c r="P498" s="9">
        <f>N498-O498</f>
        <v>0</v>
      </c>
      <c r="Q498" s="40">
        <f t="shared" si="79"/>
        <v>0</v>
      </c>
      <c r="R498" s="9">
        <v>0</v>
      </c>
      <c r="S498" s="9">
        <f t="shared" si="77"/>
        <v>0</v>
      </c>
      <c r="T498" s="90">
        <f t="shared" si="72"/>
        <v>98</v>
      </c>
      <c r="U498" s="90">
        <f t="shared" si="73"/>
        <v>998</v>
      </c>
      <c r="V498" s="373">
        <f t="shared" si="74"/>
        <v>489</v>
      </c>
      <c r="W498" s="90">
        <f t="shared" si="75"/>
        <v>0</v>
      </c>
      <c r="X498" s="90">
        <f t="shared" si="76"/>
        <v>0</v>
      </c>
      <c r="Y498" s="141">
        <f t="shared" si="78"/>
        <v>489</v>
      </c>
      <c r="Z498" s="298">
        <v>98</v>
      </c>
      <c r="AA498" s="299">
        <v>998</v>
      </c>
      <c r="AB498" s="299">
        <v>489</v>
      </c>
      <c r="AC498" s="301">
        <v>0</v>
      </c>
      <c r="AD498" s="301">
        <v>0</v>
      </c>
      <c r="AE498" s="126"/>
      <c r="AF498" s="298"/>
      <c r="AG498" s="299"/>
      <c r="AH498" s="299"/>
      <c r="AI498" s="301"/>
      <c r="AJ498" s="301"/>
      <c r="AK498" s="426"/>
      <c r="AL498" s="298"/>
      <c r="AM498" s="299"/>
      <c r="AN498" s="299"/>
      <c r="AO498" s="301"/>
      <c r="AP498" s="301"/>
      <c r="AQ498" s="426"/>
      <c r="AR498" s="298"/>
      <c r="AS498" s="299"/>
      <c r="AT498" s="299"/>
      <c r="AU498" s="301"/>
      <c r="AV498" s="301"/>
      <c r="AW498" s="88"/>
      <c r="AX498" s="298"/>
      <c r="AY498" s="299"/>
      <c r="AZ498" s="299"/>
      <c r="BA498" s="301"/>
      <c r="BB498" s="301"/>
      <c r="BC498" s="426"/>
      <c r="BD498" s="298"/>
      <c r="BE498" s="299"/>
      <c r="BF498" s="299"/>
      <c r="BG498" s="301"/>
      <c r="BH498" s="301"/>
      <c r="BI498" s="88"/>
      <c r="BJ498" s="298"/>
      <c r="BK498" s="299"/>
      <c r="BL498" s="299"/>
      <c r="BM498" s="301"/>
      <c r="BN498" s="301"/>
      <c r="BO498" s="88"/>
      <c r="BP498" s="9"/>
      <c r="BS498" s="81"/>
      <c r="BT498" s="81"/>
      <c r="BV498" s="9"/>
      <c r="BY498" s="81"/>
      <c r="BZ498" s="81"/>
      <c r="CB498" s="9"/>
      <c r="CE498" s="81"/>
      <c r="CF498" s="81"/>
      <c r="CH498" s="9"/>
      <c r="CK498" s="81"/>
      <c r="CL498" s="81"/>
      <c r="CR498" s="9"/>
      <c r="CS498" s="9"/>
      <c r="CT498" s="9"/>
      <c r="CU498" s="9"/>
      <c r="CV498" s="9"/>
      <c r="CW498" s="129"/>
      <c r="CX498" s="9"/>
    </row>
    <row r="499" spans="1:102">
      <c r="A499" s="6" t="str">
        <f t="shared" si="71"/>
        <v>00980999</v>
      </c>
      <c r="B499" s="6" t="s">
        <v>1748</v>
      </c>
      <c r="C499" s="6" t="s">
        <v>2092</v>
      </c>
      <c r="D499" s="6">
        <v>490</v>
      </c>
      <c r="E499" s="10">
        <v>98</v>
      </c>
      <c r="F499" s="10" t="s">
        <v>1217</v>
      </c>
      <c r="G499" s="10">
        <v>999</v>
      </c>
      <c r="H499" s="10" t="s">
        <v>593</v>
      </c>
      <c r="I499" s="92">
        <v>1616104.4152370906</v>
      </c>
      <c r="J499" s="472">
        <v>1</v>
      </c>
      <c r="K499" s="53">
        <f>SUM(K495:K498)</f>
        <v>1566636.0040951511</v>
      </c>
      <c r="L499" s="91">
        <f>SUM(L495:L498)</f>
        <v>1</v>
      </c>
      <c r="M499" s="79">
        <f>VLOOKUP(E499,town351,24)</f>
        <v>796736</v>
      </c>
      <c r="N499" s="79">
        <f>SUM(N495:N498)</f>
        <v>796736</v>
      </c>
      <c r="O499" s="79">
        <v>748953</v>
      </c>
      <c r="P499" s="79">
        <f>SUM(P495:P498)</f>
        <v>47783</v>
      </c>
      <c r="Q499" s="39">
        <f t="shared" si="79"/>
        <v>6.3799731091270075</v>
      </c>
      <c r="R499" s="9">
        <v>89.999999998470003</v>
      </c>
      <c r="S499" s="9">
        <f t="shared" si="77"/>
        <v>86.999999998489997</v>
      </c>
      <c r="T499" s="90">
        <f t="shared" si="72"/>
        <v>98</v>
      </c>
      <c r="U499" s="90">
        <f t="shared" si="73"/>
        <v>999</v>
      </c>
      <c r="V499" s="373">
        <f t="shared" si="74"/>
        <v>490</v>
      </c>
      <c r="W499" s="90">
        <f t="shared" si="75"/>
        <v>86.999999998489997</v>
      </c>
      <c r="X499" s="90">
        <f t="shared" si="76"/>
        <v>1566636.0040951511</v>
      </c>
      <c r="Y499" s="141">
        <f t="shared" si="78"/>
        <v>490</v>
      </c>
      <c r="Z499" s="298">
        <v>98</v>
      </c>
      <c r="AA499" s="299">
        <v>999</v>
      </c>
      <c r="AB499" s="299">
        <v>490</v>
      </c>
      <c r="AC499" s="301">
        <v>86.999999998489997</v>
      </c>
      <c r="AD499" s="301">
        <v>1566636.0040951511</v>
      </c>
      <c r="AE499" s="126"/>
      <c r="AF499" s="298"/>
      <c r="AG499" s="299"/>
      <c r="AH499" s="299"/>
      <c r="AI499" s="301"/>
      <c r="AJ499" s="301"/>
      <c r="AK499" s="426"/>
      <c r="AL499" s="298"/>
      <c r="AM499" s="299"/>
      <c r="AN499" s="299"/>
      <c r="AO499" s="301"/>
      <c r="AP499" s="301"/>
      <c r="AQ499" s="426"/>
      <c r="AR499" s="298"/>
      <c r="AS499" s="299"/>
      <c r="AT499" s="299"/>
      <c r="AU499" s="301"/>
      <c r="AV499" s="301"/>
      <c r="AW499" s="91"/>
      <c r="AX499" s="298"/>
      <c r="AY499" s="299"/>
      <c r="AZ499" s="299"/>
      <c r="BA499" s="301"/>
      <c r="BB499" s="301"/>
      <c r="BC499" s="426"/>
      <c r="BD499" s="298"/>
      <c r="BE499" s="299"/>
      <c r="BF499" s="299"/>
      <c r="BG499" s="301"/>
      <c r="BH499" s="301"/>
      <c r="BI499" s="91"/>
      <c r="BJ499" s="298"/>
      <c r="BK499" s="299"/>
      <c r="BL499" s="299"/>
      <c r="BM499" s="301"/>
      <c r="BN499" s="301"/>
      <c r="BO499" s="91"/>
      <c r="BP499" s="9"/>
      <c r="BS499" s="81"/>
      <c r="BT499" s="81"/>
      <c r="BV499" s="9"/>
      <c r="BY499" s="81"/>
      <c r="BZ499" s="81"/>
      <c r="CB499" s="9"/>
      <c r="CE499" s="81"/>
      <c r="CF499" s="81"/>
      <c r="CH499" s="9"/>
      <c r="CK499" s="81"/>
      <c r="CL499" s="81"/>
      <c r="CR499" s="9"/>
      <c r="CS499" s="9"/>
      <c r="CT499" s="9"/>
      <c r="CU499" s="9"/>
      <c r="CV499" s="9"/>
      <c r="CW499" s="129"/>
      <c r="CX499" s="9"/>
    </row>
    <row r="500" spans="1:102">
      <c r="A500" s="6" t="str">
        <f t="shared" si="71"/>
        <v>00990099</v>
      </c>
      <c r="B500" s="6" t="s">
        <v>1749</v>
      </c>
      <c r="C500" s="6" t="s">
        <v>1749</v>
      </c>
      <c r="D500" s="6">
        <v>491</v>
      </c>
      <c r="E500" s="6">
        <v>99</v>
      </c>
      <c r="F500" s="6" t="s">
        <v>1218</v>
      </c>
      <c r="G500" s="6">
        <v>99</v>
      </c>
      <c r="H500" s="6" t="s">
        <v>780</v>
      </c>
      <c r="I500" s="33">
        <v>34005786.001159996</v>
      </c>
      <c r="J500" s="88">
        <v>0.96657347939709748</v>
      </c>
      <c r="K500" s="89">
        <f>X500</f>
        <v>35604499.836640008</v>
      </c>
      <c r="L500" s="88">
        <f>IF(K504&gt;0, K500/K504, 0)</f>
        <v>0.96783415935339712</v>
      </c>
      <c r="M500" s="58"/>
      <c r="N500" s="9">
        <f>ROUND(M504*L500,0)</f>
        <v>28583943</v>
      </c>
      <c r="O500" s="9">
        <v>27296530</v>
      </c>
      <c r="P500" s="9">
        <f>N500-O500</f>
        <v>1287413</v>
      </c>
      <c r="Q500" s="40">
        <f t="shared" si="79"/>
        <v>4.7163980183561796</v>
      </c>
      <c r="R500" s="9">
        <v>2537</v>
      </c>
      <c r="S500" s="9">
        <f t="shared" si="77"/>
        <v>2573</v>
      </c>
      <c r="T500" s="90">
        <f t="shared" si="72"/>
        <v>99</v>
      </c>
      <c r="U500" s="90">
        <f t="shared" si="73"/>
        <v>99</v>
      </c>
      <c r="V500" s="373">
        <f t="shared" si="74"/>
        <v>491</v>
      </c>
      <c r="W500" s="90">
        <f t="shared" si="75"/>
        <v>2573</v>
      </c>
      <c r="X500" s="90">
        <f t="shared" si="76"/>
        <v>35604499.836640008</v>
      </c>
      <c r="Y500" s="141">
        <f t="shared" si="78"/>
        <v>491</v>
      </c>
      <c r="Z500" s="298">
        <v>99</v>
      </c>
      <c r="AA500" s="299">
        <v>99</v>
      </c>
      <c r="AB500" s="299">
        <v>491</v>
      </c>
      <c r="AC500" s="301">
        <v>2573</v>
      </c>
      <c r="AD500" s="301">
        <v>35604499.836640008</v>
      </c>
      <c r="AE500" s="126"/>
      <c r="AF500" s="298"/>
      <c r="AG500" s="299"/>
      <c r="AH500" s="299"/>
      <c r="AI500" s="301"/>
      <c r="AJ500" s="301"/>
      <c r="AK500" s="426"/>
      <c r="AL500" s="298"/>
      <c r="AM500" s="299"/>
      <c r="AN500" s="299"/>
      <c r="AO500" s="301"/>
      <c r="AP500" s="301"/>
      <c r="AQ500" s="426"/>
      <c r="AR500" s="298"/>
      <c r="AS500" s="299"/>
      <c r="AT500" s="299"/>
      <c r="AU500" s="301"/>
      <c r="AV500" s="301"/>
      <c r="AW500" s="88"/>
      <c r="AX500" s="298"/>
      <c r="AY500" s="299"/>
      <c r="AZ500" s="299"/>
      <c r="BA500" s="301"/>
      <c r="BB500" s="301"/>
      <c r="BC500" s="426"/>
      <c r="BD500" s="298"/>
      <c r="BE500" s="299"/>
      <c r="BF500" s="299"/>
      <c r="BG500" s="301"/>
      <c r="BH500" s="301"/>
      <c r="BI500" s="88"/>
      <c r="BJ500" s="298"/>
      <c r="BK500" s="299"/>
      <c r="BL500" s="299"/>
      <c r="BM500" s="301"/>
      <c r="BN500" s="301"/>
      <c r="BO500" s="88"/>
      <c r="BP500" s="9"/>
      <c r="BS500" s="81"/>
      <c r="BT500" s="81"/>
      <c r="BV500" s="9"/>
      <c r="BY500" s="81"/>
      <c r="BZ500" s="81"/>
      <c r="CB500" s="9"/>
      <c r="CE500" s="81"/>
      <c r="CF500" s="81"/>
      <c r="CH500" s="9"/>
      <c r="CK500" s="81"/>
      <c r="CL500" s="81"/>
      <c r="CR500" s="9"/>
      <c r="CS500" s="9"/>
      <c r="CT500" s="9"/>
      <c r="CU500" s="9"/>
      <c r="CV500" s="9"/>
      <c r="CW500" s="129"/>
      <c r="CX500" s="9"/>
    </row>
    <row r="501" spans="1:102">
      <c r="A501" s="6" t="str">
        <f t="shared" si="71"/>
        <v>00990872</v>
      </c>
      <c r="B501" s="6" t="s">
        <v>1749</v>
      </c>
      <c r="C501" s="6" t="s">
        <v>2082</v>
      </c>
      <c r="D501" s="6">
        <v>492</v>
      </c>
      <c r="E501" s="6">
        <v>99</v>
      </c>
      <c r="F501" s="6" t="s">
        <v>1218</v>
      </c>
      <c r="G501" s="6">
        <v>872</v>
      </c>
      <c r="H501" s="6" t="s">
        <v>1112</v>
      </c>
      <c r="I501" s="33">
        <v>917684.66151187732</v>
      </c>
      <c r="J501" s="88">
        <v>2.608408040433547E-2</v>
      </c>
      <c r="K501" s="89">
        <f t="shared" si="80"/>
        <v>1007119.081417684</v>
      </c>
      <c r="L501" s="88">
        <f>IF(K504&gt;0, K501/K504, 0)</f>
        <v>2.7376434271085503E-2</v>
      </c>
      <c r="M501" s="58"/>
      <c r="N501" s="9">
        <f>ROUND(M504*L501,0)</f>
        <v>808534</v>
      </c>
      <c r="O501" s="9">
        <v>736628</v>
      </c>
      <c r="P501" s="9">
        <f>N501-O501</f>
        <v>71906</v>
      </c>
      <c r="Q501" s="40">
        <f t="shared" si="79"/>
        <v>9.7615078438506266</v>
      </c>
      <c r="R501" s="9">
        <v>43.184662579699996</v>
      </c>
      <c r="S501" s="9">
        <f t="shared" si="77"/>
        <v>46.082437284000001</v>
      </c>
      <c r="T501" s="90">
        <f t="shared" si="72"/>
        <v>99</v>
      </c>
      <c r="U501" s="90">
        <f t="shared" si="73"/>
        <v>872</v>
      </c>
      <c r="V501" s="373">
        <f t="shared" si="74"/>
        <v>492</v>
      </c>
      <c r="W501" s="90">
        <f t="shared" si="75"/>
        <v>46.082437284000001</v>
      </c>
      <c r="X501" s="90">
        <f t="shared" si="76"/>
        <v>1007119.081417684</v>
      </c>
      <c r="Y501" s="141">
        <f t="shared" si="78"/>
        <v>492</v>
      </c>
      <c r="Z501" s="298">
        <v>99</v>
      </c>
      <c r="AA501" s="299">
        <v>872</v>
      </c>
      <c r="AB501" s="299">
        <v>492</v>
      </c>
      <c r="AC501" s="301">
        <v>46.082437284000001</v>
      </c>
      <c r="AD501" s="301">
        <v>1007119.081417684</v>
      </c>
      <c r="AE501" s="126"/>
      <c r="AF501" s="298"/>
      <c r="AG501" s="299"/>
      <c r="AH501" s="299"/>
      <c r="AI501" s="301"/>
      <c r="AJ501" s="301"/>
      <c r="AK501" s="426"/>
      <c r="AL501" s="298"/>
      <c r="AM501" s="299"/>
      <c r="AN501" s="299"/>
      <c r="AO501" s="301"/>
      <c r="AP501" s="301"/>
      <c r="AQ501" s="426"/>
      <c r="AR501" s="298"/>
      <c r="AS501" s="299"/>
      <c r="AT501" s="299"/>
      <c r="AU501" s="301"/>
      <c r="AV501" s="301"/>
      <c r="AW501" s="88"/>
      <c r="AX501" s="298"/>
      <c r="AY501" s="299"/>
      <c r="AZ501" s="299"/>
      <c r="BA501" s="301"/>
      <c r="BB501" s="301"/>
      <c r="BC501" s="426"/>
      <c r="BD501" s="298"/>
      <c r="BE501" s="299"/>
      <c r="BF501" s="299"/>
      <c r="BG501" s="301"/>
      <c r="BH501" s="301"/>
      <c r="BI501" s="88"/>
      <c r="BJ501" s="298"/>
      <c r="BK501" s="299"/>
      <c r="BL501" s="299"/>
      <c r="BM501" s="301"/>
      <c r="BN501" s="301"/>
      <c r="BO501" s="88"/>
      <c r="BP501" s="9"/>
      <c r="BS501" s="81"/>
      <c r="BT501" s="81"/>
      <c r="BV501" s="9"/>
      <c r="BY501" s="81"/>
      <c r="BZ501" s="81"/>
      <c r="CB501" s="9"/>
      <c r="CE501" s="81"/>
      <c r="CF501" s="81"/>
      <c r="CH501" s="9"/>
      <c r="CK501" s="81"/>
      <c r="CL501" s="81"/>
      <c r="CR501" s="9"/>
      <c r="CS501" s="9"/>
      <c r="CT501" s="9"/>
      <c r="CU501" s="9"/>
      <c r="CV501" s="9"/>
      <c r="CW501" s="129"/>
      <c r="CX501" s="9"/>
    </row>
    <row r="502" spans="1:102">
      <c r="A502" s="6" t="str">
        <f t="shared" si="71"/>
        <v>00990915</v>
      </c>
      <c r="B502" s="6" t="s">
        <v>1749</v>
      </c>
      <c r="C502" s="6" t="s">
        <v>2089</v>
      </c>
      <c r="D502" s="6">
        <v>493</v>
      </c>
      <c r="E502" s="6">
        <v>99</v>
      </c>
      <c r="F502" s="6" t="s">
        <v>1218</v>
      </c>
      <c r="G502" s="6">
        <v>915</v>
      </c>
      <c r="H502" s="6" t="s">
        <v>1119</v>
      </c>
      <c r="I502" s="33">
        <v>258320.19545428283</v>
      </c>
      <c r="J502" s="88">
        <v>7.3424401985670096E-3</v>
      </c>
      <c r="K502" s="89">
        <f t="shared" si="80"/>
        <v>176191.77507501398</v>
      </c>
      <c r="L502" s="88">
        <f>IF(K504&gt;0, K502/K504, 0)</f>
        <v>4.789406375517319E-3</v>
      </c>
      <c r="M502" s="58"/>
      <c r="N502" s="9">
        <f>ROUND(M504*L502,0)</f>
        <v>141450</v>
      </c>
      <c r="O502" s="9">
        <v>207354</v>
      </c>
      <c r="P502" s="9">
        <f>N502-O502</f>
        <v>-65904</v>
      </c>
      <c r="Q502" s="40">
        <f t="shared" si="79"/>
        <v>-31.783327063861801</v>
      </c>
      <c r="R502" s="9">
        <v>12.00000000012</v>
      </c>
      <c r="S502" s="9">
        <f t="shared" si="77"/>
        <v>8.0000000009600001</v>
      </c>
      <c r="T502" s="90">
        <f t="shared" si="72"/>
        <v>99</v>
      </c>
      <c r="U502" s="90">
        <f t="shared" si="73"/>
        <v>915</v>
      </c>
      <c r="V502" s="373">
        <f t="shared" si="74"/>
        <v>493</v>
      </c>
      <c r="W502" s="90">
        <f t="shared" si="75"/>
        <v>8.0000000009600001</v>
      </c>
      <c r="X502" s="90">
        <f t="shared" si="76"/>
        <v>176191.77507501398</v>
      </c>
      <c r="Y502" s="141">
        <f t="shared" si="78"/>
        <v>493</v>
      </c>
      <c r="Z502" s="298">
        <v>99</v>
      </c>
      <c r="AA502" s="299">
        <v>915</v>
      </c>
      <c r="AB502" s="299">
        <v>493</v>
      </c>
      <c r="AC502" s="301">
        <v>8.0000000009600001</v>
      </c>
      <c r="AD502" s="301">
        <v>176191.77507501398</v>
      </c>
      <c r="AE502" s="126"/>
      <c r="AF502" s="298"/>
      <c r="AG502" s="299"/>
      <c r="AH502" s="299"/>
      <c r="AI502" s="301"/>
      <c r="AJ502" s="301"/>
      <c r="AK502" s="426"/>
      <c r="AL502" s="298"/>
      <c r="AM502" s="299"/>
      <c r="AN502" s="299"/>
      <c r="AO502" s="301"/>
      <c r="AP502" s="301"/>
      <c r="AQ502" s="426"/>
      <c r="AR502" s="298"/>
      <c r="AS502" s="299"/>
      <c r="AT502" s="299"/>
      <c r="AU502" s="301"/>
      <c r="AV502" s="301"/>
      <c r="AW502" s="88"/>
      <c r="AX502" s="298"/>
      <c r="AY502" s="299"/>
      <c r="AZ502" s="299"/>
      <c r="BA502" s="301"/>
      <c r="BB502" s="301"/>
      <c r="BC502" s="426"/>
      <c r="BD502" s="298"/>
      <c r="BE502" s="299"/>
      <c r="BF502" s="299"/>
      <c r="BG502" s="301"/>
      <c r="BH502" s="301"/>
      <c r="BI502" s="88"/>
      <c r="BJ502" s="298"/>
      <c r="BK502" s="299"/>
      <c r="BL502" s="299"/>
      <c r="BM502" s="301"/>
      <c r="BN502" s="301"/>
      <c r="BO502" s="88"/>
      <c r="BP502" s="9"/>
      <c r="BS502" s="81"/>
      <c r="BT502" s="81"/>
      <c r="BV502" s="9"/>
      <c r="BY502" s="81"/>
      <c r="BZ502" s="81"/>
      <c r="CB502" s="9"/>
      <c r="CE502" s="81"/>
      <c r="CF502" s="81"/>
      <c r="CH502" s="9"/>
      <c r="CK502" s="81"/>
      <c r="CL502" s="81"/>
      <c r="CR502" s="9"/>
      <c r="CS502" s="9"/>
      <c r="CT502" s="9"/>
      <c r="CU502" s="9"/>
      <c r="CV502" s="9"/>
      <c r="CW502" s="129"/>
      <c r="CX502" s="9"/>
    </row>
    <row r="503" spans="1:102">
      <c r="A503" s="6" t="str">
        <f t="shared" si="71"/>
        <v>00990998</v>
      </c>
      <c r="B503" s="6" t="s">
        <v>1749</v>
      </c>
      <c r="C503" s="6" t="s">
        <v>2091</v>
      </c>
      <c r="D503" s="6">
        <v>494</v>
      </c>
      <c r="E503" s="6">
        <v>99</v>
      </c>
      <c r="F503" s="6" t="s">
        <v>1547</v>
      </c>
      <c r="G503" s="6">
        <v>998</v>
      </c>
      <c r="H503" s="6" t="s">
        <v>1547</v>
      </c>
      <c r="I503" s="33">
        <v>0</v>
      </c>
      <c r="J503" s="88">
        <v>0</v>
      </c>
      <c r="K503" s="89">
        <f t="shared" si="80"/>
        <v>0</v>
      </c>
      <c r="L503" s="88">
        <f>IF(K504&gt;0, K503/K504, 0)</f>
        <v>0</v>
      </c>
      <c r="M503" s="58"/>
      <c r="N503" s="9">
        <f>ROUND(M504*L503,0)</f>
        <v>0</v>
      </c>
      <c r="O503" s="9">
        <v>0</v>
      </c>
      <c r="P503" s="9">
        <f>N503-O503</f>
        <v>0</v>
      </c>
      <c r="Q503" s="40">
        <f t="shared" si="79"/>
        <v>0</v>
      </c>
      <c r="R503" s="9">
        <v>0</v>
      </c>
      <c r="S503" s="9">
        <f t="shared" si="77"/>
        <v>0</v>
      </c>
      <c r="T503" s="90">
        <f t="shared" si="72"/>
        <v>99</v>
      </c>
      <c r="U503" s="90">
        <f t="shared" si="73"/>
        <v>998</v>
      </c>
      <c r="V503" s="373">
        <f t="shared" si="74"/>
        <v>494</v>
      </c>
      <c r="W503" s="90">
        <f t="shared" si="75"/>
        <v>0</v>
      </c>
      <c r="X503" s="90">
        <f t="shared" si="76"/>
        <v>0</v>
      </c>
      <c r="Y503" s="141">
        <f t="shared" si="78"/>
        <v>494</v>
      </c>
      <c r="Z503" s="298">
        <v>99</v>
      </c>
      <c r="AA503" s="299">
        <v>998</v>
      </c>
      <c r="AB503" s="299">
        <v>494</v>
      </c>
      <c r="AC503" s="301">
        <v>0</v>
      </c>
      <c r="AD503" s="301">
        <v>0</v>
      </c>
      <c r="AE503" s="126"/>
      <c r="AF503" s="298"/>
      <c r="AG503" s="299"/>
      <c r="AH503" s="299"/>
      <c r="AI503" s="301"/>
      <c r="AJ503" s="301"/>
      <c r="AK503" s="426"/>
      <c r="AL503" s="298"/>
      <c r="AM503" s="299"/>
      <c r="AN503" s="299"/>
      <c r="AO503" s="301"/>
      <c r="AP503" s="301"/>
      <c r="AQ503" s="426"/>
      <c r="AR503" s="298"/>
      <c r="AS503" s="299"/>
      <c r="AT503" s="299"/>
      <c r="AU503" s="301"/>
      <c r="AV503" s="301"/>
      <c r="AW503" s="88"/>
      <c r="AX503" s="298"/>
      <c r="AY503" s="299"/>
      <c r="AZ503" s="299"/>
      <c r="BA503" s="301"/>
      <c r="BB503" s="301"/>
      <c r="BC503" s="426"/>
      <c r="BD503" s="298"/>
      <c r="BE503" s="299"/>
      <c r="BF503" s="299"/>
      <c r="BG503" s="301"/>
      <c r="BH503" s="301"/>
      <c r="BI503" s="88"/>
      <c r="BJ503" s="298"/>
      <c r="BK503" s="299"/>
      <c r="BL503" s="299"/>
      <c r="BM503" s="301"/>
      <c r="BN503" s="301"/>
      <c r="BO503" s="88"/>
      <c r="BP503" s="9"/>
      <c r="BS503" s="81"/>
      <c r="BT503" s="81"/>
      <c r="BV503" s="9"/>
      <c r="BY503" s="81"/>
      <c r="BZ503" s="81"/>
      <c r="CB503" s="9"/>
      <c r="CE503" s="81"/>
      <c r="CF503" s="81"/>
      <c r="CH503" s="9"/>
      <c r="CK503" s="81"/>
      <c r="CL503" s="81"/>
      <c r="CR503" s="9"/>
      <c r="CS503" s="9"/>
      <c r="CT503" s="9"/>
      <c r="CU503" s="9"/>
      <c r="CV503" s="9"/>
      <c r="CW503" s="129"/>
      <c r="CX503" s="9"/>
    </row>
    <row r="504" spans="1:102">
      <c r="A504" s="6" t="str">
        <f t="shared" si="71"/>
        <v>00990999</v>
      </c>
      <c r="B504" s="6" t="s">
        <v>1749</v>
      </c>
      <c r="C504" s="6" t="s">
        <v>2092</v>
      </c>
      <c r="D504" s="6">
        <v>495</v>
      </c>
      <c r="E504" s="10">
        <v>99</v>
      </c>
      <c r="F504" s="10" t="s">
        <v>1218</v>
      </c>
      <c r="G504" s="10">
        <v>999</v>
      </c>
      <c r="H504" s="10" t="s">
        <v>593</v>
      </c>
      <c r="I504" s="92">
        <v>35181790.858126156</v>
      </c>
      <c r="J504" s="472">
        <v>1</v>
      </c>
      <c r="K504" s="53">
        <f>SUM(K500:K503)</f>
        <v>36787810.693132706</v>
      </c>
      <c r="L504" s="91">
        <f>SUM(L500:L503)</f>
        <v>0.99999999999999989</v>
      </c>
      <c r="M504" s="79">
        <f>VLOOKUP(E504,town351,24)</f>
        <v>29533927</v>
      </c>
      <c r="N504" s="79">
        <f>SUM(N500:N503)</f>
        <v>29533927</v>
      </c>
      <c r="O504" s="79">
        <v>28240512</v>
      </c>
      <c r="P504" s="79">
        <f>SUM(P500:P503)</f>
        <v>1293415</v>
      </c>
      <c r="Q504" s="39">
        <f t="shared" si="79"/>
        <v>4.5799984079608755</v>
      </c>
      <c r="R504" s="9">
        <v>2592.1846625798203</v>
      </c>
      <c r="S504" s="9">
        <f t="shared" si="77"/>
        <v>2627.0824372849602</v>
      </c>
      <c r="T504" s="90">
        <f t="shared" si="72"/>
        <v>99</v>
      </c>
      <c r="U504" s="90">
        <f t="shared" si="73"/>
        <v>999</v>
      </c>
      <c r="V504" s="373">
        <f t="shared" si="74"/>
        <v>495</v>
      </c>
      <c r="W504" s="90">
        <f t="shared" si="75"/>
        <v>2627.0824372849602</v>
      </c>
      <c r="X504" s="90">
        <f t="shared" si="76"/>
        <v>36787810.693132706</v>
      </c>
      <c r="Y504" s="141">
        <f t="shared" si="78"/>
        <v>495</v>
      </c>
      <c r="Z504" s="298">
        <v>99</v>
      </c>
      <c r="AA504" s="299">
        <v>999</v>
      </c>
      <c r="AB504" s="299">
        <v>495</v>
      </c>
      <c r="AC504" s="301">
        <v>2627.0824372849602</v>
      </c>
      <c r="AD504" s="301">
        <v>36787810.693132706</v>
      </c>
      <c r="AE504" s="126"/>
      <c r="AF504" s="298"/>
      <c r="AG504" s="299"/>
      <c r="AH504" s="299"/>
      <c r="AI504" s="301"/>
      <c r="AJ504" s="301"/>
      <c r="AK504" s="426"/>
      <c r="AL504" s="298"/>
      <c r="AM504" s="299"/>
      <c r="AN504" s="299"/>
      <c r="AO504" s="301"/>
      <c r="AP504" s="301"/>
      <c r="AQ504" s="426"/>
      <c r="AR504" s="298"/>
      <c r="AS504" s="299"/>
      <c r="AT504" s="299"/>
      <c r="AU504" s="301"/>
      <c r="AV504" s="301"/>
      <c r="AW504" s="91"/>
      <c r="AX504" s="298"/>
      <c r="AY504" s="299"/>
      <c r="AZ504" s="299"/>
      <c r="BA504" s="301"/>
      <c r="BB504" s="301"/>
      <c r="BC504" s="426"/>
      <c r="BD504" s="298"/>
      <c r="BE504" s="299"/>
      <c r="BF504" s="299"/>
      <c r="BG504" s="301"/>
      <c r="BH504" s="301"/>
      <c r="BI504" s="91"/>
      <c r="BJ504" s="298"/>
      <c r="BK504" s="299"/>
      <c r="BL504" s="299"/>
      <c r="BM504" s="301"/>
      <c r="BN504" s="301"/>
      <c r="BO504" s="91"/>
      <c r="BP504" s="9"/>
      <c r="BS504" s="81"/>
      <c r="BT504" s="81"/>
      <c r="BV504" s="9"/>
      <c r="BY504" s="81"/>
      <c r="BZ504" s="81"/>
      <c r="CB504" s="9"/>
      <c r="CE504" s="81"/>
      <c r="CF504" s="81"/>
      <c r="CH504" s="9"/>
      <c r="CK504" s="81"/>
      <c r="CL504" s="81"/>
      <c r="CR504" s="9"/>
      <c r="CS504" s="9"/>
      <c r="CT504" s="9"/>
      <c r="CU504" s="9"/>
      <c r="CV504" s="9"/>
      <c r="CW504" s="129"/>
      <c r="CX504" s="9"/>
    </row>
    <row r="505" spans="1:102">
      <c r="A505" s="6" t="str">
        <f t="shared" si="71"/>
        <v>01000100</v>
      </c>
      <c r="B505" s="6" t="s">
        <v>1750</v>
      </c>
      <c r="C505" s="6" t="s">
        <v>1750</v>
      </c>
      <c r="D505" s="6">
        <v>496</v>
      </c>
      <c r="E505" s="6">
        <v>100</v>
      </c>
      <c r="F505" s="6" t="s">
        <v>1219</v>
      </c>
      <c r="G505" s="6">
        <v>100</v>
      </c>
      <c r="H505" s="6" t="s">
        <v>781</v>
      </c>
      <c r="I505" s="33">
        <v>159351946.7809</v>
      </c>
      <c r="J505" s="88">
        <v>0.91595229430405023</v>
      </c>
      <c r="K505" s="89">
        <f>X505</f>
        <v>164084535.65007001</v>
      </c>
      <c r="L505" s="88">
        <f>IF(K509&gt;0, K505/K509, 0)</f>
        <v>0.91652906019730673</v>
      </c>
      <c r="M505" s="58"/>
      <c r="N505" s="9">
        <f>ROUND(M509*L505,0)</f>
        <v>78033062</v>
      </c>
      <c r="O505" s="9">
        <v>74355413</v>
      </c>
      <c r="P505" s="9">
        <f>N505-O505</f>
        <v>3677649</v>
      </c>
      <c r="Q505" s="40">
        <f t="shared" si="79"/>
        <v>4.9460407139423728</v>
      </c>
      <c r="R505" s="9">
        <v>9759</v>
      </c>
      <c r="S505" s="9">
        <f t="shared" si="77"/>
        <v>9521</v>
      </c>
      <c r="T505" s="90">
        <f t="shared" si="72"/>
        <v>100</v>
      </c>
      <c r="U505" s="90">
        <f t="shared" si="73"/>
        <v>100</v>
      </c>
      <c r="V505" s="373">
        <f t="shared" si="74"/>
        <v>496</v>
      </c>
      <c r="W505" s="90">
        <f t="shared" si="75"/>
        <v>9521</v>
      </c>
      <c r="X505" s="90">
        <f t="shared" si="76"/>
        <v>164084535.65007001</v>
      </c>
      <c r="Y505" s="141">
        <f t="shared" si="78"/>
        <v>496</v>
      </c>
      <c r="Z505" s="298">
        <v>100</v>
      </c>
      <c r="AA505" s="299">
        <v>100</v>
      </c>
      <c r="AB505" s="299">
        <v>496</v>
      </c>
      <c r="AC505" s="301">
        <v>9521</v>
      </c>
      <c r="AD505" s="301">
        <v>164084535.65007001</v>
      </c>
      <c r="AE505" s="126"/>
      <c r="AF505" s="298"/>
      <c r="AG505" s="299"/>
      <c r="AH505" s="299"/>
      <c r="AI505" s="301"/>
      <c r="AJ505" s="301"/>
      <c r="AK505" s="426"/>
      <c r="AL505" s="298"/>
      <c r="AM505" s="299"/>
      <c r="AN505" s="299"/>
      <c r="AO505" s="301"/>
      <c r="AP505" s="301"/>
      <c r="AQ505" s="426"/>
      <c r="AR505" s="298"/>
      <c r="AS505" s="299"/>
      <c r="AT505" s="299"/>
      <c r="AU505" s="301"/>
      <c r="AV505" s="301"/>
      <c r="AW505" s="88"/>
      <c r="AX505" s="298"/>
      <c r="AY505" s="299"/>
      <c r="AZ505" s="299"/>
      <c r="BA505" s="301"/>
      <c r="BB505" s="301"/>
      <c r="BC505" s="426"/>
      <c r="BD505" s="298"/>
      <c r="BE505" s="299"/>
      <c r="BF505" s="299"/>
      <c r="BG505" s="301"/>
      <c r="BH505" s="301"/>
      <c r="BI505" s="88"/>
      <c r="BJ505" s="298"/>
      <c r="BK505" s="299"/>
      <c r="BL505" s="299"/>
      <c r="BM505" s="301"/>
      <c r="BN505" s="301"/>
      <c r="BO505" s="88"/>
      <c r="BP505" s="9"/>
      <c r="BS505" s="81"/>
      <c r="BT505" s="81"/>
      <c r="BV505" s="9"/>
      <c r="BY505" s="81"/>
      <c r="BZ505" s="81"/>
      <c r="CB505" s="9"/>
      <c r="CE505" s="81"/>
      <c r="CF505" s="81"/>
      <c r="CH505" s="9"/>
      <c r="CK505" s="81"/>
      <c r="CL505" s="81"/>
      <c r="CR505" s="9"/>
      <c r="CS505" s="9"/>
      <c r="CT505" s="9"/>
      <c r="CU505" s="9"/>
      <c r="CV505" s="9"/>
      <c r="CW505" s="129"/>
      <c r="CX505" s="9"/>
    </row>
    <row r="506" spans="1:102">
      <c r="A506" s="6" t="str">
        <f t="shared" si="71"/>
        <v>01000829</v>
      </c>
      <c r="B506" s="6" t="s">
        <v>1750</v>
      </c>
      <c r="C506" s="6" t="s">
        <v>2073</v>
      </c>
      <c r="D506" s="6">
        <v>497</v>
      </c>
      <c r="E506" s="6">
        <v>100</v>
      </c>
      <c r="F506" s="6" t="s">
        <v>1219</v>
      </c>
      <c r="G506" s="6">
        <v>829</v>
      </c>
      <c r="H506" s="6" t="s">
        <v>1103</v>
      </c>
      <c r="I506" s="33">
        <v>14622121.270293891</v>
      </c>
      <c r="J506" s="88">
        <v>8.4047705695949826E-2</v>
      </c>
      <c r="K506" s="89">
        <f t="shared" si="80"/>
        <v>14943650.990020309</v>
      </c>
      <c r="L506" s="88">
        <f>IF(K509&gt;0, K506/K509, 0)</f>
        <v>8.3470939802693239E-2</v>
      </c>
      <c r="M506" s="58"/>
      <c r="N506" s="9">
        <f>ROUND(M509*L506,0)</f>
        <v>7106696</v>
      </c>
      <c r="O506" s="9">
        <v>6822846</v>
      </c>
      <c r="P506" s="9">
        <f>N506-O506</f>
        <v>283850</v>
      </c>
      <c r="Q506" s="40">
        <f t="shared" si="79"/>
        <v>4.1602873639534002</v>
      </c>
      <c r="R506" s="9">
        <v>640.28400954390997</v>
      </c>
      <c r="S506" s="9">
        <f t="shared" si="77"/>
        <v>636.1963048514699</v>
      </c>
      <c r="T506" s="90">
        <f t="shared" si="72"/>
        <v>100</v>
      </c>
      <c r="U506" s="90">
        <f t="shared" si="73"/>
        <v>829</v>
      </c>
      <c r="V506" s="373">
        <f t="shared" si="74"/>
        <v>497</v>
      </c>
      <c r="W506" s="90">
        <f t="shared" si="75"/>
        <v>636.1963048514699</v>
      </c>
      <c r="X506" s="90">
        <f t="shared" si="76"/>
        <v>14943650.990020309</v>
      </c>
      <c r="Y506" s="141">
        <f t="shared" si="78"/>
        <v>497</v>
      </c>
      <c r="Z506" s="298">
        <v>100</v>
      </c>
      <c r="AA506" s="299">
        <v>829</v>
      </c>
      <c r="AB506" s="299">
        <v>497</v>
      </c>
      <c r="AC506" s="301">
        <v>636.1963048514699</v>
      </c>
      <c r="AD506" s="301">
        <v>14943650.990020309</v>
      </c>
      <c r="AE506" s="126"/>
      <c r="AF506" s="298"/>
      <c r="AG506" s="299"/>
      <c r="AH506" s="299"/>
      <c r="AI506" s="301"/>
      <c r="AJ506" s="301"/>
      <c r="AK506" s="426"/>
      <c r="AL506" s="298"/>
      <c r="AM506" s="299"/>
      <c r="AN506" s="299"/>
      <c r="AO506" s="301"/>
      <c r="AP506" s="301"/>
      <c r="AQ506" s="426"/>
      <c r="AR506" s="298"/>
      <c r="AS506" s="299"/>
      <c r="AT506" s="299"/>
      <c r="AU506" s="301"/>
      <c r="AV506" s="301"/>
      <c r="AW506" s="88"/>
      <c r="AX506" s="298"/>
      <c r="AY506" s="299"/>
      <c r="AZ506" s="299"/>
      <c r="BA506" s="301"/>
      <c r="BB506" s="301"/>
      <c r="BC506" s="426"/>
      <c r="BD506" s="298"/>
      <c r="BE506" s="299"/>
      <c r="BF506" s="299"/>
      <c r="BG506" s="301"/>
      <c r="BH506" s="301"/>
      <c r="BI506" s="88"/>
      <c r="BJ506" s="298"/>
      <c r="BK506" s="299"/>
      <c r="BL506" s="299"/>
      <c r="BM506" s="301"/>
      <c r="BN506" s="301"/>
      <c r="BO506" s="88"/>
      <c r="BP506" s="9"/>
      <c r="BS506" s="81"/>
      <c r="BT506" s="81"/>
      <c r="BV506" s="9"/>
      <c r="BY506" s="81"/>
      <c r="BZ506" s="81"/>
      <c r="CB506" s="9"/>
      <c r="CE506" s="81"/>
      <c r="CF506" s="81"/>
      <c r="CH506" s="9"/>
      <c r="CK506" s="81"/>
      <c r="CL506" s="81"/>
      <c r="CR506" s="9"/>
      <c r="CS506" s="9"/>
      <c r="CT506" s="9"/>
      <c r="CU506" s="9"/>
      <c r="CV506" s="9"/>
      <c r="CW506" s="129"/>
      <c r="CX506" s="9"/>
    </row>
    <row r="507" spans="1:102">
      <c r="A507" s="6" t="str">
        <f t="shared" si="71"/>
        <v>01000998</v>
      </c>
      <c r="B507" s="6" t="s">
        <v>1750</v>
      </c>
      <c r="C507" s="6" t="s">
        <v>2091</v>
      </c>
      <c r="D507" s="6">
        <v>498</v>
      </c>
      <c r="E507" s="6">
        <v>100</v>
      </c>
      <c r="F507" s="6" t="s">
        <v>1547</v>
      </c>
      <c r="G507" s="6">
        <v>998</v>
      </c>
      <c r="H507" s="6" t="s">
        <v>1547</v>
      </c>
      <c r="I507" s="33">
        <v>0</v>
      </c>
      <c r="J507" s="88">
        <v>0</v>
      </c>
      <c r="K507" s="89">
        <f t="shared" si="80"/>
        <v>0</v>
      </c>
      <c r="L507" s="88">
        <f>IF(K509&gt;0, K507/K509, 0)</f>
        <v>0</v>
      </c>
      <c r="M507" s="58"/>
      <c r="N507" s="9">
        <f>ROUND(M509*L507,0)</f>
        <v>0</v>
      </c>
      <c r="O507" s="9">
        <v>0</v>
      </c>
      <c r="P507" s="9">
        <f>N507-O507</f>
        <v>0</v>
      </c>
      <c r="Q507" s="40">
        <f t="shared" si="79"/>
        <v>0</v>
      </c>
      <c r="R507" s="9">
        <v>0</v>
      </c>
      <c r="S507" s="9">
        <f t="shared" si="77"/>
        <v>0</v>
      </c>
      <c r="T507" s="90">
        <f t="shared" si="72"/>
        <v>100</v>
      </c>
      <c r="U507" s="90">
        <f t="shared" si="73"/>
        <v>998</v>
      </c>
      <c r="V507" s="373">
        <f t="shared" si="74"/>
        <v>498</v>
      </c>
      <c r="W507" s="90">
        <f t="shared" si="75"/>
        <v>0</v>
      </c>
      <c r="X507" s="90">
        <f t="shared" si="76"/>
        <v>0</v>
      </c>
      <c r="Y507" s="141">
        <f t="shared" si="78"/>
        <v>498</v>
      </c>
      <c r="Z507" s="298">
        <v>100</v>
      </c>
      <c r="AA507" s="299">
        <v>998</v>
      </c>
      <c r="AB507" s="299">
        <v>498</v>
      </c>
      <c r="AC507" s="301">
        <v>0</v>
      </c>
      <c r="AD507" s="301">
        <v>0</v>
      </c>
      <c r="AE507" s="126"/>
      <c r="AF507" s="298"/>
      <c r="AG507" s="299"/>
      <c r="AH507" s="299"/>
      <c r="AI507" s="301"/>
      <c r="AJ507" s="301"/>
      <c r="AK507" s="426"/>
      <c r="AL507" s="298"/>
      <c r="AM507" s="299"/>
      <c r="AN507" s="299"/>
      <c r="AO507" s="301"/>
      <c r="AP507" s="301"/>
      <c r="AQ507" s="426"/>
      <c r="AR507" s="298"/>
      <c r="AS507" s="299"/>
      <c r="AT507" s="299"/>
      <c r="AU507" s="301"/>
      <c r="AV507" s="301"/>
      <c r="AW507" s="88"/>
      <c r="AX507" s="298"/>
      <c r="AY507" s="299"/>
      <c r="AZ507" s="299"/>
      <c r="BA507" s="301"/>
      <c r="BB507" s="301"/>
      <c r="BC507" s="426"/>
      <c r="BD507" s="298"/>
      <c r="BE507" s="299"/>
      <c r="BF507" s="299"/>
      <c r="BG507" s="301"/>
      <c r="BH507" s="301"/>
      <c r="BI507" s="88"/>
      <c r="BJ507" s="298"/>
      <c r="BK507" s="299"/>
      <c r="BL507" s="299"/>
      <c r="BM507" s="301"/>
      <c r="BN507" s="301"/>
      <c r="BO507" s="88"/>
      <c r="BP507" s="9"/>
      <c r="BS507" s="81"/>
      <c r="BT507" s="81"/>
      <c r="BV507" s="9"/>
      <c r="BY507" s="81"/>
      <c r="BZ507" s="81"/>
      <c r="CB507" s="9"/>
      <c r="CE507" s="81"/>
      <c r="CF507" s="81"/>
      <c r="CH507" s="9"/>
      <c r="CK507" s="81"/>
      <c r="CL507" s="81"/>
      <c r="CR507" s="9"/>
      <c r="CS507" s="9"/>
      <c r="CT507" s="9"/>
      <c r="CU507" s="9"/>
      <c r="CV507" s="9"/>
      <c r="CW507" s="129"/>
      <c r="CX507" s="9"/>
    </row>
    <row r="508" spans="1:102">
      <c r="A508" s="6" t="str">
        <f t="shared" si="71"/>
        <v>01000998</v>
      </c>
      <c r="B508" s="6" t="s">
        <v>1750</v>
      </c>
      <c r="C508" s="6" t="s">
        <v>2091</v>
      </c>
      <c r="D508" s="6">
        <v>499</v>
      </c>
      <c r="E508" s="6">
        <v>100</v>
      </c>
      <c r="F508" s="6" t="s">
        <v>1547</v>
      </c>
      <c r="G508" s="6">
        <v>998</v>
      </c>
      <c r="H508" s="6" t="s">
        <v>1547</v>
      </c>
      <c r="I508" s="33">
        <v>0</v>
      </c>
      <c r="J508" s="88">
        <v>0</v>
      </c>
      <c r="K508" s="89">
        <f t="shared" si="80"/>
        <v>0</v>
      </c>
      <c r="L508" s="88">
        <f>IF(K509&gt;0, K508/K509, 0)</f>
        <v>0</v>
      </c>
      <c r="M508" s="58"/>
      <c r="N508" s="9">
        <f>ROUND(M509*L508,0)</f>
        <v>0</v>
      </c>
      <c r="O508" s="9">
        <v>0</v>
      </c>
      <c r="P508" s="9">
        <f>N508-O508</f>
        <v>0</v>
      </c>
      <c r="Q508" s="40">
        <f t="shared" si="79"/>
        <v>0</v>
      </c>
      <c r="R508" s="9">
        <v>0</v>
      </c>
      <c r="S508" s="9">
        <f t="shared" si="77"/>
        <v>0</v>
      </c>
      <c r="T508" s="90">
        <f t="shared" si="72"/>
        <v>100</v>
      </c>
      <c r="U508" s="90">
        <f t="shared" si="73"/>
        <v>998</v>
      </c>
      <c r="V508" s="373">
        <f t="shared" si="74"/>
        <v>499</v>
      </c>
      <c r="W508" s="90">
        <f t="shared" si="75"/>
        <v>0</v>
      </c>
      <c r="X508" s="90">
        <f t="shared" si="76"/>
        <v>0</v>
      </c>
      <c r="Y508" s="141">
        <f t="shared" si="78"/>
        <v>499</v>
      </c>
      <c r="Z508" s="298">
        <v>100</v>
      </c>
      <c r="AA508" s="299">
        <v>998</v>
      </c>
      <c r="AB508" s="299">
        <v>499</v>
      </c>
      <c r="AC508" s="301">
        <v>0</v>
      </c>
      <c r="AD508" s="301">
        <v>0</v>
      </c>
      <c r="AE508" s="126"/>
      <c r="AF508" s="298"/>
      <c r="AG508" s="299"/>
      <c r="AH508" s="299"/>
      <c r="AI508" s="301"/>
      <c r="AJ508" s="301"/>
      <c r="AK508" s="426"/>
      <c r="AL508" s="298"/>
      <c r="AM508" s="299"/>
      <c r="AN508" s="299"/>
      <c r="AO508" s="301"/>
      <c r="AP508" s="301"/>
      <c r="AQ508" s="426"/>
      <c r="AR508" s="298"/>
      <c r="AS508" s="299"/>
      <c r="AT508" s="299"/>
      <c r="AU508" s="301"/>
      <c r="AV508" s="301"/>
      <c r="AW508" s="88"/>
      <c r="AX508" s="298"/>
      <c r="AY508" s="299"/>
      <c r="AZ508" s="299"/>
      <c r="BA508" s="301"/>
      <c r="BB508" s="301"/>
      <c r="BC508" s="426"/>
      <c r="BD508" s="298"/>
      <c r="BE508" s="299"/>
      <c r="BF508" s="299"/>
      <c r="BG508" s="301"/>
      <c r="BH508" s="301"/>
      <c r="BI508" s="88"/>
      <c r="BJ508" s="298"/>
      <c r="BK508" s="299"/>
      <c r="BL508" s="299"/>
      <c r="BM508" s="301"/>
      <c r="BN508" s="301"/>
      <c r="BO508" s="88"/>
      <c r="BP508" s="9"/>
      <c r="BS508" s="81"/>
      <c r="BT508" s="81"/>
      <c r="BV508" s="9"/>
      <c r="BY508" s="81"/>
      <c r="BZ508" s="81"/>
      <c r="CB508" s="9"/>
      <c r="CE508" s="81"/>
      <c r="CF508" s="81"/>
      <c r="CH508" s="9"/>
      <c r="CK508" s="81"/>
      <c r="CL508" s="81"/>
      <c r="CR508" s="9"/>
      <c r="CS508" s="9"/>
      <c r="CT508" s="9"/>
      <c r="CU508" s="9"/>
      <c r="CV508" s="9"/>
      <c r="CW508" s="129"/>
      <c r="CX508" s="9"/>
    </row>
    <row r="509" spans="1:102">
      <c r="A509" s="6" t="str">
        <f t="shared" si="71"/>
        <v>01000999</v>
      </c>
      <c r="B509" s="6" t="s">
        <v>1750</v>
      </c>
      <c r="C509" s="6" t="s">
        <v>2092</v>
      </c>
      <c r="D509" s="6">
        <v>500</v>
      </c>
      <c r="E509" s="10">
        <v>100</v>
      </c>
      <c r="F509" s="10" t="s">
        <v>1219</v>
      </c>
      <c r="G509" s="10">
        <v>999</v>
      </c>
      <c r="H509" s="10" t="s">
        <v>593</v>
      </c>
      <c r="I509" s="92">
        <v>173974068.05119389</v>
      </c>
      <c r="J509" s="472">
        <v>1</v>
      </c>
      <c r="K509" s="53">
        <f>SUM(K505:K508)</f>
        <v>179028186.64009032</v>
      </c>
      <c r="L509" s="91">
        <f>SUM(L505:L508)</f>
        <v>1</v>
      </c>
      <c r="M509" s="79">
        <f>VLOOKUP(E509,town351,24)</f>
        <v>85139758</v>
      </c>
      <c r="N509" s="79">
        <f>SUM(N505:N508)</f>
        <v>85139758</v>
      </c>
      <c r="O509" s="79">
        <v>81178259</v>
      </c>
      <c r="P509" s="79">
        <f>SUM(P505:P508)</f>
        <v>3961499</v>
      </c>
      <c r="Q509" s="39">
        <f t="shared" si="79"/>
        <v>4.8799999517112091</v>
      </c>
      <c r="R509" s="9">
        <v>10399.28400954391</v>
      </c>
      <c r="S509" s="9">
        <f t="shared" si="77"/>
        <v>10157.19630485147</v>
      </c>
      <c r="T509" s="90">
        <f t="shared" si="72"/>
        <v>100</v>
      </c>
      <c r="U509" s="90">
        <f t="shared" si="73"/>
        <v>999</v>
      </c>
      <c r="V509" s="373">
        <f t="shared" si="74"/>
        <v>500</v>
      </c>
      <c r="W509" s="90">
        <f t="shared" si="75"/>
        <v>10157.19630485147</v>
      </c>
      <c r="X509" s="90">
        <f t="shared" si="76"/>
        <v>179028186.64009032</v>
      </c>
      <c r="Y509" s="141">
        <f t="shared" si="78"/>
        <v>500</v>
      </c>
      <c r="Z509" s="298">
        <v>100</v>
      </c>
      <c r="AA509" s="299">
        <v>999</v>
      </c>
      <c r="AB509" s="299">
        <v>500</v>
      </c>
      <c r="AC509" s="301">
        <v>10157.19630485147</v>
      </c>
      <c r="AD509" s="301">
        <v>179028186.64009032</v>
      </c>
      <c r="AE509" s="126"/>
      <c r="AF509" s="298"/>
      <c r="AG509" s="299"/>
      <c r="AH509" s="299"/>
      <c r="AI509" s="301"/>
      <c r="AJ509" s="301"/>
      <c r="AK509" s="426"/>
      <c r="AL509" s="298"/>
      <c r="AM509" s="299"/>
      <c r="AN509" s="299"/>
      <c r="AO509" s="301"/>
      <c r="AP509" s="301"/>
      <c r="AQ509" s="426"/>
      <c r="AR509" s="298"/>
      <c r="AS509" s="299"/>
      <c r="AT509" s="299"/>
      <c r="AU509" s="301"/>
      <c r="AV509" s="301"/>
      <c r="AW509" s="91"/>
      <c r="AX509" s="298"/>
      <c r="AY509" s="299"/>
      <c r="AZ509" s="299"/>
      <c r="BA509" s="301"/>
      <c r="BB509" s="301"/>
      <c r="BC509" s="426"/>
      <c r="BD509" s="298"/>
      <c r="BE509" s="299"/>
      <c r="BF509" s="299"/>
      <c r="BG509" s="301"/>
      <c r="BH509" s="301"/>
      <c r="BI509" s="91"/>
      <c r="BJ509" s="298"/>
      <c r="BK509" s="299"/>
      <c r="BL509" s="299"/>
      <c r="BM509" s="301"/>
      <c r="BN509" s="301"/>
      <c r="BO509" s="91"/>
      <c r="BP509" s="9"/>
      <c r="BS509" s="81"/>
      <c r="BT509" s="81"/>
      <c r="BV509" s="9"/>
      <c r="BY509" s="81"/>
      <c r="BZ509" s="81"/>
      <c r="CB509" s="9"/>
      <c r="CE509" s="81"/>
      <c r="CF509" s="81"/>
      <c r="CH509" s="9"/>
      <c r="CK509" s="81"/>
      <c r="CL509" s="81"/>
      <c r="CR509" s="9"/>
      <c r="CS509" s="9"/>
      <c r="CT509" s="9"/>
      <c r="CU509" s="9"/>
      <c r="CV509" s="9"/>
      <c r="CW509" s="129"/>
      <c r="CX509" s="9"/>
    </row>
    <row r="510" spans="1:102">
      <c r="A510" s="6" t="str">
        <f t="shared" si="71"/>
        <v>01010101</v>
      </c>
      <c r="B510" s="6" t="s">
        <v>1751</v>
      </c>
      <c r="C510" s="6" t="s">
        <v>1751</v>
      </c>
      <c r="D510" s="6">
        <v>501</v>
      </c>
      <c r="E510" s="6">
        <v>101</v>
      </c>
      <c r="F510" s="6" t="s">
        <v>1220</v>
      </c>
      <c r="G510" s="6">
        <v>101</v>
      </c>
      <c r="H510" s="6" t="s">
        <v>782</v>
      </c>
      <c r="I510" s="33">
        <v>65275976.234380007</v>
      </c>
      <c r="J510" s="88">
        <v>0.94625658674600399</v>
      </c>
      <c r="K510" s="89">
        <f>X510</f>
        <v>66584573.909320004</v>
      </c>
      <c r="L510" s="88">
        <f>IF(K514&gt;0, K510/K514, 0)</f>
        <v>0.94402587897811974</v>
      </c>
      <c r="M510" s="58"/>
      <c r="N510" s="9">
        <f>ROUND(M514*L510,0)</f>
        <v>49904466</v>
      </c>
      <c r="O510" s="9">
        <v>47235495</v>
      </c>
      <c r="P510" s="9">
        <f>N510-O510</f>
        <v>2668971</v>
      </c>
      <c r="Q510" s="40">
        <f t="shared" si="79"/>
        <v>5.6503504409131313</v>
      </c>
      <c r="R510" s="9">
        <v>5104</v>
      </c>
      <c r="S510" s="9">
        <f t="shared" si="77"/>
        <v>5058</v>
      </c>
      <c r="T510" s="90">
        <f t="shared" si="72"/>
        <v>101</v>
      </c>
      <c r="U510" s="90">
        <f t="shared" si="73"/>
        <v>101</v>
      </c>
      <c r="V510" s="373">
        <f t="shared" si="74"/>
        <v>501</v>
      </c>
      <c r="W510" s="90">
        <f t="shared" si="75"/>
        <v>5058</v>
      </c>
      <c r="X510" s="90">
        <f t="shared" si="76"/>
        <v>66584573.909320004</v>
      </c>
      <c r="Y510" s="141">
        <f t="shared" si="78"/>
        <v>501</v>
      </c>
      <c r="Z510" s="298">
        <v>101</v>
      </c>
      <c r="AA510" s="299">
        <v>101</v>
      </c>
      <c r="AB510" s="299">
        <v>501</v>
      </c>
      <c r="AC510" s="301">
        <v>5058</v>
      </c>
      <c r="AD510" s="301">
        <v>66584573.909320004</v>
      </c>
      <c r="AE510" s="126"/>
      <c r="AF510" s="298"/>
      <c r="AG510" s="299"/>
      <c r="AH510" s="299"/>
      <c r="AI510" s="301"/>
      <c r="AJ510" s="301"/>
      <c r="AK510" s="426"/>
      <c r="AL510" s="298"/>
      <c r="AM510" s="299"/>
      <c r="AN510" s="299"/>
      <c r="AO510" s="301"/>
      <c r="AP510" s="301"/>
      <c r="AQ510" s="426"/>
      <c r="AR510" s="298"/>
      <c r="AS510" s="299"/>
      <c r="AT510" s="299"/>
      <c r="AU510" s="301"/>
      <c r="AV510" s="301"/>
      <c r="AW510" s="88"/>
      <c r="AX510" s="298"/>
      <c r="AY510" s="299"/>
      <c r="AZ510" s="299"/>
      <c r="BA510" s="301"/>
      <c r="BB510" s="301"/>
      <c r="BC510" s="426"/>
      <c r="BD510" s="298"/>
      <c r="BE510" s="299"/>
      <c r="BF510" s="299"/>
      <c r="BG510" s="301"/>
      <c r="BH510" s="301"/>
      <c r="BI510" s="88"/>
      <c r="BJ510" s="298"/>
      <c r="BK510" s="299"/>
      <c r="BL510" s="299"/>
      <c r="BM510" s="301"/>
      <c r="BN510" s="301"/>
      <c r="BO510" s="88"/>
      <c r="BP510" s="9"/>
      <c r="BS510" s="81"/>
      <c r="BT510" s="81"/>
      <c r="BV510" s="9"/>
      <c r="BY510" s="81"/>
      <c r="BZ510" s="81"/>
      <c r="CB510" s="9"/>
      <c r="CE510" s="81"/>
      <c r="CF510" s="81"/>
      <c r="CH510" s="9"/>
      <c r="CK510" s="81"/>
      <c r="CL510" s="81"/>
      <c r="CR510" s="9"/>
      <c r="CS510" s="9"/>
      <c r="CT510" s="9"/>
      <c r="CU510" s="9"/>
      <c r="CV510" s="9"/>
      <c r="CW510" s="129"/>
      <c r="CX510" s="9"/>
    </row>
    <row r="511" spans="1:102">
      <c r="A511" s="6" t="str">
        <f t="shared" si="71"/>
        <v>01010878</v>
      </c>
      <c r="B511" s="6" t="s">
        <v>1751</v>
      </c>
      <c r="C511" s="6" t="s">
        <v>2085</v>
      </c>
      <c r="D511" s="6">
        <v>502</v>
      </c>
      <c r="E511" s="6">
        <v>101</v>
      </c>
      <c r="F511" s="6" t="s">
        <v>1220</v>
      </c>
      <c r="G511" s="6">
        <v>878</v>
      </c>
      <c r="H511" s="6" t="s">
        <v>1115</v>
      </c>
      <c r="I511" s="33">
        <v>3362975.2884270456</v>
      </c>
      <c r="J511" s="88">
        <v>4.8750515906678872E-2</v>
      </c>
      <c r="K511" s="89">
        <f t="shared" si="80"/>
        <v>3617639.1802543737</v>
      </c>
      <c r="L511" s="88">
        <f>IF(K514&gt;0, K511/K514, 0)</f>
        <v>5.1290333578109651E-2</v>
      </c>
      <c r="M511" s="58"/>
      <c r="N511" s="9">
        <f>ROUND(M514*L511,0)</f>
        <v>2711384</v>
      </c>
      <c r="O511" s="9">
        <v>2433542</v>
      </c>
      <c r="P511" s="9">
        <f>N511-O511</f>
        <v>277842</v>
      </c>
      <c r="Q511" s="40">
        <f t="shared" si="79"/>
        <v>11.417185320820433</v>
      </c>
      <c r="R511" s="9">
        <v>164.00000000120002</v>
      </c>
      <c r="S511" s="9">
        <f t="shared" si="77"/>
        <v>172.99999999913999</v>
      </c>
      <c r="T511" s="90">
        <f t="shared" si="72"/>
        <v>101</v>
      </c>
      <c r="U511" s="90">
        <f t="shared" si="73"/>
        <v>878</v>
      </c>
      <c r="V511" s="373">
        <f t="shared" si="74"/>
        <v>502</v>
      </c>
      <c r="W511" s="90">
        <f t="shared" si="75"/>
        <v>172.99999999913999</v>
      </c>
      <c r="X511" s="90">
        <f t="shared" si="76"/>
        <v>3617639.1802543737</v>
      </c>
      <c r="Y511" s="141">
        <f t="shared" si="78"/>
        <v>502</v>
      </c>
      <c r="Z511" s="298">
        <v>101</v>
      </c>
      <c r="AA511" s="299">
        <v>878</v>
      </c>
      <c r="AB511" s="299">
        <v>502</v>
      </c>
      <c r="AC511" s="301">
        <v>172.99999999913999</v>
      </c>
      <c r="AD511" s="301">
        <v>3617639.1802543737</v>
      </c>
      <c r="AE511" s="126"/>
      <c r="AF511" s="298"/>
      <c r="AG511" s="299"/>
      <c r="AH511" s="299"/>
      <c r="AI511" s="301"/>
      <c r="AJ511" s="301"/>
      <c r="AK511" s="426"/>
      <c r="AL511" s="298"/>
      <c r="AM511" s="299"/>
      <c r="AN511" s="299"/>
      <c r="AO511" s="301"/>
      <c r="AP511" s="301"/>
      <c r="AQ511" s="426"/>
      <c r="AR511" s="298"/>
      <c r="AS511" s="299"/>
      <c r="AT511" s="299"/>
      <c r="AU511" s="301"/>
      <c r="AV511" s="301"/>
      <c r="AW511" s="88"/>
      <c r="AX511" s="298"/>
      <c r="AY511" s="299"/>
      <c r="AZ511" s="299"/>
      <c r="BA511" s="301"/>
      <c r="BB511" s="301"/>
      <c r="BC511" s="426"/>
      <c r="BD511" s="298"/>
      <c r="BE511" s="299"/>
      <c r="BF511" s="299"/>
      <c r="BG511" s="301"/>
      <c r="BH511" s="301"/>
      <c r="BI511" s="88"/>
      <c r="BJ511" s="298"/>
      <c r="BK511" s="299"/>
      <c r="BL511" s="299"/>
      <c r="BM511" s="301"/>
      <c r="BN511" s="301"/>
      <c r="BO511" s="88"/>
      <c r="BP511" s="9"/>
      <c r="BS511" s="81"/>
      <c r="BT511" s="81"/>
      <c r="BV511" s="9"/>
      <c r="BY511" s="81"/>
      <c r="BZ511" s="81"/>
      <c r="CB511" s="9"/>
      <c r="CE511" s="81"/>
      <c r="CF511" s="81"/>
      <c r="CH511" s="9"/>
      <c r="CK511" s="81"/>
      <c r="CL511" s="81"/>
      <c r="CR511" s="9"/>
      <c r="CS511" s="9"/>
      <c r="CT511" s="9"/>
      <c r="CU511" s="9"/>
      <c r="CV511" s="9"/>
      <c r="CW511" s="129"/>
      <c r="CX511" s="9"/>
    </row>
    <row r="512" spans="1:102">
      <c r="A512" s="6" t="str">
        <f t="shared" si="71"/>
        <v>01010915</v>
      </c>
      <c r="B512" s="6" t="s">
        <v>1751</v>
      </c>
      <c r="C512" s="6" t="s">
        <v>2089</v>
      </c>
      <c r="D512" s="6">
        <v>503</v>
      </c>
      <c r="E512" s="6">
        <v>101</v>
      </c>
      <c r="F512" s="6" t="s">
        <v>1220</v>
      </c>
      <c r="G512" s="6">
        <v>915</v>
      </c>
      <c r="H512" s="6" t="s">
        <v>1119</v>
      </c>
      <c r="I512" s="33">
        <v>344426.92727237713</v>
      </c>
      <c r="J512" s="88">
        <v>4.9928973473171573E-3</v>
      </c>
      <c r="K512" s="89">
        <f t="shared" si="80"/>
        <v>330359.57823834149</v>
      </c>
      <c r="L512" s="88">
        <f>IF(K514&gt;0, K512/K514, 0)</f>
        <v>4.6837874437706409E-3</v>
      </c>
      <c r="M512" s="58"/>
      <c r="N512" s="9">
        <f>ROUND(M514*L512,0)</f>
        <v>247601</v>
      </c>
      <c r="O512" s="9">
        <v>249237</v>
      </c>
      <c r="P512" s="9">
        <f>N512-O512</f>
        <v>-1636</v>
      </c>
      <c r="Q512" s="40">
        <f t="shared" si="79"/>
        <v>-0.65640334300284464</v>
      </c>
      <c r="R512" s="9">
        <v>16.00000000016</v>
      </c>
      <c r="S512" s="9">
        <f t="shared" si="77"/>
        <v>15.00000000056</v>
      </c>
      <c r="T512" s="90">
        <f t="shared" si="72"/>
        <v>101</v>
      </c>
      <c r="U512" s="90">
        <f t="shared" si="73"/>
        <v>915</v>
      </c>
      <c r="V512" s="373">
        <f t="shared" si="74"/>
        <v>503</v>
      </c>
      <c r="W512" s="90">
        <f t="shared" si="75"/>
        <v>15.00000000056</v>
      </c>
      <c r="X512" s="90">
        <f t="shared" si="76"/>
        <v>330359.57823834149</v>
      </c>
      <c r="Y512" s="141">
        <f t="shared" si="78"/>
        <v>503</v>
      </c>
      <c r="Z512" s="298">
        <v>101</v>
      </c>
      <c r="AA512" s="299">
        <v>915</v>
      </c>
      <c r="AB512" s="299">
        <v>503</v>
      </c>
      <c r="AC512" s="301">
        <v>15.00000000056</v>
      </c>
      <c r="AD512" s="301">
        <v>330359.57823834149</v>
      </c>
      <c r="AE512" s="126"/>
      <c r="AF512" s="298"/>
      <c r="AG512" s="299"/>
      <c r="AH512" s="299"/>
      <c r="AI512" s="301"/>
      <c r="AJ512" s="301"/>
      <c r="AK512" s="426"/>
      <c r="AL512" s="298"/>
      <c r="AM512" s="299"/>
      <c r="AN512" s="299"/>
      <c r="AO512" s="301"/>
      <c r="AP512" s="301"/>
      <c r="AQ512" s="426"/>
      <c r="AR512" s="298"/>
      <c r="AS512" s="299"/>
      <c r="AT512" s="299"/>
      <c r="AU512" s="301"/>
      <c r="AV512" s="301"/>
      <c r="AW512" s="88"/>
      <c r="AX512" s="298"/>
      <c r="AY512" s="299"/>
      <c r="AZ512" s="299"/>
      <c r="BA512" s="301"/>
      <c r="BB512" s="301"/>
      <c r="BC512" s="426"/>
      <c r="BD512" s="298"/>
      <c r="BE512" s="299"/>
      <c r="BF512" s="299"/>
      <c r="BG512" s="301"/>
      <c r="BH512" s="301"/>
      <c r="BI512" s="88"/>
      <c r="BJ512" s="298"/>
      <c r="BK512" s="299"/>
      <c r="BL512" s="299"/>
      <c r="BM512" s="301"/>
      <c r="BN512" s="301"/>
      <c r="BO512" s="88"/>
      <c r="BP512" s="9"/>
      <c r="BS512" s="81"/>
      <c r="BT512" s="81"/>
      <c r="BV512" s="9"/>
      <c r="BY512" s="81"/>
      <c r="BZ512" s="81"/>
      <c r="CB512" s="9"/>
      <c r="CE512" s="81"/>
      <c r="CF512" s="81"/>
      <c r="CH512" s="9"/>
      <c r="CK512" s="81"/>
      <c r="CL512" s="81"/>
      <c r="CR512" s="9"/>
      <c r="CS512" s="9"/>
      <c r="CT512" s="9"/>
      <c r="CU512" s="9"/>
      <c r="CV512" s="9"/>
      <c r="CW512" s="129"/>
      <c r="CX512" s="9"/>
    </row>
    <row r="513" spans="1:102">
      <c r="A513" s="6" t="str">
        <f t="shared" si="71"/>
        <v>01010998</v>
      </c>
      <c r="B513" s="6" t="s">
        <v>1751</v>
      </c>
      <c r="C513" s="6" t="s">
        <v>2091</v>
      </c>
      <c r="D513" s="6">
        <v>504</v>
      </c>
      <c r="E513" s="6">
        <v>101</v>
      </c>
      <c r="F513" s="6" t="s">
        <v>1547</v>
      </c>
      <c r="G513" s="6">
        <v>998</v>
      </c>
      <c r="H513" s="6" t="s">
        <v>1547</v>
      </c>
      <c r="I513" s="33">
        <v>0</v>
      </c>
      <c r="J513" s="88">
        <v>0</v>
      </c>
      <c r="K513" s="89">
        <f t="shared" si="80"/>
        <v>0</v>
      </c>
      <c r="L513" s="88">
        <f>IF(K514&gt;0, K513/K514, 0)</f>
        <v>0</v>
      </c>
      <c r="M513" s="58"/>
      <c r="N513" s="9">
        <f>ROUND(M514*L513,0)</f>
        <v>0</v>
      </c>
      <c r="O513" s="9">
        <v>0</v>
      </c>
      <c r="P513" s="9">
        <f>N513-O513</f>
        <v>0</v>
      </c>
      <c r="Q513" s="40">
        <f t="shared" si="79"/>
        <v>0</v>
      </c>
      <c r="R513" s="9">
        <v>0</v>
      </c>
      <c r="S513" s="9">
        <f t="shared" si="77"/>
        <v>0</v>
      </c>
      <c r="T513" s="90">
        <f t="shared" si="72"/>
        <v>101</v>
      </c>
      <c r="U513" s="90">
        <f t="shared" si="73"/>
        <v>998</v>
      </c>
      <c r="V513" s="373">
        <f t="shared" si="74"/>
        <v>504</v>
      </c>
      <c r="W513" s="90">
        <f t="shared" si="75"/>
        <v>0</v>
      </c>
      <c r="X513" s="90">
        <f t="shared" si="76"/>
        <v>0</v>
      </c>
      <c r="Y513" s="141">
        <f t="shared" si="78"/>
        <v>504</v>
      </c>
      <c r="Z513" s="298">
        <v>101</v>
      </c>
      <c r="AA513" s="299">
        <v>998</v>
      </c>
      <c r="AB513" s="299">
        <v>504</v>
      </c>
      <c r="AC513" s="301">
        <v>0</v>
      </c>
      <c r="AD513" s="301">
        <v>0</v>
      </c>
      <c r="AE513" s="126"/>
      <c r="AF513" s="298"/>
      <c r="AG513" s="299"/>
      <c r="AH513" s="299"/>
      <c r="AI513" s="301"/>
      <c r="AJ513" s="301"/>
      <c r="AK513" s="426"/>
      <c r="AL513" s="298"/>
      <c r="AM513" s="299"/>
      <c r="AN513" s="299"/>
      <c r="AO513" s="301"/>
      <c r="AP513" s="301"/>
      <c r="AQ513" s="426"/>
      <c r="AR513" s="298"/>
      <c r="AS513" s="299"/>
      <c r="AT513" s="299"/>
      <c r="AU513" s="301"/>
      <c r="AV513" s="301"/>
      <c r="AW513" s="88"/>
      <c r="AX513" s="298"/>
      <c r="AY513" s="299"/>
      <c r="AZ513" s="299"/>
      <c r="BA513" s="301"/>
      <c r="BB513" s="301"/>
      <c r="BC513" s="426"/>
      <c r="BD513" s="298"/>
      <c r="BE513" s="299"/>
      <c r="BF513" s="299"/>
      <c r="BG513" s="301"/>
      <c r="BH513" s="301"/>
      <c r="BI513" s="88"/>
      <c r="BJ513" s="298"/>
      <c r="BK513" s="299"/>
      <c r="BL513" s="299"/>
      <c r="BM513" s="301"/>
      <c r="BN513" s="301"/>
      <c r="BO513" s="88"/>
      <c r="BP513" s="9"/>
      <c r="BS513" s="81"/>
      <c r="BT513" s="81"/>
      <c r="BV513" s="9"/>
      <c r="BY513" s="81"/>
      <c r="BZ513" s="81"/>
      <c r="CB513" s="9"/>
      <c r="CE513" s="81"/>
      <c r="CF513" s="81"/>
      <c r="CH513" s="9"/>
      <c r="CK513" s="81"/>
      <c r="CL513" s="81"/>
      <c r="CR513" s="9"/>
      <c r="CS513" s="9"/>
      <c r="CT513" s="9"/>
      <c r="CU513" s="9"/>
      <c r="CV513" s="9"/>
      <c r="CW513" s="129"/>
      <c r="CX513" s="9"/>
    </row>
    <row r="514" spans="1:102">
      <c r="A514" s="6" t="str">
        <f t="shared" si="71"/>
        <v>01010999</v>
      </c>
      <c r="B514" s="6" t="s">
        <v>1751</v>
      </c>
      <c r="C514" s="6" t="s">
        <v>2092</v>
      </c>
      <c r="D514" s="6">
        <v>505</v>
      </c>
      <c r="E514" s="10">
        <v>101</v>
      </c>
      <c r="F514" s="10" t="s">
        <v>1220</v>
      </c>
      <c r="G514" s="10">
        <v>999</v>
      </c>
      <c r="H514" s="10" t="s">
        <v>593</v>
      </c>
      <c r="I514" s="92">
        <v>68983378.450079426</v>
      </c>
      <c r="J514" s="472">
        <v>1</v>
      </c>
      <c r="K514" s="53">
        <f>SUM(K510:K513)</f>
        <v>70532572.66781272</v>
      </c>
      <c r="L514" s="91">
        <f>SUM(L510:L513)</f>
        <v>1</v>
      </c>
      <c r="M514" s="79">
        <f>VLOOKUP(E514,town351,24)</f>
        <v>52863451</v>
      </c>
      <c r="N514" s="79">
        <f>SUM(N510:N513)</f>
        <v>52863451</v>
      </c>
      <c r="O514" s="79">
        <v>49918274</v>
      </c>
      <c r="P514" s="79">
        <f>SUM(P510:P513)</f>
        <v>2945177</v>
      </c>
      <c r="Q514" s="39">
        <f t="shared" si="79"/>
        <v>5.8999976641820586</v>
      </c>
      <c r="R514" s="9">
        <v>5284.0000000013597</v>
      </c>
      <c r="S514" s="9">
        <f t="shared" si="77"/>
        <v>5245.9999999996999</v>
      </c>
      <c r="T514" s="90">
        <f t="shared" si="72"/>
        <v>101</v>
      </c>
      <c r="U514" s="90">
        <f t="shared" si="73"/>
        <v>999</v>
      </c>
      <c r="V514" s="373">
        <f t="shared" si="74"/>
        <v>505</v>
      </c>
      <c r="W514" s="90">
        <f t="shared" si="75"/>
        <v>5245.9999999996999</v>
      </c>
      <c r="X514" s="90">
        <f t="shared" si="76"/>
        <v>70532572.66781272</v>
      </c>
      <c r="Y514" s="141">
        <f t="shared" si="78"/>
        <v>505</v>
      </c>
      <c r="Z514" s="298">
        <v>101</v>
      </c>
      <c r="AA514" s="299">
        <v>999</v>
      </c>
      <c r="AB514" s="299">
        <v>505</v>
      </c>
      <c r="AC514" s="301">
        <v>5245.9999999996999</v>
      </c>
      <c r="AD514" s="301">
        <v>70532572.66781272</v>
      </c>
      <c r="AE514" s="126"/>
      <c r="AF514" s="298"/>
      <c r="AG514" s="299"/>
      <c r="AH514" s="299"/>
      <c r="AI514" s="301"/>
      <c r="AJ514" s="301"/>
      <c r="AK514" s="426"/>
      <c r="AL514" s="298"/>
      <c r="AM514" s="299"/>
      <c r="AN514" s="299"/>
      <c r="AO514" s="301"/>
      <c r="AP514" s="301"/>
      <c r="AQ514" s="426"/>
      <c r="AR514" s="298"/>
      <c r="AS514" s="299"/>
      <c r="AT514" s="299"/>
      <c r="AU514" s="301"/>
      <c r="AV514" s="301"/>
      <c r="AW514" s="91"/>
      <c r="AX514" s="298"/>
      <c r="AY514" s="299"/>
      <c r="AZ514" s="299"/>
      <c r="BA514" s="301"/>
      <c r="BB514" s="301"/>
      <c r="BC514" s="426"/>
      <c r="BD514" s="298"/>
      <c r="BE514" s="299"/>
      <c r="BF514" s="299"/>
      <c r="BG514" s="301"/>
      <c r="BH514" s="301"/>
      <c r="BI514" s="91"/>
      <c r="BJ514" s="298"/>
      <c r="BK514" s="299"/>
      <c r="BL514" s="299"/>
      <c r="BM514" s="301"/>
      <c r="BN514" s="301"/>
      <c r="BO514" s="91"/>
      <c r="BP514" s="9"/>
      <c r="BS514" s="81"/>
      <c r="BT514" s="81"/>
      <c r="BV514" s="9"/>
      <c r="BY514" s="81"/>
      <c r="BZ514" s="81"/>
      <c r="CB514" s="9"/>
      <c r="CE514" s="81"/>
      <c r="CF514" s="81"/>
      <c r="CH514" s="9"/>
      <c r="CK514" s="81"/>
      <c r="CL514" s="81"/>
      <c r="CR514" s="9"/>
      <c r="CS514" s="9"/>
      <c r="CT514" s="9"/>
      <c r="CU514" s="9"/>
      <c r="CV514" s="9"/>
      <c r="CW514" s="129"/>
      <c r="CX514" s="9"/>
    </row>
    <row r="515" spans="1:102">
      <c r="A515" s="6" t="str">
        <f t="shared" si="71"/>
        <v>01020102</v>
      </c>
      <c r="B515" s="6" t="s">
        <v>1752</v>
      </c>
      <c r="C515" s="6" t="s">
        <v>1752</v>
      </c>
      <c r="D515" s="6">
        <v>506</v>
      </c>
      <c r="E515" s="6">
        <v>102</v>
      </c>
      <c r="F515" s="6" t="s">
        <v>1221</v>
      </c>
      <c r="G515" s="6">
        <v>102</v>
      </c>
      <c r="H515" s="6" t="s">
        <v>783</v>
      </c>
      <c r="I515" s="33">
        <v>966323.64</v>
      </c>
      <c r="J515" s="88">
        <v>5.8024526046887966E-2</v>
      </c>
      <c r="K515" s="89">
        <f>X515</f>
        <v>16860.330000000002</v>
      </c>
      <c r="L515" s="88">
        <f>IF(K519&gt;0, K515/K519, 0)</f>
        <v>1.0086210788234522E-3</v>
      </c>
      <c r="M515" s="58"/>
      <c r="N515" s="9">
        <f>ROUND(M519*L515,0)</f>
        <v>12290</v>
      </c>
      <c r="O515" s="9">
        <v>674176</v>
      </c>
      <c r="P515" s="9">
        <f>N515-O515</f>
        <v>-661886</v>
      </c>
      <c r="Q515" s="40">
        <f t="shared" si="79"/>
        <v>-98.177033890260105</v>
      </c>
      <c r="R515" s="9">
        <v>53</v>
      </c>
      <c r="S515" s="9">
        <f t="shared" si="77"/>
        <v>1</v>
      </c>
      <c r="T515" s="90">
        <f t="shared" si="72"/>
        <v>102</v>
      </c>
      <c r="U515" s="90">
        <f t="shared" si="73"/>
        <v>102</v>
      </c>
      <c r="V515" s="373">
        <f t="shared" si="74"/>
        <v>506</v>
      </c>
      <c r="W515" s="90">
        <f t="shared" si="75"/>
        <v>1</v>
      </c>
      <c r="X515" s="90">
        <f t="shared" si="76"/>
        <v>16860.330000000002</v>
      </c>
      <c r="Y515" s="141">
        <f t="shared" si="78"/>
        <v>506</v>
      </c>
      <c r="Z515" s="298">
        <v>102</v>
      </c>
      <c r="AA515" s="299">
        <v>102</v>
      </c>
      <c r="AB515" s="299">
        <v>506</v>
      </c>
      <c r="AC515" s="301">
        <v>1</v>
      </c>
      <c r="AD515" s="301">
        <v>16860.330000000002</v>
      </c>
      <c r="AE515" s="126"/>
      <c r="AF515" s="298"/>
      <c r="AG515" s="299"/>
      <c r="AH515" s="299"/>
      <c r="AI515" s="301"/>
      <c r="AJ515" s="301"/>
      <c r="AK515" s="426"/>
      <c r="AL515" s="298"/>
      <c r="AM515" s="299"/>
      <c r="AN515" s="299"/>
      <c r="AO515" s="301"/>
      <c r="AP515" s="301"/>
      <c r="AQ515" s="426"/>
      <c r="AR515" s="298"/>
      <c r="AS515" s="299"/>
      <c r="AT515" s="299"/>
      <c r="AU515" s="301"/>
      <c r="AV515" s="301"/>
      <c r="AW515" s="88"/>
      <c r="AX515" s="298"/>
      <c r="AY515" s="299"/>
      <c r="AZ515" s="299"/>
      <c r="BA515" s="301"/>
      <c r="BB515" s="301"/>
      <c r="BC515" s="426"/>
      <c r="BD515" s="298"/>
      <c r="BE515" s="299"/>
      <c r="BF515" s="299"/>
      <c r="BG515" s="301"/>
      <c r="BH515" s="301"/>
      <c r="BI515" s="88"/>
      <c r="BJ515" s="298"/>
      <c r="BK515" s="299"/>
      <c r="BL515" s="299"/>
      <c r="BM515" s="301"/>
      <c r="BN515" s="301"/>
      <c r="BO515" s="88"/>
      <c r="BP515" s="9"/>
      <c r="BS515" s="81"/>
      <c r="BT515" s="81"/>
      <c r="BV515" s="9"/>
      <c r="BY515" s="81"/>
      <c r="BZ515" s="81"/>
      <c r="CB515" s="9"/>
      <c r="CE515" s="81"/>
      <c r="CF515" s="81"/>
      <c r="CH515" s="9"/>
      <c r="CK515" s="81"/>
      <c r="CL515" s="81"/>
      <c r="CR515" s="9"/>
      <c r="CS515" s="9"/>
      <c r="CT515" s="9"/>
      <c r="CU515" s="9"/>
      <c r="CV515" s="9"/>
      <c r="CW515" s="129"/>
      <c r="CX515" s="9"/>
    </row>
    <row r="516" spans="1:102">
      <c r="A516" s="6" t="str">
        <f t="shared" si="71"/>
        <v>01020665</v>
      </c>
      <c r="B516" s="6" t="s">
        <v>1752</v>
      </c>
      <c r="C516" s="6" t="s">
        <v>2023</v>
      </c>
      <c r="D516" s="6">
        <v>507</v>
      </c>
      <c r="E516" s="6">
        <v>102</v>
      </c>
      <c r="F516" s="6" t="s">
        <v>1221</v>
      </c>
      <c r="G516" s="6">
        <v>665</v>
      </c>
      <c r="H516" s="6" t="s">
        <v>1053</v>
      </c>
      <c r="I516" s="33">
        <v>15320862.996431844</v>
      </c>
      <c r="J516" s="88">
        <v>0.91996695227000913</v>
      </c>
      <c r="K516" s="89">
        <f t="shared" si="80"/>
        <v>15204408.787140638</v>
      </c>
      <c r="L516" s="88">
        <f>IF(K519&gt;0, K516/K519, 0)</f>
        <v>0.90956032258909314</v>
      </c>
      <c r="M516" s="58"/>
      <c r="N516" s="9">
        <f>ROUND(M519*L516,0)</f>
        <v>11082677</v>
      </c>
      <c r="O516" s="9">
        <v>10688928</v>
      </c>
      <c r="P516" s="9">
        <f>N516-O516</f>
        <v>393749</v>
      </c>
      <c r="Q516" s="40">
        <f t="shared" si="79"/>
        <v>3.6837089743704889</v>
      </c>
      <c r="R516" s="9">
        <v>1200.6825510483</v>
      </c>
      <c r="S516" s="9">
        <f t="shared" si="77"/>
        <v>1165.146198832</v>
      </c>
      <c r="T516" s="90">
        <f t="shared" si="72"/>
        <v>102</v>
      </c>
      <c r="U516" s="90">
        <f t="shared" si="73"/>
        <v>665</v>
      </c>
      <c r="V516" s="373">
        <f t="shared" si="74"/>
        <v>507</v>
      </c>
      <c r="W516" s="90">
        <f t="shared" si="75"/>
        <v>1165.146198832</v>
      </c>
      <c r="X516" s="90">
        <f t="shared" si="76"/>
        <v>15204408.787140638</v>
      </c>
      <c r="Y516" s="141">
        <f t="shared" si="78"/>
        <v>507</v>
      </c>
      <c r="Z516" s="298">
        <v>102</v>
      </c>
      <c r="AA516" s="299">
        <v>665</v>
      </c>
      <c r="AB516" s="299">
        <v>507</v>
      </c>
      <c r="AC516" s="301">
        <v>1165.146198832</v>
      </c>
      <c r="AD516" s="301">
        <v>15204408.787140638</v>
      </c>
      <c r="AE516" s="126"/>
      <c r="AF516" s="298"/>
      <c r="AG516" s="299"/>
      <c r="AH516" s="299"/>
      <c r="AI516" s="301"/>
      <c r="AJ516" s="301"/>
      <c r="AK516" s="426"/>
      <c r="AL516" s="298"/>
      <c r="AM516" s="299"/>
      <c r="AN516" s="299"/>
      <c r="AO516" s="301"/>
      <c r="AP516" s="301"/>
      <c r="AQ516" s="426"/>
      <c r="AR516" s="298"/>
      <c r="AS516" s="299"/>
      <c r="AT516" s="299"/>
      <c r="AU516" s="301"/>
      <c r="AV516" s="301"/>
      <c r="AW516" s="88"/>
      <c r="AX516" s="298"/>
      <c r="AY516" s="299"/>
      <c r="AZ516" s="299"/>
      <c r="BA516" s="301"/>
      <c r="BB516" s="301"/>
      <c r="BC516" s="426"/>
      <c r="BD516" s="298"/>
      <c r="BE516" s="299"/>
      <c r="BF516" s="299"/>
      <c r="BG516" s="301"/>
      <c r="BH516" s="301"/>
      <c r="BI516" s="88"/>
      <c r="BJ516" s="298"/>
      <c r="BK516" s="299"/>
      <c r="BL516" s="299"/>
      <c r="BM516" s="301"/>
      <c r="BN516" s="301"/>
      <c r="BO516" s="88"/>
      <c r="BP516" s="9"/>
      <c r="BS516" s="81"/>
      <c r="BT516" s="81"/>
      <c r="BV516" s="9"/>
      <c r="BY516" s="81"/>
      <c r="BZ516" s="81"/>
      <c r="CB516" s="9"/>
      <c r="CE516" s="81"/>
      <c r="CF516" s="81"/>
      <c r="CH516" s="9"/>
      <c r="CK516" s="81"/>
      <c r="CL516" s="81"/>
      <c r="CR516" s="9"/>
      <c r="CS516" s="9"/>
      <c r="CT516" s="9"/>
      <c r="CU516" s="9"/>
      <c r="CV516" s="9"/>
      <c r="CW516" s="129"/>
      <c r="CX516" s="9"/>
    </row>
    <row r="517" spans="1:102">
      <c r="A517" s="6" t="str">
        <f t="shared" si="71"/>
        <v>01020810</v>
      </c>
      <c r="B517" s="6" t="s">
        <v>1752</v>
      </c>
      <c r="C517" s="6" t="s">
        <v>2065</v>
      </c>
      <c r="D517" s="6">
        <v>508</v>
      </c>
      <c r="E517" s="6">
        <v>102</v>
      </c>
      <c r="F517" s="6" t="s">
        <v>1221</v>
      </c>
      <c r="G517" s="6">
        <v>810</v>
      </c>
      <c r="H517" s="6" t="s">
        <v>1095</v>
      </c>
      <c r="I517" s="33">
        <v>0</v>
      </c>
      <c r="J517" s="88">
        <v>0</v>
      </c>
      <c r="K517" s="89">
        <f t="shared" si="80"/>
        <v>1036302.3724131067</v>
      </c>
      <c r="L517" s="88">
        <f>IF(K519&gt;0, K517/K519, 0)</f>
        <v>6.199382911548057E-2</v>
      </c>
      <c r="M517" s="58"/>
      <c r="N517" s="9">
        <f>ROUND(M519*L517,0)</f>
        <v>755373</v>
      </c>
      <c r="O517" s="9">
        <v>0</v>
      </c>
      <c r="P517" s="9">
        <f>N517-O517</f>
        <v>755373</v>
      </c>
      <c r="Q517" s="40">
        <f t="shared" si="79"/>
        <v>100</v>
      </c>
      <c r="R517" s="9">
        <v>0</v>
      </c>
      <c r="S517" s="9">
        <f t="shared" si="77"/>
        <v>51.150220917359995</v>
      </c>
      <c r="T517" s="90">
        <f t="shared" si="72"/>
        <v>102</v>
      </c>
      <c r="U517" s="90">
        <f t="shared" si="73"/>
        <v>810</v>
      </c>
      <c r="V517" s="373">
        <f t="shared" si="74"/>
        <v>508</v>
      </c>
      <c r="W517" s="90">
        <f t="shared" si="75"/>
        <v>51.150220917359995</v>
      </c>
      <c r="X517" s="90">
        <f t="shared" si="76"/>
        <v>1036302.3724131067</v>
      </c>
      <c r="Y517" s="141">
        <f t="shared" si="78"/>
        <v>508</v>
      </c>
      <c r="Z517" s="298">
        <v>102</v>
      </c>
      <c r="AA517" s="299">
        <v>810</v>
      </c>
      <c r="AB517" s="299">
        <v>508</v>
      </c>
      <c r="AC517" s="301">
        <v>51.150220917359995</v>
      </c>
      <c r="AD517" s="301">
        <v>1036302.3724131067</v>
      </c>
      <c r="AE517" s="126"/>
      <c r="AF517" s="298"/>
      <c r="AG517" s="299"/>
      <c r="AH517" s="299"/>
      <c r="AI517" s="301"/>
      <c r="AJ517" s="301"/>
      <c r="AK517" s="426"/>
      <c r="AL517" s="298"/>
      <c r="AM517" s="299"/>
      <c r="AN517" s="299"/>
      <c r="AO517" s="301"/>
      <c r="AP517" s="301"/>
      <c r="AQ517" s="426"/>
      <c r="AR517" s="298"/>
      <c r="AS517" s="299"/>
      <c r="AT517" s="299"/>
      <c r="AU517" s="301"/>
      <c r="AV517" s="301"/>
      <c r="AW517" s="88"/>
      <c r="AX517" s="298"/>
      <c r="AY517" s="299"/>
      <c r="AZ517" s="299"/>
      <c r="BA517" s="301"/>
      <c r="BB517" s="301"/>
      <c r="BC517" s="426"/>
      <c r="BD517" s="298"/>
      <c r="BE517" s="299"/>
      <c r="BF517" s="299"/>
      <c r="BG517" s="301"/>
      <c r="BH517" s="301"/>
      <c r="BI517" s="88"/>
      <c r="BJ517" s="298"/>
      <c r="BK517" s="299"/>
      <c r="BL517" s="299"/>
      <c r="BM517" s="301"/>
      <c r="BN517" s="301"/>
      <c r="BO517" s="88"/>
      <c r="BP517" s="9"/>
      <c r="BS517" s="81"/>
      <c r="BT517" s="81"/>
      <c r="BV517" s="9"/>
      <c r="BY517" s="81"/>
      <c r="BZ517" s="81"/>
      <c r="CB517" s="9"/>
      <c r="CE517" s="81"/>
      <c r="CF517" s="81"/>
      <c r="CH517" s="9"/>
      <c r="CK517" s="81"/>
      <c r="CL517" s="81"/>
      <c r="CR517" s="9"/>
      <c r="CS517" s="9"/>
      <c r="CT517" s="9"/>
      <c r="CU517" s="9"/>
      <c r="CV517" s="9"/>
      <c r="CW517" s="129"/>
      <c r="CX517" s="9"/>
    </row>
    <row r="518" spans="1:102">
      <c r="A518" s="6" t="str">
        <f t="shared" si="71"/>
        <v>01020910</v>
      </c>
      <c r="B518" s="6" t="s">
        <v>1752</v>
      </c>
      <c r="C518" s="6" t="s">
        <v>2088</v>
      </c>
      <c r="D518" s="6">
        <v>509</v>
      </c>
      <c r="E518" s="6">
        <v>102</v>
      </c>
      <c r="F518" s="6" t="s">
        <v>1221</v>
      </c>
      <c r="G518" s="6">
        <v>910</v>
      </c>
      <c r="H518" s="6" t="s">
        <v>1118</v>
      </c>
      <c r="I518" s="33">
        <v>366523.54155636317</v>
      </c>
      <c r="J518" s="88">
        <v>2.2008521683102793E-2</v>
      </c>
      <c r="K518" s="89">
        <f t="shared" si="80"/>
        <v>458646.67601090041</v>
      </c>
      <c r="L518" s="88">
        <f>IF(K519&gt;0, K518/K519, 0)</f>
        <v>2.74372272166028E-2</v>
      </c>
      <c r="M518" s="58"/>
      <c r="N518" s="9">
        <f>ROUND(M519*L518,0)</f>
        <v>334313</v>
      </c>
      <c r="O518" s="9">
        <v>255713</v>
      </c>
      <c r="P518" s="9">
        <f>N518-O518</f>
        <v>78600</v>
      </c>
      <c r="Q518" s="40">
        <f t="shared" si="79"/>
        <v>30.737584714113087</v>
      </c>
      <c r="R518" s="9">
        <v>18</v>
      </c>
      <c r="S518" s="9">
        <f t="shared" si="77"/>
        <v>21.999999998270003</v>
      </c>
      <c r="T518" s="90">
        <f t="shared" si="72"/>
        <v>102</v>
      </c>
      <c r="U518" s="90">
        <f t="shared" si="73"/>
        <v>910</v>
      </c>
      <c r="V518" s="373">
        <f t="shared" si="74"/>
        <v>509</v>
      </c>
      <c r="W518" s="90">
        <f t="shared" si="75"/>
        <v>21.999999998270003</v>
      </c>
      <c r="X518" s="90">
        <f t="shared" si="76"/>
        <v>458646.67601090041</v>
      </c>
      <c r="Y518" s="141">
        <f t="shared" si="78"/>
        <v>509</v>
      </c>
      <c r="Z518" s="298">
        <v>102</v>
      </c>
      <c r="AA518" s="299">
        <v>910</v>
      </c>
      <c r="AB518" s="299">
        <v>509</v>
      </c>
      <c r="AC518" s="301">
        <v>21.999999998270003</v>
      </c>
      <c r="AD518" s="301">
        <v>458646.67601090041</v>
      </c>
      <c r="AE518" s="126"/>
      <c r="AF518" s="298"/>
      <c r="AG518" s="299"/>
      <c r="AH518" s="299"/>
      <c r="AI518" s="301"/>
      <c r="AJ518" s="301"/>
      <c r="AK518" s="426"/>
      <c r="AL518" s="298"/>
      <c r="AM518" s="299"/>
      <c r="AN518" s="299"/>
      <c r="AO518" s="301"/>
      <c r="AP518" s="301"/>
      <c r="AQ518" s="426"/>
      <c r="AR518" s="298"/>
      <c r="AS518" s="299"/>
      <c r="AT518" s="299"/>
      <c r="AU518" s="301"/>
      <c r="AV518" s="301"/>
      <c r="AW518" s="88"/>
      <c r="AX518" s="298"/>
      <c r="AY518" s="299"/>
      <c r="AZ518" s="299"/>
      <c r="BA518" s="301"/>
      <c r="BB518" s="301"/>
      <c r="BC518" s="426"/>
      <c r="BD518" s="298"/>
      <c r="BE518" s="299"/>
      <c r="BF518" s="299"/>
      <c r="BG518" s="301"/>
      <c r="BH518" s="301"/>
      <c r="BI518" s="88"/>
      <c r="BJ518" s="298"/>
      <c r="BK518" s="299"/>
      <c r="BL518" s="299"/>
      <c r="BM518" s="301"/>
      <c r="BN518" s="301"/>
      <c r="BO518" s="88"/>
      <c r="BP518" s="9"/>
      <c r="BS518" s="81"/>
      <c r="BT518" s="81"/>
      <c r="BV518" s="9"/>
      <c r="BY518" s="81"/>
      <c r="BZ518" s="81"/>
      <c r="CB518" s="9"/>
      <c r="CE518" s="81"/>
      <c r="CF518" s="81"/>
      <c r="CH518" s="9"/>
      <c r="CK518" s="81"/>
      <c r="CL518" s="81"/>
      <c r="CR518" s="9"/>
      <c r="CS518" s="9"/>
      <c r="CT518" s="9"/>
      <c r="CU518" s="9"/>
      <c r="CV518" s="9"/>
      <c r="CW518" s="129"/>
      <c r="CX518" s="9"/>
    </row>
    <row r="519" spans="1:102">
      <c r="A519" s="6" t="str">
        <f t="shared" si="71"/>
        <v>01020999</v>
      </c>
      <c r="B519" s="6" t="s">
        <v>1752</v>
      </c>
      <c r="C519" s="6" t="s">
        <v>2092</v>
      </c>
      <c r="D519" s="6">
        <v>510</v>
      </c>
      <c r="E519" s="10">
        <v>102</v>
      </c>
      <c r="F519" s="10" t="s">
        <v>1221</v>
      </c>
      <c r="G519" s="10">
        <v>999</v>
      </c>
      <c r="H519" s="10" t="s">
        <v>593</v>
      </c>
      <c r="I519" s="92">
        <v>16653710.177988209</v>
      </c>
      <c r="J519" s="472">
        <v>0.99999999999999989</v>
      </c>
      <c r="K519" s="53">
        <f>SUM(K515:K518)</f>
        <v>16716218.165564645</v>
      </c>
      <c r="L519" s="91">
        <f>SUM(L515:L518)</f>
        <v>1</v>
      </c>
      <c r="M519" s="79">
        <f>VLOOKUP(E519,town351,24)</f>
        <v>12184653</v>
      </c>
      <c r="N519" s="79">
        <f>SUM(N515:N518)</f>
        <v>12184653</v>
      </c>
      <c r="O519" s="79">
        <v>11618817</v>
      </c>
      <c r="P519" s="79">
        <f>SUM(P515:P518)</f>
        <v>565836</v>
      </c>
      <c r="Q519" s="39">
        <f t="shared" si="79"/>
        <v>4.8699966614501289</v>
      </c>
      <c r="R519" s="9">
        <v>1271.6825510501099</v>
      </c>
      <c r="S519" s="9">
        <f t="shared" si="77"/>
        <v>1239.2964197476299</v>
      </c>
      <c r="T519" s="90">
        <f t="shared" si="72"/>
        <v>102</v>
      </c>
      <c r="U519" s="90">
        <f t="shared" si="73"/>
        <v>999</v>
      </c>
      <c r="V519" s="373">
        <f t="shared" si="74"/>
        <v>510</v>
      </c>
      <c r="W519" s="90">
        <f t="shared" si="75"/>
        <v>1239.2964197476299</v>
      </c>
      <c r="X519" s="90">
        <f t="shared" si="76"/>
        <v>16716218.165564645</v>
      </c>
      <c r="Y519" s="141">
        <f t="shared" si="78"/>
        <v>510</v>
      </c>
      <c r="Z519" s="298">
        <v>102</v>
      </c>
      <c r="AA519" s="299">
        <v>999</v>
      </c>
      <c r="AB519" s="299">
        <v>510</v>
      </c>
      <c r="AC519" s="301">
        <v>1239.2964197476299</v>
      </c>
      <c r="AD519" s="301">
        <v>16716218.165564645</v>
      </c>
      <c r="AE519" s="126"/>
      <c r="AF519" s="298"/>
      <c r="AG519" s="299"/>
      <c r="AH519" s="299"/>
      <c r="AI519" s="301"/>
      <c r="AJ519" s="301"/>
      <c r="AK519" s="426"/>
      <c r="AL519" s="298"/>
      <c r="AM519" s="299"/>
      <c r="AN519" s="299"/>
      <c r="AO519" s="301"/>
      <c r="AP519" s="301"/>
      <c r="AQ519" s="426"/>
      <c r="AR519" s="298"/>
      <c r="AS519" s="299"/>
      <c r="AT519" s="299"/>
      <c r="AU519" s="301"/>
      <c r="AV519" s="301"/>
      <c r="AW519" s="91"/>
      <c r="AX519" s="298"/>
      <c r="AY519" s="299"/>
      <c r="AZ519" s="299"/>
      <c r="BA519" s="301"/>
      <c r="BB519" s="301"/>
      <c r="BC519" s="426"/>
      <c r="BD519" s="298"/>
      <c r="BE519" s="299"/>
      <c r="BF519" s="299"/>
      <c r="BG519" s="301"/>
      <c r="BH519" s="301"/>
      <c r="BI519" s="91"/>
      <c r="BJ519" s="298"/>
      <c r="BK519" s="299"/>
      <c r="BL519" s="299"/>
      <c r="BM519" s="301"/>
      <c r="BN519" s="301"/>
      <c r="BO519" s="91"/>
      <c r="BP519" s="9"/>
      <c r="BS519" s="81"/>
      <c r="BT519" s="81"/>
      <c r="BV519" s="9"/>
      <c r="BY519" s="81"/>
      <c r="BZ519" s="81"/>
      <c r="CB519" s="9"/>
      <c r="CE519" s="81"/>
      <c r="CF519" s="81"/>
      <c r="CH519" s="9"/>
      <c r="CK519" s="81"/>
      <c r="CL519" s="81"/>
      <c r="CR519" s="9"/>
      <c r="CS519" s="9"/>
      <c r="CT519" s="9"/>
      <c r="CU519" s="9"/>
      <c r="CV519" s="9"/>
      <c r="CW519" s="129"/>
      <c r="CX519" s="9"/>
    </row>
    <row r="520" spans="1:102">
      <c r="A520" s="6" t="str">
        <f t="shared" si="71"/>
        <v>01030103</v>
      </c>
      <c r="B520" s="6" t="s">
        <v>1753</v>
      </c>
      <c r="C520" s="6" t="s">
        <v>1753</v>
      </c>
      <c r="D520" s="6">
        <v>511</v>
      </c>
      <c r="E520" s="6">
        <v>103</v>
      </c>
      <c r="F520" s="6" t="s">
        <v>1222</v>
      </c>
      <c r="G520" s="6">
        <v>103</v>
      </c>
      <c r="H520" s="6" t="s">
        <v>784</v>
      </c>
      <c r="I520" s="33">
        <v>38690363.829999998</v>
      </c>
      <c r="J520" s="88">
        <v>0.91733125755112255</v>
      </c>
      <c r="K520" s="89">
        <f>X520</f>
        <v>41586508.200000003</v>
      </c>
      <c r="L520" s="88">
        <f>IF(K524&gt;0, K520/K524, 0)</f>
        <v>0.92517494179946613</v>
      </c>
      <c r="M520" s="58"/>
      <c r="N520" s="9">
        <f>ROUND(M524*L520,0)</f>
        <v>11909298</v>
      </c>
      <c r="O520" s="9">
        <v>11262118</v>
      </c>
      <c r="P520" s="9">
        <f>N520-O520</f>
        <v>647180</v>
      </c>
      <c r="Q520" s="40">
        <f t="shared" si="79"/>
        <v>5.7465212138604835</v>
      </c>
      <c r="R520" s="9">
        <v>2397</v>
      </c>
      <c r="S520" s="9">
        <f t="shared" si="77"/>
        <v>2453</v>
      </c>
      <c r="T520" s="90">
        <f t="shared" si="72"/>
        <v>103</v>
      </c>
      <c r="U520" s="90">
        <f t="shared" si="73"/>
        <v>103</v>
      </c>
      <c r="V520" s="373">
        <f t="shared" si="74"/>
        <v>511</v>
      </c>
      <c r="W520" s="90">
        <f t="shared" si="75"/>
        <v>2453</v>
      </c>
      <c r="X520" s="90">
        <f t="shared" si="76"/>
        <v>41586508.200000003</v>
      </c>
      <c r="Y520" s="141">
        <f t="shared" si="78"/>
        <v>511</v>
      </c>
      <c r="Z520" s="298">
        <v>103</v>
      </c>
      <c r="AA520" s="299">
        <v>103</v>
      </c>
      <c r="AB520" s="299">
        <v>511</v>
      </c>
      <c r="AC520" s="301">
        <v>2453</v>
      </c>
      <c r="AD520" s="301">
        <v>41586508.200000003</v>
      </c>
      <c r="AE520" s="126"/>
      <c r="AF520" s="298"/>
      <c r="AG520" s="299"/>
      <c r="AH520" s="299"/>
      <c r="AI520" s="301"/>
      <c r="AJ520" s="301"/>
      <c r="AK520" s="426"/>
      <c r="AL520" s="298"/>
      <c r="AM520" s="299"/>
      <c r="AN520" s="299"/>
      <c r="AO520" s="301"/>
      <c r="AP520" s="301"/>
      <c r="AQ520" s="426"/>
      <c r="AR520" s="298"/>
      <c r="AS520" s="299"/>
      <c r="AT520" s="299"/>
      <c r="AU520" s="301"/>
      <c r="AV520" s="301"/>
      <c r="AW520" s="88"/>
      <c r="AX520" s="298"/>
      <c r="AY520" s="299"/>
      <c r="AZ520" s="299"/>
      <c r="BA520" s="301"/>
      <c r="BB520" s="301"/>
      <c r="BC520" s="426"/>
      <c r="BD520" s="298"/>
      <c r="BE520" s="299"/>
      <c r="BF520" s="299"/>
      <c r="BG520" s="301"/>
      <c r="BH520" s="301"/>
      <c r="BI520" s="88"/>
      <c r="BJ520" s="298"/>
      <c r="BK520" s="299"/>
      <c r="BL520" s="299"/>
      <c r="BM520" s="301"/>
      <c r="BN520" s="301"/>
      <c r="BO520" s="88"/>
      <c r="BP520" s="9"/>
      <c r="BS520" s="81"/>
      <c r="BT520" s="81"/>
      <c r="BV520" s="9"/>
      <c r="BY520" s="81"/>
      <c r="BZ520" s="81"/>
      <c r="CB520" s="9"/>
      <c r="CE520" s="81"/>
      <c r="CF520" s="81"/>
      <c r="CH520" s="9"/>
      <c r="CK520" s="81"/>
      <c r="CL520" s="81"/>
      <c r="CR520" s="9"/>
      <c r="CS520" s="9"/>
      <c r="CT520" s="9"/>
      <c r="CU520" s="9"/>
      <c r="CV520" s="9"/>
      <c r="CW520" s="129"/>
      <c r="CX520" s="9"/>
    </row>
    <row r="521" spans="1:102">
      <c r="A521" s="6" t="str">
        <f t="shared" si="71"/>
        <v>01030832</v>
      </c>
      <c r="B521" s="6" t="s">
        <v>1753</v>
      </c>
      <c r="C521" s="6" t="s">
        <v>2075</v>
      </c>
      <c r="D521" s="6">
        <v>512</v>
      </c>
      <c r="E521" s="6">
        <v>103</v>
      </c>
      <c r="F521" s="6" t="s">
        <v>1222</v>
      </c>
      <c r="G521" s="6">
        <v>832</v>
      </c>
      <c r="H521" s="6" t="s">
        <v>1105</v>
      </c>
      <c r="I521" s="33">
        <v>3486727.0643913299</v>
      </c>
      <c r="J521" s="88">
        <v>8.2668742448877425E-2</v>
      </c>
      <c r="K521" s="89">
        <f t="shared" si="80"/>
        <v>3363377.8389735594</v>
      </c>
      <c r="L521" s="88">
        <f>IF(K524&gt;0, K521/K524, 0)</f>
        <v>7.4825058200533826E-2</v>
      </c>
      <c r="M521" s="58"/>
      <c r="N521" s="9">
        <f>ROUND(M524*L521,0)</f>
        <v>963184</v>
      </c>
      <c r="O521" s="9">
        <v>1014928</v>
      </c>
      <c r="P521" s="9">
        <f>N521-O521</f>
        <v>-51744</v>
      </c>
      <c r="Q521" s="40">
        <f t="shared" si="79"/>
        <v>-5.0982926867718694</v>
      </c>
      <c r="R521" s="9">
        <v>173.23650033920001</v>
      </c>
      <c r="S521" s="9">
        <f t="shared" si="77"/>
        <v>165.99999999816001</v>
      </c>
      <c r="T521" s="90">
        <f t="shared" si="72"/>
        <v>103</v>
      </c>
      <c r="U521" s="90">
        <f t="shared" si="73"/>
        <v>832</v>
      </c>
      <c r="V521" s="373">
        <f t="shared" si="74"/>
        <v>512</v>
      </c>
      <c r="W521" s="90">
        <f t="shared" si="75"/>
        <v>165.99999999816001</v>
      </c>
      <c r="X521" s="90">
        <f t="shared" si="76"/>
        <v>3363377.8389735594</v>
      </c>
      <c r="Y521" s="141">
        <f t="shared" si="78"/>
        <v>512</v>
      </c>
      <c r="Z521" s="298">
        <v>103</v>
      </c>
      <c r="AA521" s="299">
        <v>832</v>
      </c>
      <c r="AB521" s="299">
        <v>512</v>
      </c>
      <c r="AC521" s="301">
        <v>165.99999999816001</v>
      </c>
      <c r="AD521" s="301">
        <v>3363377.8389735594</v>
      </c>
      <c r="AE521" s="126"/>
      <c r="AF521" s="298"/>
      <c r="AG521" s="299"/>
      <c r="AH521" s="299"/>
      <c r="AI521" s="301"/>
      <c r="AJ521" s="301"/>
      <c r="AK521" s="426"/>
      <c r="AL521" s="298"/>
      <c r="AM521" s="299"/>
      <c r="AN521" s="299"/>
      <c r="AO521" s="301"/>
      <c r="AP521" s="301"/>
      <c r="AQ521" s="426"/>
      <c r="AR521" s="298"/>
      <c r="AS521" s="299"/>
      <c r="AT521" s="299"/>
      <c r="AU521" s="301"/>
      <c r="AV521" s="301"/>
      <c r="AW521" s="88"/>
      <c r="AX521" s="298"/>
      <c r="AY521" s="299"/>
      <c r="AZ521" s="299"/>
      <c r="BA521" s="301"/>
      <c r="BB521" s="301"/>
      <c r="BC521" s="426"/>
      <c r="BD521" s="298"/>
      <c r="BE521" s="299"/>
      <c r="BF521" s="299"/>
      <c r="BG521" s="301"/>
      <c r="BH521" s="301"/>
      <c r="BI521" s="88"/>
      <c r="BJ521" s="298"/>
      <c r="BK521" s="299"/>
      <c r="BL521" s="299"/>
      <c r="BM521" s="301"/>
      <c r="BN521" s="301"/>
      <c r="BO521" s="88"/>
      <c r="BP521" s="9"/>
      <c r="BS521" s="81"/>
      <c r="BT521" s="81"/>
      <c r="BV521" s="9"/>
      <c r="BY521" s="81"/>
      <c r="BZ521" s="81"/>
      <c r="CB521" s="9"/>
      <c r="CE521" s="81"/>
      <c r="CF521" s="81"/>
      <c r="CH521" s="9"/>
      <c r="CK521" s="81"/>
      <c r="CL521" s="81"/>
      <c r="CR521" s="9"/>
      <c r="CS521" s="9"/>
      <c r="CT521" s="9"/>
      <c r="CU521" s="9"/>
      <c r="CV521" s="9"/>
      <c r="CW521" s="129"/>
      <c r="CX521" s="9"/>
    </row>
    <row r="522" spans="1:102">
      <c r="A522" s="6" t="str">
        <f t="shared" ref="A522:A585" si="81">B522&amp;C522</f>
        <v>01030998</v>
      </c>
      <c r="B522" s="6" t="s">
        <v>1753</v>
      </c>
      <c r="C522" s="6" t="s">
        <v>2091</v>
      </c>
      <c r="D522" s="6">
        <v>513</v>
      </c>
      <c r="E522" s="6">
        <v>103</v>
      </c>
      <c r="F522" s="6" t="s">
        <v>1547</v>
      </c>
      <c r="G522" s="6">
        <v>998</v>
      </c>
      <c r="H522" s="6" t="s">
        <v>1547</v>
      </c>
      <c r="I522" s="33">
        <v>0</v>
      </c>
      <c r="J522" s="88">
        <v>0</v>
      </c>
      <c r="K522" s="89">
        <f t="shared" si="80"/>
        <v>0</v>
      </c>
      <c r="L522" s="88">
        <f>IF(K524&gt;0, K522/K524, 0)</f>
        <v>0</v>
      </c>
      <c r="M522" s="58"/>
      <c r="N522" s="9">
        <f>ROUND(M524*L522,0)</f>
        <v>0</v>
      </c>
      <c r="O522" s="9">
        <v>0</v>
      </c>
      <c r="P522" s="9">
        <f>N522-O522</f>
        <v>0</v>
      </c>
      <c r="Q522" s="40">
        <f t="shared" si="79"/>
        <v>0</v>
      </c>
      <c r="R522" s="9">
        <v>0</v>
      </c>
      <c r="S522" s="9">
        <f t="shared" si="77"/>
        <v>0</v>
      </c>
      <c r="T522" s="90">
        <f t="shared" ref="T522:T585" si="82">VLOOKUP($D522, foundoptions, VLOOKUP($T$6, foundoptcell, 2, FALSE), FALSE)</f>
        <v>103</v>
      </c>
      <c r="U522" s="90">
        <f t="shared" ref="U522:U585" si="83">VLOOKUP($D522, foundoptions, VLOOKUP($T$6, foundoptcell, 2, FALSE)+1, FALSE)</f>
        <v>998</v>
      </c>
      <c r="V522" s="373">
        <f t="shared" ref="V522:V585" si="84">VLOOKUP($D522, foundoptions, VLOOKUP($T$6, foundoptcell, 2, FALSE)+2, FALSE)</f>
        <v>513</v>
      </c>
      <c r="W522" s="90">
        <f t="shared" ref="W522:W585" si="85">VLOOKUP($D522, foundoptions, VLOOKUP($T$6, foundoptcell, 2, FALSE)+3, FALSE)</f>
        <v>0</v>
      </c>
      <c r="X522" s="90">
        <f t="shared" ref="X522:X585" si="86">VLOOKUP($D522, foundoptions, VLOOKUP($T$6, foundoptcell, 2, FALSE)+4, FALSE)</f>
        <v>0</v>
      </c>
      <c r="Y522" s="141">
        <f t="shared" si="78"/>
        <v>513</v>
      </c>
      <c r="Z522" s="298">
        <v>103</v>
      </c>
      <c r="AA522" s="299">
        <v>998</v>
      </c>
      <c r="AB522" s="299">
        <v>513</v>
      </c>
      <c r="AC522" s="301">
        <v>0</v>
      </c>
      <c r="AD522" s="301">
        <v>0</v>
      </c>
      <c r="AE522" s="126"/>
      <c r="AF522" s="298"/>
      <c r="AG522" s="299"/>
      <c r="AH522" s="299"/>
      <c r="AI522" s="301"/>
      <c r="AJ522" s="301"/>
      <c r="AK522" s="426"/>
      <c r="AL522" s="298"/>
      <c r="AM522" s="299"/>
      <c r="AN522" s="299"/>
      <c r="AO522" s="301"/>
      <c r="AP522" s="301"/>
      <c r="AQ522" s="426"/>
      <c r="AR522" s="298"/>
      <c r="AS522" s="299"/>
      <c r="AT522" s="299"/>
      <c r="AU522" s="301"/>
      <c r="AV522" s="301"/>
      <c r="AW522" s="88"/>
      <c r="AX522" s="298"/>
      <c r="AY522" s="299"/>
      <c r="AZ522" s="299"/>
      <c r="BA522" s="301"/>
      <c r="BB522" s="301"/>
      <c r="BC522" s="426"/>
      <c r="BD522" s="298"/>
      <c r="BE522" s="299"/>
      <c r="BF522" s="299"/>
      <c r="BG522" s="301"/>
      <c r="BH522" s="301"/>
      <c r="BI522" s="88"/>
      <c r="BJ522" s="298"/>
      <c r="BK522" s="299"/>
      <c r="BL522" s="299"/>
      <c r="BM522" s="301"/>
      <c r="BN522" s="301"/>
      <c r="BO522" s="88"/>
      <c r="BP522" s="9"/>
      <c r="BS522" s="81"/>
      <c r="BT522" s="81"/>
      <c r="BV522" s="9"/>
      <c r="BY522" s="81"/>
      <c r="BZ522" s="81"/>
      <c r="CB522" s="9"/>
      <c r="CE522" s="81"/>
      <c r="CF522" s="81"/>
      <c r="CH522" s="9"/>
      <c r="CK522" s="81"/>
      <c r="CL522" s="81"/>
      <c r="CR522" s="9"/>
      <c r="CS522" s="9"/>
      <c r="CT522" s="9"/>
      <c r="CU522" s="9"/>
      <c r="CV522" s="9"/>
      <c r="CW522" s="129"/>
      <c r="CX522" s="9"/>
    </row>
    <row r="523" spans="1:102">
      <c r="A523" s="6" t="str">
        <f t="shared" si="81"/>
        <v>01030998</v>
      </c>
      <c r="B523" s="6" t="s">
        <v>1753</v>
      </c>
      <c r="C523" s="6" t="s">
        <v>2091</v>
      </c>
      <c r="D523" s="6">
        <v>514</v>
      </c>
      <c r="E523" s="6">
        <v>103</v>
      </c>
      <c r="F523" s="6" t="s">
        <v>1547</v>
      </c>
      <c r="G523" s="6">
        <v>998</v>
      </c>
      <c r="H523" s="6" t="s">
        <v>1547</v>
      </c>
      <c r="I523" s="33">
        <v>0</v>
      </c>
      <c r="J523" s="88">
        <v>0</v>
      </c>
      <c r="K523" s="89">
        <f t="shared" si="80"/>
        <v>0</v>
      </c>
      <c r="L523" s="88">
        <f>IF(K524&gt;0, K523/K524, 0)</f>
        <v>0</v>
      </c>
      <c r="M523" s="58"/>
      <c r="N523" s="9">
        <f>ROUND(M524*L523,0)</f>
        <v>0</v>
      </c>
      <c r="O523" s="9">
        <v>0</v>
      </c>
      <c r="P523" s="9">
        <f>N523-O523</f>
        <v>0</v>
      </c>
      <c r="Q523" s="40">
        <f t="shared" si="79"/>
        <v>0</v>
      </c>
      <c r="R523" s="9">
        <v>0</v>
      </c>
      <c r="S523" s="9">
        <f t="shared" ref="S523:S586" si="87">W523</f>
        <v>0</v>
      </c>
      <c r="T523" s="90">
        <f t="shared" si="82"/>
        <v>103</v>
      </c>
      <c r="U523" s="90">
        <f t="shared" si="83"/>
        <v>998</v>
      </c>
      <c r="V523" s="373">
        <f t="shared" si="84"/>
        <v>514</v>
      </c>
      <c r="W523" s="90">
        <f t="shared" si="85"/>
        <v>0</v>
      </c>
      <c r="X523" s="90">
        <f t="shared" si="86"/>
        <v>0</v>
      </c>
      <c r="Y523" s="141">
        <f t="shared" ref="Y523:Y586" si="88">D523</f>
        <v>514</v>
      </c>
      <c r="Z523" s="298">
        <v>103</v>
      </c>
      <c r="AA523" s="299">
        <v>998</v>
      </c>
      <c r="AB523" s="299">
        <v>514</v>
      </c>
      <c r="AC523" s="301">
        <v>0</v>
      </c>
      <c r="AD523" s="301">
        <v>0</v>
      </c>
      <c r="AE523" s="126"/>
      <c r="AF523" s="298"/>
      <c r="AG523" s="299"/>
      <c r="AH523" s="299"/>
      <c r="AI523" s="301"/>
      <c r="AJ523" s="301"/>
      <c r="AK523" s="426"/>
      <c r="AL523" s="298"/>
      <c r="AM523" s="299"/>
      <c r="AN523" s="299"/>
      <c r="AO523" s="301"/>
      <c r="AP523" s="301"/>
      <c r="AQ523" s="426"/>
      <c r="AR523" s="298"/>
      <c r="AS523" s="299"/>
      <c r="AT523" s="299"/>
      <c r="AU523" s="301"/>
      <c r="AV523" s="301"/>
      <c r="AW523" s="88"/>
      <c r="AX523" s="298"/>
      <c r="AY523" s="299"/>
      <c r="AZ523" s="299"/>
      <c r="BA523" s="301"/>
      <c r="BB523" s="301"/>
      <c r="BC523" s="426"/>
      <c r="BD523" s="298"/>
      <c r="BE523" s="299"/>
      <c r="BF523" s="299"/>
      <c r="BG523" s="301"/>
      <c r="BH523" s="301"/>
      <c r="BI523" s="88"/>
      <c r="BJ523" s="298"/>
      <c r="BK523" s="299"/>
      <c r="BL523" s="299"/>
      <c r="BM523" s="301"/>
      <c r="BN523" s="301"/>
      <c r="BO523" s="88"/>
      <c r="BP523" s="9"/>
      <c r="BS523" s="81"/>
      <c r="BT523" s="81"/>
      <c r="BV523" s="9"/>
      <c r="BY523" s="81"/>
      <c r="BZ523" s="81"/>
      <c r="CB523" s="9"/>
      <c r="CE523" s="81"/>
      <c r="CF523" s="81"/>
      <c r="CH523" s="9"/>
      <c r="CK523" s="81"/>
      <c r="CL523" s="81"/>
      <c r="CR523" s="9"/>
      <c r="CS523" s="9"/>
      <c r="CT523" s="9"/>
      <c r="CU523" s="9"/>
      <c r="CV523" s="9"/>
      <c r="CW523" s="129"/>
      <c r="CX523" s="9"/>
    </row>
    <row r="524" spans="1:102">
      <c r="A524" s="6" t="str">
        <f t="shared" si="81"/>
        <v>01030999</v>
      </c>
      <c r="B524" s="6" t="s">
        <v>1753</v>
      </c>
      <c r="C524" s="6" t="s">
        <v>2092</v>
      </c>
      <c r="D524" s="6">
        <v>515</v>
      </c>
      <c r="E524" s="10">
        <v>103</v>
      </c>
      <c r="F524" s="10" t="s">
        <v>1222</v>
      </c>
      <c r="G524" s="10">
        <v>999</v>
      </c>
      <c r="H524" s="10" t="s">
        <v>593</v>
      </c>
      <c r="I524" s="92">
        <v>42177090.894391328</v>
      </c>
      <c r="J524" s="472">
        <v>1</v>
      </c>
      <c r="K524" s="53">
        <f>SUM(K520:K523)</f>
        <v>44949886.038973562</v>
      </c>
      <c r="L524" s="91">
        <f>SUM(L520:L523)</f>
        <v>1</v>
      </c>
      <c r="M524" s="79">
        <f>VLOOKUP(E524,town351,24)</f>
        <v>12872482</v>
      </c>
      <c r="N524" s="79">
        <f>SUM(N520:N523)</f>
        <v>12872482</v>
      </c>
      <c r="O524" s="79">
        <v>12277046</v>
      </c>
      <c r="P524" s="79">
        <f>SUM(P520:P523)</f>
        <v>595436</v>
      </c>
      <c r="Q524" s="39">
        <f t="shared" si="79"/>
        <v>4.8499940457989652</v>
      </c>
      <c r="R524" s="9">
        <v>2570.2365003392001</v>
      </c>
      <c r="S524" s="9">
        <f t="shared" si="87"/>
        <v>2618.9999999981601</v>
      </c>
      <c r="T524" s="90">
        <f t="shared" si="82"/>
        <v>103</v>
      </c>
      <c r="U524" s="90">
        <f t="shared" si="83"/>
        <v>999</v>
      </c>
      <c r="V524" s="373">
        <f t="shared" si="84"/>
        <v>515</v>
      </c>
      <c r="W524" s="90">
        <f t="shared" si="85"/>
        <v>2618.9999999981601</v>
      </c>
      <c r="X524" s="90">
        <f t="shared" si="86"/>
        <v>44949886.038973562</v>
      </c>
      <c r="Y524" s="141">
        <f t="shared" si="88"/>
        <v>515</v>
      </c>
      <c r="Z524" s="298">
        <v>103</v>
      </c>
      <c r="AA524" s="299">
        <v>999</v>
      </c>
      <c r="AB524" s="299">
        <v>515</v>
      </c>
      <c r="AC524" s="301">
        <v>2618.9999999981601</v>
      </c>
      <c r="AD524" s="301">
        <v>44949886.038973562</v>
      </c>
      <c r="AE524" s="126"/>
      <c r="AF524" s="298"/>
      <c r="AG524" s="299"/>
      <c r="AH524" s="299"/>
      <c r="AI524" s="301"/>
      <c r="AJ524" s="301"/>
      <c r="AK524" s="426"/>
      <c r="AL524" s="298"/>
      <c r="AM524" s="299"/>
      <c r="AN524" s="299"/>
      <c r="AO524" s="301"/>
      <c r="AP524" s="301"/>
      <c r="AQ524" s="426"/>
      <c r="AR524" s="298"/>
      <c r="AS524" s="299"/>
      <c r="AT524" s="299"/>
      <c r="AU524" s="301"/>
      <c r="AV524" s="301"/>
      <c r="AW524" s="91"/>
      <c r="AX524" s="298"/>
      <c r="AY524" s="299"/>
      <c r="AZ524" s="299"/>
      <c r="BA524" s="301"/>
      <c r="BB524" s="301"/>
      <c r="BC524" s="426"/>
      <c r="BD524" s="298"/>
      <c r="BE524" s="299"/>
      <c r="BF524" s="299"/>
      <c r="BG524" s="301"/>
      <c r="BH524" s="301"/>
      <c r="BI524" s="91"/>
      <c r="BJ524" s="298"/>
      <c r="BK524" s="299"/>
      <c r="BL524" s="299"/>
      <c r="BM524" s="301"/>
      <c r="BN524" s="301"/>
      <c r="BO524" s="91"/>
      <c r="BP524" s="9"/>
      <c r="BS524" s="81"/>
      <c r="BT524" s="81"/>
      <c r="BV524" s="9"/>
      <c r="BY524" s="81"/>
      <c r="BZ524" s="81"/>
      <c r="CB524" s="9"/>
      <c r="CE524" s="81"/>
      <c r="CF524" s="81"/>
      <c r="CH524" s="9"/>
      <c r="CK524" s="81"/>
      <c r="CL524" s="81"/>
      <c r="CR524" s="9"/>
      <c r="CS524" s="9"/>
      <c r="CT524" s="9"/>
      <c r="CU524" s="9"/>
      <c r="CV524" s="9"/>
      <c r="CW524" s="129"/>
      <c r="CX524" s="9"/>
    </row>
    <row r="525" spans="1:102">
      <c r="A525" s="6" t="str">
        <f t="shared" si="81"/>
        <v>01040104</v>
      </c>
      <c r="B525" s="6" t="s">
        <v>1754</v>
      </c>
      <c r="C525" s="6" t="s">
        <v>1754</v>
      </c>
      <c r="D525" s="6">
        <v>516</v>
      </c>
      <c r="E525" s="6">
        <v>104</v>
      </c>
      <c r="F525" s="6" t="s">
        <v>785</v>
      </c>
      <c r="G525" s="6">
        <v>104</v>
      </c>
      <c r="H525" s="6" t="s">
        <v>785</v>
      </c>
      <c r="I525" s="33">
        <v>0</v>
      </c>
      <c r="J525" s="88">
        <v>0</v>
      </c>
      <c r="K525" s="89">
        <f>X525</f>
        <v>0</v>
      </c>
      <c r="L525" s="88">
        <f>IF(K529&gt;0, K525/K529, 0)</f>
        <v>0</v>
      </c>
      <c r="M525" s="58"/>
      <c r="N525" s="9">
        <f>ROUND(M529*L525,0)</f>
        <v>0</v>
      </c>
      <c r="O525" s="9">
        <v>0</v>
      </c>
      <c r="P525" s="9">
        <f>N525-O525</f>
        <v>0</v>
      </c>
      <c r="Q525" s="40">
        <f t="shared" si="79"/>
        <v>0</v>
      </c>
      <c r="R525" s="9">
        <v>0</v>
      </c>
      <c r="S525" s="9">
        <f t="shared" si="87"/>
        <v>0</v>
      </c>
      <c r="T525" s="90">
        <f t="shared" si="82"/>
        <v>104</v>
      </c>
      <c r="U525" s="90">
        <f t="shared" si="83"/>
        <v>104</v>
      </c>
      <c r="V525" s="373">
        <f t="shared" si="84"/>
        <v>516</v>
      </c>
      <c r="W525" s="90">
        <f t="shared" si="85"/>
        <v>0</v>
      </c>
      <c r="X525" s="90">
        <f t="shared" si="86"/>
        <v>0</v>
      </c>
      <c r="Y525" s="141">
        <f t="shared" si="88"/>
        <v>516</v>
      </c>
      <c r="Z525" s="298">
        <v>104</v>
      </c>
      <c r="AA525" s="299">
        <v>104</v>
      </c>
      <c r="AB525" s="299">
        <v>516</v>
      </c>
      <c r="AC525" s="301">
        <v>0</v>
      </c>
      <c r="AD525" s="301">
        <v>0</v>
      </c>
      <c r="AE525" s="126"/>
      <c r="AF525" s="298"/>
      <c r="AG525" s="299"/>
      <c r="AH525" s="299"/>
      <c r="AI525" s="301"/>
      <c r="AJ525" s="301"/>
      <c r="AK525" s="426"/>
      <c r="AL525" s="298"/>
      <c r="AM525" s="299"/>
      <c r="AN525" s="299"/>
      <c r="AO525" s="301"/>
      <c r="AP525" s="301"/>
      <c r="AQ525" s="426"/>
      <c r="AR525" s="298"/>
      <c r="AS525" s="299"/>
      <c r="AT525" s="299"/>
      <c r="AU525" s="301"/>
      <c r="AV525" s="301"/>
      <c r="AW525" s="88"/>
      <c r="AX525" s="298"/>
      <c r="AY525" s="299"/>
      <c r="AZ525" s="299"/>
      <c r="BA525" s="301"/>
      <c r="BB525" s="301"/>
      <c r="BC525" s="426"/>
      <c r="BD525" s="298"/>
      <c r="BE525" s="299"/>
      <c r="BF525" s="299"/>
      <c r="BG525" s="301"/>
      <c r="BH525" s="301"/>
      <c r="BI525" s="88"/>
      <c r="BJ525" s="298"/>
      <c r="BK525" s="299"/>
      <c r="BL525" s="299"/>
      <c r="BM525" s="301"/>
      <c r="BN525" s="301"/>
      <c r="BO525" s="88"/>
      <c r="BP525" s="9"/>
      <c r="BS525" s="81"/>
      <c r="BT525" s="81"/>
      <c r="BV525" s="9"/>
      <c r="BY525" s="81"/>
      <c r="BZ525" s="81"/>
      <c r="CB525" s="9"/>
      <c r="CE525" s="81"/>
      <c r="CF525" s="81"/>
      <c r="CH525" s="9"/>
      <c r="CK525" s="81"/>
      <c r="CL525" s="81"/>
      <c r="CR525" s="9"/>
      <c r="CS525" s="9"/>
      <c r="CT525" s="9"/>
      <c r="CU525" s="9"/>
      <c r="CV525" s="9"/>
      <c r="CW525" s="129"/>
      <c r="CX525" s="9"/>
    </row>
    <row r="526" spans="1:102">
      <c r="A526" s="6" t="str">
        <f t="shared" si="81"/>
        <v>01040700</v>
      </c>
      <c r="B526" s="6" t="s">
        <v>1754</v>
      </c>
      <c r="C526" s="6" t="s">
        <v>2035</v>
      </c>
      <c r="D526" s="6">
        <v>517</v>
      </c>
      <c r="E526" s="6">
        <v>104</v>
      </c>
      <c r="F526" s="6" t="s">
        <v>785</v>
      </c>
      <c r="G526" s="6">
        <v>700</v>
      </c>
      <c r="H526" s="6" t="s">
        <v>1065</v>
      </c>
      <c r="I526" s="33">
        <v>287003.95983068057</v>
      </c>
      <c r="J526" s="88">
        <v>0.32424222413576298</v>
      </c>
      <c r="K526" s="89">
        <f t="shared" si="80"/>
        <v>265305.8147080263</v>
      </c>
      <c r="L526" s="88">
        <f>IF(K529&gt;0, K526/K529, 0)</f>
        <v>0.31451275654842403</v>
      </c>
      <c r="M526" s="58"/>
      <c r="N526" s="9">
        <f>ROUND(M529*L526,0)</f>
        <v>218877</v>
      </c>
      <c r="O526" s="9">
        <v>236778</v>
      </c>
      <c r="P526" s="9">
        <f>N526-O526</f>
        <v>-17901</v>
      </c>
      <c r="Q526" s="40">
        <f t="shared" si="79"/>
        <v>-7.5602463066670049</v>
      </c>
      <c r="R526" s="9">
        <v>16.0000000016</v>
      </c>
      <c r="S526" s="9">
        <f t="shared" si="87"/>
        <v>15.00000000096</v>
      </c>
      <c r="T526" s="90">
        <f t="shared" si="82"/>
        <v>104</v>
      </c>
      <c r="U526" s="90">
        <f t="shared" si="83"/>
        <v>700</v>
      </c>
      <c r="V526" s="373">
        <f t="shared" si="84"/>
        <v>517</v>
      </c>
      <c r="W526" s="90">
        <f t="shared" si="85"/>
        <v>15.00000000096</v>
      </c>
      <c r="X526" s="90">
        <f t="shared" si="86"/>
        <v>265305.8147080263</v>
      </c>
      <c r="Y526" s="141">
        <f t="shared" si="88"/>
        <v>517</v>
      </c>
      <c r="Z526" s="298">
        <v>104</v>
      </c>
      <c r="AA526" s="299">
        <v>700</v>
      </c>
      <c r="AB526" s="299">
        <v>517</v>
      </c>
      <c r="AC526" s="301">
        <v>15.00000000096</v>
      </c>
      <c r="AD526" s="301">
        <v>265305.8147080263</v>
      </c>
      <c r="AE526" s="126"/>
      <c r="AF526" s="298"/>
      <c r="AG526" s="299"/>
      <c r="AH526" s="299"/>
      <c r="AI526" s="301"/>
      <c r="AJ526" s="301"/>
      <c r="AK526" s="426"/>
      <c r="AL526" s="298"/>
      <c r="AM526" s="299"/>
      <c r="AN526" s="299"/>
      <c r="AO526" s="301"/>
      <c r="AP526" s="301"/>
      <c r="AQ526" s="426"/>
      <c r="AR526" s="298"/>
      <c r="AS526" s="299"/>
      <c r="AT526" s="299"/>
      <c r="AU526" s="301"/>
      <c r="AV526" s="301"/>
      <c r="AW526" s="88"/>
      <c r="AX526" s="298"/>
      <c r="AY526" s="299"/>
      <c r="AZ526" s="299"/>
      <c r="BA526" s="301"/>
      <c r="BB526" s="301"/>
      <c r="BC526" s="426"/>
      <c r="BD526" s="298"/>
      <c r="BE526" s="299"/>
      <c r="BF526" s="299"/>
      <c r="BG526" s="301"/>
      <c r="BH526" s="301"/>
      <c r="BI526" s="88"/>
      <c r="BJ526" s="298"/>
      <c r="BK526" s="299"/>
      <c r="BL526" s="299"/>
      <c r="BM526" s="301"/>
      <c r="BN526" s="301"/>
      <c r="BO526" s="88"/>
      <c r="BP526" s="9"/>
      <c r="BS526" s="81"/>
      <c r="BT526" s="81"/>
      <c r="BV526" s="9"/>
      <c r="BY526" s="81"/>
      <c r="BZ526" s="81"/>
      <c r="CB526" s="9"/>
      <c r="CE526" s="81"/>
      <c r="CF526" s="81"/>
      <c r="CH526" s="9"/>
      <c r="CK526" s="81"/>
      <c r="CL526" s="81"/>
      <c r="CR526" s="9"/>
      <c r="CS526" s="9"/>
      <c r="CT526" s="9"/>
      <c r="CU526" s="9"/>
      <c r="CV526" s="9"/>
      <c r="CW526" s="129"/>
      <c r="CX526" s="9"/>
    </row>
    <row r="527" spans="1:102">
      <c r="A527" s="6" t="str">
        <f t="shared" si="81"/>
        <v>01040774</v>
      </c>
      <c r="B527" s="6" t="s">
        <v>1754</v>
      </c>
      <c r="C527" s="6" t="s">
        <v>2058</v>
      </c>
      <c r="D527" s="6">
        <v>518</v>
      </c>
      <c r="E527" s="6">
        <v>104</v>
      </c>
      <c r="F527" s="6" t="s">
        <v>785</v>
      </c>
      <c r="G527" s="6">
        <v>774</v>
      </c>
      <c r="H527" s="6" t="s">
        <v>1088</v>
      </c>
      <c r="I527" s="33">
        <v>598148.98592048592</v>
      </c>
      <c r="J527" s="88">
        <v>0.67575777586423702</v>
      </c>
      <c r="K527" s="89">
        <f t="shared" si="80"/>
        <v>578239.66694298096</v>
      </c>
      <c r="L527" s="88">
        <f>IF(K529&gt;0, K527/K529, 0)</f>
        <v>0.68548724345157608</v>
      </c>
      <c r="M527" s="58"/>
      <c r="N527" s="9">
        <f>ROUND(M529*L527,0)</f>
        <v>477048</v>
      </c>
      <c r="O527" s="9">
        <v>493473</v>
      </c>
      <c r="P527" s="9">
        <f>N527-O527</f>
        <v>-16425</v>
      </c>
      <c r="Q527" s="40">
        <f t="shared" si="79"/>
        <v>-3.3284495808281305</v>
      </c>
      <c r="R527" s="9">
        <v>44.56730769104</v>
      </c>
      <c r="S527" s="9">
        <f t="shared" si="87"/>
        <v>43.214285714600003</v>
      </c>
      <c r="T527" s="90">
        <f t="shared" si="82"/>
        <v>104</v>
      </c>
      <c r="U527" s="90">
        <f t="shared" si="83"/>
        <v>774</v>
      </c>
      <c r="V527" s="373">
        <f t="shared" si="84"/>
        <v>518</v>
      </c>
      <c r="W527" s="90">
        <f t="shared" si="85"/>
        <v>43.214285714600003</v>
      </c>
      <c r="X527" s="90">
        <f t="shared" si="86"/>
        <v>578239.66694298096</v>
      </c>
      <c r="Y527" s="141">
        <f t="shared" si="88"/>
        <v>518</v>
      </c>
      <c r="Z527" s="298">
        <v>104</v>
      </c>
      <c r="AA527" s="299">
        <v>774</v>
      </c>
      <c r="AB527" s="299">
        <v>518</v>
      </c>
      <c r="AC527" s="301">
        <v>43.214285714600003</v>
      </c>
      <c r="AD527" s="301">
        <v>578239.66694298096</v>
      </c>
      <c r="AE527" s="126"/>
      <c r="AF527" s="298"/>
      <c r="AG527" s="299"/>
      <c r="AH527" s="299"/>
      <c r="AI527" s="301"/>
      <c r="AJ527" s="301"/>
      <c r="AK527" s="426"/>
      <c r="AL527" s="298"/>
      <c r="AM527" s="299"/>
      <c r="AN527" s="299"/>
      <c r="AO527" s="301"/>
      <c r="AP527" s="301"/>
      <c r="AQ527" s="426"/>
      <c r="AR527" s="298"/>
      <c r="AS527" s="299"/>
      <c r="AT527" s="299"/>
      <c r="AU527" s="301"/>
      <c r="AV527" s="301"/>
      <c r="AW527" s="88"/>
      <c r="AX527" s="298"/>
      <c r="AY527" s="299"/>
      <c r="AZ527" s="299"/>
      <c r="BA527" s="301"/>
      <c r="BB527" s="301"/>
      <c r="BC527" s="426"/>
      <c r="BD527" s="298"/>
      <c r="BE527" s="299"/>
      <c r="BF527" s="299"/>
      <c r="BG527" s="301"/>
      <c r="BH527" s="301"/>
      <c r="BI527" s="88"/>
      <c r="BJ527" s="298"/>
      <c r="BK527" s="299"/>
      <c r="BL527" s="299"/>
      <c r="BM527" s="301"/>
      <c r="BN527" s="301"/>
      <c r="BO527" s="88"/>
      <c r="BP527" s="9"/>
      <c r="BS527" s="81"/>
      <c r="BT527" s="81"/>
      <c r="BV527" s="9"/>
      <c r="BY527" s="81"/>
      <c r="BZ527" s="81"/>
      <c r="CB527" s="9"/>
      <c r="CE527" s="81"/>
      <c r="CF527" s="81"/>
      <c r="CH527" s="9"/>
      <c r="CK527" s="81"/>
      <c r="CL527" s="81"/>
      <c r="CR527" s="9"/>
      <c r="CS527" s="9"/>
      <c r="CT527" s="9"/>
      <c r="CU527" s="9"/>
      <c r="CV527" s="9"/>
      <c r="CW527" s="129"/>
      <c r="CX527" s="9"/>
    </row>
    <row r="528" spans="1:102">
      <c r="A528" s="6" t="str">
        <f t="shared" si="81"/>
        <v>01040998</v>
      </c>
      <c r="B528" s="6" t="s">
        <v>1754</v>
      </c>
      <c r="C528" s="6" t="s">
        <v>2091</v>
      </c>
      <c r="D528" s="6">
        <v>519</v>
      </c>
      <c r="E528" s="6">
        <v>104</v>
      </c>
      <c r="F528" s="6" t="s">
        <v>1547</v>
      </c>
      <c r="G528" s="6">
        <v>998</v>
      </c>
      <c r="H528" s="6" t="s">
        <v>1547</v>
      </c>
      <c r="I528" s="33">
        <v>0</v>
      </c>
      <c r="J528" s="88">
        <v>0</v>
      </c>
      <c r="K528" s="89">
        <f t="shared" si="80"/>
        <v>0</v>
      </c>
      <c r="L528" s="88">
        <f>IF(K529&gt;0, K528/K529, 0)</f>
        <v>0</v>
      </c>
      <c r="M528" s="58"/>
      <c r="N528" s="9">
        <f>ROUND(M529*L528,0)</f>
        <v>0</v>
      </c>
      <c r="O528" s="9">
        <v>0</v>
      </c>
      <c r="P528" s="9">
        <f>N528-O528</f>
        <v>0</v>
      </c>
      <c r="Q528" s="40">
        <f>IF(O528&gt;0,P528*100/O528,IF(P528&gt;0,100,0))</f>
        <v>0</v>
      </c>
      <c r="R528" s="9">
        <v>0</v>
      </c>
      <c r="S528" s="9">
        <f t="shared" si="87"/>
        <v>0</v>
      </c>
      <c r="T528" s="90">
        <f t="shared" si="82"/>
        <v>104</v>
      </c>
      <c r="U528" s="90">
        <f t="shared" si="83"/>
        <v>998</v>
      </c>
      <c r="V528" s="373">
        <f t="shared" si="84"/>
        <v>519</v>
      </c>
      <c r="W528" s="90">
        <f t="shared" si="85"/>
        <v>0</v>
      </c>
      <c r="X528" s="90">
        <f t="shared" si="86"/>
        <v>0</v>
      </c>
      <c r="Y528" s="141">
        <f t="shared" si="88"/>
        <v>519</v>
      </c>
      <c r="Z528" s="298">
        <v>104</v>
      </c>
      <c r="AA528" s="299">
        <v>998</v>
      </c>
      <c r="AB528" s="299">
        <v>519</v>
      </c>
      <c r="AC528" s="301">
        <v>0</v>
      </c>
      <c r="AD528" s="301">
        <v>0</v>
      </c>
      <c r="AE528" s="126"/>
      <c r="AF528" s="298"/>
      <c r="AG528" s="299"/>
      <c r="AH528" s="299"/>
      <c r="AI528" s="301"/>
      <c r="AJ528" s="301"/>
      <c r="AK528" s="426"/>
      <c r="AL528" s="298"/>
      <c r="AM528" s="299"/>
      <c r="AN528" s="299"/>
      <c r="AO528" s="301"/>
      <c r="AP528" s="301"/>
      <c r="AQ528" s="426"/>
      <c r="AR528" s="298"/>
      <c r="AS528" s="299"/>
      <c r="AT528" s="299"/>
      <c r="AU528" s="301"/>
      <c r="AV528" s="301"/>
      <c r="AW528" s="88"/>
      <c r="AX528" s="298"/>
      <c r="AY528" s="299"/>
      <c r="AZ528" s="299"/>
      <c r="BA528" s="301"/>
      <c r="BB528" s="301"/>
      <c r="BC528" s="426"/>
      <c r="BD528" s="298"/>
      <c r="BE528" s="299"/>
      <c r="BF528" s="299"/>
      <c r="BG528" s="301"/>
      <c r="BH528" s="301"/>
      <c r="BI528" s="88"/>
      <c r="BJ528" s="298"/>
      <c r="BK528" s="299"/>
      <c r="BL528" s="299"/>
      <c r="BM528" s="301"/>
      <c r="BN528" s="301"/>
      <c r="BO528" s="88"/>
      <c r="BP528" s="9"/>
      <c r="BS528" s="81"/>
      <c r="BT528" s="81"/>
      <c r="BV528" s="9"/>
      <c r="BY528" s="81"/>
      <c r="BZ528" s="81"/>
      <c r="CB528" s="9"/>
      <c r="CE528" s="81"/>
      <c r="CF528" s="81"/>
      <c r="CH528" s="9"/>
      <c r="CK528" s="81"/>
      <c r="CL528" s="81"/>
      <c r="CR528" s="9"/>
      <c r="CS528" s="9"/>
      <c r="CT528" s="9"/>
      <c r="CU528" s="9"/>
      <c r="CV528" s="9"/>
      <c r="CW528" s="129"/>
      <c r="CX528" s="9"/>
    </row>
    <row r="529" spans="1:102">
      <c r="A529" s="6" t="str">
        <f t="shared" si="81"/>
        <v>01040999</v>
      </c>
      <c r="B529" s="6" t="s">
        <v>1754</v>
      </c>
      <c r="C529" s="6" t="s">
        <v>2092</v>
      </c>
      <c r="D529" s="6">
        <v>520</v>
      </c>
      <c r="E529" s="10">
        <v>104</v>
      </c>
      <c r="F529" s="10" t="s">
        <v>785</v>
      </c>
      <c r="G529" s="10">
        <v>999</v>
      </c>
      <c r="H529" s="10" t="s">
        <v>593</v>
      </c>
      <c r="I529" s="92">
        <v>885152.94575116644</v>
      </c>
      <c r="J529" s="472">
        <v>1</v>
      </c>
      <c r="K529" s="53">
        <f>SUM(K525:K528)</f>
        <v>843545.4816510072</v>
      </c>
      <c r="L529" s="91">
        <f>SUM(L525:L528)</f>
        <v>1</v>
      </c>
      <c r="M529" s="79">
        <f>VLOOKUP(E529,town351,24)</f>
        <v>695925</v>
      </c>
      <c r="N529" s="79">
        <f>SUM(N525:N528)</f>
        <v>695925</v>
      </c>
      <c r="O529" s="79">
        <v>730251</v>
      </c>
      <c r="P529" s="79">
        <f>SUM(P525:P528)</f>
        <v>-34326</v>
      </c>
      <c r="Q529" s="39">
        <f t="shared" ref="Q529:Q591" si="89">IF(O529&gt;0,P529*100/O529,IF(P529&gt;0,100,0))</f>
        <v>-4.7005755555281681</v>
      </c>
      <c r="R529" s="9">
        <v>60.56730769264</v>
      </c>
      <c r="S529" s="9">
        <f t="shared" si="87"/>
        <v>58.214285715560003</v>
      </c>
      <c r="T529" s="90">
        <f t="shared" si="82"/>
        <v>104</v>
      </c>
      <c r="U529" s="90">
        <f t="shared" si="83"/>
        <v>999</v>
      </c>
      <c r="V529" s="373">
        <f t="shared" si="84"/>
        <v>520</v>
      </c>
      <c r="W529" s="90">
        <f t="shared" si="85"/>
        <v>58.214285715560003</v>
      </c>
      <c r="X529" s="90">
        <f t="shared" si="86"/>
        <v>843545.4816510072</v>
      </c>
      <c r="Y529" s="141">
        <f t="shared" si="88"/>
        <v>520</v>
      </c>
      <c r="Z529" s="298">
        <v>104</v>
      </c>
      <c r="AA529" s="299">
        <v>999</v>
      </c>
      <c r="AB529" s="299">
        <v>520</v>
      </c>
      <c r="AC529" s="301">
        <v>58.214285715560003</v>
      </c>
      <c r="AD529" s="301">
        <v>843545.4816510072</v>
      </c>
      <c r="AE529" s="126"/>
      <c r="AF529" s="298"/>
      <c r="AG529" s="299"/>
      <c r="AH529" s="299"/>
      <c r="AI529" s="301"/>
      <c r="AJ529" s="301"/>
      <c r="AK529" s="426"/>
      <c r="AL529" s="298"/>
      <c r="AM529" s="299"/>
      <c r="AN529" s="299"/>
      <c r="AO529" s="301"/>
      <c r="AP529" s="301"/>
      <c r="AQ529" s="426"/>
      <c r="AR529" s="298"/>
      <c r="AS529" s="299"/>
      <c r="AT529" s="299"/>
      <c r="AU529" s="301"/>
      <c r="AV529" s="301"/>
      <c r="AW529" s="91"/>
      <c r="AX529" s="298"/>
      <c r="AY529" s="299"/>
      <c r="AZ529" s="299"/>
      <c r="BA529" s="301"/>
      <c r="BB529" s="301"/>
      <c r="BC529" s="426"/>
      <c r="BD529" s="298"/>
      <c r="BE529" s="299"/>
      <c r="BF529" s="299"/>
      <c r="BG529" s="301"/>
      <c r="BH529" s="301"/>
      <c r="BI529" s="91"/>
      <c r="BJ529" s="298"/>
      <c r="BK529" s="299"/>
      <c r="BL529" s="299"/>
      <c r="BM529" s="301"/>
      <c r="BN529" s="301"/>
      <c r="BO529" s="91"/>
      <c r="BP529" s="9"/>
      <c r="BS529" s="81"/>
      <c r="BT529" s="81"/>
      <c r="BV529" s="9"/>
      <c r="BY529" s="81"/>
      <c r="BZ529" s="81"/>
      <c r="CB529" s="9"/>
      <c r="CE529" s="81"/>
      <c r="CF529" s="81"/>
      <c r="CH529" s="9"/>
      <c r="CK529" s="81"/>
      <c r="CL529" s="81"/>
      <c r="CR529" s="9"/>
      <c r="CS529" s="9"/>
      <c r="CT529" s="9"/>
      <c r="CU529" s="9"/>
      <c r="CV529" s="9"/>
      <c r="CW529" s="129"/>
      <c r="CX529" s="9"/>
    </row>
    <row r="530" spans="1:102">
      <c r="A530" s="6" t="str">
        <f t="shared" si="81"/>
        <v>01050105</v>
      </c>
      <c r="B530" s="6" t="s">
        <v>1755</v>
      </c>
      <c r="C530" s="6" t="s">
        <v>1755</v>
      </c>
      <c r="D530" s="6">
        <v>521</v>
      </c>
      <c r="E530" s="6">
        <v>105</v>
      </c>
      <c r="F530" s="6" t="s">
        <v>1223</v>
      </c>
      <c r="G530" s="6">
        <v>105</v>
      </c>
      <c r="H530" s="6" t="s">
        <v>786</v>
      </c>
      <c r="I530" s="33">
        <v>15011687.49</v>
      </c>
      <c r="J530" s="88">
        <v>0.92919051549336495</v>
      </c>
      <c r="K530" s="89">
        <f>X530</f>
        <v>15097839.610000001</v>
      </c>
      <c r="L530" s="88">
        <f>IF(K534&gt;0, K530/K534, 0)</f>
        <v>0.92060355500788882</v>
      </c>
      <c r="M530" s="58"/>
      <c r="N530" s="9">
        <f>ROUND(M534*L530,0)</f>
        <v>11942079</v>
      </c>
      <c r="O530" s="9">
        <v>11377637</v>
      </c>
      <c r="P530" s="9">
        <f>N530-O530</f>
        <v>564442</v>
      </c>
      <c r="Q530" s="40">
        <f t="shared" si="89"/>
        <v>4.9609773980308915</v>
      </c>
      <c r="R530" s="9">
        <v>1229</v>
      </c>
      <c r="S530" s="9">
        <f t="shared" si="87"/>
        <v>1196</v>
      </c>
      <c r="T530" s="90">
        <f t="shared" si="82"/>
        <v>105</v>
      </c>
      <c r="U530" s="90">
        <f t="shared" si="83"/>
        <v>105</v>
      </c>
      <c r="V530" s="373">
        <f t="shared" si="84"/>
        <v>521</v>
      </c>
      <c r="W530" s="90">
        <f t="shared" si="85"/>
        <v>1196</v>
      </c>
      <c r="X530" s="90">
        <f t="shared" si="86"/>
        <v>15097839.610000001</v>
      </c>
      <c r="Y530" s="141">
        <f t="shared" si="88"/>
        <v>521</v>
      </c>
      <c r="Z530" s="298">
        <v>105</v>
      </c>
      <c r="AA530" s="299">
        <v>105</v>
      </c>
      <c r="AB530" s="299">
        <v>521</v>
      </c>
      <c r="AC530" s="301">
        <v>1196</v>
      </c>
      <c r="AD530" s="301">
        <v>15097839.610000001</v>
      </c>
      <c r="AE530" s="126"/>
      <c r="AF530" s="298"/>
      <c r="AG530" s="299"/>
      <c r="AH530" s="299"/>
      <c r="AI530" s="301"/>
      <c r="AJ530" s="301"/>
      <c r="AK530" s="426"/>
      <c r="AL530" s="298"/>
      <c r="AM530" s="299"/>
      <c r="AN530" s="299"/>
      <c r="AO530" s="301"/>
      <c r="AP530" s="301"/>
      <c r="AQ530" s="426"/>
      <c r="AR530" s="298"/>
      <c r="AS530" s="299"/>
      <c r="AT530" s="299"/>
      <c r="AU530" s="301"/>
      <c r="AV530" s="301"/>
      <c r="AW530" s="88"/>
      <c r="AX530" s="298"/>
      <c r="AY530" s="299"/>
      <c r="AZ530" s="299"/>
      <c r="BA530" s="301"/>
      <c r="BB530" s="301"/>
      <c r="BC530" s="426"/>
      <c r="BD530" s="298"/>
      <c r="BE530" s="299"/>
      <c r="BF530" s="299"/>
      <c r="BG530" s="301"/>
      <c r="BH530" s="301"/>
      <c r="BI530" s="88"/>
      <c r="BJ530" s="298"/>
      <c r="BK530" s="299"/>
      <c r="BL530" s="299"/>
      <c r="BM530" s="301"/>
      <c r="BN530" s="301"/>
      <c r="BO530" s="88"/>
      <c r="BP530" s="9"/>
      <c r="BS530" s="81"/>
      <c r="BT530" s="81"/>
      <c r="BV530" s="9"/>
      <c r="BY530" s="81"/>
      <c r="BZ530" s="81"/>
      <c r="CB530" s="9"/>
      <c r="CE530" s="81"/>
      <c r="CF530" s="81"/>
      <c r="CH530" s="9"/>
      <c r="CK530" s="81"/>
      <c r="CL530" s="81"/>
      <c r="CR530" s="9"/>
      <c r="CS530" s="9"/>
      <c r="CT530" s="9"/>
      <c r="CU530" s="9"/>
      <c r="CV530" s="9"/>
      <c r="CW530" s="129"/>
      <c r="CX530" s="9"/>
    </row>
    <row r="531" spans="1:102">
      <c r="A531" s="6" t="str">
        <f t="shared" si="81"/>
        <v>01050885</v>
      </c>
      <c r="B531" s="6" t="s">
        <v>1755</v>
      </c>
      <c r="C531" s="6" t="s">
        <v>2087</v>
      </c>
      <c r="D531" s="6">
        <v>522</v>
      </c>
      <c r="E531" s="6">
        <v>105</v>
      </c>
      <c r="F531" s="6" t="s">
        <v>1223</v>
      </c>
      <c r="G531" s="6">
        <v>885</v>
      </c>
      <c r="H531" s="6" t="s">
        <v>1117</v>
      </c>
      <c r="I531" s="33">
        <v>1143974.0666930992</v>
      </c>
      <c r="J531" s="88">
        <v>7.0809484506635031E-2</v>
      </c>
      <c r="K531" s="89">
        <f t="shared" si="80"/>
        <v>1302096.6360322267</v>
      </c>
      <c r="L531" s="88">
        <f>IF(K534&gt;0, K531/K534, 0)</f>
        <v>7.9396444992111098E-2</v>
      </c>
      <c r="M531" s="58"/>
      <c r="N531" s="9">
        <f>ROUND(M534*L531,0)</f>
        <v>1029931</v>
      </c>
      <c r="O531" s="9">
        <v>867039</v>
      </c>
      <c r="P531" s="9">
        <f>N531-O531</f>
        <v>162892</v>
      </c>
      <c r="Q531" s="40">
        <f t="shared" si="89"/>
        <v>18.78715951646927</v>
      </c>
      <c r="R531" s="9">
        <v>54.999999997499998</v>
      </c>
      <c r="S531" s="9">
        <f t="shared" si="87"/>
        <v>61.143642074980001</v>
      </c>
      <c r="T531" s="90">
        <f t="shared" si="82"/>
        <v>105</v>
      </c>
      <c r="U531" s="90">
        <f t="shared" si="83"/>
        <v>885</v>
      </c>
      <c r="V531" s="373">
        <f t="shared" si="84"/>
        <v>522</v>
      </c>
      <c r="W531" s="90">
        <f t="shared" si="85"/>
        <v>61.143642074980001</v>
      </c>
      <c r="X531" s="90">
        <f t="shared" si="86"/>
        <v>1302096.6360322267</v>
      </c>
      <c r="Y531" s="141">
        <f t="shared" si="88"/>
        <v>522</v>
      </c>
      <c r="Z531" s="298">
        <v>105</v>
      </c>
      <c r="AA531" s="299">
        <v>885</v>
      </c>
      <c r="AB531" s="299">
        <v>522</v>
      </c>
      <c r="AC531" s="301">
        <v>61.143642074980001</v>
      </c>
      <c r="AD531" s="301">
        <v>1302096.6360322267</v>
      </c>
      <c r="AE531" s="126"/>
      <c r="AF531" s="298"/>
      <c r="AG531" s="299"/>
      <c r="AH531" s="299"/>
      <c r="AI531" s="301"/>
      <c r="AJ531" s="301"/>
      <c r="AK531" s="426"/>
      <c r="AL531" s="298"/>
      <c r="AM531" s="299"/>
      <c r="AN531" s="299"/>
      <c r="AO531" s="301"/>
      <c r="AP531" s="301"/>
      <c r="AQ531" s="426"/>
      <c r="AR531" s="298"/>
      <c r="AS531" s="299"/>
      <c r="AT531" s="299"/>
      <c r="AU531" s="301"/>
      <c r="AV531" s="301"/>
      <c r="AW531" s="88"/>
      <c r="AX531" s="298"/>
      <c r="AY531" s="299"/>
      <c r="AZ531" s="299"/>
      <c r="BA531" s="301"/>
      <c r="BB531" s="301"/>
      <c r="BC531" s="426"/>
      <c r="BD531" s="298"/>
      <c r="BE531" s="299"/>
      <c r="BF531" s="299"/>
      <c r="BG531" s="301"/>
      <c r="BH531" s="301"/>
      <c r="BI531" s="88"/>
      <c r="BJ531" s="298"/>
      <c r="BK531" s="299"/>
      <c r="BL531" s="299"/>
      <c r="BM531" s="301"/>
      <c r="BN531" s="301"/>
      <c r="BO531" s="88"/>
      <c r="BP531" s="9"/>
      <c r="BS531" s="81"/>
      <c r="BT531" s="81"/>
      <c r="BV531" s="9"/>
      <c r="BY531" s="81"/>
      <c r="BZ531" s="81"/>
      <c r="CB531" s="9"/>
      <c r="CE531" s="81"/>
      <c r="CF531" s="81"/>
      <c r="CH531" s="9"/>
      <c r="CK531" s="81"/>
      <c r="CL531" s="81"/>
      <c r="CR531" s="9"/>
      <c r="CS531" s="9"/>
      <c r="CT531" s="9"/>
      <c r="CU531" s="9"/>
      <c r="CV531" s="9"/>
      <c r="CW531" s="129"/>
      <c r="CX531" s="9"/>
    </row>
    <row r="532" spans="1:102">
      <c r="A532" s="6" t="str">
        <f t="shared" si="81"/>
        <v>01050998</v>
      </c>
      <c r="B532" s="6" t="s">
        <v>1755</v>
      </c>
      <c r="C532" s="6" t="s">
        <v>2091</v>
      </c>
      <c r="D532" s="6">
        <v>523</v>
      </c>
      <c r="E532" s="6">
        <v>105</v>
      </c>
      <c r="F532" s="6" t="s">
        <v>1547</v>
      </c>
      <c r="G532" s="6">
        <v>998</v>
      </c>
      <c r="I532" s="33">
        <v>0</v>
      </c>
      <c r="J532" s="88">
        <v>0</v>
      </c>
      <c r="K532" s="89">
        <f t="shared" si="80"/>
        <v>0</v>
      </c>
      <c r="L532" s="88">
        <f>IF(K534&gt;0, K532/K534, 0)</f>
        <v>0</v>
      </c>
      <c r="M532" s="58"/>
      <c r="N532" s="9">
        <f>ROUND(M534*L532,0)</f>
        <v>0</v>
      </c>
      <c r="O532" s="9">
        <v>0</v>
      </c>
      <c r="P532" s="9">
        <f>N532-O532</f>
        <v>0</v>
      </c>
      <c r="Q532" s="40">
        <f t="shared" si="89"/>
        <v>0</v>
      </c>
      <c r="R532" s="9">
        <v>0</v>
      </c>
      <c r="S532" s="9">
        <f t="shared" si="87"/>
        <v>0</v>
      </c>
      <c r="T532" s="90">
        <f t="shared" si="82"/>
        <v>105</v>
      </c>
      <c r="U532" s="90">
        <f t="shared" si="83"/>
        <v>998</v>
      </c>
      <c r="V532" s="373">
        <f t="shared" si="84"/>
        <v>523</v>
      </c>
      <c r="W532" s="90">
        <f t="shared" si="85"/>
        <v>0</v>
      </c>
      <c r="X532" s="90">
        <f t="shared" si="86"/>
        <v>0</v>
      </c>
      <c r="Y532" s="141">
        <f t="shared" si="88"/>
        <v>523</v>
      </c>
      <c r="Z532" s="298">
        <v>105</v>
      </c>
      <c r="AA532" s="299">
        <v>998</v>
      </c>
      <c r="AB532" s="299">
        <v>523</v>
      </c>
      <c r="AC532" s="301">
        <v>0</v>
      </c>
      <c r="AD532" s="301">
        <v>0</v>
      </c>
      <c r="AE532" s="126"/>
      <c r="AF532" s="298"/>
      <c r="AG532" s="299"/>
      <c r="AH532" s="299"/>
      <c r="AI532" s="301"/>
      <c r="AJ532" s="301"/>
      <c r="AK532" s="426"/>
      <c r="AL532" s="298"/>
      <c r="AM532" s="299"/>
      <c r="AN532" s="299"/>
      <c r="AO532" s="301"/>
      <c r="AP532" s="301"/>
      <c r="AQ532" s="426"/>
      <c r="AR532" s="298"/>
      <c r="AS532" s="299"/>
      <c r="AT532" s="299"/>
      <c r="AU532" s="301"/>
      <c r="AV532" s="301"/>
      <c r="AW532" s="88"/>
      <c r="AX532" s="298"/>
      <c r="AY532" s="299"/>
      <c r="AZ532" s="299"/>
      <c r="BA532" s="301"/>
      <c r="BB532" s="301"/>
      <c r="BC532" s="426"/>
      <c r="BD532" s="298"/>
      <c r="BE532" s="299"/>
      <c r="BF532" s="299"/>
      <c r="BG532" s="301"/>
      <c r="BH532" s="301"/>
      <c r="BI532" s="88"/>
      <c r="BJ532" s="298"/>
      <c r="BK532" s="299"/>
      <c r="BL532" s="299"/>
      <c r="BM532" s="301"/>
      <c r="BN532" s="301"/>
      <c r="BO532" s="88"/>
      <c r="BP532" s="9"/>
      <c r="BS532" s="81"/>
      <c r="BT532" s="81"/>
      <c r="BV532" s="9"/>
      <c r="BY532" s="81"/>
      <c r="BZ532" s="81"/>
      <c r="CB532" s="9"/>
      <c r="CE532" s="81"/>
      <c r="CF532" s="81"/>
      <c r="CH532" s="9"/>
      <c r="CK532" s="81"/>
      <c r="CL532" s="81"/>
      <c r="CR532" s="9"/>
      <c r="CS532" s="9"/>
      <c r="CT532" s="9"/>
      <c r="CU532" s="9"/>
      <c r="CV532" s="9"/>
      <c r="CW532" s="129"/>
      <c r="CX532" s="9"/>
    </row>
    <row r="533" spans="1:102">
      <c r="A533" s="6" t="str">
        <f t="shared" si="81"/>
        <v>01050998</v>
      </c>
      <c r="B533" s="6" t="s">
        <v>1755</v>
      </c>
      <c r="C533" s="6" t="s">
        <v>2091</v>
      </c>
      <c r="D533" s="6">
        <v>524</v>
      </c>
      <c r="E533" s="6">
        <v>105</v>
      </c>
      <c r="F533" s="6" t="s">
        <v>1547</v>
      </c>
      <c r="G533" s="6">
        <v>998</v>
      </c>
      <c r="H533" s="6" t="s">
        <v>1547</v>
      </c>
      <c r="I533" s="33">
        <v>0</v>
      </c>
      <c r="J533" s="88">
        <v>0</v>
      </c>
      <c r="K533" s="89">
        <f t="shared" si="80"/>
        <v>0</v>
      </c>
      <c r="L533" s="88">
        <f>IF(K534&gt;0, K533/K534, 0)</f>
        <v>0</v>
      </c>
      <c r="M533" s="58"/>
      <c r="N533" s="9">
        <f>ROUND(M534*L533,0)</f>
        <v>0</v>
      </c>
      <c r="O533" s="9">
        <v>0</v>
      </c>
      <c r="P533" s="9">
        <f>N533-O533</f>
        <v>0</v>
      </c>
      <c r="Q533" s="40">
        <f t="shared" si="89"/>
        <v>0</v>
      </c>
      <c r="R533" s="9">
        <v>0</v>
      </c>
      <c r="S533" s="9">
        <f t="shared" si="87"/>
        <v>0</v>
      </c>
      <c r="T533" s="90">
        <f t="shared" si="82"/>
        <v>105</v>
      </c>
      <c r="U533" s="90">
        <f t="shared" si="83"/>
        <v>998</v>
      </c>
      <c r="V533" s="373">
        <f t="shared" si="84"/>
        <v>524</v>
      </c>
      <c r="W533" s="90">
        <f t="shared" si="85"/>
        <v>0</v>
      </c>
      <c r="X533" s="90">
        <f t="shared" si="86"/>
        <v>0</v>
      </c>
      <c r="Y533" s="141">
        <f t="shared" si="88"/>
        <v>524</v>
      </c>
      <c r="Z533" s="298">
        <v>105</v>
      </c>
      <c r="AA533" s="299">
        <v>998</v>
      </c>
      <c r="AB533" s="299">
        <v>524</v>
      </c>
      <c r="AC533" s="301">
        <v>0</v>
      </c>
      <c r="AD533" s="301">
        <v>0</v>
      </c>
      <c r="AE533" s="126"/>
      <c r="AF533" s="298"/>
      <c r="AG533" s="299"/>
      <c r="AH533" s="299"/>
      <c r="AI533" s="301"/>
      <c r="AJ533" s="301"/>
      <c r="AK533" s="426"/>
      <c r="AL533" s="298"/>
      <c r="AM533" s="299"/>
      <c r="AN533" s="299"/>
      <c r="AO533" s="301"/>
      <c r="AP533" s="301"/>
      <c r="AQ533" s="426"/>
      <c r="AR533" s="298"/>
      <c r="AS533" s="299"/>
      <c r="AT533" s="299"/>
      <c r="AU533" s="301"/>
      <c r="AV533" s="301"/>
      <c r="AW533" s="88"/>
      <c r="AX533" s="298"/>
      <c r="AY533" s="299"/>
      <c r="AZ533" s="299"/>
      <c r="BA533" s="301"/>
      <c r="BB533" s="301"/>
      <c r="BC533" s="426"/>
      <c r="BD533" s="298"/>
      <c r="BE533" s="299"/>
      <c r="BF533" s="299"/>
      <c r="BG533" s="301"/>
      <c r="BH533" s="301"/>
      <c r="BI533" s="88"/>
      <c r="BJ533" s="298"/>
      <c r="BK533" s="299"/>
      <c r="BL533" s="299"/>
      <c r="BM533" s="301"/>
      <c r="BN533" s="301"/>
      <c r="BO533" s="88"/>
      <c r="BP533" s="9"/>
      <c r="BS533" s="81"/>
      <c r="BT533" s="81"/>
      <c r="BV533" s="9"/>
      <c r="BY533" s="81"/>
      <c r="BZ533" s="81"/>
      <c r="CB533" s="9"/>
      <c r="CE533" s="81"/>
      <c r="CF533" s="81"/>
      <c r="CH533" s="9"/>
      <c r="CK533" s="81"/>
      <c r="CL533" s="81"/>
      <c r="CR533" s="9"/>
      <c r="CS533" s="9"/>
      <c r="CT533" s="9"/>
      <c r="CU533" s="9"/>
      <c r="CV533" s="9"/>
      <c r="CW533" s="129"/>
      <c r="CX533" s="9"/>
    </row>
    <row r="534" spans="1:102">
      <c r="A534" s="6" t="str">
        <f t="shared" si="81"/>
        <v>01050999</v>
      </c>
      <c r="B534" s="6" t="s">
        <v>1755</v>
      </c>
      <c r="C534" s="6" t="s">
        <v>2092</v>
      </c>
      <c r="D534" s="6">
        <v>525</v>
      </c>
      <c r="E534" s="10">
        <v>105</v>
      </c>
      <c r="F534" s="10" t="s">
        <v>1223</v>
      </c>
      <c r="G534" s="10">
        <v>999</v>
      </c>
      <c r="H534" s="10" t="s">
        <v>593</v>
      </c>
      <c r="I534" s="92">
        <v>16155661.556693099</v>
      </c>
      <c r="J534" s="472">
        <v>1</v>
      </c>
      <c r="K534" s="53">
        <f>SUM(K530:K533)</f>
        <v>16399936.246032229</v>
      </c>
      <c r="L534" s="91">
        <f>SUM(L530:L533)</f>
        <v>0.99999999999999989</v>
      </c>
      <c r="M534" s="79">
        <f>VLOOKUP(E534,town351,24)</f>
        <v>12972010</v>
      </c>
      <c r="N534" s="79">
        <f>SUM(N530:N533)</f>
        <v>12972010</v>
      </c>
      <c r="O534" s="79">
        <v>12244676</v>
      </c>
      <c r="P534" s="79">
        <f>SUM(P530:P533)</f>
        <v>727334</v>
      </c>
      <c r="Q534" s="39">
        <f t="shared" si="89"/>
        <v>5.9400020057696912</v>
      </c>
      <c r="R534" s="9">
        <v>1283.9999999975</v>
      </c>
      <c r="S534" s="9">
        <f t="shared" si="87"/>
        <v>1257.1436420749801</v>
      </c>
      <c r="T534" s="90">
        <f t="shared" si="82"/>
        <v>105</v>
      </c>
      <c r="U534" s="90">
        <f t="shared" si="83"/>
        <v>999</v>
      </c>
      <c r="V534" s="373">
        <f t="shared" si="84"/>
        <v>525</v>
      </c>
      <c r="W534" s="90">
        <f t="shared" si="85"/>
        <v>1257.1436420749801</v>
      </c>
      <c r="X534" s="90">
        <f t="shared" si="86"/>
        <v>16399936.246032229</v>
      </c>
      <c r="Y534" s="141">
        <f t="shared" si="88"/>
        <v>525</v>
      </c>
      <c r="Z534" s="298">
        <v>105</v>
      </c>
      <c r="AA534" s="299">
        <v>999</v>
      </c>
      <c r="AB534" s="299">
        <v>525</v>
      </c>
      <c r="AC534" s="301">
        <v>1257.1436420749801</v>
      </c>
      <c r="AD534" s="301">
        <v>16399936.246032229</v>
      </c>
      <c r="AE534" s="126"/>
      <c r="AF534" s="298"/>
      <c r="AG534" s="299"/>
      <c r="AH534" s="299"/>
      <c r="AI534" s="301"/>
      <c r="AJ534" s="301"/>
      <c r="AK534" s="426"/>
      <c r="AL534" s="298"/>
      <c r="AM534" s="299"/>
      <c r="AN534" s="299"/>
      <c r="AO534" s="301"/>
      <c r="AP534" s="301"/>
      <c r="AQ534" s="426"/>
      <c r="AR534" s="298"/>
      <c r="AS534" s="299"/>
      <c r="AT534" s="299"/>
      <c r="AU534" s="301"/>
      <c r="AV534" s="301"/>
      <c r="AW534" s="91"/>
      <c r="AX534" s="298"/>
      <c r="AY534" s="299"/>
      <c r="AZ534" s="299"/>
      <c r="BA534" s="301"/>
      <c r="BB534" s="301"/>
      <c r="BC534" s="426"/>
      <c r="BD534" s="298"/>
      <c r="BE534" s="299"/>
      <c r="BF534" s="299"/>
      <c r="BG534" s="301"/>
      <c r="BH534" s="301"/>
      <c r="BI534" s="91"/>
      <c r="BJ534" s="298"/>
      <c r="BK534" s="299"/>
      <c r="BL534" s="299"/>
      <c r="BM534" s="301"/>
      <c r="BN534" s="301"/>
      <c r="BO534" s="91"/>
      <c r="BP534" s="9"/>
      <c r="BS534" s="81"/>
      <c r="BT534" s="81"/>
      <c r="BV534" s="9"/>
      <c r="BY534" s="81"/>
      <c r="BZ534" s="81"/>
      <c r="CB534" s="9"/>
      <c r="CE534" s="81"/>
      <c r="CF534" s="81"/>
      <c r="CH534" s="9"/>
      <c r="CK534" s="81"/>
      <c r="CL534" s="81"/>
      <c r="CR534" s="9"/>
      <c r="CS534" s="9"/>
      <c r="CT534" s="9"/>
      <c r="CU534" s="9"/>
      <c r="CV534" s="9"/>
      <c r="CW534" s="129"/>
      <c r="CX534" s="9"/>
    </row>
    <row r="535" spans="1:102">
      <c r="A535" s="6" t="str">
        <f t="shared" si="81"/>
        <v>01060106</v>
      </c>
      <c r="B535" s="6" t="s">
        <v>1756</v>
      </c>
      <c r="C535" s="6" t="s">
        <v>1756</v>
      </c>
      <c r="D535" s="6">
        <v>526</v>
      </c>
      <c r="E535" s="6">
        <v>106</v>
      </c>
      <c r="F535" s="6" t="s">
        <v>1224</v>
      </c>
      <c r="G535" s="6">
        <v>106</v>
      </c>
      <c r="H535" s="6" t="s">
        <v>787</v>
      </c>
      <c r="I535" s="33">
        <v>0</v>
      </c>
      <c r="J535" s="88">
        <v>0</v>
      </c>
      <c r="K535" s="89">
        <f t="shared" ref="K535:K598" si="90">X535</f>
        <v>0</v>
      </c>
      <c r="L535" s="88">
        <f>IF(K539&gt;0, K535/K539, 0)</f>
        <v>0</v>
      </c>
      <c r="M535" s="58"/>
      <c r="N535" s="9">
        <f>ROUND(M539*L535,0)</f>
        <v>0</v>
      </c>
      <c r="O535" s="9">
        <v>0</v>
      </c>
      <c r="P535" s="9">
        <f>N535-O535</f>
        <v>0</v>
      </c>
      <c r="Q535" s="40">
        <f t="shared" si="89"/>
        <v>0</v>
      </c>
      <c r="R535" s="9">
        <v>0</v>
      </c>
      <c r="S535" s="9">
        <f t="shared" si="87"/>
        <v>0</v>
      </c>
      <c r="T535" s="90">
        <f t="shared" si="82"/>
        <v>106</v>
      </c>
      <c r="U535" s="90">
        <f t="shared" si="83"/>
        <v>106</v>
      </c>
      <c r="V535" s="373">
        <f t="shared" si="84"/>
        <v>526</v>
      </c>
      <c r="W535" s="90">
        <f t="shared" si="85"/>
        <v>0</v>
      </c>
      <c r="X535" s="90">
        <f t="shared" si="86"/>
        <v>0</v>
      </c>
      <c r="Y535" s="141">
        <f t="shared" si="88"/>
        <v>526</v>
      </c>
      <c r="Z535" s="298">
        <v>106</v>
      </c>
      <c r="AA535" s="299">
        <v>106</v>
      </c>
      <c r="AB535" s="299">
        <v>526</v>
      </c>
      <c r="AC535" s="301">
        <v>0</v>
      </c>
      <c r="AD535" s="301">
        <v>0</v>
      </c>
      <c r="AE535" s="126"/>
      <c r="AF535" s="298"/>
      <c r="AG535" s="299"/>
      <c r="AH535" s="299"/>
      <c r="AI535" s="301"/>
      <c r="AJ535" s="301"/>
      <c r="AK535" s="426"/>
      <c r="AL535" s="298"/>
      <c r="AM535" s="299"/>
      <c r="AN535" s="299"/>
      <c r="AO535" s="301"/>
      <c r="AP535" s="301"/>
      <c r="AQ535" s="426"/>
      <c r="AR535" s="298"/>
      <c r="AS535" s="299"/>
      <c r="AT535" s="299"/>
      <c r="AU535" s="301"/>
      <c r="AV535" s="301"/>
      <c r="AW535" s="88"/>
      <c r="AX535" s="298"/>
      <c r="AY535" s="299"/>
      <c r="AZ535" s="299"/>
      <c r="BA535" s="301"/>
      <c r="BB535" s="301"/>
      <c r="BC535" s="426"/>
      <c r="BD535" s="298"/>
      <c r="BE535" s="299"/>
      <c r="BF535" s="299"/>
      <c r="BG535" s="301"/>
      <c r="BH535" s="301"/>
      <c r="BI535" s="88"/>
      <c r="BJ535" s="298"/>
      <c r="BK535" s="299"/>
      <c r="BL535" s="299"/>
      <c r="BM535" s="301"/>
      <c r="BN535" s="301"/>
      <c r="BO535" s="88"/>
      <c r="BP535" s="9"/>
      <c r="BS535" s="81"/>
      <c r="BT535" s="81"/>
      <c r="BV535" s="9"/>
      <c r="BY535" s="81"/>
      <c r="BZ535" s="81"/>
      <c r="CB535" s="9"/>
      <c r="CE535" s="81"/>
      <c r="CF535" s="81"/>
      <c r="CH535" s="9"/>
      <c r="CK535" s="81"/>
      <c r="CL535" s="81"/>
      <c r="CR535" s="9"/>
      <c r="CS535" s="9"/>
      <c r="CT535" s="9"/>
      <c r="CU535" s="9"/>
      <c r="CV535" s="9"/>
      <c r="CW535" s="129"/>
      <c r="CX535" s="9"/>
    </row>
    <row r="536" spans="1:102">
      <c r="A536" s="6" t="str">
        <f t="shared" si="81"/>
        <v>01060674</v>
      </c>
      <c r="B536" s="6" t="s">
        <v>1756</v>
      </c>
      <c r="C536" s="6" t="s">
        <v>2027</v>
      </c>
      <c r="D536" s="6">
        <v>527</v>
      </c>
      <c r="E536" s="6">
        <v>106</v>
      </c>
      <c r="F536" s="6" t="s">
        <v>1224</v>
      </c>
      <c r="G536" s="6">
        <v>674</v>
      </c>
      <c r="H536" s="6" t="s">
        <v>1057</v>
      </c>
      <c r="I536" s="33">
        <v>1608964.2348228607</v>
      </c>
      <c r="J536" s="88">
        <v>0.83394359954837272</v>
      </c>
      <c r="K536" s="89">
        <f t="shared" si="90"/>
        <v>1617049.3110924226</v>
      </c>
      <c r="L536" s="88">
        <f>IF(K539&gt;0, K536/K539, 0)</f>
        <v>0.85054613240992261</v>
      </c>
      <c r="M536" s="58"/>
      <c r="N536" s="9">
        <f>ROUND(M539*L536,0)</f>
        <v>1080125</v>
      </c>
      <c r="O536" s="9">
        <v>1013921</v>
      </c>
      <c r="P536" s="9">
        <f>N536-O536</f>
        <v>66204</v>
      </c>
      <c r="Q536" s="40">
        <f t="shared" si="89"/>
        <v>6.5295027916376132</v>
      </c>
      <c r="R536" s="9">
        <v>104.89544513585</v>
      </c>
      <c r="S536" s="9">
        <f t="shared" si="87"/>
        <v>99.974921629799994</v>
      </c>
      <c r="T536" s="90">
        <f t="shared" si="82"/>
        <v>106</v>
      </c>
      <c r="U536" s="90">
        <f t="shared" si="83"/>
        <v>674</v>
      </c>
      <c r="V536" s="373">
        <f t="shared" si="84"/>
        <v>527</v>
      </c>
      <c r="W536" s="90">
        <f t="shared" si="85"/>
        <v>99.974921629799994</v>
      </c>
      <c r="X536" s="90">
        <f t="shared" si="86"/>
        <v>1617049.3110924226</v>
      </c>
      <c r="Y536" s="141">
        <f t="shared" si="88"/>
        <v>527</v>
      </c>
      <c r="Z536" s="298">
        <v>106</v>
      </c>
      <c r="AA536" s="299">
        <v>674</v>
      </c>
      <c r="AB536" s="299">
        <v>527</v>
      </c>
      <c r="AC536" s="301">
        <v>99.974921629799994</v>
      </c>
      <c r="AD536" s="301">
        <v>1617049.3110924226</v>
      </c>
      <c r="AE536" s="126"/>
      <c r="AF536" s="298"/>
      <c r="AG536" s="299"/>
      <c r="AH536" s="299"/>
      <c r="AI536" s="301"/>
      <c r="AJ536" s="301"/>
      <c r="AK536" s="426"/>
      <c r="AL536" s="298"/>
      <c r="AM536" s="299"/>
      <c r="AN536" s="299"/>
      <c r="AO536" s="301"/>
      <c r="AP536" s="301"/>
      <c r="AQ536" s="426"/>
      <c r="AR536" s="298"/>
      <c r="AS536" s="299"/>
      <c r="AT536" s="299"/>
      <c r="AU536" s="301"/>
      <c r="AV536" s="301"/>
      <c r="AW536" s="88"/>
      <c r="AX536" s="298"/>
      <c r="AY536" s="299"/>
      <c r="AZ536" s="299"/>
      <c r="BA536" s="301"/>
      <c r="BB536" s="301"/>
      <c r="BC536" s="426"/>
      <c r="BD536" s="298"/>
      <c r="BE536" s="299"/>
      <c r="BF536" s="299"/>
      <c r="BG536" s="301"/>
      <c r="BH536" s="301"/>
      <c r="BI536" s="88"/>
      <c r="BJ536" s="298"/>
      <c r="BK536" s="299"/>
      <c r="BL536" s="299"/>
      <c r="BM536" s="301"/>
      <c r="BN536" s="301"/>
      <c r="BO536" s="88"/>
      <c r="BP536" s="9"/>
      <c r="BS536" s="81"/>
      <c r="BT536" s="81"/>
      <c r="BV536" s="9"/>
      <c r="BY536" s="81"/>
      <c r="BZ536" s="81"/>
      <c r="CB536" s="9"/>
      <c r="CE536" s="81"/>
      <c r="CF536" s="81"/>
      <c r="CH536" s="9"/>
      <c r="CK536" s="81"/>
      <c r="CL536" s="81"/>
      <c r="CR536" s="9"/>
      <c r="CS536" s="9"/>
      <c r="CT536" s="9"/>
      <c r="CU536" s="9"/>
      <c r="CV536" s="9"/>
      <c r="CW536" s="129"/>
      <c r="CX536" s="9"/>
    </row>
    <row r="537" spans="1:102">
      <c r="A537" s="6" t="str">
        <f t="shared" si="81"/>
        <v>01060818</v>
      </c>
      <c r="B537" s="6" t="s">
        <v>1756</v>
      </c>
      <c r="C537" s="6" t="s">
        <v>2068</v>
      </c>
      <c r="D537" s="6">
        <v>528</v>
      </c>
      <c r="E537" s="6">
        <v>106</v>
      </c>
      <c r="F537" s="6" t="s">
        <v>1224</v>
      </c>
      <c r="G537" s="6">
        <v>818</v>
      </c>
      <c r="H537" s="6" t="s">
        <v>1098</v>
      </c>
      <c r="I537" s="33">
        <v>320379.95067626081</v>
      </c>
      <c r="J537" s="88">
        <v>0.16605640045162728</v>
      </c>
      <c r="K537" s="89">
        <f t="shared" si="90"/>
        <v>284140.11235566624</v>
      </c>
      <c r="L537" s="88">
        <f>IF(K539&gt;0, K537/K539, 0)</f>
        <v>0.14945386759007739</v>
      </c>
      <c r="M537" s="58"/>
      <c r="N537" s="9">
        <f>ROUND(M539*L537,0)</f>
        <v>189794</v>
      </c>
      <c r="O537" s="9">
        <v>201894</v>
      </c>
      <c r="P537" s="9">
        <f>N537-O537</f>
        <v>-12100</v>
      </c>
      <c r="Q537" s="40">
        <f t="shared" si="89"/>
        <v>-5.993243979514002</v>
      </c>
      <c r="R537" s="9">
        <v>15.000000002399998</v>
      </c>
      <c r="S537" s="9">
        <f t="shared" si="87"/>
        <v>13.000000002009999</v>
      </c>
      <c r="T537" s="90">
        <f t="shared" si="82"/>
        <v>106</v>
      </c>
      <c r="U537" s="90">
        <f t="shared" si="83"/>
        <v>818</v>
      </c>
      <c r="V537" s="373">
        <f t="shared" si="84"/>
        <v>528</v>
      </c>
      <c r="W537" s="90">
        <f t="shared" si="85"/>
        <v>13.000000002009999</v>
      </c>
      <c r="X537" s="90">
        <f t="shared" si="86"/>
        <v>284140.11235566624</v>
      </c>
      <c r="Y537" s="141">
        <f t="shared" si="88"/>
        <v>528</v>
      </c>
      <c r="Z537" s="298">
        <v>106</v>
      </c>
      <c r="AA537" s="299">
        <v>818</v>
      </c>
      <c r="AB537" s="299">
        <v>528</v>
      </c>
      <c r="AC537" s="301">
        <v>13.000000002009999</v>
      </c>
      <c r="AD537" s="301">
        <v>284140.11235566624</v>
      </c>
      <c r="AE537" s="126"/>
      <c r="AF537" s="298"/>
      <c r="AG537" s="299"/>
      <c r="AH537" s="299"/>
      <c r="AI537" s="301"/>
      <c r="AJ537" s="301"/>
      <c r="AK537" s="426"/>
      <c r="AL537" s="298"/>
      <c r="AM537" s="299"/>
      <c r="AN537" s="299"/>
      <c r="AO537" s="301"/>
      <c r="AP537" s="301"/>
      <c r="AQ537" s="426"/>
      <c r="AR537" s="298"/>
      <c r="AS537" s="299"/>
      <c r="AT537" s="299"/>
      <c r="AU537" s="301"/>
      <c r="AV537" s="301"/>
      <c r="AW537" s="88"/>
      <c r="AX537" s="298"/>
      <c r="AY537" s="299"/>
      <c r="AZ537" s="299"/>
      <c r="BA537" s="301"/>
      <c r="BB537" s="301"/>
      <c r="BC537" s="426"/>
      <c r="BD537" s="298"/>
      <c r="BE537" s="299"/>
      <c r="BF537" s="299"/>
      <c r="BG537" s="301"/>
      <c r="BH537" s="301"/>
      <c r="BI537" s="88"/>
      <c r="BJ537" s="298"/>
      <c r="BK537" s="299"/>
      <c r="BL537" s="299"/>
      <c r="BM537" s="301"/>
      <c r="BN537" s="301"/>
      <c r="BO537" s="88"/>
      <c r="BP537" s="9"/>
      <c r="BS537" s="81"/>
      <c r="BT537" s="81"/>
      <c r="BV537" s="9"/>
      <c r="BY537" s="81"/>
      <c r="BZ537" s="81"/>
      <c r="CB537" s="9"/>
      <c r="CE537" s="81"/>
      <c r="CF537" s="81"/>
      <c r="CH537" s="9"/>
      <c r="CK537" s="81"/>
      <c r="CL537" s="81"/>
      <c r="CR537" s="9"/>
      <c r="CS537" s="9"/>
      <c r="CT537" s="9"/>
      <c r="CU537" s="9"/>
      <c r="CV537" s="9"/>
      <c r="CW537" s="129"/>
      <c r="CX537" s="9"/>
    </row>
    <row r="538" spans="1:102">
      <c r="A538" s="6" t="str">
        <f t="shared" si="81"/>
        <v>01060998</v>
      </c>
      <c r="B538" s="6" t="s">
        <v>1756</v>
      </c>
      <c r="C538" s="6" t="s">
        <v>2091</v>
      </c>
      <c r="D538" s="6">
        <v>529</v>
      </c>
      <c r="E538" s="6">
        <v>106</v>
      </c>
      <c r="F538" s="6" t="s">
        <v>1547</v>
      </c>
      <c r="G538" s="6">
        <v>998</v>
      </c>
      <c r="H538" s="6" t="s">
        <v>1547</v>
      </c>
      <c r="I538" s="33">
        <v>0</v>
      </c>
      <c r="J538" s="88">
        <v>0</v>
      </c>
      <c r="K538" s="89">
        <f t="shared" si="90"/>
        <v>0</v>
      </c>
      <c r="L538" s="88">
        <f>IF(K539&gt;0, K538/K539, 0)</f>
        <v>0</v>
      </c>
      <c r="M538" s="58"/>
      <c r="N538" s="9">
        <f>ROUND(M539*L538,0)</f>
        <v>0</v>
      </c>
      <c r="O538" s="9">
        <v>0</v>
      </c>
      <c r="P538" s="9">
        <f>N538-O538</f>
        <v>0</v>
      </c>
      <c r="Q538" s="40">
        <f t="shared" si="89"/>
        <v>0</v>
      </c>
      <c r="R538" s="9">
        <v>0</v>
      </c>
      <c r="S538" s="9">
        <f t="shared" si="87"/>
        <v>0</v>
      </c>
      <c r="T538" s="90">
        <f t="shared" si="82"/>
        <v>106</v>
      </c>
      <c r="U538" s="90">
        <f t="shared" si="83"/>
        <v>998</v>
      </c>
      <c r="V538" s="373">
        <f t="shared" si="84"/>
        <v>529</v>
      </c>
      <c r="W538" s="90">
        <f t="shared" si="85"/>
        <v>0</v>
      </c>
      <c r="X538" s="90">
        <f t="shared" si="86"/>
        <v>0</v>
      </c>
      <c r="Y538" s="141">
        <f t="shared" si="88"/>
        <v>529</v>
      </c>
      <c r="Z538" s="298">
        <v>106</v>
      </c>
      <c r="AA538" s="299">
        <v>998</v>
      </c>
      <c r="AB538" s="299">
        <v>529</v>
      </c>
      <c r="AC538" s="301">
        <v>0</v>
      </c>
      <c r="AD538" s="301">
        <v>0</v>
      </c>
      <c r="AE538" s="126"/>
      <c r="AF538" s="298"/>
      <c r="AG538" s="299"/>
      <c r="AH538" s="299"/>
      <c r="AI538" s="301"/>
      <c r="AJ538" s="301"/>
      <c r="AK538" s="426"/>
      <c r="AL538" s="298"/>
      <c r="AM538" s="299"/>
      <c r="AN538" s="299"/>
      <c r="AO538" s="301"/>
      <c r="AP538" s="301"/>
      <c r="AQ538" s="426"/>
      <c r="AR538" s="298"/>
      <c r="AS538" s="299"/>
      <c r="AT538" s="299"/>
      <c r="AU538" s="301"/>
      <c r="AV538" s="301"/>
      <c r="AW538" s="88"/>
      <c r="AX538" s="298"/>
      <c r="AY538" s="299"/>
      <c r="AZ538" s="299"/>
      <c r="BA538" s="301"/>
      <c r="BB538" s="301"/>
      <c r="BC538" s="426"/>
      <c r="BD538" s="298"/>
      <c r="BE538" s="299"/>
      <c r="BF538" s="299"/>
      <c r="BG538" s="301"/>
      <c r="BH538" s="301"/>
      <c r="BI538" s="88"/>
      <c r="BJ538" s="298"/>
      <c r="BK538" s="299"/>
      <c r="BL538" s="299"/>
      <c r="BM538" s="301"/>
      <c r="BN538" s="301"/>
      <c r="BO538" s="88"/>
      <c r="BP538" s="9"/>
      <c r="BS538" s="81"/>
      <c r="BT538" s="81"/>
      <c r="BV538" s="9"/>
      <c r="BY538" s="81"/>
      <c r="BZ538" s="81"/>
      <c r="CB538" s="9"/>
      <c r="CE538" s="81"/>
      <c r="CF538" s="81"/>
      <c r="CH538" s="9"/>
      <c r="CK538" s="81"/>
      <c r="CL538" s="81"/>
      <c r="CR538" s="9"/>
      <c r="CS538" s="9"/>
      <c r="CT538" s="9"/>
      <c r="CU538" s="9"/>
      <c r="CV538" s="9"/>
      <c r="CW538" s="129"/>
      <c r="CX538" s="9"/>
    </row>
    <row r="539" spans="1:102">
      <c r="A539" s="6" t="str">
        <f t="shared" si="81"/>
        <v>01060999</v>
      </c>
      <c r="B539" s="6" t="s">
        <v>1756</v>
      </c>
      <c r="C539" s="6" t="s">
        <v>2092</v>
      </c>
      <c r="D539" s="6">
        <v>530</v>
      </c>
      <c r="E539" s="10">
        <v>106</v>
      </c>
      <c r="F539" s="10" t="s">
        <v>1224</v>
      </c>
      <c r="G539" s="10">
        <v>999</v>
      </c>
      <c r="H539" s="10" t="s">
        <v>593</v>
      </c>
      <c r="I539" s="92">
        <v>1929344.1854991214</v>
      </c>
      <c r="J539" s="472">
        <v>1</v>
      </c>
      <c r="K539" s="53">
        <f>SUM(K535:K538)</f>
        <v>1901189.4234480888</v>
      </c>
      <c r="L539" s="91">
        <f>SUM(L535:L538)</f>
        <v>1</v>
      </c>
      <c r="M539" s="79">
        <f>VLOOKUP(E539,town351,24)</f>
        <v>1269919</v>
      </c>
      <c r="N539" s="79">
        <f>SUM(N535:N538)</f>
        <v>1269919</v>
      </c>
      <c r="O539" s="79">
        <v>1215815</v>
      </c>
      <c r="P539" s="79">
        <f>SUM(P535:P538)</f>
        <v>54104</v>
      </c>
      <c r="Q539" s="39">
        <f t="shared" si="89"/>
        <v>4.4500191229751236</v>
      </c>
      <c r="R539" s="9">
        <v>119.89544513825</v>
      </c>
      <c r="S539" s="9">
        <f t="shared" si="87"/>
        <v>112.97492163180999</v>
      </c>
      <c r="T539" s="90">
        <f t="shared" si="82"/>
        <v>106</v>
      </c>
      <c r="U539" s="90">
        <f t="shared" si="83"/>
        <v>999</v>
      </c>
      <c r="V539" s="373">
        <f t="shared" si="84"/>
        <v>530</v>
      </c>
      <c r="W539" s="90">
        <f t="shared" si="85"/>
        <v>112.97492163180999</v>
      </c>
      <c r="X539" s="90">
        <f t="shared" si="86"/>
        <v>1901189.4234480888</v>
      </c>
      <c r="Y539" s="141">
        <f t="shared" si="88"/>
        <v>530</v>
      </c>
      <c r="Z539" s="298">
        <v>106</v>
      </c>
      <c r="AA539" s="299">
        <v>999</v>
      </c>
      <c r="AB539" s="299">
        <v>530</v>
      </c>
      <c r="AC539" s="301">
        <v>112.97492163180999</v>
      </c>
      <c r="AD539" s="301">
        <v>1901189.4234480888</v>
      </c>
      <c r="AE539" s="126"/>
      <c r="AF539" s="298"/>
      <c r="AG539" s="299"/>
      <c r="AH539" s="299"/>
      <c r="AI539" s="301"/>
      <c r="AJ539" s="301"/>
      <c r="AK539" s="426"/>
      <c r="AL539" s="298"/>
      <c r="AM539" s="299"/>
      <c r="AN539" s="299"/>
      <c r="AO539" s="301"/>
      <c r="AP539" s="301"/>
      <c r="AQ539" s="426"/>
      <c r="AR539" s="298"/>
      <c r="AS539" s="299"/>
      <c r="AT539" s="299"/>
      <c r="AU539" s="301"/>
      <c r="AV539" s="301"/>
      <c r="AW539" s="91"/>
      <c r="AX539" s="298"/>
      <c r="AY539" s="299"/>
      <c r="AZ539" s="299"/>
      <c r="BA539" s="301"/>
      <c r="BB539" s="301"/>
      <c r="BC539" s="426"/>
      <c r="BD539" s="298"/>
      <c r="BE539" s="299"/>
      <c r="BF539" s="299"/>
      <c r="BG539" s="301"/>
      <c r="BH539" s="301"/>
      <c r="BI539" s="91"/>
      <c r="BJ539" s="298"/>
      <c r="BK539" s="299"/>
      <c r="BL539" s="299"/>
      <c r="BM539" s="301"/>
      <c r="BN539" s="301"/>
      <c r="BO539" s="91"/>
      <c r="BP539" s="9"/>
      <c r="BS539" s="81"/>
      <c r="BT539" s="81"/>
      <c r="BV539" s="9"/>
      <c r="BY539" s="81"/>
      <c r="BZ539" s="81"/>
      <c r="CB539" s="9"/>
      <c r="CE539" s="81"/>
      <c r="CF539" s="81"/>
      <c r="CH539" s="9"/>
      <c r="CK539" s="81"/>
      <c r="CL539" s="81"/>
      <c r="CR539" s="9"/>
      <c r="CS539" s="9"/>
      <c r="CT539" s="9"/>
      <c r="CU539" s="9"/>
      <c r="CV539" s="9"/>
      <c r="CW539" s="129"/>
      <c r="CX539" s="9"/>
    </row>
    <row r="540" spans="1:102">
      <c r="A540" s="6" t="str">
        <f t="shared" si="81"/>
        <v>01070107</v>
      </c>
      <c r="B540" s="6" t="s">
        <v>1757</v>
      </c>
      <c r="C540" s="6" t="s">
        <v>1757</v>
      </c>
      <c r="D540" s="6">
        <v>531</v>
      </c>
      <c r="E540" s="6">
        <v>107</v>
      </c>
      <c r="F540" s="6" t="s">
        <v>1225</v>
      </c>
      <c r="G540" s="6">
        <v>107</v>
      </c>
      <c r="H540" s="6" t="s">
        <v>788</v>
      </c>
      <c r="I540" s="33">
        <v>47045109.888499998</v>
      </c>
      <c r="J540" s="88">
        <v>0.95707428790130167</v>
      </c>
      <c r="K540" s="89">
        <f>X540</f>
        <v>49375946.820559993</v>
      </c>
      <c r="L540" s="88">
        <f>IF(K544&gt;0, K540/K544, 0)</f>
        <v>0.96111893090874878</v>
      </c>
      <c r="M540" s="58"/>
      <c r="N540" s="9">
        <f>ROUND(M544*L540,0)</f>
        <v>37665556</v>
      </c>
      <c r="O540" s="9">
        <v>35714197</v>
      </c>
      <c r="P540" s="9">
        <f>N540-O540</f>
        <v>1951359</v>
      </c>
      <c r="Q540" s="40">
        <f t="shared" si="89"/>
        <v>5.4638187721258298</v>
      </c>
      <c r="R540" s="9">
        <v>3035</v>
      </c>
      <c r="S540" s="9">
        <f t="shared" si="87"/>
        <v>3064</v>
      </c>
      <c r="T540" s="90">
        <f t="shared" si="82"/>
        <v>107</v>
      </c>
      <c r="U540" s="90">
        <f t="shared" si="83"/>
        <v>107</v>
      </c>
      <c r="V540" s="373">
        <f t="shared" si="84"/>
        <v>531</v>
      </c>
      <c r="W540" s="90">
        <f t="shared" si="85"/>
        <v>3064</v>
      </c>
      <c r="X540" s="90">
        <f t="shared" si="86"/>
        <v>49375946.820559993</v>
      </c>
      <c r="Y540" s="141">
        <f t="shared" si="88"/>
        <v>531</v>
      </c>
      <c r="Z540" s="298">
        <v>107</v>
      </c>
      <c r="AA540" s="299">
        <v>107</v>
      </c>
      <c r="AB540" s="299">
        <v>531</v>
      </c>
      <c r="AC540" s="301">
        <v>3064</v>
      </c>
      <c r="AD540" s="301">
        <v>49375946.820559993</v>
      </c>
      <c r="AE540" s="126"/>
      <c r="AF540" s="298"/>
      <c r="AG540" s="299"/>
      <c r="AH540" s="299"/>
      <c r="AI540" s="301"/>
      <c r="AJ540" s="301"/>
      <c r="AK540" s="426"/>
      <c r="AL540" s="298"/>
      <c r="AM540" s="299"/>
      <c r="AN540" s="299"/>
      <c r="AO540" s="301"/>
      <c r="AP540" s="301"/>
      <c r="AQ540" s="426"/>
      <c r="AR540" s="298"/>
      <c r="AS540" s="299"/>
      <c r="AT540" s="299"/>
      <c r="AU540" s="301"/>
      <c r="AV540" s="301"/>
      <c r="AW540" s="88"/>
      <c r="AX540" s="298"/>
      <c r="AY540" s="299"/>
      <c r="AZ540" s="299"/>
      <c r="BA540" s="301"/>
      <c r="BB540" s="301"/>
      <c r="BC540" s="426"/>
      <c r="BD540" s="298"/>
      <c r="BE540" s="299"/>
      <c r="BF540" s="299"/>
      <c r="BG540" s="301"/>
      <c r="BH540" s="301"/>
      <c r="BI540" s="88"/>
      <c r="BJ540" s="298"/>
      <c r="BK540" s="299"/>
      <c r="BL540" s="299"/>
      <c r="BM540" s="301"/>
      <c r="BN540" s="301"/>
      <c r="BO540" s="88"/>
      <c r="BP540" s="9"/>
      <c r="BS540" s="81"/>
      <c r="BT540" s="81"/>
      <c r="BV540" s="9"/>
      <c r="BY540" s="81"/>
      <c r="BZ540" s="81"/>
      <c r="CB540" s="9"/>
      <c r="CE540" s="81"/>
      <c r="CF540" s="81"/>
      <c r="CH540" s="9"/>
      <c r="CK540" s="81"/>
      <c r="CL540" s="81"/>
      <c r="CR540" s="9"/>
      <c r="CS540" s="9"/>
      <c r="CT540" s="9"/>
      <c r="CU540" s="9"/>
      <c r="CV540" s="9"/>
      <c r="CW540" s="129"/>
      <c r="CX540" s="9"/>
    </row>
    <row r="541" spans="1:102">
      <c r="A541" s="6" t="str">
        <f t="shared" si="81"/>
        <v>01070817</v>
      </c>
      <c r="B541" s="6" t="s">
        <v>1757</v>
      </c>
      <c r="C541" s="6" t="s">
        <v>2067</v>
      </c>
      <c r="D541" s="6">
        <v>532</v>
      </c>
      <c r="E541" s="6">
        <v>107</v>
      </c>
      <c r="F541" s="6" t="s">
        <v>1225</v>
      </c>
      <c r="G541" s="6">
        <v>817</v>
      </c>
      <c r="H541" s="6" t="s">
        <v>1097</v>
      </c>
      <c r="I541" s="33">
        <v>2110018.9068433391</v>
      </c>
      <c r="J541" s="88">
        <v>4.2925712098698228E-2</v>
      </c>
      <c r="K541" s="89">
        <f t="shared" si="90"/>
        <v>1997452.6960580801</v>
      </c>
      <c r="L541" s="88">
        <f>IF(K544&gt;0, K541/K544, 0)</f>
        <v>3.8881069091251233E-2</v>
      </c>
      <c r="M541" s="58"/>
      <c r="N541" s="9">
        <f>ROUND(M544*L541,0)</f>
        <v>1523721</v>
      </c>
      <c r="O541" s="9">
        <v>1601816</v>
      </c>
      <c r="P541" s="9">
        <f>N541-O541</f>
        <v>-78095</v>
      </c>
      <c r="Q541" s="40">
        <f t="shared" si="89"/>
        <v>-4.8754039165547107</v>
      </c>
      <c r="R541" s="9">
        <v>107.00000000636999</v>
      </c>
      <c r="S541" s="9">
        <f t="shared" si="87"/>
        <v>99.00000000351001</v>
      </c>
      <c r="T541" s="90">
        <f t="shared" si="82"/>
        <v>107</v>
      </c>
      <c r="U541" s="90">
        <f t="shared" si="83"/>
        <v>817</v>
      </c>
      <c r="V541" s="373">
        <f t="shared" si="84"/>
        <v>532</v>
      </c>
      <c r="W541" s="90">
        <f t="shared" si="85"/>
        <v>99.00000000351001</v>
      </c>
      <c r="X541" s="90">
        <f t="shared" si="86"/>
        <v>1997452.6960580801</v>
      </c>
      <c r="Y541" s="141">
        <f t="shared" si="88"/>
        <v>532</v>
      </c>
      <c r="Z541" s="298">
        <v>107</v>
      </c>
      <c r="AA541" s="299">
        <v>817</v>
      </c>
      <c r="AB541" s="299">
        <v>532</v>
      </c>
      <c r="AC541" s="301">
        <v>99.00000000351001</v>
      </c>
      <c r="AD541" s="301">
        <v>1997452.6960580801</v>
      </c>
      <c r="AE541" s="126"/>
      <c r="AF541" s="298"/>
      <c r="AG541" s="299"/>
      <c r="AH541" s="299"/>
      <c r="AI541" s="301"/>
      <c r="AJ541" s="301"/>
      <c r="AK541" s="426"/>
      <c r="AL541" s="298"/>
      <c r="AM541" s="299"/>
      <c r="AN541" s="299"/>
      <c r="AO541" s="301"/>
      <c r="AP541" s="301"/>
      <c r="AQ541" s="426"/>
      <c r="AR541" s="298"/>
      <c r="AS541" s="299"/>
      <c r="AT541" s="299"/>
      <c r="AU541" s="301"/>
      <c r="AV541" s="301"/>
      <c r="AW541" s="88"/>
      <c r="AX541" s="298"/>
      <c r="AY541" s="299"/>
      <c r="AZ541" s="299"/>
      <c r="BA541" s="301"/>
      <c r="BB541" s="301"/>
      <c r="BC541" s="426"/>
      <c r="BD541" s="298"/>
      <c r="BE541" s="299"/>
      <c r="BF541" s="299"/>
      <c r="BG541" s="301"/>
      <c r="BH541" s="301"/>
      <c r="BI541" s="88"/>
      <c r="BJ541" s="298"/>
      <c r="BK541" s="299"/>
      <c r="BL541" s="299"/>
      <c r="BM541" s="301"/>
      <c r="BN541" s="301"/>
      <c r="BO541" s="88"/>
      <c r="BP541" s="9"/>
      <c r="BS541" s="81"/>
      <c r="BT541" s="81"/>
      <c r="BV541" s="9"/>
      <c r="BY541" s="81"/>
      <c r="BZ541" s="81"/>
      <c r="CB541" s="9"/>
      <c r="CE541" s="81"/>
      <c r="CF541" s="81"/>
      <c r="CH541" s="9"/>
      <c r="CK541" s="81"/>
      <c r="CL541" s="81"/>
      <c r="CR541" s="9"/>
      <c r="CS541" s="9"/>
      <c r="CT541" s="9"/>
      <c r="CU541" s="9"/>
      <c r="CV541" s="9"/>
      <c r="CW541" s="129"/>
      <c r="CX541" s="9"/>
    </row>
    <row r="542" spans="1:102">
      <c r="A542" s="6" t="str">
        <f t="shared" si="81"/>
        <v>01070998</v>
      </c>
      <c r="B542" s="6" t="s">
        <v>1757</v>
      </c>
      <c r="C542" s="6" t="s">
        <v>2091</v>
      </c>
      <c r="D542" s="6">
        <v>533</v>
      </c>
      <c r="E542" s="6">
        <v>107</v>
      </c>
      <c r="F542" s="6" t="s">
        <v>1547</v>
      </c>
      <c r="G542" s="6">
        <v>998</v>
      </c>
      <c r="I542" s="33">
        <v>0</v>
      </c>
      <c r="J542" s="88">
        <v>0</v>
      </c>
      <c r="K542" s="89">
        <f t="shared" si="90"/>
        <v>0</v>
      </c>
      <c r="L542" s="88">
        <f>IF(K544&gt;0, K542/K544, 0)</f>
        <v>0</v>
      </c>
      <c r="M542" s="58"/>
      <c r="N542" s="9">
        <f>ROUND(M544*L542,0)</f>
        <v>0</v>
      </c>
      <c r="O542" s="9">
        <v>0</v>
      </c>
      <c r="P542" s="9">
        <f>N542-O542</f>
        <v>0</v>
      </c>
      <c r="Q542" s="40">
        <f t="shared" si="89"/>
        <v>0</v>
      </c>
      <c r="R542" s="9">
        <v>0</v>
      </c>
      <c r="S542" s="9">
        <f t="shared" si="87"/>
        <v>0</v>
      </c>
      <c r="T542" s="90">
        <f t="shared" si="82"/>
        <v>107</v>
      </c>
      <c r="U542" s="90">
        <f t="shared" si="83"/>
        <v>998</v>
      </c>
      <c r="V542" s="373">
        <f t="shared" si="84"/>
        <v>533</v>
      </c>
      <c r="W542" s="90">
        <f t="shared" si="85"/>
        <v>0</v>
      </c>
      <c r="X542" s="90">
        <f t="shared" si="86"/>
        <v>0</v>
      </c>
      <c r="Y542" s="141">
        <f t="shared" si="88"/>
        <v>533</v>
      </c>
      <c r="Z542" s="298">
        <v>107</v>
      </c>
      <c r="AA542" s="299">
        <v>998</v>
      </c>
      <c r="AB542" s="299">
        <v>533</v>
      </c>
      <c r="AC542" s="301">
        <v>0</v>
      </c>
      <c r="AD542" s="301">
        <v>0</v>
      </c>
      <c r="AE542" s="126"/>
      <c r="AF542" s="298"/>
      <c r="AG542" s="299"/>
      <c r="AH542" s="299"/>
      <c r="AI542" s="301"/>
      <c r="AJ542" s="301"/>
      <c r="AK542" s="426"/>
      <c r="AL542" s="298"/>
      <c r="AM542" s="299"/>
      <c r="AN542" s="299"/>
      <c r="AO542" s="301"/>
      <c r="AP542" s="301"/>
      <c r="AQ542" s="426"/>
      <c r="AR542" s="298"/>
      <c r="AS542" s="299"/>
      <c r="AT542" s="299"/>
      <c r="AU542" s="301"/>
      <c r="AV542" s="301"/>
      <c r="AW542" s="88"/>
      <c r="AX542" s="298"/>
      <c r="AY542" s="299"/>
      <c r="AZ542" s="299"/>
      <c r="BA542" s="301"/>
      <c r="BB542" s="301"/>
      <c r="BC542" s="426"/>
      <c r="BD542" s="298"/>
      <c r="BE542" s="299"/>
      <c r="BF542" s="299"/>
      <c r="BG542" s="301"/>
      <c r="BH542" s="301"/>
      <c r="BI542" s="88"/>
      <c r="BJ542" s="298"/>
      <c r="BK542" s="299"/>
      <c r="BL542" s="299"/>
      <c r="BM542" s="301"/>
      <c r="BN542" s="301"/>
      <c r="BO542" s="88"/>
      <c r="BP542" s="9"/>
      <c r="BS542" s="81"/>
      <c r="BT542" s="81"/>
      <c r="BV542" s="9"/>
      <c r="BY542" s="81"/>
      <c r="BZ542" s="81"/>
      <c r="CB542" s="9"/>
      <c r="CE542" s="81"/>
      <c r="CF542" s="81"/>
      <c r="CH542" s="9"/>
      <c r="CK542" s="81"/>
      <c r="CL542" s="81"/>
      <c r="CR542" s="9"/>
      <c r="CS542" s="9"/>
      <c r="CT542" s="9"/>
      <c r="CU542" s="9"/>
      <c r="CV542" s="9"/>
      <c r="CW542" s="129"/>
      <c r="CX542" s="9"/>
    </row>
    <row r="543" spans="1:102">
      <c r="A543" s="6" t="str">
        <f t="shared" si="81"/>
        <v>01070998</v>
      </c>
      <c r="B543" s="6" t="s">
        <v>1757</v>
      </c>
      <c r="C543" s="6" t="s">
        <v>2091</v>
      </c>
      <c r="D543" s="6">
        <v>534</v>
      </c>
      <c r="E543" s="6">
        <v>107</v>
      </c>
      <c r="F543" s="6" t="s">
        <v>1547</v>
      </c>
      <c r="G543" s="6">
        <v>998</v>
      </c>
      <c r="H543" s="6" t="s">
        <v>1547</v>
      </c>
      <c r="I543" s="33">
        <v>0</v>
      </c>
      <c r="J543" s="88">
        <v>0</v>
      </c>
      <c r="K543" s="89">
        <f t="shared" si="90"/>
        <v>0</v>
      </c>
      <c r="L543" s="88">
        <f>IF(K544&gt;0, K543/K544, 0)</f>
        <v>0</v>
      </c>
      <c r="M543" s="58"/>
      <c r="N543" s="9">
        <f>ROUND(M544*L543,0)</f>
        <v>0</v>
      </c>
      <c r="O543" s="9">
        <v>0</v>
      </c>
      <c r="P543" s="9">
        <f>N543-O543</f>
        <v>0</v>
      </c>
      <c r="Q543" s="40">
        <f t="shared" si="89"/>
        <v>0</v>
      </c>
      <c r="R543" s="9">
        <v>0</v>
      </c>
      <c r="S543" s="9">
        <f t="shared" si="87"/>
        <v>0</v>
      </c>
      <c r="T543" s="90">
        <f t="shared" si="82"/>
        <v>107</v>
      </c>
      <c r="U543" s="90">
        <f t="shared" si="83"/>
        <v>998</v>
      </c>
      <c r="V543" s="373">
        <f t="shared" si="84"/>
        <v>534</v>
      </c>
      <c r="W543" s="90">
        <f t="shared" si="85"/>
        <v>0</v>
      </c>
      <c r="X543" s="90">
        <f t="shared" si="86"/>
        <v>0</v>
      </c>
      <c r="Y543" s="141">
        <f t="shared" si="88"/>
        <v>534</v>
      </c>
      <c r="Z543" s="298">
        <v>107</v>
      </c>
      <c r="AA543" s="299">
        <v>998</v>
      </c>
      <c r="AB543" s="299">
        <v>534</v>
      </c>
      <c r="AC543" s="301">
        <v>0</v>
      </c>
      <c r="AD543" s="301">
        <v>0</v>
      </c>
      <c r="AE543" s="126"/>
      <c r="AF543" s="298"/>
      <c r="AG543" s="299"/>
      <c r="AH543" s="299"/>
      <c r="AI543" s="301"/>
      <c r="AJ543" s="301"/>
      <c r="AK543" s="426"/>
      <c r="AL543" s="298"/>
      <c r="AM543" s="299"/>
      <c r="AN543" s="299"/>
      <c r="AO543" s="301"/>
      <c r="AP543" s="301"/>
      <c r="AQ543" s="426"/>
      <c r="AR543" s="298"/>
      <c r="AS543" s="299"/>
      <c r="AT543" s="299"/>
      <c r="AU543" s="301"/>
      <c r="AV543" s="301"/>
      <c r="AW543" s="88"/>
      <c r="AX543" s="298"/>
      <c r="AY543" s="299"/>
      <c r="AZ543" s="299"/>
      <c r="BA543" s="301"/>
      <c r="BB543" s="301"/>
      <c r="BC543" s="426"/>
      <c r="BD543" s="298"/>
      <c r="BE543" s="299"/>
      <c r="BF543" s="299"/>
      <c r="BG543" s="301"/>
      <c r="BH543" s="301"/>
      <c r="BI543" s="88"/>
      <c r="BJ543" s="298"/>
      <c r="BK543" s="299"/>
      <c r="BL543" s="299"/>
      <c r="BM543" s="301"/>
      <c r="BN543" s="301"/>
      <c r="BO543" s="88"/>
      <c r="BP543" s="9"/>
      <c r="BS543" s="81"/>
      <c r="BT543" s="81"/>
      <c r="BV543" s="9"/>
      <c r="BY543" s="81"/>
      <c r="BZ543" s="81"/>
      <c r="CB543" s="9"/>
      <c r="CE543" s="81"/>
      <c r="CF543" s="81"/>
      <c r="CH543" s="9"/>
      <c r="CK543" s="81"/>
      <c r="CL543" s="81"/>
      <c r="CR543" s="9"/>
      <c r="CS543" s="9"/>
      <c r="CT543" s="9"/>
      <c r="CU543" s="9"/>
      <c r="CV543" s="9"/>
      <c r="CW543" s="129"/>
      <c r="CX543" s="9"/>
    </row>
    <row r="544" spans="1:102">
      <c r="A544" s="6" t="str">
        <f t="shared" si="81"/>
        <v>01070999</v>
      </c>
      <c r="B544" s="6" t="s">
        <v>1757</v>
      </c>
      <c r="C544" s="6" t="s">
        <v>2092</v>
      </c>
      <c r="D544" s="6">
        <v>535</v>
      </c>
      <c r="E544" s="10">
        <v>107</v>
      </c>
      <c r="F544" s="10" t="s">
        <v>1225</v>
      </c>
      <c r="G544" s="10">
        <v>999</v>
      </c>
      <c r="H544" s="10" t="s">
        <v>593</v>
      </c>
      <c r="I544" s="92">
        <v>49155128.795343339</v>
      </c>
      <c r="J544" s="472">
        <v>0.99999999999999989</v>
      </c>
      <c r="K544" s="53">
        <f>SUM(K540:K543)</f>
        <v>51373399.516618073</v>
      </c>
      <c r="L544" s="91">
        <f>SUM(L540:L543)</f>
        <v>1</v>
      </c>
      <c r="M544" s="79">
        <f>VLOOKUP(E544,town351,24)</f>
        <v>39189277</v>
      </c>
      <c r="N544" s="79">
        <f>SUM(N540:N543)</f>
        <v>39189277</v>
      </c>
      <c r="O544" s="79">
        <v>37316013</v>
      </c>
      <c r="P544" s="79">
        <f>SUM(P540:P543)</f>
        <v>1873264</v>
      </c>
      <c r="Q544" s="39">
        <f t="shared" si="89"/>
        <v>5.0200003950046863</v>
      </c>
      <c r="R544" s="9">
        <v>3142.0000000063701</v>
      </c>
      <c r="S544" s="9">
        <f t="shared" si="87"/>
        <v>3163.0000000035102</v>
      </c>
      <c r="T544" s="90">
        <f t="shared" si="82"/>
        <v>107</v>
      </c>
      <c r="U544" s="90">
        <f t="shared" si="83"/>
        <v>999</v>
      </c>
      <c r="V544" s="373">
        <f t="shared" si="84"/>
        <v>535</v>
      </c>
      <c r="W544" s="90">
        <f t="shared" si="85"/>
        <v>3163.0000000035102</v>
      </c>
      <c r="X544" s="90">
        <f t="shared" si="86"/>
        <v>51373399.516618073</v>
      </c>
      <c r="Y544" s="141">
        <f t="shared" si="88"/>
        <v>535</v>
      </c>
      <c r="Z544" s="298">
        <v>107</v>
      </c>
      <c r="AA544" s="299">
        <v>999</v>
      </c>
      <c r="AB544" s="299">
        <v>535</v>
      </c>
      <c r="AC544" s="301">
        <v>3163.0000000035102</v>
      </c>
      <c r="AD544" s="301">
        <v>51373399.516618073</v>
      </c>
      <c r="AE544" s="126"/>
      <c r="AF544" s="298"/>
      <c r="AG544" s="299"/>
      <c r="AH544" s="299"/>
      <c r="AI544" s="301"/>
      <c r="AJ544" s="301"/>
      <c r="AK544" s="426"/>
      <c r="AL544" s="298"/>
      <c r="AM544" s="299"/>
      <c r="AN544" s="299"/>
      <c r="AO544" s="301"/>
      <c r="AP544" s="301"/>
      <c r="AQ544" s="426"/>
      <c r="AR544" s="298"/>
      <c r="AS544" s="299"/>
      <c r="AT544" s="299"/>
      <c r="AU544" s="301"/>
      <c r="AV544" s="301"/>
      <c r="AW544" s="91"/>
      <c r="AX544" s="298"/>
      <c r="AY544" s="299"/>
      <c r="AZ544" s="299"/>
      <c r="BA544" s="301"/>
      <c r="BB544" s="301"/>
      <c r="BC544" s="426"/>
      <c r="BD544" s="298"/>
      <c r="BE544" s="299"/>
      <c r="BF544" s="299"/>
      <c r="BG544" s="301"/>
      <c r="BH544" s="301"/>
      <c r="BI544" s="91"/>
      <c r="BJ544" s="298"/>
      <c r="BK544" s="299"/>
      <c r="BL544" s="299"/>
      <c r="BM544" s="301"/>
      <c r="BN544" s="301"/>
      <c r="BO544" s="91"/>
      <c r="BP544" s="9"/>
      <c r="BS544" s="81"/>
      <c r="BT544" s="81"/>
      <c r="BV544" s="9"/>
      <c r="BY544" s="81"/>
      <c r="BZ544" s="81"/>
      <c r="CB544" s="9"/>
      <c r="CE544" s="81"/>
      <c r="CF544" s="81"/>
      <c r="CH544" s="9"/>
      <c r="CK544" s="81"/>
      <c r="CL544" s="81"/>
      <c r="CR544" s="9"/>
      <c r="CS544" s="9"/>
      <c r="CT544" s="9"/>
      <c r="CU544" s="9"/>
      <c r="CV544" s="9"/>
      <c r="CW544" s="129"/>
      <c r="CX544" s="9"/>
    </row>
    <row r="545" spans="1:102">
      <c r="A545" s="6" t="str">
        <f t="shared" si="81"/>
        <v>01080108</v>
      </c>
      <c r="B545" s="6" t="s">
        <v>1758</v>
      </c>
      <c r="C545" s="6" t="s">
        <v>1758</v>
      </c>
      <c r="D545" s="6">
        <v>536</v>
      </c>
      <c r="E545" s="6">
        <v>108</v>
      </c>
      <c r="F545" s="6" t="s">
        <v>1226</v>
      </c>
      <c r="G545" s="6">
        <v>108</v>
      </c>
      <c r="H545" s="6" t="s">
        <v>789</v>
      </c>
      <c r="I545" s="33">
        <v>148416.84</v>
      </c>
      <c r="J545" s="88">
        <v>0.10469069557541419</v>
      </c>
      <c r="K545" s="89">
        <f>X545</f>
        <v>151742.96999999997</v>
      </c>
      <c r="L545" s="88">
        <f>IF(K549&gt;0, K545/K549, 0)</f>
        <v>0.11235228547523839</v>
      </c>
      <c r="M545" s="58"/>
      <c r="N545" s="9">
        <f>ROUND(M549*L545,0)</f>
        <v>99954</v>
      </c>
      <c r="O545" s="9">
        <v>89000</v>
      </c>
      <c r="P545" s="9">
        <f>N545-O545</f>
        <v>10954</v>
      </c>
      <c r="Q545" s="40">
        <f t="shared" si="89"/>
        <v>12.307865168539326</v>
      </c>
      <c r="R545" s="9">
        <v>9</v>
      </c>
      <c r="S545" s="9">
        <f t="shared" si="87"/>
        <v>9</v>
      </c>
      <c r="T545" s="90">
        <f t="shared" si="82"/>
        <v>108</v>
      </c>
      <c r="U545" s="90">
        <f t="shared" si="83"/>
        <v>108</v>
      </c>
      <c r="V545" s="373">
        <f t="shared" si="84"/>
        <v>536</v>
      </c>
      <c r="W545" s="90">
        <f t="shared" si="85"/>
        <v>9</v>
      </c>
      <c r="X545" s="90">
        <f t="shared" si="86"/>
        <v>151742.96999999997</v>
      </c>
      <c r="Y545" s="141">
        <f t="shared" si="88"/>
        <v>536</v>
      </c>
      <c r="Z545" s="298">
        <v>108</v>
      </c>
      <c r="AA545" s="299">
        <v>108</v>
      </c>
      <c r="AB545" s="299">
        <v>536</v>
      </c>
      <c r="AC545" s="301">
        <v>9</v>
      </c>
      <c r="AD545" s="301">
        <v>151742.96999999997</v>
      </c>
      <c r="AE545" s="126"/>
      <c r="AF545" s="298"/>
      <c r="AG545" s="299"/>
      <c r="AH545" s="299"/>
      <c r="AI545" s="301"/>
      <c r="AJ545" s="301"/>
      <c r="AK545" s="426"/>
      <c r="AL545" s="298"/>
      <c r="AM545" s="299"/>
      <c r="AN545" s="299"/>
      <c r="AO545" s="301"/>
      <c r="AP545" s="301"/>
      <c r="AQ545" s="426"/>
      <c r="AR545" s="298"/>
      <c r="AS545" s="299"/>
      <c r="AT545" s="299"/>
      <c r="AU545" s="301"/>
      <c r="AV545" s="301"/>
      <c r="AW545" s="88"/>
      <c r="AX545" s="298"/>
      <c r="AY545" s="299"/>
      <c r="AZ545" s="299"/>
      <c r="BA545" s="301"/>
      <c r="BB545" s="301"/>
      <c r="BC545" s="426"/>
      <c r="BD545" s="298"/>
      <c r="BE545" s="299"/>
      <c r="BF545" s="299"/>
      <c r="BG545" s="301"/>
      <c r="BH545" s="301"/>
      <c r="BI545" s="88"/>
      <c r="BJ545" s="298"/>
      <c r="BK545" s="299"/>
      <c r="BL545" s="299"/>
      <c r="BM545" s="301"/>
      <c r="BN545" s="301"/>
      <c r="BO545" s="88"/>
      <c r="BP545" s="9"/>
      <c r="BS545" s="81"/>
      <c r="BT545" s="81"/>
      <c r="BV545" s="9"/>
      <c r="BY545" s="81"/>
      <c r="BZ545" s="81"/>
      <c r="CB545" s="9"/>
      <c r="CE545" s="81"/>
      <c r="CF545" s="81"/>
      <c r="CH545" s="9"/>
      <c r="CK545" s="81"/>
      <c r="CL545" s="81"/>
      <c r="CR545" s="9"/>
      <c r="CS545" s="9"/>
      <c r="CT545" s="9"/>
      <c r="CU545" s="9"/>
      <c r="CV545" s="9"/>
      <c r="CW545" s="129"/>
      <c r="CX545" s="9"/>
    </row>
    <row r="546" spans="1:102">
      <c r="A546" s="6" t="str">
        <f t="shared" si="81"/>
        <v>01080632</v>
      </c>
      <c r="B546" s="6" t="s">
        <v>1758</v>
      </c>
      <c r="C546" s="6" t="s">
        <v>2014</v>
      </c>
      <c r="D546" s="6">
        <v>537</v>
      </c>
      <c r="E546" s="6">
        <v>108</v>
      </c>
      <c r="F546" s="6" t="s">
        <v>1226</v>
      </c>
      <c r="G546" s="6">
        <v>632</v>
      </c>
      <c r="H546" s="6" t="s">
        <v>1044</v>
      </c>
      <c r="I546" s="33">
        <v>805040.52604679752</v>
      </c>
      <c r="J546" s="88">
        <v>0.56786179141286519</v>
      </c>
      <c r="K546" s="89">
        <f t="shared" si="90"/>
        <v>752488.03826839442</v>
      </c>
      <c r="L546" s="88">
        <f>IF(K549&gt;0, K546/K549, 0)</f>
        <v>0.55715102249700776</v>
      </c>
      <c r="M546" s="58"/>
      <c r="N546" s="9">
        <f>ROUND(M549*L546,0)</f>
        <v>495669</v>
      </c>
      <c r="O546" s="9">
        <v>482750</v>
      </c>
      <c r="P546" s="9">
        <f>N546-O546</f>
        <v>12919</v>
      </c>
      <c r="Q546" s="40">
        <f t="shared" si="89"/>
        <v>2.6761263593992748</v>
      </c>
      <c r="R546" s="9">
        <v>58.991596638390007</v>
      </c>
      <c r="S546" s="9">
        <f t="shared" si="87"/>
        <v>54.043478261410002</v>
      </c>
      <c r="T546" s="90">
        <f t="shared" si="82"/>
        <v>108</v>
      </c>
      <c r="U546" s="90">
        <f t="shared" si="83"/>
        <v>632</v>
      </c>
      <c r="V546" s="373">
        <f t="shared" si="84"/>
        <v>537</v>
      </c>
      <c r="W546" s="90">
        <f t="shared" si="85"/>
        <v>54.043478261410002</v>
      </c>
      <c r="X546" s="90">
        <f t="shared" si="86"/>
        <v>752488.03826839442</v>
      </c>
      <c r="Y546" s="141">
        <f t="shared" si="88"/>
        <v>537</v>
      </c>
      <c r="Z546" s="298">
        <v>108</v>
      </c>
      <c r="AA546" s="299">
        <v>632</v>
      </c>
      <c r="AB546" s="299">
        <v>537</v>
      </c>
      <c r="AC546" s="301">
        <v>54.043478261410002</v>
      </c>
      <c r="AD546" s="301">
        <v>752488.03826839442</v>
      </c>
      <c r="AE546" s="126"/>
      <c r="AF546" s="298"/>
      <c r="AG546" s="299"/>
      <c r="AH546" s="299"/>
      <c r="AI546" s="301"/>
      <c r="AJ546" s="301"/>
      <c r="AK546" s="426"/>
      <c r="AL546" s="298"/>
      <c r="AM546" s="299"/>
      <c r="AN546" s="299"/>
      <c r="AO546" s="301"/>
      <c r="AP546" s="301"/>
      <c r="AQ546" s="426"/>
      <c r="AR546" s="298"/>
      <c r="AS546" s="299"/>
      <c r="AT546" s="299"/>
      <c r="AU546" s="301"/>
      <c r="AV546" s="301"/>
      <c r="AW546" s="88"/>
      <c r="AX546" s="298"/>
      <c r="AY546" s="299"/>
      <c r="AZ546" s="299"/>
      <c r="BA546" s="301"/>
      <c r="BB546" s="301"/>
      <c r="BC546" s="426"/>
      <c r="BD546" s="298"/>
      <c r="BE546" s="299"/>
      <c r="BF546" s="299"/>
      <c r="BG546" s="301"/>
      <c r="BH546" s="301"/>
      <c r="BI546" s="88"/>
      <c r="BJ546" s="298"/>
      <c r="BK546" s="299"/>
      <c r="BL546" s="299"/>
      <c r="BM546" s="301"/>
      <c r="BN546" s="301"/>
      <c r="BO546" s="88"/>
      <c r="BP546" s="9"/>
      <c r="BS546" s="81"/>
      <c r="BT546" s="81"/>
      <c r="BV546" s="9"/>
      <c r="BY546" s="81"/>
      <c r="BZ546" s="81"/>
      <c r="CB546" s="9"/>
      <c r="CE546" s="81"/>
      <c r="CF546" s="81"/>
      <c r="CH546" s="9"/>
      <c r="CK546" s="81"/>
      <c r="CL546" s="81"/>
      <c r="CR546" s="9"/>
      <c r="CS546" s="9"/>
      <c r="CT546" s="9"/>
      <c r="CU546" s="9"/>
      <c r="CV546" s="9"/>
      <c r="CW546" s="129"/>
      <c r="CX546" s="9"/>
    </row>
    <row r="547" spans="1:102">
      <c r="A547" s="6" t="str">
        <f t="shared" si="81"/>
        <v>01080683</v>
      </c>
      <c r="B547" s="6" t="s">
        <v>1758</v>
      </c>
      <c r="C547" s="6" t="s">
        <v>2030</v>
      </c>
      <c r="D547" s="6">
        <v>538</v>
      </c>
      <c r="E547" s="6">
        <v>108</v>
      </c>
      <c r="F547" s="6" t="s">
        <v>1226</v>
      </c>
      <c r="G547" s="6">
        <v>683</v>
      </c>
      <c r="H547" s="6" t="s">
        <v>1060</v>
      </c>
      <c r="I547" s="33">
        <v>464212.45823178499</v>
      </c>
      <c r="J547" s="88">
        <v>0.32744751301172076</v>
      </c>
      <c r="K547" s="89">
        <f t="shared" si="90"/>
        <v>446368.75352677627</v>
      </c>
      <c r="L547" s="88">
        <f>IF(K549&gt;0, K547/K549, 0)</f>
        <v>0.33049669202775389</v>
      </c>
      <c r="M547" s="58"/>
      <c r="N547" s="9">
        <f>ROUND(M549*L547,0)</f>
        <v>294026</v>
      </c>
      <c r="O547" s="9">
        <v>278369</v>
      </c>
      <c r="P547" s="9">
        <f>N547-O547</f>
        <v>15657</v>
      </c>
      <c r="Q547" s="40">
        <f t="shared" si="89"/>
        <v>5.62454871052452</v>
      </c>
      <c r="R547" s="9">
        <v>35.060449052199999</v>
      </c>
      <c r="S547" s="9">
        <f t="shared" si="87"/>
        <v>33.055932203489995</v>
      </c>
      <c r="T547" s="90">
        <f t="shared" si="82"/>
        <v>108</v>
      </c>
      <c r="U547" s="90">
        <f t="shared" si="83"/>
        <v>683</v>
      </c>
      <c r="V547" s="373">
        <f t="shared" si="84"/>
        <v>538</v>
      </c>
      <c r="W547" s="90">
        <f t="shared" si="85"/>
        <v>33.055932203489995</v>
      </c>
      <c r="X547" s="90">
        <f t="shared" si="86"/>
        <v>446368.75352677627</v>
      </c>
      <c r="Y547" s="141">
        <f t="shared" si="88"/>
        <v>538</v>
      </c>
      <c r="Z547" s="298">
        <v>108</v>
      </c>
      <c r="AA547" s="299">
        <v>683</v>
      </c>
      <c r="AB547" s="299">
        <v>538</v>
      </c>
      <c r="AC547" s="301">
        <v>33.055932203489995</v>
      </c>
      <c r="AD547" s="301">
        <v>446368.75352677627</v>
      </c>
      <c r="AE547" s="126"/>
      <c r="AF547" s="298"/>
      <c r="AG547" s="299"/>
      <c r="AH547" s="299"/>
      <c r="AI547" s="301"/>
      <c r="AJ547" s="301"/>
      <c r="AK547" s="426"/>
      <c r="AL547" s="298"/>
      <c r="AM547" s="299"/>
      <c r="AN547" s="299"/>
      <c r="AO547" s="301"/>
      <c r="AP547" s="301"/>
      <c r="AQ547" s="426"/>
      <c r="AR547" s="298"/>
      <c r="AS547" s="299"/>
      <c r="AT547" s="299"/>
      <c r="AU547" s="301"/>
      <c r="AV547" s="301"/>
      <c r="AW547" s="88"/>
      <c r="AX547" s="298"/>
      <c r="AY547" s="299"/>
      <c r="AZ547" s="299"/>
      <c r="BA547" s="301"/>
      <c r="BB547" s="301"/>
      <c r="BC547" s="426"/>
      <c r="BD547" s="298"/>
      <c r="BE547" s="299"/>
      <c r="BF547" s="299"/>
      <c r="BG547" s="301"/>
      <c r="BH547" s="301"/>
      <c r="BI547" s="88"/>
      <c r="BJ547" s="298"/>
      <c r="BK547" s="299"/>
      <c r="BL547" s="299"/>
      <c r="BM547" s="301"/>
      <c r="BN547" s="301"/>
      <c r="BO547" s="88"/>
      <c r="BP547" s="9"/>
      <c r="BS547" s="81"/>
      <c r="BT547" s="81"/>
      <c r="BV547" s="9"/>
      <c r="BY547" s="81"/>
      <c r="BZ547" s="81"/>
      <c r="CB547" s="9"/>
      <c r="CE547" s="81"/>
      <c r="CF547" s="81"/>
      <c r="CH547" s="9"/>
      <c r="CK547" s="81"/>
      <c r="CL547" s="81"/>
      <c r="CR547" s="9"/>
      <c r="CS547" s="9"/>
      <c r="CT547" s="9"/>
      <c r="CU547" s="9"/>
      <c r="CV547" s="9"/>
      <c r="CW547" s="129"/>
      <c r="CX547" s="9"/>
    </row>
    <row r="548" spans="1:102">
      <c r="A548" s="6" t="str">
        <f t="shared" si="81"/>
        <v>01080998</v>
      </c>
      <c r="B548" s="6" t="s">
        <v>1758</v>
      </c>
      <c r="C548" s="6" t="s">
        <v>2091</v>
      </c>
      <c r="D548" s="6">
        <v>539</v>
      </c>
      <c r="E548" s="6">
        <v>108</v>
      </c>
      <c r="F548" s="6" t="s">
        <v>1547</v>
      </c>
      <c r="G548" s="6">
        <v>998</v>
      </c>
      <c r="H548" s="6" t="s">
        <v>1547</v>
      </c>
      <c r="I548" s="33">
        <v>0</v>
      </c>
      <c r="J548" s="88">
        <v>0</v>
      </c>
      <c r="K548" s="89">
        <f t="shared" si="90"/>
        <v>0</v>
      </c>
      <c r="L548" s="88">
        <f>IF(K549&gt;0, K548/K549, 0)</f>
        <v>0</v>
      </c>
      <c r="M548" s="58"/>
      <c r="N548" s="9">
        <f>ROUND(M549*L548,0)</f>
        <v>0</v>
      </c>
      <c r="O548" s="9">
        <v>0</v>
      </c>
      <c r="P548" s="9">
        <f>N548-O548</f>
        <v>0</v>
      </c>
      <c r="Q548" s="40">
        <f t="shared" si="89"/>
        <v>0</v>
      </c>
      <c r="R548" s="9">
        <v>0</v>
      </c>
      <c r="S548" s="9">
        <f t="shared" si="87"/>
        <v>0</v>
      </c>
      <c r="T548" s="90">
        <f t="shared" si="82"/>
        <v>108</v>
      </c>
      <c r="U548" s="90">
        <f t="shared" si="83"/>
        <v>998</v>
      </c>
      <c r="V548" s="373">
        <f t="shared" si="84"/>
        <v>539</v>
      </c>
      <c r="W548" s="90">
        <f t="shared" si="85"/>
        <v>0</v>
      </c>
      <c r="X548" s="90">
        <f t="shared" si="86"/>
        <v>0</v>
      </c>
      <c r="Y548" s="141">
        <f t="shared" si="88"/>
        <v>539</v>
      </c>
      <c r="Z548" s="298">
        <v>108</v>
      </c>
      <c r="AA548" s="299">
        <v>998</v>
      </c>
      <c r="AB548" s="299">
        <v>539</v>
      </c>
      <c r="AC548" s="301">
        <v>0</v>
      </c>
      <c r="AD548" s="301">
        <v>0</v>
      </c>
      <c r="AE548" s="126"/>
      <c r="AF548" s="298"/>
      <c r="AG548" s="299"/>
      <c r="AH548" s="299"/>
      <c r="AI548" s="301"/>
      <c r="AJ548" s="301"/>
      <c r="AK548" s="426"/>
      <c r="AL548" s="298"/>
      <c r="AM548" s="299"/>
      <c r="AN548" s="299"/>
      <c r="AO548" s="301"/>
      <c r="AP548" s="301"/>
      <c r="AQ548" s="426"/>
      <c r="AR548" s="298"/>
      <c r="AS548" s="299"/>
      <c r="AT548" s="299"/>
      <c r="AU548" s="301"/>
      <c r="AV548" s="301"/>
      <c r="AW548" s="88"/>
      <c r="AX548" s="298"/>
      <c r="AY548" s="299"/>
      <c r="AZ548" s="299"/>
      <c r="BA548" s="301"/>
      <c r="BB548" s="301"/>
      <c r="BC548" s="426"/>
      <c r="BD548" s="298"/>
      <c r="BE548" s="299"/>
      <c r="BF548" s="299"/>
      <c r="BG548" s="301"/>
      <c r="BH548" s="301"/>
      <c r="BI548" s="88"/>
      <c r="BJ548" s="298"/>
      <c r="BK548" s="299"/>
      <c r="BL548" s="299"/>
      <c r="BM548" s="301"/>
      <c r="BN548" s="301"/>
      <c r="BO548" s="88"/>
      <c r="BP548" s="9"/>
      <c r="BS548" s="81"/>
      <c r="BT548" s="81"/>
      <c r="BV548" s="9"/>
      <c r="BY548" s="81"/>
      <c r="BZ548" s="81"/>
      <c r="CB548" s="9"/>
      <c r="CE548" s="81"/>
      <c r="CF548" s="81"/>
      <c r="CH548" s="9"/>
      <c r="CK548" s="81"/>
      <c r="CL548" s="81"/>
      <c r="CR548" s="9"/>
      <c r="CS548" s="9"/>
      <c r="CT548" s="9"/>
      <c r="CU548" s="9"/>
      <c r="CV548" s="9"/>
      <c r="CW548" s="129"/>
      <c r="CX548" s="9"/>
    </row>
    <row r="549" spans="1:102">
      <c r="A549" s="6" t="str">
        <f t="shared" si="81"/>
        <v>01080999</v>
      </c>
      <c r="B549" s="6" t="s">
        <v>1758</v>
      </c>
      <c r="C549" s="6" t="s">
        <v>2092</v>
      </c>
      <c r="D549" s="6">
        <v>540</v>
      </c>
      <c r="E549" s="10">
        <v>108</v>
      </c>
      <c r="F549" s="10" t="s">
        <v>1226</v>
      </c>
      <c r="G549" s="10">
        <v>999</v>
      </c>
      <c r="H549" s="10" t="s">
        <v>593</v>
      </c>
      <c r="I549" s="92">
        <v>1417669.8242785824</v>
      </c>
      <c r="J549" s="472">
        <v>1.0000000000000002</v>
      </c>
      <c r="K549" s="53">
        <f>SUM(K545:K548)</f>
        <v>1350599.7617951706</v>
      </c>
      <c r="L549" s="91">
        <f>SUM(L545:L548)</f>
        <v>1</v>
      </c>
      <c r="M549" s="79">
        <f>VLOOKUP(E549,town351,24)</f>
        <v>889649</v>
      </c>
      <c r="N549" s="79">
        <f>SUM(N545:N548)</f>
        <v>889649</v>
      </c>
      <c r="O549" s="79">
        <v>850119</v>
      </c>
      <c r="P549" s="79">
        <f>SUM(P545:P548)</f>
        <v>39530</v>
      </c>
      <c r="Q549" s="39">
        <f t="shared" si="89"/>
        <v>4.649937244079946</v>
      </c>
      <c r="R549" s="9">
        <v>103.05204569059001</v>
      </c>
      <c r="S549" s="9">
        <f t="shared" si="87"/>
        <v>96.099410464899989</v>
      </c>
      <c r="T549" s="90">
        <f t="shared" si="82"/>
        <v>108</v>
      </c>
      <c r="U549" s="90">
        <f t="shared" si="83"/>
        <v>999</v>
      </c>
      <c r="V549" s="373">
        <f t="shared" si="84"/>
        <v>540</v>
      </c>
      <c r="W549" s="90">
        <f t="shared" si="85"/>
        <v>96.099410464899989</v>
      </c>
      <c r="X549" s="90">
        <f t="shared" si="86"/>
        <v>1350599.7617951706</v>
      </c>
      <c r="Y549" s="141">
        <f t="shared" si="88"/>
        <v>540</v>
      </c>
      <c r="Z549" s="298">
        <v>108</v>
      </c>
      <c r="AA549" s="299">
        <v>999</v>
      </c>
      <c r="AB549" s="299">
        <v>540</v>
      </c>
      <c r="AC549" s="301">
        <v>96.099410464899989</v>
      </c>
      <c r="AD549" s="301">
        <v>1350599.7617951706</v>
      </c>
      <c r="AE549" s="126"/>
      <c r="AF549" s="298"/>
      <c r="AG549" s="299"/>
      <c r="AH549" s="299"/>
      <c r="AI549" s="301"/>
      <c r="AJ549" s="301"/>
      <c r="AK549" s="426"/>
      <c r="AL549" s="298"/>
      <c r="AM549" s="299"/>
      <c r="AN549" s="299"/>
      <c r="AO549" s="301"/>
      <c r="AP549" s="301"/>
      <c r="AQ549" s="426"/>
      <c r="AR549" s="298"/>
      <c r="AS549" s="299"/>
      <c r="AT549" s="299"/>
      <c r="AU549" s="301"/>
      <c r="AV549" s="301"/>
      <c r="AW549" s="91"/>
      <c r="AX549" s="298"/>
      <c r="AY549" s="299"/>
      <c r="AZ549" s="299"/>
      <c r="BA549" s="301"/>
      <c r="BB549" s="301"/>
      <c r="BC549" s="426"/>
      <c r="BD549" s="298"/>
      <c r="BE549" s="299"/>
      <c r="BF549" s="299"/>
      <c r="BG549" s="301"/>
      <c r="BH549" s="301"/>
      <c r="BI549" s="91"/>
      <c r="BJ549" s="298"/>
      <c r="BK549" s="299"/>
      <c r="BL549" s="299"/>
      <c r="BM549" s="301"/>
      <c r="BN549" s="301"/>
      <c r="BO549" s="91"/>
      <c r="BP549" s="9"/>
      <c r="BS549" s="81"/>
      <c r="BT549" s="81"/>
      <c r="BV549" s="9"/>
      <c r="BY549" s="81"/>
      <c r="BZ549" s="81"/>
      <c r="CB549" s="9"/>
      <c r="CE549" s="81"/>
      <c r="CF549" s="81"/>
      <c r="CH549" s="9"/>
      <c r="CK549" s="81"/>
      <c r="CL549" s="81"/>
      <c r="CR549" s="9"/>
      <c r="CS549" s="9"/>
      <c r="CT549" s="9"/>
      <c r="CU549" s="9"/>
      <c r="CV549" s="9"/>
      <c r="CW549" s="129"/>
      <c r="CX549" s="9"/>
    </row>
    <row r="550" spans="1:102">
      <c r="A550" s="6" t="str">
        <f t="shared" si="81"/>
        <v>01090109</v>
      </c>
      <c r="B550" s="6" t="s">
        <v>1759</v>
      </c>
      <c r="C550" s="6" t="s">
        <v>1759</v>
      </c>
      <c r="D550" s="6">
        <v>541</v>
      </c>
      <c r="E550" s="6">
        <v>109</v>
      </c>
      <c r="F550" s="6" t="s">
        <v>1227</v>
      </c>
      <c r="G550" s="6">
        <v>109</v>
      </c>
      <c r="H550" s="6" t="s">
        <v>790</v>
      </c>
      <c r="I550" s="33">
        <v>0</v>
      </c>
      <c r="J550" s="88">
        <v>0</v>
      </c>
      <c r="K550" s="89">
        <f>X550</f>
        <v>0</v>
      </c>
      <c r="L550" s="88">
        <f>IF(K554&gt;0, K550/K554, 0)</f>
        <v>0</v>
      </c>
      <c r="M550" s="58"/>
      <c r="N550" s="9">
        <f>ROUND(M554*L550,0)</f>
        <v>0</v>
      </c>
      <c r="O550" s="9">
        <v>0</v>
      </c>
      <c r="P550" s="9">
        <f>N550-O550</f>
        <v>0</v>
      </c>
      <c r="Q550" s="40">
        <f t="shared" si="89"/>
        <v>0</v>
      </c>
      <c r="R550" s="9">
        <v>0</v>
      </c>
      <c r="S550" s="9">
        <f t="shared" si="87"/>
        <v>0</v>
      </c>
      <c r="T550" s="90">
        <f t="shared" si="82"/>
        <v>109</v>
      </c>
      <c r="U550" s="90">
        <f t="shared" si="83"/>
        <v>109</v>
      </c>
      <c r="V550" s="373">
        <f t="shared" si="84"/>
        <v>541</v>
      </c>
      <c r="W550" s="90">
        <f t="shared" si="85"/>
        <v>0</v>
      </c>
      <c r="X550" s="90">
        <f t="shared" si="86"/>
        <v>0</v>
      </c>
      <c r="Y550" s="141">
        <f t="shared" si="88"/>
        <v>541</v>
      </c>
      <c r="Z550" s="298">
        <v>109</v>
      </c>
      <c r="AA550" s="299">
        <v>109</v>
      </c>
      <c r="AB550" s="299">
        <v>541</v>
      </c>
      <c r="AC550" s="301">
        <v>0</v>
      </c>
      <c r="AD550" s="301">
        <v>0</v>
      </c>
      <c r="AE550" s="126"/>
      <c r="AF550" s="298"/>
      <c r="AG550" s="299"/>
      <c r="AH550" s="299"/>
      <c r="AI550" s="301"/>
      <c r="AJ550" s="301"/>
      <c r="AK550" s="426"/>
      <c r="AL550" s="298"/>
      <c r="AM550" s="299"/>
      <c r="AN550" s="299"/>
      <c r="AO550" s="301"/>
      <c r="AP550" s="301"/>
      <c r="AQ550" s="426"/>
      <c r="AR550" s="298"/>
      <c r="AS550" s="299"/>
      <c r="AT550" s="299"/>
      <c r="AU550" s="301"/>
      <c r="AV550" s="301"/>
      <c r="AW550" s="88"/>
      <c r="AX550" s="298"/>
      <c r="AY550" s="299"/>
      <c r="AZ550" s="299"/>
      <c r="BA550" s="301"/>
      <c r="BB550" s="301"/>
      <c r="BC550" s="426"/>
      <c r="BD550" s="298"/>
      <c r="BE550" s="299"/>
      <c r="BF550" s="299"/>
      <c r="BG550" s="301"/>
      <c r="BH550" s="301"/>
      <c r="BI550" s="88"/>
      <c r="BJ550" s="298"/>
      <c r="BK550" s="299"/>
      <c r="BL550" s="299"/>
      <c r="BM550" s="301"/>
      <c r="BN550" s="301"/>
      <c r="BO550" s="88"/>
      <c r="BP550" s="9"/>
      <c r="BS550" s="81"/>
      <c r="BT550" s="81"/>
      <c r="BV550" s="9"/>
      <c r="BY550" s="81"/>
      <c r="BZ550" s="81"/>
      <c r="CB550" s="9"/>
      <c r="CE550" s="81"/>
      <c r="CF550" s="81"/>
      <c r="CH550" s="9"/>
      <c r="CK550" s="81"/>
      <c r="CL550" s="81"/>
      <c r="CR550" s="9"/>
      <c r="CS550" s="9"/>
      <c r="CT550" s="9"/>
      <c r="CU550" s="9"/>
      <c r="CV550" s="9"/>
      <c r="CW550" s="129"/>
      <c r="CX550" s="9"/>
    </row>
    <row r="551" spans="1:102">
      <c r="A551" s="6" t="str">
        <f t="shared" si="81"/>
        <v>01090998</v>
      </c>
      <c r="B551" s="6" t="s">
        <v>1759</v>
      </c>
      <c r="C551" s="6" t="s">
        <v>2091</v>
      </c>
      <c r="D551" s="6">
        <v>542</v>
      </c>
      <c r="E551" s="6">
        <v>109</v>
      </c>
      <c r="F551" s="6" t="s">
        <v>1547</v>
      </c>
      <c r="G551" s="6">
        <v>998</v>
      </c>
      <c r="H551" s="6" t="s">
        <v>1547</v>
      </c>
      <c r="I551" s="33">
        <v>0</v>
      </c>
      <c r="J551" s="88">
        <v>0</v>
      </c>
      <c r="K551" s="89">
        <f t="shared" si="90"/>
        <v>0</v>
      </c>
      <c r="L551" s="88">
        <f>IF(K554&gt;0, K551/K554, 0)</f>
        <v>0</v>
      </c>
      <c r="M551" s="58"/>
      <c r="N551" s="9">
        <f>ROUND(M554*L551,0)</f>
        <v>0</v>
      </c>
      <c r="O551" s="9">
        <v>0</v>
      </c>
      <c r="P551" s="9">
        <f>N551-O551</f>
        <v>0</v>
      </c>
      <c r="Q551" s="40">
        <f t="shared" si="89"/>
        <v>0</v>
      </c>
      <c r="R551" s="9">
        <v>0</v>
      </c>
      <c r="S551" s="9">
        <f t="shared" si="87"/>
        <v>0</v>
      </c>
      <c r="T551" s="90">
        <f t="shared" si="82"/>
        <v>109</v>
      </c>
      <c r="U551" s="90">
        <f t="shared" si="83"/>
        <v>998</v>
      </c>
      <c r="V551" s="373">
        <f t="shared" si="84"/>
        <v>542</v>
      </c>
      <c r="W551" s="90">
        <f t="shared" si="85"/>
        <v>0</v>
      </c>
      <c r="X551" s="90">
        <f t="shared" si="86"/>
        <v>0</v>
      </c>
      <c r="Y551" s="141">
        <f t="shared" si="88"/>
        <v>542</v>
      </c>
      <c r="Z551" s="298">
        <v>109</v>
      </c>
      <c r="AA551" s="299">
        <v>998</v>
      </c>
      <c r="AB551" s="299">
        <v>542</v>
      </c>
      <c r="AC551" s="301">
        <v>0</v>
      </c>
      <c r="AD551" s="301">
        <v>0</v>
      </c>
      <c r="AE551" s="126"/>
      <c r="AF551" s="298"/>
      <c r="AG551" s="299"/>
      <c r="AH551" s="299"/>
      <c r="AI551" s="301"/>
      <c r="AJ551" s="301"/>
      <c r="AK551" s="426"/>
      <c r="AL551" s="298"/>
      <c r="AM551" s="299"/>
      <c r="AN551" s="299"/>
      <c r="AO551" s="301"/>
      <c r="AP551" s="301"/>
      <c r="AQ551" s="426"/>
      <c r="AR551" s="298"/>
      <c r="AS551" s="299"/>
      <c r="AT551" s="299"/>
      <c r="AU551" s="301"/>
      <c r="AV551" s="301"/>
      <c r="AW551" s="88"/>
      <c r="AX551" s="298"/>
      <c r="AY551" s="299"/>
      <c r="AZ551" s="299"/>
      <c r="BA551" s="301"/>
      <c r="BB551" s="301"/>
      <c r="BC551" s="426"/>
      <c r="BD551" s="298"/>
      <c r="BE551" s="299"/>
      <c r="BF551" s="299"/>
      <c r="BG551" s="301"/>
      <c r="BH551" s="301"/>
      <c r="BI551" s="88"/>
      <c r="BJ551" s="298"/>
      <c r="BK551" s="299"/>
      <c r="BL551" s="299"/>
      <c r="BM551" s="301"/>
      <c r="BN551" s="301"/>
      <c r="BO551" s="88"/>
      <c r="BP551" s="9"/>
      <c r="BS551" s="81"/>
      <c r="BT551" s="81"/>
      <c r="BV551" s="9"/>
      <c r="BY551" s="81"/>
      <c r="BZ551" s="81"/>
      <c r="CB551" s="9"/>
      <c r="CE551" s="81"/>
      <c r="CF551" s="81"/>
      <c r="CH551" s="9"/>
      <c r="CK551" s="81"/>
      <c r="CL551" s="81"/>
      <c r="CR551" s="9"/>
      <c r="CS551" s="9"/>
      <c r="CT551" s="9"/>
      <c r="CU551" s="9"/>
      <c r="CV551" s="9"/>
      <c r="CW551" s="129"/>
      <c r="CX551" s="9"/>
    </row>
    <row r="552" spans="1:102">
      <c r="A552" s="6" t="str">
        <f t="shared" si="81"/>
        <v>01090998</v>
      </c>
      <c r="B552" s="6" t="s">
        <v>1759</v>
      </c>
      <c r="C552" s="6" t="s">
        <v>2091</v>
      </c>
      <c r="D552" s="6">
        <v>543</v>
      </c>
      <c r="E552" s="6">
        <v>109</v>
      </c>
      <c r="F552" s="6" t="s">
        <v>1547</v>
      </c>
      <c r="G552" s="6">
        <v>998</v>
      </c>
      <c r="H552" s="6" t="s">
        <v>1547</v>
      </c>
      <c r="I552" s="33">
        <v>0</v>
      </c>
      <c r="J552" s="88">
        <v>0</v>
      </c>
      <c r="K552" s="89">
        <f t="shared" si="90"/>
        <v>0</v>
      </c>
      <c r="L552" s="88">
        <f>IF(K554&gt;0, K552/K554, 0)</f>
        <v>0</v>
      </c>
      <c r="M552" s="58"/>
      <c r="N552" s="9">
        <f>ROUND(M554*L552,0)</f>
        <v>0</v>
      </c>
      <c r="O552" s="9">
        <v>0</v>
      </c>
      <c r="P552" s="9">
        <f>N552-O552</f>
        <v>0</v>
      </c>
      <c r="Q552" s="40">
        <f t="shared" si="89"/>
        <v>0</v>
      </c>
      <c r="R552" s="9">
        <v>0</v>
      </c>
      <c r="S552" s="9">
        <f t="shared" si="87"/>
        <v>0</v>
      </c>
      <c r="T552" s="90">
        <f t="shared" si="82"/>
        <v>109</v>
      </c>
      <c r="U552" s="90">
        <f t="shared" si="83"/>
        <v>998</v>
      </c>
      <c r="V552" s="373">
        <f t="shared" si="84"/>
        <v>543</v>
      </c>
      <c r="W552" s="90">
        <f t="shared" si="85"/>
        <v>0</v>
      </c>
      <c r="X552" s="90">
        <f t="shared" si="86"/>
        <v>0</v>
      </c>
      <c r="Y552" s="141">
        <f t="shared" si="88"/>
        <v>543</v>
      </c>
      <c r="Z552" s="298">
        <v>109</v>
      </c>
      <c r="AA552" s="299">
        <v>998</v>
      </c>
      <c r="AB552" s="299">
        <v>543</v>
      </c>
      <c r="AC552" s="301">
        <v>0</v>
      </c>
      <c r="AD552" s="301">
        <v>0</v>
      </c>
      <c r="AE552" s="126"/>
      <c r="AF552" s="298"/>
      <c r="AG552" s="299"/>
      <c r="AH552" s="299"/>
      <c r="AI552" s="301"/>
      <c r="AJ552" s="301"/>
      <c r="AK552" s="426"/>
      <c r="AL552" s="298"/>
      <c r="AM552" s="299"/>
      <c r="AN552" s="299"/>
      <c r="AO552" s="301"/>
      <c r="AP552" s="301"/>
      <c r="AQ552" s="426"/>
      <c r="AR552" s="298"/>
      <c r="AS552" s="299"/>
      <c r="AT552" s="299"/>
      <c r="AU552" s="301"/>
      <c r="AV552" s="301"/>
      <c r="AW552" s="88"/>
      <c r="AX552" s="298"/>
      <c r="AY552" s="299"/>
      <c r="AZ552" s="299"/>
      <c r="BA552" s="301"/>
      <c r="BB552" s="301"/>
      <c r="BC552" s="426"/>
      <c r="BD552" s="298"/>
      <c r="BE552" s="299"/>
      <c r="BF552" s="299"/>
      <c r="BG552" s="301"/>
      <c r="BH552" s="301"/>
      <c r="BI552" s="88"/>
      <c r="BJ552" s="298"/>
      <c r="BK552" s="299"/>
      <c r="BL552" s="299"/>
      <c r="BM552" s="301"/>
      <c r="BN552" s="301"/>
      <c r="BO552" s="88"/>
      <c r="BP552" s="9"/>
      <c r="BS552" s="81"/>
      <c r="BT552" s="81"/>
      <c r="BV552" s="9"/>
      <c r="BY552" s="81"/>
      <c r="BZ552" s="81"/>
      <c r="CB552" s="9"/>
      <c r="CE552" s="81"/>
      <c r="CF552" s="81"/>
      <c r="CH552" s="9"/>
      <c r="CK552" s="81"/>
      <c r="CL552" s="81"/>
      <c r="CR552" s="9"/>
      <c r="CS552" s="9"/>
      <c r="CT552" s="9"/>
      <c r="CU552" s="9"/>
      <c r="CV552" s="9"/>
      <c r="CW552" s="129"/>
      <c r="CX552" s="9"/>
    </row>
    <row r="553" spans="1:102">
      <c r="A553" s="6" t="str">
        <f t="shared" si="81"/>
        <v>01090998</v>
      </c>
      <c r="B553" s="6" t="s">
        <v>1759</v>
      </c>
      <c r="C553" s="6" t="s">
        <v>2091</v>
      </c>
      <c r="D553" s="6">
        <v>544</v>
      </c>
      <c r="E553" s="6">
        <v>109</v>
      </c>
      <c r="F553" s="6" t="s">
        <v>1547</v>
      </c>
      <c r="G553" s="6">
        <v>998</v>
      </c>
      <c r="H553" s="6" t="s">
        <v>1547</v>
      </c>
      <c r="I553" s="33">
        <v>0</v>
      </c>
      <c r="J553" s="88">
        <v>0</v>
      </c>
      <c r="K553" s="89">
        <f t="shared" si="90"/>
        <v>0</v>
      </c>
      <c r="L553" s="88">
        <f>IF(K554&gt;0, K553/K554, 0)</f>
        <v>0</v>
      </c>
      <c r="M553" s="58"/>
      <c r="N553" s="9">
        <f>ROUND(M554*L553,0)</f>
        <v>0</v>
      </c>
      <c r="O553" s="9">
        <v>0</v>
      </c>
      <c r="P553" s="9">
        <f>N553-O553</f>
        <v>0</v>
      </c>
      <c r="Q553" s="40">
        <f t="shared" si="89"/>
        <v>0</v>
      </c>
      <c r="R553" s="9">
        <v>0</v>
      </c>
      <c r="S553" s="9">
        <f t="shared" si="87"/>
        <v>0</v>
      </c>
      <c r="T553" s="90">
        <f t="shared" si="82"/>
        <v>109</v>
      </c>
      <c r="U553" s="90">
        <f t="shared" si="83"/>
        <v>998</v>
      </c>
      <c r="V553" s="373">
        <f t="shared" si="84"/>
        <v>544</v>
      </c>
      <c r="W553" s="90">
        <f t="shared" si="85"/>
        <v>0</v>
      </c>
      <c r="X553" s="90">
        <f t="shared" si="86"/>
        <v>0</v>
      </c>
      <c r="Y553" s="141">
        <f t="shared" si="88"/>
        <v>544</v>
      </c>
      <c r="Z553" s="298">
        <v>109</v>
      </c>
      <c r="AA553" s="299">
        <v>998</v>
      </c>
      <c r="AB553" s="299">
        <v>544</v>
      </c>
      <c r="AC553" s="301">
        <v>0</v>
      </c>
      <c r="AD553" s="301">
        <v>0</v>
      </c>
      <c r="AE553" s="126"/>
      <c r="AF553" s="298"/>
      <c r="AG553" s="299"/>
      <c r="AH553" s="299"/>
      <c r="AI553" s="301"/>
      <c r="AJ553" s="301"/>
      <c r="AK553" s="426"/>
      <c r="AL553" s="298"/>
      <c r="AM553" s="299"/>
      <c r="AN553" s="299"/>
      <c r="AO553" s="301"/>
      <c r="AP553" s="301"/>
      <c r="AQ553" s="426"/>
      <c r="AR553" s="298"/>
      <c r="AS553" s="299"/>
      <c r="AT553" s="299"/>
      <c r="AU553" s="301"/>
      <c r="AV553" s="301"/>
      <c r="AW553" s="88"/>
      <c r="AX553" s="298"/>
      <c r="AY553" s="299"/>
      <c r="AZ553" s="299"/>
      <c r="BA553" s="301"/>
      <c r="BB553" s="301"/>
      <c r="BC553" s="426"/>
      <c r="BD553" s="298"/>
      <c r="BE553" s="299"/>
      <c r="BF553" s="299"/>
      <c r="BG553" s="301"/>
      <c r="BH553" s="301"/>
      <c r="BI553" s="88"/>
      <c r="BJ553" s="298"/>
      <c r="BK553" s="299"/>
      <c r="BL553" s="299"/>
      <c r="BM553" s="301"/>
      <c r="BN553" s="301"/>
      <c r="BO553" s="88"/>
      <c r="BP553" s="9"/>
      <c r="BS553" s="81"/>
      <c r="BT553" s="81"/>
      <c r="BV553" s="9"/>
      <c r="BY553" s="81"/>
      <c r="BZ553" s="81"/>
      <c r="CB553" s="9"/>
      <c r="CE553" s="81"/>
      <c r="CF553" s="81"/>
      <c r="CH553" s="9"/>
      <c r="CK553" s="81"/>
      <c r="CL553" s="81"/>
      <c r="CR553" s="9"/>
      <c r="CS553" s="9"/>
      <c r="CT553" s="9"/>
      <c r="CU553" s="9"/>
      <c r="CV553" s="9"/>
      <c r="CW553" s="129"/>
      <c r="CX553" s="9"/>
    </row>
    <row r="554" spans="1:102">
      <c r="A554" s="6" t="str">
        <f t="shared" si="81"/>
        <v>01090999</v>
      </c>
      <c r="B554" s="6" t="s">
        <v>1759</v>
      </c>
      <c r="C554" s="6" t="s">
        <v>2092</v>
      </c>
      <c r="D554" s="6">
        <v>545</v>
      </c>
      <c r="E554" s="10">
        <v>109</v>
      </c>
      <c r="F554" s="10" t="s">
        <v>1227</v>
      </c>
      <c r="G554" s="10">
        <v>999</v>
      </c>
      <c r="H554" s="10" t="s">
        <v>593</v>
      </c>
      <c r="I554" s="92">
        <v>0</v>
      </c>
      <c r="J554" s="472">
        <v>0</v>
      </c>
      <c r="K554" s="53">
        <f>SUM(K550:K553)</f>
        <v>0</v>
      </c>
      <c r="L554" s="91">
        <f>SUM(L550:L553)</f>
        <v>0</v>
      </c>
      <c r="M554" s="79">
        <f>VLOOKUP(E554,town351,24)</f>
        <v>0</v>
      </c>
      <c r="N554" s="79">
        <f>SUM(N550:N553)</f>
        <v>0</v>
      </c>
      <c r="O554" s="79">
        <v>0</v>
      </c>
      <c r="P554" s="79">
        <f>SUM(P550:P553)</f>
        <v>0</v>
      </c>
      <c r="Q554" s="39">
        <f t="shared" si="89"/>
        <v>0</v>
      </c>
      <c r="R554" s="9">
        <v>0</v>
      </c>
      <c r="S554" s="9">
        <f t="shared" si="87"/>
        <v>0</v>
      </c>
      <c r="T554" s="90">
        <f t="shared" si="82"/>
        <v>109</v>
      </c>
      <c r="U554" s="90">
        <f t="shared" si="83"/>
        <v>999</v>
      </c>
      <c r="V554" s="373">
        <f t="shared" si="84"/>
        <v>545</v>
      </c>
      <c r="W554" s="90">
        <f t="shared" si="85"/>
        <v>0</v>
      </c>
      <c r="X554" s="90">
        <f t="shared" si="86"/>
        <v>0</v>
      </c>
      <c r="Y554" s="141">
        <f t="shared" si="88"/>
        <v>545</v>
      </c>
      <c r="Z554" s="298">
        <v>109</v>
      </c>
      <c r="AA554" s="299">
        <v>999</v>
      </c>
      <c r="AB554" s="299">
        <v>545</v>
      </c>
      <c r="AC554" s="301">
        <v>0</v>
      </c>
      <c r="AD554" s="301">
        <v>0</v>
      </c>
      <c r="AE554" s="126"/>
      <c r="AF554" s="298"/>
      <c r="AG554" s="299"/>
      <c r="AH554" s="299"/>
      <c r="AI554" s="301"/>
      <c r="AJ554" s="301"/>
      <c r="AK554" s="426"/>
      <c r="AL554" s="298"/>
      <c r="AM554" s="299"/>
      <c r="AN554" s="299"/>
      <c r="AO554" s="301"/>
      <c r="AP554" s="301"/>
      <c r="AQ554" s="426"/>
      <c r="AR554" s="298"/>
      <c r="AS554" s="299"/>
      <c r="AT554" s="299"/>
      <c r="AU554" s="301"/>
      <c r="AV554" s="301"/>
      <c r="AW554" s="91"/>
      <c r="AX554" s="298"/>
      <c r="AY554" s="299"/>
      <c r="AZ554" s="299"/>
      <c r="BA554" s="301"/>
      <c r="BB554" s="301"/>
      <c r="BC554" s="426"/>
      <c r="BD554" s="298"/>
      <c r="BE554" s="299"/>
      <c r="BF554" s="299"/>
      <c r="BG554" s="301"/>
      <c r="BH554" s="301"/>
      <c r="BI554" s="91"/>
      <c r="BJ554" s="298"/>
      <c r="BK554" s="299"/>
      <c r="BL554" s="299"/>
      <c r="BM554" s="301"/>
      <c r="BN554" s="301"/>
      <c r="BO554" s="91"/>
      <c r="BP554" s="9"/>
      <c r="BS554" s="81"/>
      <c r="BT554" s="81"/>
      <c r="BV554" s="9"/>
      <c r="BY554" s="81"/>
      <c r="BZ554" s="81"/>
      <c r="CB554" s="9"/>
      <c r="CE554" s="81"/>
      <c r="CF554" s="81"/>
      <c r="CH554" s="9"/>
      <c r="CK554" s="81"/>
      <c r="CL554" s="81"/>
      <c r="CR554" s="9"/>
      <c r="CS554" s="9"/>
      <c r="CT554" s="9"/>
      <c r="CU554" s="9"/>
      <c r="CV554" s="9"/>
      <c r="CW554" s="129"/>
      <c r="CX554" s="9"/>
    </row>
    <row r="555" spans="1:102">
      <c r="A555" s="6" t="str">
        <f t="shared" si="81"/>
        <v>01100110</v>
      </c>
      <c r="B555" s="6" t="s">
        <v>1760</v>
      </c>
      <c r="C555" s="6" t="s">
        <v>1760</v>
      </c>
      <c r="D555" s="6">
        <v>546</v>
      </c>
      <c r="E555" s="6">
        <v>110</v>
      </c>
      <c r="F555" s="6" t="s">
        <v>1228</v>
      </c>
      <c r="G555" s="6">
        <v>110</v>
      </c>
      <c r="H555" s="6" t="s">
        <v>791</v>
      </c>
      <c r="I555" s="33">
        <v>36858149.159999996</v>
      </c>
      <c r="J555" s="88">
        <v>0.95265943561363176</v>
      </c>
      <c r="K555" s="89">
        <f>X555</f>
        <v>37107723.809999995</v>
      </c>
      <c r="L555" s="88">
        <f>IF(K559&gt;0, K555/K559, 0)</f>
        <v>0.94850524474563658</v>
      </c>
      <c r="M555" s="58"/>
      <c r="N555" s="9">
        <f>ROUND(M559*L555,0)</f>
        <v>25816666</v>
      </c>
      <c r="O555" s="9">
        <v>24436656</v>
      </c>
      <c r="P555" s="9">
        <f>N555-O555</f>
        <v>1380010</v>
      </c>
      <c r="Q555" s="40">
        <f t="shared" si="89"/>
        <v>5.6472947853421518</v>
      </c>
      <c r="R555" s="9">
        <v>2950</v>
      </c>
      <c r="S555" s="9">
        <f t="shared" si="87"/>
        <v>2902</v>
      </c>
      <c r="T555" s="90">
        <f t="shared" si="82"/>
        <v>110</v>
      </c>
      <c r="U555" s="90">
        <f t="shared" si="83"/>
        <v>110</v>
      </c>
      <c r="V555" s="373">
        <f t="shared" si="84"/>
        <v>546</v>
      </c>
      <c r="W555" s="90">
        <f t="shared" si="85"/>
        <v>2902</v>
      </c>
      <c r="X555" s="90">
        <f t="shared" si="86"/>
        <v>37107723.809999995</v>
      </c>
      <c r="Y555" s="141">
        <f t="shared" si="88"/>
        <v>546</v>
      </c>
      <c r="Z555" s="298">
        <v>110</v>
      </c>
      <c r="AA555" s="299">
        <v>110</v>
      </c>
      <c r="AB555" s="299">
        <v>546</v>
      </c>
      <c r="AC555" s="301">
        <v>2902</v>
      </c>
      <c r="AD555" s="301">
        <v>37107723.809999995</v>
      </c>
      <c r="AE555" s="126"/>
      <c r="AF555" s="298"/>
      <c r="AG555" s="299"/>
      <c r="AH555" s="299"/>
      <c r="AI555" s="301"/>
      <c r="AJ555" s="301"/>
      <c r="AK555" s="426"/>
      <c r="AL555" s="298"/>
      <c r="AM555" s="299"/>
      <c r="AN555" s="299"/>
      <c r="AO555" s="301"/>
      <c r="AP555" s="301"/>
      <c r="AQ555" s="426"/>
      <c r="AR555" s="298"/>
      <c r="AS555" s="299"/>
      <c r="AT555" s="299"/>
      <c r="AU555" s="301"/>
      <c r="AV555" s="301"/>
      <c r="AW555" s="88"/>
      <c r="AX555" s="298"/>
      <c r="AY555" s="299"/>
      <c r="AZ555" s="299"/>
      <c r="BA555" s="301"/>
      <c r="BB555" s="301"/>
      <c r="BC555" s="426"/>
      <c r="BD555" s="298"/>
      <c r="BE555" s="299"/>
      <c r="BF555" s="299"/>
      <c r="BG555" s="301"/>
      <c r="BH555" s="301"/>
      <c r="BI555" s="88"/>
      <c r="BJ555" s="298"/>
      <c r="BK555" s="299"/>
      <c r="BL555" s="299"/>
      <c r="BM555" s="301"/>
      <c r="BN555" s="301"/>
      <c r="BO555" s="88"/>
      <c r="BP555" s="9"/>
      <c r="BS555" s="81"/>
      <c r="BT555" s="81"/>
      <c r="BV555" s="9"/>
      <c r="BY555" s="81"/>
      <c r="BZ555" s="81"/>
      <c r="CB555" s="9"/>
      <c r="CE555" s="81"/>
      <c r="CF555" s="81"/>
      <c r="CH555" s="9"/>
      <c r="CK555" s="81"/>
      <c r="CL555" s="81"/>
      <c r="CR555" s="9"/>
      <c r="CS555" s="9"/>
      <c r="CT555" s="9"/>
      <c r="CU555" s="9"/>
      <c r="CV555" s="9"/>
      <c r="CW555" s="129"/>
      <c r="CX555" s="9"/>
    </row>
    <row r="556" spans="1:102">
      <c r="A556" s="6" t="str">
        <f t="shared" si="81"/>
        <v>01100805</v>
      </c>
      <c r="B556" s="6" t="s">
        <v>1760</v>
      </c>
      <c r="C556" s="6" t="s">
        <v>2063</v>
      </c>
      <c r="D556" s="6">
        <v>547</v>
      </c>
      <c r="E556" s="6">
        <v>110</v>
      </c>
      <c r="F556" s="6" t="s">
        <v>1228</v>
      </c>
      <c r="G556" s="6">
        <v>805</v>
      </c>
      <c r="H556" s="6" t="s">
        <v>1093</v>
      </c>
      <c r="I556" s="33">
        <v>1831594.290930857</v>
      </c>
      <c r="J556" s="88">
        <v>4.7340564386368134E-2</v>
      </c>
      <c r="K556" s="89">
        <f t="shared" si="90"/>
        <v>2014594.190414734</v>
      </c>
      <c r="L556" s="88">
        <f>IF(K559&gt;0, K556/K559, 0)</f>
        <v>5.1494755254363443E-2</v>
      </c>
      <c r="M556" s="58"/>
      <c r="N556" s="9">
        <f>ROUND(M559*L556,0)</f>
        <v>1401598</v>
      </c>
      <c r="O556" s="9">
        <v>1214332</v>
      </c>
      <c r="P556" s="9">
        <f>N556-O556</f>
        <v>187266</v>
      </c>
      <c r="Q556" s="40">
        <f t="shared" si="89"/>
        <v>15.421318057994025</v>
      </c>
      <c r="R556" s="9">
        <v>97.000000003319997</v>
      </c>
      <c r="S556" s="9">
        <f t="shared" si="87"/>
        <v>103.99999999479999</v>
      </c>
      <c r="T556" s="90">
        <f t="shared" si="82"/>
        <v>110</v>
      </c>
      <c r="U556" s="90">
        <f t="shared" si="83"/>
        <v>805</v>
      </c>
      <c r="V556" s="373">
        <f t="shared" si="84"/>
        <v>547</v>
      </c>
      <c r="W556" s="90">
        <f t="shared" si="85"/>
        <v>103.99999999479999</v>
      </c>
      <c r="X556" s="90">
        <f t="shared" si="86"/>
        <v>2014594.190414734</v>
      </c>
      <c r="Y556" s="141">
        <f t="shared" si="88"/>
        <v>547</v>
      </c>
      <c r="Z556" s="298">
        <v>110</v>
      </c>
      <c r="AA556" s="299">
        <v>805</v>
      </c>
      <c r="AB556" s="299">
        <v>547</v>
      </c>
      <c r="AC556" s="301">
        <v>103.99999999479999</v>
      </c>
      <c r="AD556" s="301">
        <v>2014594.190414734</v>
      </c>
      <c r="AE556" s="126"/>
      <c r="AF556" s="298"/>
      <c r="AG556" s="299"/>
      <c r="AH556" s="299"/>
      <c r="AI556" s="301"/>
      <c r="AJ556" s="301"/>
      <c r="AK556" s="426"/>
      <c r="AL556" s="298"/>
      <c r="AM556" s="299"/>
      <c r="AN556" s="299"/>
      <c r="AO556" s="301"/>
      <c r="AP556" s="301"/>
      <c r="AQ556" s="426"/>
      <c r="AR556" s="298"/>
      <c r="AS556" s="299"/>
      <c r="AT556" s="299"/>
      <c r="AU556" s="301"/>
      <c r="AV556" s="301"/>
      <c r="AW556" s="88"/>
      <c r="AX556" s="298"/>
      <c r="AY556" s="299"/>
      <c r="AZ556" s="299"/>
      <c r="BA556" s="301"/>
      <c r="BB556" s="301"/>
      <c r="BC556" s="426"/>
      <c r="BD556" s="298"/>
      <c r="BE556" s="299"/>
      <c r="BF556" s="299"/>
      <c r="BG556" s="301"/>
      <c r="BH556" s="301"/>
      <c r="BI556" s="88"/>
      <c r="BJ556" s="298"/>
      <c r="BK556" s="299"/>
      <c r="BL556" s="299"/>
      <c r="BM556" s="301"/>
      <c r="BN556" s="301"/>
      <c r="BO556" s="88"/>
      <c r="BP556" s="9"/>
      <c r="BS556" s="81"/>
      <c r="BT556" s="81"/>
      <c r="BV556" s="9"/>
      <c r="BY556" s="81"/>
      <c r="BZ556" s="81"/>
      <c r="CB556" s="9"/>
      <c r="CE556" s="81"/>
      <c r="CF556" s="81"/>
      <c r="CH556" s="9"/>
      <c r="CK556" s="81"/>
      <c r="CL556" s="81"/>
      <c r="CR556" s="9"/>
      <c r="CS556" s="9"/>
      <c r="CT556" s="9"/>
      <c r="CU556" s="9"/>
      <c r="CV556" s="9"/>
      <c r="CW556" s="129"/>
      <c r="CX556" s="9"/>
    </row>
    <row r="557" spans="1:102">
      <c r="A557" s="6" t="str">
        <f t="shared" si="81"/>
        <v>01100998</v>
      </c>
      <c r="B557" s="6" t="s">
        <v>1760</v>
      </c>
      <c r="C557" s="6" t="s">
        <v>2091</v>
      </c>
      <c r="D557" s="6">
        <v>548</v>
      </c>
      <c r="E557" s="6">
        <v>110</v>
      </c>
      <c r="F557" s="6" t="s">
        <v>1547</v>
      </c>
      <c r="G557" s="6">
        <v>998</v>
      </c>
      <c r="H557" s="6" t="s">
        <v>1547</v>
      </c>
      <c r="I557" s="33">
        <v>0</v>
      </c>
      <c r="J557" s="88">
        <v>0</v>
      </c>
      <c r="K557" s="89">
        <f t="shared" si="90"/>
        <v>0</v>
      </c>
      <c r="L557" s="88">
        <f>IF(K559&gt;0, K557/K559, 0)</f>
        <v>0</v>
      </c>
      <c r="M557" s="58"/>
      <c r="N557" s="9">
        <f>ROUND(M559*L557,0)</f>
        <v>0</v>
      </c>
      <c r="O557" s="9">
        <v>0</v>
      </c>
      <c r="P557" s="9">
        <f>N557-O557</f>
        <v>0</v>
      </c>
      <c r="Q557" s="40">
        <f t="shared" si="89"/>
        <v>0</v>
      </c>
      <c r="R557" s="9">
        <v>0</v>
      </c>
      <c r="S557" s="9">
        <f t="shared" si="87"/>
        <v>0</v>
      </c>
      <c r="T557" s="90">
        <f t="shared" si="82"/>
        <v>110</v>
      </c>
      <c r="U557" s="90">
        <f t="shared" si="83"/>
        <v>998</v>
      </c>
      <c r="V557" s="373">
        <f t="shared" si="84"/>
        <v>548</v>
      </c>
      <c r="W557" s="90">
        <f t="shared" si="85"/>
        <v>0</v>
      </c>
      <c r="X557" s="90">
        <f t="shared" si="86"/>
        <v>0</v>
      </c>
      <c r="Y557" s="141">
        <f t="shared" si="88"/>
        <v>548</v>
      </c>
      <c r="Z557" s="298">
        <v>110</v>
      </c>
      <c r="AA557" s="299">
        <v>998</v>
      </c>
      <c r="AB557" s="299">
        <v>548</v>
      </c>
      <c r="AC557" s="301">
        <v>0</v>
      </c>
      <c r="AD557" s="301">
        <v>0</v>
      </c>
      <c r="AE557" s="126"/>
      <c r="AF557" s="298"/>
      <c r="AG557" s="299"/>
      <c r="AH557" s="299"/>
      <c r="AI557" s="301"/>
      <c r="AJ557" s="301"/>
      <c r="AK557" s="426"/>
      <c r="AL557" s="298"/>
      <c r="AM557" s="299"/>
      <c r="AN557" s="299"/>
      <c r="AO557" s="301"/>
      <c r="AP557" s="301"/>
      <c r="AQ557" s="426"/>
      <c r="AR557" s="298"/>
      <c r="AS557" s="299"/>
      <c r="AT557" s="299"/>
      <c r="AU557" s="301"/>
      <c r="AV557" s="301"/>
      <c r="AW557" s="88"/>
      <c r="AX557" s="298"/>
      <c r="AY557" s="299"/>
      <c r="AZ557" s="299"/>
      <c r="BA557" s="301"/>
      <c r="BB557" s="301"/>
      <c r="BC557" s="426"/>
      <c r="BD557" s="298"/>
      <c r="BE557" s="299"/>
      <c r="BF557" s="299"/>
      <c r="BG557" s="301"/>
      <c r="BH557" s="301"/>
      <c r="BI557" s="88"/>
      <c r="BJ557" s="298"/>
      <c r="BK557" s="299"/>
      <c r="BL557" s="299"/>
      <c r="BM557" s="301"/>
      <c r="BN557" s="301"/>
      <c r="BO557" s="88"/>
      <c r="BP557" s="9"/>
      <c r="BS557" s="81"/>
      <c r="BT557" s="81"/>
      <c r="BV557" s="9"/>
      <c r="BY557" s="81"/>
      <c r="BZ557" s="81"/>
      <c r="CB557" s="9"/>
      <c r="CE557" s="81"/>
      <c r="CF557" s="81"/>
      <c r="CH557" s="9"/>
      <c r="CK557" s="81"/>
      <c r="CL557" s="81"/>
      <c r="CR557" s="9"/>
      <c r="CS557" s="9"/>
      <c r="CT557" s="9"/>
      <c r="CU557" s="9"/>
      <c r="CV557" s="9"/>
      <c r="CW557" s="129"/>
      <c r="CX557" s="9"/>
    </row>
    <row r="558" spans="1:102">
      <c r="A558" s="6" t="str">
        <f t="shared" si="81"/>
        <v>01100998</v>
      </c>
      <c r="B558" s="6" t="s">
        <v>1760</v>
      </c>
      <c r="C558" s="6" t="s">
        <v>2091</v>
      </c>
      <c r="D558" s="6">
        <v>549</v>
      </c>
      <c r="E558" s="6">
        <v>110</v>
      </c>
      <c r="F558" s="6" t="s">
        <v>1547</v>
      </c>
      <c r="G558" s="6">
        <v>998</v>
      </c>
      <c r="H558" s="6" t="s">
        <v>1547</v>
      </c>
      <c r="I558" s="33">
        <v>0</v>
      </c>
      <c r="J558" s="88">
        <v>0</v>
      </c>
      <c r="K558" s="89">
        <f t="shared" si="90"/>
        <v>0</v>
      </c>
      <c r="L558" s="88">
        <f>IF(K559&gt;0, K558/K559, 0)</f>
        <v>0</v>
      </c>
      <c r="M558" s="58"/>
      <c r="N558" s="9">
        <f>ROUND(M559*L558,0)</f>
        <v>0</v>
      </c>
      <c r="O558" s="9">
        <v>0</v>
      </c>
      <c r="P558" s="9">
        <f>N558-O558</f>
        <v>0</v>
      </c>
      <c r="Q558" s="40">
        <f t="shared" si="89"/>
        <v>0</v>
      </c>
      <c r="R558" s="9">
        <v>0</v>
      </c>
      <c r="S558" s="9">
        <f t="shared" si="87"/>
        <v>0</v>
      </c>
      <c r="T558" s="90">
        <f t="shared" si="82"/>
        <v>110</v>
      </c>
      <c r="U558" s="90">
        <f t="shared" si="83"/>
        <v>998</v>
      </c>
      <c r="V558" s="373">
        <f t="shared" si="84"/>
        <v>549</v>
      </c>
      <c r="W558" s="90">
        <f t="shared" si="85"/>
        <v>0</v>
      </c>
      <c r="X558" s="90">
        <f t="shared" si="86"/>
        <v>0</v>
      </c>
      <c r="Y558" s="141">
        <f t="shared" si="88"/>
        <v>549</v>
      </c>
      <c r="Z558" s="298">
        <v>110</v>
      </c>
      <c r="AA558" s="299">
        <v>998</v>
      </c>
      <c r="AB558" s="299">
        <v>549</v>
      </c>
      <c r="AC558" s="301">
        <v>0</v>
      </c>
      <c r="AD558" s="301">
        <v>0</v>
      </c>
      <c r="AE558" s="126"/>
      <c r="AF558" s="298"/>
      <c r="AG558" s="299"/>
      <c r="AH558" s="299"/>
      <c r="AI558" s="301"/>
      <c r="AJ558" s="301"/>
      <c r="AK558" s="426"/>
      <c r="AL558" s="298"/>
      <c r="AM558" s="299"/>
      <c r="AN558" s="299"/>
      <c r="AO558" s="301"/>
      <c r="AP558" s="301"/>
      <c r="AQ558" s="426"/>
      <c r="AR558" s="298"/>
      <c r="AS558" s="299"/>
      <c r="AT558" s="299"/>
      <c r="AU558" s="301"/>
      <c r="AV558" s="301"/>
      <c r="AW558" s="88"/>
      <c r="AX558" s="298"/>
      <c r="AY558" s="299"/>
      <c r="AZ558" s="299"/>
      <c r="BA558" s="301"/>
      <c r="BB558" s="301"/>
      <c r="BC558" s="426"/>
      <c r="BD558" s="298"/>
      <c r="BE558" s="299"/>
      <c r="BF558" s="299"/>
      <c r="BG558" s="301"/>
      <c r="BH558" s="301"/>
      <c r="BI558" s="88"/>
      <c r="BJ558" s="298"/>
      <c r="BK558" s="299"/>
      <c r="BL558" s="299"/>
      <c r="BM558" s="301"/>
      <c r="BN558" s="301"/>
      <c r="BO558" s="88"/>
      <c r="BP558" s="9"/>
      <c r="BS558" s="81"/>
      <c r="BT558" s="81"/>
      <c r="BV558" s="9"/>
      <c r="BY558" s="81"/>
      <c r="BZ558" s="81"/>
      <c r="CB558" s="9"/>
      <c r="CE558" s="81"/>
      <c r="CF558" s="81"/>
      <c r="CH558" s="9"/>
      <c r="CK558" s="81"/>
      <c r="CL558" s="81"/>
      <c r="CR558" s="9"/>
      <c r="CS558" s="9"/>
      <c r="CT558" s="9"/>
      <c r="CU558" s="9"/>
      <c r="CV558" s="9"/>
      <c r="CW558" s="129"/>
      <c r="CX558" s="9"/>
    </row>
    <row r="559" spans="1:102">
      <c r="A559" s="6" t="str">
        <f t="shared" si="81"/>
        <v>01100999</v>
      </c>
      <c r="B559" s="6" t="s">
        <v>1760</v>
      </c>
      <c r="C559" s="6" t="s">
        <v>2092</v>
      </c>
      <c r="D559" s="6">
        <v>550</v>
      </c>
      <c r="E559" s="10">
        <v>110</v>
      </c>
      <c r="F559" s="10" t="s">
        <v>1228</v>
      </c>
      <c r="G559" s="10">
        <v>999</v>
      </c>
      <c r="H559" s="10" t="s">
        <v>593</v>
      </c>
      <c r="I559" s="92">
        <v>38689743.450930856</v>
      </c>
      <c r="J559" s="472">
        <v>0.99999999999999989</v>
      </c>
      <c r="K559" s="53">
        <f>SUM(K555:K558)</f>
        <v>39122318.000414729</v>
      </c>
      <c r="L559" s="91">
        <f>SUM(L555:L558)</f>
        <v>1</v>
      </c>
      <c r="M559" s="79">
        <f>VLOOKUP(E559,town351,24)</f>
        <v>27218264</v>
      </c>
      <c r="N559" s="79">
        <f>SUM(N555:N558)</f>
        <v>27218264</v>
      </c>
      <c r="O559" s="79">
        <v>25650988</v>
      </c>
      <c r="P559" s="79">
        <f>SUM(P555:P558)</f>
        <v>1567276</v>
      </c>
      <c r="Q559" s="39">
        <f t="shared" si="89"/>
        <v>6.1100024685209009</v>
      </c>
      <c r="R559" s="9">
        <v>3047.0000000033201</v>
      </c>
      <c r="S559" s="9">
        <f t="shared" si="87"/>
        <v>3005.9999999948</v>
      </c>
      <c r="T559" s="90">
        <f t="shared" si="82"/>
        <v>110</v>
      </c>
      <c r="U559" s="90">
        <f t="shared" si="83"/>
        <v>999</v>
      </c>
      <c r="V559" s="373">
        <f t="shared" si="84"/>
        <v>550</v>
      </c>
      <c r="W559" s="90">
        <f t="shared" si="85"/>
        <v>3005.9999999948</v>
      </c>
      <c r="X559" s="90">
        <f t="shared" si="86"/>
        <v>39122318.000414729</v>
      </c>
      <c r="Y559" s="141">
        <f t="shared" si="88"/>
        <v>550</v>
      </c>
      <c r="Z559" s="298">
        <v>110</v>
      </c>
      <c r="AA559" s="299">
        <v>999</v>
      </c>
      <c r="AB559" s="299">
        <v>550</v>
      </c>
      <c r="AC559" s="301">
        <v>3005.9999999948</v>
      </c>
      <c r="AD559" s="301">
        <v>39122318.000414729</v>
      </c>
      <c r="AE559" s="126"/>
      <c r="AF559" s="298"/>
      <c r="AG559" s="299"/>
      <c r="AH559" s="299"/>
      <c r="AI559" s="301"/>
      <c r="AJ559" s="301"/>
      <c r="AK559" s="426"/>
      <c r="AL559" s="298"/>
      <c r="AM559" s="299"/>
      <c r="AN559" s="299"/>
      <c r="AO559" s="301"/>
      <c r="AP559" s="301"/>
      <c r="AQ559" s="426"/>
      <c r="AR559" s="298"/>
      <c r="AS559" s="299"/>
      <c r="AT559" s="299"/>
      <c r="AU559" s="301"/>
      <c r="AV559" s="301"/>
      <c r="AW559" s="91"/>
      <c r="AX559" s="298"/>
      <c r="AY559" s="299"/>
      <c r="AZ559" s="299"/>
      <c r="BA559" s="301"/>
      <c r="BB559" s="301"/>
      <c r="BC559" s="426"/>
      <c r="BD559" s="298"/>
      <c r="BE559" s="299"/>
      <c r="BF559" s="299"/>
      <c r="BG559" s="301"/>
      <c r="BH559" s="301"/>
      <c r="BI559" s="91"/>
      <c r="BJ559" s="298"/>
      <c r="BK559" s="299"/>
      <c r="BL559" s="299"/>
      <c r="BM559" s="301"/>
      <c r="BN559" s="301"/>
      <c r="BO559" s="91"/>
      <c r="BP559" s="9"/>
      <c r="BS559" s="81"/>
      <c r="BT559" s="81"/>
      <c r="BV559" s="9"/>
      <c r="BY559" s="81"/>
      <c r="BZ559" s="81"/>
      <c r="CB559" s="9"/>
      <c r="CE559" s="81"/>
      <c r="CF559" s="81"/>
      <c r="CH559" s="9"/>
      <c r="CK559" s="81"/>
      <c r="CL559" s="81"/>
      <c r="CR559" s="9"/>
      <c r="CS559" s="9"/>
      <c r="CT559" s="9"/>
      <c r="CU559" s="9"/>
      <c r="CV559" s="9"/>
      <c r="CW559" s="129"/>
      <c r="CX559" s="9"/>
    </row>
    <row r="560" spans="1:102">
      <c r="A560" s="6" t="str">
        <f t="shared" si="81"/>
        <v>01110111</v>
      </c>
      <c r="B560" s="6" t="s">
        <v>1761</v>
      </c>
      <c r="C560" s="6" t="s">
        <v>1761</v>
      </c>
      <c r="D560" s="6">
        <v>551</v>
      </c>
      <c r="E560" s="6">
        <v>111</v>
      </c>
      <c r="F560" s="6" t="s">
        <v>1229</v>
      </c>
      <c r="G560" s="6">
        <v>111</v>
      </c>
      <c r="H560" s="6" t="s">
        <v>792</v>
      </c>
      <c r="I560" s="33">
        <v>9588488.8899999987</v>
      </c>
      <c r="J560" s="88">
        <v>0.96369495817839523</v>
      </c>
      <c r="K560" s="89">
        <f>X560</f>
        <v>9658208.7799999993</v>
      </c>
      <c r="L560" s="88">
        <f>IF(K564&gt;0, K560/K564, 0)</f>
        <v>0.95889648361527346</v>
      </c>
      <c r="M560" s="58"/>
      <c r="N560" s="9">
        <f>ROUND(M564*L560,0)</f>
        <v>5916543</v>
      </c>
      <c r="O560" s="9">
        <v>5667319</v>
      </c>
      <c r="P560" s="9">
        <f>N560-O560</f>
        <v>249224</v>
      </c>
      <c r="Q560" s="40">
        <f t="shared" si="89"/>
        <v>4.3975643509744202</v>
      </c>
      <c r="R560" s="9">
        <v>672</v>
      </c>
      <c r="S560" s="9">
        <f t="shared" si="87"/>
        <v>655</v>
      </c>
      <c r="T560" s="90">
        <f t="shared" si="82"/>
        <v>111</v>
      </c>
      <c r="U560" s="90">
        <f t="shared" si="83"/>
        <v>111</v>
      </c>
      <c r="V560" s="373">
        <f t="shared" si="84"/>
        <v>551</v>
      </c>
      <c r="W560" s="90">
        <f t="shared" si="85"/>
        <v>655</v>
      </c>
      <c r="X560" s="90">
        <f t="shared" si="86"/>
        <v>9658208.7799999993</v>
      </c>
      <c r="Y560" s="141">
        <f t="shared" si="88"/>
        <v>551</v>
      </c>
      <c r="Z560" s="298">
        <v>111</v>
      </c>
      <c r="AA560" s="299">
        <v>111</v>
      </c>
      <c r="AB560" s="299">
        <v>551</v>
      </c>
      <c r="AC560" s="301">
        <v>655</v>
      </c>
      <c r="AD560" s="301">
        <v>9658208.7799999993</v>
      </c>
      <c r="AE560" s="126"/>
      <c r="AF560" s="298"/>
      <c r="AG560" s="299"/>
      <c r="AH560" s="299"/>
      <c r="AI560" s="301"/>
      <c r="AJ560" s="301"/>
      <c r="AK560" s="426"/>
      <c r="AL560" s="298"/>
      <c r="AM560" s="299"/>
      <c r="AN560" s="299"/>
      <c r="AO560" s="301"/>
      <c r="AP560" s="301"/>
      <c r="AQ560" s="426"/>
      <c r="AR560" s="298"/>
      <c r="AS560" s="299"/>
      <c r="AT560" s="299"/>
      <c r="AU560" s="301"/>
      <c r="AV560" s="301"/>
      <c r="AW560" s="88"/>
      <c r="AX560" s="298"/>
      <c r="AY560" s="299"/>
      <c r="AZ560" s="299"/>
      <c r="BA560" s="301"/>
      <c r="BB560" s="301"/>
      <c r="BC560" s="426"/>
      <c r="BD560" s="298"/>
      <c r="BE560" s="299"/>
      <c r="BF560" s="299"/>
      <c r="BG560" s="301"/>
      <c r="BH560" s="301"/>
      <c r="BI560" s="88"/>
      <c r="BJ560" s="298"/>
      <c r="BK560" s="299"/>
      <c r="BL560" s="299"/>
      <c r="BM560" s="301"/>
      <c r="BN560" s="301"/>
      <c r="BO560" s="88"/>
      <c r="BP560" s="9"/>
      <c r="BS560" s="81"/>
      <c r="BT560" s="81"/>
      <c r="BV560" s="9"/>
      <c r="BY560" s="81"/>
      <c r="BZ560" s="81"/>
      <c r="CB560" s="9"/>
      <c r="CE560" s="81"/>
      <c r="CF560" s="81"/>
      <c r="CH560" s="9"/>
      <c r="CK560" s="81"/>
      <c r="CL560" s="81"/>
      <c r="CR560" s="9"/>
      <c r="CS560" s="9"/>
      <c r="CT560" s="9"/>
      <c r="CU560" s="9"/>
      <c r="CV560" s="9"/>
      <c r="CW560" s="129"/>
      <c r="CX560" s="9"/>
    </row>
    <row r="561" spans="1:102">
      <c r="A561" s="6" t="str">
        <f t="shared" si="81"/>
        <v>01110860</v>
      </c>
      <c r="B561" s="6" t="s">
        <v>1761</v>
      </c>
      <c r="C561" s="6" t="s">
        <v>2080</v>
      </c>
      <c r="D561" s="6">
        <v>552</v>
      </c>
      <c r="E561" s="6">
        <v>111</v>
      </c>
      <c r="F561" s="6" t="s">
        <v>1229</v>
      </c>
      <c r="G561" s="6">
        <v>860</v>
      </c>
      <c r="H561" s="6" t="s">
        <v>1110</v>
      </c>
      <c r="I561" s="33">
        <v>361224.77055960952</v>
      </c>
      <c r="J561" s="88">
        <v>3.6305041821604836E-2</v>
      </c>
      <c r="K561" s="89">
        <f t="shared" si="90"/>
        <v>414003.33572932164</v>
      </c>
      <c r="L561" s="88">
        <f>IF(K564&gt;0, K561/K564, 0)</f>
        <v>4.110351638472657E-2</v>
      </c>
      <c r="M561" s="58"/>
      <c r="N561" s="9">
        <f>ROUND(M564*L561,0)</f>
        <v>253615</v>
      </c>
      <c r="O561" s="9">
        <v>213503</v>
      </c>
      <c r="P561" s="9">
        <f>N561-O561</f>
        <v>40112</v>
      </c>
      <c r="Q561" s="40">
        <f t="shared" si="89"/>
        <v>18.787558020262011</v>
      </c>
      <c r="R561" s="9">
        <v>17.00000000132</v>
      </c>
      <c r="S561" s="9">
        <f t="shared" si="87"/>
        <v>19.000000002900002</v>
      </c>
      <c r="T561" s="90">
        <f t="shared" si="82"/>
        <v>111</v>
      </c>
      <c r="U561" s="90">
        <f t="shared" si="83"/>
        <v>860</v>
      </c>
      <c r="V561" s="373">
        <f t="shared" si="84"/>
        <v>552</v>
      </c>
      <c r="W561" s="90">
        <f t="shared" si="85"/>
        <v>19.000000002900002</v>
      </c>
      <c r="X561" s="90">
        <f t="shared" si="86"/>
        <v>414003.33572932164</v>
      </c>
      <c r="Y561" s="141">
        <f t="shared" si="88"/>
        <v>552</v>
      </c>
      <c r="Z561" s="298">
        <v>111</v>
      </c>
      <c r="AA561" s="299">
        <v>860</v>
      </c>
      <c r="AB561" s="299">
        <v>552</v>
      </c>
      <c r="AC561" s="301">
        <v>19.000000002900002</v>
      </c>
      <c r="AD561" s="301">
        <v>414003.33572932164</v>
      </c>
      <c r="AE561" s="126"/>
      <c r="AF561" s="298"/>
      <c r="AG561" s="299"/>
      <c r="AH561" s="299"/>
      <c r="AI561" s="301"/>
      <c r="AJ561" s="301"/>
      <c r="AK561" s="426"/>
      <c r="AL561" s="298"/>
      <c r="AM561" s="299"/>
      <c r="AN561" s="299"/>
      <c r="AO561" s="301"/>
      <c r="AP561" s="301"/>
      <c r="AQ561" s="426"/>
      <c r="AR561" s="298"/>
      <c r="AS561" s="299"/>
      <c r="AT561" s="299"/>
      <c r="AU561" s="301"/>
      <c r="AV561" s="301"/>
      <c r="AW561" s="88"/>
      <c r="AX561" s="298"/>
      <c r="AY561" s="299"/>
      <c r="AZ561" s="299"/>
      <c r="BA561" s="301"/>
      <c r="BB561" s="301"/>
      <c r="BC561" s="426"/>
      <c r="BD561" s="298"/>
      <c r="BE561" s="299"/>
      <c r="BF561" s="299"/>
      <c r="BG561" s="301"/>
      <c r="BH561" s="301"/>
      <c r="BI561" s="88"/>
      <c r="BJ561" s="298"/>
      <c r="BK561" s="299"/>
      <c r="BL561" s="299"/>
      <c r="BM561" s="301"/>
      <c r="BN561" s="301"/>
      <c r="BO561" s="88"/>
      <c r="BP561" s="9"/>
      <c r="BS561" s="81"/>
      <c r="BT561" s="81"/>
      <c r="BV561" s="9"/>
      <c r="BY561" s="81"/>
      <c r="BZ561" s="81"/>
      <c r="CB561" s="9"/>
      <c r="CE561" s="81"/>
      <c r="CF561" s="81"/>
      <c r="CH561" s="9"/>
      <c r="CK561" s="81"/>
      <c r="CL561" s="81"/>
      <c r="CR561" s="9"/>
      <c r="CS561" s="9"/>
      <c r="CT561" s="9"/>
      <c r="CU561" s="9"/>
      <c r="CV561" s="9"/>
      <c r="CW561" s="129"/>
      <c r="CX561" s="9"/>
    </row>
    <row r="562" spans="1:102">
      <c r="A562" s="6" t="str">
        <f t="shared" si="81"/>
        <v>01110998</v>
      </c>
      <c r="B562" s="6" t="s">
        <v>1761</v>
      </c>
      <c r="C562" s="6" t="s">
        <v>2091</v>
      </c>
      <c r="D562" s="6">
        <v>553</v>
      </c>
      <c r="E562" s="6">
        <v>111</v>
      </c>
      <c r="F562" s="6" t="s">
        <v>1547</v>
      </c>
      <c r="G562" s="6">
        <v>998</v>
      </c>
      <c r="H562" s="6" t="s">
        <v>1547</v>
      </c>
      <c r="I562" s="33">
        <v>0</v>
      </c>
      <c r="J562" s="88">
        <v>0</v>
      </c>
      <c r="K562" s="89">
        <f t="shared" si="90"/>
        <v>0</v>
      </c>
      <c r="L562" s="88">
        <f>IF(K564&gt;0, K562/K564, 0)</f>
        <v>0</v>
      </c>
      <c r="M562" s="58"/>
      <c r="N562" s="9">
        <f>ROUND(M564*L562,0)</f>
        <v>0</v>
      </c>
      <c r="O562" s="9">
        <v>0</v>
      </c>
      <c r="P562" s="9">
        <f>N562-O562</f>
        <v>0</v>
      </c>
      <c r="Q562" s="40">
        <f t="shared" si="89"/>
        <v>0</v>
      </c>
      <c r="R562" s="9">
        <v>0</v>
      </c>
      <c r="S562" s="9">
        <f t="shared" si="87"/>
        <v>0</v>
      </c>
      <c r="T562" s="90">
        <f t="shared" si="82"/>
        <v>111</v>
      </c>
      <c r="U562" s="90">
        <f t="shared" si="83"/>
        <v>998</v>
      </c>
      <c r="V562" s="373">
        <f t="shared" si="84"/>
        <v>553</v>
      </c>
      <c r="W562" s="90">
        <f t="shared" si="85"/>
        <v>0</v>
      </c>
      <c r="X562" s="90">
        <f t="shared" si="86"/>
        <v>0</v>
      </c>
      <c r="Y562" s="141">
        <f t="shared" si="88"/>
        <v>553</v>
      </c>
      <c r="Z562" s="298">
        <v>111</v>
      </c>
      <c r="AA562" s="299">
        <v>998</v>
      </c>
      <c r="AB562" s="299">
        <v>553</v>
      </c>
      <c r="AC562" s="301">
        <v>0</v>
      </c>
      <c r="AD562" s="301">
        <v>0</v>
      </c>
      <c r="AE562" s="126"/>
      <c r="AF562" s="298"/>
      <c r="AG562" s="299"/>
      <c r="AH562" s="299"/>
      <c r="AI562" s="301"/>
      <c r="AJ562" s="301"/>
      <c r="AK562" s="426"/>
      <c r="AL562" s="298"/>
      <c r="AM562" s="299"/>
      <c r="AN562" s="299"/>
      <c r="AO562" s="301"/>
      <c r="AP562" s="301"/>
      <c r="AQ562" s="426"/>
      <c r="AR562" s="298"/>
      <c r="AS562" s="299"/>
      <c r="AT562" s="299"/>
      <c r="AU562" s="301"/>
      <c r="AV562" s="301"/>
      <c r="AW562" s="88"/>
      <c r="AX562" s="298"/>
      <c r="AY562" s="299"/>
      <c r="AZ562" s="299"/>
      <c r="BA562" s="301"/>
      <c r="BB562" s="301"/>
      <c r="BC562" s="426"/>
      <c r="BD562" s="298"/>
      <c r="BE562" s="299"/>
      <c r="BF562" s="299"/>
      <c r="BG562" s="301"/>
      <c r="BH562" s="301"/>
      <c r="BI562" s="88"/>
      <c r="BJ562" s="298"/>
      <c r="BK562" s="299"/>
      <c r="BL562" s="299"/>
      <c r="BM562" s="301"/>
      <c r="BN562" s="301"/>
      <c r="BO562" s="88"/>
      <c r="BP562" s="9"/>
      <c r="BS562" s="81"/>
      <c r="BT562" s="81"/>
      <c r="BV562" s="9"/>
      <c r="BY562" s="81"/>
      <c r="BZ562" s="81"/>
      <c r="CB562" s="9"/>
      <c r="CE562" s="81"/>
      <c r="CF562" s="81"/>
      <c r="CH562" s="9"/>
      <c r="CK562" s="81"/>
      <c r="CL562" s="81"/>
      <c r="CR562" s="9"/>
      <c r="CS562" s="9"/>
      <c r="CT562" s="9"/>
      <c r="CU562" s="9"/>
      <c r="CV562" s="9"/>
      <c r="CW562" s="129"/>
      <c r="CX562" s="9"/>
    </row>
    <row r="563" spans="1:102">
      <c r="A563" s="6" t="str">
        <f t="shared" si="81"/>
        <v>01110998</v>
      </c>
      <c r="B563" s="6" t="s">
        <v>1761</v>
      </c>
      <c r="C563" s="6" t="s">
        <v>2091</v>
      </c>
      <c r="D563" s="6">
        <v>554</v>
      </c>
      <c r="E563" s="6">
        <v>111</v>
      </c>
      <c r="F563" s="6" t="s">
        <v>1547</v>
      </c>
      <c r="G563" s="6">
        <v>998</v>
      </c>
      <c r="H563" s="6" t="s">
        <v>1547</v>
      </c>
      <c r="I563" s="33">
        <v>0</v>
      </c>
      <c r="J563" s="88">
        <v>0</v>
      </c>
      <c r="K563" s="89">
        <f t="shared" si="90"/>
        <v>0</v>
      </c>
      <c r="L563" s="88">
        <f>IF(K564&gt;0, K563/K564, 0)</f>
        <v>0</v>
      </c>
      <c r="M563" s="58"/>
      <c r="N563" s="9">
        <f>ROUND(M564*L563,0)</f>
        <v>0</v>
      </c>
      <c r="O563" s="9">
        <v>0</v>
      </c>
      <c r="P563" s="9">
        <f>N563-O563</f>
        <v>0</v>
      </c>
      <c r="Q563" s="40">
        <f t="shared" si="89"/>
        <v>0</v>
      </c>
      <c r="R563" s="9">
        <v>0</v>
      </c>
      <c r="S563" s="9">
        <f t="shared" si="87"/>
        <v>0</v>
      </c>
      <c r="T563" s="90">
        <f t="shared" si="82"/>
        <v>111</v>
      </c>
      <c r="U563" s="90">
        <f t="shared" si="83"/>
        <v>998</v>
      </c>
      <c r="V563" s="373">
        <f t="shared" si="84"/>
        <v>554</v>
      </c>
      <c r="W563" s="90">
        <f t="shared" si="85"/>
        <v>0</v>
      </c>
      <c r="X563" s="90">
        <f t="shared" si="86"/>
        <v>0</v>
      </c>
      <c r="Y563" s="141">
        <f t="shared" si="88"/>
        <v>554</v>
      </c>
      <c r="Z563" s="298">
        <v>111</v>
      </c>
      <c r="AA563" s="299">
        <v>998</v>
      </c>
      <c r="AB563" s="299">
        <v>554</v>
      </c>
      <c r="AC563" s="301">
        <v>0</v>
      </c>
      <c r="AD563" s="301">
        <v>0</v>
      </c>
      <c r="AE563" s="126"/>
      <c r="AF563" s="298"/>
      <c r="AG563" s="299"/>
      <c r="AH563" s="299"/>
      <c r="AI563" s="301"/>
      <c r="AJ563" s="301"/>
      <c r="AK563" s="426"/>
      <c r="AL563" s="298"/>
      <c r="AM563" s="299"/>
      <c r="AN563" s="299"/>
      <c r="AO563" s="301"/>
      <c r="AP563" s="301"/>
      <c r="AQ563" s="426"/>
      <c r="AR563" s="298"/>
      <c r="AS563" s="299"/>
      <c r="AT563" s="299"/>
      <c r="AU563" s="301"/>
      <c r="AV563" s="301"/>
      <c r="AW563" s="88"/>
      <c r="AX563" s="298"/>
      <c r="AY563" s="299"/>
      <c r="AZ563" s="299"/>
      <c r="BA563" s="301"/>
      <c r="BB563" s="301"/>
      <c r="BC563" s="426"/>
      <c r="BD563" s="298"/>
      <c r="BE563" s="299"/>
      <c r="BF563" s="299"/>
      <c r="BG563" s="301"/>
      <c r="BH563" s="301"/>
      <c r="BI563" s="88"/>
      <c r="BJ563" s="298"/>
      <c r="BK563" s="299"/>
      <c r="BL563" s="299"/>
      <c r="BM563" s="301"/>
      <c r="BN563" s="301"/>
      <c r="BO563" s="88"/>
      <c r="BP563" s="9"/>
      <c r="BS563" s="81"/>
      <c r="BT563" s="81"/>
      <c r="BV563" s="9"/>
      <c r="BY563" s="81"/>
      <c r="BZ563" s="81"/>
      <c r="CB563" s="9"/>
      <c r="CE563" s="81"/>
      <c r="CF563" s="81"/>
      <c r="CH563" s="9"/>
      <c r="CK563" s="81"/>
      <c r="CL563" s="81"/>
      <c r="CR563" s="9"/>
      <c r="CS563" s="9"/>
      <c r="CT563" s="9"/>
      <c r="CU563" s="9"/>
      <c r="CV563" s="9"/>
      <c r="CW563" s="129"/>
      <c r="CX563" s="9"/>
    </row>
    <row r="564" spans="1:102">
      <c r="A564" s="6" t="str">
        <f t="shared" si="81"/>
        <v>01110999</v>
      </c>
      <c r="B564" s="6" t="s">
        <v>1761</v>
      </c>
      <c r="C564" s="6" t="s">
        <v>2092</v>
      </c>
      <c r="D564" s="6">
        <v>555</v>
      </c>
      <c r="E564" s="10">
        <v>111</v>
      </c>
      <c r="F564" s="10" t="s">
        <v>1229</v>
      </c>
      <c r="G564" s="10">
        <v>999</v>
      </c>
      <c r="H564" s="10" t="s">
        <v>593</v>
      </c>
      <c r="I564" s="92">
        <v>9949713.6605596077</v>
      </c>
      <c r="J564" s="472">
        <v>1</v>
      </c>
      <c r="K564" s="53">
        <f>SUM(K560:K563)</f>
        <v>10072212.115729321</v>
      </c>
      <c r="L564" s="91">
        <f>SUM(L560:L563)</f>
        <v>1</v>
      </c>
      <c r="M564" s="79">
        <f>VLOOKUP(E564,town351,24)</f>
        <v>6170158</v>
      </c>
      <c r="N564" s="79">
        <f>SUM(N560:N563)</f>
        <v>6170158</v>
      </c>
      <c r="O564" s="79">
        <v>5880822</v>
      </c>
      <c r="P564" s="79">
        <f>SUM(P560:P563)</f>
        <v>289336</v>
      </c>
      <c r="Q564" s="39">
        <f t="shared" si="89"/>
        <v>4.9199924772421273</v>
      </c>
      <c r="R564" s="9">
        <v>689.00000000132002</v>
      </c>
      <c r="S564" s="9">
        <f t="shared" si="87"/>
        <v>674.00000000290004</v>
      </c>
      <c r="T564" s="90">
        <f t="shared" si="82"/>
        <v>111</v>
      </c>
      <c r="U564" s="90">
        <f t="shared" si="83"/>
        <v>999</v>
      </c>
      <c r="V564" s="373">
        <f t="shared" si="84"/>
        <v>555</v>
      </c>
      <c r="W564" s="90">
        <f t="shared" si="85"/>
        <v>674.00000000290004</v>
      </c>
      <c r="X564" s="90">
        <f t="shared" si="86"/>
        <v>10072212.115729321</v>
      </c>
      <c r="Y564" s="141">
        <f t="shared" si="88"/>
        <v>555</v>
      </c>
      <c r="Z564" s="298">
        <v>111</v>
      </c>
      <c r="AA564" s="299">
        <v>999</v>
      </c>
      <c r="AB564" s="299">
        <v>555</v>
      </c>
      <c r="AC564" s="301">
        <v>674.00000000290004</v>
      </c>
      <c r="AD564" s="301">
        <v>10072212.115729321</v>
      </c>
      <c r="AE564" s="126"/>
      <c r="AF564" s="298"/>
      <c r="AG564" s="299"/>
      <c r="AH564" s="299"/>
      <c r="AI564" s="301"/>
      <c r="AJ564" s="301"/>
      <c r="AK564" s="426"/>
      <c r="AL564" s="298"/>
      <c r="AM564" s="299"/>
      <c r="AN564" s="299"/>
      <c r="AO564" s="301"/>
      <c r="AP564" s="301"/>
      <c r="AQ564" s="426"/>
      <c r="AR564" s="298"/>
      <c r="AS564" s="299"/>
      <c r="AT564" s="299"/>
      <c r="AU564" s="301"/>
      <c r="AV564" s="301"/>
      <c r="AW564" s="91"/>
      <c r="AX564" s="298"/>
      <c r="AY564" s="299"/>
      <c r="AZ564" s="299"/>
      <c r="BA564" s="301"/>
      <c r="BB564" s="301"/>
      <c r="BC564" s="426"/>
      <c r="BD564" s="298"/>
      <c r="BE564" s="299"/>
      <c r="BF564" s="299"/>
      <c r="BG564" s="301"/>
      <c r="BH564" s="301"/>
      <c r="BI564" s="91"/>
      <c r="BJ564" s="298"/>
      <c r="BK564" s="299"/>
      <c r="BL564" s="299"/>
      <c r="BM564" s="301"/>
      <c r="BN564" s="301"/>
      <c r="BO564" s="91"/>
      <c r="BP564" s="9"/>
      <c r="BS564" s="81"/>
      <c r="BT564" s="81"/>
      <c r="BV564" s="9"/>
      <c r="BY564" s="81"/>
      <c r="BZ564" s="81"/>
      <c r="CB564" s="9"/>
      <c r="CE564" s="81"/>
      <c r="CF564" s="81"/>
      <c r="CH564" s="9"/>
      <c r="CK564" s="81"/>
      <c r="CL564" s="81"/>
      <c r="CR564" s="9"/>
      <c r="CS564" s="9"/>
      <c r="CT564" s="9"/>
      <c r="CU564" s="9"/>
      <c r="CV564" s="9"/>
      <c r="CW564" s="129"/>
      <c r="CX564" s="9"/>
    </row>
    <row r="565" spans="1:102">
      <c r="A565" s="6" t="str">
        <f t="shared" si="81"/>
        <v>01120112</v>
      </c>
      <c r="B565" s="6" t="s">
        <v>1762</v>
      </c>
      <c r="C565" s="6" t="s">
        <v>1762</v>
      </c>
      <c r="D565" s="6">
        <v>556</v>
      </c>
      <c r="E565" s="6">
        <v>112</v>
      </c>
      <c r="F565" s="6" t="s">
        <v>1230</v>
      </c>
      <c r="G565" s="6">
        <v>112</v>
      </c>
      <c r="H565" s="6" t="s">
        <v>793</v>
      </c>
      <c r="I565" s="33">
        <v>0</v>
      </c>
      <c r="J565" s="88">
        <v>0</v>
      </c>
      <c r="K565" s="89">
        <f>X565</f>
        <v>0</v>
      </c>
      <c r="L565" s="88">
        <f>IF(K569&gt;0, K565/K569, 0)</f>
        <v>0</v>
      </c>
      <c r="M565" s="58"/>
      <c r="N565" s="9">
        <f>ROUND(M569*L565,0)</f>
        <v>0</v>
      </c>
      <c r="O565" s="9">
        <v>0</v>
      </c>
      <c r="P565" s="9">
        <f>N565-O565</f>
        <v>0</v>
      </c>
      <c r="Q565" s="40">
        <f t="shared" si="89"/>
        <v>0</v>
      </c>
      <c r="R565" s="9">
        <v>0</v>
      </c>
      <c r="S565" s="9">
        <f t="shared" si="87"/>
        <v>0</v>
      </c>
      <c r="T565" s="90">
        <f t="shared" si="82"/>
        <v>112</v>
      </c>
      <c r="U565" s="90">
        <f t="shared" si="83"/>
        <v>112</v>
      </c>
      <c r="V565" s="373">
        <f t="shared" si="84"/>
        <v>556</v>
      </c>
      <c r="W565" s="90">
        <f t="shared" si="85"/>
        <v>0</v>
      </c>
      <c r="X565" s="90">
        <f t="shared" si="86"/>
        <v>0</v>
      </c>
      <c r="Y565" s="141">
        <f t="shared" si="88"/>
        <v>556</v>
      </c>
      <c r="Z565" s="298">
        <v>112</v>
      </c>
      <c r="AA565" s="299">
        <v>112</v>
      </c>
      <c r="AB565" s="299">
        <v>556</v>
      </c>
      <c r="AC565" s="301">
        <v>0</v>
      </c>
      <c r="AD565" s="301">
        <v>0</v>
      </c>
      <c r="AE565" s="126"/>
      <c r="AF565" s="298"/>
      <c r="AG565" s="299"/>
      <c r="AH565" s="299"/>
      <c r="AI565" s="301"/>
      <c r="AJ565" s="301"/>
      <c r="AK565" s="426"/>
      <c r="AL565" s="298"/>
      <c r="AM565" s="299"/>
      <c r="AN565" s="299"/>
      <c r="AO565" s="301"/>
      <c r="AP565" s="301"/>
      <c r="AQ565" s="426"/>
      <c r="AR565" s="298"/>
      <c r="AS565" s="299"/>
      <c r="AT565" s="299"/>
      <c r="AU565" s="301"/>
      <c r="AV565" s="301"/>
      <c r="AW565" s="88"/>
      <c r="AX565" s="298"/>
      <c r="AY565" s="299"/>
      <c r="AZ565" s="299"/>
      <c r="BA565" s="301"/>
      <c r="BB565" s="301"/>
      <c r="BC565" s="426"/>
      <c r="BD565" s="298"/>
      <c r="BE565" s="299"/>
      <c r="BF565" s="299"/>
      <c r="BG565" s="301"/>
      <c r="BH565" s="301"/>
      <c r="BI565" s="88"/>
      <c r="BJ565" s="298"/>
      <c r="BK565" s="299"/>
      <c r="BL565" s="299"/>
      <c r="BM565" s="301"/>
      <c r="BN565" s="301"/>
      <c r="BO565" s="88"/>
      <c r="BP565" s="9"/>
      <c r="BS565" s="81"/>
      <c r="BT565" s="81"/>
      <c r="BV565" s="9"/>
      <c r="BY565" s="81"/>
      <c r="BZ565" s="81"/>
      <c r="CB565" s="9"/>
      <c r="CE565" s="81"/>
      <c r="CF565" s="81"/>
      <c r="CH565" s="9"/>
      <c r="CK565" s="81"/>
      <c r="CL565" s="81"/>
      <c r="CR565" s="9"/>
      <c r="CS565" s="9"/>
      <c r="CT565" s="9"/>
      <c r="CU565" s="9"/>
      <c r="CV565" s="9"/>
      <c r="CW565" s="129"/>
      <c r="CX565" s="9"/>
    </row>
    <row r="566" spans="1:102">
      <c r="A566" s="6" t="str">
        <f t="shared" si="81"/>
        <v>01120766</v>
      </c>
      <c r="B566" s="6" t="s">
        <v>1762</v>
      </c>
      <c r="C566" s="6" t="s">
        <v>2054</v>
      </c>
      <c r="D566" s="6">
        <v>557</v>
      </c>
      <c r="E566" s="6">
        <v>112</v>
      </c>
      <c r="F566" s="6" t="s">
        <v>1230</v>
      </c>
      <c r="G566" s="6">
        <v>766</v>
      </c>
      <c r="H566" s="6" t="s">
        <v>1084</v>
      </c>
      <c r="I566" s="33">
        <v>2332677.3568332344</v>
      </c>
      <c r="J566" s="88">
        <v>1</v>
      </c>
      <c r="K566" s="89">
        <f t="shared" si="90"/>
        <v>2355149.3271885165</v>
      </c>
      <c r="L566" s="88">
        <f>IF(K569&gt;0, K566/K569, 0)</f>
        <v>1</v>
      </c>
      <c r="M566" s="58"/>
      <c r="N566" s="9">
        <f>ROUND(M569*L566,0)</f>
        <v>1749216</v>
      </c>
      <c r="O566" s="9">
        <v>1631275</v>
      </c>
      <c r="P566" s="9">
        <f>N566-O566</f>
        <v>117941</v>
      </c>
      <c r="Q566" s="40">
        <f t="shared" si="89"/>
        <v>7.2299888124319933</v>
      </c>
      <c r="R566" s="9">
        <v>165.03063629493002</v>
      </c>
      <c r="S566" s="9">
        <f t="shared" si="87"/>
        <v>160.2740384567</v>
      </c>
      <c r="T566" s="90">
        <f t="shared" si="82"/>
        <v>112</v>
      </c>
      <c r="U566" s="90">
        <f t="shared" si="83"/>
        <v>766</v>
      </c>
      <c r="V566" s="373">
        <f t="shared" si="84"/>
        <v>557</v>
      </c>
      <c r="W566" s="90">
        <f t="shared" si="85"/>
        <v>160.2740384567</v>
      </c>
      <c r="X566" s="90">
        <f t="shared" si="86"/>
        <v>2355149.3271885165</v>
      </c>
      <c r="Y566" s="141">
        <f t="shared" si="88"/>
        <v>557</v>
      </c>
      <c r="Z566" s="298">
        <v>112</v>
      </c>
      <c r="AA566" s="299">
        <v>766</v>
      </c>
      <c r="AB566" s="299">
        <v>557</v>
      </c>
      <c r="AC566" s="301">
        <v>160.2740384567</v>
      </c>
      <c r="AD566" s="301">
        <v>2355149.3271885165</v>
      </c>
      <c r="AE566" s="126"/>
      <c r="AF566" s="298"/>
      <c r="AG566" s="299"/>
      <c r="AH566" s="299"/>
      <c r="AI566" s="301"/>
      <c r="AJ566" s="301"/>
      <c r="AK566" s="426"/>
      <c r="AL566" s="298"/>
      <c r="AM566" s="299"/>
      <c r="AN566" s="299"/>
      <c r="AO566" s="301"/>
      <c r="AP566" s="301"/>
      <c r="AQ566" s="426"/>
      <c r="AR566" s="298"/>
      <c r="AS566" s="299"/>
      <c r="AT566" s="299"/>
      <c r="AU566" s="301"/>
      <c r="AV566" s="301"/>
      <c r="AW566" s="88"/>
      <c r="AX566" s="298"/>
      <c r="AY566" s="299"/>
      <c r="AZ566" s="299"/>
      <c r="BA566" s="301"/>
      <c r="BB566" s="301"/>
      <c r="BC566" s="426"/>
      <c r="BD566" s="298"/>
      <c r="BE566" s="299"/>
      <c r="BF566" s="299"/>
      <c r="BG566" s="301"/>
      <c r="BH566" s="301"/>
      <c r="BI566" s="88"/>
      <c r="BJ566" s="298"/>
      <c r="BK566" s="299"/>
      <c r="BL566" s="299"/>
      <c r="BM566" s="301"/>
      <c r="BN566" s="301"/>
      <c r="BO566" s="88"/>
      <c r="BP566" s="9"/>
      <c r="BS566" s="81"/>
      <c r="BT566" s="81"/>
      <c r="BV566" s="9"/>
      <c r="BY566" s="81"/>
      <c r="BZ566" s="81"/>
      <c r="CB566" s="9"/>
      <c r="CE566" s="81"/>
      <c r="CF566" s="81"/>
      <c r="CH566" s="9"/>
      <c r="CK566" s="81"/>
      <c r="CL566" s="81"/>
      <c r="CR566" s="9"/>
      <c r="CS566" s="9"/>
      <c r="CT566" s="9"/>
      <c r="CU566" s="9"/>
      <c r="CV566" s="9"/>
      <c r="CW566" s="129"/>
      <c r="CX566" s="9"/>
    </row>
    <row r="567" spans="1:102">
      <c r="A567" s="6" t="str">
        <f t="shared" si="81"/>
        <v>01120998</v>
      </c>
      <c r="B567" s="6" t="s">
        <v>1762</v>
      </c>
      <c r="C567" s="6" t="s">
        <v>2091</v>
      </c>
      <c r="D567" s="6">
        <v>558</v>
      </c>
      <c r="E567" s="6">
        <v>112</v>
      </c>
      <c r="F567" s="6" t="s">
        <v>1547</v>
      </c>
      <c r="G567" s="6">
        <v>998</v>
      </c>
      <c r="H567" s="6" t="s">
        <v>1547</v>
      </c>
      <c r="I567" s="33">
        <v>0</v>
      </c>
      <c r="J567" s="88">
        <v>0</v>
      </c>
      <c r="K567" s="89">
        <f t="shared" si="90"/>
        <v>0</v>
      </c>
      <c r="L567" s="88">
        <f>IF(K569&gt;0, K567/K569, 0)</f>
        <v>0</v>
      </c>
      <c r="M567" s="58"/>
      <c r="N567" s="9">
        <f>ROUND(M569*L567,0)</f>
        <v>0</v>
      </c>
      <c r="O567" s="9">
        <v>0</v>
      </c>
      <c r="P567" s="9">
        <f>N567-O567</f>
        <v>0</v>
      </c>
      <c r="Q567" s="40">
        <f t="shared" si="89"/>
        <v>0</v>
      </c>
      <c r="R567" s="9">
        <v>0</v>
      </c>
      <c r="S567" s="9">
        <f t="shared" si="87"/>
        <v>0</v>
      </c>
      <c r="T567" s="90">
        <f t="shared" si="82"/>
        <v>112</v>
      </c>
      <c r="U567" s="90">
        <f t="shared" si="83"/>
        <v>998</v>
      </c>
      <c r="V567" s="373">
        <f t="shared" si="84"/>
        <v>558</v>
      </c>
      <c r="W567" s="90">
        <f t="shared" si="85"/>
        <v>0</v>
      </c>
      <c r="X567" s="90">
        <f t="shared" si="86"/>
        <v>0</v>
      </c>
      <c r="Y567" s="141">
        <f t="shared" si="88"/>
        <v>558</v>
      </c>
      <c r="Z567" s="298">
        <v>112</v>
      </c>
      <c r="AA567" s="299">
        <v>998</v>
      </c>
      <c r="AB567" s="299">
        <v>558</v>
      </c>
      <c r="AC567" s="301">
        <v>0</v>
      </c>
      <c r="AD567" s="301">
        <v>0</v>
      </c>
      <c r="AE567" s="126"/>
      <c r="AF567" s="298"/>
      <c r="AG567" s="299"/>
      <c r="AH567" s="299"/>
      <c r="AI567" s="301"/>
      <c r="AJ567" s="301"/>
      <c r="AK567" s="426"/>
      <c r="AL567" s="298"/>
      <c r="AM567" s="299"/>
      <c r="AN567" s="299"/>
      <c r="AO567" s="301"/>
      <c r="AP567" s="301"/>
      <c r="AQ567" s="426"/>
      <c r="AR567" s="298"/>
      <c r="AS567" s="299"/>
      <c r="AT567" s="299"/>
      <c r="AU567" s="301"/>
      <c r="AV567" s="301"/>
      <c r="AW567" s="88"/>
      <c r="AX567" s="298"/>
      <c r="AY567" s="299"/>
      <c r="AZ567" s="299"/>
      <c r="BA567" s="301"/>
      <c r="BB567" s="301"/>
      <c r="BC567" s="426"/>
      <c r="BD567" s="298"/>
      <c r="BE567" s="299"/>
      <c r="BF567" s="299"/>
      <c r="BG567" s="301"/>
      <c r="BH567" s="301"/>
      <c r="BI567" s="88"/>
      <c r="BJ567" s="298"/>
      <c r="BK567" s="299"/>
      <c r="BL567" s="299"/>
      <c r="BM567" s="301"/>
      <c r="BN567" s="301"/>
      <c r="BO567" s="88"/>
      <c r="BP567" s="9"/>
      <c r="BS567" s="81"/>
      <c r="BT567" s="81"/>
      <c r="BV567" s="9"/>
      <c r="BY567" s="81"/>
      <c r="BZ567" s="81"/>
      <c r="CB567" s="9"/>
      <c r="CE567" s="81"/>
      <c r="CF567" s="81"/>
      <c r="CH567" s="9"/>
      <c r="CK567" s="81"/>
      <c r="CL567" s="81"/>
      <c r="CR567" s="9"/>
      <c r="CS567" s="9"/>
      <c r="CT567" s="9"/>
      <c r="CU567" s="9"/>
      <c r="CV567" s="9"/>
      <c r="CW567" s="129"/>
      <c r="CX567" s="9"/>
    </row>
    <row r="568" spans="1:102">
      <c r="A568" s="6" t="str">
        <f t="shared" si="81"/>
        <v>01120998</v>
      </c>
      <c r="B568" s="6" t="s">
        <v>1762</v>
      </c>
      <c r="C568" s="6" t="s">
        <v>2091</v>
      </c>
      <c r="D568" s="6">
        <v>559</v>
      </c>
      <c r="E568" s="6">
        <v>112</v>
      </c>
      <c r="F568" s="6" t="s">
        <v>1547</v>
      </c>
      <c r="G568" s="6">
        <v>998</v>
      </c>
      <c r="H568" s="6" t="s">
        <v>1547</v>
      </c>
      <c r="I568" s="33">
        <v>0</v>
      </c>
      <c r="J568" s="88">
        <v>0</v>
      </c>
      <c r="K568" s="89">
        <f t="shared" si="90"/>
        <v>0</v>
      </c>
      <c r="L568" s="88">
        <f>IF(K569&gt;0, K568/K569, 0)</f>
        <v>0</v>
      </c>
      <c r="M568" s="58"/>
      <c r="N568" s="9">
        <f>ROUND(M569*L568,0)</f>
        <v>0</v>
      </c>
      <c r="O568" s="9">
        <v>0</v>
      </c>
      <c r="P568" s="9">
        <f>N568-O568</f>
        <v>0</v>
      </c>
      <c r="Q568" s="40">
        <f t="shared" si="89"/>
        <v>0</v>
      </c>
      <c r="R568" s="9">
        <v>0</v>
      </c>
      <c r="S568" s="9">
        <f t="shared" si="87"/>
        <v>0</v>
      </c>
      <c r="T568" s="90">
        <f t="shared" si="82"/>
        <v>112</v>
      </c>
      <c r="U568" s="90">
        <f t="shared" si="83"/>
        <v>998</v>
      </c>
      <c r="V568" s="373">
        <f t="shared" si="84"/>
        <v>559</v>
      </c>
      <c r="W568" s="90">
        <f t="shared" si="85"/>
        <v>0</v>
      </c>
      <c r="X568" s="90">
        <f t="shared" si="86"/>
        <v>0</v>
      </c>
      <c r="Y568" s="141">
        <f t="shared" si="88"/>
        <v>559</v>
      </c>
      <c r="Z568" s="298">
        <v>112</v>
      </c>
      <c r="AA568" s="299">
        <v>998</v>
      </c>
      <c r="AB568" s="299">
        <v>559</v>
      </c>
      <c r="AC568" s="301">
        <v>0</v>
      </c>
      <c r="AD568" s="301">
        <v>0</v>
      </c>
      <c r="AE568" s="126"/>
      <c r="AF568" s="298"/>
      <c r="AG568" s="299"/>
      <c r="AH568" s="299"/>
      <c r="AI568" s="301"/>
      <c r="AJ568" s="301"/>
      <c r="AK568" s="426"/>
      <c r="AL568" s="298"/>
      <c r="AM568" s="299"/>
      <c r="AN568" s="299"/>
      <c r="AO568" s="301"/>
      <c r="AP568" s="301"/>
      <c r="AQ568" s="426"/>
      <c r="AR568" s="298"/>
      <c r="AS568" s="299"/>
      <c r="AT568" s="299"/>
      <c r="AU568" s="301"/>
      <c r="AV568" s="301"/>
      <c r="AW568" s="88"/>
      <c r="AX568" s="298"/>
      <c r="AY568" s="299"/>
      <c r="AZ568" s="299"/>
      <c r="BA568" s="301"/>
      <c r="BB568" s="301"/>
      <c r="BC568" s="426"/>
      <c r="BD568" s="298"/>
      <c r="BE568" s="299"/>
      <c r="BF568" s="299"/>
      <c r="BG568" s="301"/>
      <c r="BH568" s="301"/>
      <c r="BI568" s="88"/>
      <c r="BJ568" s="298"/>
      <c r="BK568" s="299"/>
      <c r="BL568" s="299"/>
      <c r="BM568" s="301"/>
      <c r="BN568" s="301"/>
      <c r="BO568" s="88"/>
      <c r="BP568" s="9"/>
      <c r="BS568" s="81"/>
      <c r="BT568" s="81"/>
      <c r="BV568" s="9"/>
      <c r="BY568" s="81"/>
      <c r="BZ568" s="81"/>
      <c r="CB568" s="9"/>
      <c r="CE568" s="81"/>
      <c r="CF568" s="81"/>
      <c r="CH568" s="9"/>
      <c r="CK568" s="81"/>
      <c r="CL568" s="81"/>
      <c r="CR568" s="9"/>
      <c r="CS568" s="9"/>
      <c r="CT568" s="9"/>
      <c r="CU568" s="9"/>
      <c r="CV568" s="9"/>
      <c r="CW568" s="129"/>
      <c r="CX568" s="9"/>
    </row>
    <row r="569" spans="1:102">
      <c r="A569" s="6" t="str">
        <f t="shared" si="81"/>
        <v>01120999</v>
      </c>
      <c r="B569" s="6" t="s">
        <v>1762</v>
      </c>
      <c r="C569" s="6" t="s">
        <v>2092</v>
      </c>
      <c r="D569" s="6">
        <v>560</v>
      </c>
      <c r="E569" s="10">
        <v>112</v>
      </c>
      <c r="F569" s="10" t="s">
        <v>1230</v>
      </c>
      <c r="G569" s="10">
        <v>999</v>
      </c>
      <c r="H569" s="10" t="s">
        <v>593</v>
      </c>
      <c r="I569" s="92">
        <v>2332677.3568332344</v>
      </c>
      <c r="J569" s="472">
        <v>1</v>
      </c>
      <c r="K569" s="53">
        <f>SUM(K565:K568)</f>
        <v>2355149.3271885165</v>
      </c>
      <c r="L569" s="91">
        <f>SUM(L565:L568)</f>
        <v>1</v>
      </c>
      <c r="M569" s="79">
        <f>VLOOKUP(E569,town351,24)</f>
        <v>1749216</v>
      </c>
      <c r="N569" s="79">
        <f>SUM(N565:N568)</f>
        <v>1749216</v>
      </c>
      <c r="O569" s="79">
        <v>1631275</v>
      </c>
      <c r="P569" s="79">
        <f>SUM(P565:P568)</f>
        <v>117941</v>
      </c>
      <c r="Q569" s="39">
        <f t="shared" si="89"/>
        <v>7.2299888124319933</v>
      </c>
      <c r="R569" s="9">
        <v>165.03063629493002</v>
      </c>
      <c r="S569" s="9">
        <f t="shared" si="87"/>
        <v>160.2740384567</v>
      </c>
      <c r="T569" s="90">
        <f t="shared" si="82"/>
        <v>112</v>
      </c>
      <c r="U569" s="90">
        <f t="shared" si="83"/>
        <v>999</v>
      </c>
      <c r="V569" s="373">
        <f t="shared" si="84"/>
        <v>560</v>
      </c>
      <c r="W569" s="90">
        <f t="shared" si="85"/>
        <v>160.2740384567</v>
      </c>
      <c r="X569" s="90">
        <f t="shared" si="86"/>
        <v>2355149.3271885165</v>
      </c>
      <c r="Y569" s="141">
        <f t="shared" si="88"/>
        <v>560</v>
      </c>
      <c r="Z569" s="298">
        <v>112</v>
      </c>
      <c r="AA569" s="299">
        <v>999</v>
      </c>
      <c r="AB569" s="299">
        <v>560</v>
      </c>
      <c r="AC569" s="301">
        <v>160.2740384567</v>
      </c>
      <c r="AD569" s="301">
        <v>2355149.3271885165</v>
      </c>
      <c r="AE569" s="126"/>
      <c r="AF569" s="298"/>
      <c r="AG569" s="299"/>
      <c r="AH569" s="299"/>
      <c r="AI569" s="301"/>
      <c r="AJ569" s="301"/>
      <c r="AK569" s="426"/>
      <c r="AL569" s="298"/>
      <c r="AM569" s="299"/>
      <c r="AN569" s="299"/>
      <c r="AO569" s="301"/>
      <c r="AP569" s="301"/>
      <c r="AQ569" s="426"/>
      <c r="AR569" s="298"/>
      <c r="AS569" s="299"/>
      <c r="AT569" s="299"/>
      <c r="AU569" s="301"/>
      <c r="AV569" s="301"/>
      <c r="AW569" s="91"/>
      <c r="AX569" s="298"/>
      <c r="AY569" s="299"/>
      <c r="AZ569" s="299"/>
      <c r="BA569" s="301"/>
      <c r="BB569" s="301"/>
      <c r="BC569" s="426"/>
      <c r="BD569" s="298"/>
      <c r="BE569" s="299"/>
      <c r="BF569" s="299"/>
      <c r="BG569" s="301"/>
      <c r="BH569" s="301"/>
      <c r="BI569" s="91"/>
      <c r="BJ569" s="298"/>
      <c r="BK569" s="299"/>
      <c r="BL569" s="299"/>
      <c r="BM569" s="301"/>
      <c r="BN569" s="301"/>
      <c r="BO569" s="91"/>
      <c r="BP569" s="9"/>
      <c r="BS569" s="81"/>
      <c r="BT569" s="81"/>
      <c r="BV569" s="9"/>
      <c r="BY569" s="81"/>
      <c r="BZ569" s="81"/>
      <c r="CB569" s="9"/>
      <c r="CE569" s="81"/>
      <c r="CF569" s="81"/>
      <c r="CH569" s="9"/>
      <c r="CK569" s="81"/>
      <c r="CL569" s="81"/>
      <c r="CR569" s="9"/>
      <c r="CS569" s="9"/>
      <c r="CT569" s="9"/>
      <c r="CU569" s="9"/>
      <c r="CV569" s="9"/>
      <c r="CW569" s="129"/>
      <c r="CX569" s="9"/>
    </row>
    <row r="570" spans="1:102">
      <c r="A570" s="6" t="str">
        <f t="shared" si="81"/>
        <v>01130113</v>
      </c>
      <c r="B570" s="6" t="s">
        <v>1763</v>
      </c>
      <c r="C570" s="6" t="s">
        <v>1763</v>
      </c>
      <c r="D570" s="6">
        <v>561</v>
      </c>
      <c r="E570" s="6">
        <v>113</v>
      </c>
      <c r="F570" s="6" t="s">
        <v>1231</v>
      </c>
      <c r="G570" s="6">
        <v>113</v>
      </c>
      <c r="H570" s="6" t="s">
        <v>794</v>
      </c>
      <c r="I570" s="33">
        <v>0</v>
      </c>
      <c r="J570" s="88">
        <v>0</v>
      </c>
      <c r="K570" s="89">
        <f>X570</f>
        <v>0</v>
      </c>
      <c r="L570" s="88">
        <f>IF(K574&gt;0, K570/K574, 0)</f>
        <v>0</v>
      </c>
      <c r="M570" s="58"/>
      <c r="N570" s="9">
        <f>ROUND(M574*L570,0)</f>
        <v>0</v>
      </c>
      <c r="O570" s="9">
        <v>0</v>
      </c>
      <c r="P570" s="9">
        <f>N570-O570</f>
        <v>0</v>
      </c>
      <c r="Q570" s="40">
        <f t="shared" si="89"/>
        <v>0</v>
      </c>
      <c r="R570" s="9">
        <v>0</v>
      </c>
      <c r="S570" s="9">
        <f t="shared" si="87"/>
        <v>0</v>
      </c>
      <c r="T570" s="90">
        <f t="shared" si="82"/>
        <v>113</v>
      </c>
      <c r="U570" s="90">
        <f t="shared" si="83"/>
        <v>113</v>
      </c>
      <c r="V570" s="373">
        <f t="shared" si="84"/>
        <v>561</v>
      </c>
      <c r="W570" s="90">
        <f t="shared" si="85"/>
        <v>0</v>
      </c>
      <c r="X570" s="90">
        <f t="shared" si="86"/>
        <v>0</v>
      </c>
      <c r="Y570" s="141">
        <f t="shared" si="88"/>
        <v>561</v>
      </c>
      <c r="Z570" s="298">
        <v>113</v>
      </c>
      <c r="AA570" s="299">
        <v>113</v>
      </c>
      <c r="AB570" s="299">
        <v>561</v>
      </c>
      <c r="AC570" s="301">
        <v>0</v>
      </c>
      <c r="AD570" s="301">
        <v>0</v>
      </c>
      <c r="AE570" s="126"/>
      <c r="AF570" s="298"/>
      <c r="AG570" s="299"/>
      <c r="AH570" s="299"/>
      <c r="AI570" s="301"/>
      <c r="AJ570" s="301"/>
      <c r="AK570" s="426"/>
      <c r="AL570" s="298"/>
      <c r="AM570" s="299"/>
      <c r="AN570" s="299"/>
      <c r="AO570" s="301"/>
      <c r="AP570" s="301"/>
      <c r="AQ570" s="426"/>
      <c r="AR570" s="298"/>
      <c r="AS570" s="299"/>
      <c r="AT570" s="299"/>
      <c r="AU570" s="301"/>
      <c r="AV570" s="301"/>
      <c r="AW570" s="88"/>
      <c r="AX570" s="298"/>
      <c r="AY570" s="299"/>
      <c r="AZ570" s="299"/>
      <c r="BA570" s="301"/>
      <c r="BB570" s="301"/>
      <c r="BC570" s="426"/>
      <c r="BD570" s="298"/>
      <c r="BE570" s="299"/>
      <c r="BF570" s="299"/>
      <c r="BG570" s="301"/>
      <c r="BH570" s="301"/>
      <c r="BI570" s="88"/>
      <c r="BJ570" s="298"/>
      <c r="BK570" s="299"/>
      <c r="BL570" s="299"/>
      <c r="BM570" s="301"/>
      <c r="BN570" s="301"/>
      <c r="BO570" s="88"/>
      <c r="BP570" s="9"/>
      <c r="BS570" s="81"/>
      <c r="BT570" s="81"/>
      <c r="BV570" s="9"/>
      <c r="BY570" s="81"/>
      <c r="BZ570" s="81"/>
      <c r="CB570" s="9"/>
      <c r="CE570" s="81"/>
      <c r="CF570" s="81"/>
      <c r="CH570" s="9"/>
      <c r="CK570" s="81"/>
      <c r="CL570" s="81"/>
      <c r="CR570" s="9"/>
      <c r="CS570" s="9"/>
      <c r="CT570" s="9"/>
      <c r="CU570" s="9"/>
      <c r="CV570" s="9"/>
      <c r="CW570" s="129"/>
      <c r="CX570" s="9"/>
    </row>
    <row r="571" spans="1:102">
      <c r="A571" s="6" t="str">
        <f t="shared" si="81"/>
        <v>01130618</v>
      </c>
      <c r="B571" s="6" t="s">
        <v>1763</v>
      </c>
      <c r="C571" s="6" t="s">
        <v>2010</v>
      </c>
      <c r="D571" s="6">
        <v>562</v>
      </c>
      <c r="E571" s="6">
        <v>113</v>
      </c>
      <c r="F571" s="6" t="s">
        <v>1231</v>
      </c>
      <c r="G571" s="6">
        <v>618</v>
      </c>
      <c r="H571" s="6" t="s">
        <v>1040</v>
      </c>
      <c r="I571" s="33">
        <v>10476266.953148777</v>
      </c>
      <c r="J571" s="88">
        <v>1</v>
      </c>
      <c r="K571" s="89">
        <f t="shared" si="90"/>
        <v>11314564.987516483</v>
      </c>
      <c r="L571" s="88">
        <f>IF(K574&gt;0, K571/K574, 0)</f>
        <v>1</v>
      </c>
      <c r="M571" s="58"/>
      <c r="N571" s="9">
        <f>ROUND(M574*L571,0)</f>
        <v>8593682</v>
      </c>
      <c r="O571" s="9">
        <v>8090456</v>
      </c>
      <c r="P571" s="9">
        <f>N571-O571</f>
        <v>503226</v>
      </c>
      <c r="Q571" s="40">
        <f t="shared" si="89"/>
        <v>6.2199955107598388</v>
      </c>
      <c r="R571" s="9">
        <v>685.58262712019996</v>
      </c>
      <c r="S571" s="9">
        <f t="shared" si="87"/>
        <v>704.8627451021199</v>
      </c>
      <c r="T571" s="90">
        <f t="shared" si="82"/>
        <v>113</v>
      </c>
      <c r="U571" s="90">
        <f t="shared" si="83"/>
        <v>618</v>
      </c>
      <c r="V571" s="373">
        <f t="shared" si="84"/>
        <v>562</v>
      </c>
      <c r="W571" s="90">
        <f t="shared" si="85"/>
        <v>704.8627451021199</v>
      </c>
      <c r="X571" s="90">
        <f t="shared" si="86"/>
        <v>11314564.987516483</v>
      </c>
      <c r="Y571" s="141">
        <f t="shared" si="88"/>
        <v>562</v>
      </c>
      <c r="Z571" s="298">
        <v>113</v>
      </c>
      <c r="AA571" s="299">
        <v>618</v>
      </c>
      <c r="AB571" s="299">
        <v>562</v>
      </c>
      <c r="AC571" s="301">
        <v>704.8627451021199</v>
      </c>
      <c r="AD571" s="301">
        <v>11314564.987516483</v>
      </c>
      <c r="AE571" s="126"/>
      <c r="AF571" s="298"/>
      <c r="AG571" s="299"/>
      <c r="AH571" s="299"/>
      <c r="AI571" s="301"/>
      <c r="AJ571" s="301"/>
      <c r="AK571" s="426"/>
      <c r="AL571" s="298"/>
      <c r="AM571" s="299"/>
      <c r="AN571" s="299"/>
      <c r="AO571" s="301"/>
      <c r="AP571" s="301"/>
      <c r="AQ571" s="426"/>
      <c r="AR571" s="298"/>
      <c r="AS571" s="299"/>
      <c r="AT571" s="299"/>
      <c r="AU571" s="301"/>
      <c r="AV571" s="301"/>
      <c r="AW571" s="88"/>
      <c r="AX571" s="298"/>
      <c r="AY571" s="299"/>
      <c r="AZ571" s="299"/>
      <c r="BA571" s="301"/>
      <c r="BB571" s="301"/>
      <c r="BC571" s="426"/>
      <c r="BD571" s="298"/>
      <c r="BE571" s="299"/>
      <c r="BF571" s="299"/>
      <c r="BG571" s="301"/>
      <c r="BH571" s="301"/>
      <c r="BI571" s="88"/>
      <c r="BJ571" s="298"/>
      <c r="BK571" s="299"/>
      <c r="BL571" s="299"/>
      <c r="BM571" s="301"/>
      <c r="BN571" s="301"/>
      <c r="BO571" s="88"/>
      <c r="BP571" s="9"/>
      <c r="BS571" s="81"/>
      <c r="BT571" s="81"/>
      <c r="BV571" s="9"/>
      <c r="BY571" s="81"/>
      <c r="BZ571" s="81"/>
      <c r="CB571" s="9"/>
      <c r="CE571" s="81"/>
      <c r="CF571" s="81"/>
      <c r="CH571" s="9"/>
      <c r="CK571" s="81"/>
      <c r="CL571" s="81"/>
      <c r="CR571" s="9"/>
      <c r="CS571" s="9"/>
      <c r="CT571" s="9"/>
      <c r="CU571" s="9"/>
      <c r="CV571" s="9"/>
      <c r="CW571" s="129"/>
      <c r="CX571" s="9"/>
    </row>
    <row r="572" spans="1:102">
      <c r="A572" s="6" t="str">
        <f t="shared" si="81"/>
        <v>01130998</v>
      </c>
      <c r="B572" s="6" t="s">
        <v>1763</v>
      </c>
      <c r="C572" s="6" t="s">
        <v>2091</v>
      </c>
      <c r="D572" s="6">
        <v>563</v>
      </c>
      <c r="E572" s="6">
        <v>113</v>
      </c>
      <c r="F572" s="6" t="s">
        <v>1547</v>
      </c>
      <c r="G572" s="6">
        <v>998</v>
      </c>
      <c r="H572" s="6" t="s">
        <v>1547</v>
      </c>
      <c r="I572" s="33">
        <v>0</v>
      </c>
      <c r="J572" s="88">
        <v>0</v>
      </c>
      <c r="K572" s="89">
        <f t="shared" si="90"/>
        <v>0</v>
      </c>
      <c r="L572" s="88">
        <f>IF(K574&gt;0, K572/K574, 0)</f>
        <v>0</v>
      </c>
      <c r="M572" s="58"/>
      <c r="N572" s="9">
        <f>ROUND(M574*L572,0)</f>
        <v>0</v>
      </c>
      <c r="O572" s="9">
        <v>0</v>
      </c>
      <c r="P572" s="9">
        <f>N572-O572</f>
        <v>0</v>
      </c>
      <c r="Q572" s="40">
        <f t="shared" si="89"/>
        <v>0</v>
      </c>
      <c r="R572" s="9">
        <v>0</v>
      </c>
      <c r="S572" s="9">
        <f t="shared" si="87"/>
        <v>0</v>
      </c>
      <c r="T572" s="90">
        <f t="shared" si="82"/>
        <v>113</v>
      </c>
      <c r="U572" s="90">
        <f t="shared" si="83"/>
        <v>998</v>
      </c>
      <c r="V572" s="373">
        <f t="shared" si="84"/>
        <v>563</v>
      </c>
      <c r="W572" s="90">
        <f t="shared" si="85"/>
        <v>0</v>
      </c>
      <c r="X572" s="90">
        <f t="shared" si="86"/>
        <v>0</v>
      </c>
      <c r="Y572" s="141">
        <f t="shared" si="88"/>
        <v>563</v>
      </c>
      <c r="Z572" s="298">
        <v>113</v>
      </c>
      <c r="AA572" s="299">
        <v>998</v>
      </c>
      <c r="AB572" s="299">
        <v>563</v>
      </c>
      <c r="AC572" s="301">
        <v>0</v>
      </c>
      <c r="AD572" s="301">
        <v>0</v>
      </c>
      <c r="AE572" s="126"/>
      <c r="AF572" s="298"/>
      <c r="AG572" s="299"/>
      <c r="AH572" s="299"/>
      <c r="AI572" s="301"/>
      <c r="AJ572" s="301"/>
      <c r="AK572" s="426"/>
      <c r="AL572" s="298"/>
      <c r="AM572" s="299"/>
      <c r="AN572" s="299"/>
      <c r="AO572" s="301"/>
      <c r="AP572" s="301"/>
      <c r="AQ572" s="426"/>
      <c r="AR572" s="298"/>
      <c r="AS572" s="299"/>
      <c r="AT572" s="299"/>
      <c r="AU572" s="301"/>
      <c r="AV572" s="301"/>
      <c r="AW572" s="88"/>
      <c r="AX572" s="298"/>
      <c r="AY572" s="299"/>
      <c r="AZ572" s="299"/>
      <c r="BA572" s="301"/>
      <c r="BB572" s="301"/>
      <c r="BC572" s="426"/>
      <c r="BD572" s="298"/>
      <c r="BE572" s="299"/>
      <c r="BF572" s="299"/>
      <c r="BG572" s="301"/>
      <c r="BH572" s="301"/>
      <c r="BI572" s="88"/>
      <c r="BJ572" s="298"/>
      <c r="BK572" s="299"/>
      <c r="BL572" s="299"/>
      <c r="BM572" s="301"/>
      <c r="BN572" s="301"/>
      <c r="BO572" s="88"/>
      <c r="BP572" s="9"/>
      <c r="BS572" s="81"/>
      <c r="BT572" s="81"/>
      <c r="BV572" s="9"/>
      <c r="BY572" s="81"/>
      <c r="BZ572" s="81"/>
      <c r="CB572" s="9"/>
      <c r="CE572" s="81"/>
      <c r="CF572" s="81"/>
      <c r="CH572" s="9"/>
      <c r="CK572" s="81"/>
      <c r="CL572" s="81"/>
      <c r="CR572" s="9"/>
      <c r="CS572" s="9"/>
      <c r="CT572" s="9"/>
      <c r="CU572" s="9"/>
      <c r="CV572" s="9"/>
      <c r="CW572" s="129"/>
      <c r="CX572" s="9"/>
    </row>
    <row r="573" spans="1:102">
      <c r="A573" s="6" t="str">
        <f t="shared" si="81"/>
        <v>01130998</v>
      </c>
      <c r="B573" s="6" t="s">
        <v>1763</v>
      </c>
      <c r="C573" s="6" t="s">
        <v>2091</v>
      </c>
      <c r="D573" s="6">
        <v>564</v>
      </c>
      <c r="E573" s="6">
        <v>113</v>
      </c>
      <c r="F573" s="6" t="s">
        <v>1547</v>
      </c>
      <c r="G573" s="6">
        <v>998</v>
      </c>
      <c r="H573" s="6" t="s">
        <v>1547</v>
      </c>
      <c r="I573" s="33">
        <v>0</v>
      </c>
      <c r="J573" s="88">
        <v>0</v>
      </c>
      <c r="K573" s="89">
        <f t="shared" si="90"/>
        <v>0</v>
      </c>
      <c r="L573" s="88">
        <f>IF(K574&gt;0, K573/K574, 0)</f>
        <v>0</v>
      </c>
      <c r="M573" s="58"/>
      <c r="N573" s="9">
        <f>ROUND(M574*L573,0)</f>
        <v>0</v>
      </c>
      <c r="O573" s="9">
        <v>0</v>
      </c>
      <c r="P573" s="9">
        <f>N573-O573</f>
        <v>0</v>
      </c>
      <c r="Q573" s="40">
        <f t="shared" si="89"/>
        <v>0</v>
      </c>
      <c r="R573" s="9">
        <v>0</v>
      </c>
      <c r="S573" s="9">
        <f t="shared" si="87"/>
        <v>0</v>
      </c>
      <c r="T573" s="90">
        <f t="shared" si="82"/>
        <v>113</v>
      </c>
      <c r="U573" s="90">
        <f t="shared" si="83"/>
        <v>998</v>
      </c>
      <c r="V573" s="373">
        <f t="shared" si="84"/>
        <v>564</v>
      </c>
      <c r="W573" s="90">
        <f t="shared" si="85"/>
        <v>0</v>
      </c>
      <c r="X573" s="90">
        <f t="shared" si="86"/>
        <v>0</v>
      </c>
      <c r="Y573" s="141">
        <f t="shared" si="88"/>
        <v>564</v>
      </c>
      <c r="Z573" s="298">
        <v>113</v>
      </c>
      <c r="AA573" s="299">
        <v>998</v>
      </c>
      <c r="AB573" s="299">
        <v>564</v>
      </c>
      <c r="AC573" s="301">
        <v>0</v>
      </c>
      <c r="AD573" s="301">
        <v>0</v>
      </c>
      <c r="AE573" s="126"/>
      <c r="AF573" s="298"/>
      <c r="AG573" s="299"/>
      <c r="AH573" s="299"/>
      <c r="AI573" s="301"/>
      <c r="AJ573" s="301"/>
      <c r="AK573" s="426"/>
      <c r="AL573" s="298"/>
      <c r="AM573" s="299"/>
      <c r="AN573" s="299"/>
      <c r="AO573" s="301"/>
      <c r="AP573" s="301"/>
      <c r="AQ573" s="426"/>
      <c r="AR573" s="298"/>
      <c r="AS573" s="299"/>
      <c r="AT573" s="299"/>
      <c r="AU573" s="301"/>
      <c r="AV573" s="301"/>
      <c r="AW573" s="88"/>
      <c r="AX573" s="298"/>
      <c r="AY573" s="299"/>
      <c r="AZ573" s="299"/>
      <c r="BA573" s="301"/>
      <c r="BB573" s="301"/>
      <c r="BC573" s="426"/>
      <c r="BD573" s="298"/>
      <c r="BE573" s="299"/>
      <c r="BF573" s="299"/>
      <c r="BG573" s="301"/>
      <c r="BH573" s="301"/>
      <c r="BI573" s="88"/>
      <c r="BJ573" s="298"/>
      <c r="BK573" s="299"/>
      <c r="BL573" s="299"/>
      <c r="BM573" s="301"/>
      <c r="BN573" s="301"/>
      <c r="BO573" s="88"/>
      <c r="BP573" s="9"/>
      <c r="BS573" s="81"/>
      <c r="BT573" s="81"/>
      <c r="BV573" s="9"/>
      <c r="BY573" s="81"/>
      <c r="BZ573" s="81"/>
      <c r="CB573" s="9"/>
      <c r="CE573" s="81"/>
      <c r="CF573" s="81"/>
      <c r="CH573" s="9"/>
      <c r="CK573" s="81"/>
      <c r="CL573" s="81"/>
      <c r="CR573" s="9"/>
      <c r="CS573" s="9"/>
      <c r="CT573" s="9"/>
      <c r="CU573" s="9"/>
      <c r="CV573" s="9"/>
      <c r="CW573" s="129"/>
      <c r="CX573" s="9"/>
    </row>
    <row r="574" spans="1:102">
      <c r="A574" s="6" t="str">
        <f t="shared" si="81"/>
        <v>01130999</v>
      </c>
      <c r="B574" s="6" t="s">
        <v>1763</v>
      </c>
      <c r="C574" s="6" t="s">
        <v>2092</v>
      </c>
      <c r="D574" s="6">
        <v>565</v>
      </c>
      <c r="E574" s="10">
        <v>113</v>
      </c>
      <c r="F574" s="10" t="s">
        <v>1231</v>
      </c>
      <c r="G574" s="10">
        <v>999</v>
      </c>
      <c r="H574" s="10" t="s">
        <v>593</v>
      </c>
      <c r="I574" s="92">
        <v>10476266.953148777</v>
      </c>
      <c r="J574" s="472">
        <v>1</v>
      </c>
      <c r="K574" s="53">
        <f>SUM(K570:K573)</f>
        <v>11314564.987516483</v>
      </c>
      <c r="L574" s="91">
        <f>SUM(L570:L573)</f>
        <v>1</v>
      </c>
      <c r="M574" s="79">
        <f>VLOOKUP(E574,town351,24)</f>
        <v>8593682</v>
      </c>
      <c r="N574" s="79">
        <f>SUM(N570:N573)</f>
        <v>8593682</v>
      </c>
      <c r="O574" s="79">
        <v>8090456</v>
      </c>
      <c r="P574" s="79">
        <f>SUM(P570:P573)</f>
        <v>503226</v>
      </c>
      <c r="Q574" s="39">
        <f t="shared" si="89"/>
        <v>6.2199955107598388</v>
      </c>
      <c r="R574" s="9">
        <v>685.58262712019996</v>
      </c>
      <c r="S574" s="9">
        <f t="shared" si="87"/>
        <v>704.8627451021199</v>
      </c>
      <c r="T574" s="90">
        <f t="shared" si="82"/>
        <v>113</v>
      </c>
      <c r="U574" s="90">
        <f t="shared" si="83"/>
        <v>999</v>
      </c>
      <c r="V574" s="373">
        <f t="shared" si="84"/>
        <v>565</v>
      </c>
      <c r="W574" s="90">
        <f t="shared" si="85"/>
        <v>704.8627451021199</v>
      </c>
      <c r="X574" s="90">
        <f t="shared" si="86"/>
        <v>11314564.987516483</v>
      </c>
      <c r="Y574" s="141">
        <f t="shared" si="88"/>
        <v>565</v>
      </c>
      <c r="Z574" s="298">
        <v>113</v>
      </c>
      <c r="AA574" s="299">
        <v>999</v>
      </c>
      <c r="AB574" s="299">
        <v>565</v>
      </c>
      <c r="AC574" s="301">
        <v>704.8627451021199</v>
      </c>
      <c r="AD574" s="301">
        <v>11314564.987516483</v>
      </c>
      <c r="AE574" s="126"/>
      <c r="AF574" s="298"/>
      <c r="AG574" s="299"/>
      <c r="AH574" s="299"/>
      <c r="AI574" s="301"/>
      <c r="AJ574" s="301"/>
      <c r="AK574" s="426"/>
      <c r="AL574" s="298"/>
      <c r="AM574" s="299"/>
      <c r="AN574" s="299"/>
      <c r="AO574" s="301"/>
      <c r="AP574" s="301"/>
      <c r="AQ574" s="426"/>
      <c r="AR574" s="298"/>
      <c r="AS574" s="299"/>
      <c r="AT574" s="299"/>
      <c r="AU574" s="301"/>
      <c r="AV574" s="301"/>
      <c r="AW574" s="91"/>
      <c r="AX574" s="298"/>
      <c r="AY574" s="299"/>
      <c r="AZ574" s="299"/>
      <c r="BA574" s="301"/>
      <c r="BB574" s="301"/>
      <c r="BC574" s="426"/>
      <c r="BD574" s="298"/>
      <c r="BE574" s="299"/>
      <c r="BF574" s="299"/>
      <c r="BG574" s="301"/>
      <c r="BH574" s="301"/>
      <c r="BI574" s="91"/>
      <c r="BJ574" s="298"/>
      <c r="BK574" s="299"/>
      <c r="BL574" s="299"/>
      <c r="BM574" s="301"/>
      <c r="BN574" s="301"/>
      <c r="BO574" s="91"/>
      <c r="BP574" s="9"/>
      <c r="BS574" s="81"/>
      <c r="BT574" s="81"/>
      <c r="BV574" s="9"/>
      <c r="BY574" s="81"/>
      <c r="BZ574" s="81"/>
      <c r="CB574" s="9"/>
      <c r="CE574" s="81"/>
      <c r="CF574" s="81"/>
      <c r="CH574" s="9"/>
      <c r="CK574" s="81"/>
      <c r="CL574" s="81"/>
      <c r="CR574" s="9"/>
      <c r="CS574" s="9"/>
      <c r="CT574" s="9"/>
      <c r="CU574" s="9"/>
      <c r="CV574" s="9"/>
      <c r="CW574" s="129"/>
      <c r="CX574" s="9"/>
    </row>
    <row r="575" spans="1:102">
      <c r="A575" s="6" t="str">
        <f t="shared" si="81"/>
        <v>01140114</v>
      </c>
      <c r="B575" s="6" t="s">
        <v>1764</v>
      </c>
      <c r="C575" s="6" t="s">
        <v>1764</v>
      </c>
      <c r="D575" s="6">
        <v>566</v>
      </c>
      <c r="E575" s="6">
        <v>114</v>
      </c>
      <c r="F575" s="6" t="s">
        <v>1232</v>
      </c>
      <c r="G575" s="6">
        <v>114</v>
      </c>
      <c r="H575" s="6" t="s">
        <v>795</v>
      </c>
      <c r="I575" s="33">
        <v>27294290.690000001</v>
      </c>
      <c r="J575" s="88">
        <v>0.91612317374534824</v>
      </c>
      <c r="K575" s="89">
        <f>X575</f>
        <v>27960950.600000009</v>
      </c>
      <c r="L575" s="88">
        <f>IF(K579&gt;0, K575/K579, 0)</f>
        <v>0.9064673263268882</v>
      </c>
      <c r="M575" s="58"/>
      <c r="N575" s="9">
        <f>ROUND(M579*L575,0)</f>
        <v>11465787</v>
      </c>
      <c r="O575" s="9">
        <v>11091044</v>
      </c>
      <c r="P575" s="9">
        <f>N575-O575</f>
        <v>374743</v>
      </c>
      <c r="Q575" s="40">
        <f t="shared" si="89"/>
        <v>3.378789228498237</v>
      </c>
      <c r="R575" s="9">
        <v>1791</v>
      </c>
      <c r="S575" s="9">
        <f t="shared" si="87"/>
        <v>1759</v>
      </c>
      <c r="T575" s="90">
        <f t="shared" si="82"/>
        <v>114</v>
      </c>
      <c r="U575" s="90">
        <f t="shared" si="83"/>
        <v>114</v>
      </c>
      <c r="V575" s="373">
        <f t="shared" si="84"/>
        <v>566</v>
      </c>
      <c r="W575" s="90">
        <f t="shared" si="85"/>
        <v>1759</v>
      </c>
      <c r="X575" s="90">
        <f t="shared" si="86"/>
        <v>27960950.600000009</v>
      </c>
      <c r="Y575" s="141">
        <f t="shared" si="88"/>
        <v>566</v>
      </c>
      <c r="Z575" s="298">
        <v>114</v>
      </c>
      <c r="AA575" s="299">
        <v>114</v>
      </c>
      <c r="AB575" s="299">
        <v>566</v>
      </c>
      <c r="AC575" s="301">
        <v>1759</v>
      </c>
      <c r="AD575" s="301">
        <v>27960950.600000009</v>
      </c>
      <c r="AE575" s="126"/>
      <c r="AF575" s="298"/>
      <c r="AG575" s="299"/>
      <c r="AH575" s="299"/>
      <c r="AI575" s="301"/>
      <c r="AJ575" s="301"/>
      <c r="AK575" s="426"/>
      <c r="AL575" s="298"/>
      <c r="AM575" s="299"/>
      <c r="AN575" s="299"/>
      <c r="AO575" s="301"/>
      <c r="AP575" s="301"/>
      <c r="AQ575" s="426"/>
      <c r="AR575" s="298"/>
      <c r="AS575" s="299"/>
      <c r="AT575" s="299"/>
      <c r="AU575" s="301"/>
      <c r="AV575" s="301"/>
      <c r="AW575" s="88"/>
      <c r="AX575" s="298"/>
      <c r="AY575" s="299"/>
      <c r="AZ575" s="299"/>
      <c r="BA575" s="301"/>
      <c r="BB575" s="301"/>
      <c r="BC575" s="426"/>
      <c r="BD575" s="298"/>
      <c r="BE575" s="299"/>
      <c r="BF575" s="299"/>
      <c r="BG575" s="301"/>
      <c r="BH575" s="301"/>
      <c r="BI575" s="88"/>
      <c r="BJ575" s="298"/>
      <c r="BK575" s="299"/>
      <c r="BL575" s="299"/>
      <c r="BM575" s="301"/>
      <c r="BN575" s="301"/>
      <c r="BO575" s="88"/>
      <c r="BP575" s="9"/>
      <c r="BS575" s="81"/>
      <c r="BT575" s="81"/>
      <c r="BV575" s="9"/>
      <c r="BY575" s="81"/>
      <c r="BZ575" s="81"/>
      <c r="CB575" s="9"/>
      <c r="CE575" s="81"/>
      <c r="CF575" s="81"/>
      <c r="CH575" s="9"/>
      <c r="CK575" s="81"/>
      <c r="CL575" s="81"/>
      <c r="CR575" s="9"/>
      <c r="CS575" s="9"/>
      <c r="CT575" s="9"/>
      <c r="CU575" s="9"/>
      <c r="CV575" s="9"/>
      <c r="CW575" s="129"/>
      <c r="CX575" s="9"/>
    </row>
    <row r="576" spans="1:102">
      <c r="A576" s="6" t="str">
        <f t="shared" si="81"/>
        <v>01140818</v>
      </c>
      <c r="B576" s="6" t="s">
        <v>1764</v>
      </c>
      <c r="C576" s="6" t="s">
        <v>2068</v>
      </c>
      <c r="D576" s="6">
        <v>567</v>
      </c>
      <c r="E576" s="6">
        <v>114</v>
      </c>
      <c r="F576" s="6" t="s">
        <v>1232</v>
      </c>
      <c r="G576" s="6">
        <v>818</v>
      </c>
      <c r="H576" s="6" t="s">
        <v>1098</v>
      </c>
      <c r="I576" s="33">
        <v>2498963.6148920874</v>
      </c>
      <c r="J576" s="88">
        <v>8.387682625465169E-2</v>
      </c>
      <c r="K576" s="89">
        <f t="shared" si="90"/>
        <v>2885114.9866119861</v>
      </c>
      <c r="L576" s="88">
        <f>IF(K579&gt;0, K576/K579, 0)</f>
        <v>9.3532673673111882E-2</v>
      </c>
      <c r="M576" s="58"/>
      <c r="N576" s="9">
        <f>ROUND(M579*L576,0)</f>
        <v>1183083</v>
      </c>
      <c r="O576" s="9">
        <v>1015455</v>
      </c>
      <c r="P576" s="9">
        <f>N576-O576</f>
        <v>167628</v>
      </c>
      <c r="Q576" s="40">
        <f t="shared" si="89"/>
        <v>16.507673899877396</v>
      </c>
      <c r="R576" s="9">
        <v>117.00000000079999</v>
      </c>
      <c r="S576" s="9">
        <f t="shared" si="87"/>
        <v>132.00000000283998</v>
      </c>
      <c r="T576" s="90">
        <f t="shared" si="82"/>
        <v>114</v>
      </c>
      <c r="U576" s="90">
        <f t="shared" si="83"/>
        <v>818</v>
      </c>
      <c r="V576" s="373">
        <f t="shared" si="84"/>
        <v>567</v>
      </c>
      <c r="W576" s="90">
        <f t="shared" si="85"/>
        <v>132.00000000283998</v>
      </c>
      <c r="X576" s="90">
        <f t="shared" si="86"/>
        <v>2885114.9866119861</v>
      </c>
      <c r="Y576" s="141">
        <f t="shared" si="88"/>
        <v>567</v>
      </c>
      <c r="Z576" s="298">
        <v>114</v>
      </c>
      <c r="AA576" s="299">
        <v>818</v>
      </c>
      <c r="AB576" s="299">
        <v>567</v>
      </c>
      <c r="AC576" s="301">
        <v>132.00000000283998</v>
      </c>
      <c r="AD576" s="301">
        <v>2885114.9866119861</v>
      </c>
      <c r="AE576" s="126"/>
      <c r="AF576" s="298"/>
      <c r="AG576" s="299"/>
      <c r="AH576" s="299"/>
      <c r="AI576" s="301"/>
      <c r="AJ576" s="301"/>
      <c r="AK576" s="426"/>
      <c r="AL576" s="298"/>
      <c r="AM576" s="299"/>
      <c r="AN576" s="299"/>
      <c r="AO576" s="301"/>
      <c r="AP576" s="301"/>
      <c r="AQ576" s="426"/>
      <c r="AR576" s="298"/>
      <c r="AS576" s="299"/>
      <c r="AT576" s="299"/>
      <c r="AU576" s="301"/>
      <c r="AV576" s="301"/>
      <c r="AW576" s="88"/>
      <c r="AX576" s="298"/>
      <c r="AY576" s="299"/>
      <c r="AZ576" s="299"/>
      <c r="BA576" s="301"/>
      <c r="BB576" s="301"/>
      <c r="BC576" s="426"/>
      <c r="BD576" s="298"/>
      <c r="BE576" s="299"/>
      <c r="BF576" s="299"/>
      <c r="BG576" s="301"/>
      <c r="BH576" s="301"/>
      <c r="BI576" s="88"/>
      <c r="BJ576" s="298"/>
      <c r="BK576" s="299"/>
      <c r="BL576" s="299"/>
      <c r="BM576" s="301"/>
      <c r="BN576" s="301"/>
      <c r="BO576" s="88"/>
      <c r="BP576" s="9"/>
      <c r="BS576" s="81"/>
      <c r="BT576" s="81"/>
      <c r="BV576" s="9"/>
      <c r="BY576" s="81"/>
      <c r="BZ576" s="81"/>
      <c r="CB576" s="9"/>
      <c r="CE576" s="81"/>
      <c r="CF576" s="81"/>
      <c r="CH576" s="9"/>
      <c r="CK576" s="81"/>
      <c r="CL576" s="81"/>
      <c r="CR576" s="9"/>
      <c r="CS576" s="9"/>
      <c r="CT576" s="9"/>
      <c r="CU576" s="9"/>
      <c r="CV576" s="9"/>
      <c r="CW576" s="129"/>
      <c r="CX576" s="9"/>
    </row>
    <row r="577" spans="1:102">
      <c r="A577" s="6" t="str">
        <f t="shared" si="81"/>
        <v>01140998</v>
      </c>
      <c r="B577" s="6" t="s">
        <v>1764</v>
      </c>
      <c r="C577" s="6" t="s">
        <v>2091</v>
      </c>
      <c r="D577" s="6">
        <v>568</v>
      </c>
      <c r="E577" s="6">
        <v>114</v>
      </c>
      <c r="F577" s="6" t="s">
        <v>1547</v>
      </c>
      <c r="G577" s="6">
        <v>998</v>
      </c>
      <c r="H577" s="6" t="s">
        <v>1547</v>
      </c>
      <c r="I577" s="33">
        <v>0</v>
      </c>
      <c r="J577" s="88">
        <v>0</v>
      </c>
      <c r="K577" s="89">
        <f t="shared" si="90"/>
        <v>0</v>
      </c>
      <c r="L577" s="88">
        <f>IF(K579&gt;0, K577/K579, 0)</f>
        <v>0</v>
      </c>
      <c r="M577" s="58"/>
      <c r="N577" s="9">
        <f>ROUND(M579*L577,0)</f>
        <v>0</v>
      </c>
      <c r="O577" s="9">
        <v>0</v>
      </c>
      <c r="P577" s="9">
        <f>N577-O577</f>
        <v>0</v>
      </c>
      <c r="Q577" s="40">
        <f t="shared" si="89"/>
        <v>0</v>
      </c>
      <c r="R577" s="9">
        <v>0</v>
      </c>
      <c r="S577" s="9">
        <f t="shared" si="87"/>
        <v>0</v>
      </c>
      <c r="T577" s="90">
        <f t="shared" si="82"/>
        <v>114</v>
      </c>
      <c r="U577" s="90">
        <f t="shared" si="83"/>
        <v>998</v>
      </c>
      <c r="V577" s="373">
        <f t="shared" si="84"/>
        <v>568</v>
      </c>
      <c r="W577" s="90">
        <f t="shared" si="85"/>
        <v>0</v>
      </c>
      <c r="X577" s="90">
        <f t="shared" si="86"/>
        <v>0</v>
      </c>
      <c r="Y577" s="141">
        <f t="shared" si="88"/>
        <v>568</v>
      </c>
      <c r="Z577" s="298">
        <v>114</v>
      </c>
      <c r="AA577" s="299">
        <v>998</v>
      </c>
      <c r="AB577" s="299">
        <v>568</v>
      </c>
      <c r="AC577" s="301">
        <v>0</v>
      </c>
      <c r="AD577" s="301">
        <v>0</v>
      </c>
      <c r="AE577" s="126"/>
      <c r="AF577" s="298"/>
      <c r="AG577" s="299"/>
      <c r="AH577" s="299"/>
      <c r="AI577" s="301"/>
      <c r="AJ577" s="301"/>
      <c r="AK577" s="426"/>
      <c r="AL577" s="298"/>
      <c r="AM577" s="299"/>
      <c r="AN577" s="299"/>
      <c r="AO577" s="301"/>
      <c r="AP577" s="301"/>
      <c r="AQ577" s="426"/>
      <c r="AR577" s="298"/>
      <c r="AS577" s="299"/>
      <c r="AT577" s="299"/>
      <c r="AU577" s="301"/>
      <c r="AV577" s="301"/>
      <c r="AW577" s="88"/>
      <c r="AX577" s="298"/>
      <c r="AY577" s="299"/>
      <c r="AZ577" s="299"/>
      <c r="BA577" s="301"/>
      <c r="BB577" s="301"/>
      <c r="BC577" s="426"/>
      <c r="BD577" s="298"/>
      <c r="BE577" s="299"/>
      <c r="BF577" s="299"/>
      <c r="BG577" s="301"/>
      <c r="BH577" s="301"/>
      <c r="BI577" s="88"/>
      <c r="BJ577" s="298"/>
      <c r="BK577" s="299"/>
      <c r="BL577" s="299"/>
      <c r="BM577" s="301"/>
      <c r="BN577" s="301"/>
      <c r="BO577" s="88"/>
      <c r="BP577" s="9"/>
      <c r="BS577" s="81"/>
      <c r="BT577" s="81"/>
      <c r="BV577" s="9"/>
      <c r="BY577" s="81"/>
      <c r="BZ577" s="81"/>
      <c r="CB577" s="9"/>
      <c r="CE577" s="81"/>
      <c r="CF577" s="81"/>
      <c r="CH577" s="9"/>
      <c r="CK577" s="81"/>
      <c r="CL577" s="81"/>
      <c r="CR577" s="9"/>
      <c r="CS577" s="9"/>
      <c r="CT577" s="9"/>
      <c r="CU577" s="9"/>
      <c r="CV577" s="9"/>
      <c r="CW577" s="129"/>
      <c r="CX577" s="9"/>
    </row>
    <row r="578" spans="1:102">
      <c r="A578" s="6" t="str">
        <f t="shared" si="81"/>
        <v>01140998</v>
      </c>
      <c r="B578" s="6" t="s">
        <v>1764</v>
      </c>
      <c r="C578" s="6" t="s">
        <v>2091</v>
      </c>
      <c r="D578" s="6">
        <v>569</v>
      </c>
      <c r="E578" s="6">
        <v>114</v>
      </c>
      <c r="F578" s="6" t="s">
        <v>1547</v>
      </c>
      <c r="G578" s="6">
        <v>998</v>
      </c>
      <c r="H578" s="6" t="s">
        <v>1547</v>
      </c>
      <c r="I578" s="33">
        <v>0</v>
      </c>
      <c r="J578" s="88">
        <v>0</v>
      </c>
      <c r="K578" s="89">
        <f t="shared" si="90"/>
        <v>0</v>
      </c>
      <c r="L578" s="88">
        <f>IF(K579&gt;0, K578/K579, 0)</f>
        <v>0</v>
      </c>
      <c r="M578" s="58"/>
      <c r="N578" s="9">
        <f>ROUND(M579*L578,0)</f>
        <v>0</v>
      </c>
      <c r="O578" s="9">
        <v>0</v>
      </c>
      <c r="P578" s="9">
        <f>N578-O578</f>
        <v>0</v>
      </c>
      <c r="Q578" s="40">
        <f t="shared" si="89"/>
        <v>0</v>
      </c>
      <c r="R578" s="9">
        <v>0</v>
      </c>
      <c r="S578" s="9">
        <f t="shared" si="87"/>
        <v>0</v>
      </c>
      <c r="T578" s="90">
        <f t="shared" si="82"/>
        <v>114</v>
      </c>
      <c r="U578" s="90">
        <f t="shared" si="83"/>
        <v>998</v>
      </c>
      <c r="V578" s="373">
        <f t="shared" si="84"/>
        <v>569</v>
      </c>
      <c r="W578" s="90">
        <f t="shared" si="85"/>
        <v>0</v>
      </c>
      <c r="X578" s="90">
        <f t="shared" si="86"/>
        <v>0</v>
      </c>
      <c r="Y578" s="141">
        <f t="shared" si="88"/>
        <v>569</v>
      </c>
      <c r="Z578" s="298">
        <v>114</v>
      </c>
      <c r="AA578" s="299">
        <v>998</v>
      </c>
      <c r="AB578" s="299">
        <v>569</v>
      </c>
      <c r="AC578" s="301">
        <v>0</v>
      </c>
      <c r="AD578" s="301">
        <v>0</v>
      </c>
      <c r="AE578" s="126"/>
      <c r="AF578" s="298"/>
      <c r="AG578" s="299"/>
      <c r="AH578" s="299"/>
      <c r="AI578" s="301"/>
      <c r="AJ578" s="301"/>
      <c r="AK578" s="426"/>
      <c r="AL578" s="298"/>
      <c r="AM578" s="299"/>
      <c r="AN578" s="299"/>
      <c r="AO578" s="301"/>
      <c r="AP578" s="301"/>
      <c r="AQ578" s="426"/>
      <c r="AR578" s="298"/>
      <c r="AS578" s="299"/>
      <c r="AT578" s="299"/>
      <c r="AU578" s="301"/>
      <c r="AV578" s="301"/>
      <c r="AW578" s="88"/>
      <c r="AX578" s="298"/>
      <c r="AY578" s="299"/>
      <c r="AZ578" s="299"/>
      <c r="BA578" s="301"/>
      <c r="BB578" s="301"/>
      <c r="BC578" s="426"/>
      <c r="BD578" s="298"/>
      <c r="BE578" s="299"/>
      <c r="BF578" s="299"/>
      <c r="BG578" s="301"/>
      <c r="BH578" s="301"/>
      <c r="BI578" s="88"/>
      <c r="BJ578" s="298"/>
      <c r="BK578" s="299"/>
      <c r="BL578" s="299"/>
      <c r="BM578" s="301"/>
      <c r="BN578" s="301"/>
      <c r="BO578" s="88"/>
      <c r="BP578" s="9"/>
      <c r="BS578" s="81"/>
      <c r="BT578" s="81"/>
      <c r="BV578" s="9"/>
      <c r="BY578" s="81"/>
      <c r="BZ578" s="81"/>
      <c r="CB578" s="9"/>
      <c r="CE578" s="81"/>
      <c r="CF578" s="81"/>
      <c r="CH578" s="9"/>
      <c r="CK578" s="81"/>
      <c r="CL578" s="81"/>
      <c r="CR578" s="9"/>
      <c r="CS578" s="9"/>
      <c r="CT578" s="9"/>
      <c r="CU578" s="9"/>
      <c r="CV578" s="9"/>
      <c r="CW578" s="129"/>
      <c r="CX578" s="9"/>
    </row>
    <row r="579" spans="1:102">
      <c r="A579" s="6" t="str">
        <f t="shared" si="81"/>
        <v>01140999</v>
      </c>
      <c r="B579" s="6" t="s">
        <v>1764</v>
      </c>
      <c r="C579" s="6" t="s">
        <v>2092</v>
      </c>
      <c r="D579" s="6">
        <v>570</v>
      </c>
      <c r="E579" s="10">
        <v>114</v>
      </c>
      <c r="F579" s="10" t="s">
        <v>1232</v>
      </c>
      <c r="G579" s="10">
        <v>999</v>
      </c>
      <c r="H579" s="10" t="s">
        <v>593</v>
      </c>
      <c r="I579" s="92">
        <v>29793254.304892089</v>
      </c>
      <c r="J579" s="472">
        <v>0.99999999999999989</v>
      </c>
      <c r="K579" s="53">
        <f>SUM(K575:K578)</f>
        <v>30846065.586611994</v>
      </c>
      <c r="L579" s="91">
        <f>SUM(L575:L578)</f>
        <v>1</v>
      </c>
      <c r="M579" s="79">
        <f>VLOOKUP(E579,town351,24)</f>
        <v>12648870</v>
      </c>
      <c r="N579" s="79">
        <f>SUM(N575:N578)</f>
        <v>12648870</v>
      </c>
      <c r="O579" s="79">
        <v>12106499</v>
      </c>
      <c r="P579" s="79">
        <f>SUM(P575:P578)</f>
        <v>542371</v>
      </c>
      <c r="Q579" s="39">
        <f t="shared" si="89"/>
        <v>4.4799987180439205</v>
      </c>
      <c r="R579" s="9">
        <v>1908.0000000007999</v>
      </c>
      <c r="S579" s="9">
        <f t="shared" si="87"/>
        <v>1891.0000000028399</v>
      </c>
      <c r="T579" s="90">
        <f t="shared" si="82"/>
        <v>114</v>
      </c>
      <c r="U579" s="90">
        <f t="shared" si="83"/>
        <v>999</v>
      </c>
      <c r="V579" s="373">
        <f t="shared" si="84"/>
        <v>570</v>
      </c>
      <c r="W579" s="90">
        <f t="shared" si="85"/>
        <v>1891.0000000028399</v>
      </c>
      <c r="X579" s="90">
        <f t="shared" si="86"/>
        <v>30846065.586611994</v>
      </c>
      <c r="Y579" s="141">
        <f t="shared" si="88"/>
        <v>570</v>
      </c>
      <c r="Z579" s="298">
        <v>114</v>
      </c>
      <c r="AA579" s="299">
        <v>999</v>
      </c>
      <c r="AB579" s="299">
        <v>570</v>
      </c>
      <c r="AC579" s="301">
        <v>1891.0000000028399</v>
      </c>
      <c r="AD579" s="301">
        <v>30846065.586611994</v>
      </c>
      <c r="AE579" s="126"/>
      <c r="AF579" s="298"/>
      <c r="AG579" s="299"/>
      <c r="AH579" s="299"/>
      <c r="AI579" s="301"/>
      <c r="AJ579" s="301"/>
      <c r="AK579" s="426"/>
      <c r="AL579" s="298"/>
      <c r="AM579" s="299"/>
      <c r="AN579" s="299"/>
      <c r="AO579" s="301"/>
      <c r="AP579" s="301"/>
      <c r="AQ579" s="426"/>
      <c r="AR579" s="298"/>
      <c r="AS579" s="299"/>
      <c r="AT579" s="299"/>
      <c r="AU579" s="301"/>
      <c r="AV579" s="301"/>
      <c r="AW579" s="91"/>
      <c r="AX579" s="298"/>
      <c r="AY579" s="299"/>
      <c r="AZ579" s="299"/>
      <c r="BA579" s="301"/>
      <c r="BB579" s="301"/>
      <c r="BC579" s="426"/>
      <c r="BD579" s="298"/>
      <c r="BE579" s="299"/>
      <c r="BF579" s="299"/>
      <c r="BG579" s="301"/>
      <c r="BH579" s="301"/>
      <c r="BI579" s="91"/>
      <c r="BJ579" s="298"/>
      <c r="BK579" s="299"/>
      <c r="BL579" s="299"/>
      <c r="BM579" s="301"/>
      <c r="BN579" s="301"/>
      <c r="BO579" s="91"/>
      <c r="BP579" s="9"/>
      <c r="BS579" s="81"/>
      <c r="BT579" s="81"/>
      <c r="BV579" s="9"/>
      <c r="BY579" s="81"/>
      <c r="BZ579" s="81"/>
      <c r="CB579" s="9"/>
      <c r="CE579" s="81"/>
      <c r="CF579" s="81"/>
      <c r="CH579" s="9"/>
      <c r="CK579" s="81"/>
      <c r="CL579" s="81"/>
      <c r="CR579" s="9"/>
      <c r="CS579" s="9"/>
      <c r="CT579" s="9"/>
      <c r="CU579" s="9"/>
      <c r="CV579" s="9"/>
      <c r="CW579" s="129"/>
      <c r="CX579" s="9"/>
    </row>
    <row r="580" spans="1:102">
      <c r="A580" s="6" t="str">
        <f t="shared" si="81"/>
        <v>01150115</v>
      </c>
      <c r="B580" s="6" t="s">
        <v>1765</v>
      </c>
      <c r="C580" s="6" t="s">
        <v>1765</v>
      </c>
      <c r="D580" s="6">
        <v>571</v>
      </c>
      <c r="E580" s="6">
        <v>115</v>
      </c>
      <c r="F580" s="6" t="s">
        <v>1233</v>
      </c>
      <c r="G580" s="6">
        <v>115</v>
      </c>
      <c r="H580" s="6" t="s">
        <v>796</v>
      </c>
      <c r="I580" s="33">
        <v>0</v>
      </c>
      <c r="J580" s="88">
        <v>0</v>
      </c>
      <c r="K580" s="89">
        <f>X580</f>
        <v>0</v>
      </c>
      <c r="L580" s="88">
        <f>IF(K584&gt;0, K580/K584, 0)</f>
        <v>0</v>
      </c>
      <c r="M580" s="58"/>
      <c r="N580" s="9">
        <f>ROUND(M584*L580,0)</f>
        <v>0</v>
      </c>
      <c r="O580" s="9">
        <v>0</v>
      </c>
      <c r="P580" s="9">
        <f>N580-O580</f>
        <v>0</v>
      </c>
      <c r="Q580" s="40">
        <f t="shared" si="89"/>
        <v>0</v>
      </c>
      <c r="R580" s="9">
        <v>0</v>
      </c>
      <c r="S580" s="9">
        <f t="shared" si="87"/>
        <v>0</v>
      </c>
      <c r="T580" s="90">
        <f t="shared" si="82"/>
        <v>115</v>
      </c>
      <c r="U580" s="90">
        <f t="shared" si="83"/>
        <v>115</v>
      </c>
      <c r="V580" s="373">
        <f t="shared" si="84"/>
        <v>571</v>
      </c>
      <c r="W580" s="90">
        <f t="shared" si="85"/>
        <v>0</v>
      </c>
      <c r="X580" s="90">
        <f t="shared" si="86"/>
        <v>0</v>
      </c>
      <c r="Y580" s="141">
        <f t="shared" si="88"/>
        <v>571</v>
      </c>
      <c r="Z580" s="298">
        <v>115</v>
      </c>
      <c r="AA580" s="299">
        <v>115</v>
      </c>
      <c r="AB580" s="299">
        <v>571</v>
      </c>
      <c r="AC580" s="301">
        <v>0</v>
      </c>
      <c r="AD580" s="301">
        <v>0</v>
      </c>
      <c r="AE580" s="126"/>
      <c r="AF580" s="298"/>
      <c r="AG580" s="299"/>
      <c r="AH580" s="299"/>
      <c r="AI580" s="301"/>
      <c r="AJ580" s="301"/>
      <c r="AK580" s="426"/>
      <c r="AL580" s="298"/>
      <c r="AM580" s="299"/>
      <c r="AN580" s="299"/>
      <c r="AO580" s="301"/>
      <c r="AP580" s="301"/>
      <c r="AQ580" s="426"/>
      <c r="AR580" s="298"/>
      <c r="AS580" s="299"/>
      <c r="AT580" s="299"/>
      <c r="AU580" s="301"/>
      <c r="AV580" s="301"/>
      <c r="AW580" s="88"/>
      <c r="AX580" s="298"/>
      <c r="AY580" s="299"/>
      <c r="AZ580" s="299"/>
      <c r="BA580" s="301"/>
      <c r="BB580" s="301"/>
      <c r="BC580" s="426"/>
      <c r="BD580" s="298"/>
      <c r="BE580" s="299"/>
      <c r="BF580" s="299"/>
      <c r="BG580" s="301"/>
      <c r="BH580" s="301"/>
      <c r="BI580" s="88"/>
      <c r="BJ580" s="298"/>
      <c r="BK580" s="299"/>
      <c r="BL580" s="299"/>
      <c r="BM580" s="301"/>
      <c r="BN580" s="301"/>
      <c r="BO580" s="88"/>
      <c r="BP580" s="9"/>
      <c r="BS580" s="81"/>
      <c r="BT580" s="81"/>
      <c r="BV580" s="9"/>
      <c r="BY580" s="81"/>
      <c r="BZ580" s="81"/>
      <c r="CB580" s="9"/>
      <c r="CE580" s="81"/>
      <c r="CF580" s="81"/>
      <c r="CH580" s="9"/>
      <c r="CK580" s="81"/>
      <c r="CL580" s="81"/>
      <c r="CR580" s="9"/>
      <c r="CS580" s="9"/>
      <c r="CT580" s="9"/>
      <c r="CU580" s="9"/>
      <c r="CV580" s="9"/>
      <c r="CW580" s="129"/>
      <c r="CX580" s="9"/>
    </row>
    <row r="581" spans="1:102">
      <c r="A581" s="6" t="str">
        <f t="shared" si="81"/>
        <v>01150673</v>
      </c>
      <c r="B581" s="6" t="s">
        <v>1765</v>
      </c>
      <c r="C581" s="6" t="s">
        <v>2026</v>
      </c>
      <c r="D581" s="6">
        <v>572</v>
      </c>
      <c r="E581" s="6">
        <v>115</v>
      </c>
      <c r="F581" s="6" t="s">
        <v>1233</v>
      </c>
      <c r="G581" s="6">
        <v>673</v>
      </c>
      <c r="H581" s="6" t="s">
        <v>1056</v>
      </c>
      <c r="I581" s="33">
        <v>21132073.817740038</v>
      </c>
      <c r="J581" s="88">
        <v>0.96202242951961148</v>
      </c>
      <c r="K581" s="89">
        <f t="shared" si="90"/>
        <v>21233243.888182364</v>
      </c>
      <c r="L581" s="88">
        <f>IF(K584&gt;0, K581/K584, 0)</f>
        <v>0.95371722095580691</v>
      </c>
      <c r="M581" s="58"/>
      <c r="N581" s="9">
        <f>ROUND(M584*L581,0)</f>
        <v>17487642</v>
      </c>
      <c r="O581" s="9">
        <v>16859341</v>
      </c>
      <c r="P581" s="9">
        <f>N581-O581</f>
        <v>628301</v>
      </c>
      <c r="Q581" s="40">
        <f t="shared" si="89"/>
        <v>3.726723363623762</v>
      </c>
      <c r="R581" s="9">
        <v>1758.8270613063901</v>
      </c>
      <c r="S581" s="9">
        <f t="shared" si="87"/>
        <v>1718.3053040174998</v>
      </c>
      <c r="T581" s="90">
        <f t="shared" si="82"/>
        <v>115</v>
      </c>
      <c r="U581" s="90">
        <f t="shared" si="83"/>
        <v>673</v>
      </c>
      <c r="V581" s="373">
        <f t="shared" si="84"/>
        <v>572</v>
      </c>
      <c r="W581" s="90">
        <f t="shared" si="85"/>
        <v>1718.3053040174998</v>
      </c>
      <c r="X581" s="90">
        <f t="shared" si="86"/>
        <v>21233243.888182364</v>
      </c>
      <c r="Y581" s="141">
        <f t="shared" si="88"/>
        <v>572</v>
      </c>
      <c r="Z581" s="298">
        <v>115</v>
      </c>
      <c r="AA581" s="299">
        <v>673</v>
      </c>
      <c r="AB581" s="299">
        <v>572</v>
      </c>
      <c r="AC581" s="301">
        <v>1718.3053040174998</v>
      </c>
      <c r="AD581" s="301">
        <v>21233243.888182364</v>
      </c>
      <c r="AE581" s="126"/>
      <c r="AF581" s="298"/>
      <c r="AG581" s="299"/>
      <c r="AH581" s="299"/>
      <c r="AI581" s="301"/>
      <c r="AJ581" s="301"/>
      <c r="AK581" s="426"/>
      <c r="AL581" s="298"/>
      <c r="AM581" s="299"/>
      <c r="AN581" s="299"/>
      <c r="AO581" s="301"/>
      <c r="AP581" s="301"/>
      <c r="AQ581" s="426"/>
      <c r="AR581" s="298"/>
      <c r="AS581" s="299"/>
      <c r="AT581" s="299"/>
      <c r="AU581" s="301"/>
      <c r="AV581" s="301"/>
      <c r="AW581" s="88"/>
      <c r="AX581" s="298"/>
      <c r="AY581" s="299"/>
      <c r="AZ581" s="299"/>
      <c r="BA581" s="301"/>
      <c r="BB581" s="301"/>
      <c r="BC581" s="426"/>
      <c r="BD581" s="298"/>
      <c r="BE581" s="299"/>
      <c r="BF581" s="299"/>
      <c r="BG581" s="301"/>
      <c r="BH581" s="301"/>
      <c r="BI581" s="88"/>
      <c r="BJ581" s="298"/>
      <c r="BK581" s="299"/>
      <c r="BL581" s="299"/>
      <c r="BM581" s="301"/>
      <c r="BN581" s="301"/>
      <c r="BO581" s="88"/>
      <c r="BP581" s="9"/>
      <c r="BS581" s="81"/>
      <c r="BT581" s="81"/>
      <c r="BV581" s="9"/>
      <c r="BY581" s="81"/>
      <c r="BZ581" s="81"/>
      <c r="CB581" s="9"/>
      <c r="CE581" s="81"/>
      <c r="CF581" s="81"/>
      <c r="CH581" s="9"/>
      <c r="CK581" s="81"/>
      <c r="CL581" s="81"/>
      <c r="CR581" s="9"/>
      <c r="CS581" s="9"/>
      <c r="CT581" s="9"/>
      <c r="CU581" s="9"/>
      <c r="CV581" s="9"/>
      <c r="CW581" s="129"/>
      <c r="CX581" s="9"/>
    </row>
    <row r="582" spans="1:102">
      <c r="A582" s="6" t="str">
        <f t="shared" si="81"/>
        <v>01150852</v>
      </c>
      <c r="B582" s="6" t="s">
        <v>1765</v>
      </c>
      <c r="C582" s="6" t="s">
        <v>2077</v>
      </c>
      <c r="D582" s="6">
        <v>573</v>
      </c>
      <c r="E582" s="6">
        <v>115</v>
      </c>
      <c r="F582" s="6" t="s">
        <v>1233</v>
      </c>
      <c r="G582" s="6">
        <v>852</v>
      </c>
      <c r="H582" s="6" t="s">
        <v>1107</v>
      </c>
      <c r="I582" s="33">
        <v>834226.72713644546</v>
      </c>
      <c r="J582" s="88">
        <v>3.7977570480388613E-2</v>
      </c>
      <c r="K582" s="89">
        <f t="shared" si="90"/>
        <v>1030424.4420409243</v>
      </c>
      <c r="L582" s="88">
        <f>IF(K584&gt;0, K582/K584, 0)</f>
        <v>4.6282779044193118E-2</v>
      </c>
      <c r="M582" s="58"/>
      <c r="N582" s="9">
        <f>ROUND(M584*L582,0)</f>
        <v>848655</v>
      </c>
      <c r="O582" s="9">
        <v>665553</v>
      </c>
      <c r="P582" s="9">
        <f>N582-O582</f>
        <v>183102</v>
      </c>
      <c r="Q582" s="40">
        <f t="shared" si="89"/>
        <v>27.511257555746877</v>
      </c>
      <c r="R582" s="9">
        <v>40.999999998100002</v>
      </c>
      <c r="S582" s="9">
        <f t="shared" si="87"/>
        <v>49.999999999549999</v>
      </c>
      <c r="T582" s="90">
        <f t="shared" si="82"/>
        <v>115</v>
      </c>
      <c r="U582" s="90">
        <f t="shared" si="83"/>
        <v>852</v>
      </c>
      <c r="V582" s="373">
        <f t="shared" si="84"/>
        <v>573</v>
      </c>
      <c r="W582" s="90">
        <f t="shared" si="85"/>
        <v>49.999999999549999</v>
      </c>
      <c r="X582" s="90">
        <f t="shared" si="86"/>
        <v>1030424.4420409243</v>
      </c>
      <c r="Y582" s="141">
        <f t="shared" si="88"/>
        <v>573</v>
      </c>
      <c r="Z582" s="298">
        <v>115</v>
      </c>
      <c r="AA582" s="299">
        <v>852</v>
      </c>
      <c r="AB582" s="299">
        <v>573</v>
      </c>
      <c r="AC582" s="301">
        <v>49.999999999549999</v>
      </c>
      <c r="AD582" s="301">
        <v>1030424.4420409243</v>
      </c>
      <c r="AE582" s="126"/>
      <c r="AF582" s="298"/>
      <c r="AG582" s="299"/>
      <c r="AH582" s="299"/>
      <c r="AI582" s="301"/>
      <c r="AJ582" s="301"/>
      <c r="AK582" s="426"/>
      <c r="AL582" s="298"/>
      <c r="AM582" s="299"/>
      <c r="AN582" s="299"/>
      <c r="AO582" s="301"/>
      <c r="AP582" s="301"/>
      <c r="AQ582" s="426"/>
      <c r="AR582" s="298"/>
      <c r="AS582" s="299"/>
      <c r="AT582" s="299"/>
      <c r="AU582" s="301"/>
      <c r="AV582" s="301"/>
      <c r="AW582" s="88"/>
      <c r="AX582" s="298"/>
      <c r="AY582" s="299"/>
      <c r="AZ582" s="299"/>
      <c r="BA582" s="301"/>
      <c r="BB582" s="301"/>
      <c r="BC582" s="426"/>
      <c r="BD582" s="298"/>
      <c r="BE582" s="299"/>
      <c r="BF582" s="299"/>
      <c r="BG582" s="301"/>
      <c r="BH582" s="301"/>
      <c r="BI582" s="88"/>
      <c r="BJ582" s="298"/>
      <c r="BK582" s="299"/>
      <c r="BL582" s="299"/>
      <c r="BM582" s="301"/>
      <c r="BN582" s="301"/>
      <c r="BO582" s="88"/>
      <c r="BP582" s="9"/>
      <c r="BS582" s="81"/>
      <c r="BT582" s="81"/>
      <c r="BV582" s="9"/>
      <c r="BY582" s="81"/>
      <c r="BZ582" s="81"/>
      <c r="CB582" s="9"/>
      <c r="CE582" s="81"/>
      <c r="CF582" s="81"/>
      <c r="CH582" s="9"/>
      <c r="CK582" s="81"/>
      <c r="CL582" s="81"/>
      <c r="CR582" s="9"/>
      <c r="CS582" s="9"/>
      <c r="CT582" s="9"/>
      <c r="CU582" s="9"/>
      <c r="CV582" s="9"/>
      <c r="CW582" s="129"/>
      <c r="CX582" s="9"/>
    </row>
    <row r="583" spans="1:102">
      <c r="A583" s="6" t="str">
        <f t="shared" si="81"/>
        <v>01150998</v>
      </c>
      <c r="B583" s="6" t="s">
        <v>1765</v>
      </c>
      <c r="C583" s="6" t="s">
        <v>2091</v>
      </c>
      <c r="D583" s="6">
        <v>574</v>
      </c>
      <c r="E583" s="6">
        <v>115</v>
      </c>
      <c r="F583" s="6" t="s">
        <v>1547</v>
      </c>
      <c r="G583" s="6">
        <v>998</v>
      </c>
      <c r="H583" s="6" t="s">
        <v>1547</v>
      </c>
      <c r="I583" s="33">
        <v>0</v>
      </c>
      <c r="J583" s="88">
        <v>0</v>
      </c>
      <c r="K583" s="89">
        <f t="shared" si="90"/>
        <v>0</v>
      </c>
      <c r="L583" s="88">
        <f>IF(K584&gt;0, K583/K584, 0)</f>
        <v>0</v>
      </c>
      <c r="M583" s="58"/>
      <c r="N583" s="9">
        <f>ROUND(M584*L583,0)</f>
        <v>0</v>
      </c>
      <c r="O583" s="9">
        <v>0</v>
      </c>
      <c r="P583" s="9">
        <f>N583-O583</f>
        <v>0</v>
      </c>
      <c r="Q583" s="40">
        <f t="shared" si="89"/>
        <v>0</v>
      </c>
      <c r="R583" s="9">
        <v>0</v>
      </c>
      <c r="S583" s="9">
        <f t="shared" si="87"/>
        <v>0</v>
      </c>
      <c r="T583" s="90">
        <f t="shared" si="82"/>
        <v>115</v>
      </c>
      <c r="U583" s="90">
        <f t="shared" si="83"/>
        <v>998</v>
      </c>
      <c r="V583" s="373">
        <f t="shared" si="84"/>
        <v>574</v>
      </c>
      <c r="W583" s="90">
        <f t="shared" si="85"/>
        <v>0</v>
      </c>
      <c r="X583" s="90">
        <f t="shared" si="86"/>
        <v>0</v>
      </c>
      <c r="Y583" s="141">
        <f t="shared" si="88"/>
        <v>574</v>
      </c>
      <c r="Z583" s="298">
        <v>115</v>
      </c>
      <c r="AA583" s="299">
        <v>998</v>
      </c>
      <c r="AB583" s="299">
        <v>574</v>
      </c>
      <c r="AC583" s="301">
        <v>0</v>
      </c>
      <c r="AD583" s="301">
        <v>0</v>
      </c>
      <c r="AE583" s="126"/>
      <c r="AF583" s="298"/>
      <c r="AG583" s="299"/>
      <c r="AH583" s="299"/>
      <c r="AI583" s="301"/>
      <c r="AJ583" s="301"/>
      <c r="AK583" s="426"/>
      <c r="AL583" s="298"/>
      <c r="AM583" s="299"/>
      <c r="AN583" s="299"/>
      <c r="AO583" s="301"/>
      <c r="AP583" s="301"/>
      <c r="AQ583" s="426"/>
      <c r="AR583" s="298"/>
      <c r="AS583" s="299"/>
      <c r="AT583" s="299"/>
      <c r="AU583" s="301"/>
      <c r="AV583" s="301"/>
      <c r="AW583" s="88"/>
      <c r="AX583" s="298"/>
      <c r="AY583" s="299"/>
      <c r="AZ583" s="299"/>
      <c r="BA583" s="301"/>
      <c r="BB583" s="301"/>
      <c r="BC583" s="426"/>
      <c r="BD583" s="298"/>
      <c r="BE583" s="299"/>
      <c r="BF583" s="299"/>
      <c r="BG583" s="301"/>
      <c r="BH583" s="301"/>
      <c r="BI583" s="88"/>
      <c r="BJ583" s="298"/>
      <c r="BK583" s="299"/>
      <c r="BL583" s="299"/>
      <c r="BM583" s="301"/>
      <c r="BN583" s="301"/>
      <c r="BO583" s="88"/>
      <c r="BP583" s="9"/>
      <c r="BS583" s="81"/>
      <c r="BT583" s="81"/>
      <c r="BV583" s="9"/>
      <c r="BY583" s="81"/>
      <c r="BZ583" s="81"/>
      <c r="CB583" s="9"/>
      <c r="CE583" s="81"/>
      <c r="CF583" s="81"/>
      <c r="CH583" s="9"/>
      <c r="CK583" s="81"/>
      <c r="CL583" s="81"/>
      <c r="CR583" s="9"/>
      <c r="CS583" s="9"/>
      <c r="CT583" s="9"/>
      <c r="CU583" s="9"/>
      <c r="CV583" s="9"/>
      <c r="CW583" s="129"/>
      <c r="CX583" s="9"/>
    </row>
    <row r="584" spans="1:102">
      <c r="A584" s="6" t="str">
        <f t="shared" si="81"/>
        <v>01150999</v>
      </c>
      <c r="B584" s="6" t="s">
        <v>1765</v>
      </c>
      <c r="C584" s="6" t="s">
        <v>2092</v>
      </c>
      <c r="D584" s="6">
        <v>575</v>
      </c>
      <c r="E584" s="10">
        <v>115</v>
      </c>
      <c r="F584" s="10" t="s">
        <v>1233</v>
      </c>
      <c r="G584" s="10">
        <v>999</v>
      </c>
      <c r="H584" s="10" t="s">
        <v>593</v>
      </c>
      <c r="I584" s="92">
        <v>21966300.544876482</v>
      </c>
      <c r="J584" s="472">
        <v>1</v>
      </c>
      <c r="K584" s="53">
        <f>SUM(K580:K583)</f>
        <v>22263668.330223288</v>
      </c>
      <c r="L584" s="91">
        <f>SUM(L580:L583)</f>
        <v>1</v>
      </c>
      <c r="M584" s="79">
        <f>VLOOKUP(E584,town351,24)</f>
        <v>18336297</v>
      </c>
      <c r="N584" s="79">
        <f>SUM(N580:N583)</f>
        <v>18336297</v>
      </c>
      <c r="O584" s="79">
        <v>17524894</v>
      </c>
      <c r="P584" s="79">
        <f>SUM(P580:P583)</f>
        <v>811403</v>
      </c>
      <c r="Q584" s="39">
        <f t="shared" si="89"/>
        <v>4.6300023269755579</v>
      </c>
      <c r="R584" s="9">
        <v>1799.8270613044901</v>
      </c>
      <c r="S584" s="9">
        <f t="shared" si="87"/>
        <v>1768.3053040170498</v>
      </c>
      <c r="T584" s="90">
        <f t="shared" si="82"/>
        <v>115</v>
      </c>
      <c r="U584" s="90">
        <f t="shared" si="83"/>
        <v>999</v>
      </c>
      <c r="V584" s="373">
        <f t="shared" si="84"/>
        <v>575</v>
      </c>
      <c r="W584" s="90">
        <f t="shared" si="85"/>
        <v>1768.3053040170498</v>
      </c>
      <c r="X584" s="90">
        <f t="shared" si="86"/>
        <v>22263668.330223288</v>
      </c>
      <c r="Y584" s="141">
        <f t="shared" si="88"/>
        <v>575</v>
      </c>
      <c r="Z584" s="298">
        <v>115</v>
      </c>
      <c r="AA584" s="299">
        <v>999</v>
      </c>
      <c r="AB584" s="299">
        <v>575</v>
      </c>
      <c r="AC584" s="301">
        <v>1768.3053040170498</v>
      </c>
      <c r="AD584" s="301">
        <v>22263668.330223288</v>
      </c>
      <c r="AE584" s="126"/>
      <c r="AF584" s="298"/>
      <c r="AG584" s="299"/>
      <c r="AH584" s="299"/>
      <c r="AI584" s="301"/>
      <c r="AJ584" s="301"/>
      <c r="AK584" s="426"/>
      <c r="AL584" s="298"/>
      <c r="AM584" s="299"/>
      <c r="AN584" s="299"/>
      <c r="AO584" s="301"/>
      <c r="AP584" s="301"/>
      <c r="AQ584" s="426"/>
      <c r="AR584" s="298"/>
      <c r="AS584" s="299"/>
      <c r="AT584" s="299"/>
      <c r="AU584" s="301"/>
      <c r="AV584" s="301"/>
      <c r="AW584" s="91"/>
      <c r="AX584" s="298"/>
      <c r="AY584" s="299"/>
      <c r="AZ584" s="299"/>
      <c r="BA584" s="301"/>
      <c r="BB584" s="301"/>
      <c r="BC584" s="426"/>
      <c r="BD584" s="298"/>
      <c r="BE584" s="299"/>
      <c r="BF584" s="299"/>
      <c r="BG584" s="301"/>
      <c r="BH584" s="301"/>
      <c r="BI584" s="91"/>
      <c r="BJ584" s="298"/>
      <c r="BK584" s="299"/>
      <c r="BL584" s="299"/>
      <c r="BM584" s="301"/>
      <c r="BN584" s="301"/>
      <c r="BO584" s="91"/>
      <c r="BP584" s="9"/>
      <c r="BS584" s="81"/>
      <c r="BT584" s="81"/>
      <c r="BV584" s="9"/>
      <c r="BY584" s="81"/>
      <c r="BZ584" s="81"/>
      <c r="CB584" s="9"/>
      <c r="CE584" s="81"/>
      <c r="CF584" s="81"/>
      <c r="CH584" s="9"/>
      <c r="CK584" s="81"/>
      <c r="CL584" s="81"/>
      <c r="CR584" s="9"/>
      <c r="CS584" s="9"/>
      <c r="CT584" s="9"/>
      <c r="CU584" s="9"/>
      <c r="CV584" s="9"/>
      <c r="CW584" s="129"/>
      <c r="CX584" s="9"/>
    </row>
    <row r="585" spans="1:102">
      <c r="A585" s="6" t="str">
        <f t="shared" si="81"/>
        <v>01160116</v>
      </c>
      <c r="B585" s="6" t="s">
        <v>1766</v>
      </c>
      <c r="C585" s="6" t="s">
        <v>1766</v>
      </c>
      <c r="D585" s="6">
        <v>576</v>
      </c>
      <c r="E585" s="6">
        <v>116</v>
      </c>
      <c r="F585" s="6" t="s">
        <v>1234</v>
      </c>
      <c r="G585" s="6">
        <v>116</v>
      </c>
      <c r="H585" s="6" t="s">
        <v>797</v>
      </c>
      <c r="I585" s="33">
        <v>148416.84</v>
      </c>
      <c r="J585" s="88">
        <v>1.25589689004184E-2</v>
      </c>
      <c r="K585" s="89">
        <f>X585</f>
        <v>168603.30000000002</v>
      </c>
      <c r="L585" s="88">
        <f>IF(K589&gt;0, K585/K589, 0)</f>
        <v>1.3843128485687105E-2</v>
      </c>
      <c r="M585" s="58"/>
      <c r="N585" s="9">
        <f>ROUND(M589*L585,0)</f>
        <v>122594</v>
      </c>
      <c r="O585" s="9">
        <v>106462</v>
      </c>
      <c r="P585" s="9">
        <f>N585-O585</f>
        <v>16132</v>
      </c>
      <c r="Q585" s="40">
        <f t="shared" si="89"/>
        <v>15.15282448197479</v>
      </c>
      <c r="R585" s="9">
        <v>9</v>
      </c>
      <c r="S585" s="9">
        <f t="shared" si="87"/>
        <v>10</v>
      </c>
      <c r="T585" s="90">
        <f t="shared" si="82"/>
        <v>116</v>
      </c>
      <c r="U585" s="90">
        <f t="shared" si="83"/>
        <v>116</v>
      </c>
      <c r="V585" s="373">
        <f t="shared" si="84"/>
        <v>576</v>
      </c>
      <c r="W585" s="90">
        <f t="shared" si="85"/>
        <v>10</v>
      </c>
      <c r="X585" s="90">
        <f t="shared" si="86"/>
        <v>168603.30000000002</v>
      </c>
      <c r="Y585" s="141">
        <f t="shared" si="88"/>
        <v>576</v>
      </c>
      <c r="Z585" s="298">
        <v>116</v>
      </c>
      <c r="AA585" s="299">
        <v>116</v>
      </c>
      <c r="AB585" s="299">
        <v>576</v>
      </c>
      <c r="AC585" s="301">
        <v>10</v>
      </c>
      <c r="AD585" s="301">
        <v>168603.30000000002</v>
      </c>
      <c r="AE585" s="126"/>
      <c r="AF585" s="298"/>
      <c r="AG585" s="299"/>
      <c r="AH585" s="299"/>
      <c r="AI585" s="301"/>
      <c r="AJ585" s="301"/>
      <c r="AK585" s="426"/>
      <c r="AL585" s="298"/>
      <c r="AM585" s="299"/>
      <c r="AN585" s="299"/>
      <c r="AO585" s="301"/>
      <c r="AP585" s="301"/>
      <c r="AQ585" s="426"/>
      <c r="AR585" s="298"/>
      <c r="AS585" s="299"/>
      <c r="AT585" s="299"/>
      <c r="AU585" s="301"/>
      <c r="AV585" s="301"/>
      <c r="AW585" s="88"/>
      <c r="AX585" s="298"/>
      <c r="AY585" s="299"/>
      <c r="AZ585" s="299"/>
      <c r="BA585" s="301"/>
      <c r="BB585" s="301"/>
      <c r="BC585" s="426"/>
      <c r="BD585" s="298"/>
      <c r="BE585" s="299"/>
      <c r="BF585" s="299"/>
      <c r="BG585" s="301"/>
      <c r="BH585" s="301"/>
      <c r="BI585" s="88"/>
      <c r="BJ585" s="298"/>
      <c r="BK585" s="299"/>
      <c r="BL585" s="299"/>
      <c r="BM585" s="301"/>
      <c r="BN585" s="301"/>
      <c r="BO585" s="88"/>
      <c r="BP585" s="9"/>
      <c r="BS585" s="81"/>
      <c r="BT585" s="81"/>
      <c r="BV585" s="9"/>
      <c r="BY585" s="81"/>
      <c r="BZ585" s="81"/>
      <c r="CB585" s="9"/>
      <c r="CE585" s="81"/>
      <c r="CF585" s="81"/>
      <c r="CH585" s="9"/>
      <c r="CK585" s="81"/>
      <c r="CL585" s="81"/>
      <c r="CR585" s="9"/>
      <c r="CS585" s="9"/>
      <c r="CT585" s="9"/>
      <c r="CU585" s="9"/>
      <c r="CV585" s="9"/>
      <c r="CW585" s="129"/>
      <c r="CX585" s="9"/>
    </row>
    <row r="586" spans="1:102">
      <c r="A586" s="6" t="str">
        <f t="shared" ref="A586:A649" si="91">B586&amp;C586</f>
        <v>01160745</v>
      </c>
      <c r="B586" s="6" t="s">
        <v>1766</v>
      </c>
      <c r="C586" s="6" t="s">
        <v>2047</v>
      </c>
      <c r="D586" s="6">
        <v>577</v>
      </c>
      <c r="E586" s="6">
        <v>116</v>
      </c>
      <c r="F586" s="6" t="s">
        <v>1234</v>
      </c>
      <c r="G586" s="6">
        <v>745</v>
      </c>
      <c r="H586" s="6" t="s">
        <v>1077</v>
      </c>
      <c r="I586" s="33">
        <v>10941197.204429345</v>
      </c>
      <c r="J586" s="88">
        <v>0.92583938199851779</v>
      </c>
      <c r="K586" s="89">
        <f t="shared" si="90"/>
        <v>11221166.593665866</v>
      </c>
      <c r="L586" s="88">
        <f>IF(K589&gt;0, K586/K589, 0)</f>
        <v>0.92131085758948061</v>
      </c>
      <c r="M586" s="58"/>
      <c r="N586" s="9">
        <f>ROUND(M589*L586,0)</f>
        <v>8159056</v>
      </c>
      <c r="O586" s="9">
        <v>7848340</v>
      </c>
      <c r="P586" s="9">
        <f>N586-O586</f>
        <v>310716</v>
      </c>
      <c r="Q586" s="40">
        <f t="shared" si="89"/>
        <v>3.959002795495608</v>
      </c>
      <c r="R586" s="9">
        <v>894.62269806623999</v>
      </c>
      <c r="S586" s="9">
        <f t="shared" si="87"/>
        <v>891.89083903577</v>
      </c>
      <c r="T586" s="90">
        <f t="shared" ref="T586:T649" si="92">VLOOKUP($D586, foundoptions, VLOOKUP($T$6, foundoptcell, 2, FALSE), FALSE)</f>
        <v>116</v>
      </c>
      <c r="U586" s="90">
        <f t="shared" ref="U586:U649" si="93">VLOOKUP($D586, foundoptions, VLOOKUP($T$6, foundoptcell, 2, FALSE)+1, FALSE)</f>
        <v>745</v>
      </c>
      <c r="V586" s="373">
        <f t="shared" ref="V586:V649" si="94">VLOOKUP($D586, foundoptions, VLOOKUP($T$6, foundoptcell, 2, FALSE)+2, FALSE)</f>
        <v>577</v>
      </c>
      <c r="W586" s="90">
        <f t="shared" ref="W586:W649" si="95">VLOOKUP($D586, foundoptions, VLOOKUP($T$6, foundoptcell, 2, FALSE)+3, FALSE)</f>
        <v>891.89083903577</v>
      </c>
      <c r="X586" s="90">
        <f t="shared" ref="X586:X649" si="96">VLOOKUP($D586, foundoptions, VLOOKUP($T$6, foundoptcell, 2, FALSE)+4, FALSE)</f>
        <v>11221166.593665866</v>
      </c>
      <c r="Y586" s="141">
        <f t="shared" si="88"/>
        <v>577</v>
      </c>
      <c r="Z586" s="298">
        <v>116</v>
      </c>
      <c r="AA586" s="299">
        <v>745</v>
      </c>
      <c r="AB586" s="299">
        <v>577</v>
      </c>
      <c r="AC586" s="301">
        <v>891.89083903577</v>
      </c>
      <c r="AD586" s="301">
        <v>11221166.593665866</v>
      </c>
      <c r="AE586" s="126"/>
      <c r="AF586" s="298"/>
      <c r="AG586" s="299"/>
      <c r="AH586" s="299"/>
      <c r="AI586" s="301"/>
      <c r="AJ586" s="301"/>
      <c r="AK586" s="426"/>
      <c r="AL586" s="298"/>
      <c r="AM586" s="299"/>
      <c r="AN586" s="299"/>
      <c r="AO586" s="301"/>
      <c r="AP586" s="301"/>
      <c r="AQ586" s="426"/>
      <c r="AR586" s="298"/>
      <c r="AS586" s="299"/>
      <c r="AT586" s="299"/>
      <c r="AU586" s="301"/>
      <c r="AV586" s="301"/>
      <c r="AW586" s="88"/>
      <c r="AX586" s="298"/>
      <c r="AY586" s="299"/>
      <c r="AZ586" s="299"/>
      <c r="BA586" s="301"/>
      <c r="BB586" s="301"/>
      <c r="BC586" s="426"/>
      <c r="BD586" s="298"/>
      <c r="BE586" s="299"/>
      <c r="BF586" s="299"/>
      <c r="BG586" s="301"/>
      <c r="BH586" s="301"/>
      <c r="BI586" s="88"/>
      <c r="BJ586" s="298"/>
      <c r="BK586" s="299"/>
      <c r="BL586" s="299"/>
      <c r="BM586" s="301"/>
      <c r="BN586" s="301"/>
      <c r="BO586" s="88"/>
      <c r="BP586" s="9"/>
      <c r="BS586" s="81"/>
      <c r="BT586" s="81"/>
      <c r="BV586" s="9"/>
      <c r="BY586" s="81"/>
      <c r="BZ586" s="81"/>
      <c r="CB586" s="9"/>
      <c r="CE586" s="81"/>
      <c r="CF586" s="81"/>
      <c r="CH586" s="9"/>
      <c r="CK586" s="81"/>
      <c r="CL586" s="81"/>
      <c r="CR586" s="9"/>
      <c r="CS586" s="9"/>
      <c r="CT586" s="9"/>
      <c r="CU586" s="9"/>
      <c r="CV586" s="9"/>
      <c r="CW586" s="129"/>
      <c r="CX586" s="9"/>
    </row>
    <row r="587" spans="1:102">
      <c r="A587" s="6" t="str">
        <f t="shared" si="91"/>
        <v>01160885</v>
      </c>
      <c r="B587" s="6" t="s">
        <v>1766</v>
      </c>
      <c r="C587" s="6" t="s">
        <v>2087</v>
      </c>
      <c r="D587" s="6">
        <v>578</v>
      </c>
      <c r="E587" s="6">
        <v>116</v>
      </c>
      <c r="F587" s="6" t="s">
        <v>1234</v>
      </c>
      <c r="G587" s="6">
        <v>885</v>
      </c>
      <c r="H587" s="6" t="s">
        <v>1117</v>
      </c>
      <c r="I587" s="33">
        <v>727983.49696240912</v>
      </c>
      <c r="J587" s="88">
        <v>6.1601649101063798E-2</v>
      </c>
      <c r="K587" s="89">
        <f t="shared" si="90"/>
        <v>789796.32030988939</v>
      </c>
      <c r="L587" s="88">
        <f>IF(K589&gt;0, K587/K589, 0)</f>
        <v>6.4846013924832344E-2</v>
      </c>
      <c r="M587" s="58"/>
      <c r="N587" s="9">
        <f>ROUND(M589*L587,0)</f>
        <v>574271</v>
      </c>
      <c r="O587" s="9">
        <v>522197</v>
      </c>
      <c r="P587" s="9">
        <f>N587-O587</f>
        <v>52074</v>
      </c>
      <c r="Q587" s="40">
        <f t="shared" si="89"/>
        <v>9.9720986524242772</v>
      </c>
      <c r="R587" s="9">
        <v>34.999999997250001</v>
      </c>
      <c r="S587" s="9">
        <f t="shared" ref="S587:S650" si="97">W587</f>
        <v>37.087127164629997</v>
      </c>
      <c r="T587" s="90">
        <f t="shared" si="92"/>
        <v>116</v>
      </c>
      <c r="U587" s="90">
        <f t="shared" si="93"/>
        <v>885</v>
      </c>
      <c r="V587" s="373">
        <f t="shared" si="94"/>
        <v>578</v>
      </c>
      <c r="W587" s="90">
        <f t="shared" si="95"/>
        <v>37.087127164629997</v>
      </c>
      <c r="X587" s="90">
        <f t="shared" si="96"/>
        <v>789796.32030988939</v>
      </c>
      <c r="Y587" s="141">
        <f t="shared" ref="Y587:Y650" si="98">D587</f>
        <v>578</v>
      </c>
      <c r="Z587" s="298">
        <v>116</v>
      </c>
      <c r="AA587" s="299">
        <v>885</v>
      </c>
      <c r="AB587" s="299">
        <v>578</v>
      </c>
      <c r="AC587" s="301">
        <v>37.087127164629997</v>
      </c>
      <c r="AD587" s="301">
        <v>789796.32030988939</v>
      </c>
      <c r="AE587" s="126"/>
      <c r="AF587" s="298"/>
      <c r="AG587" s="299"/>
      <c r="AH587" s="299"/>
      <c r="AI587" s="301"/>
      <c r="AJ587" s="301"/>
      <c r="AK587" s="426"/>
      <c r="AL587" s="298"/>
      <c r="AM587" s="299"/>
      <c r="AN587" s="299"/>
      <c r="AO587" s="301"/>
      <c r="AP587" s="301"/>
      <c r="AQ587" s="426"/>
      <c r="AR587" s="298"/>
      <c r="AS587" s="299"/>
      <c r="AT587" s="299"/>
      <c r="AU587" s="301"/>
      <c r="AV587" s="301"/>
      <c r="AW587" s="88"/>
      <c r="AX587" s="298"/>
      <c r="AY587" s="299"/>
      <c r="AZ587" s="299"/>
      <c r="BA587" s="301"/>
      <c r="BB587" s="301"/>
      <c r="BC587" s="426"/>
      <c r="BD587" s="298"/>
      <c r="BE587" s="299"/>
      <c r="BF587" s="299"/>
      <c r="BG587" s="301"/>
      <c r="BH587" s="301"/>
      <c r="BI587" s="88"/>
      <c r="BJ587" s="298"/>
      <c r="BK587" s="299"/>
      <c r="BL587" s="299"/>
      <c r="BM587" s="301"/>
      <c r="BN587" s="301"/>
      <c r="BO587" s="88"/>
      <c r="BP587" s="9"/>
      <c r="BS587" s="81"/>
      <c r="BT587" s="81"/>
      <c r="BV587" s="9"/>
      <c r="BY587" s="81"/>
      <c r="BZ587" s="81"/>
      <c r="CB587" s="9"/>
      <c r="CE587" s="81"/>
      <c r="CF587" s="81"/>
      <c r="CH587" s="9"/>
      <c r="CK587" s="81"/>
      <c r="CL587" s="81"/>
      <c r="CR587" s="9"/>
      <c r="CS587" s="9"/>
      <c r="CT587" s="9"/>
      <c r="CU587" s="9"/>
      <c r="CV587" s="9"/>
      <c r="CW587" s="129"/>
      <c r="CX587" s="9"/>
    </row>
    <row r="588" spans="1:102">
      <c r="A588" s="6" t="str">
        <f t="shared" si="91"/>
        <v>01160998</v>
      </c>
      <c r="B588" s="6" t="s">
        <v>1766</v>
      </c>
      <c r="C588" s="6" t="s">
        <v>2091</v>
      </c>
      <c r="D588" s="6">
        <v>579</v>
      </c>
      <c r="E588" s="6">
        <v>116</v>
      </c>
      <c r="F588" s="6" t="s">
        <v>1547</v>
      </c>
      <c r="G588" s="6">
        <v>998</v>
      </c>
      <c r="I588" s="33">
        <v>0</v>
      </c>
      <c r="J588" s="88">
        <v>0</v>
      </c>
      <c r="K588" s="89">
        <f t="shared" si="90"/>
        <v>0</v>
      </c>
      <c r="L588" s="88">
        <f>IF(K589&gt;0, K588/K589, 0)</f>
        <v>0</v>
      </c>
      <c r="M588" s="58"/>
      <c r="N588" s="9">
        <f>ROUND(M589*L588,0)</f>
        <v>0</v>
      </c>
      <c r="O588" s="9">
        <v>0</v>
      </c>
      <c r="P588" s="9">
        <f>N588-O588</f>
        <v>0</v>
      </c>
      <c r="Q588" s="40">
        <f t="shared" si="89"/>
        <v>0</v>
      </c>
      <c r="R588" s="9">
        <v>0</v>
      </c>
      <c r="S588" s="9">
        <f t="shared" si="97"/>
        <v>0</v>
      </c>
      <c r="T588" s="90">
        <f t="shared" si="92"/>
        <v>116</v>
      </c>
      <c r="U588" s="90">
        <f t="shared" si="93"/>
        <v>998</v>
      </c>
      <c r="V588" s="373">
        <f t="shared" si="94"/>
        <v>579</v>
      </c>
      <c r="W588" s="90">
        <f t="shared" si="95"/>
        <v>0</v>
      </c>
      <c r="X588" s="90">
        <f t="shared" si="96"/>
        <v>0</v>
      </c>
      <c r="Y588" s="141">
        <f t="shared" si="98"/>
        <v>579</v>
      </c>
      <c r="Z588" s="298">
        <v>116</v>
      </c>
      <c r="AA588" s="299">
        <v>998</v>
      </c>
      <c r="AB588" s="299">
        <v>579</v>
      </c>
      <c r="AC588" s="301">
        <v>0</v>
      </c>
      <c r="AD588" s="301">
        <v>0</v>
      </c>
      <c r="AE588" s="126"/>
      <c r="AF588" s="298"/>
      <c r="AG588" s="299"/>
      <c r="AH588" s="299"/>
      <c r="AI588" s="301"/>
      <c r="AJ588" s="301"/>
      <c r="AK588" s="426"/>
      <c r="AL588" s="298"/>
      <c r="AM588" s="299"/>
      <c r="AN588" s="299"/>
      <c r="AO588" s="301"/>
      <c r="AP588" s="301"/>
      <c r="AQ588" s="426"/>
      <c r="AR588" s="298"/>
      <c r="AS588" s="299"/>
      <c r="AT588" s="299"/>
      <c r="AU588" s="301"/>
      <c r="AV588" s="301"/>
      <c r="AW588" s="88"/>
      <c r="AX588" s="298"/>
      <c r="AY588" s="299"/>
      <c r="AZ588" s="299"/>
      <c r="BA588" s="301"/>
      <c r="BB588" s="301"/>
      <c r="BC588" s="426"/>
      <c r="BD588" s="298"/>
      <c r="BE588" s="299"/>
      <c r="BF588" s="299"/>
      <c r="BG588" s="301"/>
      <c r="BH588" s="301"/>
      <c r="BI588" s="88"/>
      <c r="BJ588" s="298"/>
      <c r="BK588" s="299"/>
      <c r="BL588" s="299"/>
      <c r="BM588" s="301"/>
      <c r="BN588" s="301"/>
      <c r="BO588" s="88"/>
      <c r="BP588" s="9"/>
      <c r="BS588" s="81"/>
      <c r="BT588" s="81"/>
      <c r="BV588" s="9"/>
      <c r="BY588" s="81"/>
      <c r="BZ588" s="81"/>
      <c r="CB588" s="9"/>
      <c r="CE588" s="81"/>
      <c r="CF588" s="81"/>
      <c r="CH588" s="9"/>
      <c r="CK588" s="81"/>
      <c r="CL588" s="81"/>
      <c r="CR588" s="9"/>
      <c r="CS588" s="9"/>
      <c r="CT588" s="9"/>
      <c r="CU588" s="9"/>
      <c r="CV588" s="9"/>
      <c r="CW588" s="129"/>
      <c r="CX588" s="9"/>
    </row>
    <row r="589" spans="1:102">
      <c r="A589" s="6" t="str">
        <f t="shared" si="91"/>
        <v>01160999</v>
      </c>
      <c r="B589" s="6" t="s">
        <v>1766</v>
      </c>
      <c r="C589" s="6" t="s">
        <v>2092</v>
      </c>
      <c r="D589" s="6">
        <v>580</v>
      </c>
      <c r="E589" s="10">
        <v>116</v>
      </c>
      <c r="F589" s="10" t="s">
        <v>1234</v>
      </c>
      <c r="G589" s="10">
        <v>999</v>
      </c>
      <c r="H589" s="10" t="s">
        <v>593</v>
      </c>
      <c r="I589" s="92">
        <v>11817597.541391755</v>
      </c>
      <c r="J589" s="472">
        <v>1</v>
      </c>
      <c r="K589" s="53">
        <f>SUM(K585:K588)</f>
        <v>12179566.213975755</v>
      </c>
      <c r="L589" s="91">
        <f>SUM(L585:L588)</f>
        <v>1</v>
      </c>
      <c r="M589" s="79">
        <f>VLOOKUP(E589,town351,24)</f>
        <v>8855921</v>
      </c>
      <c r="N589" s="79">
        <f>SUM(N585:N588)</f>
        <v>8855921</v>
      </c>
      <c r="O589" s="79">
        <v>8476999</v>
      </c>
      <c r="P589" s="79">
        <f>SUM(P585:P588)</f>
        <v>378922</v>
      </c>
      <c r="Q589" s="39">
        <f t="shared" si="89"/>
        <v>4.470001706972007</v>
      </c>
      <c r="R589" s="9">
        <v>938.62269806349002</v>
      </c>
      <c r="S589" s="9">
        <f t="shared" si="97"/>
        <v>938.97796620040003</v>
      </c>
      <c r="T589" s="90">
        <f t="shared" si="92"/>
        <v>116</v>
      </c>
      <c r="U589" s="90">
        <f t="shared" si="93"/>
        <v>999</v>
      </c>
      <c r="V589" s="373">
        <f t="shared" si="94"/>
        <v>580</v>
      </c>
      <c r="W589" s="90">
        <f t="shared" si="95"/>
        <v>938.97796620040003</v>
      </c>
      <c r="X589" s="90">
        <f t="shared" si="96"/>
        <v>12179566.213975755</v>
      </c>
      <c r="Y589" s="141">
        <f t="shared" si="98"/>
        <v>580</v>
      </c>
      <c r="Z589" s="298">
        <v>116</v>
      </c>
      <c r="AA589" s="299">
        <v>999</v>
      </c>
      <c r="AB589" s="299">
        <v>580</v>
      </c>
      <c r="AC589" s="301">
        <v>938.97796620040003</v>
      </c>
      <c r="AD589" s="301">
        <v>12179566.213975755</v>
      </c>
      <c r="AE589" s="126"/>
      <c r="AF589" s="298"/>
      <c r="AG589" s="299"/>
      <c r="AH589" s="299"/>
      <c r="AI589" s="301"/>
      <c r="AJ589" s="301"/>
      <c r="AK589" s="426"/>
      <c r="AL589" s="298"/>
      <c r="AM589" s="299"/>
      <c r="AN589" s="299"/>
      <c r="AO589" s="301"/>
      <c r="AP589" s="301"/>
      <c r="AQ589" s="426"/>
      <c r="AR589" s="298"/>
      <c r="AS589" s="299"/>
      <c r="AT589" s="299"/>
      <c r="AU589" s="301"/>
      <c r="AV589" s="301"/>
      <c r="AW589" s="91"/>
      <c r="AX589" s="298"/>
      <c r="AY589" s="299"/>
      <c r="AZ589" s="299"/>
      <c r="BA589" s="301"/>
      <c r="BB589" s="301"/>
      <c r="BC589" s="426"/>
      <c r="BD589" s="298"/>
      <c r="BE589" s="299"/>
      <c r="BF589" s="299"/>
      <c r="BG589" s="301"/>
      <c r="BH589" s="301"/>
      <c r="BI589" s="91"/>
      <c r="BJ589" s="298"/>
      <c r="BK589" s="299"/>
      <c r="BL589" s="299"/>
      <c r="BM589" s="301"/>
      <c r="BN589" s="301"/>
      <c r="BO589" s="91"/>
      <c r="BP589" s="9"/>
      <c r="BS589" s="81"/>
      <c r="BT589" s="81"/>
      <c r="BV589" s="9"/>
      <c r="BY589" s="81"/>
      <c r="BZ589" s="81"/>
      <c r="CB589" s="9"/>
      <c r="CE589" s="81"/>
      <c r="CF589" s="81"/>
      <c r="CH589" s="9"/>
      <c r="CK589" s="81"/>
      <c r="CL589" s="81"/>
      <c r="CR589" s="9"/>
      <c r="CS589" s="9"/>
      <c r="CT589" s="9"/>
      <c r="CU589" s="9"/>
      <c r="CV589" s="9"/>
      <c r="CW589" s="129"/>
      <c r="CX589" s="9"/>
    </row>
    <row r="590" spans="1:102">
      <c r="A590" s="6" t="str">
        <f t="shared" si="91"/>
        <v>01170117</v>
      </c>
      <c r="B590" s="6" t="s">
        <v>1767</v>
      </c>
      <c r="C590" s="6" t="s">
        <v>1767</v>
      </c>
      <c r="D590" s="6">
        <v>581</v>
      </c>
      <c r="E590" s="6">
        <v>117</v>
      </c>
      <c r="F590" s="6" t="s">
        <v>1235</v>
      </c>
      <c r="G590" s="6">
        <v>117</v>
      </c>
      <c r="H590" s="6" t="s">
        <v>798</v>
      </c>
      <c r="I590" s="33">
        <v>6277106.5899999999</v>
      </c>
      <c r="J590" s="88">
        <v>1</v>
      </c>
      <c r="K590" s="89">
        <f>X590</f>
        <v>6210751.3199999984</v>
      </c>
      <c r="L590" s="88">
        <f>IF(K594&gt;0, K590/K594, 0)</f>
        <v>1</v>
      </c>
      <c r="M590" s="58"/>
      <c r="N590" s="9">
        <f>ROUND(M594*L590,0)</f>
        <v>5123870</v>
      </c>
      <c r="O590" s="9">
        <v>5178613</v>
      </c>
      <c r="P590" s="9">
        <f>N590-O590</f>
        <v>-54743</v>
      </c>
      <c r="Q590" s="40">
        <f t="shared" si="89"/>
        <v>-1.0570977209534675</v>
      </c>
      <c r="R590" s="9">
        <v>456</v>
      </c>
      <c r="S590" s="9">
        <f t="shared" si="97"/>
        <v>449</v>
      </c>
      <c r="T590" s="90">
        <f t="shared" si="92"/>
        <v>117</v>
      </c>
      <c r="U590" s="90">
        <f t="shared" si="93"/>
        <v>117</v>
      </c>
      <c r="V590" s="373">
        <f t="shared" si="94"/>
        <v>581</v>
      </c>
      <c r="W590" s="90">
        <f t="shared" si="95"/>
        <v>449</v>
      </c>
      <c r="X590" s="90">
        <f t="shared" si="96"/>
        <v>6210751.3199999984</v>
      </c>
      <c r="Y590" s="141">
        <f t="shared" si="98"/>
        <v>581</v>
      </c>
      <c r="Z590" s="298">
        <v>117</v>
      </c>
      <c r="AA590" s="299">
        <v>117</v>
      </c>
      <c r="AB590" s="299">
        <v>581</v>
      </c>
      <c r="AC590" s="301">
        <v>449</v>
      </c>
      <c r="AD590" s="301">
        <v>6210751.3199999984</v>
      </c>
      <c r="AE590" s="126"/>
      <c r="AF590" s="298"/>
      <c r="AG590" s="299"/>
      <c r="AH590" s="299"/>
      <c r="AI590" s="301"/>
      <c r="AJ590" s="301"/>
      <c r="AK590" s="426"/>
      <c r="AL590" s="298"/>
      <c r="AM590" s="299"/>
      <c r="AN590" s="299"/>
      <c r="AO590" s="301"/>
      <c r="AP590" s="301"/>
      <c r="AQ590" s="426"/>
      <c r="AR590" s="298"/>
      <c r="AS590" s="299"/>
      <c r="AT590" s="299"/>
      <c r="AU590" s="301"/>
      <c r="AV590" s="301"/>
      <c r="AW590" s="88"/>
      <c r="AX590" s="298"/>
      <c r="AY590" s="299"/>
      <c r="AZ590" s="299"/>
      <c r="BA590" s="301"/>
      <c r="BB590" s="301"/>
      <c r="BC590" s="426"/>
      <c r="BD590" s="298"/>
      <c r="BE590" s="299"/>
      <c r="BF590" s="299"/>
      <c r="BG590" s="301"/>
      <c r="BH590" s="301"/>
      <c r="BI590" s="88"/>
      <c r="BJ590" s="298"/>
      <c r="BK590" s="299"/>
      <c r="BL590" s="299"/>
      <c r="BM590" s="301"/>
      <c r="BN590" s="301"/>
      <c r="BO590" s="88"/>
      <c r="BP590" s="9"/>
      <c r="BS590" s="81"/>
      <c r="BT590" s="81"/>
      <c r="BV590" s="9"/>
      <c r="BY590" s="81"/>
      <c r="BZ590" s="81"/>
      <c r="CB590" s="9"/>
      <c r="CE590" s="81"/>
      <c r="CF590" s="81"/>
      <c r="CH590" s="9"/>
      <c r="CK590" s="81"/>
      <c r="CL590" s="81"/>
      <c r="CR590" s="9"/>
      <c r="CS590" s="9"/>
      <c r="CT590" s="9"/>
      <c r="CU590" s="9"/>
      <c r="CV590" s="9"/>
      <c r="CW590" s="129"/>
      <c r="CX590" s="9"/>
    </row>
    <row r="591" spans="1:102">
      <c r="A591" s="6" t="str">
        <f t="shared" si="91"/>
        <v>01170998</v>
      </c>
      <c r="B591" s="6" t="s">
        <v>1767</v>
      </c>
      <c r="C591" s="6" t="s">
        <v>2091</v>
      </c>
      <c r="D591" s="6">
        <v>582</v>
      </c>
      <c r="E591" s="6">
        <v>117</v>
      </c>
      <c r="F591" s="6" t="s">
        <v>1547</v>
      </c>
      <c r="G591" s="6">
        <v>998</v>
      </c>
      <c r="H591" s="6" t="s">
        <v>1547</v>
      </c>
      <c r="I591" s="33">
        <v>0</v>
      </c>
      <c r="J591" s="88">
        <v>0</v>
      </c>
      <c r="K591" s="89">
        <f t="shared" si="90"/>
        <v>0</v>
      </c>
      <c r="L591" s="88">
        <f>IF(K594&gt;0, K591/K594, 0)</f>
        <v>0</v>
      </c>
      <c r="M591" s="58"/>
      <c r="N591" s="9">
        <f>ROUND(M594*L591,0)</f>
        <v>0</v>
      </c>
      <c r="O591" s="9">
        <v>0</v>
      </c>
      <c r="P591" s="9">
        <f>N591-O591</f>
        <v>0</v>
      </c>
      <c r="Q591" s="40">
        <f t="shared" si="89"/>
        <v>0</v>
      </c>
      <c r="R591" s="9">
        <v>0</v>
      </c>
      <c r="S591" s="9">
        <f t="shared" si="97"/>
        <v>0</v>
      </c>
      <c r="T591" s="90">
        <f t="shared" si="92"/>
        <v>117</v>
      </c>
      <c r="U591" s="90">
        <f t="shared" si="93"/>
        <v>998</v>
      </c>
      <c r="V591" s="373">
        <f t="shared" si="94"/>
        <v>582</v>
      </c>
      <c r="W591" s="90">
        <f t="shared" si="95"/>
        <v>0</v>
      </c>
      <c r="X591" s="90">
        <f t="shared" si="96"/>
        <v>0</v>
      </c>
      <c r="Y591" s="141">
        <f t="shared" si="98"/>
        <v>582</v>
      </c>
      <c r="Z591" s="298">
        <v>117</v>
      </c>
      <c r="AA591" s="299">
        <v>998</v>
      </c>
      <c r="AB591" s="299">
        <v>582</v>
      </c>
      <c r="AC591" s="301">
        <v>0</v>
      </c>
      <c r="AD591" s="301">
        <v>0</v>
      </c>
      <c r="AE591" s="126"/>
      <c r="AF591" s="298"/>
      <c r="AG591" s="299"/>
      <c r="AH591" s="299"/>
      <c r="AI591" s="301"/>
      <c r="AJ591" s="301"/>
      <c r="AK591" s="426"/>
      <c r="AL591" s="298"/>
      <c r="AM591" s="299"/>
      <c r="AN591" s="299"/>
      <c r="AO591" s="301"/>
      <c r="AP591" s="301"/>
      <c r="AQ591" s="426"/>
      <c r="AR591" s="298"/>
      <c r="AS591" s="299"/>
      <c r="AT591" s="299"/>
      <c r="AU591" s="301"/>
      <c r="AV591" s="301"/>
      <c r="AW591" s="88"/>
      <c r="AX591" s="298"/>
      <c r="AY591" s="299"/>
      <c r="AZ591" s="299"/>
      <c r="BA591" s="301"/>
      <c r="BB591" s="301"/>
      <c r="BC591" s="426"/>
      <c r="BD591" s="298"/>
      <c r="BE591" s="299"/>
      <c r="BF591" s="299"/>
      <c r="BG591" s="301"/>
      <c r="BH591" s="301"/>
      <c r="BI591" s="88"/>
      <c r="BJ591" s="298"/>
      <c r="BK591" s="299"/>
      <c r="BL591" s="299"/>
      <c r="BM591" s="301"/>
      <c r="BN591" s="301"/>
      <c r="BO591" s="88"/>
      <c r="BP591" s="9"/>
      <c r="BS591" s="81"/>
      <c r="BT591" s="81"/>
      <c r="BV591" s="9"/>
      <c r="BY591" s="81"/>
      <c r="BZ591" s="81"/>
      <c r="CB591" s="9"/>
      <c r="CE591" s="81"/>
      <c r="CF591" s="81"/>
      <c r="CH591" s="9"/>
      <c r="CK591" s="81"/>
      <c r="CL591" s="81"/>
      <c r="CR591" s="9"/>
      <c r="CS591" s="9"/>
      <c r="CT591" s="9"/>
      <c r="CU591" s="9"/>
      <c r="CV591" s="9"/>
      <c r="CW591" s="129"/>
      <c r="CX591" s="9"/>
    </row>
    <row r="592" spans="1:102">
      <c r="A592" s="6" t="str">
        <f t="shared" si="91"/>
        <v>01170998</v>
      </c>
      <c r="B592" s="6" t="s">
        <v>1767</v>
      </c>
      <c r="C592" s="6" t="s">
        <v>2091</v>
      </c>
      <c r="D592" s="6">
        <v>583</v>
      </c>
      <c r="E592" s="6">
        <v>117</v>
      </c>
      <c r="F592" s="6" t="s">
        <v>1547</v>
      </c>
      <c r="G592" s="6">
        <v>998</v>
      </c>
      <c r="H592" s="6" t="s">
        <v>1547</v>
      </c>
      <c r="I592" s="33">
        <v>0</v>
      </c>
      <c r="J592" s="88">
        <v>0</v>
      </c>
      <c r="K592" s="89">
        <f t="shared" si="90"/>
        <v>0</v>
      </c>
      <c r="L592" s="88">
        <f>IF(K594&gt;0, K592/K594, 0)</f>
        <v>0</v>
      </c>
      <c r="M592" s="58"/>
      <c r="N592" s="9">
        <f>ROUND(M594*L592,0)</f>
        <v>0</v>
      </c>
      <c r="O592" s="9">
        <v>0</v>
      </c>
      <c r="P592" s="9">
        <f>N592-O592</f>
        <v>0</v>
      </c>
      <c r="Q592" s="40">
        <f>IF(O592&gt;0,P592*100/O592,IF(P592&gt;0,100,0))</f>
        <v>0</v>
      </c>
      <c r="R592" s="9">
        <v>0</v>
      </c>
      <c r="S592" s="9">
        <f t="shared" si="97"/>
        <v>0</v>
      </c>
      <c r="T592" s="90">
        <f t="shared" si="92"/>
        <v>117</v>
      </c>
      <c r="U592" s="90">
        <f t="shared" si="93"/>
        <v>998</v>
      </c>
      <c r="V592" s="373">
        <f t="shared" si="94"/>
        <v>583</v>
      </c>
      <c r="W592" s="90">
        <f t="shared" si="95"/>
        <v>0</v>
      </c>
      <c r="X592" s="90">
        <f t="shared" si="96"/>
        <v>0</v>
      </c>
      <c r="Y592" s="141">
        <f t="shared" si="98"/>
        <v>583</v>
      </c>
      <c r="Z592" s="298">
        <v>117</v>
      </c>
      <c r="AA592" s="299">
        <v>998</v>
      </c>
      <c r="AB592" s="299">
        <v>583</v>
      </c>
      <c r="AC592" s="301">
        <v>0</v>
      </c>
      <c r="AD592" s="301">
        <v>0</v>
      </c>
      <c r="AE592" s="126"/>
      <c r="AF592" s="298"/>
      <c r="AG592" s="299"/>
      <c r="AH592" s="299"/>
      <c r="AI592" s="301"/>
      <c r="AJ592" s="301"/>
      <c r="AK592" s="426"/>
      <c r="AL592" s="298"/>
      <c r="AM592" s="299"/>
      <c r="AN592" s="299"/>
      <c r="AO592" s="301"/>
      <c r="AP592" s="301"/>
      <c r="AQ592" s="426"/>
      <c r="AR592" s="298"/>
      <c r="AS592" s="299"/>
      <c r="AT592" s="299"/>
      <c r="AU592" s="301"/>
      <c r="AV592" s="301"/>
      <c r="AW592" s="88"/>
      <c r="AX592" s="298"/>
      <c r="AY592" s="299"/>
      <c r="AZ592" s="299"/>
      <c r="BA592" s="301"/>
      <c r="BB592" s="301"/>
      <c r="BC592" s="426"/>
      <c r="BD592" s="298"/>
      <c r="BE592" s="299"/>
      <c r="BF592" s="299"/>
      <c r="BG592" s="301"/>
      <c r="BH592" s="301"/>
      <c r="BI592" s="88"/>
      <c r="BJ592" s="298"/>
      <c r="BK592" s="299"/>
      <c r="BL592" s="299"/>
      <c r="BM592" s="301"/>
      <c r="BN592" s="301"/>
      <c r="BO592" s="88"/>
      <c r="BP592" s="9"/>
      <c r="BS592" s="81"/>
      <c r="BT592" s="81"/>
      <c r="BV592" s="9"/>
      <c r="BY592" s="81"/>
      <c r="BZ592" s="81"/>
      <c r="CB592" s="9"/>
      <c r="CE592" s="81"/>
      <c r="CF592" s="81"/>
      <c r="CH592" s="9"/>
      <c r="CK592" s="81"/>
      <c r="CL592" s="81"/>
      <c r="CR592" s="9"/>
      <c r="CS592" s="9"/>
      <c r="CT592" s="9"/>
      <c r="CU592" s="9"/>
      <c r="CV592" s="9"/>
      <c r="CW592" s="129"/>
      <c r="CX592" s="9"/>
    </row>
    <row r="593" spans="1:102">
      <c r="A593" s="6" t="str">
        <f t="shared" si="91"/>
        <v>01170998</v>
      </c>
      <c r="B593" s="6" t="s">
        <v>1767</v>
      </c>
      <c r="C593" s="6" t="s">
        <v>2091</v>
      </c>
      <c r="D593" s="6">
        <v>584</v>
      </c>
      <c r="E593" s="6">
        <v>117</v>
      </c>
      <c r="F593" s="6" t="s">
        <v>1547</v>
      </c>
      <c r="G593" s="6">
        <v>998</v>
      </c>
      <c r="H593" s="6" t="s">
        <v>1547</v>
      </c>
      <c r="I593" s="33">
        <v>0</v>
      </c>
      <c r="J593" s="88">
        <v>0</v>
      </c>
      <c r="K593" s="89">
        <f t="shared" si="90"/>
        <v>0</v>
      </c>
      <c r="L593" s="88">
        <f>IF(K594&gt;0, K593/K594, 0)</f>
        <v>0</v>
      </c>
      <c r="M593" s="58"/>
      <c r="N593" s="9">
        <f>ROUND(M594*L593,0)</f>
        <v>0</v>
      </c>
      <c r="O593" s="9">
        <v>0</v>
      </c>
      <c r="P593" s="9">
        <f>N593-O593</f>
        <v>0</v>
      </c>
      <c r="Q593" s="40">
        <f>IF(O593&gt;0,P593*100/O593,IF(P593&gt;0,100,0))</f>
        <v>0</v>
      </c>
      <c r="R593" s="9">
        <v>0</v>
      </c>
      <c r="S593" s="9">
        <f t="shared" si="97"/>
        <v>0</v>
      </c>
      <c r="T593" s="90">
        <f t="shared" si="92"/>
        <v>117</v>
      </c>
      <c r="U593" s="90">
        <f t="shared" si="93"/>
        <v>998</v>
      </c>
      <c r="V593" s="373">
        <f t="shared" si="94"/>
        <v>584</v>
      </c>
      <c r="W593" s="90">
        <f t="shared" si="95"/>
        <v>0</v>
      </c>
      <c r="X593" s="90">
        <f t="shared" si="96"/>
        <v>0</v>
      </c>
      <c r="Y593" s="141">
        <f t="shared" si="98"/>
        <v>584</v>
      </c>
      <c r="Z593" s="298">
        <v>117</v>
      </c>
      <c r="AA593" s="299">
        <v>998</v>
      </c>
      <c r="AB593" s="299">
        <v>584</v>
      </c>
      <c r="AC593" s="301">
        <v>0</v>
      </c>
      <c r="AD593" s="301">
        <v>0</v>
      </c>
      <c r="AE593" s="126"/>
      <c r="AF593" s="298"/>
      <c r="AG593" s="299"/>
      <c r="AH593" s="299"/>
      <c r="AI593" s="301"/>
      <c r="AJ593" s="301"/>
      <c r="AK593" s="426"/>
      <c r="AL593" s="298"/>
      <c r="AM593" s="299"/>
      <c r="AN593" s="299"/>
      <c r="AO593" s="301"/>
      <c r="AP593" s="301"/>
      <c r="AQ593" s="426"/>
      <c r="AR593" s="298"/>
      <c r="AS593" s="299"/>
      <c r="AT593" s="299"/>
      <c r="AU593" s="301"/>
      <c r="AV593" s="301"/>
      <c r="AW593" s="88"/>
      <c r="AX593" s="298"/>
      <c r="AY593" s="299"/>
      <c r="AZ593" s="299"/>
      <c r="BA593" s="301"/>
      <c r="BB593" s="301"/>
      <c r="BC593" s="426"/>
      <c r="BD593" s="298"/>
      <c r="BE593" s="299"/>
      <c r="BF593" s="299"/>
      <c r="BG593" s="301"/>
      <c r="BH593" s="301"/>
      <c r="BI593" s="88"/>
      <c r="BJ593" s="298"/>
      <c r="BK593" s="299"/>
      <c r="BL593" s="299"/>
      <c r="BM593" s="301"/>
      <c r="BN593" s="301"/>
      <c r="BO593" s="88"/>
      <c r="BP593" s="9"/>
      <c r="BS593" s="81"/>
      <c r="BT593" s="81"/>
      <c r="BV593" s="9"/>
      <c r="BY593" s="81"/>
      <c r="BZ593" s="81"/>
      <c r="CB593" s="9"/>
      <c r="CE593" s="81"/>
      <c r="CF593" s="81"/>
      <c r="CH593" s="9"/>
      <c r="CK593" s="81"/>
      <c r="CL593" s="81"/>
      <c r="CR593" s="9"/>
      <c r="CS593" s="9"/>
      <c r="CT593" s="9"/>
      <c r="CU593" s="9"/>
      <c r="CV593" s="9"/>
      <c r="CW593" s="129"/>
      <c r="CX593" s="9"/>
    </row>
    <row r="594" spans="1:102">
      <c r="A594" s="6" t="str">
        <f t="shared" si="91"/>
        <v>01170999</v>
      </c>
      <c r="B594" s="6" t="s">
        <v>1767</v>
      </c>
      <c r="C594" s="6" t="s">
        <v>2092</v>
      </c>
      <c r="D594" s="6">
        <v>585</v>
      </c>
      <c r="E594" s="10">
        <v>117</v>
      </c>
      <c r="F594" s="10" t="s">
        <v>1235</v>
      </c>
      <c r="G594" s="10">
        <v>999</v>
      </c>
      <c r="H594" s="10" t="s">
        <v>593</v>
      </c>
      <c r="I594" s="92">
        <v>6277106.5899999999</v>
      </c>
      <c r="J594" s="472">
        <v>1</v>
      </c>
      <c r="K594" s="53">
        <f>SUM(K590:K593)</f>
        <v>6210751.3199999984</v>
      </c>
      <c r="L594" s="91">
        <f>SUM(L590:L593)</f>
        <v>1</v>
      </c>
      <c r="M594" s="79">
        <f>VLOOKUP(E594,town351,24)</f>
        <v>5123870</v>
      </c>
      <c r="N594" s="79">
        <f>SUM(N590:N593)</f>
        <v>5123870</v>
      </c>
      <c r="O594" s="79">
        <v>5178613</v>
      </c>
      <c r="P594" s="79">
        <f>SUM(P590:P593)</f>
        <v>-54743</v>
      </c>
      <c r="Q594" s="39">
        <f t="shared" ref="Q594:Q655" si="99">IF(O594&gt;0,P594*100/O594,IF(P594&gt;0,100,0))</f>
        <v>-1.0570977209534675</v>
      </c>
      <c r="R594" s="9">
        <v>456</v>
      </c>
      <c r="S594" s="9">
        <f t="shared" si="97"/>
        <v>449</v>
      </c>
      <c r="T594" s="90">
        <f t="shared" si="92"/>
        <v>117</v>
      </c>
      <c r="U594" s="90">
        <f t="shared" si="93"/>
        <v>999</v>
      </c>
      <c r="V594" s="373">
        <f t="shared" si="94"/>
        <v>585</v>
      </c>
      <c r="W594" s="90">
        <f t="shared" si="95"/>
        <v>449</v>
      </c>
      <c r="X594" s="90">
        <f t="shared" si="96"/>
        <v>6210751.3199999984</v>
      </c>
      <c r="Y594" s="141">
        <f t="shared" si="98"/>
        <v>585</v>
      </c>
      <c r="Z594" s="298">
        <v>117</v>
      </c>
      <c r="AA594" s="299">
        <v>999</v>
      </c>
      <c r="AB594" s="299">
        <v>585</v>
      </c>
      <c r="AC594" s="301">
        <v>449</v>
      </c>
      <c r="AD594" s="301">
        <v>6210751.3199999984</v>
      </c>
      <c r="AE594" s="126"/>
      <c r="AF594" s="298"/>
      <c r="AG594" s="299"/>
      <c r="AH594" s="299"/>
      <c r="AI594" s="301"/>
      <c r="AJ594" s="301"/>
      <c r="AK594" s="426"/>
      <c r="AL594" s="298"/>
      <c r="AM594" s="299"/>
      <c r="AN594" s="299"/>
      <c r="AO594" s="301"/>
      <c r="AP594" s="301"/>
      <c r="AQ594" s="426"/>
      <c r="AR594" s="298"/>
      <c r="AS594" s="299"/>
      <c r="AT594" s="299"/>
      <c r="AU594" s="301"/>
      <c r="AV594" s="301"/>
      <c r="AW594" s="91"/>
      <c r="AX594" s="298"/>
      <c r="AY594" s="299"/>
      <c r="AZ594" s="299"/>
      <c r="BA594" s="301"/>
      <c r="BB594" s="301"/>
      <c r="BC594" s="426"/>
      <c r="BD594" s="298"/>
      <c r="BE594" s="299"/>
      <c r="BF594" s="299"/>
      <c r="BG594" s="301"/>
      <c r="BH594" s="301"/>
      <c r="BI594" s="91"/>
      <c r="BJ594" s="298"/>
      <c r="BK594" s="299"/>
      <c r="BL594" s="299"/>
      <c r="BM594" s="301"/>
      <c r="BN594" s="301"/>
      <c r="BO594" s="91"/>
      <c r="BP594" s="9"/>
      <c r="BS594" s="81"/>
      <c r="BT594" s="81"/>
      <c r="BV594" s="9"/>
      <c r="BY594" s="81"/>
      <c r="BZ594" s="81"/>
      <c r="CB594" s="9"/>
      <c r="CE594" s="81"/>
      <c r="CF594" s="81"/>
      <c r="CH594" s="9"/>
      <c r="CK594" s="81"/>
      <c r="CL594" s="81"/>
      <c r="CR594" s="9"/>
      <c r="CS594" s="9"/>
      <c r="CT594" s="9"/>
      <c r="CU594" s="9"/>
      <c r="CV594" s="9"/>
      <c r="CW594" s="129"/>
      <c r="CX594" s="9"/>
    </row>
    <row r="595" spans="1:102">
      <c r="A595" s="6" t="str">
        <f t="shared" si="91"/>
        <v>01180118</v>
      </c>
      <c r="B595" s="6" t="s">
        <v>1768</v>
      </c>
      <c r="C595" s="6" t="s">
        <v>1768</v>
      </c>
      <c r="D595" s="6">
        <v>586</v>
      </c>
      <c r="E595" s="6">
        <v>118</v>
      </c>
      <c r="F595" s="6" t="s">
        <v>1236</v>
      </c>
      <c r="G595" s="6">
        <v>118</v>
      </c>
      <c r="H595" s="6" t="s">
        <v>799</v>
      </c>
      <c r="I595" s="33">
        <v>7849455.0234599989</v>
      </c>
      <c r="J595" s="88">
        <v>0.51963717642375629</v>
      </c>
      <c r="K595" s="89">
        <f>X595</f>
        <v>7511760.5564400004</v>
      </c>
      <c r="L595" s="88">
        <f>IF(K599&gt;0, K595/K599, 0)</f>
        <v>0.46857640025606312</v>
      </c>
      <c r="M595" s="58"/>
      <c r="N595" s="9">
        <f>ROUND(M599*L595,0)</f>
        <v>4050476</v>
      </c>
      <c r="O595" s="9">
        <v>4340378</v>
      </c>
      <c r="P595" s="9">
        <f>N595-O595</f>
        <v>-289902</v>
      </c>
      <c r="Q595" s="40">
        <f t="shared" si="99"/>
        <v>-6.679187849537529</v>
      </c>
      <c r="R595" s="9">
        <v>613</v>
      </c>
      <c r="S595" s="9">
        <f t="shared" si="97"/>
        <v>564</v>
      </c>
      <c r="T595" s="90">
        <f t="shared" si="92"/>
        <v>118</v>
      </c>
      <c r="U595" s="90">
        <f t="shared" si="93"/>
        <v>118</v>
      </c>
      <c r="V595" s="373">
        <f t="shared" si="94"/>
        <v>586</v>
      </c>
      <c r="W595" s="90">
        <f t="shared" si="95"/>
        <v>564</v>
      </c>
      <c r="X595" s="90">
        <f t="shared" si="96"/>
        <v>7511760.5564400004</v>
      </c>
      <c r="Y595" s="141">
        <f t="shared" si="98"/>
        <v>586</v>
      </c>
      <c r="Z595" s="298">
        <v>118</v>
      </c>
      <c r="AA595" s="299">
        <v>118</v>
      </c>
      <c r="AB595" s="299">
        <v>586</v>
      </c>
      <c r="AC595" s="301">
        <v>564</v>
      </c>
      <c r="AD595" s="301">
        <v>7511760.5564400004</v>
      </c>
      <c r="AE595" s="126"/>
      <c r="AF595" s="298"/>
      <c r="AG595" s="299"/>
      <c r="AH595" s="299"/>
      <c r="AI595" s="301"/>
      <c r="AJ595" s="301"/>
      <c r="AK595" s="426"/>
      <c r="AL595" s="298"/>
      <c r="AM595" s="299"/>
      <c r="AN595" s="299"/>
      <c r="AO595" s="301"/>
      <c r="AP595" s="301"/>
      <c r="AQ595" s="426"/>
      <c r="AR595" s="298"/>
      <c r="AS595" s="299"/>
      <c r="AT595" s="299"/>
      <c r="AU595" s="301"/>
      <c r="AV595" s="301"/>
      <c r="AW595" s="88"/>
      <c r="AX595" s="298"/>
      <c r="AY595" s="299"/>
      <c r="AZ595" s="299"/>
      <c r="BA595" s="301"/>
      <c r="BB595" s="301"/>
      <c r="BC595" s="426"/>
      <c r="BD595" s="298"/>
      <c r="BE595" s="299"/>
      <c r="BF595" s="299"/>
      <c r="BG595" s="301"/>
      <c r="BH595" s="301"/>
      <c r="BI595" s="88"/>
      <c r="BJ595" s="298"/>
      <c r="BK595" s="299"/>
      <c r="BL595" s="299"/>
      <c r="BM595" s="301"/>
      <c r="BN595" s="301"/>
      <c r="BO595" s="88"/>
      <c r="BP595" s="9"/>
      <c r="BS595" s="81"/>
      <c r="BT595" s="81"/>
      <c r="BV595" s="9"/>
      <c r="BY595" s="81"/>
      <c r="BZ595" s="81"/>
      <c r="CB595" s="9"/>
      <c r="CE595" s="81"/>
      <c r="CF595" s="81"/>
      <c r="CH595" s="9"/>
      <c r="CK595" s="81"/>
      <c r="CL595" s="81"/>
      <c r="CR595" s="9"/>
      <c r="CS595" s="9"/>
      <c r="CT595" s="9"/>
      <c r="CU595" s="9"/>
      <c r="CV595" s="9"/>
      <c r="CW595" s="129"/>
      <c r="CX595" s="9"/>
    </row>
    <row r="596" spans="1:102">
      <c r="A596" s="6" t="str">
        <f t="shared" si="91"/>
        <v>01180760</v>
      </c>
      <c r="B596" s="6" t="s">
        <v>1768</v>
      </c>
      <c r="C596" s="6" t="s">
        <v>2051</v>
      </c>
      <c r="D596" s="6">
        <v>587</v>
      </c>
      <c r="E596" s="6">
        <v>118</v>
      </c>
      <c r="F596" s="6" t="s">
        <v>1236</v>
      </c>
      <c r="G596" s="6">
        <v>760</v>
      </c>
      <c r="H596" s="6" t="s">
        <v>1081</v>
      </c>
      <c r="I596" s="33">
        <v>7256190.5684921956</v>
      </c>
      <c r="J596" s="88">
        <v>0.48036282357624377</v>
      </c>
      <c r="K596" s="89">
        <f t="shared" si="90"/>
        <v>8519265.6589968987</v>
      </c>
      <c r="L596" s="88">
        <f>IF(K599&gt;0, K596/K599, 0)</f>
        <v>0.53142359974393694</v>
      </c>
      <c r="M596" s="58"/>
      <c r="N596" s="9">
        <f>ROUND(M599*L596,0)</f>
        <v>4593741</v>
      </c>
      <c r="O596" s="9">
        <v>4012330</v>
      </c>
      <c r="P596" s="9">
        <f>N596-O596</f>
        <v>581411</v>
      </c>
      <c r="Q596" s="40">
        <f t="shared" si="99"/>
        <v>14.490607701759327</v>
      </c>
      <c r="R596" s="9">
        <v>485.94427619958003</v>
      </c>
      <c r="S596" s="9">
        <f t="shared" si="97"/>
        <v>549.63092551192995</v>
      </c>
      <c r="T596" s="90">
        <f t="shared" si="92"/>
        <v>118</v>
      </c>
      <c r="U596" s="90">
        <f t="shared" si="93"/>
        <v>760</v>
      </c>
      <c r="V596" s="373">
        <f t="shared" si="94"/>
        <v>587</v>
      </c>
      <c r="W596" s="90">
        <f t="shared" si="95"/>
        <v>549.63092551192995</v>
      </c>
      <c r="X596" s="90">
        <f t="shared" si="96"/>
        <v>8519265.6589968987</v>
      </c>
      <c r="Y596" s="141">
        <f t="shared" si="98"/>
        <v>587</v>
      </c>
      <c r="Z596" s="298">
        <v>118</v>
      </c>
      <c r="AA596" s="299">
        <v>760</v>
      </c>
      <c r="AB596" s="299">
        <v>587</v>
      </c>
      <c r="AC596" s="301">
        <v>549.63092551192995</v>
      </c>
      <c r="AD596" s="301">
        <v>8519265.6589968987</v>
      </c>
      <c r="AE596" s="126"/>
      <c r="AF596" s="298"/>
      <c r="AG596" s="299"/>
      <c r="AH596" s="299"/>
      <c r="AI596" s="301"/>
      <c r="AJ596" s="301"/>
      <c r="AK596" s="426"/>
      <c r="AL596" s="298"/>
      <c r="AM596" s="299"/>
      <c r="AN596" s="299"/>
      <c r="AO596" s="301"/>
      <c r="AP596" s="301"/>
      <c r="AQ596" s="426"/>
      <c r="AR596" s="298"/>
      <c r="AS596" s="299"/>
      <c r="AT596" s="299"/>
      <c r="AU596" s="301"/>
      <c r="AV596" s="301"/>
      <c r="AW596" s="88"/>
      <c r="AX596" s="298"/>
      <c r="AY596" s="299"/>
      <c r="AZ596" s="299"/>
      <c r="BA596" s="301"/>
      <c r="BB596" s="301"/>
      <c r="BC596" s="426"/>
      <c r="BD596" s="298"/>
      <c r="BE596" s="299"/>
      <c r="BF596" s="299"/>
      <c r="BG596" s="301"/>
      <c r="BH596" s="301"/>
      <c r="BI596" s="88"/>
      <c r="BJ596" s="298"/>
      <c r="BK596" s="299"/>
      <c r="BL596" s="299"/>
      <c r="BM596" s="301"/>
      <c r="BN596" s="301"/>
      <c r="BO596" s="88"/>
      <c r="BP596" s="9"/>
      <c r="BS596" s="81"/>
      <c r="BT596" s="81"/>
      <c r="BV596" s="9"/>
      <c r="BY596" s="81"/>
      <c r="BZ596" s="81"/>
      <c r="CB596" s="9"/>
      <c r="CE596" s="81"/>
      <c r="CF596" s="81"/>
      <c r="CH596" s="9"/>
      <c r="CK596" s="81"/>
      <c r="CL596" s="81"/>
      <c r="CR596" s="9"/>
      <c r="CS596" s="9"/>
      <c r="CT596" s="9"/>
      <c r="CU596" s="9"/>
      <c r="CV596" s="9"/>
      <c r="CW596" s="129"/>
      <c r="CX596" s="9"/>
    </row>
    <row r="597" spans="1:102">
      <c r="A597" s="6" t="str">
        <f t="shared" si="91"/>
        <v>01180998</v>
      </c>
      <c r="B597" s="6" t="s">
        <v>1768</v>
      </c>
      <c r="C597" s="6" t="s">
        <v>2091</v>
      </c>
      <c r="D597" s="6">
        <v>588</v>
      </c>
      <c r="E597" s="6">
        <v>118</v>
      </c>
      <c r="F597" s="6" t="s">
        <v>1547</v>
      </c>
      <c r="G597" s="6">
        <v>998</v>
      </c>
      <c r="H597" s="6" t="s">
        <v>1547</v>
      </c>
      <c r="I597" s="33">
        <v>0</v>
      </c>
      <c r="J597" s="88">
        <v>0</v>
      </c>
      <c r="K597" s="89">
        <f t="shared" si="90"/>
        <v>0</v>
      </c>
      <c r="L597" s="88">
        <f>IF(K599&gt;0, K597/K599, 0)</f>
        <v>0</v>
      </c>
      <c r="M597" s="58"/>
      <c r="N597" s="9">
        <f>ROUND(M599*L597,0)</f>
        <v>0</v>
      </c>
      <c r="O597" s="9">
        <v>0</v>
      </c>
      <c r="P597" s="9">
        <f>N597-O597</f>
        <v>0</v>
      </c>
      <c r="Q597" s="40">
        <f t="shared" si="99"/>
        <v>0</v>
      </c>
      <c r="R597" s="9">
        <v>0</v>
      </c>
      <c r="S597" s="9">
        <f t="shared" si="97"/>
        <v>0</v>
      </c>
      <c r="T597" s="90">
        <f t="shared" si="92"/>
        <v>118</v>
      </c>
      <c r="U597" s="90">
        <f t="shared" si="93"/>
        <v>998</v>
      </c>
      <c r="V597" s="373">
        <f t="shared" si="94"/>
        <v>588</v>
      </c>
      <c r="W597" s="90">
        <f t="shared" si="95"/>
        <v>0</v>
      </c>
      <c r="X597" s="90">
        <f t="shared" si="96"/>
        <v>0</v>
      </c>
      <c r="Y597" s="141">
        <f t="shared" si="98"/>
        <v>588</v>
      </c>
      <c r="Z597" s="298">
        <v>118</v>
      </c>
      <c r="AA597" s="299">
        <v>998</v>
      </c>
      <c r="AB597" s="299">
        <v>588</v>
      </c>
      <c r="AC597" s="301">
        <v>0</v>
      </c>
      <c r="AD597" s="301">
        <v>0</v>
      </c>
      <c r="AE597" s="126"/>
      <c r="AF597" s="298"/>
      <c r="AG597" s="299"/>
      <c r="AH597" s="299"/>
      <c r="AI597" s="301"/>
      <c r="AJ597" s="301"/>
      <c r="AK597" s="426"/>
      <c r="AL597" s="298"/>
      <c r="AM597" s="299"/>
      <c r="AN597" s="299"/>
      <c r="AO597" s="301"/>
      <c r="AP597" s="301"/>
      <c r="AQ597" s="426"/>
      <c r="AR597" s="298"/>
      <c r="AS597" s="299"/>
      <c r="AT597" s="299"/>
      <c r="AU597" s="301"/>
      <c r="AV597" s="301"/>
      <c r="AW597" s="88"/>
      <c r="AX597" s="298"/>
      <c r="AY597" s="299"/>
      <c r="AZ597" s="299"/>
      <c r="BA597" s="301"/>
      <c r="BB597" s="301"/>
      <c r="BC597" s="426"/>
      <c r="BD597" s="298"/>
      <c r="BE597" s="299"/>
      <c r="BF597" s="299"/>
      <c r="BG597" s="301"/>
      <c r="BH597" s="301"/>
      <c r="BI597" s="88"/>
      <c r="BJ597" s="298"/>
      <c r="BK597" s="299"/>
      <c r="BL597" s="299"/>
      <c r="BM597" s="301"/>
      <c r="BN597" s="301"/>
      <c r="BO597" s="88"/>
      <c r="BP597" s="9"/>
      <c r="BS597" s="81"/>
      <c r="BT597" s="81"/>
      <c r="BV597" s="9"/>
      <c r="BY597" s="81"/>
      <c r="BZ597" s="81"/>
      <c r="CB597" s="9"/>
      <c r="CE597" s="81"/>
      <c r="CF597" s="81"/>
      <c r="CH597" s="9"/>
      <c r="CK597" s="81"/>
      <c r="CL597" s="81"/>
      <c r="CR597" s="9"/>
      <c r="CS597" s="9"/>
      <c r="CT597" s="9"/>
      <c r="CU597" s="9"/>
      <c r="CV597" s="9"/>
      <c r="CW597" s="129"/>
      <c r="CX597" s="9"/>
    </row>
    <row r="598" spans="1:102">
      <c r="A598" s="6" t="str">
        <f t="shared" si="91"/>
        <v>01180998</v>
      </c>
      <c r="B598" s="6" t="s">
        <v>1768</v>
      </c>
      <c r="C598" s="6" t="s">
        <v>2091</v>
      </c>
      <c r="D598" s="6">
        <v>589</v>
      </c>
      <c r="E598" s="6">
        <v>118</v>
      </c>
      <c r="F598" s="6" t="s">
        <v>1547</v>
      </c>
      <c r="G598" s="6">
        <v>998</v>
      </c>
      <c r="H598" s="6" t="s">
        <v>1547</v>
      </c>
      <c r="I598" s="33">
        <v>0</v>
      </c>
      <c r="J598" s="88">
        <v>0</v>
      </c>
      <c r="K598" s="89">
        <f t="shared" si="90"/>
        <v>0</v>
      </c>
      <c r="L598" s="88">
        <f>IF(K599&gt;0, K598/K599, 0)</f>
        <v>0</v>
      </c>
      <c r="M598" s="58"/>
      <c r="N598" s="9">
        <f>ROUND(M599*L598,0)</f>
        <v>0</v>
      </c>
      <c r="O598" s="9">
        <v>0</v>
      </c>
      <c r="P598" s="9">
        <f>N598-O598</f>
        <v>0</v>
      </c>
      <c r="Q598" s="40">
        <f t="shared" si="99"/>
        <v>0</v>
      </c>
      <c r="R598" s="9">
        <v>0</v>
      </c>
      <c r="S598" s="9">
        <f t="shared" si="97"/>
        <v>0</v>
      </c>
      <c r="T598" s="90">
        <f t="shared" si="92"/>
        <v>118</v>
      </c>
      <c r="U598" s="90">
        <f t="shared" si="93"/>
        <v>998</v>
      </c>
      <c r="V598" s="373">
        <f t="shared" si="94"/>
        <v>589</v>
      </c>
      <c r="W598" s="90">
        <f t="shared" si="95"/>
        <v>0</v>
      </c>
      <c r="X598" s="90">
        <f t="shared" si="96"/>
        <v>0</v>
      </c>
      <c r="Y598" s="141">
        <f t="shared" si="98"/>
        <v>589</v>
      </c>
      <c r="Z598" s="298">
        <v>118</v>
      </c>
      <c r="AA598" s="299">
        <v>998</v>
      </c>
      <c r="AB598" s="299">
        <v>589</v>
      </c>
      <c r="AC598" s="301">
        <v>0</v>
      </c>
      <c r="AD598" s="301">
        <v>0</v>
      </c>
      <c r="AE598" s="126"/>
      <c r="AF598" s="298"/>
      <c r="AG598" s="299"/>
      <c r="AH598" s="299"/>
      <c r="AI598" s="301"/>
      <c r="AJ598" s="301"/>
      <c r="AK598" s="426"/>
      <c r="AL598" s="298"/>
      <c r="AM598" s="299"/>
      <c r="AN598" s="299"/>
      <c r="AO598" s="301"/>
      <c r="AP598" s="301"/>
      <c r="AQ598" s="426"/>
      <c r="AR598" s="298"/>
      <c r="AS598" s="299"/>
      <c r="AT598" s="299"/>
      <c r="AU598" s="301"/>
      <c r="AV598" s="301"/>
      <c r="AW598" s="88"/>
      <c r="AX598" s="298"/>
      <c r="AY598" s="299"/>
      <c r="AZ598" s="299"/>
      <c r="BA598" s="301"/>
      <c r="BB598" s="301"/>
      <c r="BC598" s="426"/>
      <c r="BD598" s="298"/>
      <c r="BE598" s="299"/>
      <c r="BF598" s="299"/>
      <c r="BG598" s="301"/>
      <c r="BH598" s="301"/>
      <c r="BI598" s="88"/>
      <c r="BJ598" s="298"/>
      <c r="BK598" s="299"/>
      <c r="BL598" s="299"/>
      <c r="BM598" s="301"/>
      <c r="BN598" s="301"/>
      <c r="BO598" s="88"/>
      <c r="BP598" s="9"/>
      <c r="BS598" s="81"/>
      <c r="BT598" s="81"/>
      <c r="BV598" s="9"/>
      <c r="BY598" s="81"/>
      <c r="BZ598" s="81"/>
      <c r="CB598" s="9"/>
      <c r="CE598" s="81"/>
      <c r="CF598" s="81"/>
      <c r="CH598" s="9"/>
      <c r="CK598" s="81"/>
      <c r="CL598" s="81"/>
      <c r="CR598" s="9"/>
      <c r="CS598" s="9"/>
      <c r="CT598" s="9"/>
      <c r="CU598" s="9"/>
      <c r="CV598" s="9"/>
      <c r="CW598" s="129"/>
      <c r="CX598" s="9"/>
    </row>
    <row r="599" spans="1:102">
      <c r="A599" s="6" t="str">
        <f t="shared" si="91"/>
        <v>01180999</v>
      </c>
      <c r="B599" s="6" t="s">
        <v>1768</v>
      </c>
      <c r="C599" s="6" t="s">
        <v>2092</v>
      </c>
      <c r="D599" s="6">
        <v>590</v>
      </c>
      <c r="E599" s="10">
        <v>118</v>
      </c>
      <c r="F599" s="10" t="s">
        <v>1236</v>
      </c>
      <c r="G599" s="10">
        <v>999</v>
      </c>
      <c r="H599" s="10" t="s">
        <v>593</v>
      </c>
      <c r="I599" s="92">
        <v>15105645.591952194</v>
      </c>
      <c r="J599" s="472">
        <v>1</v>
      </c>
      <c r="K599" s="53">
        <f>SUM(K595:K598)</f>
        <v>16031026.215436898</v>
      </c>
      <c r="L599" s="91">
        <f>SUM(L595:L598)</f>
        <v>1</v>
      </c>
      <c r="M599" s="79">
        <f>VLOOKUP(E599,town351,24)</f>
        <v>8644217</v>
      </c>
      <c r="N599" s="79">
        <f>SUM(N595:N598)</f>
        <v>8644217</v>
      </c>
      <c r="O599" s="79">
        <v>8352708</v>
      </c>
      <c r="P599" s="79">
        <f>SUM(P595:P598)</f>
        <v>291509</v>
      </c>
      <c r="Q599" s="39">
        <f t="shared" si="99"/>
        <v>3.4899939037734828</v>
      </c>
      <c r="R599" s="9">
        <v>1098.9442761995801</v>
      </c>
      <c r="S599" s="9">
        <f t="shared" si="97"/>
        <v>1113.6309255119299</v>
      </c>
      <c r="T599" s="90">
        <f t="shared" si="92"/>
        <v>118</v>
      </c>
      <c r="U599" s="90">
        <f t="shared" si="93"/>
        <v>999</v>
      </c>
      <c r="V599" s="373">
        <f t="shared" si="94"/>
        <v>590</v>
      </c>
      <c r="W599" s="90">
        <f t="shared" si="95"/>
        <v>1113.6309255119299</v>
      </c>
      <c r="X599" s="90">
        <f t="shared" si="96"/>
        <v>16031026.215436898</v>
      </c>
      <c r="Y599" s="141">
        <f t="shared" si="98"/>
        <v>590</v>
      </c>
      <c r="Z599" s="298">
        <v>118</v>
      </c>
      <c r="AA599" s="299">
        <v>999</v>
      </c>
      <c r="AB599" s="299">
        <v>590</v>
      </c>
      <c r="AC599" s="301">
        <v>1113.6309255119299</v>
      </c>
      <c r="AD599" s="301">
        <v>16031026.215436898</v>
      </c>
      <c r="AE599" s="126"/>
      <c r="AF599" s="298"/>
      <c r="AG599" s="299"/>
      <c r="AH599" s="299"/>
      <c r="AI599" s="301"/>
      <c r="AJ599" s="301"/>
      <c r="AK599" s="426"/>
      <c r="AL599" s="298"/>
      <c r="AM599" s="299"/>
      <c r="AN599" s="299"/>
      <c r="AO599" s="301"/>
      <c r="AP599" s="301"/>
      <c r="AQ599" s="426"/>
      <c r="AR599" s="298"/>
      <c r="AS599" s="299"/>
      <c r="AT599" s="299"/>
      <c r="AU599" s="301"/>
      <c r="AV599" s="301"/>
      <c r="AW599" s="91"/>
      <c r="AX599" s="298"/>
      <c r="AY599" s="299"/>
      <c r="AZ599" s="299"/>
      <c r="BA599" s="301"/>
      <c r="BB599" s="301"/>
      <c r="BC599" s="426"/>
      <c r="BD599" s="298"/>
      <c r="BE599" s="299"/>
      <c r="BF599" s="299"/>
      <c r="BG599" s="301"/>
      <c r="BH599" s="301"/>
      <c r="BI599" s="91"/>
      <c r="BJ599" s="298"/>
      <c r="BK599" s="299"/>
      <c r="BL599" s="299"/>
      <c r="BM599" s="301"/>
      <c r="BN599" s="301"/>
      <c r="BO599" s="91"/>
      <c r="BP599" s="9"/>
      <c r="BS599" s="81"/>
      <c r="BT599" s="81"/>
      <c r="BV599" s="9"/>
      <c r="BY599" s="81"/>
      <c r="BZ599" s="81"/>
      <c r="CB599" s="9"/>
      <c r="CE599" s="81"/>
      <c r="CF599" s="81"/>
      <c r="CH599" s="9"/>
      <c r="CK599" s="81"/>
      <c r="CL599" s="81"/>
      <c r="CR599" s="9"/>
      <c r="CS599" s="9"/>
      <c r="CT599" s="9"/>
      <c r="CU599" s="9"/>
      <c r="CV599" s="9"/>
      <c r="CW599" s="129"/>
      <c r="CX599" s="9"/>
    </row>
    <row r="600" spans="1:102">
      <c r="A600" s="6" t="str">
        <f t="shared" si="91"/>
        <v>01190119</v>
      </c>
      <c r="B600" s="6" t="s">
        <v>1769</v>
      </c>
      <c r="C600" s="6" t="s">
        <v>1769</v>
      </c>
      <c r="D600" s="6">
        <v>591</v>
      </c>
      <c r="E600" s="6">
        <v>119</v>
      </c>
      <c r="F600" s="6" t="s">
        <v>1237</v>
      </c>
      <c r="G600" s="6">
        <v>119</v>
      </c>
      <c r="H600" s="6" t="s">
        <v>800</v>
      </c>
      <c r="I600" s="33">
        <v>0</v>
      </c>
      <c r="J600" s="88">
        <v>0</v>
      </c>
      <c r="K600" s="89">
        <f t="shared" ref="K600:K663" si="100">X600</f>
        <v>0</v>
      </c>
      <c r="L600" s="88">
        <f>IF(K604&gt;0, K600/K604, 0)</f>
        <v>0</v>
      </c>
      <c r="M600" s="58"/>
      <c r="N600" s="9">
        <f>ROUND(M604*L600,0)</f>
        <v>0</v>
      </c>
      <c r="O600" s="9">
        <v>0</v>
      </c>
      <c r="P600" s="9">
        <f>N600-O600</f>
        <v>0</v>
      </c>
      <c r="Q600" s="40">
        <f t="shared" si="99"/>
        <v>0</v>
      </c>
      <c r="R600" s="9">
        <v>0</v>
      </c>
      <c r="S600" s="9">
        <f t="shared" si="97"/>
        <v>0</v>
      </c>
      <c r="T600" s="90">
        <f t="shared" si="92"/>
        <v>119</v>
      </c>
      <c r="U600" s="90">
        <f t="shared" si="93"/>
        <v>119</v>
      </c>
      <c r="V600" s="373">
        <f t="shared" si="94"/>
        <v>591</v>
      </c>
      <c r="W600" s="90">
        <f t="shared" si="95"/>
        <v>0</v>
      </c>
      <c r="X600" s="90">
        <f t="shared" si="96"/>
        <v>0</v>
      </c>
      <c r="Y600" s="141">
        <f t="shared" si="98"/>
        <v>591</v>
      </c>
      <c r="Z600" s="298">
        <v>119</v>
      </c>
      <c r="AA600" s="299">
        <v>119</v>
      </c>
      <c r="AB600" s="299">
        <v>591</v>
      </c>
      <c r="AC600" s="301">
        <v>0</v>
      </c>
      <c r="AD600" s="301">
        <v>0</v>
      </c>
      <c r="AE600" s="126"/>
      <c r="AF600" s="298"/>
      <c r="AG600" s="299"/>
      <c r="AH600" s="299"/>
      <c r="AI600" s="301"/>
      <c r="AJ600" s="301"/>
      <c r="AK600" s="426"/>
      <c r="AL600" s="298"/>
      <c r="AM600" s="299"/>
      <c r="AN600" s="299"/>
      <c r="AO600" s="301"/>
      <c r="AP600" s="301"/>
      <c r="AQ600" s="426"/>
      <c r="AR600" s="298"/>
      <c r="AS600" s="299"/>
      <c r="AT600" s="299"/>
      <c r="AU600" s="301"/>
      <c r="AV600" s="301"/>
      <c r="AW600" s="88"/>
      <c r="AX600" s="298"/>
      <c r="AY600" s="299"/>
      <c r="AZ600" s="299"/>
      <c r="BA600" s="301"/>
      <c r="BB600" s="301"/>
      <c r="BC600" s="426"/>
      <c r="BD600" s="298"/>
      <c r="BE600" s="299"/>
      <c r="BF600" s="299"/>
      <c r="BG600" s="301"/>
      <c r="BH600" s="301"/>
      <c r="BI600" s="88"/>
      <c r="BJ600" s="298"/>
      <c r="BK600" s="299"/>
      <c r="BL600" s="299"/>
      <c r="BM600" s="301"/>
      <c r="BN600" s="301"/>
      <c r="BO600" s="88"/>
      <c r="BP600" s="9"/>
      <c r="BS600" s="81"/>
      <c r="BT600" s="81"/>
      <c r="BV600" s="9"/>
      <c r="BY600" s="81"/>
      <c r="BZ600" s="81"/>
      <c r="CB600" s="9"/>
      <c r="CE600" s="81"/>
      <c r="CF600" s="81"/>
      <c r="CH600" s="9"/>
      <c r="CK600" s="81"/>
      <c r="CL600" s="81"/>
      <c r="CR600" s="9"/>
      <c r="CS600" s="9"/>
      <c r="CT600" s="9"/>
      <c r="CU600" s="9"/>
      <c r="CV600" s="9"/>
      <c r="CW600" s="129"/>
      <c r="CX600" s="9"/>
    </row>
    <row r="601" spans="1:102">
      <c r="A601" s="6" t="str">
        <f t="shared" si="91"/>
        <v>01190675</v>
      </c>
      <c r="B601" s="6" t="s">
        <v>1769</v>
      </c>
      <c r="C601" s="6" t="s">
        <v>2028</v>
      </c>
      <c r="D601" s="6">
        <v>592</v>
      </c>
      <c r="E601" s="6">
        <v>119</v>
      </c>
      <c r="F601" s="6" t="s">
        <v>1237</v>
      </c>
      <c r="G601" s="6">
        <v>675</v>
      </c>
      <c r="H601" s="6" t="s">
        <v>1058</v>
      </c>
      <c r="I601" s="33">
        <v>13208580.790168677</v>
      </c>
      <c r="J601" s="88">
        <v>0.97383009718274482</v>
      </c>
      <c r="K601" s="89">
        <f t="shared" si="100"/>
        <v>13486130.259501532</v>
      </c>
      <c r="L601" s="88">
        <f>IF(K604&gt;0, K601/K604, 0)</f>
        <v>0.96394654270373126</v>
      </c>
      <c r="M601" s="58"/>
      <c r="N601" s="9">
        <f>ROUND(M604*L601,0)</f>
        <v>10945972</v>
      </c>
      <c r="O601" s="9">
        <v>10584038</v>
      </c>
      <c r="P601" s="9">
        <f>N601-O601</f>
        <v>361934</v>
      </c>
      <c r="Q601" s="40">
        <f t="shared" si="99"/>
        <v>3.41962113136782</v>
      </c>
      <c r="R601" s="9">
        <v>1073.349753687</v>
      </c>
      <c r="S601" s="9">
        <f t="shared" si="97"/>
        <v>1072.39743589881</v>
      </c>
      <c r="T601" s="90">
        <f t="shared" si="92"/>
        <v>119</v>
      </c>
      <c r="U601" s="90">
        <f t="shared" si="93"/>
        <v>675</v>
      </c>
      <c r="V601" s="373">
        <f t="shared" si="94"/>
        <v>592</v>
      </c>
      <c r="W601" s="90">
        <f t="shared" si="95"/>
        <v>1072.39743589881</v>
      </c>
      <c r="X601" s="90">
        <f t="shared" si="96"/>
        <v>13486130.259501532</v>
      </c>
      <c r="Y601" s="141">
        <f t="shared" si="98"/>
        <v>592</v>
      </c>
      <c r="Z601" s="298">
        <v>119</v>
      </c>
      <c r="AA601" s="299">
        <v>675</v>
      </c>
      <c r="AB601" s="299">
        <v>592</v>
      </c>
      <c r="AC601" s="301">
        <v>1072.39743589881</v>
      </c>
      <c r="AD601" s="301">
        <v>13486130.259501532</v>
      </c>
      <c r="AE601" s="126"/>
      <c r="AF601" s="298"/>
      <c r="AG601" s="299"/>
      <c r="AH601" s="299"/>
      <c r="AI601" s="301"/>
      <c r="AJ601" s="301"/>
      <c r="AK601" s="426"/>
      <c r="AL601" s="298"/>
      <c r="AM601" s="299"/>
      <c r="AN601" s="299"/>
      <c r="AO601" s="301"/>
      <c r="AP601" s="301"/>
      <c r="AQ601" s="426"/>
      <c r="AR601" s="298"/>
      <c r="AS601" s="299"/>
      <c r="AT601" s="299"/>
      <c r="AU601" s="301"/>
      <c r="AV601" s="301"/>
      <c r="AW601" s="88"/>
      <c r="AX601" s="298"/>
      <c r="AY601" s="299"/>
      <c r="AZ601" s="299"/>
      <c r="BA601" s="301"/>
      <c r="BB601" s="301"/>
      <c r="BC601" s="426"/>
      <c r="BD601" s="298"/>
      <c r="BE601" s="299"/>
      <c r="BF601" s="299"/>
      <c r="BG601" s="301"/>
      <c r="BH601" s="301"/>
      <c r="BI601" s="88"/>
      <c r="BJ601" s="298"/>
      <c r="BK601" s="299"/>
      <c r="BL601" s="299"/>
      <c r="BM601" s="301"/>
      <c r="BN601" s="301"/>
      <c r="BO601" s="88"/>
      <c r="BP601" s="9"/>
      <c r="BS601" s="81"/>
      <c r="BT601" s="81"/>
      <c r="BV601" s="9"/>
      <c r="BY601" s="81"/>
      <c r="BZ601" s="81"/>
      <c r="CB601" s="9"/>
      <c r="CE601" s="81"/>
      <c r="CF601" s="81"/>
      <c r="CH601" s="9"/>
      <c r="CK601" s="81"/>
      <c r="CL601" s="81"/>
      <c r="CR601" s="9"/>
      <c r="CS601" s="9"/>
      <c r="CT601" s="9"/>
      <c r="CU601" s="9"/>
      <c r="CV601" s="9"/>
      <c r="CW601" s="129"/>
      <c r="CX601" s="9"/>
    </row>
    <row r="602" spans="1:102">
      <c r="A602" s="6" t="str">
        <f t="shared" si="91"/>
        <v>01190817</v>
      </c>
      <c r="B602" s="6" t="s">
        <v>1769</v>
      </c>
      <c r="C602" s="6" t="s">
        <v>2067</v>
      </c>
      <c r="D602" s="6">
        <v>593</v>
      </c>
      <c r="E602" s="6">
        <v>119</v>
      </c>
      <c r="F602" s="6" t="s">
        <v>1237</v>
      </c>
      <c r="G602" s="6">
        <v>817</v>
      </c>
      <c r="H602" s="6" t="s">
        <v>1097</v>
      </c>
      <c r="I602" s="33">
        <v>354956.45147195621</v>
      </c>
      <c r="J602" s="88">
        <v>2.616990281725514E-2</v>
      </c>
      <c r="K602" s="89">
        <f t="shared" si="100"/>
        <v>504407.24652538839</v>
      </c>
      <c r="L602" s="88">
        <f>IF(K604&gt;0, K602/K604, 0)</f>
        <v>3.6053457296268784E-2</v>
      </c>
      <c r="M602" s="58"/>
      <c r="N602" s="9">
        <f>ROUND(M604*L602,0)</f>
        <v>409400</v>
      </c>
      <c r="O602" s="9">
        <v>284427</v>
      </c>
      <c r="P602" s="9">
        <f>N602-O602</f>
        <v>124973</v>
      </c>
      <c r="Q602" s="40">
        <f t="shared" si="99"/>
        <v>43.93851497923896</v>
      </c>
      <c r="R602" s="9">
        <v>17.999999993639999</v>
      </c>
      <c r="S602" s="9">
        <f t="shared" si="97"/>
        <v>25.000000003169998</v>
      </c>
      <c r="T602" s="90">
        <f t="shared" si="92"/>
        <v>119</v>
      </c>
      <c r="U602" s="90">
        <f t="shared" si="93"/>
        <v>817</v>
      </c>
      <c r="V602" s="373">
        <f t="shared" si="94"/>
        <v>593</v>
      </c>
      <c r="W602" s="90">
        <f t="shared" si="95"/>
        <v>25.000000003169998</v>
      </c>
      <c r="X602" s="90">
        <f t="shared" si="96"/>
        <v>504407.24652538839</v>
      </c>
      <c r="Y602" s="141">
        <f t="shared" si="98"/>
        <v>593</v>
      </c>
      <c r="Z602" s="298">
        <v>119</v>
      </c>
      <c r="AA602" s="299">
        <v>817</v>
      </c>
      <c r="AB602" s="299">
        <v>593</v>
      </c>
      <c r="AC602" s="301">
        <v>25.000000003169998</v>
      </c>
      <c r="AD602" s="301">
        <v>504407.24652538839</v>
      </c>
      <c r="AE602" s="126"/>
      <c r="AF602" s="298"/>
      <c r="AG602" s="299"/>
      <c r="AH602" s="299"/>
      <c r="AI602" s="301"/>
      <c r="AJ602" s="301"/>
      <c r="AK602" s="426"/>
      <c r="AL602" s="298"/>
      <c r="AM602" s="299"/>
      <c r="AN602" s="299"/>
      <c r="AO602" s="301"/>
      <c r="AP602" s="301"/>
      <c r="AQ602" s="426"/>
      <c r="AR602" s="298"/>
      <c r="AS602" s="299"/>
      <c r="AT602" s="299"/>
      <c r="AU602" s="301"/>
      <c r="AV602" s="301"/>
      <c r="AW602" s="88"/>
      <c r="AX602" s="298"/>
      <c r="AY602" s="299"/>
      <c r="AZ602" s="299"/>
      <c r="BA602" s="301"/>
      <c r="BB602" s="301"/>
      <c r="BC602" s="426"/>
      <c r="BD602" s="298"/>
      <c r="BE602" s="299"/>
      <c r="BF602" s="299"/>
      <c r="BG602" s="301"/>
      <c r="BH602" s="301"/>
      <c r="BI602" s="88"/>
      <c r="BJ602" s="298"/>
      <c r="BK602" s="299"/>
      <c r="BL602" s="299"/>
      <c r="BM602" s="301"/>
      <c r="BN602" s="301"/>
      <c r="BO602" s="88"/>
      <c r="BP602" s="9"/>
      <c r="BS602" s="81"/>
      <c r="BT602" s="81"/>
      <c r="BV602" s="9"/>
      <c r="BY602" s="81"/>
      <c r="BZ602" s="81"/>
      <c r="CB602" s="9"/>
      <c r="CE602" s="81"/>
      <c r="CF602" s="81"/>
      <c r="CH602" s="9"/>
      <c r="CK602" s="81"/>
      <c r="CL602" s="81"/>
      <c r="CR602" s="9"/>
      <c r="CS602" s="9"/>
      <c r="CT602" s="9"/>
      <c r="CU602" s="9"/>
      <c r="CV602" s="9"/>
      <c r="CW602" s="129"/>
      <c r="CX602" s="9"/>
    </row>
    <row r="603" spans="1:102">
      <c r="A603" s="6" t="str">
        <f t="shared" si="91"/>
        <v>01190998</v>
      </c>
      <c r="B603" s="6" t="s">
        <v>1769</v>
      </c>
      <c r="C603" s="6" t="s">
        <v>2091</v>
      </c>
      <c r="D603" s="6">
        <v>594</v>
      </c>
      <c r="E603" s="6">
        <v>119</v>
      </c>
      <c r="F603" s="6" t="s">
        <v>1547</v>
      </c>
      <c r="G603" s="6">
        <v>998</v>
      </c>
      <c r="I603" s="33">
        <v>0</v>
      </c>
      <c r="J603" s="88">
        <v>0</v>
      </c>
      <c r="K603" s="89">
        <f t="shared" si="100"/>
        <v>0</v>
      </c>
      <c r="L603" s="88">
        <f>IF(K604&gt;0, K603/K604, 0)</f>
        <v>0</v>
      </c>
      <c r="M603" s="58"/>
      <c r="N603" s="9">
        <f>ROUND(M604*L603,0)</f>
        <v>0</v>
      </c>
      <c r="O603" s="9">
        <v>0</v>
      </c>
      <c r="P603" s="9">
        <f>N603-O603</f>
        <v>0</v>
      </c>
      <c r="Q603" s="40">
        <f t="shared" si="99"/>
        <v>0</v>
      </c>
      <c r="R603" s="9">
        <v>0</v>
      </c>
      <c r="S603" s="9">
        <f t="shared" si="97"/>
        <v>0</v>
      </c>
      <c r="T603" s="90">
        <f t="shared" si="92"/>
        <v>119</v>
      </c>
      <c r="U603" s="90">
        <f t="shared" si="93"/>
        <v>998</v>
      </c>
      <c r="V603" s="373">
        <f t="shared" si="94"/>
        <v>594</v>
      </c>
      <c r="W603" s="90">
        <f t="shared" si="95"/>
        <v>0</v>
      </c>
      <c r="X603" s="90">
        <f t="shared" si="96"/>
        <v>0</v>
      </c>
      <c r="Y603" s="141">
        <f t="shared" si="98"/>
        <v>594</v>
      </c>
      <c r="Z603" s="298">
        <v>119</v>
      </c>
      <c r="AA603" s="299">
        <v>998</v>
      </c>
      <c r="AB603" s="299">
        <v>594</v>
      </c>
      <c r="AC603" s="301">
        <v>0</v>
      </c>
      <c r="AD603" s="301">
        <v>0</v>
      </c>
      <c r="AE603" s="126"/>
      <c r="AF603" s="298"/>
      <c r="AG603" s="299"/>
      <c r="AH603" s="299"/>
      <c r="AI603" s="301"/>
      <c r="AJ603" s="301"/>
      <c r="AK603" s="426"/>
      <c r="AL603" s="298"/>
      <c r="AM603" s="299"/>
      <c r="AN603" s="299"/>
      <c r="AO603" s="301"/>
      <c r="AP603" s="301"/>
      <c r="AQ603" s="426"/>
      <c r="AR603" s="298"/>
      <c r="AS603" s="299"/>
      <c r="AT603" s="299"/>
      <c r="AU603" s="301"/>
      <c r="AV603" s="301"/>
      <c r="AW603" s="88"/>
      <c r="AX603" s="298"/>
      <c r="AY603" s="299"/>
      <c r="AZ603" s="299"/>
      <c r="BA603" s="301"/>
      <c r="BB603" s="301"/>
      <c r="BC603" s="426"/>
      <c r="BD603" s="298"/>
      <c r="BE603" s="299"/>
      <c r="BF603" s="299"/>
      <c r="BG603" s="301"/>
      <c r="BH603" s="301"/>
      <c r="BI603" s="88"/>
      <c r="BJ603" s="298"/>
      <c r="BK603" s="299"/>
      <c r="BL603" s="299"/>
      <c r="BM603" s="301"/>
      <c r="BN603" s="301"/>
      <c r="BO603" s="88"/>
      <c r="BP603" s="9"/>
      <c r="BS603" s="81"/>
      <c r="BT603" s="81"/>
      <c r="BV603" s="9"/>
      <c r="BY603" s="81"/>
      <c r="BZ603" s="81"/>
      <c r="CB603" s="9"/>
      <c r="CE603" s="81"/>
      <c r="CF603" s="81"/>
      <c r="CH603" s="9"/>
      <c r="CK603" s="81"/>
      <c r="CL603" s="81"/>
      <c r="CR603" s="9"/>
      <c r="CS603" s="9"/>
      <c r="CT603" s="9"/>
      <c r="CU603" s="9"/>
      <c r="CV603" s="9"/>
      <c r="CW603" s="129"/>
      <c r="CX603" s="9"/>
    </row>
    <row r="604" spans="1:102">
      <c r="A604" s="6" t="str">
        <f t="shared" si="91"/>
        <v>01190999</v>
      </c>
      <c r="B604" s="6" t="s">
        <v>1769</v>
      </c>
      <c r="C604" s="6" t="s">
        <v>2092</v>
      </c>
      <c r="D604" s="6">
        <v>595</v>
      </c>
      <c r="E604" s="10">
        <v>119</v>
      </c>
      <c r="F604" s="10" t="s">
        <v>1237</v>
      </c>
      <c r="G604" s="10">
        <v>999</v>
      </c>
      <c r="H604" s="10" t="s">
        <v>593</v>
      </c>
      <c r="I604" s="92">
        <v>13563537.241640633</v>
      </c>
      <c r="J604" s="472">
        <v>1</v>
      </c>
      <c r="K604" s="53">
        <f>SUM(K600:K603)</f>
        <v>13990537.50602692</v>
      </c>
      <c r="L604" s="91">
        <f>SUM(L600:L603)</f>
        <v>1</v>
      </c>
      <c r="M604" s="79">
        <f>VLOOKUP(E604,town351,24)</f>
        <v>11355372</v>
      </c>
      <c r="N604" s="79">
        <f>SUM(N600:N603)</f>
        <v>11355372</v>
      </c>
      <c r="O604" s="79">
        <v>10868465</v>
      </c>
      <c r="P604" s="79">
        <f>SUM(P600:P603)</f>
        <v>486907</v>
      </c>
      <c r="Q604" s="39">
        <f t="shared" si="99"/>
        <v>4.4799978653839343</v>
      </c>
      <c r="R604" s="9">
        <v>1091.3497536806399</v>
      </c>
      <c r="S604" s="9">
        <f t="shared" si="97"/>
        <v>1097.3974359019801</v>
      </c>
      <c r="T604" s="90">
        <f t="shared" si="92"/>
        <v>119</v>
      </c>
      <c r="U604" s="90">
        <f t="shared" si="93"/>
        <v>999</v>
      </c>
      <c r="V604" s="373">
        <f t="shared" si="94"/>
        <v>595</v>
      </c>
      <c r="W604" s="90">
        <f t="shared" si="95"/>
        <v>1097.3974359019801</v>
      </c>
      <c r="X604" s="90">
        <f t="shared" si="96"/>
        <v>13990537.50602692</v>
      </c>
      <c r="Y604" s="141">
        <f t="shared" si="98"/>
        <v>595</v>
      </c>
      <c r="Z604" s="298">
        <v>119</v>
      </c>
      <c r="AA604" s="299">
        <v>999</v>
      </c>
      <c r="AB604" s="299">
        <v>595</v>
      </c>
      <c r="AC604" s="301">
        <v>1097.3974359019801</v>
      </c>
      <c r="AD604" s="301">
        <v>13990537.50602692</v>
      </c>
      <c r="AE604" s="126"/>
      <c r="AF604" s="298"/>
      <c r="AG604" s="299"/>
      <c r="AH604" s="299"/>
      <c r="AI604" s="301"/>
      <c r="AJ604" s="301"/>
      <c r="AK604" s="426"/>
      <c r="AL604" s="298"/>
      <c r="AM604" s="299"/>
      <c r="AN604" s="299"/>
      <c r="AO604" s="301"/>
      <c r="AP604" s="301"/>
      <c r="AQ604" s="426"/>
      <c r="AR604" s="298"/>
      <c r="AS604" s="299"/>
      <c r="AT604" s="299"/>
      <c r="AU604" s="301"/>
      <c r="AV604" s="301"/>
      <c r="AW604" s="91"/>
      <c r="AX604" s="298"/>
      <c r="AY604" s="299"/>
      <c r="AZ604" s="299"/>
      <c r="BA604" s="301"/>
      <c r="BB604" s="301"/>
      <c r="BC604" s="426"/>
      <c r="BD604" s="298"/>
      <c r="BE604" s="299"/>
      <c r="BF604" s="299"/>
      <c r="BG604" s="301"/>
      <c r="BH604" s="301"/>
      <c r="BI604" s="91"/>
      <c r="BJ604" s="298"/>
      <c r="BK604" s="299"/>
      <c r="BL604" s="299"/>
      <c r="BM604" s="301"/>
      <c r="BN604" s="301"/>
      <c r="BO604" s="91"/>
      <c r="BP604" s="9"/>
      <c r="BS604" s="81"/>
      <c r="BT604" s="81"/>
      <c r="BV604" s="9"/>
      <c r="BY604" s="81"/>
      <c r="BZ604" s="81"/>
      <c r="CB604" s="9"/>
      <c r="CE604" s="81"/>
      <c r="CF604" s="81"/>
      <c r="CH604" s="9"/>
      <c r="CK604" s="81"/>
      <c r="CL604" s="81"/>
      <c r="CR604" s="9"/>
      <c r="CS604" s="9"/>
      <c r="CT604" s="9"/>
      <c r="CU604" s="9"/>
      <c r="CV604" s="9"/>
      <c r="CW604" s="129"/>
      <c r="CX604" s="9"/>
    </row>
    <row r="605" spans="1:102">
      <c r="A605" s="6" t="str">
        <f t="shared" si="91"/>
        <v>01200120</v>
      </c>
      <c r="B605" s="6" t="s">
        <v>1770</v>
      </c>
      <c r="C605" s="6" t="s">
        <v>1770</v>
      </c>
      <c r="D605" s="6">
        <v>596</v>
      </c>
      <c r="E605" s="6">
        <v>120</v>
      </c>
      <c r="F605" s="6" t="s">
        <v>1238</v>
      </c>
      <c r="G605" s="6">
        <v>120</v>
      </c>
      <c r="H605" s="6" t="s">
        <v>801</v>
      </c>
      <c r="I605" s="33">
        <v>0</v>
      </c>
      <c r="J605" s="88">
        <v>0</v>
      </c>
      <c r="K605" s="89">
        <f>X605</f>
        <v>0</v>
      </c>
      <c r="L605" s="88">
        <f>IF(K609&gt;0, K605/K609, 0)</f>
        <v>0</v>
      </c>
      <c r="M605" s="58"/>
      <c r="N605" s="9">
        <f>ROUND(M609*L605,0)</f>
        <v>0</v>
      </c>
      <c r="O605" s="9">
        <v>0</v>
      </c>
      <c r="P605" s="9">
        <f>N605-O605</f>
        <v>0</v>
      </c>
      <c r="Q605" s="40">
        <f t="shared" si="99"/>
        <v>0</v>
      </c>
      <c r="R605" s="9">
        <v>0</v>
      </c>
      <c r="S605" s="9">
        <f t="shared" si="97"/>
        <v>0</v>
      </c>
      <c r="T605" s="90">
        <f t="shared" si="92"/>
        <v>120</v>
      </c>
      <c r="U605" s="90">
        <f t="shared" si="93"/>
        <v>120</v>
      </c>
      <c r="V605" s="373">
        <f t="shared" si="94"/>
        <v>596</v>
      </c>
      <c r="W605" s="90">
        <f t="shared" si="95"/>
        <v>0</v>
      </c>
      <c r="X605" s="90">
        <f t="shared" si="96"/>
        <v>0</v>
      </c>
      <c r="Y605" s="141">
        <f t="shared" si="98"/>
        <v>596</v>
      </c>
      <c r="Z605" s="298">
        <v>120</v>
      </c>
      <c r="AA605" s="299">
        <v>120</v>
      </c>
      <c r="AB605" s="299">
        <v>596</v>
      </c>
      <c r="AC605" s="301">
        <v>0</v>
      </c>
      <c r="AD605" s="301">
        <v>0</v>
      </c>
      <c r="AE605" s="126"/>
      <c r="AF605" s="298"/>
      <c r="AG605" s="299"/>
      <c r="AH605" s="299"/>
      <c r="AI605" s="301"/>
      <c r="AJ605" s="301"/>
      <c r="AK605" s="426"/>
      <c r="AL605" s="298"/>
      <c r="AM605" s="299"/>
      <c r="AN605" s="299"/>
      <c r="AO605" s="301"/>
      <c r="AP605" s="301"/>
      <c r="AQ605" s="426"/>
      <c r="AR605" s="298"/>
      <c r="AS605" s="299"/>
      <c r="AT605" s="299"/>
      <c r="AU605" s="301"/>
      <c r="AV605" s="301"/>
      <c r="AW605" s="88"/>
      <c r="AX605" s="298"/>
      <c r="AY605" s="299"/>
      <c r="AZ605" s="299"/>
      <c r="BA605" s="301"/>
      <c r="BB605" s="301"/>
      <c r="BC605" s="426"/>
      <c r="BD605" s="298"/>
      <c r="BE605" s="299"/>
      <c r="BF605" s="299"/>
      <c r="BG605" s="301"/>
      <c r="BH605" s="301"/>
      <c r="BI605" s="88"/>
      <c r="BJ605" s="298"/>
      <c r="BK605" s="299"/>
      <c r="BL605" s="299"/>
      <c r="BM605" s="301"/>
      <c r="BN605" s="301"/>
      <c r="BO605" s="88"/>
      <c r="BP605" s="9"/>
      <c r="BS605" s="81"/>
      <c r="BT605" s="81"/>
      <c r="BV605" s="9"/>
      <c r="BY605" s="81"/>
      <c r="BZ605" s="81"/>
      <c r="CB605" s="9"/>
      <c r="CE605" s="81"/>
      <c r="CF605" s="81"/>
      <c r="CH605" s="9"/>
      <c r="CK605" s="81"/>
      <c r="CL605" s="81"/>
      <c r="CR605" s="9"/>
      <c r="CS605" s="9"/>
      <c r="CT605" s="9"/>
      <c r="CU605" s="9"/>
      <c r="CV605" s="9"/>
      <c r="CW605" s="129"/>
      <c r="CX605" s="9"/>
    </row>
    <row r="606" spans="1:102">
      <c r="A606" s="6" t="str">
        <f t="shared" si="91"/>
        <v>01200680</v>
      </c>
      <c r="B606" s="6" t="s">
        <v>1770</v>
      </c>
      <c r="C606" s="6" t="s">
        <v>2029</v>
      </c>
      <c r="D606" s="6">
        <v>597</v>
      </c>
      <c r="E606" s="6">
        <v>120</v>
      </c>
      <c r="F606" s="6" t="s">
        <v>1238</v>
      </c>
      <c r="G606" s="6">
        <v>680</v>
      </c>
      <c r="H606" s="6" t="s">
        <v>1059</v>
      </c>
      <c r="I606" s="33">
        <v>7147465.3910503788</v>
      </c>
      <c r="J606" s="88">
        <v>1</v>
      </c>
      <c r="K606" s="89">
        <f t="shared" si="100"/>
        <v>7149072.5503649637</v>
      </c>
      <c r="L606" s="88">
        <f>IF(K609&gt;0, K606/K609, 0)</f>
        <v>1</v>
      </c>
      <c r="M606" s="58"/>
      <c r="N606" s="9">
        <f>ROUND(M609*L606,0)</f>
        <v>5897985</v>
      </c>
      <c r="O606" s="9">
        <v>5737268</v>
      </c>
      <c r="P606" s="9">
        <f>N606-O606</f>
        <v>160717</v>
      </c>
      <c r="Q606" s="40">
        <f t="shared" si="99"/>
        <v>2.801281027834154</v>
      </c>
      <c r="R606" s="9">
        <v>556.02971347991991</v>
      </c>
      <c r="S606" s="9">
        <f t="shared" si="97"/>
        <v>539.53438396547995</v>
      </c>
      <c r="T606" s="90">
        <f t="shared" si="92"/>
        <v>120</v>
      </c>
      <c r="U606" s="90">
        <f t="shared" si="93"/>
        <v>680</v>
      </c>
      <c r="V606" s="373">
        <f t="shared" si="94"/>
        <v>597</v>
      </c>
      <c r="W606" s="90">
        <f t="shared" si="95"/>
        <v>539.53438396547995</v>
      </c>
      <c r="X606" s="90">
        <f t="shared" si="96"/>
        <v>7149072.5503649637</v>
      </c>
      <c r="Y606" s="141">
        <f t="shared" si="98"/>
        <v>597</v>
      </c>
      <c r="Z606" s="298">
        <v>120</v>
      </c>
      <c r="AA606" s="299">
        <v>680</v>
      </c>
      <c r="AB606" s="299">
        <v>597</v>
      </c>
      <c r="AC606" s="301">
        <v>539.53438396547995</v>
      </c>
      <c r="AD606" s="301">
        <v>7149072.5503649637</v>
      </c>
      <c r="AE606" s="126"/>
      <c r="AF606" s="298"/>
      <c r="AG606" s="299"/>
      <c r="AH606" s="299"/>
      <c r="AI606" s="301"/>
      <c r="AJ606" s="301"/>
      <c r="AK606" s="426"/>
      <c r="AL606" s="298"/>
      <c r="AM606" s="299"/>
      <c r="AN606" s="299"/>
      <c r="AO606" s="301"/>
      <c r="AP606" s="301"/>
      <c r="AQ606" s="426"/>
      <c r="AR606" s="298"/>
      <c r="AS606" s="299"/>
      <c r="AT606" s="299"/>
      <c r="AU606" s="301"/>
      <c r="AV606" s="301"/>
      <c r="AW606" s="88"/>
      <c r="AX606" s="298"/>
      <c r="AY606" s="299"/>
      <c r="AZ606" s="299"/>
      <c r="BA606" s="301"/>
      <c r="BB606" s="301"/>
      <c r="BC606" s="426"/>
      <c r="BD606" s="298"/>
      <c r="BE606" s="299"/>
      <c r="BF606" s="299"/>
      <c r="BG606" s="301"/>
      <c r="BH606" s="301"/>
      <c r="BI606" s="88"/>
      <c r="BJ606" s="298"/>
      <c r="BK606" s="299"/>
      <c r="BL606" s="299"/>
      <c r="BM606" s="301"/>
      <c r="BN606" s="301"/>
      <c r="BO606" s="88"/>
      <c r="BP606" s="9"/>
      <c r="BS606" s="81"/>
      <c r="BT606" s="81"/>
      <c r="BV606" s="9"/>
      <c r="BY606" s="81"/>
      <c r="BZ606" s="81"/>
      <c r="CB606" s="9"/>
      <c r="CE606" s="81"/>
      <c r="CF606" s="81"/>
      <c r="CH606" s="9"/>
      <c r="CK606" s="81"/>
      <c r="CL606" s="81"/>
      <c r="CR606" s="9"/>
      <c r="CS606" s="9"/>
      <c r="CT606" s="9"/>
      <c r="CU606" s="9"/>
      <c r="CV606" s="9"/>
      <c r="CW606" s="129"/>
      <c r="CX606" s="9"/>
    </row>
    <row r="607" spans="1:102">
      <c r="A607" s="6" t="str">
        <f t="shared" si="91"/>
        <v>01200998</v>
      </c>
      <c r="B607" s="6" t="s">
        <v>1770</v>
      </c>
      <c r="C607" s="6" t="s">
        <v>2091</v>
      </c>
      <c r="D607" s="6">
        <v>598</v>
      </c>
      <c r="E607" s="6">
        <v>120</v>
      </c>
      <c r="F607" s="6" t="s">
        <v>1547</v>
      </c>
      <c r="G607" s="6">
        <v>998</v>
      </c>
      <c r="H607" s="6" t="s">
        <v>1547</v>
      </c>
      <c r="I607" s="33">
        <v>0</v>
      </c>
      <c r="J607" s="88">
        <v>0</v>
      </c>
      <c r="K607" s="89">
        <f t="shared" si="100"/>
        <v>0</v>
      </c>
      <c r="L607" s="88">
        <f>IF(K609&gt;0, K607/K609, 0)</f>
        <v>0</v>
      </c>
      <c r="M607" s="58"/>
      <c r="N607" s="9">
        <f>ROUND(M609*L607,0)</f>
        <v>0</v>
      </c>
      <c r="O607" s="9">
        <v>0</v>
      </c>
      <c r="P607" s="9">
        <f>N607-O607</f>
        <v>0</v>
      </c>
      <c r="Q607" s="40">
        <f t="shared" si="99"/>
        <v>0</v>
      </c>
      <c r="R607" s="9">
        <v>0</v>
      </c>
      <c r="S607" s="9">
        <f t="shared" si="97"/>
        <v>0</v>
      </c>
      <c r="T607" s="90">
        <f t="shared" si="92"/>
        <v>120</v>
      </c>
      <c r="U607" s="90">
        <f t="shared" si="93"/>
        <v>998</v>
      </c>
      <c r="V607" s="373">
        <f t="shared" si="94"/>
        <v>598</v>
      </c>
      <c r="W607" s="90">
        <f t="shared" si="95"/>
        <v>0</v>
      </c>
      <c r="X607" s="90">
        <f t="shared" si="96"/>
        <v>0</v>
      </c>
      <c r="Y607" s="141">
        <f t="shared" si="98"/>
        <v>598</v>
      </c>
      <c r="Z607" s="298">
        <v>120</v>
      </c>
      <c r="AA607" s="299">
        <v>998</v>
      </c>
      <c r="AB607" s="299">
        <v>598</v>
      </c>
      <c r="AC607" s="301">
        <v>0</v>
      </c>
      <c r="AD607" s="301">
        <v>0</v>
      </c>
      <c r="AE607" s="126"/>
      <c r="AF607" s="298"/>
      <c r="AG607" s="299"/>
      <c r="AH607" s="299"/>
      <c r="AI607" s="301"/>
      <c r="AJ607" s="301"/>
      <c r="AK607" s="426"/>
      <c r="AL607" s="298"/>
      <c r="AM607" s="299"/>
      <c r="AN607" s="299"/>
      <c r="AO607" s="301"/>
      <c r="AP607" s="301"/>
      <c r="AQ607" s="426"/>
      <c r="AR607" s="298"/>
      <c r="AS607" s="299"/>
      <c r="AT607" s="299"/>
      <c r="AU607" s="301"/>
      <c r="AV607" s="301"/>
      <c r="AW607" s="88"/>
      <c r="AX607" s="298"/>
      <c r="AY607" s="299"/>
      <c r="AZ607" s="299"/>
      <c r="BA607" s="301"/>
      <c r="BB607" s="301"/>
      <c r="BC607" s="426"/>
      <c r="BD607" s="298"/>
      <c r="BE607" s="299"/>
      <c r="BF607" s="299"/>
      <c r="BG607" s="301"/>
      <c r="BH607" s="301"/>
      <c r="BI607" s="88"/>
      <c r="BJ607" s="298"/>
      <c r="BK607" s="299"/>
      <c r="BL607" s="299"/>
      <c r="BM607" s="301"/>
      <c r="BN607" s="301"/>
      <c r="BO607" s="88"/>
      <c r="BP607" s="9"/>
      <c r="BS607" s="81"/>
      <c r="BT607" s="81"/>
      <c r="BV607" s="9"/>
      <c r="BY607" s="81"/>
      <c r="BZ607" s="81"/>
      <c r="CB607" s="9"/>
      <c r="CE607" s="81"/>
      <c r="CF607" s="81"/>
      <c r="CH607" s="9"/>
      <c r="CK607" s="81"/>
      <c r="CL607" s="81"/>
      <c r="CR607" s="9"/>
      <c r="CS607" s="9"/>
      <c r="CT607" s="9"/>
      <c r="CU607" s="9"/>
      <c r="CV607" s="9"/>
      <c r="CW607" s="129"/>
      <c r="CX607" s="9"/>
    </row>
    <row r="608" spans="1:102">
      <c r="A608" s="6" t="str">
        <f t="shared" si="91"/>
        <v>01200998</v>
      </c>
      <c r="B608" s="6" t="s">
        <v>1770</v>
      </c>
      <c r="C608" s="6" t="s">
        <v>2091</v>
      </c>
      <c r="D608" s="6">
        <v>599</v>
      </c>
      <c r="E608" s="6">
        <v>120</v>
      </c>
      <c r="F608" s="6" t="s">
        <v>1547</v>
      </c>
      <c r="G608" s="6">
        <v>998</v>
      </c>
      <c r="H608" s="6" t="s">
        <v>1547</v>
      </c>
      <c r="I608" s="33">
        <v>0</v>
      </c>
      <c r="J608" s="88">
        <v>0</v>
      </c>
      <c r="K608" s="89">
        <f t="shared" si="100"/>
        <v>0</v>
      </c>
      <c r="L608" s="88">
        <f>IF(K609&gt;0, K608/K609, 0)</f>
        <v>0</v>
      </c>
      <c r="M608" s="58"/>
      <c r="N608" s="9">
        <f>ROUND(M609*L608,0)</f>
        <v>0</v>
      </c>
      <c r="O608" s="9">
        <v>0</v>
      </c>
      <c r="P608" s="9">
        <f>N608-O608</f>
        <v>0</v>
      </c>
      <c r="Q608" s="40">
        <f t="shared" si="99"/>
        <v>0</v>
      </c>
      <c r="R608" s="9">
        <v>0</v>
      </c>
      <c r="S608" s="9">
        <f t="shared" si="97"/>
        <v>0</v>
      </c>
      <c r="T608" s="90">
        <f t="shared" si="92"/>
        <v>120</v>
      </c>
      <c r="U608" s="90">
        <f t="shared" si="93"/>
        <v>998</v>
      </c>
      <c r="V608" s="373">
        <f t="shared" si="94"/>
        <v>599</v>
      </c>
      <c r="W608" s="90">
        <f t="shared" si="95"/>
        <v>0</v>
      </c>
      <c r="X608" s="90">
        <f t="shared" si="96"/>
        <v>0</v>
      </c>
      <c r="Y608" s="141">
        <f t="shared" si="98"/>
        <v>599</v>
      </c>
      <c r="Z608" s="298">
        <v>120</v>
      </c>
      <c r="AA608" s="299">
        <v>998</v>
      </c>
      <c r="AB608" s="299">
        <v>599</v>
      </c>
      <c r="AC608" s="301">
        <v>0</v>
      </c>
      <c r="AD608" s="301">
        <v>0</v>
      </c>
      <c r="AE608" s="126"/>
      <c r="AF608" s="298"/>
      <c r="AG608" s="299"/>
      <c r="AH608" s="299"/>
      <c r="AI608" s="301"/>
      <c r="AJ608" s="301"/>
      <c r="AK608" s="426"/>
      <c r="AL608" s="298"/>
      <c r="AM608" s="299"/>
      <c r="AN608" s="299"/>
      <c r="AO608" s="301"/>
      <c r="AP608" s="301"/>
      <c r="AQ608" s="426"/>
      <c r="AR608" s="298"/>
      <c r="AS608" s="299"/>
      <c r="AT608" s="299"/>
      <c r="AU608" s="301"/>
      <c r="AV608" s="301"/>
      <c r="AW608" s="88"/>
      <c r="AX608" s="298"/>
      <c r="AY608" s="299"/>
      <c r="AZ608" s="299"/>
      <c r="BA608" s="301"/>
      <c r="BB608" s="301"/>
      <c r="BC608" s="426"/>
      <c r="BD608" s="298"/>
      <c r="BE608" s="299"/>
      <c r="BF608" s="299"/>
      <c r="BG608" s="301"/>
      <c r="BH608" s="301"/>
      <c r="BI608" s="88"/>
      <c r="BJ608" s="298"/>
      <c r="BK608" s="299"/>
      <c r="BL608" s="299"/>
      <c r="BM608" s="301"/>
      <c r="BN608" s="301"/>
      <c r="BO608" s="88"/>
      <c r="BP608" s="9"/>
      <c r="BS608" s="81"/>
      <c r="BT608" s="81"/>
      <c r="BV608" s="9"/>
      <c r="BY608" s="81"/>
      <c r="BZ608" s="81"/>
      <c r="CB608" s="9"/>
      <c r="CE608" s="81"/>
      <c r="CF608" s="81"/>
      <c r="CH608" s="9"/>
      <c r="CK608" s="81"/>
      <c r="CL608" s="81"/>
      <c r="CR608" s="9"/>
      <c r="CS608" s="9"/>
      <c r="CT608" s="9"/>
      <c r="CU608" s="9"/>
      <c r="CV608" s="9"/>
      <c r="CW608" s="129"/>
      <c r="CX608" s="9"/>
    </row>
    <row r="609" spans="1:102">
      <c r="A609" s="6" t="str">
        <f t="shared" si="91"/>
        <v>01200999</v>
      </c>
      <c r="B609" s="6" t="s">
        <v>1770</v>
      </c>
      <c r="C609" s="6" t="s">
        <v>2092</v>
      </c>
      <c r="D609" s="6">
        <v>600</v>
      </c>
      <c r="E609" s="10">
        <v>120</v>
      </c>
      <c r="F609" s="10" t="s">
        <v>1238</v>
      </c>
      <c r="G609" s="10">
        <v>999</v>
      </c>
      <c r="H609" s="10" t="s">
        <v>593</v>
      </c>
      <c r="I609" s="92">
        <v>7147465.3910503788</v>
      </c>
      <c r="J609" s="472">
        <v>1</v>
      </c>
      <c r="K609" s="53">
        <f>SUM(K605:K608)</f>
        <v>7149072.5503649637</v>
      </c>
      <c r="L609" s="91">
        <f>SUM(L605:L608)</f>
        <v>1</v>
      </c>
      <c r="M609" s="79">
        <f>VLOOKUP(E609,town351,24)</f>
        <v>5897985</v>
      </c>
      <c r="N609" s="79">
        <f>SUM(N605:N608)</f>
        <v>5897985</v>
      </c>
      <c r="O609" s="79">
        <v>5737268</v>
      </c>
      <c r="P609" s="79">
        <f>SUM(P605:P608)</f>
        <v>160717</v>
      </c>
      <c r="Q609" s="39">
        <f t="shared" si="99"/>
        <v>2.801281027834154</v>
      </c>
      <c r="R609" s="9">
        <v>556.02971347991991</v>
      </c>
      <c r="S609" s="9">
        <f t="shared" si="97"/>
        <v>539.53438396547995</v>
      </c>
      <c r="T609" s="90">
        <f t="shared" si="92"/>
        <v>120</v>
      </c>
      <c r="U609" s="90">
        <f t="shared" si="93"/>
        <v>999</v>
      </c>
      <c r="V609" s="373">
        <f t="shared" si="94"/>
        <v>600</v>
      </c>
      <c r="W609" s="90">
        <f t="shared" si="95"/>
        <v>539.53438396547995</v>
      </c>
      <c r="X609" s="90">
        <f t="shared" si="96"/>
        <v>7149072.5503649637</v>
      </c>
      <c r="Y609" s="141">
        <f t="shared" si="98"/>
        <v>600</v>
      </c>
      <c r="Z609" s="298">
        <v>120</v>
      </c>
      <c r="AA609" s="299">
        <v>999</v>
      </c>
      <c r="AB609" s="299">
        <v>600</v>
      </c>
      <c r="AC609" s="301">
        <v>539.53438396547995</v>
      </c>
      <c r="AD609" s="301">
        <v>7149072.5503649637</v>
      </c>
      <c r="AE609" s="126"/>
      <c r="AF609" s="298"/>
      <c r="AG609" s="299"/>
      <c r="AH609" s="299"/>
      <c r="AI609" s="301"/>
      <c r="AJ609" s="301"/>
      <c r="AK609" s="426"/>
      <c r="AL609" s="298"/>
      <c r="AM609" s="299"/>
      <c r="AN609" s="299"/>
      <c r="AO609" s="301"/>
      <c r="AP609" s="301"/>
      <c r="AQ609" s="426"/>
      <c r="AR609" s="298"/>
      <c r="AS609" s="299"/>
      <c r="AT609" s="299"/>
      <c r="AU609" s="301"/>
      <c r="AV609" s="301"/>
      <c r="AW609" s="91"/>
      <c r="AX609" s="298"/>
      <c r="AY609" s="299"/>
      <c r="AZ609" s="299"/>
      <c r="BA609" s="301"/>
      <c r="BB609" s="301"/>
      <c r="BC609" s="426"/>
      <c r="BD609" s="298"/>
      <c r="BE609" s="299"/>
      <c r="BF609" s="299"/>
      <c r="BG609" s="301"/>
      <c r="BH609" s="301"/>
      <c r="BI609" s="91"/>
      <c r="BJ609" s="298"/>
      <c r="BK609" s="299"/>
      <c r="BL609" s="299"/>
      <c r="BM609" s="301"/>
      <c r="BN609" s="301"/>
      <c r="BO609" s="91"/>
      <c r="BP609" s="9"/>
      <c r="BS609" s="81"/>
      <c r="BT609" s="81"/>
      <c r="BV609" s="9"/>
      <c r="BY609" s="81"/>
      <c r="BZ609" s="81"/>
      <c r="CB609" s="9"/>
      <c r="CE609" s="81"/>
      <c r="CF609" s="81"/>
      <c r="CH609" s="9"/>
      <c r="CK609" s="81"/>
      <c r="CL609" s="81"/>
      <c r="CR609" s="9"/>
      <c r="CS609" s="9"/>
      <c r="CT609" s="9"/>
      <c r="CU609" s="9"/>
      <c r="CV609" s="9"/>
      <c r="CW609" s="129"/>
      <c r="CX609" s="9"/>
    </row>
    <row r="610" spans="1:102">
      <c r="A610" s="6" t="str">
        <f t="shared" si="91"/>
        <v>01210121</v>
      </c>
      <c r="B610" s="6" t="s">
        <v>1771</v>
      </c>
      <c r="C610" s="6" t="s">
        <v>1771</v>
      </c>
      <c r="D610" s="6">
        <v>601</v>
      </c>
      <c r="E610" s="6">
        <v>121</v>
      </c>
      <c r="F610" s="6" t="s">
        <v>1239</v>
      </c>
      <c r="G610" s="6">
        <v>121</v>
      </c>
      <c r="H610" s="6" t="s">
        <v>802</v>
      </c>
      <c r="I610" s="33">
        <v>1216494.7500000002</v>
      </c>
      <c r="J610" s="88">
        <v>1</v>
      </c>
      <c r="K610" s="89">
        <f>X610</f>
        <v>1270682.74</v>
      </c>
      <c r="L610" s="88">
        <f>IF(K614&gt;0, K610/K614, 0)</f>
        <v>1</v>
      </c>
      <c r="M610" s="58"/>
      <c r="N610" s="9">
        <f>ROUND(M614*L610,0)</f>
        <v>820427</v>
      </c>
      <c r="O610" s="9">
        <v>780690</v>
      </c>
      <c r="P610" s="9">
        <f>N610-O610</f>
        <v>39737</v>
      </c>
      <c r="Q610" s="40">
        <f t="shared" si="99"/>
        <v>5.089984500890238</v>
      </c>
      <c r="R610" s="9">
        <v>86</v>
      </c>
      <c r="S610" s="9">
        <f t="shared" si="97"/>
        <v>85</v>
      </c>
      <c r="T610" s="90">
        <f t="shared" si="92"/>
        <v>121</v>
      </c>
      <c r="U610" s="90">
        <f t="shared" si="93"/>
        <v>121</v>
      </c>
      <c r="V610" s="373">
        <f t="shared" si="94"/>
        <v>601</v>
      </c>
      <c r="W610" s="90">
        <f t="shared" si="95"/>
        <v>85</v>
      </c>
      <c r="X610" s="90">
        <f t="shared" si="96"/>
        <v>1270682.74</v>
      </c>
      <c r="Y610" s="141">
        <f t="shared" si="98"/>
        <v>601</v>
      </c>
      <c r="Z610" s="298">
        <v>121</v>
      </c>
      <c r="AA610" s="299">
        <v>121</v>
      </c>
      <c r="AB610" s="299">
        <v>601</v>
      </c>
      <c r="AC610" s="301">
        <v>85</v>
      </c>
      <c r="AD610" s="301">
        <v>1270682.74</v>
      </c>
      <c r="AE610" s="126"/>
      <c r="AF610" s="298"/>
      <c r="AG610" s="299"/>
      <c r="AH610" s="299"/>
      <c r="AI610" s="301"/>
      <c r="AJ610" s="301"/>
      <c r="AK610" s="426"/>
      <c r="AL610" s="298"/>
      <c r="AM610" s="299"/>
      <c r="AN610" s="299"/>
      <c r="AO610" s="301"/>
      <c r="AP610" s="301"/>
      <c r="AQ610" s="426"/>
      <c r="AR610" s="298"/>
      <c r="AS610" s="299"/>
      <c r="AT610" s="299"/>
      <c r="AU610" s="301"/>
      <c r="AV610" s="301"/>
      <c r="AW610" s="88"/>
      <c r="AX610" s="298"/>
      <c r="AY610" s="299"/>
      <c r="AZ610" s="299"/>
      <c r="BA610" s="301"/>
      <c r="BB610" s="301"/>
      <c r="BC610" s="426"/>
      <c r="BD610" s="298"/>
      <c r="BE610" s="299"/>
      <c r="BF610" s="299"/>
      <c r="BG610" s="301"/>
      <c r="BH610" s="301"/>
      <c r="BI610" s="88"/>
      <c r="BJ610" s="298"/>
      <c r="BK610" s="299"/>
      <c r="BL610" s="299"/>
      <c r="BM610" s="301"/>
      <c r="BN610" s="301"/>
      <c r="BO610" s="88"/>
      <c r="BP610" s="9"/>
      <c r="BS610" s="81"/>
      <c r="BT610" s="81"/>
      <c r="BV610" s="9"/>
      <c r="BY610" s="81"/>
      <c r="BZ610" s="81"/>
      <c r="CB610" s="9"/>
      <c r="CE610" s="81"/>
      <c r="CF610" s="81"/>
      <c r="CH610" s="9"/>
      <c r="CK610" s="81"/>
      <c r="CL610" s="81"/>
      <c r="CR610" s="9"/>
      <c r="CS610" s="9"/>
      <c r="CT610" s="9"/>
      <c r="CU610" s="9"/>
      <c r="CV610" s="9"/>
      <c r="CW610" s="129"/>
      <c r="CX610" s="9"/>
    </row>
    <row r="611" spans="1:102">
      <c r="A611" s="6" t="str">
        <f t="shared" si="91"/>
        <v>01210998</v>
      </c>
      <c r="B611" s="6" t="s">
        <v>1771</v>
      </c>
      <c r="C611" s="6" t="s">
        <v>2091</v>
      </c>
      <c r="D611" s="6">
        <v>602</v>
      </c>
      <c r="E611" s="6">
        <v>121</v>
      </c>
      <c r="F611" s="6" t="s">
        <v>1547</v>
      </c>
      <c r="G611" s="6">
        <v>998</v>
      </c>
      <c r="H611" s="6" t="s">
        <v>1547</v>
      </c>
      <c r="I611" s="33">
        <v>0</v>
      </c>
      <c r="J611" s="88">
        <v>0</v>
      </c>
      <c r="K611" s="89">
        <f t="shared" si="100"/>
        <v>0</v>
      </c>
      <c r="L611" s="88">
        <f>IF(K614&gt;0, K611/K614, 0)</f>
        <v>0</v>
      </c>
      <c r="M611" s="58"/>
      <c r="N611" s="9">
        <f>ROUND(M614*L611,0)</f>
        <v>0</v>
      </c>
      <c r="O611" s="9">
        <v>0</v>
      </c>
      <c r="P611" s="9">
        <f>N611-O611</f>
        <v>0</v>
      </c>
      <c r="Q611" s="40">
        <f t="shared" si="99"/>
        <v>0</v>
      </c>
      <c r="R611" s="9">
        <v>0</v>
      </c>
      <c r="S611" s="9">
        <f t="shared" si="97"/>
        <v>0</v>
      </c>
      <c r="T611" s="90">
        <f t="shared" si="92"/>
        <v>121</v>
      </c>
      <c r="U611" s="90">
        <f t="shared" si="93"/>
        <v>998</v>
      </c>
      <c r="V611" s="373">
        <f t="shared" si="94"/>
        <v>602</v>
      </c>
      <c r="W611" s="90">
        <f t="shared" si="95"/>
        <v>0</v>
      </c>
      <c r="X611" s="90">
        <f t="shared" si="96"/>
        <v>0</v>
      </c>
      <c r="Y611" s="141">
        <f t="shared" si="98"/>
        <v>602</v>
      </c>
      <c r="Z611" s="298">
        <v>121</v>
      </c>
      <c r="AA611" s="299">
        <v>998</v>
      </c>
      <c r="AB611" s="299">
        <v>602</v>
      </c>
      <c r="AC611" s="301">
        <v>0</v>
      </c>
      <c r="AD611" s="301">
        <v>0</v>
      </c>
      <c r="AE611" s="126"/>
      <c r="AF611" s="298"/>
      <c r="AG611" s="299"/>
      <c r="AH611" s="299"/>
      <c r="AI611" s="301"/>
      <c r="AJ611" s="301"/>
      <c r="AK611" s="426"/>
      <c r="AL611" s="298"/>
      <c r="AM611" s="299"/>
      <c r="AN611" s="299"/>
      <c r="AO611" s="301"/>
      <c r="AP611" s="301"/>
      <c r="AQ611" s="426"/>
      <c r="AR611" s="298"/>
      <c r="AS611" s="299"/>
      <c r="AT611" s="299"/>
      <c r="AU611" s="301"/>
      <c r="AV611" s="301"/>
      <c r="AW611" s="88"/>
      <c r="AX611" s="298"/>
      <c r="AY611" s="299"/>
      <c r="AZ611" s="299"/>
      <c r="BA611" s="301"/>
      <c r="BB611" s="301"/>
      <c r="BC611" s="426"/>
      <c r="BD611" s="298"/>
      <c r="BE611" s="299"/>
      <c r="BF611" s="299"/>
      <c r="BG611" s="301"/>
      <c r="BH611" s="301"/>
      <c r="BI611" s="88"/>
      <c r="BJ611" s="298"/>
      <c r="BK611" s="299"/>
      <c r="BL611" s="299"/>
      <c r="BM611" s="301"/>
      <c r="BN611" s="301"/>
      <c r="BO611" s="88"/>
      <c r="BP611" s="9"/>
      <c r="BS611" s="81"/>
      <c r="BT611" s="81"/>
      <c r="BV611" s="9"/>
      <c r="BY611" s="81"/>
      <c r="BZ611" s="81"/>
      <c r="CB611" s="9"/>
      <c r="CE611" s="81"/>
      <c r="CF611" s="81"/>
      <c r="CH611" s="9"/>
      <c r="CK611" s="81"/>
      <c r="CL611" s="81"/>
      <c r="CR611" s="9"/>
      <c r="CS611" s="9"/>
      <c r="CT611" s="9"/>
      <c r="CU611" s="9"/>
      <c r="CV611" s="9"/>
      <c r="CW611" s="129"/>
      <c r="CX611" s="9"/>
    </row>
    <row r="612" spans="1:102">
      <c r="A612" s="6" t="str">
        <f t="shared" si="91"/>
        <v>01210998</v>
      </c>
      <c r="B612" s="6" t="s">
        <v>1771</v>
      </c>
      <c r="C612" s="6" t="s">
        <v>2091</v>
      </c>
      <c r="D612" s="6">
        <v>603</v>
      </c>
      <c r="E612" s="6">
        <v>121</v>
      </c>
      <c r="F612" s="6" t="s">
        <v>1547</v>
      </c>
      <c r="G612" s="6">
        <v>998</v>
      </c>
      <c r="H612" s="6" t="s">
        <v>1547</v>
      </c>
      <c r="I612" s="33">
        <v>0</v>
      </c>
      <c r="J612" s="88">
        <v>0</v>
      </c>
      <c r="K612" s="89">
        <f t="shared" si="100"/>
        <v>0</v>
      </c>
      <c r="L612" s="88">
        <f>IF(K614&gt;0, K612/K614, 0)</f>
        <v>0</v>
      </c>
      <c r="M612" s="58"/>
      <c r="N612" s="9">
        <f>ROUND(M614*L612,0)</f>
        <v>0</v>
      </c>
      <c r="O612" s="9">
        <v>0</v>
      </c>
      <c r="P612" s="9">
        <f>N612-O612</f>
        <v>0</v>
      </c>
      <c r="Q612" s="40">
        <f t="shared" si="99"/>
        <v>0</v>
      </c>
      <c r="R612" s="9">
        <v>0</v>
      </c>
      <c r="S612" s="9">
        <f t="shared" si="97"/>
        <v>0</v>
      </c>
      <c r="T612" s="90">
        <f t="shared" si="92"/>
        <v>121</v>
      </c>
      <c r="U612" s="90">
        <f t="shared" si="93"/>
        <v>998</v>
      </c>
      <c r="V612" s="373">
        <f t="shared" si="94"/>
        <v>603</v>
      </c>
      <c r="W612" s="90">
        <f t="shared" si="95"/>
        <v>0</v>
      </c>
      <c r="X612" s="90">
        <f t="shared" si="96"/>
        <v>0</v>
      </c>
      <c r="Y612" s="141">
        <f t="shared" si="98"/>
        <v>603</v>
      </c>
      <c r="Z612" s="298">
        <v>121</v>
      </c>
      <c r="AA612" s="299">
        <v>998</v>
      </c>
      <c r="AB612" s="299">
        <v>603</v>
      </c>
      <c r="AC612" s="301">
        <v>0</v>
      </c>
      <c r="AD612" s="301">
        <v>0</v>
      </c>
      <c r="AE612" s="126"/>
      <c r="AF612" s="298"/>
      <c r="AG612" s="299"/>
      <c r="AH612" s="299"/>
      <c r="AI612" s="301"/>
      <c r="AJ612" s="301"/>
      <c r="AK612" s="426"/>
      <c r="AL612" s="298"/>
      <c r="AM612" s="299"/>
      <c r="AN612" s="299"/>
      <c r="AO612" s="301"/>
      <c r="AP612" s="301"/>
      <c r="AQ612" s="426"/>
      <c r="AR612" s="298"/>
      <c r="AS612" s="299"/>
      <c r="AT612" s="299"/>
      <c r="AU612" s="301"/>
      <c r="AV612" s="301"/>
      <c r="AW612" s="88"/>
      <c r="AX612" s="298"/>
      <c r="AY612" s="299"/>
      <c r="AZ612" s="299"/>
      <c r="BA612" s="301"/>
      <c r="BB612" s="301"/>
      <c r="BC612" s="426"/>
      <c r="BD612" s="298"/>
      <c r="BE612" s="299"/>
      <c r="BF612" s="299"/>
      <c r="BG612" s="301"/>
      <c r="BH612" s="301"/>
      <c r="BI612" s="88"/>
      <c r="BJ612" s="298"/>
      <c r="BK612" s="299"/>
      <c r="BL612" s="299"/>
      <c r="BM612" s="301"/>
      <c r="BN612" s="301"/>
      <c r="BO612" s="88"/>
      <c r="BP612" s="9"/>
      <c r="BS612" s="81"/>
      <c r="BT612" s="81"/>
      <c r="BV612" s="9"/>
      <c r="BY612" s="81"/>
      <c r="BZ612" s="81"/>
      <c r="CB612" s="9"/>
      <c r="CE612" s="81"/>
      <c r="CF612" s="81"/>
      <c r="CH612" s="9"/>
      <c r="CK612" s="81"/>
      <c r="CL612" s="81"/>
      <c r="CR612" s="9"/>
      <c r="CS612" s="9"/>
      <c r="CT612" s="9"/>
      <c r="CU612" s="9"/>
      <c r="CV612" s="9"/>
      <c r="CW612" s="129"/>
      <c r="CX612" s="9"/>
    </row>
    <row r="613" spans="1:102">
      <c r="A613" s="6" t="str">
        <f t="shared" si="91"/>
        <v>01210998</v>
      </c>
      <c r="B613" s="6" t="s">
        <v>1771</v>
      </c>
      <c r="C613" s="6" t="s">
        <v>2091</v>
      </c>
      <c r="D613" s="6">
        <v>604</v>
      </c>
      <c r="E613" s="6">
        <v>121</v>
      </c>
      <c r="F613" s="6" t="s">
        <v>1547</v>
      </c>
      <c r="G613" s="6">
        <v>998</v>
      </c>
      <c r="H613" s="6" t="s">
        <v>1547</v>
      </c>
      <c r="I613" s="33">
        <v>0</v>
      </c>
      <c r="J613" s="88">
        <v>0</v>
      </c>
      <c r="K613" s="89">
        <f t="shared" si="100"/>
        <v>0</v>
      </c>
      <c r="L613" s="88">
        <f>IF(K614&gt;0, K613/K614, 0)</f>
        <v>0</v>
      </c>
      <c r="M613" s="58"/>
      <c r="N613" s="9">
        <f>ROUND(M614*L613,0)</f>
        <v>0</v>
      </c>
      <c r="O613" s="9">
        <v>0</v>
      </c>
      <c r="P613" s="9">
        <f>N613-O613</f>
        <v>0</v>
      </c>
      <c r="Q613" s="40">
        <f t="shared" si="99"/>
        <v>0</v>
      </c>
      <c r="R613" s="9">
        <v>0</v>
      </c>
      <c r="S613" s="9">
        <f t="shared" si="97"/>
        <v>0</v>
      </c>
      <c r="T613" s="90">
        <f t="shared" si="92"/>
        <v>121</v>
      </c>
      <c r="U613" s="90">
        <f t="shared" si="93"/>
        <v>998</v>
      </c>
      <c r="V613" s="373">
        <f t="shared" si="94"/>
        <v>604</v>
      </c>
      <c r="W613" s="90">
        <f t="shared" si="95"/>
        <v>0</v>
      </c>
      <c r="X613" s="90">
        <f t="shared" si="96"/>
        <v>0</v>
      </c>
      <c r="Y613" s="141">
        <f t="shared" si="98"/>
        <v>604</v>
      </c>
      <c r="Z613" s="298">
        <v>121</v>
      </c>
      <c r="AA613" s="299">
        <v>998</v>
      </c>
      <c r="AB613" s="299">
        <v>604</v>
      </c>
      <c r="AC613" s="301">
        <v>0</v>
      </c>
      <c r="AD613" s="301">
        <v>0</v>
      </c>
      <c r="AE613" s="126"/>
      <c r="AF613" s="298"/>
      <c r="AG613" s="299"/>
      <c r="AH613" s="299"/>
      <c r="AI613" s="301"/>
      <c r="AJ613" s="301"/>
      <c r="AK613" s="426"/>
      <c r="AL613" s="298"/>
      <c r="AM613" s="299"/>
      <c r="AN613" s="299"/>
      <c r="AO613" s="301"/>
      <c r="AP613" s="301"/>
      <c r="AQ613" s="426"/>
      <c r="AR613" s="298"/>
      <c r="AS613" s="299"/>
      <c r="AT613" s="299"/>
      <c r="AU613" s="301"/>
      <c r="AV613" s="301"/>
      <c r="AW613" s="88"/>
      <c r="AX613" s="298"/>
      <c r="AY613" s="299"/>
      <c r="AZ613" s="299"/>
      <c r="BA613" s="301"/>
      <c r="BB613" s="301"/>
      <c r="BC613" s="426"/>
      <c r="BD613" s="298"/>
      <c r="BE613" s="299"/>
      <c r="BF613" s="299"/>
      <c r="BG613" s="301"/>
      <c r="BH613" s="301"/>
      <c r="BI613" s="88"/>
      <c r="BJ613" s="298"/>
      <c r="BK613" s="299"/>
      <c r="BL613" s="299"/>
      <c r="BM613" s="301"/>
      <c r="BN613" s="301"/>
      <c r="BO613" s="88"/>
      <c r="BP613" s="9"/>
      <c r="BS613" s="81"/>
      <c r="BT613" s="81"/>
      <c r="BV613" s="9"/>
      <c r="BY613" s="81"/>
      <c r="BZ613" s="81"/>
      <c r="CB613" s="9"/>
      <c r="CE613" s="81"/>
      <c r="CF613" s="81"/>
      <c r="CH613" s="9"/>
      <c r="CK613" s="81"/>
      <c r="CL613" s="81"/>
      <c r="CR613" s="9"/>
      <c r="CS613" s="9"/>
      <c r="CT613" s="9"/>
      <c r="CU613" s="9"/>
      <c r="CV613" s="9"/>
      <c r="CW613" s="129"/>
      <c r="CX613" s="9"/>
    </row>
    <row r="614" spans="1:102">
      <c r="A614" s="6" t="str">
        <f t="shared" si="91"/>
        <v>01210999</v>
      </c>
      <c r="B614" s="6" t="s">
        <v>1771</v>
      </c>
      <c r="C614" s="6" t="s">
        <v>2092</v>
      </c>
      <c r="D614" s="6">
        <v>605</v>
      </c>
      <c r="E614" s="10">
        <v>121</v>
      </c>
      <c r="F614" s="10" t="s">
        <v>1239</v>
      </c>
      <c r="G614" s="10">
        <v>999</v>
      </c>
      <c r="H614" s="10" t="s">
        <v>593</v>
      </c>
      <c r="I614" s="92">
        <v>1216494.7500000002</v>
      </c>
      <c r="J614" s="472">
        <v>1</v>
      </c>
      <c r="K614" s="53">
        <f>SUM(K610:K613)</f>
        <v>1270682.74</v>
      </c>
      <c r="L614" s="91">
        <f>SUM(L610:L613)</f>
        <v>1</v>
      </c>
      <c r="M614" s="79">
        <f>VLOOKUP(E614,town351,24)</f>
        <v>820427</v>
      </c>
      <c r="N614" s="79">
        <f>SUM(N610:N613)</f>
        <v>820427</v>
      </c>
      <c r="O614" s="79">
        <v>780690</v>
      </c>
      <c r="P614" s="79">
        <f>SUM(P610:P613)</f>
        <v>39737</v>
      </c>
      <c r="Q614" s="39">
        <f t="shared" si="99"/>
        <v>5.089984500890238</v>
      </c>
      <c r="R614" s="9">
        <v>86</v>
      </c>
      <c r="S614" s="9">
        <f t="shared" si="97"/>
        <v>85</v>
      </c>
      <c r="T614" s="90">
        <f t="shared" si="92"/>
        <v>121</v>
      </c>
      <c r="U614" s="90">
        <f t="shared" si="93"/>
        <v>999</v>
      </c>
      <c r="V614" s="373">
        <f t="shared" si="94"/>
        <v>605</v>
      </c>
      <c r="W614" s="90">
        <f t="shared" si="95"/>
        <v>85</v>
      </c>
      <c r="X614" s="90">
        <f t="shared" si="96"/>
        <v>1270682.74</v>
      </c>
      <c r="Y614" s="141">
        <f t="shared" si="98"/>
        <v>605</v>
      </c>
      <c r="Z614" s="298">
        <v>121</v>
      </c>
      <c r="AA614" s="299">
        <v>999</v>
      </c>
      <c r="AB614" s="299">
        <v>605</v>
      </c>
      <c r="AC614" s="301">
        <v>85</v>
      </c>
      <c r="AD614" s="301">
        <v>1270682.74</v>
      </c>
      <c r="AE614" s="126"/>
      <c r="AF614" s="298"/>
      <c r="AG614" s="299"/>
      <c r="AH614" s="299"/>
      <c r="AI614" s="301"/>
      <c r="AJ614" s="301"/>
      <c r="AK614" s="426"/>
      <c r="AL614" s="298"/>
      <c r="AM614" s="299"/>
      <c r="AN614" s="299"/>
      <c r="AO614" s="301"/>
      <c r="AP614" s="301"/>
      <c r="AQ614" s="426"/>
      <c r="AR614" s="298"/>
      <c r="AS614" s="299"/>
      <c r="AT614" s="299"/>
      <c r="AU614" s="301"/>
      <c r="AV614" s="301"/>
      <c r="AW614" s="91"/>
      <c r="AX614" s="298"/>
      <c r="AY614" s="299"/>
      <c r="AZ614" s="299"/>
      <c r="BA614" s="301"/>
      <c r="BB614" s="301"/>
      <c r="BC614" s="426"/>
      <c r="BD614" s="298"/>
      <c r="BE614" s="299"/>
      <c r="BF614" s="299"/>
      <c r="BG614" s="301"/>
      <c r="BH614" s="301"/>
      <c r="BI614" s="91"/>
      <c r="BJ614" s="298"/>
      <c r="BK614" s="299"/>
      <c r="BL614" s="299"/>
      <c r="BM614" s="301"/>
      <c r="BN614" s="301"/>
      <c r="BO614" s="91"/>
      <c r="BP614" s="9"/>
      <c r="BS614" s="81"/>
      <c r="BT614" s="81"/>
      <c r="BV614" s="9"/>
      <c r="BY614" s="81"/>
      <c r="BZ614" s="81"/>
      <c r="CB614" s="9"/>
      <c r="CE614" s="81"/>
      <c r="CF614" s="81"/>
      <c r="CH614" s="9"/>
      <c r="CK614" s="81"/>
      <c r="CL614" s="81"/>
      <c r="CR614" s="9"/>
      <c r="CS614" s="9"/>
      <c r="CT614" s="9"/>
      <c r="CU614" s="9"/>
      <c r="CV614" s="9"/>
      <c r="CW614" s="129"/>
      <c r="CX614" s="9"/>
    </row>
    <row r="615" spans="1:102">
      <c r="A615" s="6" t="str">
        <f t="shared" si="91"/>
        <v>01220122</v>
      </c>
      <c r="B615" s="6" t="s">
        <v>1772</v>
      </c>
      <c r="C615" s="6" t="s">
        <v>1772</v>
      </c>
      <c r="D615" s="6">
        <v>606</v>
      </c>
      <c r="E615" s="6">
        <v>122</v>
      </c>
      <c r="F615" s="6" t="s">
        <v>1240</v>
      </c>
      <c r="G615" s="6">
        <v>122</v>
      </c>
      <c r="H615" s="6" t="s">
        <v>803</v>
      </c>
      <c r="I615" s="33">
        <v>30800181.273539998</v>
      </c>
      <c r="J615" s="88">
        <v>0.9566777110543172</v>
      </c>
      <c r="K615" s="89">
        <f>X615</f>
        <v>31861566.581689995</v>
      </c>
      <c r="L615" s="88">
        <f>IF(K619&gt;0, K615/K619, 0)</f>
        <v>0.95020964203457725</v>
      </c>
      <c r="M615" s="58"/>
      <c r="N615" s="9">
        <f>ROUND(M619*L615,0)</f>
        <v>24358612</v>
      </c>
      <c r="O615" s="9">
        <v>23372172</v>
      </c>
      <c r="P615" s="9">
        <f>N615-O615</f>
        <v>986440</v>
      </c>
      <c r="Q615" s="40">
        <f t="shared" si="99"/>
        <v>4.2205747929631876</v>
      </c>
      <c r="R615" s="9">
        <v>2481</v>
      </c>
      <c r="S615" s="9">
        <f t="shared" si="97"/>
        <v>2497</v>
      </c>
      <c r="T615" s="90">
        <f t="shared" si="92"/>
        <v>122</v>
      </c>
      <c r="U615" s="90">
        <f t="shared" si="93"/>
        <v>122</v>
      </c>
      <c r="V615" s="373">
        <f t="shared" si="94"/>
        <v>606</v>
      </c>
      <c r="W615" s="90">
        <f t="shared" si="95"/>
        <v>2497</v>
      </c>
      <c r="X615" s="90">
        <f t="shared" si="96"/>
        <v>31861566.581689995</v>
      </c>
      <c r="Y615" s="141">
        <f t="shared" si="98"/>
        <v>606</v>
      </c>
      <c r="Z615" s="298">
        <v>122</v>
      </c>
      <c r="AA615" s="299">
        <v>122</v>
      </c>
      <c r="AB615" s="299">
        <v>606</v>
      </c>
      <c r="AC615" s="301">
        <v>2497</v>
      </c>
      <c r="AD615" s="301">
        <v>31861566.581689995</v>
      </c>
      <c r="AE615" s="126"/>
      <c r="AF615" s="298"/>
      <c r="AG615" s="299"/>
      <c r="AH615" s="299"/>
      <c r="AI615" s="301"/>
      <c r="AJ615" s="301"/>
      <c r="AK615" s="426"/>
      <c r="AL615" s="298"/>
      <c r="AM615" s="299"/>
      <c r="AN615" s="299"/>
      <c r="AO615" s="301"/>
      <c r="AP615" s="301"/>
      <c r="AQ615" s="426"/>
      <c r="AR615" s="298"/>
      <c r="AS615" s="299"/>
      <c r="AT615" s="299"/>
      <c r="AU615" s="301"/>
      <c r="AV615" s="301"/>
      <c r="AW615" s="88"/>
      <c r="AX615" s="298"/>
      <c r="AY615" s="299"/>
      <c r="AZ615" s="299"/>
      <c r="BA615" s="301"/>
      <c r="BB615" s="301"/>
      <c r="BC615" s="426"/>
      <c r="BD615" s="298"/>
      <c r="BE615" s="299"/>
      <c r="BF615" s="299"/>
      <c r="BG615" s="301"/>
      <c r="BH615" s="301"/>
      <c r="BI615" s="88"/>
      <c r="BJ615" s="298"/>
      <c r="BK615" s="299"/>
      <c r="BL615" s="299"/>
      <c r="BM615" s="301"/>
      <c r="BN615" s="301"/>
      <c r="BO615" s="88"/>
      <c r="BP615" s="9"/>
      <c r="BS615" s="81"/>
      <c r="BT615" s="81"/>
      <c r="BV615" s="9"/>
      <c r="BY615" s="81"/>
      <c r="BZ615" s="81"/>
      <c r="CB615" s="9"/>
      <c r="CE615" s="81"/>
      <c r="CF615" s="81"/>
      <c r="CH615" s="9"/>
      <c r="CK615" s="81"/>
      <c r="CL615" s="81"/>
      <c r="CR615" s="9"/>
      <c r="CS615" s="9"/>
      <c r="CT615" s="9"/>
      <c r="CU615" s="9"/>
      <c r="CV615" s="9"/>
      <c r="CW615" s="129"/>
      <c r="CX615" s="9"/>
    </row>
    <row r="616" spans="1:102">
      <c r="A616" s="6" t="str">
        <f t="shared" si="91"/>
        <v>01220873</v>
      </c>
      <c r="B616" s="6" t="s">
        <v>1772</v>
      </c>
      <c r="C616" s="6" t="s">
        <v>2083</v>
      </c>
      <c r="D616" s="6">
        <v>607</v>
      </c>
      <c r="E616" s="6">
        <v>122</v>
      </c>
      <c r="F616" s="6" t="s">
        <v>1240</v>
      </c>
      <c r="G616" s="6">
        <v>873</v>
      </c>
      <c r="H616" s="6" t="s">
        <v>1113</v>
      </c>
      <c r="I616" s="33">
        <v>1394758.4827090709</v>
      </c>
      <c r="J616" s="88">
        <v>4.3322288945682741E-2</v>
      </c>
      <c r="K616" s="89">
        <f t="shared" si="100"/>
        <v>1669525.055591647</v>
      </c>
      <c r="L616" s="88">
        <f>IF(K619&gt;0, K616/K619, 0)</f>
        <v>4.9790357965422777E-2</v>
      </c>
      <c r="M616" s="58"/>
      <c r="N616" s="9">
        <f>ROUND(M619*L616,0)</f>
        <v>1276375</v>
      </c>
      <c r="O616" s="9">
        <v>1058388</v>
      </c>
      <c r="P616" s="9">
        <f>N616-O616</f>
        <v>217987</v>
      </c>
      <c r="Q616" s="40">
        <f t="shared" si="99"/>
        <v>20.59613298714649</v>
      </c>
      <c r="R616" s="9">
        <v>67.000000000599996</v>
      </c>
      <c r="S616" s="9">
        <f t="shared" si="97"/>
        <v>80.00000000304</v>
      </c>
      <c r="T616" s="90">
        <f t="shared" si="92"/>
        <v>122</v>
      </c>
      <c r="U616" s="90">
        <f t="shared" si="93"/>
        <v>873</v>
      </c>
      <c r="V616" s="373">
        <f t="shared" si="94"/>
        <v>607</v>
      </c>
      <c r="W616" s="90">
        <f t="shared" si="95"/>
        <v>80.00000000304</v>
      </c>
      <c r="X616" s="90">
        <f t="shared" si="96"/>
        <v>1669525.055591647</v>
      </c>
      <c r="Y616" s="141">
        <f t="shared" si="98"/>
        <v>607</v>
      </c>
      <c r="Z616" s="298">
        <v>122</v>
      </c>
      <c r="AA616" s="299">
        <v>873</v>
      </c>
      <c r="AB616" s="299">
        <v>607</v>
      </c>
      <c r="AC616" s="301">
        <v>80.00000000304</v>
      </c>
      <c r="AD616" s="301">
        <v>1669525.055591647</v>
      </c>
      <c r="AE616" s="126"/>
      <c r="AF616" s="298"/>
      <c r="AG616" s="299"/>
      <c r="AH616" s="299"/>
      <c r="AI616" s="301"/>
      <c r="AJ616" s="301"/>
      <c r="AK616" s="426"/>
      <c r="AL616" s="298"/>
      <c r="AM616" s="299"/>
      <c r="AN616" s="299"/>
      <c r="AO616" s="301"/>
      <c r="AP616" s="301"/>
      <c r="AQ616" s="426"/>
      <c r="AR616" s="298"/>
      <c r="AS616" s="299"/>
      <c r="AT616" s="299"/>
      <c r="AU616" s="301"/>
      <c r="AV616" s="301"/>
      <c r="AW616" s="88"/>
      <c r="AX616" s="298"/>
      <c r="AY616" s="299"/>
      <c r="AZ616" s="299"/>
      <c r="BA616" s="301"/>
      <c r="BB616" s="301"/>
      <c r="BC616" s="426"/>
      <c r="BD616" s="298"/>
      <c r="BE616" s="299"/>
      <c r="BF616" s="299"/>
      <c r="BG616" s="301"/>
      <c r="BH616" s="301"/>
      <c r="BI616" s="88"/>
      <c r="BJ616" s="298"/>
      <c r="BK616" s="299"/>
      <c r="BL616" s="299"/>
      <c r="BM616" s="301"/>
      <c r="BN616" s="301"/>
      <c r="BO616" s="88"/>
      <c r="BP616" s="9"/>
      <c r="BS616" s="81"/>
      <c r="BT616" s="81"/>
      <c r="BV616" s="9"/>
      <c r="BY616" s="81"/>
      <c r="BZ616" s="81"/>
      <c r="CB616" s="9"/>
      <c r="CE616" s="81"/>
      <c r="CF616" s="81"/>
      <c r="CH616" s="9"/>
      <c r="CK616" s="81"/>
      <c r="CL616" s="81"/>
      <c r="CR616" s="9"/>
      <c r="CS616" s="9"/>
      <c r="CT616" s="9"/>
      <c r="CU616" s="9"/>
      <c r="CV616" s="9"/>
      <c r="CW616" s="129"/>
      <c r="CX616" s="9"/>
    </row>
    <row r="617" spans="1:102">
      <c r="A617" s="6" t="str">
        <f t="shared" si="91"/>
        <v>01220998</v>
      </c>
      <c r="B617" s="6" t="s">
        <v>1772</v>
      </c>
      <c r="C617" s="6" t="s">
        <v>2091</v>
      </c>
      <c r="D617" s="6">
        <v>608</v>
      </c>
      <c r="E617" s="6">
        <v>122</v>
      </c>
      <c r="F617" s="6" t="s">
        <v>1547</v>
      </c>
      <c r="G617" s="6">
        <v>998</v>
      </c>
      <c r="H617" s="6" t="s">
        <v>1547</v>
      </c>
      <c r="I617" s="33">
        <v>0</v>
      </c>
      <c r="J617" s="88">
        <v>0</v>
      </c>
      <c r="K617" s="89">
        <f t="shared" si="100"/>
        <v>0</v>
      </c>
      <c r="L617" s="88">
        <f>IF(K619&gt;0, K617/K619, 0)</f>
        <v>0</v>
      </c>
      <c r="M617" s="58"/>
      <c r="N617" s="9">
        <f>ROUND(M619*L617,0)</f>
        <v>0</v>
      </c>
      <c r="O617" s="9">
        <v>0</v>
      </c>
      <c r="P617" s="9">
        <f>N617-O617</f>
        <v>0</v>
      </c>
      <c r="Q617" s="40">
        <f t="shared" si="99"/>
        <v>0</v>
      </c>
      <c r="R617" s="9">
        <v>0</v>
      </c>
      <c r="S617" s="9">
        <f t="shared" si="97"/>
        <v>0</v>
      </c>
      <c r="T617" s="90">
        <f t="shared" si="92"/>
        <v>122</v>
      </c>
      <c r="U617" s="90">
        <f t="shared" si="93"/>
        <v>998</v>
      </c>
      <c r="V617" s="373">
        <f t="shared" si="94"/>
        <v>608</v>
      </c>
      <c r="W617" s="90">
        <f t="shared" si="95"/>
        <v>0</v>
      </c>
      <c r="X617" s="90">
        <f t="shared" si="96"/>
        <v>0</v>
      </c>
      <c r="Y617" s="141">
        <f t="shared" si="98"/>
        <v>608</v>
      </c>
      <c r="Z617" s="298">
        <v>122</v>
      </c>
      <c r="AA617" s="299">
        <v>998</v>
      </c>
      <c r="AB617" s="299">
        <v>608</v>
      </c>
      <c r="AC617" s="301">
        <v>0</v>
      </c>
      <c r="AD617" s="301">
        <v>0</v>
      </c>
      <c r="AE617" s="126"/>
      <c r="AF617" s="298"/>
      <c r="AG617" s="299"/>
      <c r="AH617" s="299"/>
      <c r="AI617" s="301"/>
      <c r="AJ617" s="301"/>
      <c r="AK617" s="426"/>
      <c r="AL617" s="298"/>
      <c r="AM617" s="299"/>
      <c r="AN617" s="299"/>
      <c r="AO617" s="301"/>
      <c r="AP617" s="301"/>
      <c r="AQ617" s="426"/>
      <c r="AR617" s="298"/>
      <c r="AS617" s="299"/>
      <c r="AT617" s="299"/>
      <c r="AU617" s="301"/>
      <c r="AV617" s="301"/>
      <c r="AW617" s="88"/>
      <c r="AX617" s="298"/>
      <c r="AY617" s="299"/>
      <c r="AZ617" s="299"/>
      <c r="BA617" s="301"/>
      <c r="BB617" s="301"/>
      <c r="BC617" s="426"/>
      <c r="BD617" s="298"/>
      <c r="BE617" s="299"/>
      <c r="BF617" s="299"/>
      <c r="BG617" s="301"/>
      <c r="BH617" s="301"/>
      <c r="BI617" s="88"/>
      <c r="BJ617" s="298"/>
      <c r="BK617" s="299"/>
      <c r="BL617" s="299"/>
      <c r="BM617" s="301"/>
      <c r="BN617" s="301"/>
      <c r="BO617" s="88"/>
      <c r="BP617" s="9"/>
      <c r="BS617" s="81"/>
      <c r="BT617" s="81"/>
      <c r="BV617" s="9"/>
      <c r="BY617" s="81"/>
      <c r="BZ617" s="81"/>
      <c r="CB617" s="9"/>
      <c r="CE617" s="81"/>
      <c r="CF617" s="81"/>
      <c r="CH617" s="9"/>
      <c r="CK617" s="81"/>
      <c r="CL617" s="81"/>
      <c r="CR617" s="9"/>
      <c r="CS617" s="9"/>
      <c r="CT617" s="9"/>
      <c r="CU617" s="9"/>
      <c r="CV617" s="9"/>
      <c r="CW617" s="129"/>
      <c r="CX617" s="9"/>
    </row>
    <row r="618" spans="1:102">
      <c r="A618" s="6" t="str">
        <f t="shared" si="91"/>
        <v>01220998</v>
      </c>
      <c r="B618" s="6" t="s">
        <v>1772</v>
      </c>
      <c r="C618" s="6" t="s">
        <v>2091</v>
      </c>
      <c r="D618" s="6">
        <v>609</v>
      </c>
      <c r="E618" s="6">
        <v>122</v>
      </c>
      <c r="F618" s="6" t="s">
        <v>1547</v>
      </c>
      <c r="G618" s="6">
        <v>998</v>
      </c>
      <c r="H618" s="6" t="s">
        <v>1547</v>
      </c>
      <c r="I618" s="33">
        <v>0</v>
      </c>
      <c r="J618" s="88">
        <v>0</v>
      </c>
      <c r="K618" s="89">
        <f t="shared" si="100"/>
        <v>0</v>
      </c>
      <c r="L618" s="88">
        <f>IF(K619&gt;0, K618/K619, 0)</f>
        <v>0</v>
      </c>
      <c r="M618" s="58"/>
      <c r="N618" s="9">
        <f>ROUND(M619*L618,0)</f>
        <v>0</v>
      </c>
      <c r="O618" s="9">
        <v>0</v>
      </c>
      <c r="P618" s="9">
        <f>N618-O618</f>
        <v>0</v>
      </c>
      <c r="Q618" s="40">
        <f t="shared" si="99"/>
        <v>0</v>
      </c>
      <c r="R618" s="9">
        <v>0</v>
      </c>
      <c r="S618" s="9">
        <f t="shared" si="97"/>
        <v>0</v>
      </c>
      <c r="T618" s="90">
        <f t="shared" si="92"/>
        <v>122</v>
      </c>
      <c r="U618" s="90">
        <f t="shared" si="93"/>
        <v>998</v>
      </c>
      <c r="V618" s="373">
        <f t="shared" si="94"/>
        <v>609</v>
      </c>
      <c r="W618" s="90">
        <f t="shared" si="95"/>
        <v>0</v>
      </c>
      <c r="X618" s="90">
        <f t="shared" si="96"/>
        <v>0</v>
      </c>
      <c r="Y618" s="141">
        <f t="shared" si="98"/>
        <v>609</v>
      </c>
      <c r="Z618" s="298">
        <v>122</v>
      </c>
      <c r="AA618" s="299">
        <v>998</v>
      </c>
      <c r="AB618" s="299">
        <v>609</v>
      </c>
      <c r="AC618" s="301">
        <v>0</v>
      </c>
      <c r="AD618" s="301">
        <v>0</v>
      </c>
      <c r="AE618" s="126"/>
      <c r="AF618" s="298"/>
      <c r="AG618" s="299"/>
      <c r="AH618" s="299"/>
      <c r="AI618" s="301"/>
      <c r="AJ618" s="301"/>
      <c r="AK618" s="426"/>
      <c r="AL618" s="298"/>
      <c r="AM618" s="299"/>
      <c r="AN618" s="299"/>
      <c r="AO618" s="301"/>
      <c r="AP618" s="301"/>
      <c r="AQ618" s="426"/>
      <c r="AR618" s="298"/>
      <c r="AS618" s="299"/>
      <c r="AT618" s="299"/>
      <c r="AU618" s="301"/>
      <c r="AV618" s="301"/>
      <c r="AW618" s="88"/>
      <c r="AX618" s="298"/>
      <c r="AY618" s="299"/>
      <c r="AZ618" s="299"/>
      <c r="BA618" s="301"/>
      <c r="BB618" s="301"/>
      <c r="BC618" s="426"/>
      <c r="BD618" s="298"/>
      <c r="BE618" s="299"/>
      <c r="BF618" s="299"/>
      <c r="BG618" s="301"/>
      <c r="BH618" s="301"/>
      <c r="BI618" s="88"/>
      <c r="BJ618" s="298"/>
      <c r="BK618" s="299"/>
      <c r="BL618" s="299"/>
      <c r="BM618" s="301"/>
      <c r="BN618" s="301"/>
      <c r="BO618" s="88"/>
      <c r="BP618" s="9"/>
      <c r="BS618" s="81"/>
      <c r="BT618" s="81"/>
      <c r="BV618" s="9"/>
      <c r="BY618" s="81"/>
      <c r="BZ618" s="81"/>
      <c r="CB618" s="9"/>
      <c r="CE618" s="81"/>
      <c r="CF618" s="81"/>
      <c r="CH618" s="9"/>
      <c r="CK618" s="81"/>
      <c r="CL618" s="81"/>
      <c r="CR618" s="9"/>
      <c r="CS618" s="9"/>
      <c r="CT618" s="9"/>
      <c r="CU618" s="9"/>
      <c r="CV618" s="9"/>
      <c r="CW618" s="129"/>
      <c r="CX618" s="9"/>
    </row>
    <row r="619" spans="1:102">
      <c r="A619" s="6" t="str">
        <f t="shared" si="91"/>
        <v>01220999</v>
      </c>
      <c r="B619" s="6" t="s">
        <v>1772</v>
      </c>
      <c r="C619" s="6" t="s">
        <v>2092</v>
      </c>
      <c r="D619" s="6">
        <v>610</v>
      </c>
      <c r="E619" s="10">
        <v>122</v>
      </c>
      <c r="F619" s="10" t="s">
        <v>1240</v>
      </c>
      <c r="G619" s="10">
        <v>999</v>
      </c>
      <c r="H619" s="10" t="s">
        <v>593</v>
      </c>
      <c r="I619" s="92">
        <v>32194939.75624907</v>
      </c>
      <c r="J619" s="472">
        <v>1</v>
      </c>
      <c r="K619" s="53">
        <f>SUM(K615:K618)</f>
        <v>33531091.637281641</v>
      </c>
      <c r="L619" s="91">
        <f>SUM(L615:L618)</f>
        <v>1</v>
      </c>
      <c r="M619" s="79">
        <f>VLOOKUP(E619,town351,24)</f>
        <v>25634987</v>
      </c>
      <c r="N619" s="79">
        <f>SUM(N615:N618)</f>
        <v>25634987</v>
      </c>
      <c r="O619" s="79">
        <v>24430560</v>
      </c>
      <c r="P619" s="79">
        <f>SUM(P615:P618)</f>
        <v>1204427</v>
      </c>
      <c r="Q619" s="39">
        <f t="shared" si="99"/>
        <v>4.9300016045477468</v>
      </c>
      <c r="R619" s="9">
        <v>2548.0000000005998</v>
      </c>
      <c r="S619" s="9">
        <f t="shared" si="97"/>
        <v>2577.00000000304</v>
      </c>
      <c r="T619" s="90">
        <f t="shared" si="92"/>
        <v>122</v>
      </c>
      <c r="U619" s="90">
        <f t="shared" si="93"/>
        <v>999</v>
      </c>
      <c r="V619" s="373">
        <f t="shared" si="94"/>
        <v>610</v>
      </c>
      <c r="W619" s="90">
        <f t="shared" si="95"/>
        <v>2577.00000000304</v>
      </c>
      <c r="X619" s="90">
        <f t="shared" si="96"/>
        <v>33531091.637281641</v>
      </c>
      <c r="Y619" s="141">
        <f t="shared" si="98"/>
        <v>610</v>
      </c>
      <c r="Z619" s="298">
        <v>122</v>
      </c>
      <c r="AA619" s="299">
        <v>999</v>
      </c>
      <c r="AB619" s="299">
        <v>610</v>
      </c>
      <c r="AC619" s="301">
        <v>2577.00000000304</v>
      </c>
      <c r="AD619" s="301">
        <v>33531091.637281641</v>
      </c>
      <c r="AE619" s="126"/>
      <c r="AF619" s="298"/>
      <c r="AG619" s="299"/>
      <c r="AH619" s="299"/>
      <c r="AI619" s="301"/>
      <c r="AJ619" s="301"/>
      <c r="AK619" s="426"/>
      <c r="AL619" s="298"/>
      <c r="AM619" s="299"/>
      <c r="AN619" s="299"/>
      <c r="AO619" s="301"/>
      <c r="AP619" s="301"/>
      <c r="AQ619" s="426"/>
      <c r="AR619" s="298"/>
      <c r="AS619" s="299"/>
      <c r="AT619" s="299"/>
      <c r="AU619" s="301"/>
      <c r="AV619" s="301"/>
      <c r="AW619" s="91"/>
      <c r="AX619" s="298"/>
      <c r="AY619" s="299"/>
      <c r="AZ619" s="299"/>
      <c r="BA619" s="301"/>
      <c r="BB619" s="301"/>
      <c r="BC619" s="426"/>
      <c r="BD619" s="298"/>
      <c r="BE619" s="299"/>
      <c r="BF619" s="299"/>
      <c r="BG619" s="301"/>
      <c r="BH619" s="301"/>
      <c r="BI619" s="91"/>
      <c r="BJ619" s="298"/>
      <c r="BK619" s="299"/>
      <c r="BL619" s="299"/>
      <c r="BM619" s="301"/>
      <c r="BN619" s="301"/>
      <c r="BO619" s="91"/>
      <c r="BP619" s="9"/>
      <c r="BS619" s="81"/>
      <c r="BT619" s="81"/>
      <c r="BV619" s="9"/>
      <c r="BY619" s="81"/>
      <c r="BZ619" s="81"/>
      <c r="CB619" s="9"/>
      <c r="CE619" s="81"/>
      <c r="CF619" s="81"/>
      <c r="CH619" s="9"/>
      <c r="CK619" s="81"/>
      <c r="CL619" s="81"/>
      <c r="CR619" s="9"/>
      <c r="CS619" s="9"/>
      <c r="CT619" s="9"/>
      <c r="CU619" s="9"/>
      <c r="CV619" s="9"/>
      <c r="CW619" s="129"/>
      <c r="CX619" s="9"/>
    </row>
    <row r="620" spans="1:102">
      <c r="A620" s="6" t="str">
        <f t="shared" si="91"/>
        <v>01230123</v>
      </c>
      <c r="B620" s="6" t="s">
        <v>1773</v>
      </c>
      <c r="C620" s="6" t="s">
        <v>1773</v>
      </c>
      <c r="D620" s="6">
        <v>611</v>
      </c>
      <c r="E620" s="6">
        <v>123</v>
      </c>
      <c r="F620" s="6" t="s">
        <v>1241</v>
      </c>
      <c r="G620" s="6">
        <v>123</v>
      </c>
      <c r="H620" s="6" t="s">
        <v>804</v>
      </c>
      <c r="I620" s="33">
        <v>82453.8</v>
      </c>
      <c r="J620" s="88">
        <v>4.0325334236334977E-3</v>
      </c>
      <c r="K620" s="89">
        <f>X620</f>
        <v>101161.98000000001</v>
      </c>
      <c r="L620" s="88">
        <f>IF(K624&gt;0, K620/K624, 0)</f>
        <v>4.91691688466705E-3</v>
      </c>
      <c r="M620" s="58"/>
      <c r="N620" s="9">
        <f>ROUND(M624*L620,0)</f>
        <v>61192</v>
      </c>
      <c r="O620" s="9">
        <v>47057</v>
      </c>
      <c r="P620" s="9">
        <f>N620-O620</f>
        <v>14135</v>
      </c>
      <c r="Q620" s="40">
        <f t="shared" si="99"/>
        <v>30.038038974010242</v>
      </c>
      <c r="R620" s="9">
        <v>5</v>
      </c>
      <c r="S620" s="9">
        <f t="shared" si="97"/>
        <v>6</v>
      </c>
      <c r="T620" s="90">
        <f t="shared" si="92"/>
        <v>123</v>
      </c>
      <c r="U620" s="90">
        <f t="shared" si="93"/>
        <v>123</v>
      </c>
      <c r="V620" s="373">
        <f t="shared" si="94"/>
        <v>611</v>
      </c>
      <c r="W620" s="90">
        <f t="shared" si="95"/>
        <v>6</v>
      </c>
      <c r="X620" s="90">
        <f t="shared" si="96"/>
        <v>101161.98000000001</v>
      </c>
      <c r="Y620" s="141">
        <f t="shared" si="98"/>
        <v>611</v>
      </c>
      <c r="Z620" s="298">
        <v>123</v>
      </c>
      <c r="AA620" s="299">
        <v>123</v>
      </c>
      <c r="AB620" s="299">
        <v>611</v>
      </c>
      <c r="AC620" s="301">
        <v>6</v>
      </c>
      <c r="AD620" s="301">
        <v>101161.98000000001</v>
      </c>
      <c r="AE620" s="126"/>
      <c r="AF620" s="298"/>
      <c r="AG620" s="299"/>
      <c r="AH620" s="299"/>
      <c r="AI620" s="301"/>
      <c r="AJ620" s="301"/>
      <c r="AK620" s="426"/>
      <c r="AL620" s="298"/>
      <c r="AM620" s="299"/>
      <c r="AN620" s="299"/>
      <c r="AO620" s="301"/>
      <c r="AP620" s="301"/>
      <c r="AQ620" s="426"/>
      <c r="AR620" s="298"/>
      <c r="AS620" s="299"/>
      <c r="AT620" s="299"/>
      <c r="AU620" s="301"/>
      <c r="AV620" s="301"/>
      <c r="AW620" s="88"/>
      <c r="AX620" s="298"/>
      <c r="AY620" s="299"/>
      <c r="AZ620" s="299"/>
      <c r="BA620" s="301"/>
      <c r="BB620" s="301"/>
      <c r="BC620" s="426"/>
      <c r="BD620" s="298"/>
      <c r="BE620" s="299"/>
      <c r="BF620" s="299"/>
      <c r="BG620" s="301"/>
      <c r="BH620" s="301"/>
      <c r="BI620" s="88"/>
      <c r="BJ620" s="298"/>
      <c r="BK620" s="299"/>
      <c r="BL620" s="299"/>
      <c r="BM620" s="301"/>
      <c r="BN620" s="301"/>
      <c r="BO620" s="88"/>
      <c r="BP620" s="9"/>
      <c r="BS620" s="81"/>
      <c r="BT620" s="81"/>
      <c r="BV620" s="9"/>
      <c r="BY620" s="81"/>
      <c r="BZ620" s="81"/>
      <c r="CB620" s="9"/>
      <c r="CE620" s="81"/>
      <c r="CF620" s="81"/>
      <c r="CH620" s="9"/>
      <c r="CK620" s="81"/>
      <c r="CL620" s="81"/>
      <c r="CR620" s="9"/>
      <c r="CS620" s="9"/>
      <c r="CT620" s="9"/>
      <c r="CU620" s="9"/>
      <c r="CV620" s="9"/>
      <c r="CW620" s="129"/>
      <c r="CX620" s="9"/>
    </row>
    <row r="621" spans="1:102">
      <c r="A621" s="6" t="str">
        <f t="shared" si="91"/>
        <v>01230780</v>
      </c>
      <c r="B621" s="6" t="s">
        <v>1773</v>
      </c>
      <c r="C621" s="6" t="s">
        <v>2061</v>
      </c>
      <c r="D621" s="6">
        <v>612</v>
      </c>
      <c r="E621" s="6">
        <v>123</v>
      </c>
      <c r="F621" s="6" t="s">
        <v>1241</v>
      </c>
      <c r="G621" s="6">
        <v>780</v>
      </c>
      <c r="H621" s="6" t="s">
        <v>1091</v>
      </c>
      <c r="I621" s="33">
        <v>18574405.27594291</v>
      </c>
      <c r="J621" s="88">
        <v>0.90841065056254733</v>
      </c>
      <c r="K621" s="89">
        <f t="shared" si="100"/>
        <v>18866191.058510531</v>
      </c>
      <c r="L621" s="88">
        <f>IF(K624&gt;0, K621/K624, 0)</f>
        <v>0.91697981163422215</v>
      </c>
      <c r="M621" s="58"/>
      <c r="N621" s="9">
        <f>ROUND(M624*L621,0)</f>
        <v>11412032</v>
      </c>
      <c r="O621" s="9">
        <v>10600456</v>
      </c>
      <c r="P621" s="9">
        <f>N621-O621</f>
        <v>811576</v>
      </c>
      <c r="Q621" s="40">
        <f t="shared" si="99"/>
        <v>7.6560480039726597</v>
      </c>
      <c r="R621" s="9">
        <v>1390.3067993493</v>
      </c>
      <c r="S621" s="9">
        <f t="shared" si="97"/>
        <v>1360.7477678672401</v>
      </c>
      <c r="T621" s="90">
        <f t="shared" si="92"/>
        <v>123</v>
      </c>
      <c r="U621" s="90">
        <f t="shared" si="93"/>
        <v>780</v>
      </c>
      <c r="V621" s="373">
        <f t="shared" si="94"/>
        <v>612</v>
      </c>
      <c r="W621" s="90">
        <f t="shared" si="95"/>
        <v>1360.7477678672401</v>
      </c>
      <c r="X621" s="90">
        <f t="shared" si="96"/>
        <v>18866191.058510531</v>
      </c>
      <c r="Y621" s="141">
        <f t="shared" si="98"/>
        <v>612</v>
      </c>
      <c r="Z621" s="298">
        <v>123</v>
      </c>
      <c r="AA621" s="299">
        <v>780</v>
      </c>
      <c r="AB621" s="299">
        <v>612</v>
      </c>
      <c r="AC621" s="301">
        <v>1360.7477678672401</v>
      </c>
      <c r="AD621" s="301">
        <v>18866191.058510531</v>
      </c>
      <c r="AE621" s="126"/>
      <c r="AF621" s="298"/>
      <c r="AG621" s="299"/>
      <c r="AH621" s="299"/>
      <c r="AI621" s="301"/>
      <c r="AJ621" s="301"/>
      <c r="AK621" s="426"/>
      <c r="AL621" s="298"/>
      <c r="AM621" s="299"/>
      <c r="AN621" s="299"/>
      <c r="AO621" s="301"/>
      <c r="AP621" s="301"/>
      <c r="AQ621" s="426"/>
      <c r="AR621" s="298"/>
      <c r="AS621" s="299"/>
      <c r="AT621" s="299"/>
      <c r="AU621" s="301"/>
      <c r="AV621" s="301"/>
      <c r="AW621" s="88"/>
      <c r="AX621" s="298"/>
      <c r="AY621" s="299"/>
      <c r="AZ621" s="299"/>
      <c r="BA621" s="301"/>
      <c r="BB621" s="301"/>
      <c r="BC621" s="426"/>
      <c r="BD621" s="298"/>
      <c r="BE621" s="299"/>
      <c r="BF621" s="299"/>
      <c r="BG621" s="301"/>
      <c r="BH621" s="301"/>
      <c r="BI621" s="88"/>
      <c r="BJ621" s="298"/>
      <c r="BK621" s="299"/>
      <c r="BL621" s="299"/>
      <c r="BM621" s="301"/>
      <c r="BN621" s="301"/>
      <c r="BO621" s="88"/>
      <c r="BP621" s="9"/>
      <c r="BS621" s="81"/>
      <c r="BT621" s="81"/>
      <c r="BV621" s="9"/>
      <c r="BY621" s="81"/>
      <c r="BZ621" s="81"/>
      <c r="CB621" s="9"/>
      <c r="CE621" s="81"/>
      <c r="CF621" s="81"/>
      <c r="CH621" s="9"/>
      <c r="CK621" s="81"/>
      <c r="CL621" s="81"/>
      <c r="CR621" s="9"/>
      <c r="CS621" s="9"/>
      <c r="CT621" s="9"/>
      <c r="CU621" s="9"/>
      <c r="CV621" s="9"/>
      <c r="CW621" s="129"/>
      <c r="CX621" s="9"/>
    </row>
    <row r="622" spans="1:102">
      <c r="A622" s="6" t="str">
        <f t="shared" si="91"/>
        <v>01230873</v>
      </c>
      <c r="B622" s="6" t="s">
        <v>1773</v>
      </c>
      <c r="C622" s="6" t="s">
        <v>2083</v>
      </c>
      <c r="D622" s="6">
        <v>613</v>
      </c>
      <c r="E622" s="6">
        <v>123</v>
      </c>
      <c r="F622" s="6" t="s">
        <v>1241</v>
      </c>
      <c r="G622" s="6">
        <v>873</v>
      </c>
      <c r="H622" s="6" t="s">
        <v>1113</v>
      </c>
      <c r="I622" s="33">
        <v>1790287.0076487141</v>
      </c>
      <c r="J622" s="88">
        <v>8.7556816013819122E-2</v>
      </c>
      <c r="K622" s="89">
        <f t="shared" si="100"/>
        <v>1606917.8659792878</v>
      </c>
      <c r="L622" s="88">
        <f>IF(K624&gt;0, K622/K624, 0)</f>
        <v>7.810327148111082E-2</v>
      </c>
      <c r="M622" s="58"/>
      <c r="N622" s="9">
        <f>ROUND(M624*L622,0)</f>
        <v>972014</v>
      </c>
      <c r="O622" s="9">
        <v>1021721</v>
      </c>
      <c r="P622" s="9">
        <f>N622-O622</f>
        <v>-49707</v>
      </c>
      <c r="Q622" s="40">
        <f t="shared" si="99"/>
        <v>-4.8650267538789942</v>
      </c>
      <c r="R622" s="9">
        <v>86.000000000400007</v>
      </c>
      <c r="S622" s="9">
        <f t="shared" si="97"/>
        <v>77.0000000016</v>
      </c>
      <c r="T622" s="90">
        <f t="shared" si="92"/>
        <v>123</v>
      </c>
      <c r="U622" s="90">
        <f t="shared" si="93"/>
        <v>873</v>
      </c>
      <c r="V622" s="373">
        <f t="shared" si="94"/>
        <v>613</v>
      </c>
      <c r="W622" s="90">
        <f t="shared" si="95"/>
        <v>77.0000000016</v>
      </c>
      <c r="X622" s="90">
        <f t="shared" si="96"/>
        <v>1606917.8659792878</v>
      </c>
      <c r="Y622" s="141">
        <f t="shared" si="98"/>
        <v>613</v>
      </c>
      <c r="Z622" s="298">
        <v>123</v>
      </c>
      <c r="AA622" s="299">
        <v>873</v>
      </c>
      <c r="AB622" s="299">
        <v>613</v>
      </c>
      <c r="AC622" s="301">
        <v>77.0000000016</v>
      </c>
      <c r="AD622" s="301">
        <v>1606917.8659792878</v>
      </c>
      <c r="AE622" s="126"/>
      <c r="AF622" s="298"/>
      <c r="AG622" s="299"/>
      <c r="AH622" s="299"/>
      <c r="AI622" s="301"/>
      <c r="AJ622" s="301"/>
      <c r="AK622" s="426"/>
      <c r="AL622" s="298"/>
      <c r="AM622" s="299"/>
      <c r="AN622" s="299"/>
      <c r="AO622" s="301"/>
      <c r="AP622" s="301"/>
      <c r="AQ622" s="426"/>
      <c r="AR622" s="298"/>
      <c r="AS622" s="299"/>
      <c r="AT622" s="299"/>
      <c r="AU622" s="301"/>
      <c r="AV622" s="301"/>
      <c r="AW622" s="88"/>
      <c r="AX622" s="298"/>
      <c r="AY622" s="299"/>
      <c r="AZ622" s="299"/>
      <c r="BA622" s="301"/>
      <c r="BB622" s="301"/>
      <c r="BC622" s="426"/>
      <c r="BD622" s="298"/>
      <c r="BE622" s="299"/>
      <c r="BF622" s="299"/>
      <c r="BG622" s="301"/>
      <c r="BH622" s="301"/>
      <c r="BI622" s="88"/>
      <c r="BJ622" s="298"/>
      <c r="BK622" s="299"/>
      <c r="BL622" s="299"/>
      <c r="BM622" s="301"/>
      <c r="BN622" s="301"/>
      <c r="BO622" s="88"/>
      <c r="BP622" s="9"/>
      <c r="BS622" s="81"/>
      <c r="BT622" s="81"/>
      <c r="BV622" s="9"/>
      <c r="BY622" s="81"/>
      <c r="BZ622" s="81"/>
      <c r="CB622" s="9"/>
      <c r="CE622" s="81"/>
      <c r="CF622" s="81"/>
      <c r="CH622" s="9"/>
      <c r="CK622" s="81"/>
      <c r="CL622" s="81"/>
      <c r="CR622" s="9"/>
      <c r="CS622" s="9"/>
      <c r="CT622" s="9"/>
      <c r="CU622" s="9"/>
      <c r="CV622" s="9"/>
      <c r="CW622" s="129"/>
      <c r="CX622" s="9"/>
    </row>
    <row r="623" spans="1:102">
      <c r="A623" s="6" t="str">
        <f t="shared" si="91"/>
        <v>01230998</v>
      </c>
      <c r="B623" s="6" t="s">
        <v>1773</v>
      </c>
      <c r="C623" s="6" t="s">
        <v>2091</v>
      </c>
      <c r="D623" s="6">
        <v>614</v>
      </c>
      <c r="E623" s="6">
        <v>123</v>
      </c>
      <c r="F623" s="6" t="s">
        <v>1547</v>
      </c>
      <c r="G623" s="6">
        <v>998</v>
      </c>
      <c r="H623" s="6" t="s">
        <v>1547</v>
      </c>
      <c r="I623" s="33">
        <v>0</v>
      </c>
      <c r="J623" s="88">
        <v>0</v>
      </c>
      <c r="K623" s="89">
        <f t="shared" si="100"/>
        <v>0</v>
      </c>
      <c r="L623" s="88">
        <f>IF(K624&gt;0, K623/K624, 0)</f>
        <v>0</v>
      </c>
      <c r="M623" s="58"/>
      <c r="N623" s="9">
        <f>ROUND(M624*L623,0)</f>
        <v>0</v>
      </c>
      <c r="O623" s="9">
        <v>0</v>
      </c>
      <c r="P623" s="9">
        <f>N623-O623</f>
        <v>0</v>
      </c>
      <c r="Q623" s="40">
        <f t="shared" si="99"/>
        <v>0</v>
      </c>
      <c r="R623" s="9">
        <v>0</v>
      </c>
      <c r="S623" s="9">
        <f t="shared" si="97"/>
        <v>0</v>
      </c>
      <c r="T623" s="90">
        <f t="shared" si="92"/>
        <v>123</v>
      </c>
      <c r="U623" s="90">
        <f t="shared" si="93"/>
        <v>998</v>
      </c>
      <c r="V623" s="373">
        <f t="shared" si="94"/>
        <v>614</v>
      </c>
      <c r="W623" s="90">
        <f t="shared" si="95"/>
        <v>0</v>
      </c>
      <c r="X623" s="90">
        <f t="shared" si="96"/>
        <v>0</v>
      </c>
      <c r="Y623" s="141">
        <f t="shared" si="98"/>
        <v>614</v>
      </c>
      <c r="Z623" s="298">
        <v>123</v>
      </c>
      <c r="AA623" s="299">
        <v>998</v>
      </c>
      <c r="AB623" s="299">
        <v>614</v>
      </c>
      <c r="AC623" s="301">
        <v>0</v>
      </c>
      <c r="AD623" s="301">
        <v>0</v>
      </c>
      <c r="AE623" s="126"/>
      <c r="AF623" s="298"/>
      <c r="AG623" s="299"/>
      <c r="AH623" s="299"/>
      <c r="AI623" s="301"/>
      <c r="AJ623" s="301"/>
      <c r="AK623" s="426"/>
      <c r="AL623" s="298"/>
      <c r="AM623" s="299"/>
      <c r="AN623" s="299"/>
      <c r="AO623" s="301"/>
      <c r="AP623" s="301"/>
      <c r="AQ623" s="426"/>
      <c r="AR623" s="298"/>
      <c r="AS623" s="299"/>
      <c r="AT623" s="299"/>
      <c r="AU623" s="301"/>
      <c r="AV623" s="301"/>
      <c r="AW623" s="88"/>
      <c r="AX623" s="298"/>
      <c r="AY623" s="299"/>
      <c r="AZ623" s="299"/>
      <c r="BA623" s="301"/>
      <c r="BB623" s="301"/>
      <c r="BC623" s="426"/>
      <c r="BD623" s="298"/>
      <c r="BE623" s="299"/>
      <c r="BF623" s="299"/>
      <c r="BG623" s="301"/>
      <c r="BH623" s="301"/>
      <c r="BI623" s="88"/>
      <c r="BJ623" s="298"/>
      <c r="BK623" s="299"/>
      <c r="BL623" s="299"/>
      <c r="BM623" s="301"/>
      <c r="BN623" s="301"/>
      <c r="BO623" s="88"/>
      <c r="BP623" s="9"/>
      <c r="BS623" s="81"/>
      <c r="BT623" s="81"/>
      <c r="BV623" s="9"/>
      <c r="BY623" s="81"/>
      <c r="BZ623" s="81"/>
      <c r="CB623" s="9"/>
      <c r="CE623" s="81"/>
      <c r="CF623" s="81"/>
      <c r="CH623" s="9"/>
      <c r="CK623" s="81"/>
      <c r="CL623" s="81"/>
      <c r="CR623" s="9"/>
      <c r="CS623" s="9"/>
      <c r="CT623" s="9"/>
      <c r="CU623" s="9"/>
      <c r="CV623" s="9"/>
      <c r="CW623" s="129"/>
      <c r="CX623" s="9"/>
    </row>
    <row r="624" spans="1:102">
      <c r="A624" s="6" t="str">
        <f t="shared" si="91"/>
        <v>01230999</v>
      </c>
      <c r="B624" s="6" t="s">
        <v>1773</v>
      </c>
      <c r="C624" s="6" t="s">
        <v>2092</v>
      </c>
      <c r="D624" s="6">
        <v>615</v>
      </c>
      <c r="E624" s="10">
        <v>123</v>
      </c>
      <c r="F624" s="10" t="s">
        <v>1241</v>
      </c>
      <c r="G624" s="10">
        <v>999</v>
      </c>
      <c r="H624" s="10" t="s">
        <v>593</v>
      </c>
      <c r="I624" s="92">
        <v>20447146.083591625</v>
      </c>
      <c r="J624" s="472">
        <v>1</v>
      </c>
      <c r="K624" s="53">
        <f>SUM(K620:K623)</f>
        <v>20574270.904489819</v>
      </c>
      <c r="L624" s="91">
        <f>SUM(L620:L623)</f>
        <v>1</v>
      </c>
      <c r="M624" s="79">
        <f>VLOOKUP(E624,town351,24)</f>
        <v>12445238</v>
      </c>
      <c r="N624" s="79">
        <f>SUM(N620:N623)</f>
        <v>12445238</v>
      </c>
      <c r="O624" s="79">
        <v>11669234</v>
      </c>
      <c r="P624" s="79">
        <f>SUM(P620:P623)</f>
        <v>776004</v>
      </c>
      <c r="Q624" s="39">
        <f t="shared" si="99"/>
        <v>6.6499994772578903</v>
      </c>
      <c r="R624" s="9">
        <v>1481.3067993497</v>
      </c>
      <c r="S624" s="9">
        <f t="shared" si="97"/>
        <v>1443.7477678688401</v>
      </c>
      <c r="T624" s="90">
        <f t="shared" si="92"/>
        <v>123</v>
      </c>
      <c r="U624" s="90">
        <f t="shared" si="93"/>
        <v>999</v>
      </c>
      <c r="V624" s="373">
        <f t="shared" si="94"/>
        <v>615</v>
      </c>
      <c r="W624" s="90">
        <f t="shared" si="95"/>
        <v>1443.7477678688401</v>
      </c>
      <c r="X624" s="90">
        <f t="shared" si="96"/>
        <v>20574270.904489819</v>
      </c>
      <c r="Y624" s="141">
        <f t="shared" si="98"/>
        <v>615</v>
      </c>
      <c r="Z624" s="298">
        <v>123</v>
      </c>
      <c r="AA624" s="299">
        <v>999</v>
      </c>
      <c r="AB624" s="299">
        <v>615</v>
      </c>
      <c r="AC624" s="301">
        <v>1443.7477678688401</v>
      </c>
      <c r="AD624" s="301">
        <v>20574270.904489819</v>
      </c>
      <c r="AE624" s="126"/>
      <c r="AF624" s="298"/>
      <c r="AG624" s="299"/>
      <c r="AH624" s="299"/>
      <c r="AI624" s="301"/>
      <c r="AJ624" s="301"/>
      <c r="AK624" s="426"/>
      <c r="AL624" s="298"/>
      <c r="AM624" s="299"/>
      <c r="AN624" s="299"/>
      <c r="AO624" s="301"/>
      <c r="AP624" s="301"/>
      <c r="AQ624" s="426"/>
      <c r="AR624" s="298"/>
      <c r="AS624" s="299"/>
      <c r="AT624" s="299"/>
      <c r="AU624" s="301"/>
      <c r="AV624" s="301"/>
      <c r="AW624" s="91"/>
      <c r="AX624" s="298"/>
      <c r="AY624" s="299"/>
      <c r="AZ624" s="299"/>
      <c r="BA624" s="301"/>
      <c r="BB624" s="301"/>
      <c r="BC624" s="426"/>
      <c r="BD624" s="298"/>
      <c r="BE624" s="299"/>
      <c r="BF624" s="299"/>
      <c r="BG624" s="301"/>
      <c r="BH624" s="301"/>
      <c r="BI624" s="91"/>
      <c r="BJ624" s="298"/>
      <c r="BK624" s="299"/>
      <c r="BL624" s="299"/>
      <c r="BM624" s="301"/>
      <c r="BN624" s="301"/>
      <c r="BO624" s="91"/>
      <c r="BP624" s="9"/>
      <c r="BS624" s="81"/>
      <c r="BT624" s="81"/>
      <c r="BV624" s="9"/>
      <c r="BY624" s="81"/>
      <c r="BZ624" s="81"/>
      <c r="CB624" s="9"/>
      <c r="CE624" s="81"/>
      <c r="CF624" s="81"/>
      <c r="CH624" s="9"/>
      <c r="CK624" s="81"/>
      <c r="CL624" s="81"/>
      <c r="CR624" s="9"/>
      <c r="CS624" s="9"/>
      <c r="CT624" s="9"/>
      <c r="CU624" s="9"/>
      <c r="CV624" s="9"/>
      <c r="CW624" s="129"/>
      <c r="CX624" s="9"/>
    </row>
    <row r="625" spans="1:102">
      <c r="A625" s="6" t="str">
        <f t="shared" si="91"/>
        <v>01240124</v>
      </c>
      <c r="B625" s="6" t="s">
        <v>1774</v>
      </c>
      <c r="C625" s="6" t="s">
        <v>1774</v>
      </c>
      <c r="D625" s="6">
        <v>616</v>
      </c>
      <c r="E625" s="6">
        <v>124</v>
      </c>
      <c r="F625" s="6" t="s">
        <v>1242</v>
      </c>
      <c r="G625" s="6">
        <v>124</v>
      </c>
      <c r="H625" s="6" t="s">
        <v>805</v>
      </c>
      <c r="I625" s="33">
        <v>0</v>
      </c>
      <c r="J625" s="88">
        <v>0</v>
      </c>
      <c r="K625" s="89">
        <f>X625</f>
        <v>0</v>
      </c>
      <c r="L625" s="88">
        <f>IF(K629&gt;0, K625/K629, 0)</f>
        <v>0</v>
      </c>
      <c r="M625" s="58"/>
      <c r="N625" s="9">
        <f>ROUND(M629*L625,0)</f>
        <v>0</v>
      </c>
      <c r="O625" s="9">
        <v>0</v>
      </c>
      <c r="P625" s="9">
        <f>N625-O625</f>
        <v>0</v>
      </c>
      <c r="Q625" s="40">
        <f t="shared" si="99"/>
        <v>0</v>
      </c>
      <c r="R625" s="9">
        <v>0</v>
      </c>
      <c r="S625" s="9">
        <f t="shared" si="97"/>
        <v>0</v>
      </c>
      <c r="T625" s="90">
        <f t="shared" si="92"/>
        <v>124</v>
      </c>
      <c r="U625" s="90">
        <f t="shared" si="93"/>
        <v>124</v>
      </c>
      <c r="V625" s="373">
        <f t="shared" si="94"/>
        <v>616</v>
      </c>
      <c r="W625" s="90">
        <f t="shared" si="95"/>
        <v>0</v>
      </c>
      <c r="X625" s="90">
        <f t="shared" si="96"/>
        <v>0</v>
      </c>
      <c r="Y625" s="141">
        <f t="shared" si="98"/>
        <v>616</v>
      </c>
      <c r="Z625" s="298">
        <v>124</v>
      </c>
      <c r="AA625" s="299">
        <v>124</v>
      </c>
      <c r="AB625" s="299">
        <v>616</v>
      </c>
      <c r="AC625" s="301">
        <v>0</v>
      </c>
      <c r="AD625" s="301">
        <v>0</v>
      </c>
      <c r="AE625" s="126"/>
      <c r="AF625" s="298"/>
      <c r="AG625" s="299"/>
      <c r="AH625" s="299"/>
      <c r="AI625" s="301"/>
      <c r="AJ625" s="301"/>
      <c r="AK625" s="426"/>
      <c r="AL625" s="298"/>
      <c r="AM625" s="299"/>
      <c r="AN625" s="299"/>
      <c r="AO625" s="301"/>
      <c r="AP625" s="301"/>
      <c r="AQ625" s="426"/>
      <c r="AR625" s="298"/>
      <c r="AS625" s="299"/>
      <c r="AT625" s="299"/>
      <c r="AU625" s="301"/>
      <c r="AV625" s="301"/>
      <c r="AW625" s="88"/>
      <c r="AX625" s="298"/>
      <c r="AY625" s="299"/>
      <c r="AZ625" s="299"/>
      <c r="BA625" s="301"/>
      <c r="BB625" s="301"/>
      <c r="BC625" s="426"/>
      <c r="BD625" s="298"/>
      <c r="BE625" s="299"/>
      <c r="BF625" s="299"/>
      <c r="BG625" s="301"/>
      <c r="BH625" s="301"/>
      <c r="BI625" s="88"/>
      <c r="BJ625" s="298"/>
      <c r="BK625" s="299"/>
      <c r="BL625" s="299"/>
      <c r="BM625" s="301"/>
      <c r="BN625" s="301"/>
      <c r="BO625" s="88"/>
      <c r="BP625" s="9"/>
      <c r="BS625" s="81"/>
      <c r="BT625" s="81"/>
      <c r="BV625" s="9"/>
      <c r="BY625" s="81"/>
      <c r="BZ625" s="81"/>
      <c r="CB625" s="9"/>
      <c r="CE625" s="81"/>
      <c r="CF625" s="81"/>
      <c r="CH625" s="9"/>
      <c r="CK625" s="81"/>
      <c r="CL625" s="81"/>
      <c r="CR625" s="9"/>
      <c r="CS625" s="9"/>
      <c r="CT625" s="9"/>
      <c r="CU625" s="9"/>
      <c r="CV625" s="9"/>
      <c r="CW625" s="129"/>
      <c r="CX625" s="9"/>
    </row>
    <row r="626" spans="1:102">
      <c r="A626" s="6" t="str">
        <f t="shared" si="91"/>
        <v>01240753</v>
      </c>
      <c r="B626" s="6" t="s">
        <v>1774</v>
      </c>
      <c r="C626" s="6" t="s">
        <v>2049</v>
      </c>
      <c r="D626" s="6">
        <v>617</v>
      </c>
      <c r="E626" s="6">
        <v>124</v>
      </c>
      <c r="F626" s="6" t="s">
        <v>1242</v>
      </c>
      <c r="G626" s="6">
        <v>753</v>
      </c>
      <c r="H626" s="6" t="s">
        <v>1079</v>
      </c>
      <c r="I626" s="33">
        <v>4381304.3064969378</v>
      </c>
      <c r="J626" s="88">
        <v>0.91158010071719009</v>
      </c>
      <c r="K626" s="89">
        <f t="shared" si="100"/>
        <v>4484732.1892163064</v>
      </c>
      <c r="L626" s="88">
        <f>IF(K629&gt;0, K626/K629, 0)</f>
        <v>0.89169020580260971</v>
      </c>
      <c r="M626" s="58"/>
      <c r="N626" s="9">
        <f>ROUND(M629*L626,0)</f>
        <v>1776528</v>
      </c>
      <c r="O626" s="9">
        <v>1746639</v>
      </c>
      <c r="P626" s="9">
        <f>N626-O626</f>
        <v>29889</v>
      </c>
      <c r="Q626" s="40">
        <f t="shared" si="99"/>
        <v>1.7112293954274467</v>
      </c>
      <c r="R626" s="9">
        <v>316.11630218300002</v>
      </c>
      <c r="S626" s="9">
        <f t="shared" si="97"/>
        <v>312.61035695458003</v>
      </c>
      <c r="T626" s="90">
        <f t="shared" si="92"/>
        <v>124</v>
      </c>
      <c r="U626" s="90">
        <f t="shared" si="93"/>
        <v>753</v>
      </c>
      <c r="V626" s="373">
        <f t="shared" si="94"/>
        <v>617</v>
      </c>
      <c r="W626" s="90">
        <f t="shared" si="95"/>
        <v>312.61035695458003</v>
      </c>
      <c r="X626" s="90">
        <f t="shared" si="96"/>
        <v>4484732.1892163064</v>
      </c>
      <c r="Y626" s="141">
        <f t="shared" si="98"/>
        <v>617</v>
      </c>
      <c r="Z626" s="298">
        <v>124</v>
      </c>
      <c r="AA626" s="299">
        <v>753</v>
      </c>
      <c r="AB626" s="299">
        <v>617</v>
      </c>
      <c r="AC626" s="301">
        <v>312.61035695458003</v>
      </c>
      <c r="AD626" s="301">
        <v>4484732.1892163064</v>
      </c>
      <c r="AE626" s="126"/>
      <c r="AF626" s="298"/>
      <c r="AG626" s="299"/>
      <c r="AH626" s="299"/>
      <c r="AI626" s="301"/>
      <c r="AJ626" s="301"/>
      <c r="AK626" s="426"/>
      <c r="AL626" s="298"/>
      <c r="AM626" s="299"/>
      <c r="AN626" s="299"/>
      <c r="AO626" s="301"/>
      <c r="AP626" s="301"/>
      <c r="AQ626" s="426"/>
      <c r="AR626" s="298"/>
      <c r="AS626" s="299"/>
      <c r="AT626" s="299"/>
      <c r="AU626" s="301"/>
      <c r="AV626" s="301"/>
      <c r="AW626" s="88"/>
      <c r="AX626" s="298"/>
      <c r="AY626" s="299"/>
      <c r="AZ626" s="299"/>
      <c r="BA626" s="301"/>
      <c r="BB626" s="301"/>
      <c r="BC626" s="426"/>
      <c r="BD626" s="298"/>
      <c r="BE626" s="299"/>
      <c r="BF626" s="299"/>
      <c r="BG626" s="301"/>
      <c r="BH626" s="301"/>
      <c r="BI626" s="88"/>
      <c r="BJ626" s="298"/>
      <c r="BK626" s="299"/>
      <c r="BL626" s="299"/>
      <c r="BM626" s="301"/>
      <c r="BN626" s="301"/>
      <c r="BO626" s="88"/>
      <c r="BP626" s="9"/>
      <c r="BS626" s="81"/>
      <c r="BT626" s="81"/>
      <c r="BV626" s="9"/>
      <c r="BY626" s="81"/>
      <c r="BZ626" s="81"/>
      <c r="CB626" s="9"/>
      <c r="CE626" s="81"/>
      <c r="CF626" s="81"/>
      <c r="CH626" s="9"/>
      <c r="CK626" s="81"/>
      <c r="CL626" s="81"/>
      <c r="CR626" s="9"/>
      <c r="CS626" s="9"/>
      <c r="CT626" s="9"/>
      <c r="CU626" s="9"/>
      <c r="CV626" s="9"/>
      <c r="CW626" s="129"/>
      <c r="CX626" s="9"/>
    </row>
    <row r="627" spans="1:102">
      <c r="A627" s="6" t="str">
        <f t="shared" si="91"/>
        <v>01240860</v>
      </c>
      <c r="B627" s="6" t="s">
        <v>1774</v>
      </c>
      <c r="C627" s="6" t="s">
        <v>2080</v>
      </c>
      <c r="D627" s="6">
        <v>618</v>
      </c>
      <c r="E627" s="6">
        <v>124</v>
      </c>
      <c r="F627" s="6" t="s">
        <v>1242</v>
      </c>
      <c r="G627" s="6">
        <v>860</v>
      </c>
      <c r="H627" s="6" t="s">
        <v>1110</v>
      </c>
      <c r="I627" s="33">
        <v>424970.3182452271</v>
      </c>
      <c r="J627" s="88">
        <v>8.8419899282809883E-2</v>
      </c>
      <c r="K627" s="89">
        <f t="shared" si="100"/>
        <v>544741.23107275274</v>
      </c>
      <c r="L627" s="88">
        <f>IF(K629&gt;0, K627/K629, 0)</f>
        <v>0.10830979419739031</v>
      </c>
      <c r="M627" s="58"/>
      <c r="N627" s="9">
        <f>ROUND(M629*L627,0)</f>
        <v>215787</v>
      </c>
      <c r="O627" s="9">
        <v>169417</v>
      </c>
      <c r="P627" s="9">
        <f>N627-O627</f>
        <v>46370</v>
      </c>
      <c r="Q627" s="40">
        <f t="shared" si="99"/>
        <v>27.370334736183501</v>
      </c>
      <c r="R627" s="9">
        <v>19.99999999872</v>
      </c>
      <c r="S627" s="9">
        <f t="shared" si="97"/>
        <v>24.999999996930001</v>
      </c>
      <c r="T627" s="90">
        <f t="shared" si="92"/>
        <v>124</v>
      </c>
      <c r="U627" s="90">
        <f t="shared" si="93"/>
        <v>860</v>
      </c>
      <c r="V627" s="373">
        <f t="shared" si="94"/>
        <v>618</v>
      </c>
      <c r="W627" s="90">
        <f t="shared" si="95"/>
        <v>24.999999996930001</v>
      </c>
      <c r="X627" s="90">
        <f t="shared" si="96"/>
        <v>544741.23107275274</v>
      </c>
      <c r="Y627" s="141">
        <f t="shared" si="98"/>
        <v>618</v>
      </c>
      <c r="Z627" s="298">
        <v>124</v>
      </c>
      <c r="AA627" s="299">
        <v>860</v>
      </c>
      <c r="AB627" s="299">
        <v>618</v>
      </c>
      <c r="AC627" s="301">
        <v>24.999999996930001</v>
      </c>
      <c r="AD627" s="301">
        <v>544741.23107275274</v>
      </c>
      <c r="AE627" s="126"/>
      <c r="AF627" s="298"/>
      <c r="AG627" s="299"/>
      <c r="AH627" s="299"/>
      <c r="AI627" s="301"/>
      <c r="AJ627" s="301"/>
      <c r="AK627" s="426"/>
      <c r="AL627" s="298"/>
      <c r="AM627" s="299"/>
      <c r="AN627" s="299"/>
      <c r="AO627" s="301"/>
      <c r="AP627" s="301"/>
      <c r="AQ627" s="426"/>
      <c r="AR627" s="298"/>
      <c r="AS627" s="299"/>
      <c r="AT627" s="299"/>
      <c r="AU627" s="301"/>
      <c r="AV627" s="301"/>
      <c r="AW627" s="88"/>
      <c r="AX627" s="298"/>
      <c r="AY627" s="299"/>
      <c r="AZ627" s="299"/>
      <c r="BA627" s="301"/>
      <c r="BB627" s="301"/>
      <c r="BC627" s="426"/>
      <c r="BD627" s="298"/>
      <c r="BE627" s="299"/>
      <c r="BF627" s="299"/>
      <c r="BG627" s="301"/>
      <c r="BH627" s="301"/>
      <c r="BI627" s="88"/>
      <c r="BJ627" s="298"/>
      <c r="BK627" s="299"/>
      <c r="BL627" s="299"/>
      <c r="BM627" s="301"/>
      <c r="BN627" s="301"/>
      <c r="BO627" s="88"/>
      <c r="BP627" s="9"/>
      <c r="BS627" s="81"/>
      <c r="BT627" s="81"/>
      <c r="BV627" s="9"/>
      <c r="BY627" s="81"/>
      <c r="BZ627" s="81"/>
      <c r="CB627" s="9"/>
      <c r="CE627" s="81"/>
      <c r="CF627" s="81"/>
      <c r="CH627" s="9"/>
      <c r="CK627" s="81"/>
      <c r="CL627" s="81"/>
      <c r="CR627" s="9"/>
      <c r="CS627" s="9"/>
      <c r="CT627" s="9"/>
      <c r="CU627" s="9"/>
      <c r="CV627" s="9"/>
      <c r="CW627" s="129"/>
      <c r="CX627" s="9"/>
    </row>
    <row r="628" spans="1:102">
      <c r="A628" s="6" t="str">
        <f t="shared" si="91"/>
        <v>01240998</v>
      </c>
      <c r="B628" s="6" t="s">
        <v>1774</v>
      </c>
      <c r="C628" s="6" t="s">
        <v>2091</v>
      </c>
      <c r="D628" s="6">
        <v>619</v>
      </c>
      <c r="E628" s="6">
        <v>124</v>
      </c>
      <c r="F628" s="6" t="s">
        <v>1547</v>
      </c>
      <c r="G628" s="6">
        <v>998</v>
      </c>
      <c r="H628" s="6" t="s">
        <v>1547</v>
      </c>
      <c r="I628" s="33">
        <v>0</v>
      </c>
      <c r="J628" s="88">
        <v>0</v>
      </c>
      <c r="K628" s="89">
        <f t="shared" si="100"/>
        <v>0</v>
      </c>
      <c r="L628" s="88">
        <f>IF(K629&gt;0, K628/K629, 0)</f>
        <v>0</v>
      </c>
      <c r="M628" s="58"/>
      <c r="N628" s="9">
        <f>ROUND(M629*L628,0)</f>
        <v>0</v>
      </c>
      <c r="O628" s="9">
        <v>0</v>
      </c>
      <c r="P628" s="9">
        <f>N628-O628</f>
        <v>0</v>
      </c>
      <c r="Q628" s="40">
        <f t="shared" si="99"/>
        <v>0</v>
      </c>
      <c r="R628" s="9">
        <v>0</v>
      </c>
      <c r="S628" s="9">
        <f t="shared" si="97"/>
        <v>0</v>
      </c>
      <c r="T628" s="90">
        <f t="shared" si="92"/>
        <v>124</v>
      </c>
      <c r="U628" s="90">
        <f t="shared" si="93"/>
        <v>998</v>
      </c>
      <c r="V628" s="373">
        <f t="shared" si="94"/>
        <v>619</v>
      </c>
      <c r="W628" s="90">
        <f t="shared" si="95"/>
        <v>0</v>
      </c>
      <c r="X628" s="90">
        <f t="shared" si="96"/>
        <v>0</v>
      </c>
      <c r="Y628" s="141">
        <f t="shared" si="98"/>
        <v>619</v>
      </c>
      <c r="Z628" s="298">
        <v>124</v>
      </c>
      <c r="AA628" s="299">
        <v>998</v>
      </c>
      <c r="AB628" s="299">
        <v>619</v>
      </c>
      <c r="AC628" s="301">
        <v>0</v>
      </c>
      <c r="AD628" s="301">
        <v>0</v>
      </c>
      <c r="AE628" s="126"/>
      <c r="AF628" s="298"/>
      <c r="AG628" s="299"/>
      <c r="AH628" s="299"/>
      <c r="AI628" s="301"/>
      <c r="AJ628" s="301"/>
      <c r="AK628" s="426"/>
      <c r="AL628" s="298"/>
      <c r="AM628" s="299"/>
      <c r="AN628" s="299"/>
      <c r="AO628" s="301"/>
      <c r="AP628" s="301"/>
      <c r="AQ628" s="426"/>
      <c r="AR628" s="298"/>
      <c r="AS628" s="299"/>
      <c r="AT628" s="299"/>
      <c r="AU628" s="301"/>
      <c r="AV628" s="301"/>
      <c r="AW628" s="88"/>
      <c r="AX628" s="298"/>
      <c r="AY628" s="299"/>
      <c r="AZ628" s="299"/>
      <c r="BA628" s="301"/>
      <c r="BB628" s="301"/>
      <c r="BC628" s="426"/>
      <c r="BD628" s="298"/>
      <c r="BE628" s="299"/>
      <c r="BF628" s="299"/>
      <c r="BG628" s="301"/>
      <c r="BH628" s="301"/>
      <c r="BI628" s="88"/>
      <c r="BJ628" s="298"/>
      <c r="BK628" s="299"/>
      <c r="BL628" s="299"/>
      <c r="BM628" s="301"/>
      <c r="BN628" s="301"/>
      <c r="BO628" s="88"/>
      <c r="BP628" s="9"/>
      <c r="BS628" s="81"/>
      <c r="BT628" s="81"/>
      <c r="BV628" s="9"/>
      <c r="BY628" s="81"/>
      <c r="BZ628" s="81"/>
      <c r="CB628" s="9"/>
      <c r="CE628" s="81"/>
      <c r="CF628" s="81"/>
      <c r="CH628" s="9"/>
      <c r="CK628" s="81"/>
      <c r="CL628" s="81"/>
      <c r="CR628" s="9"/>
      <c r="CS628" s="9"/>
      <c r="CT628" s="9"/>
      <c r="CU628" s="9"/>
      <c r="CV628" s="9"/>
      <c r="CW628" s="129"/>
      <c r="CX628" s="9"/>
    </row>
    <row r="629" spans="1:102">
      <c r="A629" s="6" t="str">
        <f t="shared" si="91"/>
        <v>01240999</v>
      </c>
      <c r="B629" s="6" t="s">
        <v>1774</v>
      </c>
      <c r="C629" s="6" t="s">
        <v>2092</v>
      </c>
      <c r="D629" s="6">
        <v>620</v>
      </c>
      <c r="E629" s="10">
        <v>124</v>
      </c>
      <c r="F629" s="10" t="s">
        <v>1242</v>
      </c>
      <c r="G629" s="10">
        <v>999</v>
      </c>
      <c r="H629" s="10" t="s">
        <v>593</v>
      </c>
      <c r="I629" s="92">
        <v>4806274.6247421652</v>
      </c>
      <c r="J629" s="472">
        <v>1</v>
      </c>
      <c r="K629" s="53">
        <f>SUM(K625:K628)</f>
        <v>5029473.4202890592</v>
      </c>
      <c r="L629" s="91">
        <f>SUM(L625:L628)</f>
        <v>1</v>
      </c>
      <c r="M629" s="79">
        <f>VLOOKUP(E629,town351,24)</f>
        <v>1992315</v>
      </c>
      <c r="N629" s="79">
        <f>SUM(N625:N628)</f>
        <v>1992315</v>
      </c>
      <c r="O629" s="79">
        <v>1916056</v>
      </c>
      <c r="P629" s="79">
        <f>SUM(P625:P628)</f>
        <v>76259</v>
      </c>
      <c r="Q629" s="39">
        <f t="shared" si="99"/>
        <v>3.9799984969124074</v>
      </c>
      <c r="R629" s="9">
        <v>336.11630218172002</v>
      </c>
      <c r="S629" s="9">
        <f t="shared" si="97"/>
        <v>337.61035695151003</v>
      </c>
      <c r="T629" s="90">
        <f t="shared" si="92"/>
        <v>124</v>
      </c>
      <c r="U629" s="90">
        <f t="shared" si="93"/>
        <v>999</v>
      </c>
      <c r="V629" s="373">
        <f t="shared" si="94"/>
        <v>620</v>
      </c>
      <c r="W629" s="90">
        <f t="shared" si="95"/>
        <v>337.61035695151003</v>
      </c>
      <c r="X629" s="90">
        <f t="shared" si="96"/>
        <v>5029473.4202890592</v>
      </c>
      <c r="Y629" s="141">
        <f t="shared" si="98"/>
        <v>620</v>
      </c>
      <c r="Z629" s="298">
        <v>124</v>
      </c>
      <c r="AA629" s="299">
        <v>999</v>
      </c>
      <c r="AB629" s="299">
        <v>620</v>
      </c>
      <c r="AC629" s="301">
        <v>337.61035695151003</v>
      </c>
      <c r="AD629" s="301">
        <v>5029473.4202890592</v>
      </c>
      <c r="AE629" s="126"/>
      <c r="AF629" s="298"/>
      <c r="AG629" s="299"/>
      <c r="AH629" s="299"/>
      <c r="AI629" s="301"/>
      <c r="AJ629" s="301"/>
      <c r="AK629" s="426"/>
      <c r="AL629" s="298"/>
      <c r="AM629" s="299"/>
      <c r="AN629" s="299"/>
      <c r="AO629" s="301"/>
      <c r="AP629" s="301"/>
      <c r="AQ629" s="426"/>
      <c r="AR629" s="298"/>
      <c r="AS629" s="299"/>
      <c r="AT629" s="299"/>
      <c r="AU629" s="301"/>
      <c r="AV629" s="301"/>
      <c r="AW629" s="91"/>
      <c r="AX629" s="298"/>
      <c r="AY629" s="299"/>
      <c r="AZ629" s="299"/>
      <c r="BA629" s="301"/>
      <c r="BB629" s="301"/>
      <c r="BC629" s="426"/>
      <c r="BD629" s="298"/>
      <c r="BE629" s="299"/>
      <c r="BF629" s="299"/>
      <c r="BG629" s="301"/>
      <c r="BH629" s="301"/>
      <c r="BI629" s="91"/>
      <c r="BJ629" s="298"/>
      <c r="BK629" s="299"/>
      <c r="BL629" s="299"/>
      <c r="BM629" s="301"/>
      <c r="BN629" s="301"/>
      <c r="BO629" s="91"/>
      <c r="BP629" s="9"/>
      <c r="BS629" s="81"/>
      <c r="BT629" s="81"/>
      <c r="BV629" s="9"/>
      <c r="BY629" s="81"/>
      <c r="BZ629" s="81"/>
      <c r="CB629" s="9"/>
      <c r="CE629" s="81"/>
      <c r="CF629" s="81"/>
      <c r="CH629" s="9"/>
      <c r="CK629" s="81"/>
      <c r="CL629" s="81"/>
      <c r="CR629" s="9"/>
      <c r="CS629" s="9"/>
      <c r="CT629" s="9"/>
      <c r="CU629" s="9"/>
      <c r="CV629" s="9"/>
      <c r="CW629" s="129"/>
      <c r="CX629" s="9"/>
    </row>
    <row r="630" spans="1:102">
      <c r="A630" s="6" t="str">
        <f t="shared" si="91"/>
        <v>01250125</v>
      </c>
      <c r="B630" s="6" t="s">
        <v>1775</v>
      </c>
      <c r="C630" s="6" t="s">
        <v>1775</v>
      </c>
      <c r="D630" s="6">
        <v>621</v>
      </c>
      <c r="E630" s="6">
        <v>125</v>
      </c>
      <c r="F630" s="6" t="s">
        <v>1243</v>
      </c>
      <c r="G630" s="6">
        <v>125</v>
      </c>
      <c r="H630" s="6" t="s">
        <v>806</v>
      </c>
      <c r="I630" s="33">
        <v>10576374.949999999</v>
      </c>
      <c r="J630" s="88">
        <v>0.98869556534353231</v>
      </c>
      <c r="K630" s="89">
        <f>X630</f>
        <v>10978851.09</v>
      </c>
      <c r="L630" s="88">
        <f>IF(K634&gt;0, K630/K634, 0)</f>
        <v>0.9836619930393915</v>
      </c>
      <c r="M630" s="58"/>
      <c r="N630" s="9">
        <f>ROUND(M634*L630,0)</f>
        <v>8697832</v>
      </c>
      <c r="O630" s="9">
        <v>8379508</v>
      </c>
      <c r="P630" s="9">
        <f>N630-O630</f>
        <v>318324</v>
      </c>
      <c r="Q630" s="40">
        <f t="shared" si="99"/>
        <v>3.798838786239001</v>
      </c>
      <c r="R630" s="9">
        <v>875</v>
      </c>
      <c r="S630" s="9">
        <f t="shared" si="97"/>
        <v>881</v>
      </c>
      <c r="T630" s="90">
        <f t="shared" si="92"/>
        <v>125</v>
      </c>
      <c r="U630" s="90">
        <f t="shared" si="93"/>
        <v>125</v>
      </c>
      <c r="V630" s="373">
        <f t="shared" si="94"/>
        <v>621</v>
      </c>
      <c r="W630" s="90">
        <f t="shared" si="95"/>
        <v>881</v>
      </c>
      <c r="X630" s="90">
        <f t="shared" si="96"/>
        <v>10978851.09</v>
      </c>
      <c r="Y630" s="141">
        <f t="shared" si="98"/>
        <v>621</v>
      </c>
      <c r="Z630" s="298">
        <v>125</v>
      </c>
      <c r="AA630" s="299">
        <v>125</v>
      </c>
      <c r="AB630" s="299">
        <v>621</v>
      </c>
      <c r="AC630" s="301">
        <v>881</v>
      </c>
      <c r="AD630" s="301">
        <v>10978851.09</v>
      </c>
      <c r="AE630" s="126"/>
      <c r="AF630" s="298"/>
      <c r="AG630" s="299"/>
      <c r="AH630" s="299"/>
      <c r="AI630" s="301"/>
      <c r="AJ630" s="301"/>
      <c r="AK630" s="426"/>
      <c r="AL630" s="298"/>
      <c r="AM630" s="299"/>
      <c r="AN630" s="299"/>
      <c r="AO630" s="301"/>
      <c r="AP630" s="301"/>
      <c r="AQ630" s="426"/>
      <c r="AR630" s="298"/>
      <c r="AS630" s="299"/>
      <c r="AT630" s="299"/>
      <c r="AU630" s="301"/>
      <c r="AV630" s="301"/>
      <c r="AW630" s="88"/>
      <c r="AX630" s="298"/>
      <c r="AY630" s="299"/>
      <c r="AZ630" s="299"/>
      <c r="BA630" s="301"/>
      <c r="BB630" s="301"/>
      <c r="BC630" s="426"/>
      <c r="BD630" s="298"/>
      <c r="BE630" s="299"/>
      <c r="BF630" s="299"/>
      <c r="BG630" s="301"/>
      <c r="BH630" s="301"/>
      <c r="BI630" s="88"/>
      <c r="BJ630" s="298"/>
      <c r="BK630" s="299"/>
      <c r="BL630" s="299"/>
      <c r="BM630" s="301"/>
      <c r="BN630" s="301"/>
      <c r="BO630" s="88"/>
      <c r="BP630" s="9"/>
      <c r="BS630" s="81"/>
      <c r="BT630" s="81"/>
      <c r="BV630" s="9"/>
      <c r="BY630" s="81"/>
      <c r="BZ630" s="81"/>
      <c r="CB630" s="9"/>
      <c r="CE630" s="81"/>
      <c r="CF630" s="81"/>
      <c r="CH630" s="9"/>
      <c r="CK630" s="81"/>
      <c r="CL630" s="81"/>
      <c r="CR630" s="9"/>
      <c r="CS630" s="9"/>
      <c r="CT630" s="9"/>
      <c r="CU630" s="9"/>
      <c r="CV630" s="9"/>
      <c r="CW630" s="129"/>
      <c r="CX630" s="9"/>
    </row>
    <row r="631" spans="1:102">
      <c r="A631" s="6" t="str">
        <f t="shared" si="91"/>
        <v>01250832</v>
      </c>
      <c r="B631" s="6" t="s">
        <v>1775</v>
      </c>
      <c r="C631" s="6" t="s">
        <v>2075</v>
      </c>
      <c r="D631" s="6">
        <v>622</v>
      </c>
      <c r="E631" s="6">
        <v>125</v>
      </c>
      <c r="F631" s="6" t="s">
        <v>1243</v>
      </c>
      <c r="G631" s="6">
        <v>832</v>
      </c>
      <c r="H631" s="6" t="s">
        <v>1105</v>
      </c>
      <c r="I631" s="33">
        <v>120926.95033282033</v>
      </c>
      <c r="J631" s="88">
        <v>1.1304434656467721E-2</v>
      </c>
      <c r="K631" s="89">
        <f t="shared" si="100"/>
        <v>182351.81068007377</v>
      </c>
      <c r="L631" s="88">
        <f>IF(K634&gt;0, K631/K634, 0)</f>
        <v>1.6338006960608404E-2</v>
      </c>
      <c r="M631" s="58"/>
      <c r="N631" s="9">
        <f>ROUND(M634*L631,0)</f>
        <v>144466</v>
      </c>
      <c r="O631" s="9">
        <v>95809</v>
      </c>
      <c r="P631" s="9">
        <f>N631-O631</f>
        <v>48657</v>
      </c>
      <c r="Q631" s="40">
        <f t="shared" si="99"/>
        <v>50.785416818879227</v>
      </c>
      <c r="R631" s="9">
        <v>6.0082023300000005</v>
      </c>
      <c r="S631" s="9">
        <f t="shared" si="97"/>
        <v>9.0000000064799988</v>
      </c>
      <c r="T631" s="90">
        <f t="shared" si="92"/>
        <v>125</v>
      </c>
      <c r="U631" s="90">
        <f t="shared" si="93"/>
        <v>832</v>
      </c>
      <c r="V631" s="373">
        <f t="shared" si="94"/>
        <v>622</v>
      </c>
      <c r="W631" s="90">
        <f t="shared" si="95"/>
        <v>9.0000000064799988</v>
      </c>
      <c r="X631" s="90">
        <f t="shared" si="96"/>
        <v>182351.81068007377</v>
      </c>
      <c r="Y631" s="141">
        <f t="shared" si="98"/>
        <v>622</v>
      </c>
      <c r="Z631" s="298">
        <v>125</v>
      </c>
      <c r="AA631" s="299">
        <v>832</v>
      </c>
      <c r="AB631" s="299">
        <v>622</v>
      </c>
      <c r="AC631" s="301">
        <v>9.0000000064799988</v>
      </c>
      <c r="AD631" s="301">
        <v>182351.81068007377</v>
      </c>
      <c r="AE631" s="126"/>
      <c r="AF631" s="298"/>
      <c r="AG631" s="299"/>
      <c r="AH631" s="299"/>
      <c r="AI631" s="301"/>
      <c r="AJ631" s="301"/>
      <c r="AK631" s="426"/>
      <c r="AL631" s="298"/>
      <c r="AM631" s="299"/>
      <c r="AN631" s="299"/>
      <c r="AO631" s="301"/>
      <c r="AP631" s="301"/>
      <c r="AQ631" s="426"/>
      <c r="AR631" s="298"/>
      <c r="AS631" s="299"/>
      <c r="AT631" s="299"/>
      <c r="AU631" s="301"/>
      <c r="AV631" s="301"/>
      <c r="AW631" s="88"/>
      <c r="AX631" s="298"/>
      <c r="AY631" s="299"/>
      <c r="AZ631" s="299"/>
      <c r="BA631" s="301"/>
      <c r="BB631" s="301"/>
      <c r="BC631" s="426"/>
      <c r="BD631" s="298"/>
      <c r="BE631" s="299"/>
      <c r="BF631" s="299"/>
      <c r="BG631" s="301"/>
      <c r="BH631" s="301"/>
      <c r="BI631" s="88"/>
      <c r="BJ631" s="298"/>
      <c r="BK631" s="299"/>
      <c r="BL631" s="299"/>
      <c r="BM631" s="301"/>
      <c r="BN631" s="301"/>
      <c r="BO631" s="88"/>
      <c r="BP631" s="9"/>
      <c r="BS631" s="81"/>
      <c r="BT631" s="81"/>
      <c r="BV631" s="9"/>
      <c r="BY631" s="81"/>
      <c r="BZ631" s="81"/>
      <c r="CB631" s="9"/>
      <c r="CE631" s="81"/>
      <c r="CF631" s="81"/>
      <c r="CH631" s="9"/>
      <c r="CK631" s="81"/>
      <c r="CL631" s="81"/>
      <c r="CR631" s="9"/>
      <c r="CS631" s="9"/>
      <c r="CT631" s="9"/>
      <c r="CU631" s="9"/>
      <c r="CV631" s="9"/>
      <c r="CW631" s="129"/>
      <c r="CX631" s="9"/>
    </row>
    <row r="632" spans="1:102">
      <c r="A632" s="6" t="str">
        <f t="shared" si="91"/>
        <v>01250998</v>
      </c>
      <c r="B632" s="6" t="s">
        <v>1775</v>
      </c>
      <c r="C632" s="6" t="s">
        <v>2091</v>
      </c>
      <c r="D632" s="6">
        <v>623</v>
      </c>
      <c r="E632" s="6">
        <v>125</v>
      </c>
      <c r="F632" s="6" t="s">
        <v>1547</v>
      </c>
      <c r="G632" s="6">
        <v>998</v>
      </c>
      <c r="H632" s="6" t="s">
        <v>1547</v>
      </c>
      <c r="I632" s="33">
        <v>0</v>
      </c>
      <c r="J632" s="88">
        <v>0</v>
      </c>
      <c r="K632" s="89">
        <f t="shared" si="100"/>
        <v>0</v>
      </c>
      <c r="L632" s="88">
        <f>IF(K634&gt;0, K632/K634, 0)</f>
        <v>0</v>
      </c>
      <c r="M632" s="58"/>
      <c r="N632" s="9">
        <f>ROUND(M634*L632,0)</f>
        <v>0</v>
      </c>
      <c r="O632" s="9">
        <v>0</v>
      </c>
      <c r="P632" s="9">
        <f>N632-O632</f>
        <v>0</v>
      </c>
      <c r="Q632" s="40">
        <f t="shared" si="99"/>
        <v>0</v>
      </c>
      <c r="R632" s="9">
        <v>0</v>
      </c>
      <c r="S632" s="9">
        <f t="shared" si="97"/>
        <v>0</v>
      </c>
      <c r="T632" s="90">
        <f t="shared" si="92"/>
        <v>125</v>
      </c>
      <c r="U632" s="90">
        <f t="shared" si="93"/>
        <v>998</v>
      </c>
      <c r="V632" s="373">
        <f t="shared" si="94"/>
        <v>623</v>
      </c>
      <c r="W632" s="90">
        <f t="shared" si="95"/>
        <v>0</v>
      </c>
      <c r="X632" s="90">
        <f t="shared" si="96"/>
        <v>0</v>
      </c>
      <c r="Y632" s="141">
        <f t="shared" si="98"/>
        <v>623</v>
      </c>
      <c r="Z632" s="298">
        <v>125</v>
      </c>
      <c r="AA632" s="299">
        <v>998</v>
      </c>
      <c r="AB632" s="299">
        <v>623</v>
      </c>
      <c r="AC632" s="301">
        <v>0</v>
      </c>
      <c r="AD632" s="301">
        <v>0</v>
      </c>
      <c r="AE632" s="126"/>
      <c r="AF632" s="298"/>
      <c r="AG632" s="299"/>
      <c r="AH632" s="299"/>
      <c r="AI632" s="301"/>
      <c r="AJ632" s="301"/>
      <c r="AK632" s="426"/>
      <c r="AL632" s="298"/>
      <c r="AM632" s="299"/>
      <c r="AN632" s="299"/>
      <c r="AO632" s="301"/>
      <c r="AP632" s="301"/>
      <c r="AQ632" s="426"/>
      <c r="AR632" s="298"/>
      <c r="AS632" s="299"/>
      <c r="AT632" s="299"/>
      <c r="AU632" s="301"/>
      <c r="AV632" s="301"/>
      <c r="AW632" s="88"/>
      <c r="AX632" s="298"/>
      <c r="AY632" s="299"/>
      <c r="AZ632" s="299"/>
      <c r="BA632" s="301"/>
      <c r="BB632" s="301"/>
      <c r="BC632" s="426"/>
      <c r="BD632" s="298"/>
      <c r="BE632" s="299"/>
      <c r="BF632" s="299"/>
      <c r="BG632" s="301"/>
      <c r="BH632" s="301"/>
      <c r="BI632" s="88"/>
      <c r="BJ632" s="298"/>
      <c r="BK632" s="299"/>
      <c r="BL632" s="299"/>
      <c r="BM632" s="301"/>
      <c r="BN632" s="301"/>
      <c r="BO632" s="88"/>
      <c r="BP632" s="9"/>
      <c r="BS632" s="81"/>
      <c r="BT632" s="81"/>
      <c r="BV632" s="9"/>
      <c r="BY632" s="81"/>
      <c r="BZ632" s="81"/>
      <c r="CB632" s="9"/>
      <c r="CE632" s="81"/>
      <c r="CF632" s="81"/>
      <c r="CH632" s="9"/>
      <c r="CK632" s="81"/>
      <c r="CL632" s="81"/>
      <c r="CR632" s="9"/>
      <c r="CS632" s="9"/>
      <c r="CT632" s="9"/>
      <c r="CU632" s="9"/>
      <c r="CV632" s="9"/>
      <c r="CW632" s="129"/>
      <c r="CX632" s="9"/>
    </row>
    <row r="633" spans="1:102">
      <c r="A633" s="6" t="str">
        <f t="shared" si="91"/>
        <v>01250998</v>
      </c>
      <c r="B633" s="6" t="s">
        <v>1775</v>
      </c>
      <c r="C633" s="6" t="s">
        <v>2091</v>
      </c>
      <c r="D633" s="6">
        <v>624</v>
      </c>
      <c r="E633" s="6">
        <v>125</v>
      </c>
      <c r="F633" s="6" t="s">
        <v>1547</v>
      </c>
      <c r="G633" s="6">
        <v>998</v>
      </c>
      <c r="H633" s="6" t="s">
        <v>1547</v>
      </c>
      <c r="I633" s="33">
        <v>0</v>
      </c>
      <c r="J633" s="88">
        <v>0</v>
      </c>
      <c r="K633" s="89">
        <f t="shared" si="100"/>
        <v>0</v>
      </c>
      <c r="L633" s="88">
        <f>IF(K634&gt;0, K633/K634, 0)</f>
        <v>0</v>
      </c>
      <c r="M633" s="58"/>
      <c r="N633" s="9">
        <f>ROUND(M634*L633,0)</f>
        <v>0</v>
      </c>
      <c r="O633" s="9">
        <v>0</v>
      </c>
      <c r="P633" s="9">
        <f>N633-O633</f>
        <v>0</v>
      </c>
      <c r="Q633" s="40">
        <f t="shared" si="99"/>
        <v>0</v>
      </c>
      <c r="R633" s="9">
        <v>0</v>
      </c>
      <c r="S633" s="9">
        <f t="shared" si="97"/>
        <v>0</v>
      </c>
      <c r="T633" s="90">
        <f t="shared" si="92"/>
        <v>125</v>
      </c>
      <c r="U633" s="90">
        <f t="shared" si="93"/>
        <v>998</v>
      </c>
      <c r="V633" s="373">
        <f t="shared" si="94"/>
        <v>624</v>
      </c>
      <c r="W633" s="90">
        <f t="shared" si="95"/>
        <v>0</v>
      </c>
      <c r="X633" s="90">
        <f t="shared" si="96"/>
        <v>0</v>
      </c>
      <c r="Y633" s="141">
        <f t="shared" si="98"/>
        <v>624</v>
      </c>
      <c r="Z633" s="298">
        <v>125</v>
      </c>
      <c r="AA633" s="299">
        <v>998</v>
      </c>
      <c r="AB633" s="299">
        <v>624</v>
      </c>
      <c r="AC633" s="301">
        <v>0</v>
      </c>
      <c r="AD633" s="301">
        <v>0</v>
      </c>
      <c r="AE633" s="126"/>
      <c r="AF633" s="298"/>
      <c r="AG633" s="299"/>
      <c r="AH633" s="299"/>
      <c r="AI633" s="301"/>
      <c r="AJ633" s="301"/>
      <c r="AK633" s="426"/>
      <c r="AL633" s="298"/>
      <c r="AM633" s="299"/>
      <c r="AN633" s="299"/>
      <c r="AO633" s="301"/>
      <c r="AP633" s="301"/>
      <c r="AQ633" s="426"/>
      <c r="AR633" s="298"/>
      <c r="AS633" s="299"/>
      <c r="AT633" s="299"/>
      <c r="AU633" s="301"/>
      <c r="AV633" s="301"/>
      <c r="AW633" s="88"/>
      <c r="AX633" s="298"/>
      <c r="AY633" s="299"/>
      <c r="AZ633" s="299"/>
      <c r="BA633" s="301"/>
      <c r="BB633" s="301"/>
      <c r="BC633" s="426"/>
      <c r="BD633" s="298"/>
      <c r="BE633" s="299"/>
      <c r="BF633" s="299"/>
      <c r="BG633" s="301"/>
      <c r="BH633" s="301"/>
      <c r="BI633" s="88"/>
      <c r="BJ633" s="298"/>
      <c r="BK633" s="299"/>
      <c r="BL633" s="299"/>
      <c r="BM633" s="301"/>
      <c r="BN633" s="301"/>
      <c r="BO633" s="88"/>
      <c r="BP633" s="9"/>
      <c r="BS633" s="81"/>
      <c r="BT633" s="81"/>
      <c r="BV633" s="9"/>
      <c r="BY633" s="81"/>
      <c r="BZ633" s="81"/>
      <c r="CB633" s="9"/>
      <c r="CE633" s="81"/>
      <c r="CF633" s="81"/>
      <c r="CH633" s="9"/>
      <c r="CK633" s="81"/>
      <c r="CL633" s="81"/>
      <c r="CR633" s="9"/>
      <c r="CS633" s="9"/>
      <c r="CT633" s="9"/>
      <c r="CU633" s="9"/>
      <c r="CV633" s="9"/>
      <c r="CW633" s="129"/>
      <c r="CX633" s="9"/>
    </row>
    <row r="634" spans="1:102">
      <c r="A634" s="6" t="str">
        <f t="shared" si="91"/>
        <v>01250999</v>
      </c>
      <c r="B634" s="6" t="s">
        <v>1775</v>
      </c>
      <c r="C634" s="6" t="s">
        <v>2092</v>
      </c>
      <c r="D634" s="6">
        <v>625</v>
      </c>
      <c r="E634" s="10">
        <v>125</v>
      </c>
      <c r="F634" s="10" t="s">
        <v>1243</v>
      </c>
      <c r="G634" s="10">
        <v>999</v>
      </c>
      <c r="H634" s="10" t="s">
        <v>593</v>
      </c>
      <c r="I634" s="92">
        <v>10697301.90033282</v>
      </c>
      <c r="J634" s="472">
        <v>1</v>
      </c>
      <c r="K634" s="53">
        <f>SUM(K630:K633)</f>
        <v>11161202.900680074</v>
      </c>
      <c r="L634" s="91">
        <f>SUM(L630:L633)</f>
        <v>0.99999999999999989</v>
      </c>
      <c r="M634" s="79">
        <f>VLOOKUP(E634,town351,24)</f>
        <v>8842298</v>
      </c>
      <c r="N634" s="79">
        <f>SUM(N630:N633)</f>
        <v>8842298</v>
      </c>
      <c r="O634" s="79">
        <v>8475317</v>
      </c>
      <c r="P634" s="79">
        <f>SUM(P630:P633)</f>
        <v>366981</v>
      </c>
      <c r="Q634" s="39">
        <f t="shared" si="99"/>
        <v>4.3299973322531775</v>
      </c>
      <c r="R634" s="9">
        <v>881.00820233000002</v>
      </c>
      <c r="S634" s="9">
        <f t="shared" si="97"/>
        <v>890.00000000648004</v>
      </c>
      <c r="T634" s="90">
        <f t="shared" si="92"/>
        <v>125</v>
      </c>
      <c r="U634" s="90">
        <f t="shared" si="93"/>
        <v>999</v>
      </c>
      <c r="V634" s="373">
        <f t="shared" si="94"/>
        <v>625</v>
      </c>
      <c r="W634" s="90">
        <f t="shared" si="95"/>
        <v>890.00000000648004</v>
      </c>
      <c r="X634" s="90">
        <f t="shared" si="96"/>
        <v>11161202.900680074</v>
      </c>
      <c r="Y634" s="141">
        <f t="shared" si="98"/>
        <v>625</v>
      </c>
      <c r="Z634" s="298">
        <v>125</v>
      </c>
      <c r="AA634" s="299">
        <v>999</v>
      </c>
      <c r="AB634" s="299">
        <v>625</v>
      </c>
      <c r="AC634" s="301">
        <v>890.00000000648004</v>
      </c>
      <c r="AD634" s="301">
        <v>11161202.900680074</v>
      </c>
      <c r="AE634" s="126"/>
      <c r="AF634" s="298"/>
      <c r="AG634" s="299"/>
      <c r="AH634" s="299"/>
      <c r="AI634" s="301"/>
      <c r="AJ634" s="301"/>
      <c r="AK634" s="426"/>
      <c r="AL634" s="298"/>
      <c r="AM634" s="299"/>
      <c r="AN634" s="299"/>
      <c r="AO634" s="301"/>
      <c r="AP634" s="301"/>
      <c r="AQ634" s="426"/>
      <c r="AR634" s="298"/>
      <c r="AS634" s="299"/>
      <c r="AT634" s="299"/>
      <c r="AU634" s="301"/>
      <c r="AV634" s="301"/>
      <c r="AW634" s="91"/>
      <c r="AX634" s="298"/>
      <c r="AY634" s="299"/>
      <c r="AZ634" s="299"/>
      <c r="BA634" s="301"/>
      <c r="BB634" s="301"/>
      <c r="BC634" s="426"/>
      <c r="BD634" s="298"/>
      <c r="BE634" s="299"/>
      <c r="BF634" s="299"/>
      <c r="BG634" s="301"/>
      <c r="BH634" s="301"/>
      <c r="BI634" s="91"/>
      <c r="BJ634" s="298"/>
      <c r="BK634" s="299"/>
      <c r="BL634" s="299"/>
      <c r="BM634" s="301"/>
      <c r="BN634" s="301"/>
      <c r="BO634" s="91"/>
      <c r="BP634" s="9"/>
      <c r="BS634" s="81"/>
      <c r="BT634" s="81"/>
      <c r="BV634" s="9"/>
      <c r="BY634" s="81"/>
      <c r="BZ634" s="81"/>
      <c r="CB634" s="9"/>
      <c r="CE634" s="81"/>
      <c r="CF634" s="81"/>
      <c r="CH634" s="9"/>
      <c r="CK634" s="81"/>
      <c r="CL634" s="81"/>
      <c r="CR634" s="9"/>
      <c r="CS634" s="9"/>
      <c r="CT634" s="9"/>
      <c r="CU634" s="9"/>
      <c r="CV634" s="9"/>
      <c r="CW634" s="129"/>
      <c r="CX634" s="9"/>
    </row>
    <row r="635" spans="1:102">
      <c r="A635" s="6" t="str">
        <f t="shared" si="91"/>
        <v>01260126</v>
      </c>
      <c r="B635" s="6" t="s">
        <v>1776</v>
      </c>
      <c r="C635" s="6" t="s">
        <v>1776</v>
      </c>
      <c r="D635" s="6">
        <v>626</v>
      </c>
      <c r="E635" s="6">
        <v>126</v>
      </c>
      <c r="F635" s="6" t="s">
        <v>1244</v>
      </c>
      <c r="G635" s="6">
        <v>126</v>
      </c>
      <c r="H635" s="6" t="s">
        <v>807</v>
      </c>
      <c r="I635" s="33">
        <v>0</v>
      </c>
      <c r="J635" s="88">
        <v>0</v>
      </c>
      <c r="K635" s="89">
        <f>X635</f>
        <v>0</v>
      </c>
      <c r="L635" s="88">
        <f>IF(K639&gt;0, K635/K639, 0)</f>
        <v>0</v>
      </c>
      <c r="M635" s="58"/>
      <c r="N635" s="9">
        <f>ROUND(M639*L635,0)</f>
        <v>0</v>
      </c>
      <c r="O635" s="9">
        <v>0</v>
      </c>
      <c r="P635" s="9">
        <f>N635-O635</f>
        <v>0</v>
      </c>
      <c r="Q635" s="40">
        <f t="shared" si="99"/>
        <v>0</v>
      </c>
      <c r="R635" s="9">
        <v>0</v>
      </c>
      <c r="S635" s="9">
        <f t="shared" si="97"/>
        <v>0</v>
      </c>
      <c r="T635" s="90">
        <f t="shared" si="92"/>
        <v>126</v>
      </c>
      <c r="U635" s="90">
        <f t="shared" si="93"/>
        <v>126</v>
      </c>
      <c r="V635" s="373">
        <f t="shared" si="94"/>
        <v>626</v>
      </c>
      <c r="W635" s="90">
        <f t="shared" si="95"/>
        <v>0</v>
      </c>
      <c r="X635" s="90">
        <f t="shared" si="96"/>
        <v>0</v>
      </c>
      <c r="Y635" s="141">
        <f t="shared" si="98"/>
        <v>626</v>
      </c>
      <c r="Z635" s="298">
        <v>126</v>
      </c>
      <c r="AA635" s="299">
        <v>126</v>
      </c>
      <c r="AB635" s="299">
        <v>626</v>
      </c>
      <c r="AC635" s="301">
        <v>0</v>
      </c>
      <c r="AD635" s="301">
        <v>0</v>
      </c>
      <c r="AE635" s="126"/>
      <c r="AF635" s="298"/>
      <c r="AG635" s="299"/>
      <c r="AH635" s="299"/>
      <c r="AI635" s="301"/>
      <c r="AJ635" s="301"/>
      <c r="AK635" s="426"/>
      <c r="AL635" s="298"/>
      <c r="AM635" s="299"/>
      <c r="AN635" s="299"/>
      <c r="AO635" s="301"/>
      <c r="AP635" s="301"/>
      <c r="AQ635" s="426"/>
      <c r="AR635" s="298"/>
      <c r="AS635" s="299"/>
      <c r="AT635" s="299"/>
      <c r="AU635" s="301"/>
      <c r="AV635" s="301"/>
      <c r="AW635" s="88"/>
      <c r="AX635" s="298"/>
      <c r="AY635" s="299"/>
      <c r="AZ635" s="299"/>
      <c r="BA635" s="301"/>
      <c r="BB635" s="301"/>
      <c r="BC635" s="426"/>
      <c r="BD635" s="298"/>
      <c r="BE635" s="299"/>
      <c r="BF635" s="299"/>
      <c r="BG635" s="301"/>
      <c r="BH635" s="301"/>
      <c r="BI635" s="88"/>
      <c r="BJ635" s="298"/>
      <c r="BK635" s="299"/>
      <c r="BL635" s="299"/>
      <c r="BM635" s="301"/>
      <c r="BN635" s="301"/>
      <c r="BO635" s="88"/>
      <c r="BP635" s="9"/>
      <c r="BS635" s="81"/>
      <c r="BT635" s="81"/>
      <c r="BV635" s="9"/>
      <c r="BY635" s="81"/>
      <c r="BZ635" s="81"/>
      <c r="CB635" s="9"/>
      <c r="CE635" s="81"/>
      <c r="CF635" s="81"/>
      <c r="CH635" s="9"/>
      <c r="CK635" s="81"/>
      <c r="CL635" s="81"/>
      <c r="CR635" s="9"/>
      <c r="CS635" s="9"/>
      <c r="CT635" s="9"/>
      <c r="CU635" s="9"/>
      <c r="CV635" s="9"/>
      <c r="CW635" s="129"/>
      <c r="CX635" s="9"/>
    </row>
    <row r="636" spans="1:102">
      <c r="A636" s="6" t="str">
        <f t="shared" si="91"/>
        <v>01260712</v>
      </c>
      <c r="B636" s="6" t="s">
        <v>1776</v>
      </c>
      <c r="C636" s="6" t="s">
        <v>2038</v>
      </c>
      <c r="D636" s="6">
        <v>627</v>
      </c>
      <c r="E636" s="6">
        <v>126</v>
      </c>
      <c r="F636" s="6" t="s">
        <v>1244</v>
      </c>
      <c r="G636" s="6">
        <v>712</v>
      </c>
      <c r="H636" s="6" t="s">
        <v>1068</v>
      </c>
      <c r="I636" s="33">
        <v>18171310.052159831</v>
      </c>
      <c r="J636" s="88">
        <v>0.9226182761929983</v>
      </c>
      <c r="K636" s="89">
        <f t="shared" si="100"/>
        <v>18584300.130816855</v>
      </c>
      <c r="L636" s="88">
        <f>IF(K639&gt;0, K636/K639, 0)</f>
        <v>0.91706963906771954</v>
      </c>
      <c r="M636" s="58"/>
      <c r="N636" s="9">
        <f>ROUND(M639*L636,0)</f>
        <v>15332048</v>
      </c>
      <c r="O636" s="9">
        <v>14991331</v>
      </c>
      <c r="P636" s="9">
        <f>N636-O636</f>
        <v>340717</v>
      </c>
      <c r="Q636" s="40">
        <f t="shared" si="99"/>
        <v>2.2727601705278873</v>
      </c>
      <c r="R636" s="9">
        <v>1267.80192076656</v>
      </c>
      <c r="S636" s="9">
        <f t="shared" si="97"/>
        <v>1250.0060753400501</v>
      </c>
      <c r="T636" s="90">
        <f t="shared" si="92"/>
        <v>126</v>
      </c>
      <c r="U636" s="90">
        <f t="shared" si="93"/>
        <v>712</v>
      </c>
      <c r="V636" s="373">
        <f t="shared" si="94"/>
        <v>627</v>
      </c>
      <c r="W636" s="90">
        <f t="shared" si="95"/>
        <v>1250.0060753400501</v>
      </c>
      <c r="X636" s="90">
        <f t="shared" si="96"/>
        <v>18584300.130816855</v>
      </c>
      <c r="Y636" s="141">
        <f t="shared" si="98"/>
        <v>627</v>
      </c>
      <c r="Z636" s="298">
        <v>126</v>
      </c>
      <c r="AA636" s="299">
        <v>712</v>
      </c>
      <c r="AB636" s="299">
        <v>627</v>
      </c>
      <c r="AC636" s="301">
        <v>1250.0060753400501</v>
      </c>
      <c r="AD636" s="301">
        <v>18584300.130816855</v>
      </c>
      <c r="AE636" s="126"/>
      <c r="AF636" s="298"/>
      <c r="AG636" s="299"/>
      <c r="AH636" s="299"/>
      <c r="AI636" s="301"/>
      <c r="AJ636" s="301"/>
      <c r="AK636" s="426"/>
      <c r="AL636" s="298"/>
      <c r="AM636" s="299"/>
      <c r="AN636" s="299"/>
      <c r="AO636" s="301"/>
      <c r="AP636" s="301"/>
      <c r="AQ636" s="426"/>
      <c r="AR636" s="298"/>
      <c r="AS636" s="299"/>
      <c r="AT636" s="299"/>
      <c r="AU636" s="301"/>
      <c r="AV636" s="301"/>
      <c r="AW636" s="88"/>
      <c r="AX636" s="298"/>
      <c r="AY636" s="299"/>
      <c r="AZ636" s="299"/>
      <c r="BA636" s="301"/>
      <c r="BB636" s="301"/>
      <c r="BC636" s="426"/>
      <c r="BD636" s="298"/>
      <c r="BE636" s="299"/>
      <c r="BF636" s="299"/>
      <c r="BG636" s="301"/>
      <c r="BH636" s="301"/>
      <c r="BI636" s="88"/>
      <c r="BJ636" s="298"/>
      <c r="BK636" s="299"/>
      <c r="BL636" s="299"/>
      <c r="BM636" s="301"/>
      <c r="BN636" s="301"/>
      <c r="BO636" s="88"/>
      <c r="BP636" s="9"/>
      <c r="BS636" s="81"/>
      <c r="BT636" s="81"/>
      <c r="BV636" s="9"/>
      <c r="BY636" s="81"/>
      <c r="BZ636" s="81"/>
      <c r="CB636" s="9"/>
      <c r="CE636" s="81"/>
      <c r="CF636" s="81"/>
      <c r="CH636" s="9"/>
      <c r="CK636" s="81"/>
      <c r="CL636" s="81"/>
      <c r="CR636" s="9"/>
      <c r="CS636" s="9"/>
      <c r="CT636" s="9"/>
      <c r="CU636" s="9"/>
      <c r="CV636" s="9"/>
      <c r="CW636" s="129"/>
      <c r="CX636" s="9"/>
    </row>
    <row r="637" spans="1:102">
      <c r="A637" s="6" t="str">
        <f t="shared" si="91"/>
        <v>01260815</v>
      </c>
      <c r="B637" s="6" t="s">
        <v>1776</v>
      </c>
      <c r="C637" s="6" t="s">
        <v>2066</v>
      </c>
      <c r="D637" s="6">
        <v>628</v>
      </c>
      <c r="E637" s="6">
        <v>126</v>
      </c>
      <c r="F637" s="6" t="s">
        <v>1244</v>
      </c>
      <c r="G637" s="6">
        <v>815</v>
      </c>
      <c r="H637" s="6" t="s">
        <v>1096</v>
      </c>
      <c r="I637" s="33">
        <v>1524061.8270317935</v>
      </c>
      <c r="J637" s="88">
        <v>7.7381723807001659E-2</v>
      </c>
      <c r="K637" s="89">
        <f t="shared" si="100"/>
        <v>1680573.2649586257</v>
      </c>
      <c r="L637" s="88">
        <f>IF(K639&gt;0, K637/K639, 0)</f>
        <v>8.2930360932280303E-2</v>
      </c>
      <c r="M637" s="58"/>
      <c r="N637" s="9">
        <f>ROUND(M639*L637,0)</f>
        <v>1386473</v>
      </c>
      <c r="O637" s="9">
        <v>1257351</v>
      </c>
      <c r="P637" s="9">
        <f>N637-O637</f>
        <v>129122</v>
      </c>
      <c r="Q637" s="40">
        <f t="shared" si="99"/>
        <v>10.269367901246351</v>
      </c>
      <c r="R637" s="9">
        <v>70.209895054560008</v>
      </c>
      <c r="S637" s="9">
        <f t="shared" si="97"/>
        <v>77.115615618540005</v>
      </c>
      <c r="T637" s="90">
        <f t="shared" si="92"/>
        <v>126</v>
      </c>
      <c r="U637" s="90">
        <f t="shared" si="93"/>
        <v>815</v>
      </c>
      <c r="V637" s="373">
        <f t="shared" si="94"/>
        <v>628</v>
      </c>
      <c r="W637" s="90">
        <f t="shared" si="95"/>
        <v>77.115615618540005</v>
      </c>
      <c r="X637" s="90">
        <f t="shared" si="96"/>
        <v>1680573.2649586257</v>
      </c>
      <c r="Y637" s="141">
        <f t="shared" si="98"/>
        <v>628</v>
      </c>
      <c r="Z637" s="298">
        <v>126</v>
      </c>
      <c r="AA637" s="299">
        <v>815</v>
      </c>
      <c r="AB637" s="299">
        <v>628</v>
      </c>
      <c r="AC637" s="301">
        <v>77.115615618540005</v>
      </c>
      <c r="AD637" s="301">
        <v>1680573.2649586257</v>
      </c>
      <c r="AE637" s="126"/>
      <c r="AF637" s="298"/>
      <c r="AG637" s="299"/>
      <c r="AH637" s="299"/>
      <c r="AI637" s="301"/>
      <c r="AJ637" s="301"/>
      <c r="AK637" s="426"/>
      <c r="AL637" s="298"/>
      <c r="AM637" s="299"/>
      <c r="AN637" s="299"/>
      <c r="AO637" s="301"/>
      <c r="AP637" s="301"/>
      <c r="AQ637" s="426"/>
      <c r="AR637" s="298"/>
      <c r="AS637" s="299"/>
      <c r="AT637" s="299"/>
      <c r="AU637" s="301"/>
      <c r="AV637" s="301"/>
      <c r="AW637" s="88"/>
      <c r="AX637" s="298"/>
      <c r="AY637" s="299"/>
      <c r="AZ637" s="299"/>
      <c r="BA637" s="301"/>
      <c r="BB637" s="301"/>
      <c r="BC637" s="426"/>
      <c r="BD637" s="298"/>
      <c r="BE637" s="299"/>
      <c r="BF637" s="299"/>
      <c r="BG637" s="301"/>
      <c r="BH637" s="301"/>
      <c r="BI637" s="88"/>
      <c r="BJ637" s="298"/>
      <c r="BK637" s="299"/>
      <c r="BL637" s="299"/>
      <c r="BM637" s="301"/>
      <c r="BN637" s="301"/>
      <c r="BO637" s="88"/>
      <c r="BP637" s="9"/>
      <c r="BS637" s="81"/>
      <c r="BT637" s="81"/>
      <c r="BV637" s="9"/>
      <c r="BY637" s="81"/>
      <c r="BZ637" s="81"/>
      <c r="CB637" s="9"/>
      <c r="CE637" s="81"/>
      <c r="CF637" s="81"/>
      <c r="CH637" s="9"/>
      <c r="CK637" s="81"/>
      <c r="CL637" s="81"/>
      <c r="CR637" s="9"/>
      <c r="CS637" s="9"/>
      <c r="CT637" s="9"/>
      <c r="CU637" s="9"/>
      <c r="CV637" s="9"/>
      <c r="CW637" s="129"/>
      <c r="CX637" s="9"/>
    </row>
    <row r="638" spans="1:102">
      <c r="A638" s="6" t="str">
        <f t="shared" si="91"/>
        <v>01260998</v>
      </c>
      <c r="B638" s="6" t="s">
        <v>1776</v>
      </c>
      <c r="C638" s="6" t="s">
        <v>2091</v>
      </c>
      <c r="D638" s="6">
        <v>629</v>
      </c>
      <c r="E638" s="6">
        <v>126</v>
      </c>
      <c r="F638" s="6" t="s">
        <v>1547</v>
      </c>
      <c r="G638" s="6">
        <v>998</v>
      </c>
      <c r="H638" s="6" t="s">
        <v>1547</v>
      </c>
      <c r="I638" s="33">
        <v>0</v>
      </c>
      <c r="J638" s="88">
        <v>0</v>
      </c>
      <c r="K638" s="89">
        <f t="shared" si="100"/>
        <v>0</v>
      </c>
      <c r="L638" s="88">
        <f>IF(K639&gt;0, K638/K639, 0)</f>
        <v>0</v>
      </c>
      <c r="M638" s="58"/>
      <c r="N638" s="9">
        <f>ROUND(M639*L638,0)</f>
        <v>0</v>
      </c>
      <c r="O638" s="9">
        <v>0</v>
      </c>
      <c r="P638" s="9">
        <f>N638-O638</f>
        <v>0</v>
      </c>
      <c r="Q638" s="40">
        <f t="shared" si="99"/>
        <v>0</v>
      </c>
      <c r="R638" s="9">
        <v>0</v>
      </c>
      <c r="S638" s="9">
        <f t="shared" si="97"/>
        <v>0</v>
      </c>
      <c r="T638" s="90">
        <f t="shared" si="92"/>
        <v>126</v>
      </c>
      <c r="U638" s="90">
        <f t="shared" si="93"/>
        <v>998</v>
      </c>
      <c r="V638" s="373">
        <f t="shared" si="94"/>
        <v>629</v>
      </c>
      <c r="W638" s="90">
        <f t="shared" si="95"/>
        <v>0</v>
      </c>
      <c r="X638" s="90">
        <f t="shared" si="96"/>
        <v>0</v>
      </c>
      <c r="Y638" s="141">
        <f t="shared" si="98"/>
        <v>629</v>
      </c>
      <c r="Z638" s="298">
        <v>126</v>
      </c>
      <c r="AA638" s="299">
        <v>998</v>
      </c>
      <c r="AB638" s="299">
        <v>629</v>
      </c>
      <c r="AC638" s="301">
        <v>0</v>
      </c>
      <c r="AD638" s="301">
        <v>0</v>
      </c>
      <c r="AE638" s="126"/>
      <c r="AF638" s="298"/>
      <c r="AG638" s="299"/>
      <c r="AH638" s="299"/>
      <c r="AI638" s="301"/>
      <c r="AJ638" s="301"/>
      <c r="AK638" s="426"/>
      <c r="AL638" s="298"/>
      <c r="AM638" s="299"/>
      <c r="AN638" s="299"/>
      <c r="AO638" s="301"/>
      <c r="AP638" s="301"/>
      <c r="AQ638" s="426"/>
      <c r="AR638" s="298"/>
      <c r="AS638" s="299"/>
      <c r="AT638" s="299"/>
      <c r="AU638" s="301"/>
      <c r="AV638" s="301"/>
      <c r="AW638" s="88"/>
      <c r="AX638" s="298"/>
      <c r="AY638" s="299"/>
      <c r="AZ638" s="299"/>
      <c r="BA638" s="301"/>
      <c r="BB638" s="301"/>
      <c r="BC638" s="426"/>
      <c r="BD638" s="298"/>
      <c r="BE638" s="299"/>
      <c r="BF638" s="299"/>
      <c r="BG638" s="301"/>
      <c r="BH638" s="301"/>
      <c r="BI638" s="88"/>
      <c r="BJ638" s="298"/>
      <c r="BK638" s="299"/>
      <c r="BL638" s="299"/>
      <c r="BM638" s="301"/>
      <c r="BN638" s="301"/>
      <c r="BO638" s="88"/>
      <c r="BP638" s="9"/>
      <c r="BS638" s="81"/>
      <c r="BT638" s="81"/>
      <c r="BV638" s="9"/>
      <c r="BY638" s="81"/>
      <c r="BZ638" s="81"/>
      <c r="CB638" s="9"/>
      <c r="CE638" s="81"/>
      <c r="CF638" s="81"/>
      <c r="CH638" s="9"/>
      <c r="CK638" s="81"/>
      <c r="CL638" s="81"/>
      <c r="CR638" s="9"/>
      <c r="CS638" s="9"/>
      <c r="CT638" s="9"/>
      <c r="CU638" s="9"/>
      <c r="CV638" s="9"/>
      <c r="CW638" s="129"/>
      <c r="CX638" s="9"/>
    </row>
    <row r="639" spans="1:102">
      <c r="A639" s="6" t="str">
        <f t="shared" si="91"/>
        <v>01260999</v>
      </c>
      <c r="B639" s="6" t="s">
        <v>1776</v>
      </c>
      <c r="C639" s="6" t="s">
        <v>2092</v>
      </c>
      <c r="D639" s="6">
        <v>630</v>
      </c>
      <c r="E639" s="10">
        <v>126</v>
      </c>
      <c r="F639" s="10" t="s">
        <v>1244</v>
      </c>
      <c r="G639" s="10">
        <v>999</v>
      </c>
      <c r="H639" s="10" t="s">
        <v>593</v>
      </c>
      <c r="I639" s="92">
        <v>19695371.879191626</v>
      </c>
      <c r="J639" s="472">
        <v>1</v>
      </c>
      <c r="K639" s="53">
        <f>SUM(K635:K638)</f>
        <v>20264873.395775482</v>
      </c>
      <c r="L639" s="91">
        <f>SUM(L635:L638)</f>
        <v>0.99999999999999989</v>
      </c>
      <c r="M639" s="79">
        <f>VLOOKUP(E639,town351,24)</f>
        <v>16718521</v>
      </c>
      <c r="N639" s="79">
        <f>SUM(N635:N638)</f>
        <v>16718521</v>
      </c>
      <c r="O639" s="79">
        <v>16248682</v>
      </c>
      <c r="P639" s="79">
        <f>SUM(P635:P638)</f>
        <v>469839</v>
      </c>
      <c r="Q639" s="39">
        <f t="shared" si="99"/>
        <v>2.891551450142233</v>
      </c>
      <c r="R639" s="9">
        <v>1338.0118158211201</v>
      </c>
      <c r="S639" s="9">
        <f t="shared" si="97"/>
        <v>1327.1216909585901</v>
      </c>
      <c r="T639" s="90">
        <f t="shared" si="92"/>
        <v>126</v>
      </c>
      <c r="U639" s="90">
        <f t="shared" si="93"/>
        <v>999</v>
      </c>
      <c r="V639" s="373">
        <f t="shared" si="94"/>
        <v>630</v>
      </c>
      <c r="W639" s="90">
        <f t="shared" si="95"/>
        <v>1327.1216909585901</v>
      </c>
      <c r="X639" s="90">
        <f t="shared" si="96"/>
        <v>20264873.395775482</v>
      </c>
      <c r="Y639" s="141">
        <f t="shared" si="98"/>
        <v>630</v>
      </c>
      <c r="Z639" s="298">
        <v>126</v>
      </c>
      <c r="AA639" s="299">
        <v>999</v>
      </c>
      <c r="AB639" s="299">
        <v>630</v>
      </c>
      <c r="AC639" s="301">
        <v>1327.1216909585901</v>
      </c>
      <c r="AD639" s="301">
        <v>20264873.395775482</v>
      </c>
      <c r="AE639" s="126"/>
      <c r="AF639" s="298"/>
      <c r="AG639" s="299"/>
      <c r="AH639" s="299"/>
      <c r="AI639" s="301"/>
      <c r="AJ639" s="301"/>
      <c r="AK639" s="426"/>
      <c r="AL639" s="298"/>
      <c r="AM639" s="299"/>
      <c r="AN639" s="299"/>
      <c r="AO639" s="301"/>
      <c r="AP639" s="301"/>
      <c r="AQ639" s="426"/>
      <c r="AR639" s="298"/>
      <c r="AS639" s="299"/>
      <c r="AT639" s="299"/>
      <c r="AU639" s="301"/>
      <c r="AV639" s="301"/>
      <c r="AW639" s="91"/>
      <c r="AX639" s="298"/>
      <c r="AY639" s="299"/>
      <c r="AZ639" s="299"/>
      <c r="BA639" s="301"/>
      <c r="BB639" s="301"/>
      <c r="BC639" s="426"/>
      <c r="BD639" s="298"/>
      <c r="BE639" s="299"/>
      <c r="BF639" s="299"/>
      <c r="BG639" s="301"/>
      <c r="BH639" s="301"/>
      <c r="BI639" s="91"/>
      <c r="BJ639" s="298"/>
      <c r="BK639" s="299"/>
      <c r="BL639" s="299"/>
      <c r="BM639" s="301"/>
      <c r="BN639" s="301"/>
      <c r="BO639" s="91"/>
      <c r="BP639" s="9"/>
      <c r="BS639" s="81"/>
      <c r="BT639" s="81"/>
      <c r="BV639" s="9"/>
      <c r="BY639" s="81"/>
      <c r="BZ639" s="81"/>
      <c r="CB639" s="9"/>
      <c r="CE639" s="81"/>
      <c r="CF639" s="81"/>
      <c r="CH639" s="9"/>
      <c r="CK639" s="81"/>
      <c r="CL639" s="81"/>
      <c r="CR639" s="9"/>
      <c r="CS639" s="9"/>
      <c r="CT639" s="9"/>
      <c r="CU639" s="9"/>
      <c r="CV639" s="9"/>
      <c r="CW639" s="129"/>
      <c r="CX639" s="9"/>
    </row>
    <row r="640" spans="1:102">
      <c r="A640" s="6" t="str">
        <f t="shared" si="91"/>
        <v>01270127</v>
      </c>
      <c r="B640" s="6" t="s">
        <v>1777</v>
      </c>
      <c r="C640" s="6" t="s">
        <v>1777</v>
      </c>
      <c r="D640" s="6">
        <v>631</v>
      </c>
      <c r="E640" s="6">
        <v>127</v>
      </c>
      <c r="F640" s="6" t="s">
        <v>1245</v>
      </c>
      <c r="G640" s="6">
        <v>127</v>
      </c>
      <c r="H640" s="6" t="s">
        <v>808</v>
      </c>
      <c r="I640" s="33">
        <v>4215602.3500000006</v>
      </c>
      <c r="J640" s="88">
        <v>1</v>
      </c>
      <c r="K640" s="89">
        <f>X640</f>
        <v>4167872.81</v>
      </c>
      <c r="L640" s="88">
        <f>IF(K644&gt;0, K640/K644, 0)</f>
        <v>1</v>
      </c>
      <c r="M640" s="58"/>
      <c r="N640" s="9">
        <f>ROUND(M644*L640,0)</f>
        <v>3438495</v>
      </c>
      <c r="O640" s="9">
        <v>3472030</v>
      </c>
      <c r="P640" s="9">
        <f>N640-O640</f>
        <v>-33535</v>
      </c>
      <c r="Q640" s="40">
        <f t="shared" si="99"/>
        <v>-0.96586147009098422</v>
      </c>
      <c r="R640" s="9">
        <v>317</v>
      </c>
      <c r="S640" s="9">
        <f t="shared" si="97"/>
        <v>310</v>
      </c>
      <c r="T640" s="90">
        <f t="shared" si="92"/>
        <v>127</v>
      </c>
      <c r="U640" s="90">
        <f t="shared" si="93"/>
        <v>127</v>
      </c>
      <c r="V640" s="373">
        <f t="shared" si="94"/>
        <v>631</v>
      </c>
      <c r="W640" s="90">
        <f t="shared" si="95"/>
        <v>310</v>
      </c>
      <c r="X640" s="90">
        <f t="shared" si="96"/>
        <v>4167872.81</v>
      </c>
      <c r="Y640" s="141">
        <f t="shared" si="98"/>
        <v>631</v>
      </c>
      <c r="Z640" s="298">
        <v>127</v>
      </c>
      <c r="AA640" s="299">
        <v>127</v>
      </c>
      <c r="AB640" s="299">
        <v>631</v>
      </c>
      <c r="AC640" s="301">
        <v>310</v>
      </c>
      <c r="AD640" s="301">
        <v>4167872.81</v>
      </c>
      <c r="AE640" s="126"/>
      <c r="AF640" s="298"/>
      <c r="AG640" s="299"/>
      <c r="AH640" s="299"/>
      <c r="AI640" s="301"/>
      <c r="AJ640" s="301"/>
      <c r="AK640" s="426"/>
      <c r="AL640" s="298"/>
      <c r="AM640" s="299"/>
      <c r="AN640" s="299"/>
      <c r="AO640" s="301"/>
      <c r="AP640" s="301"/>
      <c r="AQ640" s="426"/>
      <c r="AR640" s="298"/>
      <c r="AS640" s="299"/>
      <c r="AT640" s="299"/>
      <c r="AU640" s="301"/>
      <c r="AV640" s="301"/>
      <c r="AW640" s="88"/>
      <c r="AX640" s="298"/>
      <c r="AY640" s="299"/>
      <c r="AZ640" s="299"/>
      <c r="BA640" s="301"/>
      <c r="BB640" s="301"/>
      <c r="BC640" s="426"/>
      <c r="BD640" s="298"/>
      <c r="BE640" s="299"/>
      <c r="BF640" s="299"/>
      <c r="BG640" s="301"/>
      <c r="BH640" s="301"/>
      <c r="BI640" s="88"/>
      <c r="BJ640" s="298"/>
      <c r="BK640" s="299"/>
      <c r="BL640" s="299"/>
      <c r="BM640" s="301"/>
      <c r="BN640" s="301"/>
      <c r="BO640" s="88"/>
      <c r="BP640" s="9"/>
      <c r="BS640" s="81"/>
      <c r="BT640" s="81"/>
      <c r="BV640" s="9"/>
      <c r="BY640" s="81"/>
      <c r="BZ640" s="81"/>
      <c r="CB640" s="9"/>
      <c r="CE640" s="81"/>
      <c r="CF640" s="81"/>
      <c r="CH640" s="9"/>
      <c r="CK640" s="81"/>
      <c r="CL640" s="81"/>
      <c r="CR640" s="9"/>
      <c r="CS640" s="9"/>
      <c r="CT640" s="9"/>
      <c r="CU640" s="9"/>
      <c r="CV640" s="9"/>
      <c r="CW640" s="129"/>
      <c r="CX640" s="9"/>
    </row>
    <row r="641" spans="1:102">
      <c r="A641" s="6" t="str">
        <f t="shared" si="91"/>
        <v>01270998</v>
      </c>
      <c r="B641" s="6" t="s">
        <v>1777</v>
      </c>
      <c r="C641" s="6" t="s">
        <v>2091</v>
      </c>
      <c r="D641" s="6">
        <v>632</v>
      </c>
      <c r="E641" s="6">
        <v>127</v>
      </c>
      <c r="F641" s="6" t="s">
        <v>1547</v>
      </c>
      <c r="G641" s="6">
        <v>998</v>
      </c>
      <c r="H641" s="6" t="s">
        <v>1547</v>
      </c>
      <c r="I641" s="33">
        <v>0</v>
      </c>
      <c r="J641" s="88">
        <v>0</v>
      </c>
      <c r="K641" s="89">
        <f t="shared" si="100"/>
        <v>0</v>
      </c>
      <c r="L641" s="88">
        <f>IF(K644&gt;0, K641/K644, 0)</f>
        <v>0</v>
      </c>
      <c r="M641" s="58"/>
      <c r="N641" s="9">
        <f>ROUND(M644*L641,0)</f>
        <v>0</v>
      </c>
      <c r="O641" s="9">
        <v>0</v>
      </c>
      <c r="P641" s="9">
        <f>N641-O641</f>
        <v>0</v>
      </c>
      <c r="Q641" s="40">
        <f t="shared" si="99"/>
        <v>0</v>
      </c>
      <c r="R641" s="9">
        <v>0</v>
      </c>
      <c r="S641" s="9">
        <f t="shared" si="97"/>
        <v>0</v>
      </c>
      <c r="T641" s="90">
        <f t="shared" si="92"/>
        <v>127</v>
      </c>
      <c r="U641" s="90">
        <f t="shared" si="93"/>
        <v>998</v>
      </c>
      <c r="V641" s="373">
        <f t="shared" si="94"/>
        <v>632</v>
      </c>
      <c r="W641" s="90">
        <f t="shared" si="95"/>
        <v>0</v>
      </c>
      <c r="X641" s="90">
        <f t="shared" si="96"/>
        <v>0</v>
      </c>
      <c r="Y641" s="141">
        <f t="shared" si="98"/>
        <v>632</v>
      </c>
      <c r="Z641" s="298">
        <v>127</v>
      </c>
      <c r="AA641" s="299">
        <v>998</v>
      </c>
      <c r="AB641" s="299">
        <v>632</v>
      </c>
      <c r="AC641" s="301">
        <v>0</v>
      </c>
      <c r="AD641" s="301">
        <v>0</v>
      </c>
      <c r="AE641" s="126"/>
      <c r="AF641" s="298"/>
      <c r="AG641" s="299"/>
      <c r="AH641" s="299"/>
      <c r="AI641" s="301"/>
      <c r="AJ641" s="301"/>
      <c r="AK641" s="426"/>
      <c r="AL641" s="298"/>
      <c r="AM641" s="299"/>
      <c r="AN641" s="299"/>
      <c r="AO641" s="301"/>
      <c r="AP641" s="301"/>
      <c r="AQ641" s="426"/>
      <c r="AR641" s="298"/>
      <c r="AS641" s="299"/>
      <c r="AT641" s="299"/>
      <c r="AU641" s="301"/>
      <c r="AV641" s="301"/>
      <c r="AW641" s="88"/>
      <c r="AX641" s="298"/>
      <c r="AY641" s="299"/>
      <c r="AZ641" s="299"/>
      <c r="BA641" s="301"/>
      <c r="BB641" s="301"/>
      <c r="BC641" s="426"/>
      <c r="BD641" s="298"/>
      <c r="BE641" s="299"/>
      <c r="BF641" s="299"/>
      <c r="BG641" s="301"/>
      <c r="BH641" s="301"/>
      <c r="BI641" s="88"/>
      <c r="BJ641" s="298"/>
      <c r="BK641" s="299"/>
      <c r="BL641" s="299"/>
      <c r="BM641" s="301"/>
      <c r="BN641" s="301"/>
      <c r="BO641" s="88"/>
      <c r="BP641" s="9"/>
      <c r="BS641" s="81"/>
      <c r="BT641" s="81"/>
      <c r="BV641" s="9"/>
      <c r="BY641" s="81"/>
      <c r="BZ641" s="81"/>
      <c r="CB641" s="9"/>
      <c r="CE641" s="81"/>
      <c r="CF641" s="81"/>
      <c r="CH641" s="9"/>
      <c r="CK641" s="81"/>
      <c r="CL641" s="81"/>
      <c r="CR641" s="9"/>
      <c r="CS641" s="9"/>
      <c r="CT641" s="9"/>
      <c r="CU641" s="9"/>
      <c r="CV641" s="9"/>
      <c r="CW641" s="129"/>
      <c r="CX641" s="9"/>
    </row>
    <row r="642" spans="1:102">
      <c r="A642" s="6" t="str">
        <f t="shared" si="91"/>
        <v>01270998</v>
      </c>
      <c r="B642" s="6" t="s">
        <v>1777</v>
      </c>
      <c r="C642" s="6" t="s">
        <v>2091</v>
      </c>
      <c r="D642" s="6">
        <v>633</v>
      </c>
      <c r="E642" s="6">
        <v>127</v>
      </c>
      <c r="F642" s="6" t="s">
        <v>1547</v>
      </c>
      <c r="G642" s="6">
        <v>998</v>
      </c>
      <c r="H642" s="6" t="s">
        <v>1547</v>
      </c>
      <c r="I642" s="33">
        <v>0</v>
      </c>
      <c r="J642" s="88">
        <v>0</v>
      </c>
      <c r="K642" s="89">
        <f t="shared" si="100"/>
        <v>0</v>
      </c>
      <c r="L642" s="88">
        <f>IF(K644&gt;0, K642/K644, 0)</f>
        <v>0</v>
      </c>
      <c r="M642" s="58"/>
      <c r="N642" s="9">
        <f>ROUND(M644*L642,0)</f>
        <v>0</v>
      </c>
      <c r="O642" s="9">
        <v>0</v>
      </c>
      <c r="P642" s="9">
        <f>N642-O642</f>
        <v>0</v>
      </c>
      <c r="Q642" s="40">
        <f t="shared" si="99"/>
        <v>0</v>
      </c>
      <c r="R642" s="9">
        <v>0</v>
      </c>
      <c r="S642" s="9">
        <f t="shared" si="97"/>
        <v>0</v>
      </c>
      <c r="T642" s="90">
        <f t="shared" si="92"/>
        <v>127</v>
      </c>
      <c r="U642" s="90">
        <f t="shared" si="93"/>
        <v>998</v>
      </c>
      <c r="V642" s="373">
        <f t="shared" si="94"/>
        <v>633</v>
      </c>
      <c r="W642" s="90">
        <f t="shared" si="95"/>
        <v>0</v>
      </c>
      <c r="X642" s="90">
        <f t="shared" si="96"/>
        <v>0</v>
      </c>
      <c r="Y642" s="141">
        <f t="shared" si="98"/>
        <v>633</v>
      </c>
      <c r="Z642" s="298">
        <v>127</v>
      </c>
      <c r="AA642" s="299">
        <v>998</v>
      </c>
      <c r="AB642" s="299">
        <v>633</v>
      </c>
      <c r="AC642" s="301">
        <v>0</v>
      </c>
      <c r="AD642" s="301">
        <v>0</v>
      </c>
      <c r="AE642" s="126"/>
      <c r="AF642" s="298"/>
      <c r="AG642" s="299"/>
      <c r="AH642" s="299"/>
      <c r="AI642" s="301"/>
      <c r="AJ642" s="301"/>
      <c r="AK642" s="426"/>
      <c r="AL642" s="298"/>
      <c r="AM642" s="299"/>
      <c r="AN642" s="299"/>
      <c r="AO642" s="301"/>
      <c r="AP642" s="301"/>
      <c r="AQ642" s="426"/>
      <c r="AR642" s="298"/>
      <c r="AS642" s="299"/>
      <c r="AT642" s="299"/>
      <c r="AU642" s="301"/>
      <c r="AV642" s="301"/>
      <c r="AW642" s="88"/>
      <c r="AX642" s="298"/>
      <c r="AY642" s="299"/>
      <c r="AZ642" s="299"/>
      <c r="BA642" s="301"/>
      <c r="BB642" s="301"/>
      <c r="BC642" s="426"/>
      <c r="BD642" s="298"/>
      <c r="BE642" s="299"/>
      <c r="BF642" s="299"/>
      <c r="BG642" s="301"/>
      <c r="BH642" s="301"/>
      <c r="BI642" s="88"/>
      <c r="BJ642" s="298"/>
      <c r="BK642" s="299"/>
      <c r="BL642" s="299"/>
      <c r="BM642" s="301"/>
      <c r="BN642" s="301"/>
      <c r="BO642" s="88"/>
      <c r="BP642" s="9"/>
      <c r="BS642" s="81"/>
      <c r="BT642" s="81"/>
      <c r="BV642" s="9"/>
      <c r="BY642" s="81"/>
      <c r="BZ642" s="81"/>
      <c r="CB642" s="9"/>
      <c r="CE642" s="81"/>
      <c r="CF642" s="81"/>
      <c r="CH642" s="9"/>
      <c r="CK642" s="81"/>
      <c r="CL642" s="81"/>
      <c r="CR642" s="9"/>
      <c r="CS642" s="9"/>
      <c r="CT642" s="9"/>
      <c r="CU642" s="9"/>
      <c r="CV642" s="9"/>
      <c r="CW642" s="129"/>
      <c r="CX642" s="9"/>
    </row>
    <row r="643" spans="1:102">
      <c r="A643" s="6" t="str">
        <f t="shared" si="91"/>
        <v>01270998</v>
      </c>
      <c r="B643" s="6" t="s">
        <v>1777</v>
      </c>
      <c r="C643" s="6" t="s">
        <v>2091</v>
      </c>
      <c r="D643" s="6">
        <v>634</v>
      </c>
      <c r="E643" s="6">
        <v>127</v>
      </c>
      <c r="F643" s="6" t="s">
        <v>1547</v>
      </c>
      <c r="G643" s="6">
        <v>998</v>
      </c>
      <c r="H643" s="6" t="s">
        <v>1547</v>
      </c>
      <c r="I643" s="33">
        <v>0</v>
      </c>
      <c r="J643" s="88">
        <v>0</v>
      </c>
      <c r="K643" s="89">
        <f t="shared" si="100"/>
        <v>0</v>
      </c>
      <c r="L643" s="88">
        <f>IF(K644&gt;0, K643/K644, 0)</f>
        <v>0</v>
      </c>
      <c r="M643" s="58"/>
      <c r="N643" s="9">
        <f>ROUND(M644*L643,0)</f>
        <v>0</v>
      </c>
      <c r="O643" s="9">
        <v>0</v>
      </c>
      <c r="P643" s="9">
        <f>N643-O643</f>
        <v>0</v>
      </c>
      <c r="Q643" s="40">
        <f t="shared" si="99"/>
        <v>0</v>
      </c>
      <c r="R643" s="9">
        <v>0</v>
      </c>
      <c r="S643" s="9">
        <f t="shared" si="97"/>
        <v>0</v>
      </c>
      <c r="T643" s="90">
        <f t="shared" si="92"/>
        <v>127</v>
      </c>
      <c r="U643" s="90">
        <f t="shared" si="93"/>
        <v>998</v>
      </c>
      <c r="V643" s="373">
        <f t="shared" si="94"/>
        <v>634</v>
      </c>
      <c r="W643" s="90">
        <f t="shared" si="95"/>
        <v>0</v>
      </c>
      <c r="X643" s="90">
        <f t="shared" si="96"/>
        <v>0</v>
      </c>
      <c r="Y643" s="141">
        <f t="shared" si="98"/>
        <v>634</v>
      </c>
      <c r="Z643" s="298">
        <v>127</v>
      </c>
      <c r="AA643" s="299">
        <v>998</v>
      </c>
      <c r="AB643" s="299">
        <v>634</v>
      </c>
      <c r="AC643" s="301">
        <v>0</v>
      </c>
      <c r="AD643" s="301">
        <v>0</v>
      </c>
      <c r="AE643" s="126"/>
      <c r="AF643" s="298"/>
      <c r="AG643" s="299"/>
      <c r="AH643" s="299"/>
      <c r="AI643" s="301"/>
      <c r="AJ643" s="301"/>
      <c r="AK643" s="426"/>
      <c r="AL643" s="298"/>
      <c r="AM643" s="299"/>
      <c r="AN643" s="299"/>
      <c r="AO643" s="301"/>
      <c r="AP643" s="301"/>
      <c r="AQ643" s="426"/>
      <c r="AR643" s="298"/>
      <c r="AS643" s="299"/>
      <c r="AT643" s="299"/>
      <c r="AU643" s="301"/>
      <c r="AV643" s="301"/>
      <c r="AW643" s="88"/>
      <c r="AX643" s="298"/>
      <c r="AY643" s="299"/>
      <c r="AZ643" s="299"/>
      <c r="BA643" s="301"/>
      <c r="BB643" s="301"/>
      <c r="BC643" s="426"/>
      <c r="BD643" s="298"/>
      <c r="BE643" s="299"/>
      <c r="BF643" s="299"/>
      <c r="BG643" s="301"/>
      <c r="BH643" s="301"/>
      <c r="BI643" s="88"/>
      <c r="BJ643" s="298"/>
      <c r="BK643" s="299"/>
      <c r="BL643" s="299"/>
      <c r="BM643" s="301"/>
      <c r="BN643" s="301"/>
      <c r="BO643" s="88"/>
      <c r="BP643" s="9"/>
      <c r="BS643" s="81"/>
      <c r="BT643" s="81"/>
      <c r="BV643" s="9"/>
      <c r="BY643" s="81"/>
      <c r="BZ643" s="81"/>
      <c r="CB643" s="9"/>
      <c r="CE643" s="81"/>
      <c r="CF643" s="81"/>
      <c r="CH643" s="9"/>
      <c r="CK643" s="81"/>
      <c r="CL643" s="81"/>
      <c r="CR643" s="9"/>
      <c r="CS643" s="9"/>
      <c r="CT643" s="9"/>
      <c r="CU643" s="9"/>
      <c r="CV643" s="9"/>
      <c r="CW643" s="129"/>
      <c r="CX643" s="9"/>
    </row>
    <row r="644" spans="1:102">
      <c r="A644" s="6" t="str">
        <f t="shared" si="91"/>
        <v>01270999</v>
      </c>
      <c r="B644" s="6" t="s">
        <v>1777</v>
      </c>
      <c r="C644" s="6" t="s">
        <v>2092</v>
      </c>
      <c r="D644" s="6">
        <v>635</v>
      </c>
      <c r="E644" s="10">
        <v>127</v>
      </c>
      <c r="F644" s="10" t="s">
        <v>1245</v>
      </c>
      <c r="G644" s="10">
        <v>999</v>
      </c>
      <c r="H644" s="10" t="s">
        <v>593</v>
      </c>
      <c r="I644" s="92">
        <v>4215602.3500000006</v>
      </c>
      <c r="J644" s="472">
        <v>1</v>
      </c>
      <c r="K644" s="53">
        <f>SUM(K640:K643)</f>
        <v>4167872.81</v>
      </c>
      <c r="L644" s="91">
        <f>SUM(L640:L643)</f>
        <v>1</v>
      </c>
      <c r="M644" s="79">
        <f>VLOOKUP(E644,town351,24)</f>
        <v>3438495</v>
      </c>
      <c r="N644" s="79">
        <f>SUM(N640:N643)</f>
        <v>3438495</v>
      </c>
      <c r="O644" s="79">
        <v>3472030</v>
      </c>
      <c r="P644" s="79">
        <f>SUM(P640:P643)</f>
        <v>-33535</v>
      </c>
      <c r="Q644" s="39">
        <f t="shared" si="99"/>
        <v>-0.96586147009098422</v>
      </c>
      <c r="R644" s="9">
        <v>317</v>
      </c>
      <c r="S644" s="9">
        <f t="shared" si="97"/>
        <v>310</v>
      </c>
      <c r="T644" s="90">
        <f t="shared" si="92"/>
        <v>127</v>
      </c>
      <c r="U644" s="90">
        <f t="shared" si="93"/>
        <v>999</v>
      </c>
      <c r="V644" s="373">
        <f t="shared" si="94"/>
        <v>635</v>
      </c>
      <c r="W644" s="90">
        <f t="shared" si="95"/>
        <v>310</v>
      </c>
      <c r="X644" s="90">
        <f t="shared" si="96"/>
        <v>4167872.81</v>
      </c>
      <c r="Y644" s="141">
        <f t="shared" si="98"/>
        <v>635</v>
      </c>
      <c r="Z644" s="298">
        <v>127</v>
      </c>
      <c r="AA644" s="299">
        <v>999</v>
      </c>
      <c r="AB644" s="299">
        <v>635</v>
      </c>
      <c r="AC644" s="301">
        <v>310</v>
      </c>
      <c r="AD644" s="301">
        <v>4167872.81</v>
      </c>
      <c r="AE644" s="126"/>
      <c r="AF644" s="298"/>
      <c r="AG644" s="299"/>
      <c r="AH644" s="299"/>
      <c r="AI644" s="301"/>
      <c r="AJ644" s="301"/>
      <c r="AK644" s="426"/>
      <c r="AL644" s="298"/>
      <c r="AM644" s="299"/>
      <c r="AN644" s="299"/>
      <c r="AO644" s="301"/>
      <c r="AP644" s="301"/>
      <c r="AQ644" s="426"/>
      <c r="AR644" s="298"/>
      <c r="AS644" s="299"/>
      <c r="AT644" s="299"/>
      <c r="AU644" s="301"/>
      <c r="AV644" s="301"/>
      <c r="AW644" s="91"/>
      <c r="AX644" s="298"/>
      <c r="AY644" s="299"/>
      <c r="AZ644" s="299"/>
      <c r="BA644" s="301"/>
      <c r="BB644" s="301"/>
      <c r="BC644" s="426"/>
      <c r="BD644" s="298"/>
      <c r="BE644" s="299"/>
      <c r="BF644" s="299"/>
      <c r="BG644" s="301"/>
      <c r="BH644" s="301"/>
      <c r="BI644" s="91"/>
      <c r="BJ644" s="298"/>
      <c r="BK644" s="299"/>
      <c r="BL644" s="299"/>
      <c r="BM644" s="301"/>
      <c r="BN644" s="301"/>
      <c r="BO644" s="91"/>
      <c r="BP644" s="9"/>
      <c r="BS644" s="81"/>
      <c r="BT644" s="81"/>
      <c r="BV644" s="9"/>
      <c r="BY644" s="81"/>
      <c r="BZ644" s="81"/>
      <c r="CB644" s="9"/>
      <c r="CE644" s="81"/>
      <c r="CF644" s="81"/>
      <c r="CH644" s="9"/>
      <c r="CK644" s="81"/>
      <c r="CL644" s="81"/>
      <c r="CR644" s="9"/>
      <c r="CS644" s="9"/>
      <c r="CT644" s="9"/>
      <c r="CU644" s="9"/>
      <c r="CV644" s="9"/>
      <c r="CW644" s="129"/>
      <c r="CX644" s="9"/>
    </row>
    <row r="645" spans="1:102">
      <c r="A645" s="6" t="str">
        <f t="shared" si="91"/>
        <v>01280128</v>
      </c>
      <c r="B645" s="6" t="s">
        <v>1778</v>
      </c>
      <c r="C645" s="6" t="s">
        <v>1778</v>
      </c>
      <c r="D645" s="6">
        <v>636</v>
      </c>
      <c r="E645" s="6">
        <v>128</v>
      </c>
      <c r="F645" s="6" t="s">
        <v>1246</v>
      </c>
      <c r="G645" s="6">
        <v>128</v>
      </c>
      <c r="H645" s="6" t="s">
        <v>809</v>
      </c>
      <c r="I645" s="33">
        <v>132551888.25</v>
      </c>
      <c r="J645" s="88">
        <v>0.88024583004005308</v>
      </c>
      <c r="K645" s="89">
        <f>X645</f>
        <v>140921702.34</v>
      </c>
      <c r="L645" s="88">
        <f>IF(K649&gt;0, K645/K649, 0)</f>
        <v>0.88593409686915459</v>
      </c>
      <c r="M645" s="58"/>
      <c r="N645" s="9">
        <f>ROUND(M649*L645,0)</f>
        <v>52953650</v>
      </c>
      <c r="O645" s="9">
        <v>49918077</v>
      </c>
      <c r="P645" s="9">
        <f>N645-O645</f>
        <v>3035573</v>
      </c>
      <c r="Q645" s="40">
        <f t="shared" si="99"/>
        <v>6.0811096549252088</v>
      </c>
      <c r="R645" s="9">
        <v>8287</v>
      </c>
      <c r="S645" s="9">
        <f t="shared" si="97"/>
        <v>8401</v>
      </c>
      <c r="T645" s="90">
        <f t="shared" si="92"/>
        <v>128</v>
      </c>
      <c r="U645" s="90">
        <f t="shared" si="93"/>
        <v>128</v>
      </c>
      <c r="V645" s="373">
        <f t="shared" si="94"/>
        <v>636</v>
      </c>
      <c r="W645" s="90">
        <f t="shared" si="95"/>
        <v>8401</v>
      </c>
      <c r="X645" s="90">
        <f t="shared" si="96"/>
        <v>140921702.34</v>
      </c>
      <c r="Y645" s="141">
        <f t="shared" si="98"/>
        <v>636</v>
      </c>
      <c r="Z645" s="298">
        <v>128</v>
      </c>
      <c r="AA645" s="299">
        <v>128</v>
      </c>
      <c r="AB645" s="299">
        <v>636</v>
      </c>
      <c r="AC645" s="301">
        <v>8401</v>
      </c>
      <c r="AD645" s="301">
        <v>140921702.34</v>
      </c>
      <c r="AE645" s="126"/>
      <c r="AF645" s="298"/>
      <c r="AG645" s="299"/>
      <c r="AH645" s="299"/>
      <c r="AI645" s="301"/>
      <c r="AJ645" s="301"/>
      <c r="AK645" s="426"/>
      <c r="AL645" s="298"/>
      <c r="AM645" s="299"/>
      <c r="AN645" s="299"/>
      <c r="AO645" s="301"/>
      <c r="AP645" s="301"/>
      <c r="AQ645" s="426"/>
      <c r="AR645" s="298"/>
      <c r="AS645" s="299"/>
      <c r="AT645" s="299"/>
      <c r="AU645" s="301"/>
      <c r="AV645" s="301"/>
      <c r="AW645" s="88"/>
      <c r="AX645" s="298"/>
      <c r="AY645" s="299"/>
      <c r="AZ645" s="299"/>
      <c r="BA645" s="301"/>
      <c r="BB645" s="301"/>
      <c r="BC645" s="426"/>
      <c r="BD645" s="298"/>
      <c r="BE645" s="299"/>
      <c r="BF645" s="299"/>
      <c r="BG645" s="301"/>
      <c r="BH645" s="301"/>
      <c r="BI645" s="88"/>
      <c r="BJ645" s="298"/>
      <c r="BK645" s="299"/>
      <c r="BL645" s="299"/>
      <c r="BM645" s="301"/>
      <c r="BN645" s="301"/>
      <c r="BO645" s="88"/>
      <c r="BP645" s="9"/>
      <c r="BS645" s="81"/>
      <c r="BT645" s="81"/>
      <c r="BV645" s="9"/>
      <c r="BY645" s="81"/>
      <c r="BZ645" s="81"/>
      <c r="CB645" s="9"/>
      <c r="CE645" s="81"/>
      <c r="CF645" s="81"/>
      <c r="CH645" s="9"/>
      <c r="CK645" s="81"/>
      <c r="CL645" s="81"/>
      <c r="CR645" s="9"/>
      <c r="CS645" s="9"/>
      <c r="CT645" s="9"/>
      <c r="CU645" s="9"/>
      <c r="CV645" s="9"/>
      <c r="CW645" s="129"/>
      <c r="CX645" s="9"/>
    </row>
    <row r="646" spans="1:102">
      <c r="A646" s="6" t="str">
        <f t="shared" si="91"/>
        <v>01280885</v>
      </c>
      <c r="B646" s="6" t="s">
        <v>1778</v>
      </c>
      <c r="C646" s="6" t="s">
        <v>2087</v>
      </c>
      <c r="D646" s="6">
        <v>637</v>
      </c>
      <c r="E646" s="6">
        <v>128</v>
      </c>
      <c r="F646" s="6" t="s">
        <v>1246</v>
      </c>
      <c r="G646" s="6">
        <v>885</v>
      </c>
      <c r="H646" s="6" t="s">
        <v>1117</v>
      </c>
      <c r="I646" s="33">
        <v>18033191.197600003</v>
      </c>
      <c r="J646" s="88">
        <v>0.11975416995994694</v>
      </c>
      <c r="K646" s="89">
        <f t="shared" si="100"/>
        <v>18143969.51754564</v>
      </c>
      <c r="L646" s="88">
        <f>IF(K649&gt;0, K646/K649, 0)</f>
        <v>0.11406590313084539</v>
      </c>
      <c r="M646" s="58"/>
      <c r="N646" s="9">
        <f>ROUND(M649*L646,0)</f>
        <v>6817895</v>
      </c>
      <c r="O646" s="9">
        <v>6791169</v>
      </c>
      <c r="P646" s="9">
        <f>N646-O646</f>
        <v>26726</v>
      </c>
      <c r="Q646" s="40">
        <f t="shared" si="99"/>
        <v>0.39354049354389503</v>
      </c>
      <c r="R646" s="9">
        <v>867.00000000000011</v>
      </c>
      <c r="S646" s="9">
        <f t="shared" si="97"/>
        <v>852.00156985330011</v>
      </c>
      <c r="T646" s="90">
        <f t="shared" si="92"/>
        <v>128</v>
      </c>
      <c r="U646" s="90">
        <f t="shared" si="93"/>
        <v>885</v>
      </c>
      <c r="V646" s="373">
        <f t="shared" si="94"/>
        <v>637</v>
      </c>
      <c r="W646" s="90">
        <f t="shared" si="95"/>
        <v>852.00156985330011</v>
      </c>
      <c r="X646" s="90">
        <f t="shared" si="96"/>
        <v>18143969.51754564</v>
      </c>
      <c r="Y646" s="141">
        <f t="shared" si="98"/>
        <v>637</v>
      </c>
      <c r="Z646" s="298">
        <v>128</v>
      </c>
      <c r="AA646" s="299">
        <v>885</v>
      </c>
      <c r="AB646" s="299">
        <v>637</v>
      </c>
      <c r="AC646" s="301">
        <v>852.00156985330011</v>
      </c>
      <c r="AD646" s="301">
        <v>18143969.51754564</v>
      </c>
      <c r="AE646" s="126"/>
      <c r="AF646" s="298"/>
      <c r="AG646" s="299"/>
      <c r="AH646" s="299"/>
      <c r="AI646" s="301"/>
      <c r="AJ646" s="301"/>
      <c r="AK646" s="426"/>
      <c r="AL646" s="298"/>
      <c r="AM646" s="299"/>
      <c r="AN646" s="299"/>
      <c r="AO646" s="301"/>
      <c r="AP646" s="301"/>
      <c r="AQ646" s="426"/>
      <c r="AR646" s="298"/>
      <c r="AS646" s="299"/>
      <c r="AT646" s="299"/>
      <c r="AU646" s="301"/>
      <c r="AV646" s="301"/>
      <c r="AW646" s="88"/>
      <c r="AX646" s="298"/>
      <c r="AY646" s="299"/>
      <c r="AZ646" s="299"/>
      <c r="BA646" s="301"/>
      <c r="BB646" s="301"/>
      <c r="BC646" s="426"/>
      <c r="BD646" s="298"/>
      <c r="BE646" s="299"/>
      <c r="BF646" s="299"/>
      <c r="BG646" s="301"/>
      <c r="BH646" s="301"/>
      <c r="BI646" s="88"/>
      <c r="BJ646" s="298"/>
      <c r="BK646" s="299"/>
      <c r="BL646" s="299"/>
      <c r="BM646" s="301"/>
      <c r="BN646" s="301"/>
      <c r="BO646" s="88"/>
      <c r="BP646" s="9"/>
      <c r="BS646" s="81"/>
      <c r="BT646" s="81"/>
      <c r="BV646" s="9"/>
      <c r="BY646" s="81"/>
      <c r="BZ646" s="81"/>
      <c r="CB646" s="9"/>
      <c r="CE646" s="81"/>
      <c r="CF646" s="81"/>
      <c r="CH646" s="9"/>
      <c r="CK646" s="81"/>
      <c r="CL646" s="81"/>
      <c r="CR646" s="9"/>
      <c r="CS646" s="9"/>
      <c r="CT646" s="9"/>
      <c r="CU646" s="9"/>
      <c r="CV646" s="9"/>
      <c r="CW646" s="129"/>
      <c r="CX646" s="9"/>
    </row>
    <row r="647" spans="1:102">
      <c r="A647" s="6" t="str">
        <f t="shared" si="91"/>
        <v>01280998</v>
      </c>
      <c r="B647" s="6" t="s">
        <v>1778</v>
      </c>
      <c r="C647" s="6" t="s">
        <v>2091</v>
      </c>
      <c r="D647" s="6">
        <v>638</v>
      </c>
      <c r="E647" s="6">
        <v>128</v>
      </c>
      <c r="F647" s="6" t="s">
        <v>1547</v>
      </c>
      <c r="G647" s="6">
        <v>998</v>
      </c>
      <c r="I647" s="33">
        <v>0</v>
      </c>
      <c r="J647" s="88">
        <v>0</v>
      </c>
      <c r="K647" s="89">
        <f t="shared" si="100"/>
        <v>0</v>
      </c>
      <c r="L647" s="88">
        <f>IF(K649&gt;0, K647/K649, 0)</f>
        <v>0</v>
      </c>
      <c r="M647" s="58"/>
      <c r="N647" s="9">
        <f>ROUND(M649*L647,0)</f>
        <v>0</v>
      </c>
      <c r="O647" s="9">
        <v>0</v>
      </c>
      <c r="P647" s="9">
        <f>N647-O647</f>
        <v>0</v>
      </c>
      <c r="Q647" s="40">
        <f t="shared" si="99"/>
        <v>0</v>
      </c>
      <c r="R647" s="9">
        <v>0</v>
      </c>
      <c r="S647" s="9">
        <f t="shared" si="97"/>
        <v>0</v>
      </c>
      <c r="T647" s="90">
        <f t="shared" si="92"/>
        <v>128</v>
      </c>
      <c r="U647" s="90">
        <f t="shared" si="93"/>
        <v>998</v>
      </c>
      <c r="V647" s="373">
        <f t="shared" si="94"/>
        <v>638</v>
      </c>
      <c r="W647" s="90">
        <f t="shared" si="95"/>
        <v>0</v>
      </c>
      <c r="X647" s="90">
        <f t="shared" si="96"/>
        <v>0</v>
      </c>
      <c r="Y647" s="141">
        <f t="shared" si="98"/>
        <v>638</v>
      </c>
      <c r="Z647" s="298">
        <v>128</v>
      </c>
      <c r="AA647" s="299">
        <v>998</v>
      </c>
      <c r="AB647" s="299">
        <v>638</v>
      </c>
      <c r="AC647" s="301">
        <v>0</v>
      </c>
      <c r="AD647" s="301">
        <v>0</v>
      </c>
      <c r="AE647" s="126"/>
      <c r="AF647" s="298"/>
      <c r="AG647" s="299"/>
      <c r="AH647" s="299"/>
      <c r="AI647" s="301"/>
      <c r="AJ647" s="301"/>
      <c r="AK647" s="426"/>
      <c r="AL647" s="298"/>
      <c r="AM647" s="299"/>
      <c r="AN647" s="299"/>
      <c r="AO647" s="301"/>
      <c r="AP647" s="301"/>
      <c r="AQ647" s="426"/>
      <c r="AR647" s="298"/>
      <c r="AS647" s="299"/>
      <c r="AT647" s="299"/>
      <c r="AU647" s="301"/>
      <c r="AV647" s="301"/>
      <c r="AW647" s="88"/>
      <c r="AX647" s="298"/>
      <c r="AY647" s="299"/>
      <c r="AZ647" s="299"/>
      <c r="BA647" s="301"/>
      <c r="BB647" s="301"/>
      <c r="BC647" s="426"/>
      <c r="BD647" s="298"/>
      <c r="BE647" s="299"/>
      <c r="BF647" s="299"/>
      <c r="BG647" s="301"/>
      <c r="BH647" s="301"/>
      <c r="BI647" s="88"/>
      <c r="BJ647" s="298"/>
      <c r="BK647" s="299"/>
      <c r="BL647" s="299"/>
      <c r="BM647" s="301"/>
      <c r="BN647" s="301"/>
      <c r="BO647" s="88"/>
      <c r="BP647" s="9"/>
      <c r="BS647" s="81"/>
      <c r="BT647" s="81"/>
      <c r="BV647" s="9"/>
      <c r="BY647" s="81"/>
      <c r="BZ647" s="81"/>
      <c r="CB647" s="9"/>
      <c r="CE647" s="81"/>
      <c r="CF647" s="81"/>
      <c r="CH647" s="9"/>
      <c r="CK647" s="81"/>
      <c r="CL647" s="81"/>
      <c r="CR647" s="9"/>
      <c r="CS647" s="9"/>
      <c r="CT647" s="9"/>
      <c r="CU647" s="9"/>
      <c r="CV647" s="9"/>
      <c r="CW647" s="129"/>
      <c r="CX647" s="9"/>
    </row>
    <row r="648" spans="1:102">
      <c r="A648" s="6" t="str">
        <f t="shared" si="91"/>
        <v>01280998</v>
      </c>
      <c r="B648" s="6" t="s">
        <v>1778</v>
      </c>
      <c r="C648" s="6" t="s">
        <v>2091</v>
      </c>
      <c r="D648" s="6">
        <v>639</v>
      </c>
      <c r="E648" s="6">
        <v>128</v>
      </c>
      <c r="F648" s="6" t="s">
        <v>1547</v>
      </c>
      <c r="G648" s="6">
        <v>998</v>
      </c>
      <c r="H648" s="6" t="s">
        <v>1547</v>
      </c>
      <c r="I648" s="33">
        <v>0</v>
      </c>
      <c r="J648" s="88">
        <v>0</v>
      </c>
      <c r="K648" s="89">
        <f t="shared" si="100"/>
        <v>0</v>
      </c>
      <c r="L648" s="88">
        <f>IF(K649&gt;0, K648/K649, 0)</f>
        <v>0</v>
      </c>
      <c r="M648" s="58"/>
      <c r="N648" s="9">
        <f>ROUND(M649*L648,0)</f>
        <v>0</v>
      </c>
      <c r="O648" s="9">
        <v>0</v>
      </c>
      <c r="P648" s="9">
        <f>N648-O648</f>
        <v>0</v>
      </c>
      <c r="Q648" s="40">
        <f t="shared" si="99"/>
        <v>0</v>
      </c>
      <c r="R648" s="9">
        <v>0</v>
      </c>
      <c r="S648" s="9">
        <f t="shared" si="97"/>
        <v>0</v>
      </c>
      <c r="T648" s="90">
        <f t="shared" si="92"/>
        <v>128</v>
      </c>
      <c r="U648" s="90">
        <f t="shared" si="93"/>
        <v>998</v>
      </c>
      <c r="V648" s="373">
        <f t="shared" si="94"/>
        <v>639</v>
      </c>
      <c r="W648" s="90">
        <f t="shared" si="95"/>
        <v>0</v>
      </c>
      <c r="X648" s="90">
        <f t="shared" si="96"/>
        <v>0</v>
      </c>
      <c r="Y648" s="141">
        <f t="shared" si="98"/>
        <v>639</v>
      </c>
      <c r="Z648" s="298">
        <v>128</v>
      </c>
      <c r="AA648" s="299">
        <v>998</v>
      </c>
      <c r="AB648" s="299">
        <v>639</v>
      </c>
      <c r="AC648" s="301">
        <v>0</v>
      </c>
      <c r="AD648" s="301">
        <v>0</v>
      </c>
      <c r="AE648" s="126"/>
      <c r="AF648" s="298"/>
      <c r="AG648" s="299"/>
      <c r="AH648" s="299"/>
      <c r="AI648" s="301"/>
      <c r="AJ648" s="301"/>
      <c r="AK648" s="426"/>
      <c r="AL648" s="298"/>
      <c r="AM648" s="299"/>
      <c r="AN648" s="299"/>
      <c r="AO648" s="301"/>
      <c r="AP648" s="301"/>
      <c r="AQ648" s="426"/>
      <c r="AR648" s="298"/>
      <c r="AS648" s="299"/>
      <c r="AT648" s="299"/>
      <c r="AU648" s="301"/>
      <c r="AV648" s="301"/>
      <c r="AW648" s="88"/>
      <c r="AX648" s="298"/>
      <c r="AY648" s="299"/>
      <c r="AZ648" s="299"/>
      <c r="BA648" s="301"/>
      <c r="BB648" s="301"/>
      <c r="BC648" s="426"/>
      <c r="BD648" s="298"/>
      <c r="BE648" s="299"/>
      <c r="BF648" s="299"/>
      <c r="BG648" s="301"/>
      <c r="BH648" s="301"/>
      <c r="BI648" s="88"/>
      <c r="BJ648" s="298"/>
      <c r="BK648" s="299"/>
      <c r="BL648" s="299"/>
      <c r="BM648" s="301"/>
      <c r="BN648" s="301"/>
      <c r="BO648" s="88"/>
      <c r="BP648" s="9"/>
      <c r="BS648" s="81"/>
      <c r="BT648" s="81"/>
      <c r="BV648" s="9"/>
      <c r="BY648" s="81"/>
      <c r="BZ648" s="81"/>
      <c r="CB648" s="9"/>
      <c r="CE648" s="81"/>
      <c r="CF648" s="81"/>
      <c r="CH648" s="9"/>
      <c r="CK648" s="81"/>
      <c r="CL648" s="81"/>
      <c r="CR648" s="9"/>
      <c r="CS648" s="9"/>
      <c r="CT648" s="9"/>
      <c r="CU648" s="9"/>
      <c r="CV648" s="9"/>
      <c r="CW648" s="129"/>
      <c r="CX648" s="9"/>
    </row>
    <row r="649" spans="1:102">
      <c r="A649" s="6" t="str">
        <f t="shared" si="91"/>
        <v>01280999</v>
      </c>
      <c r="B649" s="6" t="s">
        <v>1778</v>
      </c>
      <c r="C649" s="6" t="s">
        <v>2092</v>
      </c>
      <c r="D649" s="6">
        <v>640</v>
      </c>
      <c r="E649" s="10">
        <v>128</v>
      </c>
      <c r="F649" s="10" t="s">
        <v>1246</v>
      </c>
      <c r="G649" s="10">
        <v>999</v>
      </c>
      <c r="H649" s="10" t="s">
        <v>593</v>
      </c>
      <c r="I649" s="92">
        <v>150585079.44760001</v>
      </c>
      <c r="J649" s="472">
        <v>1</v>
      </c>
      <c r="K649" s="53">
        <f>SUM(K645:K648)</f>
        <v>159065671.85754564</v>
      </c>
      <c r="L649" s="91">
        <f>SUM(L645:L648)</f>
        <v>1</v>
      </c>
      <c r="M649" s="79">
        <f>VLOOKUP(E649,town351,24)</f>
        <v>59771545</v>
      </c>
      <c r="N649" s="79">
        <f>SUM(N645:N648)</f>
        <v>59771545</v>
      </c>
      <c r="O649" s="79">
        <v>56709246</v>
      </c>
      <c r="P649" s="79">
        <f>SUM(P645:P648)</f>
        <v>3062299</v>
      </c>
      <c r="Q649" s="39">
        <f t="shared" si="99"/>
        <v>5.399999499199831</v>
      </c>
      <c r="R649" s="9">
        <v>9154</v>
      </c>
      <c r="S649" s="9">
        <f t="shared" si="97"/>
        <v>9253.0015698533007</v>
      </c>
      <c r="T649" s="90">
        <f t="shared" si="92"/>
        <v>128</v>
      </c>
      <c r="U649" s="90">
        <f t="shared" si="93"/>
        <v>999</v>
      </c>
      <c r="V649" s="373">
        <f t="shared" si="94"/>
        <v>640</v>
      </c>
      <c r="W649" s="90">
        <f t="shared" si="95"/>
        <v>9253.0015698533007</v>
      </c>
      <c r="X649" s="90">
        <f t="shared" si="96"/>
        <v>159065671.85754564</v>
      </c>
      <c r="Y649" s="141">
        <f t="shared" si="98"/>
        <v>640</v>
      </c>
      <c r="Z649" s="298">
        <v>128</v>
      </c>
      <c r="AA649" s="299">
        <v>999</v>
      </c>
      <c r="AB649" s="299">
        <v>640</v>
      </c>
      <c r="AC649" s="301">
        <v>9253.0015698533007</v>
      </c>
      <c r="AD649" s="301">
        <v>159065671.85754564</v>
      </c>
      <c r="AE649" s="126"/>
      <c r="AF649" s="298"/>
      <c r="AG649" s="299"/>
      <c r="AH649" s="299"/>
      <c r="AI649" s="301"/>
      <c r="AJ649" s="301"/>
      <c r="AK649" s="426"/>
      <c r="AL649" s="298"/>
      <c r="AM649" s="299"/>
      <c r="AN649" s="299"/>
      <c r="AO649" s="301"/>
      <c r="AP649" s="301"/>
      <c r="AQ649" s="426"/>
      <c r="AR649" s="298"/>
      <c r="AS649" s="299"/>
      <c r="AT649" s="299"/>
      <c r="AU649" s="301"/>
      <c r="AV649" s="301"/>
      <c r="AW649" s="91"/>
      <c r="AX649" s="298"/>
      <c r="AY649" s="299"/>
      <c r="AZ649" s="299"/>
      <c r="BA649" s="301"/>
      <c r="BB649" s="301"/>
      <c r="BC649" s="426"/>
      <c r="BD649" s="298"/>
      <c r="BE649" s="299"/>
      <c r="BF649" s="299"/>
      <c r="BG649" s="301"/>
      <c r="BH649" s="301"/>
      <c r="BI649" s="91"/>
      <c r="BJ649" s="298"/>
      <c r="BK649" s="299"/>
      <c r="BL649" s="299"/>
      <c r="BM649" s="301"/>
      <c r="BN649" s="301"/>
      <c r="BO649" s="91"/>
      <c r="BP649" s="9"/>
      <c r="BS649" s="81"/>
      <c r="BT649" s="81"/>
      <c r="BV649" s="9"/>
      <c r="BY649" s="81"/>
      <c r="BZ649" s="81"/>
      <c r="CB649" s="9"/>
      <c r="CE649" s="81"/>
      <c r="CF649" s="81"/>
      <c r="CH649" s="9"/>
      <c r="CK649" s="81"/>
      <c r="CL649" s="81"/>
      <c r="CR649" s="9"/>
      <c r="CS649" s="9"/>
      <c r="CT649" s="9"/>
      <c r="CU649" s="9"/>
      <c r="CV649" s="9"/>
      <c r="CW649" s="129"/>
      <c r="CX649" s="9"/>
    </row>
    <row r="650" spans="1:102">
      <c r="A650" s="6" t="str">
        <f t="shared" ref="A650:A713" si="101">B650&amp;C650</f>
        <v>01290129</v>
      </c>
      <c r="B650" s="6" t="s">
        <v>1779</v>
      </c>
      <c r="C650" s="6" t="s">
        <v>1779</v>
      </c>
      <c r="D650" s="6">
        <v>641</v>
      </c>
      <c r="E650" s="6">
        <v>129</v>
      </c>
      <c r="F650" s="6" t="s">
        <v>1247</v>
      </c>
      <c r="G650" s="6">
        <v>129</v>
      </c>
      <c r="H650" s="6" t="s">
        <v>810</v>
      </c>
      <c r="I650" s="33">
        <v>65963.040000000008</v>
      </c>
      <c r="J650" s="88">
        <v>0.18459287070024216</v>
      </c>
      <c r="K650" s="89">
        <f>X650</f>
        <v>67441.320000000007</v>
      </c>
      <c r="L650" s="88">
        <f>IF(K654&gt;0, K650/K654, 0)</f>
        <v>0.18742845500056565</v>
      </c>
      <c r="M650" s="58"/>
      <c r="N650" s="9">
        <f>ROUND(M654*L650,0)</f>
        <v>55639</v>
      </c>
      <c r="O650" s="9">
        <v>54419</v>
      </c>
      <c r="P650" s="9">
        <f>N650-O650</f>
        <v>1220</v>
      </c>
      <c r="Q650" s="40">
        <f t="shared" si="99"/>
        <v>2.2418640548337896</v>
      </c>
      <c r="R650" s="9">
        <v>4</v>
      </c>
      <c r="S650" s="9">
        <f t="shared" si="97"/>
        <v>4</v>
      </c>
      <c r="T650" s="90">
        <f t="shared" ref="T650:T713" si="102">VLOOKUP($D650, foundoptions, VLOOKUP($T$6, foundoptcell, 2, FALSE), FALSE)</f>
        <v>129</v>
      </c>
      <c r="U650" s="90">
        <f t="shared" ref="U650:U713" si="103">VLOOKUP($D650, foundoptions, VLOOKUP($T$6, foundoptcell, 2, FALSE)+1, FALSE)</f>
        <v>129</v>
      </c>
      <c r="V650" s="373">
        <f t="shared" ref="V650:V713" si="104">VLOOKUP($D650, foundoptions, VLOOKUP($T$6, foundoptcell, 2, FALSE)+2, FALSE)</f>
        <v>641</v>
      </c>
      <c r="W650" s="90">
        <f t="shared" ref="W650:W713" si="105">VLOOKUP($D650, foundoptions, VLOOKUP($T$6, foundoptcell, 2, FALSE)+3, FALSE)</f>
        <v>4</v>
      </c>
      <c r="X650" s="90">
        <f t="shared" ref="X650:X713" si="106">VLOOKUP($D650, foundoptions, VLOOKUP($T$6, foundoptcell, 2, FALSE)+4, FALSE)</f>
        <v>67441.320000000007</v>
      </c>
      <c r="Y650" s="141">
        <f t="shared" si="98"/>
        <v>641</v>
      </c>
      <c r="Z650" s="298">
        <v>129</v>
      </c>
      <c r="AA650" s="299">
        <v>129</v>
      </c>
      <c r="AB650" s="299">
        <v>641</v>
      </c>
      <c r="AC650" s="301">
        <v>4</v>
      </c>
      <c r="AD650" s="301">
        <v>67441.320000000007</v>
      </c>
      <c r="AE650" s="126"/>
      <c r="AF650" s="298"/>
      <c r="AG650" s="299"/>
      <c r="AH650" s="299"/>
      <c r="AI650" s="301"/>
      <c r="AJ650" s="301"/>
      <c r="AK650" s="426"/>
      <c r="AL650" s="298"/>
      <c r="AM650" s="299"/>
      <c r="AN650" s="299"/>
      <c r="AO650" s="301"/>
      <c r="AP650" s="301"/>
      <c r="AQ650" s="426"/>
      <c r="AR650" s="298"/>
      <c r="AS650" s="299"/>
      <c r="AT650" s="299"/>
      <c r="AU650" s="301"/>
      <c r="AV650" s="301"/>
      <c r="AW650" s="88"/>
      <c r="AX650" s="298"/>
      <c r="AY650" s="299"/>
      <c r="AZ650" s="299"/>
      <c r="BA650" s="301"/>
      <c r="BB650" s="301"/>
      <c r="BC650" s="426"/>
      <c r="BD650" s="298"/>
      <c r="BE650" s="299"/>
      <c r="BF650" s="299"/>
      <c r="BG650" s="301"/>
      <c r="BH650" s="301"/>
      <c r="BI650" s="88"/>
      <c r="BJ650" s="298"/>
      <c r="BK650" s="299"/>
      <c r="BL650" s="299"/>
      <c r="BM650" s="301"/>
      <c r="BN650" s="301"/>
      <c r="BO650" s="88"/>
      <c r="BP650" s="9"/>
      <c r="BS650" s="81"/>
      <c r="BT650" s="81"/>
      <c r="BV650" s="9"/>
      <c r="BY650" s="81"/>
      <c r="BZ650" s="81"/>
      <c r="CB650" s="9"/>
      <c r="CE650" s="81"/>
      <c r="CF650" s="81"/>
      <c r="CH650" s="9"/>
      <c r="CK650" s="81"/>
      <c r="CL650" s="81"/>
      <c r="CR650" s="9"/>
      <c r="CS650" s="9"/>
      <c r="CT650" s="9"/>
      <c r="CU650" s="9"/>
      <c r="CV650" s="9"/>
      <c r="CW650" s="129"/>
      <c r="CX650" s="9"/>
    </row>
    <row r="651" spans="1:102">
      <c r="A651" s="6" t="str">
        <f t="shared" si="101"/>
        <v>01290685</v>
      </c>
      <c r="B651" s="6" t="s">
        <v>1779</v>
      </c>
      <c r="C651" s="6" t="s">
        <v>2031</v>
      </c>
      <c r="D651" s="6">
        <v>642</v>
      </c>
      <c r="E651" s="6">
        <v>129</v>
      </c>
      <c r="F651" s="6" t="s">
        <v>1247</v>
      </c>
      <c r="G651" s="6">
        <v>685</v>
      </c>
      <c r="H651" s="6" t="s">
        <v>1061</v>
      </c>
      <c r="I651" s="33">
        <v>180341.41621838592</v>
      </c>
      <c r="J651" s="88">
        <v>0.50467261250996109</v>
      </c>
      <c r="K651" s="89">
        <f t="shared" si="100"/>
        <v>146113.10750000001</v>
      </c>
      <c r="L651" s="88">
        <f>IF(K654&gt;0, K651/K654, 0)</f>
        <v>0.40606788233173013</v>
      </c>
      <c r="M651" s="58"/>
      <c r="N651" s="9">
        <f>ROUND(M654*L651,0)</f>
        <v>120543</v>
      </c>
      <c r="O651" s="9">
        <v>148782</v>
      </c>
      <c r="P651" s="9">
        <f>N651-O651</f>
        <v>-28239</v>
      </c>
      <c r="Q651" s="40">
        <f t="shared" si="99"/>
        <v>-18.980118562729363</v>
      </c>
      <c r="R651" s="9">
        <v>12.204081632240001</v>
      </c>
      <c r="S651" s="9">
        <f t="shared" ref="S651:S714" si="107">W651</f>
        <v>10.125</v>
      </c>
      <c r="T651" s="90">
        <f t="shared" si="102"/>
        <v>129</v>
      </c>
      <c r="U651" s="90">
        <f t="shared" si="103"/>
        <v>685</v>
      </c>
      <c r="V651" s="373">
        <f t="shared" si="104"/>
        <v>642</v>
      </c>
      <c r="W651" s="90">
        <f t="shared" si="105"/>
        <v>10.125</v>
      </c>
      <c r="X651" s="90">
        <f t="shared" si="106"/>
        <v>146113.10750000001</v>
      </c>
      <c r="Y651" s="141">
        <f t="shared" ref="Y651:Y714" si="108">D651</f>
        <v>642</v>
      </c>
      <c r="Z651" s="298">
        <v>129</v>
      </c>
      <c r="AA651" s="299">
        <v>685</v>
      </c>
      <c r="AB651" s="299">
        <v>642</v>
      </c>
      <c r="AC651" s="301">
        <v>10.125</v>
      </c>
      <c r="AD651" s="301">
        <v>146113.10750000001</v>
      </c>
      <c r="AE651" s="126"/>
      <c r="AF651" s="298"/>
      <c r="AG651" s="299"/>
      <c r="AH651" s="299"/>
      <c r="AI651" s="301"/>
      <c r="AJ651" s="301"/>
      <c r="AK651" s="426"/>
      <c r="AL651" s="298"/>
      <c r="AM651" s="299"/>
      <c r="AN651" s="299"/>
      <c r="AO651" s="301"/>
      <c r="AP651" s="301"/>
      <c r="AQ651" s="426"/>
      <c r="AR651" s="298"/>
      <c r="AS651" s="299"/>
      <c r="AT651" s="299"/>
      <c r="AU651" s="301"/>
      <c r="AV651" s="301"/>
      <c r="AW651" s="88"/>
      <c r="AX651" s="298"/>
      <c r="AY651" s="299"/>
      <c r="AZ651" s="299"/>
      <c r="BA651" s="301"/>
      <c r="BB651" s="301"/>
      <c r="BC651" s="426"/>
      <c r="BD651" s="298"/>
      <c r="BE651" s="299"/>
      <c r="BF651" s="299"/>
      <c r="BG651" s="301"/>
      <c r="BH651" s="301"/>
      <c r="BI651" s="88"/>
      <c r="BJ651" s="298"/>
      <c r="BK651" s="299"/>
      <c r="BL651" s="299"/>
      <c r="BM651" s="301"/>
      <c r="BN651" s="301"/>
      <c r="BO651" s="88"/>
      <c r="BP651" s="9"/>
      <c r="BS651" s="81"/>
      <c r="BT651" s="81"/>
      <c r="BV651" s="9"/>
      <c r="BY651" s="81"/>
      <c r="BZ651" s="81"/>
      <c r="CB651" s="9"/>
      <c r="CE651" s="81"/>
      <c r="CF651" s="81"/>
      <c r="CH651" s="9"/>
      <c r="CK651" s="81"/>
      <c r="CL651" s="81"/>
      <c r="CR651" s="9"/>
      <c r="CS651" s="9"/>
      <c r="CT651" s="9"/>
      <c r="CU651" s="9"/>
      <c r="CV651" s="9"/>
      <c r="CW651" s="129"/>
      <c r="CX651" s="9"/>
    </row>
    <row r="652" spans="1:102">
      <c r="A652" s="6" t="str">
        <f t="shared" si="101"/>
        <v>01290717</v>
      </c>
      <c r="B652" s="6" t="s">
        <v>1779</v>
      </c>
      <c r="C652" s="6" t="s">
        <v>2040</v>
      </c>
      <c r="D652" s="6">
        <v>643</v>
      </c>
      <c r="E652" s="6">
        <v>129</v>
      </c>
      <c r="F652" s="6" t="s">
        <v>1247</v>
      </c>
      <c r="G652" s="6">
        <v>717</v>
      </c>
      <c r="H652" s="6" t="s">
        <v>1070</v>
      </c>
      <c r="I652" s="33">
        <v>111038.92194011562</v>
      </c>
      <c r="J652" s="88">
        <v>0.31073451678979686</v>
      </c>
      <c r="K652" s="89">
        <f t="shared" si="100"/>
        <v>146269.91187150293</v>
      </c>
      <c r="L652" s="88">
        <f>IF(K654&gt;0, K652/K654, 0)</f>
        <v>0.4065036626677041</v>
      </c>
      <c r="M652" s="58"/>
      <c r="N652" s="9">
        <f>ROUND(M654*L652,0)</f>
        <v>120673</v>
      </c>
      <c r="O652" s="9">
        <v>91607</v>
      </c>
      <c r="P652" s="9">
        <f>N652-O652</f>
        <v>29066</v>
      </c>
      <c r="Q652" s="40">
        <f t="shared" si="99"/>
        <v>31.72901634154595</v>
      </c>
      <c r="R652" s="9">
        <v>7.7170731699599999</v>
      </c>
      <c r="S652" s="9">
        <f t="shared" si="107"/>
        <v>9.7014925410000004</v>
      </c>
      <c r="T652" s="90">
        <f t="shared" si="102"/>
        <v>129</v>
      </c>
      <c r="U652" s="90">
        <f t="shared" si="103"/>
        <v>717</v>
      </c>
      <c r="V652" s="373">
        <f t="shared" si="104"/>
        <v>643</v>
      </c>
      <c r="W652" s="90">
        <f t="shared" si="105"/>
        <v>9.7014925410000004</v>
      </c>
      <c r="X652" s="90">
        <f t="shared" si="106"/>
        <v>146269.91187150293</v>
      </c>
      <c r="Y652" s="141">
        <f t="shared" si="108"/>
        <v>643</v>
      </c>
      <c r="Z652" s="298">
        <v>129</v>
      </c>
      <c r="AA652" s="299">
        <v>717</v>
      </c>
      <c r="AB652" s="299">
        <v>643</v>
      </c>
      <c r="AC652" s="301">
        <v>9.7014925410000004</v>
      </c>
      <c r="AD652" s="301">
        <v>146269.91187150293</v>
      </c>
      <c r="AE652" s="126"/>
      <c r="AF652" s="298"/>
      <c r="AG652" s="299"/>
      <c r="AH652" s="299"/>
      <c r="AI652" s="301"/>
      <c r="AJ652" s="301"/>
      <c r="AK652" s="426"/>
      <c r="AL652" s="298"/>
      <c r="AM652" s="299"/>
      <c r="AN652" s="299"/>
      <c r="AO652" s="301"/>
      <c r="AP652" s="301"/>
      <c r="AQ652" s="426"/>
      <c r="AR652" s="298"/>
      <c r="AS652" s="299"/>
      <c r="AT652" s="299"/>
      <c r="AU652" s="301"/>
      <c r="AV652" s="301"/>
      <c r="AW652" s="88"/>
      <c r="AX652" s="298"/>
      <c r="AY652" s="299"/>
      <c r="AZ652" s="299"/>
      <c r="BA652" s="301"/>
      <c r="BB652" s="301"/>
      <c r="BC652" s="426"/>
      <c r="BD652" s="298"/>
      <c r="BE652" s="299"/>
      <c r="BF652" s="299"/>
      <c r="BG652" s="301"/>
      <c r="BH652" s="301"/>
      <c r="BI652" s="88"/>
      <c r="BJ652" s="298"/>
      <c r="BK652" s="299"/>
      <c r="BL652" s="299"/>
      <c r="BM652" s="301"/>
      <c r="BN652" s="301"/>
      <c r="BO652" s="88"/>
      <c r="BP652" s="9"/>
      <c r="BS652" s="81"/>
      <c r="BT652" s="81"/>
      <c r="BV652" s="9"/>
      <c r="BY652" s="81"/>
      <c r="BZ652" s="81"/>
      <c r="CB652" s="9"/>
      <c r="CE652" s="81"/>
      <c r="CF652" s="81"/>
      <c r="CH652" s="9"/>
      <c r="CK652" s="81"/>
      <c r="CL652" s="81"/>
      <c r="CR652" s="9"/>
      <c r="CS652" s="9"/>
      <c r="CT652" s="9"/>
      <c r="CU652" s="9"/>
      <c r="CV652" s="9"/>
      <c r="CW652" s="129"/>
      <c r="CX652" s="9"/>
    </row>
    <row r="653" spans="1:102">
      <c r="A653" s="6" t="str">
        <f t="shared" si="101"/>
        <v>01290998</v>
      </c>
      <c r="B653" s="6" t="s">
        <v>1779</v>
      </c>
      <c r="C653" s="6" t="s">
        <v>2091</v>
      </c>
      <c r="D653" s="6">
        <v>644</v>
      </c>
      <c r="E653" s="6">
        <v>129</v>
      </c>
      <c r="F653" s="6" t="s">
        <v>1547</v>
      </c>
      <c r="G653" s="6">
        <v>998</v>
      </c>
      <c r="H653" s="6" t="s">
        <v>1547</v>
      </c>
      <c r="I653" s="33">
        <v>0</v>
      </c>
      <c r="J653" s="88">
        <v>0</v>
      </c>
      <c r="K653" s="89">
        <f t="shared" si="100"/>
        <v>0</v>
      </c>
      <c r="L653" s="88">
        <f>IF(K654&gt;0, K653/K654, 0)</f>
        <v>0</v>
      </c>
      <c r="M653" s="58"/>
      <c r="N653" s="9">
        <f>ROUND(M654*L653,0)</f>
        <v>0</v>
      </c>
      <c r="O653" s="9">
        <v>0</v>
      </c>
      <c r="P653" s="9">
        <f>N653-O653</f>
        <v>0</v>
      </c>
      <c r="Q653" s="40">
        <f t="shared" si="99"/>
        <v>0</v>
      </c>
      <c r="R653" s="9">
        <v>0</v>
      </c>
      <c r="S653" s="9">
        <f t="shared" si="107"/>
        <v>0</v>
      </c>
      <c r="T653" s="90">
        <f t="shared" si="102"/>
        <v>129</v>
      </c>
      <c r="U653" s="90">
        <f t="shared" si="103"/>
        <v>998</v>
      </c>
      <c r="V653" s="373">
        <f t="shared" si="104"/>
        <v>644</v>
      </c>
      <c r="W653" s="90">
        <f t="shared" si="105"/>
        <v>0</v>
      </c>
      <c r="X653" s="90">
        <f t="shared" si="106"/>
        <v>0</v>
      </c>
      <c r="Y653" s="141">
        <f t="shared" si="108"/>
        <v>644</v>
      </c>
      <c r="Z653" s="298">
        <v>129</v>
      </c>
      <c r="AA653" s="299">
        <v>998</v>
      </c>
      <c r="AB653" s="299">
        <v>644</v>
      </c>
      <c r="AC653" s="301">
        <v>0</v>
      </c>
      <c r="AD653" s="301">
        <v>0</v>
      </c>
      <c r="AE653" s="126"/>
      <c r="AF653" s="298"/>
      <c r="AG653" s="299"/>
      <c r="AH653" s="299"/>
      <c r="AI653" s="301"/>
      <c r="AJ653" s="301"/>
      <c r="AK653" s="426"/>
      <c r="AL653" s="298"/>
      <c r="AM653" s="299"/>
      <c r="AN653" s="299"/>
      <c r="AO653" s="301"/>
      <c r="AP653" s="301"/>
      <c r="AQ653" s="426"/>
      <c r="AR653" s="298"/>
      <c r="AS653" s="299"/>
      <c r="AT653" s="299"/>
      <c r="AU653" s="301"/>
      <c r="AV653" s="301"/>
      <c r="AW653" s="88"/>
      <c r="AX653" s="298"/>
      <c r="AY653" s="299"/>
      <c r="AZ653" s="299"/>
      <c r="BA653" s="301"/>
      <c r="BB653" s="301"/>
      <c r="BC653" s="426"/>
      <c r="BD653" s="298"/>
      <c r="BE653" s="299"/>
      <c r="BF653" s="299"/>
      <c r="BG653" s="301"/>
      <c r="BH653" s="301"/>
      <c r="BI653" s="88"/>
      <c r="BJ653" s="298"/>
      <c r="BK653" s="299"/>
      <c r="BL653" s="299"/>
      <c r="BM653" s="301"/>
      <c r="BN653" s="301"/>
      <c r="BO653" s="88"/>
      <c r="BP653" s="9"/>
      <c r="BS653" s="81"/>
      <c r="BT653" s="81"/>
      <c r="BV653" s="9"/>
      <c r="BY653" s="81"/>
      <c r="BZ653" s="81"/>
      <c r="CB653" s="9"/>
      <c r="CE653" s="81"/>
      <c r="CF653" s="81"/>
      <c r="CH653" s="9"/>
      <c r="CK653" s="81"/>
      <c r="CL653" s="81"/>
      <c r="CR653" s="9"/>
      <c r="CS653" s="9"/>
      <c r="CT653" s="9"/>
      <c r="CU653" s="9"/>
      <c r="CV653" s="9"/>
      <c r="CW653" s="129"/>
      <c r="CX653" s="9"/>
    </row>
    <row r="654" spans="1:102">
      <c r="A654" s="6" t="str">
        <f t="shared" si="101"/>
        <v>01290999</v>
      </c>
      <c r="B654" s="6" t="s">
        <v>1779</v>
      </c>
      <c r="C654" s="6" t="s">
        <v>2092</v>
      </c>
      <c r="D654" s="6">
        <v>645</v>
      </c>
      <c r="E654" s="10">
        <v>129</v>
      </c>
      <c r="F654" s="10" t="s">
        <v>1247</v>
      </c>
      <c r="G654" s="10">
        <v>999</v>
      </c>
      <c r="H654" s="10" t="s">
        <v>593</v>
      </c>
      <c r="I654" s="92">
        <v>357343.37815850152</v>
      </c>
      <c r="J654" s="472">
        <v>1</v>
      </c>
      <c r="K654" s="53">
        <f>SUM(K650:K653)</f>
        <v>359824.33937150298</v>
      </c>
      <c r="L654" s="91">
        <f>SUM(L650:L653)</f>
        <v>0.99999999999999989</v>
      </c>
      <c r="M654" s="79">
        <f>VLOOKUP(E654,town351,24)</f>
        <v>296855</v>
      </c>
      <c r="N654" s="79">
        <f>SUM(N650:N653)</f>
        <v>296855</v>
      </c>
      <c r="O654" s="79">
        <v>294808</v>
      </c>
      <c r="P654" s="79">
        <f>SUM(P650:P653)</f>
        <v>2047</v>
      </c>
      <c r="Q654" s="39">
        <f t="shared" si="99"/>
        <v>0.69435022116089118</v>
      </c>
      <c r="R654" s="9">
        <v>23.9211548022</v>
      </c>
      <c r="S654" s="9">
        <f t="shared" si="107"/>
        <v>23.826492541</v>
      </c>
      <c r="T654" s="90">
        <f t="shared" si="102"/>
        <v>129</v>
      </c>
      <c r="U654" s="90">
        <f t="shared" si="103"/>
        <v>999</v>
      </c>
      <c r="V654" s="373">
        <f t="shared" si="104"/>
        <v>645</v>
      </c>
      <c r="W654" s="90">
        <f t="shared" si="105"/>
        <v>23.826492541</v>
      </c>
      <c r="X654" s="90">
        <f t="shared" si="106"/>
        <v>359824.33937150298</v>
      </c>
      <c r="Y654" s="141">
        <f t="shared" si="108"/>
        <v>645</v>
      </c>
      <c r="Z654" s="298">
        <v>129</v>
      </c>
      <c r="AA654" s="299">
        <v>999</v>
      </c>
      <c r="AB654" s="299">
        <v>645</v>
      </c>
      <c r="AC654" s="301">
        <v>23.826492541</v>
      </c>
      <c r="AD654" s="301">
        <v>359824.33937150298</v>
      </c>
      <c r="AE654" s="126"/>
      <c r="AF654" s="298"/>
      <c r="AG654" s="299"/>
      <c r="AH654" s="299"/>
      <c r="AI654" s="301"/>
      <c r="AJ654" s="301"/>
      <c r="AK654" s="426"/>
      <c r="AL654" s="298"/>
      <c r="AM654" s="299"/>
      <c r="AN654" s="299"/>
      <c r="AO654" s="301"/>
      <c r="AP654" s="301"/>
      <c r="AQ654" s="426"/>
      <c r="AR654" s="298"/>
      <c r="AS654" s="299"/>
      <c r="AT654" s="299"/>
      <c r="AU654" s="301"/>
      <c r="AV654" s="301"/>
      <c r="AW654" s="91"/>
      <c r="AX654" s="298"/>
      <c r="AY654" s="299"/>
      <c r="AZ654" s="299"/>
      <c r="BA654" s="301"/>
      <c r="BB654" s="301"/>
      <c r="BC654" s="426"/>
      <c r="BD654" s="298"/>
      <c r="BE654" s="299"/>
      <c r="BF654" s="299"/>
      <c r="BG654" s="301"/>
      <c r="BH654" s="301"/>
      <c r="BI654" s="91"/>
      <c r="BJ654" s="298"/>
      <c r="BK654" s="299"/>
      <c r="BL654" s="299"/>
      <c r="BM654" s="301"/>
      <c r="BN654" s="301"/>
      <c r="BO654" s="91"/>
      <c r="BP654" s="9"/>
      <c r="BS654" s="81"/>
      <c r="BT654" s="81"/>
      <c r="BV654" s="9"/>
      <c r="BY654" s="81"/>
      <c r="BZ654" s="81"/>
      <c r="CB654" s="9"/>
      <c r="CE654" s="81"/>
      <c r="CF654" s="81"/>
      <c r="CH654" s="9"/>
      <c r="CK654" s="81"/>
      <c r="CL654" s="81"/>
      <c r="CR654" s="9"/>
      <c r="CS654" s="9"/>
      <c r="CT654" s="9"/>
      <c r="CU654" s="9"/>
      <c r="CV654" s="9"/>
      <c r="CW654" s="129"/>
      <c r="CX654" s="9"/>
    </row>
    <row r="655" spans="1:102">
      <c r="A655" s="6" t="str">
        <f t="shared" si="101"/>
        <v>01300130</v>
      </c>
      <c r="B655" s="6" t="s">
        <v>1780</v>
      </c>
      <c r="C655" s="6" t="s">
        <v>1780</v>
      </c>
      <c r="D655" s="6">
        <v>646</v>
      </c>
      <c r="E655" s="6">
        <v>130</v>
      </c>
      <c r="F655" s="6" t="s">
        <v>1248</v>
      </c>
      <c r="G655" s="6">
        <v>130</v>
      </c>
      <c r="H655" s="6" t="s">
        <v>811</v>
      </c>
      <c r="I655" s="33">
        <v>0</v>
      </c>
      <c r="J655" s="88">
        <v>0</v>
      </c>
      <c r="K655" s="89">
        <f>X655</f>
        <v>0</v>
      </c>
      <c r="L655" s="88">
        <f>IF(K659&gt;0, K655/K659, 0)</f>
        <v>0</v>
      </c>
      <c r="M655" s="58"/>
      <c r="N655" s="9">
        <f>ROUND(M659*L655,0)</f>
        <v>0</v>
      </c>
      <c r="O655" s="9">
        <v>0</v>
      </c>
      <c r="P655" s="9">
        <f>N655-O655</f>
        <v>0</v>
      </c>
      <c r="Q655" s="40">
        <f t="shared" si="99"/>
        <v>0</v>
      </c>
      <c r="R655" s="9">
        <v>0</v>
      </c>
      <c r="S655" s="9">
        <f t="shared" si="107"/>
        <v>0</v>
      </c>
      <c r="T655" s="90">
        <f t="shared" si="102"/>
        <v>130</v>
      </c>
      <c r="U655" s="90">
        <f t="shared" si="103"/>
        <v>130</v>
      </c>
      <c r="V655" s="373">
        <f t="shared" si="104"/>
        <v>646</v>
      </c>
      <c r="W655" s="90">
        <f t="shared" si="105"/>
        <v>0</v>
      </c>
      <c r="X655" s="90">
        <f t="shared" si="106"/>
        <v>0</v>
      </c>
      <c r="Y655" s="141">
        <f t="shared" si="108"/>
        <v>646</v>
      </c>
      <c r="Z655" s="298">
        <v>130</v>
      </c>
      <c r="AA655" s="299">
        <v>130</v>
      </c>
      <c r="AB655" s="299">
        <v>646</v>
      </c>
      <c r="AC655" s="301">
        <v>0</v>
      </c>
      <c r="AD655" s="301">
        <v>0</v>
      </c>
      <c r="AE655" s="126"/>
      <c r="AF655" s="298"/>
      <c r="AG655" s="299"/>
      <c r="AH655" s="299"/>
      <c r="AI655" s="301"/>
      <c r="AJ655" s="301"/>
      <c r="AK655" s="426"/>
      <c r="AL655" s="298"/>
      <c r="AM655" s="299"/>
      <c r="AN655" s="299"/>
      <c r="AO655" s="301"/>
      <c r="AP655" s="301"/>
      <c r="AQ655" s="426"/>
      <c r="AR655" s="298"/>
      <c r="AS655" s="299"/>
      <c r="AT655" s="299"/>
      <c r="AU655" s="301"/>
      <c r="AV655" s="301"/>
      <c r="AW655" s="88"/>
      <c r="AX655" s="298"/>
      <c r="AY655" s="299"/>
      <c r="AZ655" s="299"/>
      <c r="BA655" s="301"/>
      <c r="BB655" s="301"/>
      <c r="BC655" s="426"/>
      <c r="BD655" s="298"/>
      <c r="BE655" s="299"/>
      <c r="BF655" s="299"/>
      <c r="BG655" s="301"/>
      <c r="BH655" s="301"/>
      <c r="BI655" s="88"/>
      <c r="BJ655" s="298"/>
      <c r="BK655" s="299"/>
      <c r="BL655" s="299"/>
      <c r="BM655" s="301"/>
      <c r="BN655" s="301"/>
      <c r="BO655" s="88"/>
      <c r="BP655" s="9"/>
      <c r="BS655" s="81"/>
      <c r="BT655" s="81"/>
      <c r="BV655" s="9"/>
      <c r="BY655" s="81"/>
      <c r="BZ655" s="81"/>
      <c r="CB655" s="9"/>
      <c r="CE655" s="81"/>
      <c r="CF655" s="81"/>
      <c r="CH655" s="9"/>
      <c r="CK655" s="81"/>
      <c r="CL655" s="81"/>
      <c r="CR655" s="9"/>
      <c r="CS655" s="9"/>
      <c r="CT655" s="9"/>
      <c r="CU655" s="9"/>
      <c r="CV655" s="9"/>
      <c r="CW655" s="129"/>
      <c r="CX655" s="9"/>
    </row>
    <row r="656" spans="1:102">
      <c r="A656" s="6" t="str">
        <f t="shared" si="101"/>
        <v>01300717</v>
      </c>
      <c r="B656" s="6" t="s">
        <v>1780</v>
      </c>
      <c r="C656" s="6" t="s">
        <v>2040</v>
      </c>
      <c r="D656" s="6">
        <v>647</v>
      </c>
      <c r="E656" s="6">
        <v>130</v>
      </c>
      <c r="F656" s="6" t="s">
        <v>1248</v>
      </c>
      <c r="G656" s="6">
        <v>717</v>
      </c>
      <c r="H656" s="6" t="s">
        <v>1070</v>
      </c>
      <c r="I656" s="33">
        <v>1138148.95</v>
      </c>
      <c r="J656" s="88">
        <v>0.86946759059253553</v>
      </c>
      <c r="K656" s="89">
        <f t="shared" si="100"/>
        <v>1184786.2857475702</v>
      </c>
      <c r="L656" s="88">
        <f>IF(K659&gt;0, K656/K659, 0)</f>
        <v>0.83130498569393263</v>
      </c>
      <c r="M656" s="58"/>
      <c r="N656" s="9">
        <f>ROUND(M659*L656,0)</f>
        <v>425716</v>
      </c>
      <c r="O656" s="9">
        <v>425801</v>
      </c>
      <c r="P656" s="9">
        <f>N656-O656</f>
        <v>-85</v>
      </c>
      <c r="Q656" s="40">
        <f>IF(O656&gt;0,P656*100/O656,IF(P656&gt;0,100,0))</f>
        <v>-1.9962376791036188E-2</v>
      </c>
      <c r="R656" s="9">
        <v>79.100000000000009</v>
      </c>
      <c r="S656" s="9">
        <f t="shared" si="107"/>
        <v>78.582089554799992</v>
      </c>
      <c r="T656" s="90">
        <f t="shared" si="102"/>
        <v>130</v>
      </c>
      <c r="U656" s="90">
        <f t="shared" si="103"/>
        <v>717</v>
      </c>
      <c r="V656" s="373">
        <f t="shared" si="104"/>
        <v>647</v>
      </c>
      <c r="W656" s="90">
        <f t="shared" si="105"/>
        <v>78.582089554799992</v>
      </c>
      <c r="X656" s="90">
        <f t="shared" si="106"/>
        <v>1184786.2857475702</v>
      </c>
      <c r="Y656" s="141">
        <f t="shared" si="108"/>
        <v>647</v>
      </c>
      <c r="Z656" s="298">
        <v>130</v>
      </c>
      <c r="AA656" s="299">
        <v>717</v>
      </c>
      <c r="AB656" s="299">
        <v>647</v>
      </c>
      <c r="AC656" s="301">
        <v>78.582089554799992</v>
      </c>
      <c r="AD656" s="301">
        <v>1184786.2857475702</v>
      </c>
      <c r="AE656" s="126"/>
      <c r="AF656" s="298"/>
      <c r="AG656" s="299"/>
      <c r="AH656" s="299"/>
      <c r="AI656" s="301"/>
      <c r="AJ656" s="301"/>
      <c r="AK656" s="426"/>
      <c r="AL656" s="298"/>
      <c r="AM656" s="299"/>
      <c r="AN656" s="299"/>
      <c r="AO656" s="301"/>
      <c r="AP656" s="301"/>
      <c r="AQ656" s="426"/>
      <c r="AR656" s="298"/>
      <c r="AS656" s="299"/>
      <c r="AT656" s="299"/>
      <c r="AU656" s="301"/>
      <c r="AV656" s="301"/>
      <c r="AW656" s="88"/>
      <c r="AX656" s="298"/>
      <c r="AY656" s="299"/>
      <c r="AZ656" s="299"/>
      <c r="BA656" s="301"/>
      <c r="BB656" s="301"/>
      <c r="BC656" s="426"/>
      <c r="BD656" s="298"/>
      <c r="BE656" s="299"/>
      <c r="BF656" s="299"/>
      <c r="BG656" s="301"/>
      <c r="BH656" s="301"/>
      <c r="BI656" s="88"/>
      <c r="BJ656" s="298"/>
      <c r="BK656" s="299"/>
      <c r="BL656" s="299"/>
      <c r="BM656" s="301"/>
      <c r="BN656" s="301"/>
      <c r="BO656" s="88"/>
      <c r="BP656" s="9"/>
      <c r="BS656" s="81"/>
      <c r="BT656" s="81"/>
      <c r="BV656" s="9"/>
      <c r="BY656" s="81"/>
      <c r="BZ656" s="81"/>
      <c r="CB656" s="9"/>
      <c r="CE656" s="81"/>
      <c r="CF656" s="81"/>
      <c r="CH656" s="9"/>
      <c r="CK656" s="81"/>
      <c r="CL656" s="81"/>
      <c r="CR656" s="9"/>
      <c r="CS656" s="9"/>
      <c r="CT656" s="9"/>
      <c r="CU656" s="9"/>
      <c r="CV656" s="9"/>
      <c r="CW656" s="129"/>
      <c r="CX656" s="9"/>
    </row>
    <row r="657" spans="1:102">
      <c r="A657" s="6" t="str">
        <f t="shared" si="101"/>
        <v>01300818</v>
      </c>
      <c r="B657" s="6" t="s">
        <v>1780</v>
      </c>
      <c r="C657" s="6" t="s">
        <v>2068</v>
      </c>
      <c r="D657" s="6">
        <v>648</v>
      </c>
      <c r="E657" s="6">
        <v>130</v>
      </c>
      <c r="F657" s="6" t="s">
        <v>1248</v>
      </c>
      <c r="G657" s="6">
        <v>818</v>
      </c>
      <c r="H657" s="6" t="s">
        <v>1098</v>
      </c>
      <c r="I657" s="33">
        <v>170869.30705126081</v>
      </c>
      <c r="J657" s="88">
        <v>0.13053240940746455</v>
      </c>
      <c r="K657" s="89">
        <f t="shared" si="100"/>
        <v>240426.24892593321</v>
      </c>
      <c r="L657" s="88">
        <f>IF(K659&gt;0, K657/K659, 0)</f>
        <v>0.16869501430606737</v>
      </c>
      <c r="M657" s="58"/>
      <c r="N657" s="9">
        <f>ROUND(M659*L657,0)</f>
        <v>86390</v>
      </c>
      <c r="O657" s="9">
        <v>63925</v>
      </c>
      <c r="P657" s="9">
        <f>N657-O657</f>
        <v>22465</v>
      </c>
      <c r="Q657" s="40">
        <f>IF(O657&gt;0,P657*100/O657,IF(P657&gt;0,100,0))</f>
        <v>35.142745404771219</v>
      </c>
      <c r="R657" s="9">
        <v>8.0000000024000002</v>
      </c>
      <c r="S657" s="9">
        <f t="shared" si="107"/>
        <v>11.00000000214</v>
      </c>
      <c r="T657" s="90">
        <f t="shared" si="102"/>
        <v>130</v>
      </c>
      <c r="U657" s="90">
        <f t="shared" si="103"/>
        <v>818</v>
      </c>
      <c r="V657" s="373">
        <f t="shared" si="104"/>
        <v>648</v>
      </c>
      <c r="W657" s="90">
        <f t="shared" si="105"/>
        <v>11.00000000214</v>
      </c>
      <c r="X657" s="90">
        <f t="shared" si="106"/>
        <v>240426.24892593321</v>
      </c>
      <c r="Y657" s="141">
        <f t="shared" si="108"/>
        <v>648</v>
      </c>
      <c r="Z657" s="298">
        <v>130</v>
      </c>
      <c r="AA657" s="299">
        <v>818</v>
      </c>
      <c r="AB657" s="299">
        <v>648</v>
      </c>
      <c r="AC657" s="301">
        <v>11.00000000214</v>
      </c>
      <c r="AD657" s="301">
        <v>240426.24892593321</v>
      </c>
      <c r="AE657" s="126"/>
      <c r="AF657" s="298"/>
      <c r="AG657" s="299"/>
      <c r="AH657" s="299"/>
      <c r="AI657" s="301"/>
      <c r="AJ657" s="301"/>
      <c r="AK657" s="426"/>
      <c r="AL657" s="298"/>
      <c r="AM657" s="299"/>
      <c r="AN657" s="299"/>
      <c r="AO657" s="301"/>
      <c r="AP657" s="301"/>
      <c r="AQ657" s="426"/>
      <c r="AR657" s="298"/>
      <c r="AS657" s="299"/>
      <c r="AT657" s="299"/>
      <c r="AU657" s="301"/>
      <c r="AV657" s="301"/>
      <c r="AW657" s="88"/>
      <c r="AX657" s="298"/>
      <c r="AY657" s="299"/>
      <c r="AZ657" s="299"/>
      <c r="BA657" s="301"/>
      <c r="BB657" s="301"/>
      <c r="BC657" s="426"/>
      <c r="BD657" s="298"/>
      <c r="BE657" s="299"/>
      <c r="BF657" s="299"/>
      <c r="BG657" s="301"/>
      <c r="BH657" s="301"/>
      <c r="BI657" s="88"/>
      <c r="BJ657" s="298"/>
      <c r="BK657" s="299"/>
      <c r="BL657" s="299"/>
      <c r="BM657" s="301"/>
      <c r="BN657" s="301"/>
      <c r="BO657" s="88"/>
      <c r="BP657" s="9"/>
      <c r="BS657" s="81"/>
      <c r="BT657" s="81"/>
      <c r="BV657" s="9"/>
      <c r="BY657" s="81"/>
      <c r="BZ657" s="81"/>
      <c r="CB657" s="9"/>
      <c r="CE657" s="81"/>
      <c r="CF657" s="81"/>
      <c r="CH657" s="9"/>
      <c r="CK657" s="81"/>
      <c r="CL657" s="81"/>
      <c r="CR657" s="9"/>
      <c r="CS657" s="9"/>
      <c r="CT657" s="9"/>
      <c r="CU657" s="9"/>
      <c r="CV657" s="9"/>
      <c r="CW657" s="129"/>
      <c r="CX657" s="9"/>
    </row>
    <row r="658" spans="1:102">
      <c r="A658" s="6" t="str">
        <f t="shared" si="101"/>
        <v>01300998</v>
      </c>
      <c r="B658" s="6" t="s">
        <v>1780</v>
      </c>
      <c r="C658" s="6" t="s">
        <v>2091</v>
      </c>
      <c r="D658" s="6">
        <v>649</v>
      </c>
      <c r="E658" s="6">
        <v>130</v>
      </c>
      <c r="F658" s="6" t="s">
        <v>1547</v>
      </c>
      <c r="G658" s="6">
        <v>998</v>
      </c>
      <c r="H658" s="6" t="s">
        <v>1547</v>
      </c>
      <c r="I658" s="33">
        <v>0</v>
      </c>
      <c r="J658" s="88">
        <v>0</v>
      </c>
      <c r="K658" s="89">
        <f t="shared" si="100"/>
        <v>0</v>
      </c>
      <c r="L658" s="88">
        <f>IF(K659&gt;0, K658/K659, 0)</f>
        <v>0</v>
      </c>
      <c r="M658" s="58"/>
      <c r="N658" s="9">
        <f>ROUND(M659*L658,0)</f>
        <v>0</v>
      </c>
      <c r="O658" s="9">
        <v>0</v>
      </c>
      <c r="P658" s="9">
        <f>N658-O658</f>
        <v>0</v>
      </c>
      <c r="Q658" s="40">
        <f>IF(O658&gt;0,P658*100/O658,IF(P658&gt;0,100,0))</f>
        <v>0</v>
      </c>
      <c r="R658" s="9">
        <v>0</v>
      </c>
      <c r="S658" s="9">
        <f t="shared" si="107"/>
        <v>0</v>
      </c>
      <c r="T658" s="90">
        <f t="shared" si="102"/>
        <v>130</v>
      </c>
      <c r="U658" s="90">
        <f t="shared" si="103"/>
        <v>998</v>
      </c>
      <c r="V658" s="373">
        <f t="shared" si="104"/>
        <v>649</v>
      </c>
      <c r="W658" s="90">
        <f t="shared" si="105"/>
        <v>0</v>
      </c>
      <c r="X658" s="90">
        <f t="shared" si="106"/>
        <v>0</v>
      </c>
      <c r="Y658" s="141">
        <f t="shared" si="108"/>
        <v>649</v>
      </c>
      <c r="Z658" s="298">
        <v>130</v>
      </c>
      <c r="AA658" s="299">
        <v>998</v>
      </c>
      <c r="AB658" s="299">
        <v>649</v>
      </c>
      <c r="AC658" s="301">
        <v>0</v>
      </c>
      <c r="AD658" s="301">
        <v>0</v>
      </c>
      <c r="AE658" s="126"/>
      <c r="AF658" s="298"/>
      <c r="AG658" s="299"/>
      <c r="AH658" s="299"/>
      <c r="AI658" s="301"/>
      <c r="AJ658" s="301"/>
      <c r="AK658" s="426"/>
      <c r="AL658" s="298"/>
      <c r="AM658" s="299"/>
      <c r="AN658" s="299"/>
      <c r="AO658" s="301"/>
      <c r="AP658" s="301"/>
      <c r="AQ658" s="426"/>
      <c r="AR658" s="298"/>
      <c r="AS658" s="299"/>
      <c r="AT658" s="299"/>
      <c r="AU658" s="301"/>
      <c r="AV658" s="301"/>
      <c r="AW658" s="88"/>
      <c r="AX658" s="298"/>
      <c r="AY658" s="299"/>
      <c r="AZ658" s="299"/>
      <c r="BA658" s="301"/>
      <c r="BB658" s="301"/>
      <c r="BC658" s="426"/>
      <c r="BD658" s="298"/>
      <c r="BE658" s="299"/>
      <c r="BF658" s="299"/>
      <c r="BG658" s="301"/>
      <c r="BH658" s="301"/>
      <c r="BI658" s="88"/>
      <c r="BJ658" s="298"/>
      <c r="BK658" s="299"/>
      <c r="BL658" s="299"/>
      <c r="BM658" s="301"/>
      <c r="BN658" s="301"/>
      <c r="BO658" s="88"/>
      <c r="BP658" s="9"/>
      <c r="BS658" s="81"/>
      <c r="BT658" s="81"/>
      <c r="BV658" s="9"/>
      <c r="BY658" s="81"/>
      <c r="BZ658" s="81"/>
      <c r="CB658" s="9"/>
      <c r="CE658" s="81"/>
      <c r="CF658" s="81"/>
      <c r="CH658" s="9"/>
      <c r="CK658" s="81"/>
      <c r="CL658" s="81"/>
      <c r="CR658" s="9"/>
      <c r="CS658" s="9"/>
      <c r="CT658" s="9"/>
      <c r="CU658" s="9"/>
      <c r="CV658" s="9"/>
      <c r="CW658" s="129"/>
      <c r="CX658" s="9"/>
    </row>
    <row r="659" spans="1:102">
      <c r="A659" s="6" t="str">
        <f t="shared" si="101"/>
        <v>01300999</v>
      </c>
      <c r="B659" s="6" t="s">
        <v>1780</v>
      </c>
      <c r="C659" s="6" t="s">
        <v>2092</v>
      </c>
      <c r="D659" s="6">
        <v>650</v>
      </c>
      <c r="E659" s="10">
        <v>130</v>
      </c>
      <c r="F659" s="10" t="s">
        <v>1248</v>
      </c>
      <c r="G659" s="10">
        <v>999</v>
      </c>
      <c r="H659" s="10" t="s">
        <v>593</v>
      </c>
      <c r="I659" s="92">
        <v>1309018.2570512607</v>
      </c>
      <c r="J659" s="472">
        <v>1</v>
      </c>
      <c r="K659" s="53">
        <f>SUM(K655:K658)</f>
        <v>1425212.5346735034</v>
      </c>
      <c r="L659" s="91">
        <f>SUM(L655:L658)</f>
        <v>1</v>
      </c>
      <c r="M659" s="79">
        <f>VLOOKUP(E659,town351,24)</f>
        <v>512106</v>
      </c>
      <c r="N659" s="79">
        <f>SUM(N655:N658)</f>
        <v>512106</v>
      </c>
      <c r="O659" s="79">
        <v>489726</v>
      </c>
      <c r="P659" s="79">
        <f>SUM(P655:P658)</f>
        <v>22380</v>
      </c>
      <c r="Q659" s="39">
        <f t="shared" ref="Q659:Q719" si="109">IF(O659&gt;0,P659*100/O659,IF(P659&gt;0,100,0))</f>
        <v>4.5699023535609706</v>
      </c>
      <c r="R659" s="9">
        <v>87.100000002400009</v>
      </c>
      <c r="S659" s="9">
        <f t="shared" si="107"/>
        <v>89.582089556939991</v>
      </c>
      <c r="T659" s="90">
        <f t="shared" si="102"/>
        <v>130</v>
      </c>
      <c r="U659" s="90">
        <f t="shared" si="103"/>
        <v>999</v>
      </c>
      <c r="V659" s="373">
        <f t="shared" si="104"/>
        <v>650</v>
      </c>
      <c r="W659" s="90">
        <f t="shared" si="105"/>
        <v>89.582089556939991</v>
      </c>
      <c r="X659" s="90">
        <f t="shared" si="106"/>
        <v>1425212.5346735034</v>
      </c>
      <c r="Y659" s="141">
        <f t="shared" si="108"/>
        <v>650</v>
      </c>
      <c r="Z659" s="298">
        <v>130</v>
      </c>
      <c r="AA659" s="299">
        <v>999</v>
      </c>
      <c r="AB659" s="299">
        <v>650</v>
      </c>
      <c r="AC659" s="301">
        <v>89.582089556939991</v>
      </c>
      <c r="AD659" s="301">
        <v>1425212.5346735034</v>
      </c>
      <c r="AE659" s="126"/>
      <c r="AF659" s="298"/>
      <c r="AG659" s="299"/>
      <c r="AH659" s="299"/>
      <c r="AI659" s="301"/>
      <c r="AJ659" s="301"/>
      <c r="AK659" s="426"/>
      <c r="AL659" s="298"/>
      <c r="AM659" s="299"/>
      <c r="AN659" s="299"/>
      <c r="AO659" s="301"/>
      <c r="AP659" s="301"/>
      <c r="AQ659" s="426"/>
      <c r="AR659" s="298"/>
      <c r="AS659" s="299"/>
      <c r="AT659" s="299"/>
      <c r="AU659" s="301"/>
      <c r="AV659" s="301"/>
      <c r="AW659" s="91"/>
      <c r="AX659" s="298"/>
      <c r="AY659" s="299"/>
      <c r="AZ659" s="299"/>
      <c r="BA659" s="301"/>
      <c r="BB659" s="301"/>
      <c r="BC659" s="426"/>
      <c r="BD659" s="298"/>
      <c r="BE659" s="299"/>
      <c r="BF659" s="299"/>
      <c r="BG659" s="301"/>
      <c r="BH659" s="301"/>
      <c r="BI659" s="91"/>
      <c r="BJ659" s="298"/>
      <c r="BK659" s="299"/>
      <c r="BL659" s="299"/>
      <c r="BM659" s="301"/>
      <c r="BN659" s="301"/>
      <c r="BO659" s="91"/>
      <c r="BP659" s="9"/>
      <c r="BS659" s="81"/>
      <c r="BT659" s="81"/>
      <c r="BV659" s="9"/>
      <c r="BY659" s="81"/>
      <c r="BZ659" s="81"/>
      <c r="CB659" s="9"/>
      <c r="CE659" s="81"/>
      <c r="CF659" s="81"/>
      <c r="CH659" s="9"/>
      <c r="CK659" s="81"/>
      <c r="CL659" s="81"/>
      <c r="CR659" s="9"/>
      <c r="CS659" s="9"/>
      <c r="CT659" s="9"/>
      <c r="CU659" s="9"/>
      <c r="CV659" s="9"/>
      <c r="CW659" s="129"/>
      <c r="CX659" s="9"/>
    </row>
    <row r="660" spans="1:102">
      <c r="A660" s="6" t="str">
        <f t="shared" si="101"/>
        <v>01310131</v>
      </c>
      <c r="B660" s="6" t="s">
        <v>1781</v>
      </c>
      <c r="C660" s="6" t="s">
        <v>1781</v>
      </c>
      <c r="D660" s="6">
        <v>651</v>
      </c>
      <c r="E660" s="6">
        <v>131</v>
      </c>
      <c r="F660" s="6" t="s">
        <v>1249</v>
      </c>
      <c r="G660" s="6">
        <v>131</v>
      </c>
      <c r="H660" s="6" t="s">
        <v>812</v>
      </c>
      <c r="I660" s="33">
        <v>47057670.467040002</v>
      </c>
      <c r="J660" s="88">
        <v>1</v>
      </c>
      <c r="K660" s="89">
        <f>X660</f>
        <v>45884665.988949992</v>
      </c>
      <c r="L660" s="88">
        <f>IF(K664&gt;0, K660/K664, 0)</f>
        <v>1</v>
      </c>
      <c r="M660" s="58"/>
      <c r="N660" s="9">
        <f>ROUND(M664*L660,0)</f>
        <v>37854849</v>
      </c>
      <c r="O660" s="9">
        <v>38822578</v>
      </c>
      <c r="P660" s="9">
        <f>N660-O660</f>
        <v>-967729</v>
      </c>
      <c r="Q660" s="40">
        <f t="shared" si="109"/>
        <v>-2.4926963891990894</v>
      </c>
      <c r="R660" s="9">
        <v>3807</v>
      </c>
      <c r="S660" s="9">
        <f t="shared" si="107"/>
        <v>3606</v>
      </c>
      <c r="T660" s="90">
        <f t="shared" si="102"/>
        <v>131</v>
      </c>
      <c r="U660" s="90">
        <f t="shared" si="103"/>
        <v>131</v>
      </c>
      <c r="V660" s="373">
        <f t="shared" si="104"/>
        <v>651</v>
      </c>
      <c r="W660" s="90">
        <f t="shared" si="105"/>
        <v>3606</v>
      </c>
      <c r="X660" s="90">
        <f t="shared" si="106"/>
        <v>45884665.988949992</v>
      </c>
      <c r="Y660" s="141">
        <f t="shared" si="108"/>
        <v>651</v>
      </c>
      <c r="Z660" s="298">
        <v>131</v>
      </c>
      <c r="AA660" s="299">
        <v>131</v>
      </c>
      <c r="AB660" s="299">
        <v>651</v>
      </c>
      <c r="AC660" s="301">
        <v>3606</v>
      </c>
      <c r="AD660" s="301">
        <v>45884665.988949992</v>
      </c>
      <c r="AE660" s="126"/>
      <c r="AF660" s="298"/>
      <c r="AG660" s="299"/>
      <c r="AH660" s="299"/>
      <c r="AI660" s="301"/>
      <c r="AJ660" s="301"/>
      <c r="AK660" s="426"/>
      <c r="AL660" s="298"/>
      <c r="AM660" s="299"/>
      <c r="AN660" s="299"/>
      <c r="AO660" s="301"/>
      <c r="AP660" s="301"/>
      <c r="AQ660" s="426"/>
      <c r="AR660" s="298"/>
      <c r="AS660" s="299"/>
      <c r="AT660" s="299"/>
      <c r="AU660" s="301"/>
      <c r="AV660" s="301"/>
      <c r="AW660" s="88"/>
      <c r="AX660" s="298"/>
      <c r="AY660" s="299"/>
      <c r="AZ660" s="299"/>
      <c r="BA660" s="301"/>
      <c r="BB660" s="301"/>
      <c r="BC660" s="426"/>
      <c r="BD660" s="298"/>
      <c r="BE660" s="299"/>
      <c r="BF660" s="299"/>
      <c r="BG660" s="301"/>
      <c r="BH660" s="301"/>
      <c r="BI660" s="88"/>
      <c r="BJ660" s="298"/>
      <c r="BK660" s="299"/>
      <c r="BL660" s="299"/>
      <c r="BM660" s="301"/>
      <c r="BN660" s="301"/>
      <c r="BO660" s="88"/>
      <c r="BP660" s="9"/>
      <c r="BS660" s="81"/>
      <c r="BT660" s="81"/>
      <c r="BV660" s="9"/>
      <c r="BY660" s="81"/>
      <c r="BZ660" s="81"/>
      <c r="CB660" s="9"/>
      <c r="CE660" s="81"/>
      <c r="CF660" s="81"/>
      <c r="CH660" s="9"/>
      <c r="CK660" s="81"/>
      <c r="CL660" s="81"/>
      <c r="CR660" s="9"/>
      <c r="CS660" s="9"/>
      <c r="CT660" s="9"/>
      <c r="CU660" s="9"/>
      <c r="CV660" s="9"/>
      <c r="CW660" s="129"/>
      <c r="CX660" s="9"/>
    </row>
    <row r="661" spans="1:102">
      <c r="A661" s="6" t="str">
        <f t="shared" si="101"/>
        <v>01310998</v>
      </c>
      <c r="B661" s="6" t="s">
        <v>1781</v>
      </c>
      <c r="C661" s="6" t="s">
        <v>2091</v>
      </c>
      <c r="D661" s="6">
        <v>652</v>
      </c>
      <c r="E661" s="6">
        <v>131</v>
      </c>
      <c r="F661" s="6" t="s">
        <v>1547</v>
      </c>
      <c r="G661" s="6">
        <v>998</v>
      </c>
      <c r="H661" s="6" t="s">
        <v>1547</v>
      </c>
      <c r="I661" s="33">
        <v>0</v>
      </c>
      <c r="J661" s="88">
        <v>0</v>
      </c>
      <c r="K661" s="89">
        <f t="shared" si="100"/>
        <v>0</v>
      </c>
      <c r="L661" s="88">
        <f>IF(K664&gt;0, K661/K664, 0)</f>
        <v>0</v>
      </c>
      <c r="M661" s="58"/>
      <c r="N661" s="9">
        <f>ROUND(M664*L661,0)</f>
        <v>0</v>
      </c>
      <c r="O661" s="9">
        <v>0</v>
      </c>
      <c r="P661" s="9">
        <f>N661-O661</f>
        <v>0</v>
      </c>
      <c r="Q661" s="40">
        <f t="shared" si="109"/>
        <v>0</v>
      </c>
      <c r="R661" s="9">
        <v>0</v>
      </c>
      <c r="S661" s="9">
        <f t="shared" si="107"/>
        <v>0</v>
      </c>
      <c r="T661" s="90">
        <f t="shared" si="102"/>
        <v>131</v>
      </c>
      <c r="U661" s="90">
        <f t="shared" si="103"/>
        <v>998</v>
      </c>
      <c r="V661" s="373">
        <f t="shared" si="104"/>
        <v>652</v>
      </c>
      <c r="W661" s="90">
        <f t="shared" si="105"/>
        <v>0</v>
      </c>
      <c r="X661" s="90">
        <f t="shared" si="106"/>
        <v>0</v>
      </c>
      <c r="Y661" s="141">
        <f t="shared" si="108"/>
        <v>652</v>
      </c>
      <c r="Z661" s="298">
        <v>131</v>
      </c>
      <c r="AA661" s="299">
        <v>998</v>
      </c>
      <c r="AB661" s="299">
        <v>652</v>
      </c>
      <c r="AC661" s="301">
        <v>0</v>
      </c>
      <c r="AD661" s="301">
        <v>0</v>
      </c>
      <c r="AE661" s="126"/>
      <c r="AF661" s="298"/>
      <c r="AG661" s="299"/>
      <c r="AH661" s="299"/>
      <c r="AI661" s="301"/>
      <c r="AJ661" s="301"/>
      <c r="AK661" s="426"/>
      <c r="AL661" s="298"/>
      <c r="AM661" s="299"/>
      <c r="AN661" s="299"/>
      <c r="AO661" s="301"/>
      <c r="AP661" s="301"/>
      <c r="AQ661" s="426"/>
      <c r="AR661" s="298"/>
      <c r="AS661" s="299"/>
      <c r="AT661" s="299"/>
      <c r="AU661" s="301"/>
      <c r="AV661" s="301"/>
      <c r="AW661" s="88"/>
      <c r="AX661" s="298"/>
      <c r="AY661" s="299"/>
      <c r="AZ661" s="299"/>
      <c r="BA661" s="301"/>
      <c r="BB661" s="301"/>
      <c r="BC661" s="426"/>
      <c r="BD661" s="298"/>
      <c r="BE661" s="299"/>
      <c r="BF661" s="299"/>
      <c r="BG661" s="301"/>
      <c r="BH661" s="301"/>
      <c r="BI661" s="88"/>
      <c r="BJ661" s="298"/>
      <c r="BK661" s="299"/>
      <c r="BL661" s="299"/>
      <c r="BM661" s="301"/>
      <c r="BN661" s="301"/>
      <c r="BO661" s="88"/>
      <c r="BP661" s="9"/>
      <c r="BS661" s="81"/>
      <c r="BT661" s="81"/>
      <c r="BV661" s="9"/>
      <c r="BY661" s="81"/>
      <c r="BZ661" s="81"/>
      <c r="CB661" s="9"/>
      <c r="CE661" s="81"/>
      <c r="CF661" s="81"/>
      <c r="CH661" s="9"/>
      <c r="CK661" s="81"/>
      <c r="CL661" s="81"/>
      <c r="CR661" s="9"/>
      <c r="CS661" s="9"/>
      <c r="CT661" s="9"/>
      <c r="CU661" s="9"/>
      <c r="CV661" s="9"/>
      <c r="CW661" s="129"/>
      <c r="CX661" s="9"/>
    </row>
    <row r="662" spans="1:102">
      <c r="A662" s="6" t="str">
        <f t="shared" si="101"/>
        <v>01310998</v>
      </c>
      <c r="B662" s="6" t="s">
        <v>1781</v>
      </c>
      <c r="C662" s="6" t="s">
        <v>2091</v>
      </c>
      <c r="D662" s="6">
        <v>653</v>
      </c>
      <c r="E662" s="6">
        <v>131</v>
      </c>
      <c r="F662" s="6" t="s">
        <v>1547</v>
      </c>
      <c r="G662" s="6">
        <v>998</v>
      </c>
      <c r="H662" s="6" t="s">
        <v>1547</v>
      </c>
      <c r="I662" s="33">
        <v>0</v>
      </c>
      <c r="J662" s="88">
        <v>0</v>
      </c>
      <c r="K662" s="89">
        <f t="shared" si="100"/>
        <v>0</v>
      </c>
      <c r="L662" s="88">
        <f>IF(K664&gt;0, K662/K664, 0)</f>
        <v>0</v>
      </c>
      <c r="M662" s="58"/>
      <c r="N662" s="9">
        <f>ROUND(M664*L662,0)</f>
        <v>0</v>
      </c>
      <c r="O662" s="9">
        <v>0</v>
      </c>
      <c r="P662" s="9">
        <f>N662-O662</f>
        <v>0</v>
      </c>
      <c r="Q662" s="40">
        <f t="shared" si="109"/>
        <v>0</v>
      </c>
      <c r="R662" s="9">
        <v>0</v>
      </c>
      <c r="S662" s="9">
        <f t="shared" si="107"/>
        <v>0</v>
      </c>
      <c r="T662" s="90">
        <f t="shared" si="102"/>
        <v>131</v>
      </c>
      <c r="U662" s="90">
        <f t="shared" si="103"/>
        <v>998</v>
      </c>
      <c r="V662" s="373">
        <f t="shared" si="104"/>
        <v>653</v>
      </c>
      <c r="W662" s="90">
        <f t="shared" si="105"/>
        <v>0</v>
      </c>
      <c r="X662" s="90">
        <f t="shared" si="106"/>
        <v>0</v>
      </c>
      <c r="Y662" s="141">
        <f t="shared" si="108"/>
        <v>653</v>
      </c>
      <c r="Z662" s="298">
        <v>131</v>
      </c>
      <c r="AA662" s="299">
        <v>998</v>
      </c>
      <c r="AB662" s="299">
        <v>653</v>
      </c>
      <c r="AC662" s="301">
        <v>0</v>
      </c>
      <c r="AD662" s="301">
        <v>0</v>
      </c>
      <c r="AE662" s="126"/>
      <c r="AF662" s="298"/>
      <c r="AG662" s="299"/>
      <c r="AH662" s="299"/>
      <c r="AI662" s="301"/>
      <c r="AJ662" s="301"/>
      <c r="AK662" s="426"/>
      <c r="AL662" s="298"/>
      <c r="AM662" s="299"/>
      <c r="AN662" s="299"/>
      <c r="AO662" s="301"/>
      <c r="AP662" s="301"/>
      <c r="AQ662" s="426"/>
      <c r="AR662" s="298"/>
      <c r="AS662" s="299"/>
      <c r="AT662" s="299"/>
      <c r="AU662" s="301"/>
      <c r="AV662" s="301"/>
      <c r="AW662" s="88"/>
      <c r="AX662" s="298"/>
      <c r="AY662" s="299"/>
      <c r="AZ662" s="299"/>
      <c r="BA662" s="301"/>
      <c r="BB662" s="301"/>
      <c r="BC662" s="426"/>
      <c r="BD662" s="298"/>
      <c r="BE662" s="299"/>
      <c r="BF662" s="299"/>
      <c r="BG662" s="301"/>
      <c r="BH662" s="301"/>
      <c r="BI662" s="88"/>
      <c r="BJ662" s="298"/>
      <c r="BK662" s="299"/>
      <c r="BL662" s="299"/>
      <c r="BM662" s="301"/>
      <c r="BN662" s="301"/>
      <c r="BO662" s="88"/>
      <c r="BP662" s="9"/>
      <c r="BS662" s="81"/>
      <c r="BT662" s="81"/>
      <c r="BV662" s="9"/>
      <c r="BY662" s="81"/>
      <c r="BZ662" s="81"/>
      <c r="CB662" s="9"/>
      <c r="CE662" s="81"/>
      <c r="CF662" s="81"/>
      <c r="CH662" s="9"/>
      <c r="CK662" s="81"/>
      <c r="CL662" s="81"/>
      <c r="CR662" s="9"/>
      <c r="CS662" s="9"/>
      <c r="CT662" s="9"/>
      <c r="CU662" s="9"/>
      <c r="CV662" s="9"/>
      <c r="CW662" s="129"/>
      <c r="CX662" s="9"/>
    </row>
    <row r="663" spans="1:102">
      <c r="A663" s="6" t="str">
        <f t="shared" si="101"/>
        <v>01310998</v>
      </c>
      <c r="B663" s="6" t="s">
        <v>1781</v>
      </c>
      <c r="C663" s="6" t="s">
        <v>2091</v>
      </c>
      <c r="D663" s="6">
        <v>654</v>
      </c>
      <c r="E663" s="6">
        <v>131</v>
      </c>
      <c r="F663" s="6" t="s">
        <v>1547</v>
      </c>
      <c r="G663" s="6">
        <v>998</v>
      </c>
      <c r="H663" s="6" t="s">
        <v>1547</v>
      </c>
      <c r="I663" s="33">
        <v>0</v>
      </c>
      <c r="J663" s="88">
        <v>0</v>
      </c>
      <c r="K663" s="89">
        <f t="shared" si="100"/>
        <v>0</v>
      </c>
      <c r="L663" s="88">
        <f>IF(K664&gt;0, K663/K664, 0)</f>
        <v>0</v>
      </c>
      <c r="M663" s="58"/>
      <c r="N663" s="9">
        <f>ROUND(M664*L663,0)</f>
        <v>0</v>
      </c>
      <c r="O663" s="9">
        <v>0</v>
      </c>
      <c r="P663" s="9">
        <f>N663-O663</f>
        <v>0</v>
      </c>
      <c r="Q663" s="40">
        <f t="shared" si="109"/>
        <v>0</v>
      </c>
      <c r="R663" s="9">
        <v>0</v>
      </c>
      <c r="S663" s="9">
        <f t="shared" si="107"/>
        <v>0</v>
      </c>
      <c r="T663" s="90">
        <f t="shared" si="102"/>
        <v>131</v>
      </c>
      <c r="U663" s="90">
        <f t="shared" si="103"/>
        <v>998</v>
      </c>
      <c r="V663" s="373">
        <f t="shared" si="104"/>
        <v>654</v>
      </c>
      <c r="W663" s="90">
        <f t="shared" si="105"/>
        <v>0</v>
      </c>
      <c r="X663" s="90">
        <f t="shared" si="106"/>
        <v>0</v>
      </c>
      <c r="Y663" s="141">
        <f t="shared" si="108"/>
        <v>654</v>
      </c>
      <c r="Z663" s="298">
        <v>131</v>
      </c>
      <c r="AA663" s="299">
        <v>998</v>
      </c>
      <c r="AB663" s="299">
        <v>654</v>
      </c>
      <c r="AC663" s="301">
        <v>0</v>
      </c>
      <c r="AD663" s="301">
        <v>0</v>
      </c>
      <c r="AE663" s="126"/>
      <c r="AF663" s="298"/>
      <c r="AG663" s="299"/>
      <c r="AH663" s="299"/>
      <c r="AI663" s="301"/>
      <c r="AJ663" s="301"/>
      <c r="AK663" s="426"/>
      <c r="AL663" s="298"/>
      <c r="AM663" s="299"/>
      <c r="AN663" s="299"/>
      <c r="AO663" s="301"/>
      <c r="AP663" s="301"/>
      <c r="AQ663" s="426"/>
      <c r="AR663" s="298"/>
      <c r="AS663" s="299"/>
      <c r="AT663" s="299"/>
      <c r="AU663" s="301"/>
      <c r="AV663" s="301"/>
      <c r="AW663" s="88"/>
      <c r="AX663" s="298"/>
      <c r="AY663" s="299"/>
      <c r="AZ663" s="299"/>
      <c r="BA663" s="301"/>
      <c r="BB663" s="301"/>
      <c r="BC663" s="426"/>
      <c r="BD663" s="298"/>
      <c r="BE663" s="299"/>
      <c r="BF663" s="299"/>
      <c r="BG663" s="301"/>
      <c r="BH663" s="301"/>
      <c r="BI663" s="88"/>
      <c r="BJ663" s="298"/>
      <c r="BK663" s="299"/>
      <c r="BL663" s="299"/>
      <c r="BM663" s="301"/>
      <c r="BN663" s="301"/>
      <c r="BO663" s="88"/>
      <c r="BP663" s="9"/>
      <c r="BS663" s="81"/>
      <c r="BT663" s="81"/>
      <c r="BV663" s="9"/>
      <c r="BY663" s="81"/>
      <c r="BZ663" s="81"/>
      <c r="CB663" s="9"/>
      <c r="CE663" s="81"/>
      <c r="CF663" s="81"/>
      <c r="CH663" s="9"/>
      <c r="CK663" s="81"/>
      <c r="CL663" s="81"/>
      <c r="CR663" s="9"/>
      <c r="CS663" s="9"/>
      <c r="CT663" s="9"/>
      <c r="CU663" s="9"/>
      <c r="CV663" s="9"/>
      <c r="CW663" s="129"/>
      <c r="CX663" s="9"/>
    </row>
    <row r="664" spans="1:102">
      <c r="A664" s="6" t="str">
        <f t="shared" si="101"/>
        <v>01310999</v>
      </c>
      <c r="B664" s="6" t="s">
        <v>1781</v>
      </c>
      <c r="C664" s="6" t="s">
        <v>2092</v>
      </c>
      <c r="D664" s="6">
        <v>655</v>
      </c>
      <c r="E664" s="10">
        <v>131</v>
      </c>
      <c r="F664" s="10" t="s">
        <v>1249</v>
      </c>
      <c r="G664" s="10">
        <v>999</v>
      </c>
      <c r="H664" s="10" t="s">
        <v>593</v>
      </c>
      <c r="I664" s="92">
        <v>47057670.467040002</v>
      </c>
      <c r="J664" s="472">
        <v>1</v>
      </c>
      <c r="K664" s="53">
        <f>SUM(K660:K663)</f>
        <v>45884665.988949992</v>
      </c>
      <c r="L664" s="91">
        <f>SUM(L660:L663)</f>
        <v>1</v>
      </c>
      <c r="M664" s="79">
        <f>VLOOKUP(E664,town351,24)</f>
        <v>37854849</v>
      </c>
      <c r="N664" s="79">
        <f>SUM(N660:N663)</f>
        <v>37854849</v>
      </c>
      <c r="O664" s="79">
        <v>38822578</v>
      </c>
      <c r="P664" s="79">
        <f>SUM(P660:P663)</f>
        <v>-967729</v>
      </c>
      <c r="Q664" s="39">
        <f t="shared" si="109"/>
        <v>-2.4926963891990894</v>
      </c>
      <c r="R664" s="9">
        <v>3807</v>
      </c>
      <c r="S664" s="9">
        <f t="shared" si="107"/>
        <v>3606</v>
      </c>
      <c r="T664" s="90">
        <f t="shared" si="102"/>
        <v>131</v>
      </c>
      <c r="U664" s="90">
        <f t="shared" si="103"/>
        <v>999</v>
      </c>
      <c r="V664" s="373">
        <f t="shared" si="104"/>
        <v>655</v>
      </c>
      <c r="W664" s="90">
        <f t="shared" si="105"/>
        <v>3606</v>
      </c>
      <c r="X664" s="90">
        <f t="shared" si="106"/>
        <v>45884665.988949992</v>
      </c>
      <c r="Y664" s="141">
        <f t="shared" si="108"/>
        <v>655</v>
      </c>
      <c r="Z664" s="298">
        <v>131</v>
      </c>
      <c r="AA664" s="299">
        <v>999</v>
      </c>
      <c r="AB664" s="299">
        <v>655</v>
      </c>
      <c r="AC664" s="301">
        <v>3606</v>
      </c>
      <c r="AD664" s="301">
        <v>45884665.988949992</v>
      </c>
      <c r="AE664" s="126"/>
      <c r="AF664" s="298"/>
      <c r="AG664" s="299"/>
      <c r="AH664" s="299"/>
      <c r="AI664" s="301"/>
      <c r="AJ664" s="301"/>
      <c r="AK664" s="426"/>
      <c r="AL664" s="298"/>
      <c r="AM664" s="299"/>
      <c r="AN664" s="299"/>
      <c r="AO664" s="301"/>
      <c r="AP664" s="301"/>
      <c r="AQ664" s="426"/>
      <c r="AR664" s="298"/>
      <c r="AS664" s="299"/>
      <c r="AT664" s="299"/>
      <c r="AU664" s="301"/>
      <c r="AV664" s="301"/>
      <c r="AW664" s="91"/>
      <c r="AX664" s="298"/>
      <c r="AY664" s="299"/>
      <c r="AZ664" s="299"/>
      <c r="BA664" s="301"/>
      <c r="BB664" s="301"/>
      <c r="BC664" s="426"/>
      <c r="BD664" s="298"/>
      <c r="BE664" s="299"/>
      <c r="BF664" s="299"/>
      <c r="BG664" s="301"/>
      <c r="BH664" s="301"/>
      <c r="BI664" s="91"/>
      <c r="BJ664" s="298"/>
      <c r="BK664" s="299"/>
      <c r="BL664" s="299"/>
      <c r="BM664" s="301"/>
      <c r="BN664" s="301"/>
      <c r="BO664" s="91"/>
      <c r="BP664" s="9"/>
      <c r="BS664" s="81"/>
      <c r="BT664" s="81"/>
      <c r="BV664" s="9"/>
      <c r="BY664" s="81"/>
      <c r="BZ664" s="81"/>
      <c r="CB664" s="9"/>
      <c r="CE664" s="81"/>
      <c r="CF664" s="81"/>
      <c r="CH664" s="9"/>
      <c r="CK664" s="81"/>
      <c r="CL664" s="81"/>
      <c r="CR664" s="9"/>
      <c r="CS664" s="9"/>
      <c r="CT664" s="9"/>
      <c r="CU664" s="9"/>
      <c r="CV664" s="9"/>
      <c r="CW664" s="129"/>
      <c r="CX664" s="9"/>
    </row>
    <row r="665" spans="1:102">
      <c r="A665" s="6" t="str">
        <f t="shared" si="101"/>
        <v>01320132</v>
      </c>
      <c r="B665" s="6" t="s">
        <v>1782</v>
      </c>
      <c r="C665" s="6" t="s">
        <v>1782</v>
      </c>
      <c r="D665" s="6">
        <v>656</v>
      </c>
      <c r="E665" s="6">
        <v>132</v>
      </c>
      <c r="F665" s="6" t="s">
        <v>1250</v>
      </c>
      <c r="G665" s="6">
        <v>132</v>
      </c>
      <c r="H665" s="6" t="s">
        <v>813</v>
      </c>
      <c r="I665" s="33">
        <v>131926.08000000002</v>
      </c>
      <c r="J665" s="88">
        <v>4.7028265032246122E-2</v>
      </c>
      <c r="K665" s="89">
        <f t="shared" ref="K665:K728" si="110">X665</f>
        <v>168603.30000000002</v>
      </c>
      <c r="L665" s="88">
        <f>IF(K669&gt;0, K665/K669, 0)</f>
        <v>5.4728094859071805E-2</v>
      </c>
      <c r="M665" s="58"/>
      <c r="N665" s="9">
        <f>ROUND(M669*L665,0)</f>
        <v>122029</v>
      </c>
      <c r="O665" s="9">
        <v>99112</v>
      </c>
      <c r="P665" s="9">
        <f>N665-O665</f>
        <v>22917</v>
      </c>
      <c r="Q665" s="40">
        <f t="shared" si="109"/>
        <v>23.122326257163614</v>
      </c>
      <c r="R665" s="9">
        <v>8</v>
      </c>
      <c r="S665" s="9">
        <f t="shared" si="107"/>
        <v>10</v>
      </c>
      <c r="T665" s="90">
        <f t="shared" si="102"/>
        <v>132</v>
      </c>
      <c r="U665" s="90">
        <f t="shared" si="103"/>
        <v>132</v>
      </c>
      <c r="V665" s="373">
        <f t="shared" si="104"/>
        <v>656</v>
      </c>
      <c r="W665" s="90">
        <f t="shared" si="105"/>
        <v>10</v>
      </c>
      <c r="X665" s="90">
        <f t="shared" si="106"/>
        <v>168603.30000000002</v>
      </c>
      <c r="Y665" s="141">
        <f t="shared" si="108"/>
        <v>656</v>
      </c>
      <c r="Z665" s="298">
        <v>132</v>
      </c>
      <c r="AA665" s="299">
        <v>132</v>
      </c>
      <c r="AB665" s="299">
        <v>656</v>
      </c>
      <c r="AC665" s="301">
        <v>10</v>
      </c>
      <c r="AD665" s="301">
        <v>168603.30000000002</v>
      </c>
      <c r="AE665" s="126"/>
      <c r="AF665" s="298"/>
      <c r="AG665" s="299"/>
      <c r="AH665" s="299"/>
      <c r="AI665" s="301"/>
      <c r="AJ665" s="301"/>
      <c r="AK665" s="426"/>
      <c r="AL665" s="298"/>
      <c r="AM665" s="299"/>
      <c r="AN665" s="299"/>
      <c r="AO665" s="301"/>
      <c r="AP665" s="301"/>
      <c r="AQ665" s="426"/>
      <c r="AR665" s="298"/>
      <c r="AS665" s="299"/>
      <c r="AT665" s="299"/>
      <c r="AU665" s="301"/>
      <c r="AV665" s="301"/>
      <c r="AW665" s="88"/>
      <c r="AX665" s="298"/>
      <c r="AY665" s="299"/>
      <c r="AZ665" s="299"/>
      <c r="BA665" s="301"/>
      <c r="BB665" s="301"/>
      <c r="BC665" s="426"/>
      <c r="BD665" s="298"/>
      <c r="BE665" s="299"/>
      <c r="BF665" s="299"/>
      <c r="BG665" s="301"/>
      <c r="BH665" s="301"/>
      <c r="BI665" s="88"/>
      <c r="BJ665" s="298"/>
      <c r="BK665" s="299"/>
      <c r="BL665" s="299"/>
      <c r="BM665" s="301"/>
      <c r="BN665" s="301"/>
      <c r="BO665" s="88"/>
      <c r="BP665" s="9"/>
      <c r="BS665" s="81"/>
      <c r="BT665" s="81"/>
      <c r="BV665" s="9"/>
      <c r="BY665" s="81"/>
      <c r="BZ665" s="81"/>
      <c r="CB665" s="9"/>
      <c r="CE665" s="81"/>
      <c r="CF665" s="81"/>
      <c r="CH665" s="9"/>
      <c r="CK665" s="81"/>
      <c r="CL665" s="81"/>
      <c r="CR665" s="9"/>
      <c r="CS665" s="9"/>
      <c r="CT665" s="9"/>
      <c r="CU665" s="9"/>
      <c r="CV665" s="9"/>
      <c r="CW665" s="129"/>
      <c r="CX665" s="9"/>
    </row>
    <row r="666" spans="1:102">
      <c r="A666" s="6" t="str">
        <f t="shared" si="101"/>
        <v>01320635</v>
      </c>
      <c r="B666" s="6" t="s">
        <v>1782</v>
      </c>
      <c r="C666" s="6" t="s">
        <v>2015</v>
      </c>
      <c r="D666" s="6">
        <v>657</v>
      </c>
      <c r="E666" s="6">
        <v>132</v>
      </c>
      <c r="F666" s="6" t="s">
        <v>1250</v>
      </c>
      <c r="G666" s="6">
        <v>635</v>
      </c>
      <c r="H666" s="6" t="s">
        <v>1045</v>
      </c>
      <c r="I666" s="33">
        <v>2673324.760309366</v>
      </c>
      <c r="J666" s="88">
        <v>0.95297173496775389</v>
      </c>
      <c r="K666" s="89">
        <f t="shared" si="110"/>
        <v>2912141.6160100284</v>
      </c>
      <c r="L666" s="88">
        <f>IF(K669&gt;0, K666/K669, 0)</f>
        <v>0.94527190514092829</v>
      </c>
      <c r="M666" s="58"/>
      <c r="N666" s="9">
        <f>ROUND(M669*L666,0)</f>
        <v>2107696</v>
      </c>
      <c r="O666" s="9">
        <v>2008378</v>
      </c>
      <c r="P666" s="9">
        <f>N666-O666</f>
        <v>99318</v>
      </c>
      <c r="Q666" s="40">
        <f t="shared" si="109"/>
        <v>4.9451846216200339</v>
      </c>
      <c r="R666" s="9">
        <v>186.91758597571999</v>
      </c>
      <c r="S666" s="9">
        <f t="shared" si="107"/>
        <v>197.89175257984002</v>
      </c>
      <c r="T666" s="90">
        <f t="shared" si="102"/>
        <v>132</v>
      </c>
      <c r="U666" s="90">
        <f t="shared" si="103"/>
        <v>635</v>
      </c>
      <c r="V666" s="373">
        <f t="shared" si="104"/>
        <v>657</v>
      </c>
      <c r="W666" s="90">
        <f t="shared" si="105"/>
        <v>197.89175257984002</v>
      </c>
      <c r="X666" s="90">
        <f t="shared" si="106"/>
        <v>2912141.6160100284</v>
      </c>
      <c r="Y666" s="141">
        <f t="shared" si="108"/>
        <v>657</v>
      </c>
      <c r="Z666" s="298">
        <v>132</v>
      </c>
      <c r="AA666" s="299">
        <v>635</v>
      </c>
      <c r="AB666" s="299">
        <v>657</v>
      </c>
      <c r="AC666" s="301">
        <v>197.89175257984002</v>
      </c>
      <c r="AD666" s="301">
        <v>2912141.6160100284</v>
      </c>
      <c r="AE666" s="126"/>
      <c r="AF666" s="298"/>
      <c r="AG666" s="299"/>
      <c r="AH666" s="299"/>
      <c r="AI666" s="301"/>
      <c r="AJ666" s="301"/>
      <c r="AK666" s="426"/>
      <c r="AL666" s="298"/>
      <c r="AM666" s="299"/>
      <c r="AN666" s="299"/>
      <c r="AO666" s="301"/>
      <c r="AP666" s="301"/>
      <c r="AQ666" s="426"/>
      <c r="AR666" s="298"/>
      <c r="AS666" s="299"/>
      <c r="AT666" s="299"/>
      <c r="AU666" s="301"/>
      <c r="AV666" s="301"/>
      <c r="AW666" s="88"/>
      <c r="AX666" s="298"/>
      <c r="AY666" s="299"/>
      <c r="AZ666" s="299"/>
      <c r="BA666" s="301"/>
      <c r="BB666" s="301"/>
      <c r="BC666" s="426"/>
      <c r="BD666" s="298"/>
      <c r="BE666" s="299"/>
      <c r="BF666" s="299"/>
      <c r="BG666" s="301"/>
      <c r="BH666" s="301"/>
      <c r="BI666" s="88"/>
      <c r="BJ666" s="298"/>
      <c r="BK666" s="299"/>
      <c r="BL666" s="299"/>
      <c r="BM666" s="301"/>
      <c r="BN666" s="301"/>
      <c r="BO666" s="88"/>
      <c r="BP666" s="9"/>
      <c r="BS666" s="81"/>
      <c r="BT666" s="81"/>
      <c r="BV666" s="9"/>
      <c r="BY666" s="81"/>
      <c r="BZ666" s="81"/>
      <c r="CB666" s="9"/>
      <c r="CE666" s="81"/>
      <c r="CF666" s="81"/>
      <c r="CH666" s="9"/>
      <c r="CK666" s="81"/>
      <c r="CL666" s="81"/>
      <c r="CR666" s="9"/>
      <c r="CS666" s="9"/>
      <c r="CT666" s="9"/>
      <c r="CU666" s="9"/>
      <c r="CV666" s="9"/>
      <c r="CW666" s="129"/>
      <c r="CX666" s="9"/>
    </row>
    <row r="667" spans="1:102">
      <c r="A667" s="6" t="str">
        <f t="shared" si="101"/>
        <v>01320998</v>
      </c>
      <c r="B667" s="6" t="s">
        <v>1782</v>
      </c>
      <c r="C667" s="6" t="s">
        <v>2091</v>
      </c>
      <c r="D667" s="6">
        <v>658</v>
      </c>
      <c r="E667" s="6">
        <v>132</v>
      </c>
      <c r="F667" s="6" t="s">
        <v>1547</v>
      </c>
      <c r="G667" s="6">
        <v>998</v>
      </c>
      <c r="H667" s="6" t="s">
        <v>1547</v>
      </c>
      <c r="I667" s="33">
        <v>0</v>
      </c>
      <c r="J667" s="88">
        <v>0</v>
      </c>
      <c r="K667" s="89">
        <f t="shared" si="110"/>
        <v>0</v>
      </c>
      <c r="L667" s="88">
        <f>IF(K669&gt;0, K667/K669, 0)</f>
        <v>0</v>
      </c>
      <c r="M667" s="58"/>
      <c r="N667" s="9">
        <f>ROUND(M669*L667,0)</f>
        <v>0</v>
      </c>
      <c r="O667" s="9">
        <v>0</v>
      </c>
      <c r="P667" s="9">
        <f>N667-O667</f>
        <v>0</v>
      </c>
      <c r="Q667" s="40">
        <f t="shared" si="109"/>
        <v>0</v>
      </c>
      <c r="R667" s="9">
        <v>0</v>
      </c>
      <c r="S667" s="9">
        <f t="shared" si="107"/>
        <v>0</v>
      </c>
      <c r="T667" s="90">
        <f t="shared" si="102"/>
        <v>132</v>
      </c>
      <c r="U667" s="90">
        <f t="shared" si="103"/>
        <v>998</v>
      </c>
      <c r="V667" s="373">
        <f t="shared" si="104"/>
        <v>658</v>
      </c>
      <c r="W667" s="90">
        <f t="shared" si="105"/>
        <v>0</v>
      </c>
      <c r="X667" s="90">
        <f t="shared" si="106"/>
        <v>0</v>
      </c>
      <c r="Y667" s="141">
        <f t="shared" si="108"/>
        <v>658</v>
      </c>
      <c r="Z667" s="298">
        <v>132</v>
      </c>
      <c r="AA667" s="299">
        <v>998</v>
      </c>
      <c r="AB667" s="299">
        <v>658</v>
      </c>
      <c r="AC667" s="301">
        <v>0</v>
      </c>
      <c r="AD667" s="301">
        <v>0</v>
      </c>
      <c r="AE667" s="126"/>
      <c r="AF667" s="298"/>
      <c r="AG667" s="299"/>
      <c r="AH667" s="299"/>
      <c r="AI667" s="301"/>
      <c r="AJ667" s="301"/>
      <c r="AK667" s="426"/>
      <c r="AL667" s="298"/>
      <c r="AM667" s="299"/>
      <c r="AN667" s="299"/>
      <c r="AO667" s="301"/>
      <c r="AP667" s="301"/>
      <c r="AQ667" s="426"/>
      <c r="AR667" s="298"/>
      <c r="AS667" s="299"/>
      <c r="AT667" s="299"/>
      <c r="AU667" s="301"/>
      <c r="AV667" s="301"/>
      <c r="AW667" s="88"/>
      <c r="AX667" s="298"/>
      <c r="AY667" s="299"/>
      <c r="AZ667" s="299"/>
      <c r="BA667" s="301"/>
      <c r="BB667" s="301"/>
      <c r="BC667" s="426"/>
      <c r="BD667" s="298"/>
      <c r="BE667" s="299"/>
      <c r="BF667" s="299"/>
      <c r="BG667" s="301"/>
      <c r="BH667" s="301"/>
      <c r="BI667" s="88"/>
      <c r="BJ667" s="298"/>
      <c r="BK667" s="299"/>
      <c r="BL667" s="299"/>
      <c r="BM667" s="301"/>
      <c r="BN667" s="301"/>
      <c r="BO667" s="88"/>
      <c r="BP667" s="9"/>
      <c r="BS667" s="81"/>
      <c r="BT667" s="81"/>
      <c r="BV667" s="9"/>
      <c r="BY667" s="81"/>
      <c r="BZ667" s="81"/>
      <c r="CB667" s="9"/>
      <c r="CE667" s="81"/>
      <c r="CF667" s="81"/>
      <c r="CH667" s="9"/>
      <c r="CK667" s="81"/>
      <c r="CL667" s="81"/>
      <c r="CR667" s="9"/>
      <c r="CS667" s="9"/>
      <c r="CT667" s="9"/>
      <c r="CU667" s="9"/>
      <c r="CV667" s="9"/>
      <c r="CW667" s="129"/>
      <c r="CX667" s="9"/>
    </row>
    <row r="668" spans="1:102">
      <c r="A668" s="6" t="str">
        <f t="shared" si="101"/>
        <v>01320998</v>
      </c>
      <c r="B668" s="6" t="s">
        <v>1782</v>
      </c>
      <c r="C668" s="6" t="s">
        <v>2091</v>
      </c>
      <c r="D668" s="6">
        <v>659</v>
      </c>
      <c r="E668" s="6">
        <v>132</v>
      </c>
      <c r="F668" s="6" t="s">
        <v>1547</v>
      </c>
      <c r="G668" s="6">
        <v>998</v>
      </c>
      <c r="H668" s="6" t="s">
        <v>1547</v>
      </c>
      <c r="I668" s="33">
        <v>0</v>
      </c>
      <c r="J668" s="88">
        <v>0</v>
      </c>
      <c r="K668" s="89">
        <f t="shared" si="110"/>
        <v>0</v>
      </c>
      <c r="L668" s="88">
        <f>IF(K669&gt;0, K668/K669, 0)</f>
        <v>0</v>
      </c>
      <c r="M668" s="58"/>
      <c r="N668" s="9">
        <f>ROUND(M669*L668,0)</f>
        <v>0</v>
      </c>
      <c r="O668" s="9">
        <v>0</v>
      </c>
      <c r="P668" s="9">
        <f>N668-O668</f>
        <v>0</v>
      </c>
      <c r="Q668" s="40">
        <f t="shared" si="109"/>
        <v>0</v>
      </c>
      <c r="R668" s="9">
        <v>0</v>
      </c>
      <c r="S668" s="9">
        <f t="shared" si="107"/>
        <v>0</v>
      </c>
      <c r="T668" s="90">
        <f t="shared" si="102"/>
        <v>132</v>
      </c>
      <c r="U668" s="90">
        <f t="shared" si="103"/>
        <v>998</v>
      </c>
      <c r="V668" s="373">
        <f t="shared" si="104"/>
        <v>659</v>
      </c>
      <c r="W668" s="90">
        <f t="shared" si="105"/>
        <v>0</v>
      </c>
      <c r="X668" s="90">
        <f t="shared" si="106"/>
        <v>0</v>
      </c>
      <c r="Y668" s="141">
        <f t="shared" si="108"/>
        <v>659</v>
      </c>
      <c r="Z668" s="298">
        <v>132</v>
      </c>
      <c r="AA668" s="299">
        <v>998</v>
      </c>
      <c r="AB668" s="299">
        <v>659</v>
      </c>
      <c r="AC668" s="301">
        <v>0</v>
      </c>
      <c r="AD668" s="301">
        <v>0</v>
      </c>
      <c r="AE668" s="126"/>
      <c r="AF668" s="298"/>
      <c r="AG668" s="299"/>
      <c r="AH668" s="299"/>
      <c r="AI668" s="301"/>
      <c r="AJ668" s="301"/>
      <c r="AK668" s="426"/>
      <c r="AL668" s="298"/>
      <c r="AM668" s="299"/>
      <c r="AN668" s="299"/>
      <c r="AO668" s="301"/>
      <c r="AP668" s="301"/>
      <c r="AQ668" s="426"/>
      <c r="AR668" s="298"/>
      <c r="AS668" s="299"/>
      <c r="AT668" s="299"/>
      <c r="AU668" s="301"/>
      <c r="AV668" s="301"/>
      <c r="AW668" s="88"/>
      <c r="AX668" s="298"/>
      <c r="AY668" s="299"/>
      <c r="AZ668" s="299"/>
      <c r="BA668" s="301"/>
      <c r="BB668" s="301"/>
      <c r="BC668" s="426"/>
      <c r="BD668" s="298"/>
      <c r="BE668" s="299"/>
      <c r="BF668" s="299"/>
      <c r="BG668" s="301"/>
      <c r="BH668" s="301"/>
      <c r="BI668" s="88"/>
      <c r="BJ668" s="298"/>
      <c r="BK668" s="299"/>
      <c r="BL668" s="299"/>
      <c r="BM668" s="301"/>
      <c r="BN668" s="301"/>
      <c r="BO668" s="88"/>
      <c r="BP668" s="9"/>
      <c r="BS668" s="81"/>
      <c r="BT668" s="81"/>
      <c r="BV668" s="9"/>
      <c r="BY668" s="81"/>
      <c r="BZ668" s="81"/>
      <c r="CB668" s="9"/>
      <c r="CE668" s="81"/>
      <c r="CF668" s="81"/>
      <c r="CH668" s="9"/>
      <c r="CK668" s="81"/>
      <c r="CL668" s="81"/>
      <c r="CR668" s="9"/>
      <c r="CS668" s="9"/>
      <c r="CT668" s="9"/>
      <c r="CU668" s="9"/>
      <c r="CV668" s="9"/>
      <c r="CW668" s="129"/>
      <c r="CX668" s="9"/>
    </row>
    <row r="669" spans="1:102">
      <c r="A669" s="6" t="str">
        <f t="shared" si="101"/>
        <v>01320999</v>
      </c>
      <c r="B669" s="6" t="s">
        <v>1782</v>
      </c>
      <c r="C669" s="6" t="s">
        <v>2092</v>
      </c>
      <c r="D669" s="6">
        <v>660</v>
      </c>
      <c r="E669" s="10">
        <v>132</v>
      </c>
      <c r="F669" s="10" t="s">
        <v>1250</v>
      </c>
      <c r="G669" s="10">
        <v>999</v>
      </c>
      <c r="H669" s="10" t="s">
        <v>593</v>
      </c>
      <c r="I669" s="92">
        <v>2805250.8403093661</v>
      </c>
      <c r="J669" s="472">
        <v>1</v>
      </c>
      <c r="K669" s="53">
        <f>SUM(K665:K668)</f>
        <v>3080744.9160100282</v>
      </c>
      <c r="L669" s="91">
        <f>SUM(L665:L668)</f>
        <v>1</v>
      </c>
      <c r="M669" s="79">
        <f>VLOOKUP(E669,town351,24)</f>
        <v>2229725</v>
      </c>
      <c r="N669" s="79">
        <f>SUM(N665:N668)</f>
        <v>2229725</v>
      </c>
      <c r="O669" s="79">
        <v>2107490</v>
      </c>
      <c r="P669" s="79">
        <f>SUM(P665:P668)</f>
        <v>122235</v>
      </c>
      <c r="Q669" s="39">
        <f t="shared" si="109"/>
        <v>5.8000275208897785</v>
      </c>
      <c r="R669" s="9">
        <v>194.91758597571999</v>
      </c>
      <c r="S669" s="9">
        <f t="shared" si="107"/>
        <v>207.89175257984002</v>
      </c>
      <c r="T669" s="90">
        <f t="shared" si="102"/>
        <v>132</v>
      </c>
      <c r="U669" s="90">
        <f t="shared" si="103"/>
        <v>999</v>
      </c>
      <c r="V669" s="373">
        <f t="shared" si="104"/>
        <v>660</v>
      </c>
      <c r="W669" s="90">
        <f t="shared" si="105"/>
        <v>207.89175257984002</v>
      </c>
      <c r="X669" s="90">
        <f t="shared" si="106"/>
        <v>3080744.9160100282</v>
      </c>
      <c r="Y669" s="141">
        <f t="shared" si="108"/>
        <v>660</v>
      </c>
      <c r="Z669" s="298">
        <v>132</v>
      </c>
      <c r="AA669" s="299">
        <v>999</v>
      </c>
      <c r="AB669" s="299">
        <v>660</v>
      </c>
      <c r="AC669" s="301">
        <v>207.89175257984002</v>
      </c>
      <c r="AD669" s="301">
        <v>3080744.9160100282</v>
      </c>
      <c r="AE669" s="126"/>
      <c r="AF669" s="298"/>
      <c r="AG669" s="299"/>
      <c r="AH669" s="299"/>
      <c r="AI669" s="301"/>
      <c r="AJ669" s="301"/>
      <c r="AK669" s="426"/>
      <c r="AL669" s="298"/>
      <c r="AM669" s="299"/>
      <c r="AN669" s="299"/>
      <c r="AO669" s="301"/>
      <c r="AP669" s="301"/>
      <c r="AQ669" s="426"/>
      <c r="AR669" s="298"/>
      <c r="AS669" s="299"/>
      <c r="AT669" s="299"/>
      <c r="AU669" s="301"/>
      <c r="AV669" s="301"/>
      <c r="AW669" s="91"/>
      <c r="AX669" s="298"/>
      <c r="AY669" s="299"/>
      <c r="AZ669" s="299"/>
      <c r="BA669" s="301"/>
      <c r="BB669" s="301"/>
      <c r="BC669" s="426"/>
      <c r="BD669" s="298"/>
      <c r="BE669" s="299"/>
      <c r="BF669" s="299"/>
      <c r="BG669" s="301"/>
      <c r="BH669" s="301"/>
      <c r="BI669" s="91"/>
      <c r="BJ669" s="298"/>
      <c r="BK669" s="299"/>
      <c r="BL669" s="299"/>
      <c r="BM669" s="301"/>
      <c r="BN669" s="301"/>
      <c r="BO669" s="91"/>
      <c r="BP669" s="9"/>
      <c r="BS669" s="81"/>
      <c r="BT669" s="81"/>
      <c r="BV669" s="9"/>
      <c r="BY669" s="81"/>
      <c r="BZ669" s="81"/>
      <c r="CB669" s="9"/>
      <c r="CE669" s="81"/>
      <c r="CF669" s="81"/>
      <c r="CH669" s="9"/>
      <c r="CK669" s="81"/>
      <c r="CL669" s="81"/>
      <c r="CR669" s="9"/>
      <c r="CS669" s="9"/>
      <c r="CT669" s="9"/>
      <c r="CU669" s="9"/>
      <c r="CV669" s="9"/>
      <c r="CW669" s="129"/>
      <c r="CX669" s="9"/>
    </row>
    <row r="670" spans="1:102">
      <c r="A670" s="6" t="str">
        <f t="shared" si="101"/>
        <v>01330133</v>
      </c>
      <c r="B670" s="6" t="s">
        <v>1783</v>
      </c>
      <c r="C670" s="6" t="s">
        <v>1783</v>
      </c>
      <c r="D670" s="6">
        <v>661</v>
      </c>
      <c r="E670" s="6">
        <v>133</v>
      </c>
      <c r="F670" s="6" t="s">
        <v>1251</v>
      </c>
      <c r="G670" s="6">
        <v>133</v>
      </c>
      <c r="H670" s="6" t="s">
        <v>814</v>
      </c>
      <c r="I670" s="33">
        <v>20493828.679550003</v>
      </c>
      <c r="J670" s="88">
        <v>0.8978316519163495</v>
      </c>
      <c r="K670" s="89">
        <f>X670</f>
        <v>21278519.472400002</v>
      </c>
      <c r="L670" s="88">
        <f>IF(K674&gt;0, K670/K674, 0)</f>
        <v>0.88944382405651734</v>
      </c>
      <c r="M670" s="58"/>
      <c r="N670" s="9">
        <f>ROUND(M674*L670,0)</f>
        <v>10008705</v>
      </c>
      <c r="O670" s="9">
        <v>9611922</v>
      </c>
      <c r="P670" s="9">
        <f>N670-O670</f>
        <v>396783</v>
      </c>
      <c r="Q670" s="40">
        <f t="shared" si="109"/>
        <v>4.1280297530504306</v>
      </c>
      <c r="R670" s="9">
        <v>1352</v>
      </c>
      <c r="S670" s="9">
        <f t="shared" si="107"/>
        <v>1355</v>
      </c>
      <c r="T670" s="90">
        <f t="shared" si="102"/>
        <v>133</v>
      </c>
      <c r="U670" s="90">
        <f t="shared" si="103"/>
        <v>133</v>
      </c>
      <c r="V670" s="373">
        <f t="shared" si="104"/>
        <v>661</v>
      </c>
      <c r="W670" s="90">
        <f t="shared" si="105"/>
        <v>1355</v>
      </c>
      <c r="X670" s="90">
        <f t="shared" si="106"/>
        <v>21278519.472400002</v>
      </c>
      <c r="Y670" s="141">
        <f t="shared" si="108"/>
        <v>661</v>
      </c>
      <c r="Z670" s="298">
        <v>133</v>
      </c>
      <c r="AA670" s="299">
        <v>133</v>
      </c>
      <c r="AB670" s="299">
        <v>661</v>
      </c>
      <c r="AC670" s="301">
        <v>1355</v>
      </c>
      <c r="AD670" s="301">
        <v>21278519.472400002</v>
      </c>
      <c r="AE670" s="126"/>
      <c r="AF670" s="298"/>
      <c r="AG670" s="299"/>
      <c r="AH670" s="299"/>
      <c r="AI670" s="301"/>
      <c r="AJ670" s="301"/>
      <c r="AK670" s="426"/>
      <c r="AL670" s="298"/>
      <c r="AM670" s="299"/>
      <c r="AN670" s="299"/>
      <c r="AO670" s="301"/>
      <c r="AP670" s="301"/>
      <c r="AQ670" s="426"/>
      <c r="AR670" s="298"/>
      <c r="AS670" s="299"/>
      <c r="AT670" s="299"/>
      <c r="AU670" s="301"/>
      <c r="AV670" s="301"/>
      <c r="AW670" s="88"/>
      <c r="AX670" s="298"/>
      <c r="AY670" s="299"/>
      <c r="AZ670" s="299"/>
      <c r="BA670" s="301"/>
      <c r="BB670" s="301"/>
      <c r="BC670" s="426"/>
      <c r="BD670" s="298"/>
      <c r="BE670" s="299"/>
      <c r="BF670" s="299"/>
      <c r="BG670" s="301"/>
      <c r="BH670" s="301"/>
      <c r="BI670" s="88"/>
      <c r="BJ670" s="298"/>
      <c r="BK670" s="299"/>
      <c r="BL670" s="299"/>
      <c r="BM670" s="301"/>
      <c r="BN670" s="301"/>
      <c r="BO670" s="88"/>
      <c r="BP670" s="9"/>
      <c r="BS670" s="81"/>
      <c r="BT670" s="81"/>
      <c r="BV670" s="9"/>
      <c r="BY670" s="81"/>
      <c r="BZ670" s="81"/>
      <c r="CB670" s="9"/>
      <c r="CE670" s="81"/>
      <c r="CF670" s="81"/>
      <c r="CH670" s="9"/>
      <c r="CK670" s="81"/>
      <c r="CL670" s="81"/>
      <c r="CR670" s="9"/>
      <c r="CS670" s="9"/>
      <c r="CT670" s="9"/>
      <c r="CU670" s="9"/>
      <c r="CV670" s="9"/>
      <c r="CW670" s="129"/>
      <c r="CX670" s="9"/>
    </row>
    <row r="671" spans="1:102">
      <c r="A671" s="6" t="str">
        <f t="shared" si="101"/>
        <v>01330806</v>
      </c>
      <c r="B671" s="6" t="s">
        <v>1783</v>
      </c>
      <c r="C671" s="6" t="s">
        <v>2064</v>
      </c>
      <c r="D671" s="6">
        <v>662</v>
      </c>
      <c r="E671" s="6">
        <v>133</v>
      </c>
      <c r="F671" s="6" t="s">
        <v>1251</v>
      </c>
      <c r="G671" s="6">
        <v>806</v>
      </c>
      <c r="H671" s="6" t="s">
        <v>1094</v>
      </c>
      <c r="I671" s="33">
        <v>2159872.53225165</v>
      </c>
      <c r="J671" s="88">
        <v>9.4623701304544533E-2</v>
      </c>
      <c r="K671" s="89">
        <f t="shared" si="110"/>
        <v>2446663.7597673712</v>
      </c>
      <c r="L671" s="88">
        <f>IF(K674&gt;0, K671/K674, 0)</f>
        <v>0.10227074179153578</v>
      </c>
      <c r="M671" s="58"/>
      <c r="N671" s="9">
        <f>ROUND(M674*L671,0)</f>
        <v>1150829</v>
      </c>
      <c r="O671" s="9">
        <v>1013014</v>
      </c>
      <c r="P671" s="9">
        <f>N671-O671</f>
        <v>137815</v>
      </c>
      <c r="Q671" s="40">
        <f t="shared" si="109"/>
        <v>13.604451666018436</v>
      </c>
      <c r="R671" s="9">
        <v>99.000000002749999</v>
      </c>
      <c r="S671" s="9">
        <f t="shared" si="107"/>
        <v>110.00000000128</v>
      </c>
      <c r="T671" s="90">
        <f t="shared" si="102"/>
        <v>133</v>
      </c>
      <c r="U671" s="90">
        <f t="shared" si="103"/>
        <v>806</v>
      </c>
      <c r="V671" s="373">
        <f t="shared" si="104"/>
        <v>662</v>
      </c>
      <c r="W671" s="90">
        <f t="shared" si="105"/>
        <v>110.00000000128</v>
      </c>
      <c r="X671" s="90">
        <f t="shared" si="106"/>
        <v>2446663.7597673712</v>
      </c>
      <c r="Y671" s="141">
        <f t="shared" si="108"/>
        <v>662</v>
      </c>
      <c r="Z671" s="298">
        <v>133</v>
      </c>
      <c r="AA671" s="299">
        <v>806</v>
      </c>
      <c r="AB671" s="299">
        <v>662</v>
      </c>
      <c r="AC671" s="301">
        <v>110.00000000128</v>
      </c>
      <c r="AD671" s="301">
        <v>2446663.7597673712</v>
      </c>
      <c r="AE671" s="126"/>
      <c r="AF671" s="298"/>
      <c r="AG671" s="299"/>
      <c r="AH671" s="299"/>
      <c r="AI671" s="301"/>
      <c r="AJ671" s="301"/>
      <c r="AK671" s="426"/>
      <c r="AL671" s="298"/>
      <c r="AM671" s="299"/>
      <c r="AN671" s="299"/>
      <c r="AO671" s="301"/>
      <c r="AP671" s="301"/>
      <c r="AQ671" s="426"/>
      <c r="AR671" s="298"/>
      <c r="AS671" s="299"/>
      <c r="AT671" s="299"/>
      <c r="AU671" s="301"/>
      <c r="AV671" s="301"/>
      <c r="AW671" s="88"/>
      <c r="AX671" s="298"/>
      <c r="AY671" s="299"/>
      <c r="AZ671" s="299"/>
      <c r="BA671" s="301"/>
      <c r="BB671" s="301"/>
      <c r="BC671" s="426"/>
      <c r="BD671" s="298"/>
      <c r="BE671" s="299"/>
      <c r="BF671" s="299"/>
      <c r="BG671" s="301"/>
      <c r="BH671" s="301"/>
      <c r="BI671" s="88"/>
      <c r="BJ671" s="298"/>
      <c r="BK671" s="299"/>
      <c r="BL671" s="299"/>
      <c r="BM671" s="301"/>
      <c r="BN671" s="301"/>
      <c r="BO671" s="88"/>
      <c r="BP671" s="9"/>
      <c r="BS671" s="81"/>
      <c r="BT671" s="81"/>
      <c r="BV671" s="9"/>
      <c r="BY671" s="81"/>
      <c r="BZ671" s="81"/>
      <c r="CB671" s="9"/>
      <c r="CE671" s="81"/>
      <c r="CF671" s="81"/>
      <c r="CH671" s="9"/>
      <c r="CK671" s="81"/>
      <c r="CL671" s="81"/>
      <c r="CR671" s="9"/>
      <c r="CS671" s="9"/>
      <c r="CT671" s="9"/>
      <c r="CU671" s="9"/>
      <c r="CV671" s="9"/>
      <c r="CW671" s="129"/>
      <c r="CX671" s="9"/>
    </row>
    <row r="672" spans="1:102">
      <c r="A672" s="6" t="str">
        <f t="shared" si="101"/>
        <v>01330915</v>
      </c>
      <c r="B672" s="6" t="s">
        <v>1783</v>
      </c>
      <c r="C672" s="6" t="s">
        <v>2089</v>
      </c>
      <c r="D672" s="6">
        <v>663</v>
      </c>
      <c r="E672" s="6">
        <v>133</v>
      </c>
      <c r="F672" s="6" t="s">
        <v>1251</v>
      </c>
      <c r="G672" s="6">
        <v>915</v>
      </c>
      <c r="H672" s="6" t="s">
        <v>1119</v>
      </c>
      <c r="I672" s="33">
        <v>172213.46363618856</v>
      </c>
      <c r="J672" s="88">
        <v>7.5446467791059155E-3</v>
      </c>
      <c r="K672" s="89">
        <f t="shared" si="110"/>
        <v>198215.74693208101</v>
      </c>
      <c r="L672" s="88">
        <f>IF(K674&gt;0, K672/K674, 0)</f>
        <v>8.2854341519468487E-3</v>
      </c>
      <c r="M672" s="58"/>
      <c r="N672" s="9">
        <f>ROUND(M674*L672,0)</f>
        <v>93234</v>
      </c>
      <c r="O672" s="9">
        <v>80771</v>
      </c>
      <c r="P672" s="9">
        <f>N672-O672</f>
        <v>12463</v>
      </c>
      <c r="Q672" s="40">
        <f t="shared" si="109"/>
        <v>15.430042960963712</v>
      </c>
      <c r="R672" s="9">
        <v>8.00000000008</v>
      </c>
      <c r="S672" s="9">
        <f t="shared" si="107"/>
        <v>8.99999999984</v>
      </c>
      <c r="T672" s="90">
        <f t="shared" si="102"/>
        <v>133</v>
      </c>
      <c r="U672" s="90">
        <f t="shared" si="103"/>
        <v>915</v>
      </c>
      <c r="V672" s="373">
        <f t="shared" si="104"/>
        <v>663</v>
      </c>
      <c r="W672" s="90">
        <f t="shared" si="105"/>
        <v>8.99999999984</v>
      </c>
      <c r="X672" s="90">
        <f t="shared" si="106"/>
        <v>198215.74693208101</v>
      </c>
      <c r="Y672" s="141">
        <f t="shared" si="108"/>
        <v>663</v>
      </c>
      <c r="Z672" s="298">
        <v>133</v>
      </c>
      <c r="AA672" s="299">
        <v>915</v>
      </c>
      <c r="AB672" s="299">
        <v>663</v>
      </c>
      <c r="AC672" s="301">
        <v>8.99999999984</v>
      </c>
      <c r="AD672" s="301">
        <v>198215.74693208101</v>
      </c>
      <c r="AE672" s="126"/>
      <c r="AF672" s="298"/>
      <c r="AG672" s="299"/>
      <c r="AH672" s="299"/>
      <c r="AI672" s="301"/>
      <c r="AJ672" s="301"/>
      <c r="AK672" s="426"/>
      <c r="AL672" s="298"/>
      <c r="AM672" s="299"/>
      <c r="AN672" s="299"/>
      <c r="AO672" s="301"/>
      <c r="AP672" s="301"/>
      <c r="AQ672" s="426"/>
      <c r="AR672" s="298"/>
      <c r="AS672" s="299"/>
      <c r="AT672" s="299"/>
      <c r="AU672" s="301"/>
      <c r="AV672" s="301"/>
      <c r="AW672" s="88"/>
      <c r="AX672" s="298"/>
      <c r="AY672" s="299"/>
      <c r="AZ672" s="299"/>
      <c r="BA672" s="301"/>
      <c r="BB672" s="301"/>
      <c r="BC672" s="426"/>
      <c r="BD672" s="298"/>
      <c r="BE672" s="299"/>
      <c r="BF672" s="299"/>
      <c r="BG672" s="301"/>
      <c r="BH672" s="301"/>
      <c r="BI672" s="88"/>
      <c r="BJ672" s="298"/>
      <c r="BK672" s="299"/>
      <c r="BL672" s="299"/>
      <c r="BM672" s="301"/>
      <c r="BN672" s="301"/>
      <c r="BO672" s="88"/>
      <c r="BP672" s="9"/>
      <c r="BS672" s="81"/>
      <c r="BT672" s="81"/>
      <c r="BV672" s="9"/>
      <c r="BY672" s="81"/>
      <c r="BZ672" s="81"/>
      <c r="CB672" s="9"/>
      <c r="CE672" s="81"/>
      <c r="CF672" s="81"/>
      <c r="CH672" s="9"/>
      <c r="CK672" s="81"/>
      <c r="CL672" s="81"/>
      <c r="CR672" s="9"/>
      <c r="CS672" s="9"/>
      <c r="CT672" s="9"/>
      <c r="CU672" s="9"/>
      <c r="CV672" s="9"/>
      <c r="CW672" s="129"/>
      <c r="CX672" s="9"/>
    </row>
    <row r="673" spans="1:102">
      <c r="A673" s="6" t="str">
        <f t="shared" si="101"/>
        <v>01330998</v>
      </c>
      <c r="B673" s="6" t="s">
        <v>1783</v>
      </c>
      <c r="C673" s="6" t="s">
        <v>2091</v>
      </c>
      <c r="D673" s="6">
        <v>664</v>
      </c>
      <c r="E673" s="6">
        <v>133</v>
      </c>
      <c r="F673" s="6" t="s">
        <v>1547</v>
      </c>
      <c r="G673" s="6">
        <v>998</v>
      </c>
      <c r="H673" s="6" t="s">
        <v>1547</v>
      </c>
      <c r="I673" s="33">
        <v>0</v>
      </c>
      <c r="J673" s="88">
        <v>0</v>
      </c>
      <c r="K673" s="89">
        <f t="shared" si="110"/>
        <v>0</v>
      </c>
      <c r="L673" s="88">
        <f>IF(K674&gt;0, K673/K674, 0)</f>
        <v>0</v>
      </c>
      <c r="M673" s="58"/>
      <c r="N673" s="9">
        <f>ROUND(M674*L673,0)</f>
        <v>0</v>
      </c>
      <c r="O673" s="9">
        <v>0</v>
      </c>
      <c r="P673" s="9">
        <f>N673-O673</f>
        <v>0</v>
      </c>
      <c r="Q673" s="40">
        <f t="shared" si="109"/>
        <v>0</v>
      </c>
      <c r="R673" s="9">
        <v>0</v>
      </c>
      <c r="S673" s="9">
        <f t="shared" si="107"/>
        <v>0</v>
      </c>
      <c r="T673" s="90">
        <f t="shared" si="102"/>
        <v>133</v>
      </c>
      <c r="U673" s="90">
        <f t="shared" si="103"/>
        <v>998</v>
      </c>
      <c r="V673" s="373">
        <f t="shared" si="104"/>
        <v>664</v>
      </c>
      <c r="W673" s="90">
        <f t="shared" si="105"/>
        <v>0</v>
      </c>
      <c r="X673" s="90">
        <f t="shared" si="106"/>
        <v>0</v>
      </c>
      <c r="Y673" s="141">
        <f t="shared" si="108"/>
        <v>664</v>
      </c>
      <c r="Z673" s="298">
        <v>133</v>
      </c>
      <c r="AA673" s="299">
        <v>998</v>
      </c>
      <c r="AB673" s="299">
        <v>664</v>
      </c>
      <c r="AC673" s="301">
        <v>0</v>
      </c>
      <c r="AD673" s="301">
        <v>0</v>
      </c>
      <c r="AE673" s="126"/>
      <c r="AF673" s="298"/>
      <c r="AG673" s="299"/>
      <c r="AH673" s="299"/>
      <c r="AI673" s="301"/>
      <c r="AJ673" s="301"/>
      <c r="AK673" s="426"/>
      <c r="AL673" s="298"/>
      <c r="AM673" s="299"/>
      <c r="AN673" s="299"/>
      <c r="AO673" s="301"/>
      <c r="AP673" s="301"/>
      <c r="AQ673" s="426"/>
      <c r="AR673" s="298"/>
      <c r="AS673" s="299"/>
      <c r="AT673" s="299"/>
      <c r="AU673" s="301"/>
      <c r="AV673" s="301"/>
      <c r="AW673" s="88"/>
      <c r="AX673" s="298"/>
      <c r="AY673" s="299"/>
      <c r="AZ673" s="299"/>
      <c r="BA673" s="301"/>
      <c r="BB673" s="301"/>
      <c r="BC673" s="426"/>
      <c r="BD673" s="298"/>
      <c r="BE673" s="299"/>
      <c r="BF673" s="299"/>
      <c r="BG673" s="301"/>
      <c r="BH673" s="301"/>
      <c r="BI673" s="88"/>
      <c r="BJ673" s="298"/>
      <c r="BK673" s="299"/>
      <c r="BL673" s="299"/>
      <c r="BM673" s="301"/>
      <c r="BN673" s="301"/>
      <c r="BO673" s="88"/>
      <c r="BP673" s="9"/>
      <c r="BS673" s="81"/>
      <c r="BT673" s="81"/>
      <c r="BV673" s="9"/>
      <c r="BY673" s="81"/>
      <c r="BZ673" s="81"/>
      <c r="CB673" s="9"/>
      <c r="CE673" s="81"/>
      <c r="CF673" s="81"/>
      <c r="CH673" s="9"/>
      <c r="CK673" s="81"/>
      <c r="CL673" s="81"/>
      <c r="CR673" s="9"/>
      <c r="CS673" s="9"/>
      <c r="CT673" s="9"/>
      <c r="CU673" s="9"/>
      <c r="CV673" s="9"/>
      <c r="CW673" s="129"/>
      <c r="CX673" s="9"/>
    </row>
    <row r="674" spans="1:102">
      <c r="A674" s="6" t="str">
        <f t="shared" si="101"/>
        <v>01330999</v>
      </c>
      <c r="B674" s="6" t="s">
        <v>1783</v>
      </c>
      <c r="C674" s="6" t="s">
        <v>2092</v>
      </c>
      <c r="D674" s="6">
        <v>665</v>
      </c>
      <c r="E674" s="10">
        <v>133</v>
      </c>
      <c r="F674" s="10" t="s">
        <v>1251</v>
      </c>
      <c r="G674" s="10">
        <v>999</v>
      </c>
      <c r="H674" s="10" t="s">
        <v>593</v>
      </c>
      <c r="I674" s="92">
        <v>22825914.675437842</v>
      </c>
      <c r="J674" s="472">
        <v>1</v>
      </c>
      <c r="K674" s="53">
        <f>SUM(K670:K673)</f>
        <v>23923398.979099456</v>
      </c>
      <c r="L674" s="91">
        <f>SUM(L670:L673)</f>
        <v>0.99999999999999989</v>
      </c>
      <c r="M674" s="79">
        <f>VLOOKUP(E674,town351,24)</f>
        <v>11252768</v>
      </c>
      <c r="N674" s="79">
        <f>SUM(N670:N673)</f>
        <v>11252768</v>
      </c>
      <c r="O674" s="79">
        <v>10705707</v>
      </c>
      <c r="P674" s="79">
        <f>SUM(P670:P673)</f>
        <v>547061</v>
      </c>
      <c r="Q674" s="39">
        <f t="shared" si="109"/>
        <v>5.1099941367720971</v>
      </c>
      <c r="R674" s="9">
        <v>1459.0000000028301</v>
      </c>
      <c r="S674" s="9">
        <f t="shared" si="107"/>
        <v>1474.00000000112</v>
      </c>
      <c r="T674" s="90">
        <f t="shared" si="102"/>
        <v>133</v>
      </c>
      <c r="U674" s="90">
        <f t="shared" si="103"/>
        <v>999</v>
      </c>
      <c r="V674" s="373">
        <f t="shared" si="104"/>
        <v>665</v>
      </c>
      <c r="W674" s="90">
        <f t="shared" si="105"/>
        <v>1474.00000000112</v>
      </c>
      <c r="X674" s="90">
        <f t="shared" si="106"/>
        <v>23923398.979099456</v>
      </c>
      <c r="Y674" s="141">
        <f t="shared" si="108"/>
        <v>665</v>
      </c>
      <c r="Z674" s="298">
        <v>133</v>
      </c>
      <c r="AA674" s="299">
        <v>999</v>
      </c>
      <c r="AB674" s="299">
        <v>665</v>
      </c>
      <c r="AC674" s="301">
        <v>1474.00000000112</v>
      </c>
      <c r="AD674" s="301">
        <v>23923398.979099456</v>
      </c>
      <c r="AE674" s="126"/>
      <c r="AF674" s="298"/>
      <c r="AG674" s="299"/>
      <c r="AH674" s="299"/>
      <c r="AI674" s="301"/>
      <c r="AJ674" s="301"/>
      <c r="AK674" s="426"/>
      <c r="AL674" s="298"/>
      <c r="AM674" s="299"/>
      <c r="AN674" s="299"/>
      <c r="AO674" s="301"/>
      <c r="AP674" s="301"/>
      <c r="AQ674" s="426"/>
      <c r="AR674" s="298"/>
      <c r="AS674" s="299"/>
      <c r="AT674" s="299"/>
      <c r="AU674" s="301"/>
      <c r="AV674" s="301"/>
      <c r="AW674" s="91"/>
      <c r="AX674" s="298"/>
      <c r="AY674" s="299"/>
      <c r="AZ674" s="299"/>
      <c r="BA674" s="301"/>
      <c r="BB674" s="301"/>
      <c r="BC674" s="426"/>
      <c r="BD674" s="298"/>
      <c r="BE674" s="299"/>
      <c r="BF674" s="299"/>
      <c r="BG674" s="301"/>
      <c r="BH674" s="301"/>
      <c r="BI674" s="91"/>
      <c r="BJ674" s="298"/>
      <c r="BK674" s="299"/>
      <c r="BL674" s="299"/>
      <c r="BM674" s="301"/>
      <c r="BN674" s="301"/>
      <c r="BO674" s="91"/>
      <c r="BP674" s="9"/>
      <c r="BS674" s="81"/>
      <c r="BT674" s="81"/>
      <c r="BV674" s="9"/>
      <c r="BY674" s="81"/>
      <c r="BZ674" s="81"/>
      <c r="CB674" s="9"/>
      <c r="CE674" s="81"/>
      <c r="CF674" s="81"/>
      <c r="CH674" s="9"/>
      <c r="CK674" s="81"/>
      <c r="CL674" s="81"/>
      <c r="CR674" s="9"/>
      <c r="CS674" s="9"/>
      <c r="CT674" s="9"/>
      <c r="CU674" s="9"/>
      <c r="CV674" s="9"/>
      <c r="CW674" s="129"/>
      <c r="CX674" s="9"/>
    </row>
    <row r="675" spans="1:102">
      <c r="A675" s="6" t="str">
        <f t="shared" si="101"/>
        <v>01340134</v>
      </c>
      <c r="B675" s="6" t="s">
        <v>1784</v>
      </c>
      <c r="C675" s="6" t="s">
        <v>1784</v>
      </c>
      <c r="D675" s="6">
        <v>666</v>
      </c>
      <c r="E675" s="6">
        <v>134</v>
      </c>
      <c r="F675" s="6" t="s">
        <v>1252</v>
      </c>
      <c r="G675" s="6">
        <v>134</v>
      </c>
      <c r="H675" s="6" t="s">
        <v>815</v>
      </c>
      <c r="I675" s="33">
        <v>16490.760000000002</v>
      </c>
      <c r="J675" s="88">
        <v>3.8590976316153476E-4</v>
      </c>
      <c r="K675" s="89">
        <f>X675</f>
        <v>33720.660000000003</v>
      </c>
      <c r="L675" s="88">
        <f>IF(K679&gt;0, K675/K679, 0)</f>
        <v>7.7218874499910845E-4</v>
      </c>
      <c r="M675" s="58"/>
      <c r="N675" s="9">
        <f>ROUND(M679*L675,0)</f>
        <v>19200</v>
      </c>
      <c r="O675" s="9">
        <v>9127</v>
      </c>
      <c r="P675" s="9">
        <f>N675-O675</f>
        <v>10073</v>
      </c>
      <c r="Q675" s="40">
        <f t="shared" si="109"/>
        <v>110.36485153938862</v>
      </c>
      <c r="R675" s="9">
        <v>1</v>
      </c>
      <c r="S675" s="9">
        <f t="shared" si="107"/>
        <v>2</v>
      </c>
      <c r="T675" s="90">
        <f t="shared" si="102"/>
        <v>134</v>
      </c>
      <c r="U675" s="90">
        <f t="shared" si="103"/>
        <v>134</v>
      </c>
      <c r="V675" s="373">
        <f t="shared" si="104"/>
        <v>666</v>
      </c>
      <c r="W675" s="90">
        <f t="shared" si="105"/>
        <v>2</v>
      </c>
      <c r="X675" s="90">
        <f t="shared" si="106"/>
        <v>33720.660000000003</v>
      </c>
      <c r="Y675" s="141">
        <f t="shared" si="108"/>
        <v>666</v>
      </c>
      <c r="Z675" s="298">
        <v>134</v>
      </c>
      <c r="AA675" s="299">
        <v>134</v>
      </c>
      <c r="AB675" s="299">
        <v>666</v>
      </c>
      <c r="AC675" s="301">
        <v>2</v>
      </c>
      <c r="AD675" s="301">
        <v>33720.660000000003</v>
      </c>
      <c r="AE675" s="126"/>
      <c r="AF675" s="298"/>
      <c r="AG675" s="299"/>
      <c r="AH675" s="299"/>
      <c r="AI675" s="301"/>
      <c r="AJ675" s="301"/>
      <c r="AK675" s="426"/>
      <c r="AL675" s="298"/>
      <c r="AM675" s="299"/>
      <c r="AN675" s="299"/>
      <c r="AO675" s="301"/>
      <c r="AP675" s="301"/>
      <c r="AQ675" s="426"/>
      <c r="AR675" s="298"/>
      <c r="AS675" s="299"/>
      <c r="AT675" s="299"/>
      <c r="AU675" s="301"/>
      <c r="AV675" s="301"/>
      <c r="AW675" s="88"/>
      <c r="AX675" s="298"/>
      <c r="AY675" s="299"/>
      <c r="AZ675" s="299"/>
      <c r="BA675" s="301"/>
      <c r="BB675" s="301"/>
      <c r="BC675" s="426"/>
      <c r="BD675" s="298"/>
      <c r="BE675" s="299"/>
      <c r="BF675" s="299"/>
      <c r="BG675" s="301"/>
      <c r="BH675" s="301"/>
      <c r="BI675" s="88"/>
      <c r="BJ675" s="298"/>
      <c r="BK675" s="299"/>
      <c r="BL675" s="299"/>
      <c r="BM675" s="301"/>
      <c r="BN675" s="301"/>
      <c r="BO675" s="88"/>
      <c r="BP675" s="9"/>
      <c r="BS675" s="81"/>
      <c r="BT675" s="81"/>
      <c r="BV675" s="9"/>
      <c r="BY675" s="81"/>
      <c r="BZ675" s="81"/>
      <c r="CB675" s="9"/>
      <c r="CE675" s="81"/>
      <c r="CF675" s="81"/>
      <c r="CH675" s="9"/>
      <c r="CK675" s="81"/>
      <c r="CL675" s="81"/>
      <c r="CR675" s="9"/>
      <c r="CS675" s="9"/>
      <c r="CT675" s="9"/>
      <c r="CU675" s="9"/>
      <c r="CV675" s="9"/>
      <c r="CW675" s="129"/>
      <c r="CX675" s="9"/>
    </row>
    <row r="676" spans="1:102">
      <c r="A676" s="6" t="str">
        <f t="shared" si="101"/>
        <v>01340775</v>
      </c>
      <c r="B676" s="6" t="s">
        <v>1784</v>
      </c>
      <c r="C676" s="6" t="s">
        <v>2059</v>
      </c>
      <c r="D676" s="6">
        <v>667</v>
      </c>
      <c r="E676" s="6">
        <v>134</v>
      </c>
      <c r="F676" s="6" t="s">
        <v>1252</v>
      </c>
      <c r="G676" s="6">
        <v>775</v>
      </c>
      <c r="H676" s="6" t="s">
        <v>1089</v>
      </c>
      <c r="I676" s="33">
        <v>40095591.162160635</v>
      </c>
      <c r="J676" s="88">
        <v>0.93829999886064286</v>
      </c>
      <c r="K676" s="89">
        <f t="shared" si="110"/>
        <v>40636539.975623816</v>
      </c>
      <c r="L676" s="88">
        <f>IF(K679&gt;0, K676/K679, 0)</f>
        <v>0.93055944945570612</v>
      </c>
      <c r="M676" s="58"/>
      <c r="N676" s="9">
        <f>ROUND(M679*L676,0)</f>
        <v>23138212</v>
      </c>
      <c r="O676" s="9">
        <v>22192218</v>
      </c>
      <c r="P676" s="9">
        <f>N676-O676</f>
        <v>945994</v>
      </c>
      <c r="Q676" s="40">
        <f t="shared" si="109"/>
        <v>4.2627284933844827</v>
      </c>
      <c r="R676" s="9">
        <v>3241.5368573825199</v>
      </c>
      <c r="S676" s="9">
        <f t="shared" si="107"/>
        <v>3198.0863656347897</v>
      </c>
      <c r="T676" s="90">
        <f t="shared" si="102"/>
        <v>134</v>
      </c>
      <c r="U676" s="90">
        <f t="shared" si="103"/>
        <v>775</v>
      </c>
      <c r="V676" s="373">
        <f t="shared" si="104"/>
        <v>667</v>
      </c>
      <c r="W676" s="90">
        <f t="shared" si="105"/>
        <v>3198.0863656347897</v>
      </c>
      <c r="X676" s="90">
        <f t="shared" si="106"/>
        <v>40636539.975623816</v>
      </c>
      <c r="Y676" s="141">
        <f t="shared" si="108"/>
        <v>667</v>
      </c>
      <c r="Z676" s="298">
        <v>134</v>
      </c>
      <c r="AA676" s="299">
        <v>775</v>
      </c>
      <c r="AB676" s="299">
        <v>667</v>
      </c>
      <c r="AC676" s="301">
        <v>3198.0863656347897</v>
      </c>
      <c r="AD676" s="301">
        <v>40636539.975623816</v>
      </c>
      <c r="AE676" s="126"/>
      <c r="AF676" s="298"/>
      <c r="AG676" s="299"/>
      <c r="AH676" s="299"/>
      <c r="AI676" s="301"/>
      <c r="AJ676" s="301"/>
      <c r="AK676" s="426"/>
      <c r="AL676" s="298"/>
      <c r="AM676" s="299"/>
      <c r="AN676" s="299"/>
      <c r="AO676" s="301"/>
      <c r="AP676" s="301"/>
      <c r="AQ676" s="426"/>
      <c r="AR676" s="298"/>
      <c r="AS676" s="299"/>
      <c r="AT676" s="299"/>
      <c r="AU676" s="301"/>
      <c r="AV676" s="301"/>
      <c r="AW676" s="88"/>
      <c r="AX676" s="298"/>
      <c r="AY676" s="299"/>
      <c r="AZ676" s="299"/>
      <c r="BA676" s="301"/>
      <c r="BB676" s="301"/>
      <c r="BC676" s="426"/>
      <c r="BD676" s="298"/>
      <c r="BE676" s="299"/>
      <c r="BF676" s="299"/>
      <c r="BG676" s="301"/>
      <c r="BH676" s="301"/>
      <c r="BI676" s="88"/>
      <c r="BJ676" s="298"/>
      <c r="BK676" s="299"/>
      <c r="BL676" s="299"/>
      <c r="BM676" s="301"/>
      <c r="BN676" s="301"/>
      <c r="BO676" s="88"/>
      <c r="BP676" s="9"/>
      <c r="BS676" s="81"/>
      <c r="BT676" s="81"/>
      <c r="BV676" s="9"/>
      <c r="BY676" s="81"/>
      <c r="BZ676" s="81"/>
      <c r="CB676" s="9"/>
      <c r="CE676" s="81"/>
      <c r="CF676" s="81"/>
      <c r="CH676" s="9"/>
      <c r="CK676" s="81"/>
      <c r="CL676" s="81"/>
      <c r="CR676" s="9"/>
      <c r="CS676" s="9"/>
      <c r="CT676" s="9"/>
      <c r="CU676" s="9"/>
      <c r="CV676" s="9"/>
      <c r="CW676" s="129"/>
      <c r="CX676" s="9"/>
    </row>
    <row r="677" spans="1:102">
      <c r="A677" s="6" t="str">
        <f t="shared" si="101"/>
        <v>01340832</v>
      </c>
      <c r="B677" s="6" t="s">
        <v>1784</v>
      </c>
      <c r="C677" s="6" t="s">
        <v>2075</v>
      </c>
      <c r="D677" s="6">
        <v>668</v>
      </c>
      <c r="E677" s="6">
        <v>134</v>
      </c>
      <c r="F677" s="6" t="s">
        <v>1252</v>
      </c>
      <c r="G677" s="6">
        <v>832</v>
      </c>
      <c r="H677" s="6" t="s">
        <v>1105</v>
      </c>
      <c r="I677" s="33">
        <v>2620083.9212240316</v>
      </c>
      <c r="J677" s="88">
        <v>6.131409137619559E-2</v>
      </c>
      <c r="K677" s="89">
        <f t="shared" si="110"/>
        <v>2998674.2179124686</v>
      </c>
      <c r="L677" s="88">
        <f>IF(K679&gt;0, K677/K679, 0)</f>
        <v>6.8668361799294905E-2</v>
      </c>
      <c r="M677" s="58"/>
      <c r="N677" s="9">
        <f>ROUND(M679*L677,0)</f>
        <v>1707428</v>
      </c>
      <c r="O677" s="9">
        <v>1450171</v>
      </c>
      <c r="P677" s="9">
        <f>N677-O677</f>
        <v>257257</v>
      </c>
      <c r="Q677" s="40">
        <f t="shared" si="109"/>
        <v>17.739769999537984</v>
      </c>
      <c r="R677" s="9">
        <v>130.17771701814999</v>
      </c>
      <c r="S677" s="9">
        <f t="shared" si="107"/>
        <v>147.99999999996001</v>
      </c>
      <c r="T677" s="90">
        <f t="shared" si="102"/>
        <v>134</v>
      </c>
      <c r="U677" s="90">
        <f t="shared" si="103"/>
        <v>832</v>
      </c>
      <c r="V677" s="373">
        <f t="shared" si="104"/>
        <v>668</v>
      </c>
      <c r="W677" s="90">
        <f t="shared" si="105"/>
        <v>147.99999999996001</v>
      </c>
      <c r="X677" s="90">
        <f t="shared" si="106"/>
        <v>2998674.2179124686</v>
      </c>
      <c r="Y677" s="141">
        <f t="shared" si="108"/>
        <v>668</v>
      </c>
      <c r="Z677" s="298">
        <v>134</v>
      </c>
      <c r="AA677" s="299">
        <v>832</v>
      </c>
      <c r="AB677" s="299">
        <v>668</v>
      </c>
      <c r="AC677" s="301">
        <v>147.99999999996001</v>
      </c>
      <c r="AD677" s="301">
        <v>2998674.2179124686</v>
      </c>
      <c r="AE677" s="126"/>
      <c r="AF677" s="298"/>
      <c r="AG677" s="299"/>
      <c r="AH677" s="299"/>
      <c r="AI677" s="301"/>
      <c r="AJ677" s="301"/>
      <c r="AK677" s="426"/>
      <c r="AL677" s="298"/>
      <c r="AM677" s="299"/>
      <c r="AN677" s="299"/>
      <c r="AO677" s="301"/>
      <c r="AP677" s="301"/>
      <c r="AQ677" s="426"/>
      <c r="AR677" s="298"/>
      <c r="AS677" s="299"/>
      <c r="AT677" s="299"/>
      <c r="AU677" s="301"/>
      <c r="AV677" s="301"/>
      <c r="AW677" s="88"/>
      <c r="AX677" s="298"/>
      <c r="AY677" s="299"/>
      <c r="AZ677" s="299"/>
      <c r="BA677" s="301"/>
      <c r="BB677" s="301"/>
      <c r="BC677" s="426"/>
      <c r="BD677" s="298"/>
      <c r="BE677" s="299"/>
      <c r="BF677" s="299"/>
      <c r="BG677" s="301"/>
      <c r="BH677" s="301"/>
      <c r="BI677" s="88"/>
      <c r="BJ677" s="298"/>
      <c r="BK677" s="299"/>
      <c r="BL677" s="299"/>
      <c r="BM677" s="301"/>
      <c r="BN677" s="301"/>
      <c r="BO677" s="88"/>
      <c r="BP677" s="9"/>
      <c r="BS677" s="81"/>
      <c r="BT677" s="81"/>
      <c r="BV677" s="9"/>
      <c r="BY677" s="81"/>
      <c r="BZ677" s="81"/>
      <c r="CB677" s="9"/>
      <c r="CE677" s="81"/>
      <c r="CF677" s="81"/>
      <c r="CH677" s="9"/>
      <c r="CK677" s="81"/>
      <c r="CL677" s="81"/>
      <c r="CR677" s="9"/>
      <c r="CS677" s="9"/>
      <c r="CT677" s="9"/>
      <c r="CU677" s="9"/>
      <c r="CV677" s="9"/>
      <c r="CW677" s="129"/>
      <c r="CX677" s="9"/>
    </row>
    <row r="678" spans="1:102">
      <c r="A678" s="6" t="str">
        <f t="shared" si="101"/>
        <v>01340998</v>
      </c>
      <c r="B678" s="6" t="s">
        <v>1784</v>
      </c>
      <c r="C678" s="6" t="s">
        <v>2091</v>
      </c>
      <c r="D678" s="6">
        <v>669</v>
      </c>
      <c r="E678" s="6">
        <v>134</v>
      </c>
      <c r="F678" s="6" t="s">
        <v>1547</v>
      </c>
      <c r="G678" s="6">
        <v>998</v>
      </c>
      <c r="H678" s="6" t="s">
        <v>1547</v>
      </c>
      <c r="I678" s="33">
        <v>0</v>
      </c>
      <c r="J678" s="88">
        <v>0</v>
      </c>
      <c r="K678" s="89">
        <f t="shared" si="110"/>
        <v>0</v>
      </c>
      <c r="L678" s="88">
        <f>IF(K679&gt;0, K678/K679, 0)</f>
        <v>0</v>
      </c>
      <c r="M678" s="58"/>
      <c r="N678" s="9">
        <f>ROUND(M679*L678,0)</f>
        <v>0</v>
      </c>
      <c r="O678" s="9">
        <v>0</v>
      </c>
      <c r="P678" s="9">
        <f>N678-O678</f>
        <v>0</v>
      </c>
      <c r="Q678" s="40">
        <f t="shared" si="109"/>
        <v>0</v>
      </c>
      <c r="R678" s="9">
        <v>0</v>
      </c>
      <c r="S678" s="9">
        <f t="shared" si="107"/>
        <v>0</v>
      </c>
      <c r="T678" s="90">
        <f t="shared" si="102"/>
        <v>134</v>
      </c>
      <c r="U678" s="90">
        <f t="shared" si="103"/>
        <v>998</v>
      </c>
      <c r="V678" s="373">
        <f t="shared" si="104"/>
        <v>669</v>
      </c>
      <c r="W678" s="90">
        <f t="shared" si="105"/>
        <v>0</v>
      </c>
      <c r="X678" s="90">
        <f t="shared" si="106"/>
        <v>0</v>
      </c>
      <c r="Y678" s="141">
        <f t="shared" si="108"/>
        <v>669</v>
      </c>
      <c r="Z678" s="298">
        <v>134</v>
      </c>
      <c r="AA678" s="299">
        <v>998</v>
      </c>
      <c r="AB678" s="299">
        <v>669</v>
      </c>
      <c r="AC678" s="301">
        <v>0</v>
      </c>
      <c r="AD678" s="301">
        <v>0</v>
      </c>
      <c r="AE678" s="126"/>
      <c r="AF678" s="298"/>
      <c r="AG678" s="299"/>
      <c r="AH678" s="299"/>
      <c r="AI678" s="301"/>
      <c r="AJ678" s="301"/>
      <c r="AK678" s="426"/>
      <c r="AL678" s="298"/>
      <c r="AM678" s="299"/>
      <c r="AN678" s="299"/>
      <c r="AO678" s="301"/>
      <c r="AP678" s="301"/>
      <c r="AQ678" s="426"/>
      <c r="AR678" s="298"/>
      <c r="AS678" s="299"/>
      <c r="AT678" s="299"/>
      <c r="AU678" s="301"/>
      <c r="AV678" s="301"/>
      <c r="AW678" s="88"/>
      <c r="AX678" s="298"/>
      <c r="AY678" s="299"/>
      <c r="AZ678" s="299"/>
      <c r="BA678" s="301"/>
      <c r="BB678" s="301"/>
      <c r="BC678" s="426"/>
      <c r="BD678" s="298"/>
      <c r="BE678" s="299"/>
      <c r="BF678" s="299"/>
      <c r="BG678" s="301"/>
      <c r="BH678" s="301"/>
      <c r="BI678" s="88"/>
      <c r="BJ678" s="298"/>
      <c r="BK678" s="299"/>
      <c r="BL678" s="299"/>
      <c r="BM678" s="301"/>
      <c r="BN678" s="301"/>
      <c r="BO678" s="88"/>
      <c r="BP678" s="9"/>
      <c r="BS678" s="81"/>
      <c r="BT678" s="81"/>
      <c r="BV678" s="9"/>
      <c r="BY678" s="81"/>
      <c r="BZ678" s="81"/>
      <c r="CB678" s="9"/>
      <c r="CE678" s="81"/>
      <c r="CF678" s="81"/>
      <c r="CH678" s="9"/>
      <c r="CK678" s="81"/>
      <c r="CL678" s="81"/>
      <c r="CR678" s="9"/>
      <c r="CS678" s="9"/>
      <c r="CT678" s="9"/>
      <c r="CU678" s="9"/>
      <c r="CV678" s="9"/>
      <c r="CW678" s="129"/>
      <c r="CX678" s="9"/>
    </row>
    <row r="679" spans="1:102">
      <c r="A679" s="6" t="str">
        <f t="shared" si="101"/>
        <v>01340999</v>
      </c>
      <c r="B679" s="6" t="s">
        <v>1784</v>
      </c>
      <c r="C679" s="6" t="s">
        <v>2092</v>
      </c>
      <c r="D679" s="6">
        <v>670</v>
      </c>
      <c r="E679" s="10">
        <v>134</v>
      </c>
      <c r="F679" s="10" t="s">
        <v>1252</v>
      </c>
      <c r="G679" s="10">
        <v>999</v>
      </c>
      <c r="H679" s="10" t="s">
        <v>593</v>
      </c>
      <c r="I679" s="92">
        <v>42732165.843384668</v>
      </c>
      <c r="J679" s="472">
        <v>1</v>
      </c>
      <c r="K679" s="53">
        <f>SUM(K675:K678)</f>
        <v>43668934.853536278</v>
      </c>
      <c r="L679" s="91">
        <f>SUM(L675:L678)</f>
        <v>1</v>
      </c>
      <c r="M679" s="79">
        <f>VLOOKUP(E679,town351,24)</f>
        <v>24864840</v>
      </c>
      <c r="N679" s="79">
        <f>SUM(N675:N678)</f>
        <v>24864840</v>
      </c>
      <c r="O679" s="79">
        <v>23651516</v>
      </c>
      <c r="P679" s="79">
        <f>SUM(P675:P678)</f>
        <v>1213324</v>
      </c>
      <c r="Q679" s="39">
        <f t="shared" si="109"/>
        <v>5.1300051971298588</v>
      </c>
      <c r="R679" s="9">
        <v>3372.7145744006698</v>
      </c>
      <c r="S679" s="9">
        <f t="shared" si="107"/>
        <v>3348.0863656347497</v>
      </c>
      <c r="T679" s="90">
        <f t="shared" si="102"/>
        <v>134</v>
      </c>
      <c r="U679" s="90">
        <f t="shared" si="103"/>
        <v>999</v>
      </c>
      <c r="V679" s="373">
        <f t="shared" si="104"/>
        <v>670</v>
      </c>
      <c r="W679" s="90">
        <f t="shared" si="105"/>
        <v>3348.0863656347497</v>
      </c>
      <c r="X679" s="90">
        <f t="shared" si="106"/>
        <v>43668934.853536278</v>
      </c>
      <c r="Y679" s="141">
        <f t="shared" si="108"/>
        <v>670</v>
      </c>
      <c r="Z679" s="298">
        <v>134</v>
      </c>
      <c r="AA679" s="299">
        <v>999</v>
      </c>
      <c r="AB679" s="299">
        <v>670</v>
      </c>
      <c r="AC679" s="301">
        <v>3348.0863656347497</v>
      </c>
      <c r="AD679" s="301">
        <v>43668934.853536278</v>
      </c>
      <c r="AE679" s="126"/>
      <c r="AF679" s="298"/>
      <c r="AG679" s="299"/>
      <c r="AH679" s="299"/>
      <c r="AI679" s="301"/>
      <c r="AJ679" s="301"/>
      <c r="AK679" s="426"/>
      <c r="AL679" s="298"/>
      <c r="AM679" s="299"/>
      <c r="AN679" s="299"/>
      <c r="AO679" s="301"/>
      <c r="AP679" s="301"/>
      <c r="AQ679" s="426"/>
      <c r="AR679" s="298"/>
      <c r="AS679" s="299"/>
      <c r="AT679" s="299"/>
      <c r="AU679" s="301"/>
      <c r="AV679" s="301"/>
      <c r="AW679" s="91"/>
      <c r="AX679" s="298"/>
      <c r="AY679" s="299"/>
      <c r="AZ679" s="299"/>
      <c r="BA679" s="301"/>
      <c r="BB679" s="301"/>
      <c r="BC679" s="426"/>
      <c r="BD679" s="298"/>
      <c r="BE679" s="299"/>
      <c r="BF679" s="299"/>
      <c r="BG679" s="301"/>
      <c r="BH679" s="301"/>
      <c r="BI679" s="91"/>
      <c r="BJ679" s="298"/>
      <c r="BK679" s="299"/>
      <c r="BL679" s="299"/>
      <c r="BM679" s="301"/>
      <c r="BN679" s="301"/>
      <c r="BO679" s="91"/>
      <c r="BP679" s="9"/>
      <c r="BS679" s="81"/>
      <c r="BT679" s="81"/>
      <c r="BV679" s="9"/>
      <c r="BY679" s="81"/>
      <c r="BZ679" s="81"/>
      <c r="CB679" s="9"/>
      <c r="CE679" s="81"/>
      <c r="CF679" s="81"/>
      <c r="CH679" s="9"/>
      <c r="CK679" s="81"/>
      <c r="CL679" s="81"/>
      <c r="CR679" s="9"/>
      <c r="CS679" s="9"/>
      <c r="CT679" s="9"/>
      <c r="CU679" s="9"/>
      <c r="CV679" s="9"/>
      <c r="CW679" s="129"/>
      <c r="CX679" s="9"/>
    </row>
    <row r="680" spans="1:102">
      <c r="A680" s="6" t="str">
        <f t="shared" si="101"/>
        <v>01350135</v>
      </c>
      <c r="B680" s="6" t="s">
        <v>1785</v>
      </c>
      <c r="C680" s="6" t="s">
        <v>1785</v>
      </c>
      <c r="D680" s="6">
        <v>671</v>
      </c>
      <c r="E680" s="6">
        <v>135</v>
      </c>
      <c r="F680" s="6" t="s">
        <v>1253</v>
      </c>
      <c r="G680" s="6">
        <v>135</v>
      </c>
      <c r="H680" s="6" t="s">
        <v>816</v>
      </c>
      <c r="I680" s="33">
        <v>2529520.8899999997</v>
      </c>
      <c r="J680" s="88">
        <v>0.56611804300197688</v>
      </c>
      <c r="K680" s="89">
        <f>X680</f>
        <v>2372741.1</v>
      </c>
      <c r="L680" s="88">
        <f>IF(K684&gt;0, K680/K684, 0)</f>
        <v>0.54070241587235113</v>
      </c>
      <c r="M680" s="58"/>
      <c r="N680" s="9">
        <f>ROUND(M684*L680,0)</f>
        <v>1515869</v>
      </c>
      <c r="O680" s="9">
        <v>1516165</v>
      </c>
      <c r="P680" s="9">
        <f>N680-O680</f>
        <v>-296</v>
      </c>
      <c r="Q680" s="40">
        <f t="shared" si="109"/>
        <v>-1.9522941104695071E-2</v>
      </c>
      <c r="R680" s="9">
        <v>175</v>
      </c>
      <c r="S680" s="9">
        <f t="shared" si="107"/>
        <v>157</v>
      </c>
      <c r="T680" s="90">
        <f t="shared" si="102"/>
        <v>135</v>
      </c>
      <c r="U680" s="90">
        <f t="shared" si="103"/>
        <v>135</v>
      </c>
      <c r="V680" s="373">
        <f t="shared" si="104"/>
        <v>671</v>
      </c>
      <c r="W680" s="90">
        <f t="shared" si="105"/>
        <v>157</v>
      </c>
      <c r="X680" s="90">
        <f t="shared" si="106"/>
        <v>2372741.1</v>
      </c>
      <c r="Y680" s="141">
        <f t="shared" si="108"/>
        <v>671</v>
      </c>
      <c r="Z680" s="298">
        <v>135</v>
      </c>
      <c r="AA680" s="299">
        <v>135</v>
      </c>
      <c r="AB680" s="299">
        <v>671</v>
      </c>
      <c r="AC680" s="301">
        <v>157</v>
      </c>
      <c r="AD680" s="301">
        <v>2372741.1</v>
      </c>
      <c r="AE680" s="126"/>
      <c r="AF680" s="298"/>
      <c r="AG680" s="299"/>
      <c r="AH680" s="299"/>
      <c r="AI680" s="301"/>
      <c r="AJ680" s="301"/>
      <c r="AK680" s="426"/>
      <c r="AL680" s="298"/>
      <c r="AM680" s="299"/>
      <c r="AN680" s="299"/>
      <c r="AO680" s="301"/>
      <c r="AP680" s="301"/>
      <c r="AQ680" s="426"/>
      <c r="AR680" s="298"/>
      <c r="AS680" s="299"/>
      <c r="AT680" s="299"/>
      <c r="AU680" s="301"/>
      <c r="AV680" s="301"/>
      <c r="AW680" s="88"/>
      <c r="AX680" s="298"/>
      <c r="AY680" s="299"/>
      <c r="AZ680" s="299"/>
      <c r="BA680" s="301"/>
      <c r="BB680" s="301"/>
      <c r="BC680" s="426"/>
      <c r="BD680" s="298"/>
      <c r="BE680" s="299"/>
      <c r="BF680" s="299"/>
      <c r="BG680" s="301"/>
      <c r="BH680" s="301"/>
      <c r="BI680" s="88"/>
      <c r="BJ680" s="298"/>
      <c r="BK680" s="299"/>
      <c r="BL680" s="299"/>
      <c r="BM680" s="301"/>
      <c r="BN680" s="301"/>
      <c r="BO680" s="88"/>
      <c r="BP680" s="9"/>
      <c r="BS680" s="81"/>
      <c r="BT680" s="81"/>
      <c r="BV680" s="9"/>
      <c r="BY680" s="81"/>
      <c r="BZ680" s="81"/>
      <c r="CB680" s="9"/>
      <c r="CE680" s="81"/>
      <c r="CF680" s="81"/>
      <c r="CH680" s="9"/>
      <c r="CK680" s="81"/>
      <c r="CL680" s="81"/>
      <c r="CR680" s="9"/>
      <c r="CS680" s="9"/>
      <c r="CT680" s="9"/>
      <c r="CU680" s="9"/>
      <c r="CV680" s="9"/>
      <c r="CW680" s="129"/>
      <c r="CX680" s="9"/>
    </row>
    <row r="681" spans="1:102">
      <c r="A681" s="6" t="str">
        <f t="shared" si="101"/>
        <v>01350770</v>
      </c>
      <c r="B681" s="6" t="s">
        <v>1785</v>
      </c>
      <c r="C681" s="6" t="s">
        <v>2056</v>
      </c>
      <c r="D681" s="6">
        <v>672</v>
      </c>
      <c r="E681" s="6">
        <v>135</v>
      </c>
      <c r="F681" s="6" t="s">
        <v>1253</v>
      </c>
      <c r="G681" s="6">
        <v>770</v>
      </c>
      <c r="H681" s="6" t="s">
        <v>1086</v>
      </c>
      <c r="I681" s="33">
        <v>1938665.4207323126</v>
      </c>
      <c r="J681" s="88">
        <v>0.43388195699802307</v>
      </c>
      <c r="K681" s="89">
        <f t="shared" si="110"/>
        <v>2015515.7865017913</v>
      </c>
      <c r="L681" s="88">
        <f>IF(K684&gt;0, K681/K684, 0)</f>
        <v>0.45929758412764898</v>
      </c>
      <c r="M681" s="58"/>
      <c r="N681" s="9">
        <f>ROUND(M684*L681,0)</f>
        <v>1287649</v>
      </c>
      <c r="O681" s="9">
        <v>1162014</v>
      </c>
      <c r="P681" s="9">
        <f>N681-O681</f>
        <v>125635</v>
      </c>
      <c r="Q681" s="40">
        <f t="shared" si="109"/>
        <v>10.811831871216699</v>
      </c>
      <c r="R681" s="9">
        <v>129.00000000384</v>
      </c>
      <c r="S681" s="9">
        <f t="shared" si="107"/>
        <v>128.16819973116</v>
      </c>
      <c r="T681" s="90">
        <f t="shared" si="102"/>
        <v>135</v>
      </c>
      <c r="U681" s="90">
        <f t="shared" si="103"/>
        <v>770</v>
      </c>
      <c r="V681" s="373">
        <f t="shared" si="104"/>
        <v>672</v>
      </c>
      <c r="W681" s="90">
        <f t="shared" si="105"/>
        <v>128.16819973116</v>
      </c>
      <c r="X681" s="90">
        <f t="shared" si="106"/>
        <v>2015515.7865017913</v>
      </c>
      <c r="Y681" s="141">
        <f t="shared" si="108"/>
        <v>672</v>
      </c>
      <c r="Z681" s="298">
        <v>135</v>
      </c>
      <c r="AA681" s="299">
        <v>770</v>
      </c>
      <c r="AB681" s="299">
        <v>672</v>
      </c>
      <c r="AC681" s="301">
        <v>128.16819973116</v>
      </c>
      <c r="AD681" s="301">
        <v>2015515.7865017913</v>
      </c>
      <c r="AE681" s="126"/>
      <c r="AF681" s="298"/>
      <c r="AG681" s="299"/>
      <c r="AH681" s="299"/>
      <c r="AI681" s="301"/>
      <c r="AJ681" s="301"/>
      <c r="AK681" s="426"/>
      <c r="AL681" s="298"/>
      <c r="AM681" s="299"/>
      <c r="AN681" s="299"/>
      <c r="AO681" s="301"/>
      <c r="AP681" s="301"/>
      <c r="AQ681" s="426"/>
      <c r="AR681" s="298"/>
      <c r="AS681" s="299"/>
      <c r="AT681" s="299"/>
      <c r="AU681" s="301"/>
      <c r="AV681" s="301"/>
      <c r="AW681" s="88"/>
      <c r="AX681" s="298"/>
      <c r="AY681" s="299"/>
      <c r="AZ681" s="299"/>
      <c r="BA681" s="301"/>
      <c r="BB681" s="301"/>
      <c r="BC681" s="426"/>
      <c r="BD681" s="298"/>
      <c r="BE681" s="299"/>
      <c r="BF681" s="299"/>
      <c r="BG681" s="301"/>
      <c r="BH681" s="301"/>
      <c r="BI681" s="88"/>
      <c r="BJ681" s="298"/>
      <c r="BK681" s="299"/>
      <c r="BL681" s="299"/>
      <c r="BM681" s="301"/>
      <c r="BN681" s="301"/>
      <c r="BO681" s="88"/>
      <c r="BP681" s="9"/>
      <c r="BS681" s="81"/>
      <c r="BT681" s="81"/>
      <c r="BV681" s="9"/>
      <c r="BY681" s="81"/>
      <c r="BZ681" s="81"/>
      <c r="CB681" s="9"/>
      <c r="CE681" s="81"/>
      <c r="CF681" s="81"/>
      <c r="CH681" s="9"/>
      <c r="CK681" s="81"/>
      <c r="CL681" s="81"/>
      <c r="CR681" s="9"/>
      <c r="CS681" s="9"/>
      <c r="CT681" s="9"/>
      <c r="CU681" s="9"/>
      <c r="CV681" s="9"/>
      <c r="CW681" s="129"/>
      <c r="CX681" s="9"/>
    </row>
    <row r="682" spans="1:102">
      <c r="A682" s="6" t="str">
        <f t="shared" si="101"/>
        <v>01350998</v>
      </c>
      <c r="B682" s="6" t="s">
        <v>1785</v>
      </c>
      <c r="C682" s="6" t="s">
        <v>2091</v>
      </c>
      <c r="D682" s="6">
        <v>673</v>
      </c>
      <c r="E682" s="6">
        <v>135</v>
      </c>
      <c r="F682" s="6" t="s">
        <v>1547</v>
      </c>
      <c r="G682" s="6">
        <v>998</v>
      </c>
      <c r="H682" s="6" t="s">
        <v>1547</v>
      </c>
      <c r="I682" s="33">
        <v>0</v>
      </c>
      <c r="J682" s="88">
        <v>0</v>
      </c>
      <c r="K682" s="89">
        <f t="shared" si="110"/>
        <v>0</v>
      </c>
      <c r="L682" s="88">
        <f>IF(K684&gt;0, K682/K684, 0)</f>
        <v>0</v>
      </c>
      <c r="M682" s="58"/>
      <c r="N682" s="9">
        <f>ROUND(M684*L682,0)</f>
        <v>0</v>
      </c>
      <c r="O682" s="9">
        <v>0</v>
      </c>
      <c r="P682" s="9">
        <f>N682-O682</f>
        <v>0</v>
      </c>
      <c r="Q682" s="40">
        <f t="shared" si="109"/>
        <v>0</v>
      </c>
      <c r="R682" s="9">
        <v>0</v>
      </c>
      <c r="S682" s="9">
        <f t="shared" si="107"/>
        <v>0</v>
      </c>
      <c r="T682" s="90">
        <f t="shared" si="102"/>
        <v>135</v>
      </c>
      <c r="U682" s="90">
        <f t="shared" si="103"/>
        <v>998</v>
      </c>
      <c r="V682" s="373">
        <f t="shared" si="104"/>
        <v>673</v>
      </c>
      <c r="W682" s="90">
        <f t="shared" si="105"/>
        <v>0</v>
      </c>
      <c r="X682" s="90">
        <f t="shared" si="106"/>
        <v>0</v>
      </c>
      <c r="Y682" s="141">
        <f t="shared" si="108"/>
        <v>673</v>
      </c>
      <c r="Z682" s="298">
        <v>135</v>
      </c>
      <c r="AA682" s="299">
        <v>998</v>
      </c>
      <c r="AB682" s="299">
        <v>673</v>
      </c>
      <c r="AC682" s="301">
        <v>0</v>
      </c>
      <c r="AD682" s="301">
        <v>0</v>
      </c>
      <c r="AE682" s="126"/>
      <c r="AF682" s="298"/>
      <c r="AG682" s="299"/>
      <c r="AH682" s="299"/>
      <c r="AI682" s="301"/>
      <c r="AJ682" s="301"/>
      <c r="AK682" s="426"/>
      <c r="AL682" s="298"/>
      <c r="AM682" s="299"/>
      <c r="AN682" s="299"/>
      <c r="AO682" s="301"/>
      <c r="AP682" s="301"/>
      <c r="AQ682" s="426"/>
      <c r="AR682" s="298"/>
      <c r="AS682" s="299"/>
      <c r="AT682" s="299"/>
      <c r="AU682" s="301"/>
      <c r="AV682" s="301"/>
      <c r="AW682" s="88"/>
      <c r="AX682" s="298"/>
      <c r="AY682" s="299"/>
      <c r="AZ682" s="299"/>
      <c r="BA682" s="301"/>
      <c r="BB682" s="301"/>
      <c r="BC682" s="426"/>
      <c r="BD682" s="298"/>
      <c r="BE682" s="299"/>
      <c r="BF682" s="299"/>
      <c r="BG682" s="301"/>
      <c r="BH682" s="301"/>
      <c r="BI682" s="88"/>
      <c r="BJ682" s="298"/>
      <c r="BK682" s="299"/>
      <c r="BL682" s="299"/>
      <c r="BM682" s="301"/>
      <c r="BN682" s="301"/>
      <c r="BO682" s="88"/>
      <c r="BP682" s="9"/>
      <c r="BS682" s="81"/>
      <c r="BT682" s="81"/>
      <c r="BV682" s="9"/>
      <c r="BY682" s="81"/>
      <c r="BZ682" s="81"/>
      <c r="CB682" s="9"/>
      <c r="CE682" s="81"/>
      <c r="CF682" s="81"/>
      <c r="CH682" s="9"/>
      <c r="CK682" s="81"/>
      <c r="CL682" s="81"/>
      <c r="CR682" s="9"/>
      <c r="CS682" s="9"/>
      <c r="CT682" s="9"/>
      <c r="CU682" s="9"/>
      <c r="CV682" s="9"/>
      <c r="CW682" s="129"/>
      <c r="CX682" s="9"/>
    </row>
    <row r="683" spans="1:102">
      <c r="A683" s="6" t="str">
        <f t="shared" si="101"/>
        <v>01350998</v>
      </c>
      <c r="B683" s="6" t="s">
        <v>1785</v>
      </c>
      <c r="C683" s="6" t="s">
        <v>2091</v>
      </c>
      <c r="D683" s="6">
        <v>674</v>
      </c>
      <c r="E683" s="6">
        <v>135</v>
      </c>
      <c r="F683" s="6" t="s">
        <v>1547</v>
      </c>
      <c r="G683" s="6">
        <v>998</v>
      </c>
      <c r="H683" s="6" t="s">
        <v>1547</v>
      </c>
      <c r="I683" s="33">
        <v>0</v>
      </c>
      <c r="J683" s="88">
        <v>0</v>
      </c>
      <c r="K683" s="89">
        <f t="shared" si="110"/>
        <v>0</v>
      </c>
      <c r="L683" s="88">
        <f>IF(K684&gt;0, K683/K684, 0)</f>
        <v>0</v>
      </c>
      <c r="M683" s="58"/>
      <c r="N683" s="9">
        <f>ROUND(M684*L683,0)</f>
        <v>0</v>
      </c>
      <c r="O683" s="9">
        <v>0</v>
      </c>
      <c r="P683" s="9">
        <f>N683-O683</f>
        <v>0</v>
      </c>
      <c r="Q683" s="40">
        <f t="shared" si="109"/>
        <v>0</v>
      </c>
      <c r="R683" s="9">
        <v>0</v>
      </c>
      <c r="S683" s="9">
        <f t="shared" si="107"/>
        <v>0</v>
      </c>
      <c r="T683" s="90">
        <f t="shared" si="102"/>
        <v>135</v>
      </c>
      <c r="U683" s="90">
        <f t="shared" si="103"/>
        <v>998</v>
      </c>
      <c r="V683" s="373">
        <f t="shared" si="104"/>
        <v>674</v>
      </c>
      <c r="W683" s="90">
        <f t="shared" si="105"/>
        <v>0</v>
      </c>
      <c r="X683" s="90">
        <f t="shared" si="106"/>
        <v>0</v>
      </c>
      <c r="Y683" s="141">
        <f t="shared" si="108"/>
        <v>674</v>
      </c>
      <c r="Z683" s="298">
        <v>135</v>
      </c>
      <c r="AA683" s="299">
        <v>998</v>
      </c>
      <c r="AB683" s="299">
        <v>674</v>
      </c>
      <c r="AC683" s="301">
        <v>0</v>
      </c>
      <c r="AD683" s="301">
        <v>0</v>
      </c>
      <c r="AE683" s="126"/>
      <c r="AF683" s="298"/>
      <c r="AG683" s="299"/>
      <c r="AH683" s="299"/>
      <c r="AI683" s="301"/>
      <c r="AJ683" s="301"/>
      <c r="AK683" s="426"/>
      <c r="AL683" s="298"/>
      <c r="AM683" s="299"/>
      <c r="AN683" s="299"/>
      <c r="AO683" s="301"/>
      <c r="AP683" s="301"/>
      <c r="AQ683" s="426"/>
      <c r="AR683" s="298"/>
      <c r="AS683" s="299"/>
      <c r="AT683" s="299"/>
      <c r="AU683" s="301"/>
      <c r="AV683" s="301"/>
      <c r="AW683" s="88"/>
      <c r="AX683" s="298"/>
      <c r="AY683" s="299"/>
      <c r="AZ683" s="299"/>
      <c r="BA683" s="301"/>
      <c r="BB683" s="301"/>
      <c r="BC683" s="426"/>
      <c r="BD683" s="298"/>
      <c r="BE683" s="299"/>
      <c r="BF683" s="299"/>
      <c r="BG683" s="301"/>
      <c r="BH683" s="301"/>
      <c r="BI683" s="88"/>
      <c r="BJ683" s="298"/>
      <c r="BK683" s="299"/>
      <c r="BL683" s="299"/>
      <c r="BM683" s="301"/>
      <c r="BN683" s="301"/>
      <c r="BO683" s="88"/>
      <c r="BP683" s="9"/>
      <c r="BS683" s="81"/>
      <c r="BT683" s="81"/>
      <c r="BV683" s="9"/>
      <c r="BY683" s="81"/>
      <c r="BZ683" s="81"/>
      <c r="CB683" s="9"/>
      <c r="CE683" s="81"/>
      <c r="CF683" s="81"/>
      <c r="CH683" s="9"/>
      <c r="CK683" s="81"/>
      <c r="CL683" s="81"/>
      <c r="CR683" s="9"/>
      <c r="CS683" s="9"/>
      <c r="CT683" s="9"/>
      <c r="CU683" s="9"/>
      <c r="CV683" s="9"/>
      <c r="CW683" s="129"/>
      <c r="CX683" s="9"/>
    </row>
    <row r="684" spans="1:102">
      <c r="A684" s="6" t="str">
        <f t="shared" si="101"/>
        <v>01350999</v>
      </c>
      <c r="B684" s="6" t="s">
        <v>1785</v>
      </c>
      <c r="C684" s="6" t="s">
        <v>2092</v>
      </c>
      <c r="D684" s="6">
        <v>675</v>
      </c>
      <c r="E684" s="10">
        <v>135</v>
      </c>
      <c r="F684" s="10" t="s">
        <v>1253</v>
      </c>
      <c r="G684" s="10">
        <v>999</v>
      </c>
      <c r="H684" s="10" t="s">
        <v>593</v>
      </c>
      <c r="I684" s="92">
        <v>4468186.3107323125</v>
      </c>
      <c r="J684" s="472">
        <v>1</v>
      </c>
      <c r="K684" s="53">
        <f>SUM(K680:K683)</f>
        <v>4388256.886501791</v>
      </c>
      <c r="L684" s="91">
        <f>SUM(L680:L683)</f>
        <v>1</v>
      </c>
      <c r="M684" s="79">
        <f>VLOOKUP(E684,town351,24)</f>
        <v>2803518</v>
      </c>
      <c r="N684" s="79">
        <f>SUM(N680:N683)</f>
        <v>2803518</v>
      </c>
      <c r="O684" s="79">
        <v>2678179</v>
      </c>
      <c r="P684" s="79">
        <f>SUM(P680:P683)</f>
        <v>125339</v>
      </c>
      <c r="Q684" s="39">
        <f t="shared" si="109"/>
        <v>4.6800083190854682</v>
      </c>
      <c r="R684" s="9">
        <v>304.00000000384</v>
      </c>
      <c r="S684" s="9">
        <f t="shared" si="107"/>
        <v>285.16819973116003</v>
      </c>
      <c r="T684" s="90">
        <f t="shared" si="102"/>
        <v>135</v>
      </c>
      <c r="U684" s="90">
        <f t="shared" si="103"/>
        <v>999</v>
      </c>
      <c r="V684" s="373">
        <f t="shared" si="104"/>
        <v>675</v>
      </c>
      <c r="W684" s="90">
        <f t="shared" si="105"/>
        <v>285.16819973116003</v>
      </c>
      <c r="X684" s="90">
        <f t="shared" si="106"/>
        <v>4388256.886501791</v>
      </c>
      <c r="Y684" s="141">
        <f t="shared" si="108"/>
        <v>675</v>
      </c>
      <c r="Z684" s="298">
        <v>135</v>
      </c>
      <c r="AA684" s="299">
        <v>999</v>
      </c>
      <c r="AB684" s="299">
        <v>675</v>
      </c>
      <c r="AC684" s="301">
        <v>285.16819973116003</v>
      </c>
      <c r="AD684" s="301">
        <v>4388256.886501791</v>
      </c>
      <c r="AE684" s="126"/>
      <c r="AF684" s="298"/>
      <c r="AG684" s="299"/>
      <c r="AH684" s="299"/>
      <c r="AI684" s="301"/>
      <c r="AJ684" s="301"/>
      <c r="AK684" s="426"/>
      <c r="AL684" s="298"/>
      <c r="AM684" s="299"/>
      <c r="AN684" s="299"/>
      <c r="AO684" s="301"/>
      <c r="AP684" s="301"/>
      <c r="AQ684" s="426"/>
      <c r="AR684" s="298"/>
      <c r="AS684" s="299"/>
      <c r="AT684" s="299"/>
      <c r="AU684" s="301"/>
      <c r="AV684" s="301"/>
      <c r="AW684" s="91"/>
      <c r="AX684" s="298"/>
      <c r="AY684" s="299"/>
      <c r="AZ684" s="299"/>
      <c r="BA684" s="301"/>
      <c r="BB684" s="301"/>
      <c r="BC684" s="426"/>
      <c r="BD684" s="298"/>
      <c r="BE684" s="299"/>
      <c r="BF684" s="299"/>
      <c r="BG684" s="301"/>
      <c r="BH684" s="301"/>
      <c r="BI684" s="91"/>
      <c r="BJ684" s="298"/>
      <c r="BK684" s="299"/>
      <c r="BL684" s="299"/>
      <c r="BM684" s="301"/>
      <c r="BN684" s="301"/>
      <c r="BO684" s="91"/>
      <c r="BP684" s="9"/>
      <c r="BS684" s="81"/>
      <c r="BT684" s="81"/>
      <c r="BV684" s="9"/>
      <c r="BY684" s="81"/>
      <c r="BZ684" s="81"/>
      <c r="CB684" s="9"/>
      <c r="CE684" s="81"/>
      <c r="CF684" s="81"/>
      <c r="CH684" s="9"/>
      <c r="CK684" s="81"/>
      <c r="CL684" s="81"/>
      <c r="CR684" s="9"/>
      <c r="CS684" s="9"/>
      <c r="CT684" s="9"/>
      <c r="CU684" s="9"/>
      <c r="CV684" s="9"/>
      <c r="CW684" s="129"/>
      <c r="CX684" s="9"/>
    </row>
    <row r="685" spans="1:102">
      <c r="A685" s="6" t="str">
        <f t="shared" si="101"/>
        <v>01360136</v>
      </c>
      <c r="B685" s="6" t="s">
        <v>1786</v>
      </c>
      <c r="C685" s="6" t="s">
        <v>1786</v>
      </c>
      <c r="D685" s="6">
        <v>676</v>
      </c>
      <c r="E685" s="6">
        <v>136</v>
      </c>
      <c r="F685" s="6" t="s">
        <v>1254</v>
      </c>
      <c r="G685" s="6">
        <v>136</v>
      </c>
      <c r="H685" s="6" t="s">
        <v>817</v>
      </c>
      <c r="I685" s="33">
        <v>32828254.537319999</v>
      </c>
      <c r="J685" s="88">
        <v>0.95277306817180929</v>
      </c>
      <c r="K685" s="89">
        <f>X685</f>
        <v>33400106.240699988</v>
      </c>
      <c r="L685" s="88">
        <f>IF(K689&gt;0, K685/K689, 0)</f>
        <v>0.9446679352258861</v>
      </c>
      <c r="M685" s="58"/>
      <c r="N685" s="9">
        <f>ROUND(M689*L685,0)</f>
        <v>25423217</v>
      </c>
      <c r="O685" s="9">
        <v>23937028</v>
      </c>
      <c r="P685" s="9">
        <f>N685-O685</f>
        <v>1486189</v>
      </c>
      <c r="Q685" s="40">
        <f t="shared" si="109"/>
        <v>6.208744878436872</v>
      </c>
      <c r="R685" s="9">
        <v>2686</v>
      </c>
      <c r="S685" s="9">
        <f t="shared" si="107"/>
        <v>2652</v>
      </c>
      <c r="T685" s="90">
        <f t="shared" si="102"/>
        <v>136</v>
      </c>
      <c r="U685" s="90">
        <f t="shared" si="103"/>
        <v>136</v>
      </c>
      <c r="V685" s="373">
        <f t="shared" si="104"/>
        <v>676</v>
      </c>
      <c r="W685" s="90">
        <f t="shared" si="105"/>
        <v>2652</v>
      </c>
      <c r="X685" s="90">
        <f t="shared" si="106"/>
        <v>33400106.240699988</v>
      </c>
      <c r="Y685" s="141">
        <f t="shared" si="108"/>
        <v>676</v>
      </c>
      <c r="Z685" s="298">
        <v>136</v>
      </c>
      <c r="AA685" s="299">
        <v>136</v>
      </c>
      <c r="AB685" s="299">
        <v>676</v>
      </c>
      <c r="AC685" s="301">
        <v>2652</v>
      </c>
      <c r="AD685" s="301">
        <v>33400106.240699988</v>
      </c>
      <c r="AE685" s="126"/>
      <c r="AF685" s="298"/>
      <c r="AG685" s="299"/>
      <c r="AH685" s="299"/>
      <c r="AI685" s="301"/>
      <c r="AJ685" s="301"/>
      <c r="AK685" s="426"/>
      <c r="AL685" s="298"/>
      <c r="AM685" s="299"/>
      <c r="AN685" s="299"/>
      <c r="AO685" s="301"/>
      <c r="AP685" s="301"/>
      <c r="AQ685" s="426"/>
      <c r="AR685" s="298"/>
      <c r="AS685" s="299"/>
      <c r="AT685" s="299"/>
      <c r="AU685" s="301"/>
      <c r="AV685" s="301"/>
      <c r="AW685" s="88"/>
      <c r="AX685" s="298"/>
      <c r="AY685" s="299"/>
      <c r="AZ685" s="299"/>
      <c r="BA685" s="301"/>
      <c r="BB685" s="301"/>
      <c r="BC685" s="426"/>
      <c r="BD685" s="298"/>
      <c r="BE685" s="299"/>
      <c r="BF685" s="299"/>
      <c r="BG685" s="301"/>
      <c r="BH685" s="301"/>
      <c r="BI685" s="88"/>
      <c r="BJ685" s="298"/>
      <c r="BK685" s="299"/>
      <c r="BL685" s="299"/>
      <c r="BM685" s="301"/>
      <c r="BN685" s="301"/>
      <c r="BO685" s="88"/>
      <c r="BP685" s="9"/>
      <c r="BS685" s="81"/>
      <c r="BT685" s="81"/>
      <c r="BV685" s="9"/>
      <c r="BY685" s="81"/>
      <c r="BZ685" s="81"/>
      <c r="CB685" s="9"/>
      <c r="CE685" s="81"/>
      <c r="CF685" s="81"/>
      <c r="CH685" s="9"/>
      <c r="CK685" s="81"/>
      <c r="CL685" s="81"/>
      <c r="CR685" s="9"/>
      <c r="CS685" s="9"/>
      <c r="CT685" s="9"/>
      <c r="CU685" s="9"/>
      <c r="CV685" s="9"/>
      <c r="CW685" s="129"/>
      <c r="CX685" s="9"/>
    </row>
    <row r="686" spans="1:102">
      <c r="A686" s="6" t="str">
        <f t="shared" si="101"/>
        <v>01360829</v>
      </c>
      <c r="B686" s="6" t="s">
        <v>1786</v>
      </c>
      <c r="C686" s="6" t="s">
        <v>2073</v>
      </c>
      <c r="D686" s="6">
        <v>677</v>
      </c>
      <c r="E686" s="6">
        <v>136</v>
      </c>
      <c r="F686" s="6" t="s">
        <v>1254</v>
      </c>
      <c r="G686" s="6">
        <v>829</v>
      </c>
      <c r="H686" s="6" t="s">
        <v>1103</v>
      </c>
      <c r="I686" s="33">
        <v>1627226.6616933055</v>
      </c>
      <c r="J686" s="88">
        <v>4.7226931828190634E-2</v>
      </c>
      <c r="K686" s="89">
        <f t="shared" si="110"/>
        <v>1956345.4766047308</v>
      </c>
      <c r="L686" s="88">
        <f>IF(K689&gt;0, K686/K689, 0)</f>
        <v>5.5332064774113766E-2</v>
      </c>
      <c r="M686" s="58"/>
      <c r="N686" s="9">
        <f>ROUND(M689*L686,0)</f>
        <v>1489115</v>
      </c>
      <c r="O686" s="9">
        <v>1186508</v>
      </c>
      <c r="P686" s="9">
        <f>N686-O686</f>
        <v>302607</v>
      </c>
      <c r="Q686" s="40">
        <f t="shared" si="109"/>
        <v>25.503999973030101</v>
      </c>
      <c r="R686" s="9">
        <v>71.254176608590001</v>
      </c>
      <c r="S686" s="9">
        <f t="shared" si="107"/>
        <v>83.287528868280006</v>
      </c>
      <c r="T686" s="90">
        <f t="shared" si="102"/>
        <v>136</v>
      </c>
      <c r="U686" s="90">
        <f t="shared" si="103"/>
        <v>829</v>
      </c>
      <c r="V686" s="373">
        <f t="shared" si="104"/>
        <v>677</v>
      </c>
      <c r="W686" s="90">
        <f t="shared" si="105"/>
        <v>83.287528868280006</v>
      </c>
      <c r="X686" s="90">
        <f t="shared" si="106"/>
        <v>1956345.4766047308</v>
      </c>
      <c r="Y686" s="141">
        <f t="shared" si="108"/>
        <v>677</v>
      </c>
      <c r="Z686" s="298">
        <v>136</v>
      </c>
      <c r="AA686" s="299">
        <v>829</v>
      </c>
      <c r="AB686" s="299">
        <v>677</v>
      </c>
      <c r="AC686" s="301">
        <v>83.287528868280006</v>
      </c>
      <c r="AD686" s="301">
        <v>1956345.4766047308</v>
      </c>
      <c r="AE686" s="126"/>
      <c r="AF686" s="298"/>
      <c r="AG686" s="299"/>
      <c r="AH686" s="299"/>
      <c r="AI686" s="301"/>
      <c r="AJ686" s="301"/>
      <c r="AK686" s="426"/>
      <c r="AL686" s="298"/>
      <c r="AM686" s="299"/>
      <c r="AN686" s="299"/>
      <c r="AO686" s="301"/>
      <c r="AP686" s="301"/>
      <c r="AQ686" s="426"/>
      <c r="AR686" s="298"/>
      <c r="AS686" s="299"/>
      <c r="AT686" s="299"/>
      <c r="AU686" s="301"/>
      <c r="AV686" s="301"/>
      <c r="AW686" s="88"/>
      <c r="AX686" s="298"/>
      <c r="AY686" s="299"/>
      <c r="AZ686" s="299"/>
      <c r="BA686" s="301"/>
      <c r="BB686" s="301"/>
      <c r="BC686" s="426"/>
      <c r="BD686" s="298"/>
      <c r="BE686" s="299"/>
      <c r="BF686" s="299"/>
      <c r="BG686" s="301"/>
      <c r="BH686" s="301"/>
      <c r="BI686" s="88"/>
      <c r="BJ686" s="298"/>
      <c r="BK686" s="299"/>
      <c r="BL686" s="299"/>
      <c r="BM686" s="301"/>
      <c r="BN686" s="301"/>
      <c r="BO686" s="88"/>
      <c r="BP686" s="9"/>
      <c r="BS686" s="81"/>
      <c r="BT686" s="81"/>
      <c r="BV686" s="9"/>
      <c r="BY686" s="81"/>
      <c r="BZ686" s="81"/>
      <c r="CB686" s="9"/>
      <c r="CE686" s="81"/>
      <c r="CF686" s="81"/>
      <c r="CH686" s="9"/>
      <c r="CK686" s="81"/>
      <c r="CL686" s="81"/>
      <c r="CR686" s="9"/>
      <c r="CS686" s="9"/>
      <c r="CT686" s="9"/>
      <c r="CU686" s="9"/>
      <c r="CV686" s="9"/>
      <c r="CW686" s="129"/>
      <c r="CX686" s="9"/>
    </row>
    <row r="687" spans="1:102">
      <c r="A687" s="6" t="str">
        <f t="shared" si="101"/>
        <v>01360998</v>
      </c>
      <c r="B687" s="6" t="s">
        <v>1786</v>
      </c>
      <c r="C687" s="6" t="s">
        <v>2091</v>
      </c>
      <c r="D687" s="6">
        <v>678</v>
      </c>
      <c r="E687" s="6">
        <v>136</v>
      </c>
      <c r="F687" s="6" t="s">
        <v>1547</v>
      </c>
      <c r="G687" s="6">
        <v>998</v>
      </c>
      <c r="H687" s="6" t="s">
        <v>1547</v>
      </c>
      <c r="I687" s="33">
        <v>0</v>
      </c>
      <c r="J687" s="88">
        <v>0</v>
      </c>
      <c r="K687" s="89">
        <f t="shared" si="110"/>
        <v>0</v>
      </c>
      <c r="L687" s="88">
        <f>IF(K689&gt;0, K687/K689, 0)</f>
        <v>0</v>
      </c>
      <c r="M687" s="58"/>
      <c r="N687" s="9">
        <f>ROUND(M689*L687,0)</f>
        <v>0</v>
      </c>
      <c r="O687" s="9">
        <v>0</v>
      </c>
      <c r="P687" s="9">
        <f>N687-O687</f>
        <v>0</v>
      </c>
      <c r="Q687" s="40">
        <f t="shared" si="109"/>
        <v>0</v>
      </c>
      <c r="R687" s="9">
        <v>0</v>
      </c>
      <c r="S687" s="9">
        <f t="shared" si="107"/>
        <v>0</v>
      </c>
      <c r="T687" s="90">
        <f t="shared" si="102"/>
        <v>136</v>
      </c>
      <c r="U687" s="90">
        <f t="shared" si="103"/>
        <v>998</v>
      </c>
      <c r="V687" s="373">
        <f t="shared" si="104"/>
        <v>678</v>
      </c>
      <c r="W687" s="90">
        <f t="shared" si="105"/>
        <v>0</v>
      </c>
      <c r="X687" s="90">
        <f t="shared" si="106"/>
        <v>0</v>
      </c>
      <c r="Y687" s="141">
        <f t="shared" si="108"/>
        <v>678</v>
      </c>
      <c r="Z687" s="298">
        <v>136</v>
      </c>
      <c r="AA687" s="299">
        <v>998</v>
      </c>
      <c r="AB687" s="299">
        <v>678</v>
      </c>
      <c r="AC687" s="301">
        <v>0</v>
      </c>
      <c r="AD687" s="301">
        <v>0</v>
      </c>
      <c r="AE687" s="126"/>
      <c r="AF687" s="298"/>
      <c r="AG687" s="299"/>
      <c r="AH687" s="299"/>
      <c r="AI687" s="301"/>
      <c r="AJ687" s="301"/>
      <c r="AK687" s="426"/>
      <c r="AL687" s="298"/>
      <c r="AM687" s="299"/>
      <c r="AN687" s="299"/>
      <c r="AO687" s="301"/>
      <c r="AP687" s="301"/>
      <c r="AQ687" s="426"/>
      <c r="AR687" s="298"/>
      <c r="AS687" s="299"/>
      <c r="AT687" s="299"/>
      <c r="AU687" s="301"/>
      <c r="AV687" s="301"/>
      <c r="AW687" s="88"/>
      <c r="AX687" s="298"/>
      <c r="AY687" s="299"/>
      <c r="AZ687" s="299"/>
      <c r="BA687" s="301"/>
      <c r="BB687" s="301"/>
      <c r="BC687" s="426"/>
      <c r="BD687" s="298"/>
      <c r="BE687" s="299"/>
      <c r="BF687" s="299"/>
      <c r="BG687" s="301"/>
      <c r="BH687" s="301"/>
      <c r="BI687" s="88"/>
      <c r="BJ687" s="298"/>
      <c r="BK687" s="299"/>
      <c r="BL687" s="299"/>
      <c r="BM687" s="301"/>
      <c r="BN687" s="301"/>
      <c r="BO687" s="88"/>
      <c r="BP687" s="9"/>
      <c r="BS687" s="81"/>
      <c r="BT687" s="81"/>
      <c r="BV687" s="9"/>
      <c r="BY687" s="81"/>
      <c r="BZ687" s="81"/>
      <c r="CB687" s="9"/>
      <c r="CE687" s="81"/>
      <c r="CF687" s="81"/>
      <c r="CH687" s="9"/>
      <c r="CK687" s="81"/>
      <c r="CL687" s="81"/>
      <c r="CR687" s="9"/>
      <c r="CS687" s="9"/>
      <c r="CT687" s="9"/>
      <c r="CU687" s="9"/>
      <c r="CV687" s="9"/>
      <c r="CW687" s="129"/>
      <c r="CX687" s="9"/>
    </row>
    <row r="688" spans="1:102">
      <c r="A688" s="6" t="str">
        <f t="shared" si="101"/>
        <v>01360998</v>
      </c>
      <c r="B688" s="6" t="s">
        <v>1786</v>
      </c>
      <c r="C688" s="6" t="s">
        <v>2091</v>
      </c>
      <c r="D688" s="6">
        <v>679</v>
      </c>
      <c r="E688" s="6">
        <v>136</v>
      </c>
      <c r="F688" s="6" t="s">
        <v>1547</v>
      </c>
      <c r="G688" s="6">
        <v>998</v>
      </c>
      <c r="H688" s="6" t="s">
        <v>1547</v>
      </c>
      <c r="I688" s="33">
        <v>0</v>
      </c>
      <c r="J688" s="88">
        <v>0</v>
      </c>
      <c r="K688" s="89">
        <f t="shared" si="110"/>
        <v>0</v>
      </c>
      <c r="L688" s="88">
        <f>IF(K689&gt;0, K688/K689, 0)</f>
        <v>0</v>
      </c>
      <c r="M688" s="58"/>
      <c r="N688" s="9">
        <f>ROUND(M689*L688,0)</f>
        <v>0</v>
      </c>
      <c r="O688" s="9">
        <v>0</v>
      </c>
      <c r="P688" s="9">
        <f>N688-O688</f>
        <v>0</v>
      </c>
      <c r="Q688" s="40">
        <f t="shared" si="109"/>
        <v>0</v>
      </c>
      <c r="R688" s="9">
        <v>0</v>
      </c>
      <c r="S688" s="9">
        <f t="shared" si="107"/>
        <v>0</v>
      </c>
      <c r="T688" s="90">
        <f t="shared" si="102"/>
        <v>136</v>
      </c>
      <c r="U688" s="90">
        <f t="shared" si="103"/>
        <v>998</v>
      </c>
      <c r="V688" s="373">
        <f t="shared" si="104"/>
        <v>679</v>
      </c>
      <c r="W688" s="90">
        <f t="shared" si="105"/>
        <v>0</v>
      </c>
      <c r="X688" s="90">
        <f t="shared" si="106"/>
        <v>0</v>
      </c>
      <c r="Y688" s="141">
        <f t="shared" si="108"/>
        <v>679</v>
      </c>
      <c r="Z688" s="298">
        <v>136</v>
      </c>
      <c r="AA688" s="299">
        <v>998</v>
      </c>
      <c r="AB688" s="299">
        <v>679</v>
      </c>
      <c r="AC688" s="301">
        <v>0</v>
      </c>
      <c r="AD688" s="301">
        <v>0</v>
      </c>
      <c r="AE688" s="126"/>
      <c r="AF688" s="298"/>
      <c r="AG688" s="299"/>
      <c r="AH688" s="299"/>
      <c r="AI688" s="301"/>
      <c r="AJ688" s="301"/>
      <c r="AK688" s="426"/>
      <c r="AL688" s="298"/>
      <c r="AM688" s="299"/>
      <c r="AN688" s="299"/>
      <c r="AO688" s="301"/>
      <c r="AP688" s="301"/>
      <c r="AQ688" s="426"/>
      <c r="AR688" s="298"/>
      <c r="AS688" s="299"/>
      <c r="AT688" s="299"/>
      <c r="AU688" s="301"/>
      <c r="AV688" s="301"/>
      <c r="AW688" s="88"/>
      <c r="AX688" s="298"/>
      <c r="AY688" s="299"/>
      <c r="AZ688" s="299"/>
      <c r="BA688" s="301"/>
      <c r="BB688" s="301"/>
      <c r="BC688" s="426"/>
      <c r="BD688" s="298"/>
      <c r="BE688" s="299"/>
      <c r="BF688" s="299"/>
      <c r="BG688" s="301"/>
      <c r="BH688" s="301"/>
      <c r="BI688" s="88"/>
      <c r="BJ688" s="298"/>
      <c r="BK688" s="299"/>
      <c r="BL688" s="299"/>
      <c r="BM688" s="301"/>
      <c r="BN688" s="301"/>
      <c r="BO688" s="88"/>
      <c r="BP688" s="9"/>
      <c r="BS688" s="81"/>
      <c r="BT688" s="81"/>
      <c r="BV688" s="9"/>
      <c r="BY688" s="81"/>
      <c r="BZ688" s="81"/>
      <c r="CB688" s="9"/>
      <c r="CE688" s="81"/>
      <c r="CF688" s="81"/>
      <c r="CH688" s="9"/>
      <c r="CK688" s="81"/>
      <c r="CL688" s="81"/>
      <c r="CR688" s="9"/>
      <c r="CS688" s="9"/>
      <c r="CT688" s="9"/>
      <c r="CU688" s="9"/>
      <c r="CV688" s="9"/>
      <c r="CW688" s="129"/>
      <c r="CX688" s="9"/>
    </row>
    <row r="689" spans="1:102">
      <c r="A689" s="6" t="str">
        <f t="shared" si="101"/>
        <v>01360999</v>
      </c>
      <c r="B689" s="6" t="s">
        <v>1786</v>
      </c>
      <c r="C689" s="6" t="s">
        <v>2092</v>
      </c>
      <c r="D689" s="6">
        <v>680</v>
      </c>
      <c r="E689" s="10">
        <v>136</v>
      </c>
      <c r="F689" s="10" t="s">
        <v>1254</v>
      </c>
      <c r="G689" s="10">
        <v>999</v>
      </c>
      <c r="H689" s="10" t="s">
        <v>593</v>
      </c>
      <c r="I689" s="92">
        <v>34455481.199013308</v>
      </c>
      <c r="J689" s="472">
        <v>0.99999999999999989</v>
      </c>
      <c r="K689" s="53">
        <f>SUM(K685:K688)</f>
        <v>35356451.717304721</v>
      </c>
      <c r="L689" s="91">
        <f>SUM(L685:L688)</f>
        <v>0.99999999999999989</v>
      </c>
      <c r="M689" s="79">
        <f>VLOOKUP(E689,town351,24)</f>
        <v>26912332</v>
      </c>
      <c r="N689" s="79">
        <f>SUM(N685:N688)</f>
        <v>26912332</v>
      </c>
      <c r="O689" s="79">
        <v>25123536</v>
      </c>
      <c r="P689" s="79">
        <f>SUM(P685:P688)</f>
        <v>1788796</v>
      </c>
      <c r="Q689" s="39">
        <f t="shared" si="109"/>
        <v>7.1200009425424833</v>
      </c>
      <c r="R689" s="9">
        <v>2757.2541766085901</v>
      </c>
      <c r="S689" s="9">
        <f t="shared" si="107"/>
        <v>2735.2875288682799</v>
      </c>
      <c r="T689" s="90">
        <f t="shared" si="102"/>
        <v>136</v>
      </c>
      <c r="U689" s="90">
        <f t="shared" si="103"/>
        <v>999</v>
      </c>
      <c r="V689" s="373">
        <f t="shared" si="104"/>
        <v>680</v>
      </c>
      <c r="W689" s="90">
        <f t="shared" si="105"/>
        <v>2735.2875288682799</v>
      </c>
      <c r="X689" s="90">
        <f t="shared" si="106"/>
        <v>35356451.717304721</v>
      </c>
      <c r="Y689" s="141">
        <f t="shared" si="108"/>
        <v>680</v>
      </c>
      <c r="Z689" s="298">
        <v>136</v>
      </c>
      <c r="AA689" s="299">
        <v>999</v>
      </c>
      <c r="AB689" s="299">
        <v>680</v>
      </c>
      <c r="AC689" s="301">
        <v>2735.2875288682799</v>
      </c>
      <c r="AD689" s="301">
        <v>35356451.717304721</v>
      </c>
      <c r="AE689" s="126"/>
      <c r="AF689" s="298"/>
      <c r="AG689" s="299"/>
      <c r="AH689" s="299"/>
      <c r="AI689" s="301"/>
      <c r="AJ689" s="301"/>
      <c r="AK689" s="426"/>
      <c r="AL689" s="298"/>
      <c r="AM689" s="299"/>
      <c r="AN689" s="299"/>
      <c r="AO689" s="301"/>
      <c r="AP689" s="301"/>
      <c r="AQ689" s="426"/>
      <c r="AR689" s="298"/>
      <c r="AS689" s="299"/>
      <c r="AT689" s="299"/>
      <c r="AU689" s="301"/>
      <c r="AV689" s="301"/>
      <c r="AW689" s="91"/>
      <c r="AX689" s="298"/>
      <c r="AY689" s="299"/>
      <c r="AZ689" s="299"/>
      <c r="BA689" s="301"/>
      <c r="BB689" s="301"/>
      <c r="BC689" s="426"/>
      <c r="BD689" s="298"/>
      <c r="BE689" s="299"/>
      <c r="BF689" s="299"/>
      <c r="BG689" s="301"/>
      <c r="BH689" s="301"/>
      <c r="BI689" s="91"/>
      <c r="BJ689" s="298"/>
      <c r="BK689" s="299"/>
      <c r="BL689" s="299"/>
      <c r="BM689" s="301"/>
      <c r="BN689" s="301"/>
      <c r="BO689" s="91"/>
      <c r="BP689" s="9"/>
      <c r="BS689" s="81"/>
      <c r="BT689" s="81"/>
      <c r="BV689" s="9"/>
      <c r="BY689" s="81"/>
      <c r="BZ689" s="81"/>
      <c r="CB689" s="9"/>
      <c r="CE689" s="81"/>
      <c r="CF689" s="81"/>
      <c r="CH689" s="9"/>
      <c r="CK689" s="81"/>
      <c r="CL689" s="81"/>
      <c r="CR689" s="9"/>
      <c r="CS689" s="9"/>
      <c r="CT689" s="9"/>
      <c r="CU689" s="9"/>
      <c r="CV689" s="9"/>
      <c r="CW689" s="129"/>
      <c r="CX689" s="9"/>
    </row>
    <row r="690" spans="1:102">
      <c r="A690" s="6" t="str">
        <f t="shared" si="101"/>
        <v>01370137</v>
      </c>
      <c r="B690" s="6" t="s">
        <v>1787</v>
      </c>
      <c r="C690" s="6" t="s">
        <v>1787</v>
      </c>
      <c r="D690" s="6">
        <v>681</v>
      </c>
      <c r="E690" s="6">
        <v>137</v>
      </c>
      <c r="F690" s="6" t="s">
        <v>1255</v>
      </c>
      <c r="G690" s="6">
        <v>137</v>
      </c>
      <c r="H690" s="6" t="s">
        <v>818</v>
      </c>
      <c r="I690" s="33">
        <v>109412142.28999999</v>
      </c>
      <c r="J690" s="88">
        <v>1</v>
      </c>
      <c r="K690" s="89">
        <f>X690</f>
        <v>114374878.07000002</v>
      </c>
      <c r="L690" s="88">
        <f>IF(K694&gt;0, K690/K694, 0)</f>
        <v>1</v>
      </c>
      <c r="M690" s="58"/>
      <c r="N690" s="9">
        <f>ROUND(M694*L690,0)</f>
        <v>13183748</v>
      </c>
      <c r="O690" s="9">
        <v>12452771</v>
      </c>
      <c r="P690" s="9">
        <f>N690-O690</f>
        <v>730977</v>
      </c>
      <c r="Q690" s="40">
        <f t="shared" si="109"/>
        <v>5.8699947184445938</v>
      </c>
      <c r="R690" s="9">
        <v>5926</v>
      </c>
      <c r="S690" s="9">
        <f t="shared" si="107"/>
        <v>5850</v>
      </c>
      <c r="T690" s="90">
        <f t="shared" si="102"/>
        <v>137</v>
      </c>
      <c r="U690" s="90">
        <f t="shared" si="103"/>
        <v>137</v>
      </c>
      <c r="V690" s="373">
        <f t="shared" si="104"/>
        <v>681</v>
      </c>
      <c r="W690" s="90">
        <f t="shared" si="105"/>
        <v>5850</v>
      </c>
      <c r="X690" s="90">
        <f t="shared" si="106"/>
        <v>114374878.07000002</v>
      </c>
      <c r="Y690" s="141">
        <f t="shared" si="108"/>
        <v>681</v>
      </c>
      <c r="Z690" s="298">
        <v>137</v>
      </c>
      <c r="AA690" s="299">
        <v>137</v>
      </c>
      <c r="AB690" s="299">
        <v>681</v>
      </c>
      <c r="AC690" s="301">
        <v>5850</v>
      </c>
      <c r="AD690" s="301">
        <v>114374878.07000002</v>
      </c>
      <c r="AE690" s="126"/>
      <c r="AF690" s="298"/>
      <c r="AG690" s="299"/>
      <c r="AH690" s="299"/>
      <c r="AI690" s="301"/>
      <c r="AJ690" s="301"/>
      <c r="AK690" s="426"/>
      <c r="AL690" s="298"/>
      <c r="AM690" s="299"/>
      <c r="AN690" s="299"/>
      <c r="AO690" s="301"/>
      <c r="AP690" s="301"/>
      <c r="AQ690" s="426"/>
      <c r="AR690" s="298"/>
      <c r="AS690" s="299"/>
      <c r="AT690" s="299"/>
      <c r="AU690" s="301"/>
      <c r="AV690" s="301"/>
      <c r="AW690" s="88"/>
      <c r="AX690" s="298"/>
      <c r="AY690" s="299"/>
      <c r="AZ690" s="299"/>
      <c r="BA690" s="301"/>
      <c r="BB690" s="301"/>
      <c r="BC690" s="426"/>
      <c r="BD690" s="298"/>
      <c r="BE690" s="299"/>
      <c r="BF690" s="299"/>
      <c r="BG690" s="301"/>
      <c r="BH690" s="301"/>
      <c r="BI690" s="88"/>
      <c r="BJ690" s="298"/>
      <c r="BK690" s="299"/>
      <c r="BL690" s="299"/>
      <c r="BM690" s="301"/>
      <c r="BN690" s="301"/>
      <c r="BO690" s="88"/>
      <c r="BP690" s="9"/>
      <c r="BS690" s="81"/>
      <c r="BT690" s="81"/>
      <c r="BV690" s="9"/>
      <c r="BY690" s="81"/>
      <c r="BZ690" s="81"/>
      <c r="CB690" s="9"/>
      <c r="CE690" s="81"/>
      <c r="CF690" s="81"/>
      <c r="CH690" s="9"/>
      <c r="CK690" s="81"/>
      <c r="CL690" s="81"/>
      <c r="CR690" s="9"/>
      <c r="CS690" s="9"/>
      <c r="CT690" s="9"/>
      <c r="CU690" s="9"/>
      <c r="CV690" s="9"/>
      <c r="CW690" s="129"/>
      <c r="CX690" s="9"/>
    </row>
    <row r="691" spans="1:102">
      <c r="A691" s="6" t="str">
        <f t="shared" si="101"/>
        <v>01370998</v>
      </c>
      <c r="B691" s="6" t="s">
        <v>1787</v>
      </c>
      <c r="C691" s="6" t="s">
        <v>2091</v>
      </c>
      <c r="D691" s="6">
        <v>682</v>
      </c>
      <c r="E691" s="6">
        <v>137</v>
      </c>
      <c r="F691" s="6" t="s">
        <v>1547</v>
      </c>
      <c r="G691" s="6">
        <v>998</v>
      </c>
      <c r="H691" s="6" t="s">
        <v>1547</v>
      </c>
      <c r="I691" s="33">
        <v>0</v>
      </c>
      <c r="J691" s="88">
        <v>0</v>
      </c>
      <c r="K691" s="89">
        <f t="shared" si="110"/>
        <v>0</v>
      </c>
      <c r="L691" s="88">
        <f>IF(K694&gt;0, K691/K694, 0)</f>
        <v>0</v>
      </c>
      <c r="M691" s="58"/>
      <c r="N691" s="9">
        <f>ROUND(M694*L691,0)</f>
        <v>0</v>
      </c>
      <c r="O691" s="9">
        <v>0</v>
      </c>
      <c r="P691" s="9">
        <f>N691-O691</f>
        <v>0</v>
      </c>
      <c r="Q691" s="40">
        <f t="shared" si="109"/>
        <v>0</v>
      </c>
      <c r="R691" s="9">
        <v>0</v>
      </c>
      <c r="S691" s="9">
        <f t="shared" si="107"/>
        <v>0</v>
      </c>
      <c r="T691" s="90">
        <f t="shared" si="102"/>
        <v>137</v>
      </c>
      <c r="U691" s="90">
        <f t="shared" si="103"/>
        <v>998</v>
      </c>
      <c r="V691" s="373">
        <f t="shared" si="104"/>
        <v>682</v>
      </c>
      <c r="W691" s="90">
        <f t="shared" si="105"/>
        <v>0</v>
      </c>
      <c r="X691" s="90">
        <f t="shared" si="106"/>
        <v>0</v>
      </c>
      <c r="Y691" s="141">
        <f t="shared" si="108"/>
        <v>682</v>
      </c>
      <c r="Z691" s="298">
        <v>137</v>
      </c>
      <c r="AA691" s="299">
        <v>998</v>
      </c>
      <c r="AB691" s="299">
        <v>682</v>
      </c>
      <c r="AC691" s="301">
        <v>0</v>
      </c>
      <c r="AD691" s="301">
        <v>0</v>
      </c>
      <c r="AE691" s="126"/>
      <c r="AF691" s="298"/>
      <c r="AG691" s="299"/>
      <c r="AH691" s="299"/>
      <c r="AI691" s="301"/>
      <c r="AJ691" s="301"/>
      <c r="AK691" s="426"/>
      <c r="AL691" s="298"/>
      <c r="AM691" s="299"/>
      <c r="AN691" s="299"/>
      <c r="AO691" s="301"/>
      <c r="AP691" s="301"/>
      <c r="AQ691" s="426"/>
      <c r="AR691" s="298"/>
      <c r="AS691" s="299"/>
      <c r="AT691" s="299"/>
      <c r="AU691" s="301"/>
      <c r="AV691" s="301"/>
      <c r="AW691" s="88"/>
      <c r="AX691" s="298"/>
      <c r="AY691" s="299"/>
      <c r="AZ691" s="299"/>
      <c r="BA691" s="301"/>
      <c r="BB691" s="301"/>
      <c r="BC691" s="426"/>
      <c r="BD691" s="298"/>
      <c r="BE691" s="299"/>
      <c r="BF691" s="299"/>
      <c r="BG691" s="301"/>
      <c r="BH691" s="301"/>
      <c r="BI691" s="88"/>
      <c r="BJ691" s="298"/>
      <c r="BK691" s="299"/>
      <c r="BL691" s="299"/>
      <c r="BM691" s="301"/>
      <c r="BN691" s="301"/>
      <c r="BO691" s="88"/>
      <c r="BP691" s="9"/>
      <c r="BS691" s="81"/>
      <c r="BT691" s="81"/>
      <c r="BV691" s="9"/>
      <c r="BY691" s="81"/>
      <c r="BZ691" s="81"/>
      <c r="CB691" s="9"/>
      <c r="CE691" s="81"/>
      <c r="CF691" s="81"/>
      <c r="CH691" s="9"/>
      <c r="CK691" s="81"/>
      <c r="CL691" s="81"/>
      <c r="CR691" s="9"/>
      <c r="CS691" s="9"/>
      <c r="CT691" s="9"/>
      <c r="CU691" s="9"/>
      <c r="CV691" s="9"/>
      <c r="CW691" s="129"/>
      <c r="CX691" s="9"/>
    </row>
    <row r="692" spans="1:102">
      <c r="A692" s="6" t="str">
        <f t="shared" si="101"/>
        <v>01370998</v>
      </c>
      <c r="B692" s="6" t="s">
        <v>1787</v>
      </c>
      <c r="C692" s="6" t="s">
        <v>2091</v>
      </c>
      <c r="D692" s="6">
        <v>683</v>
      </c>
      <c r="E692" s="6">
        <v>137</v>
      </c>
      <c r="F692" s="6" t="s">
        <v>1547</v>
      </c>
      <c r="G692" s="6">
        <v>998</v>
      </c>
      <c r="H692" s="6" t="s">
        <v>1547</v>
      </c>
      <c r="I692" s="33">
        <v>0</v>
      </c>
      <c r="J692" s="88">
        <v>0</v>
      </c>
      <c r="K692" s="89">
        <f t="shared" si="110"/>
        <v>0</v>
      </c>
      <c r="L692" s="88">
        <f>IF(K694&gt;0, K692/K694, 0)</f>
        <v>0</v>
      </c>
      <c r="M692" s="58"/>
      <c r="N692" s="9">
        <f>ROUND(M694*L692,0)</f>
        <v>0</v>
      </c>
      <c r="O692" s="9">
        <v>0</v>
      </c>
      <c r="P692" s="9">
        <f>N692-O692</f>
        <v>0</v>
      </c>
      <c r="Q692" s="40">
        <f t="shared" si="109"/>
        <v>0</v>
      </c>
      <c r="R692" s="9">
        <v>0</v>
      </c>
      <c r="S692" s="9">
        <f t="shared" si="107"/>
        <v>0</v>
      </c>
      <c r="T692" s="90">
        <f t="shared" si="102"/>
        <v>137</v>
      </c>
      <c r="U692" s="90">
        <f t="shared" si="103"/>
        <v>998</v>
      </c>
      <c r="V692" s="373">
        <f t="shared" si="104"/>
        <v>683</v>
      </c>
      <c r="W692" s="90">
        <f t="shared" si="105"/>
        <v>0</v>
      </c>
      <c r="X692" s="90">
        <f t="shared" si="106"/>
        <v>0</v>
      </c>
      <c r="Y692" s="141">
        <f t="shared" si="108"/>
        <v>683</v>
      </c>
      <c r="Z692" s="298">
        <v>137</v>
      </c>
      <c r="AA692" s="299">
        <v>998</v>
      </c>
      <c r="AB692" s="299">
        <v>683</v>
      </c>
      <c r="AC692" s="301">
        <v>0</v>
      </c>
      <c r="AD692" s="301">
        <v>0</v>
      </c>
      <c r="AE692" s="126"/>
      <c r="AF692" s="298"/>
      <c r="AG692" s="299"/>
      <c r="AH692" s="299"/>
      <c r="AI692" s="301"/>
      <c r="AJ692" s="301"/>
      <c r="AK692" s="426"/>
      <c r="AL692" s="298"/>
      <c r="AM692" s="299"/>
      <c r="AN692" s="299"/>
      <c r="AO692" s="301"/>
      <c r="AP692" s="301"/>
      <c r="AQ692" s="426"/>
      <c r="AR692" s="298"/>
      <c r="AS692" s="299"/>
      <c r="AT692" s="299"/>
      <c r="AU692" s="301"/>
      <c r="AV692" s="301"/>
      <c r="AW692" s="88"/>
      <c r="AX692" s="298"/>
      <c r="AY692" s="299"/>
      <c r="AZ692" s="299"/>
      <c r="BA692" s="301"/>
      <c r="BB692" s="301"/>
      <c r="BC692" s="426"/>
      <c r="BD692" s="298"/>
      <c r="BE692" s="299"/>
      <c r="BF692" s="299"/>
      <c r="BG692" s="301"/>
      <c r="BH692" s="301"/>
      <c r="BI692" s="88"/>
      <c r="BJ692" s="298"/>
      <c r="BK692" s="299"/>
      <c r="BL692" s="299"/>
      <c r="BM692" s="301"/>
      <c r="BN692" s="301"/>
      <c r="BO692" s="88"/>
      <c r="BP692" s="9"/>
      <c r="BS692" s="81"/>
      <c r="BT692" s="81"/>
      <c r="BV692" s="9"/>
      <c r="BY692" s="81"/>
      <c r="BZ692" s="81"/>
      <c r="CB692" s="9"/>
      <c r="CE692" s="81"/>
      <c r="CF692" s="81"/>
      <c r="CH692" s="9"/>
      <c r="CK692" s="81"/>
      <c r="CL692" s="81"/>
      <c r="CR692" s="9"/>
      <c r="CS692" s="9"/>
      <c r="CT692" s="9"/>
      <c r="CU692" s="9"/>
      <c r="CV692" s="9"/>
      <c r="CW692" s="129"/>
      <c r="CX692" s="9"/>
    </row>
    <row r="693" spans="1:102">
      <c r="A693" s="6" t="str">
        <f t="shared" si="101"/>
        <v>01370998</v>
      </c>
      <c r="B693" s="6" t="s">
        <v>1787</v>
      </c>
      <c r="C693" s="6" t="s">
        <v>2091</v>
      </c>
      <c r="D693" s="6">
        <v>684</v>
      </c>
      <c r="E693" s="6">
        <v>137</v>
      </c>
      <c r="F693" s="6" t="s">
        <v>1547</v>
      </c>
      <c r="G693" s="6">
        <v>998</v>
      </c>
      <c r="H693" s="6" t="s">
        <v>1547</v>
      </c>
      <c r="I693" s="33">
        <v>0</v>
      </c>
      <c r="J693" s="88">
        <v>0</v>
      </c>
      <c r="K693" s="89">
        <f t="shared" si="110"/>
        <v>0</v>
      </c>
      <c r="L693" s="88">
        <f>IF(K694&gt;0, K693/K694, 0)</f>
        <v>0</v>
      </c>
      <c r="M693" s="58"/>
      <c r="N693" s="9">
        <f>ROUND(M694*L693,0)</f>
        <v>0</v>
      </c>
      <c r="O693" s="9">
        <v>0</v>
      </c>
      <c r="P693" s="9">
        <f>N693-O693</f>
        <v>0</v>
      </c>
      <c r="Q693" s="40">
        <f t="shared" si="109"/>
        <v>0</v>
      </c>
      <c r="R693" s="9">
        <v>0</v>
      </c>
      <c r="S693" s="9">
        <f t="shared" si="107"/>
        <v>0</v>
      </c>
      <c r="T693" s="90">
        <f t="shared" si="102"/>
        <v>137</v>
      </c>
      <c r="U693" s="90">
        <f t="shared" si="103"/>
        <v>998</v>
      </c>
      <c r="V693" s="373">
        <f t="shared" si="104"/>
        <v>684</v>
      </c>
      <c r="W693" s="90">
        <f t="shared" si="105"/>
        <v>0</v>
      </c>
      <c r="X693" s="90">
        <f t="shared" si="106"/>
        <v>0</v>
      </c>
      <c r="Y693" s="141">
        <f t="shared" si="108"/>
        <v>684</v>
      </c>
      <c r="Z693" s="298">
        <v>137</v>
      </c>
      <c r="AA693" s="299">
        <v>998</v>
      </c>
      <c r="AB693" s="299">
        <v>684</v>
      </c>
      <c r="AC693" s="301">
        <v>0</v>
      </c>
      <c r="AD693" s="301">
        <v>0</v>
      </c>
      <c r="AE693" s="126"/>
      <c r="AF693" s="298"/>
      <c r="AG693" s="299"/>
      <c r="AH693" s="299"/>
      <c r="AI693" s="301"/>
      <c r="AJ693" s="301"/>
      <c r="AK693" s="426"/>
      <c r="AL693" s="298"/>
      <c r="AM693" s="299"/>
      <c r="AN693" s="299"/>
      <c r="AO693" s="301"/>
      <c r="AP693" s="301"/>
      <c r="AQ693" s="426"/>
      <c r="AR693" s="298"/>
      <c r="AS693" s="299"/>
      <c r="AT693" s="299"/>
      <c r="AU693" s="301"/>
      <c r="AV693" s="301"/>
      <c r="AW693" s="88"/>
      <c r="AX693" s="298"/>
      <c r="AY693" s="299"/>
      <c r="AZ693" s="299"/>
      <c r="BA693" s="301"/>
      <c r="BB693" s="301"/>
      <c r="BC693" s="426"/>
      <c r="BD693" s="298"/>
      <c r="BE693" s="299"/>
      <c r="BF693" s="299"/>
      <c r="BG693" s="301"/>
      <c r="BH693" s="301"/>
      <c r="BI693" s="88"/>
      <c r="BJ693" s="298"/>
      <c r="BK693" s="299"/>
      <c r="BL693" s="299"/>
      <c r="BM693" s="301"/>
      <c r="BN693" s="301"/>
      <c r="BO693" s="88"/>
      <c r="BP693" s="9"/>
      <c r="BS693" s="81"/>
      <c r="BT693" s="81"/>
      <c r="BV693" s="9"/>
      <c r="BY693" s="81"/>
      <c r="BZ693" s="81"/>
      <c r="CB693" s="9"/>
      <c r="CE693" s="81"/>
      <c r="CF693" s="81"/>
      <c r="CH693" s="9"/>
      <c r="CK693" s="81"/>
      <c r="CL693" s="81"/>
      <c r="CR693" s="9"/>
      <c r="CS693" s="9"/>
      <c r="CT693" s="9"/>
      <c r="CU693" s="9"/>
      <c r="CV693" s="9"/>
      <c r="CW693" s="129"/>
      <c r="CX693" s="9"/>
    </row>
    <row r="694" spans="1:102">
      <c r="A694" s="6" t="str">
        <f t="shared" si="101"/>
        <v>01370999</v>
      </c>
      <c r="B694" s="6" t="s">
        <v>1787</v>
      </c>
      <c r="C694" s="6" t="s">
        <v>2092</v>
      </c>
      <c r="D694" s="6">
        <v>685</v>
      </c>
      <c r="E694" s="10">
        <v>137</v>
      </c>
      <c r="F694" s="10" t="s">
        <v>1255</v>
      </c>
      <c r="G694" s="10">
        <v>999</v>
      </c>
      <c r="H694" s="10" t="s">
        <v>593</v>
      </c>
      <c r="I694" s="92">
        <v>109412142.28999999</v>
      </c>
      <c r="J694" s="472">
        <v>1</v>
      </c>
      <c r="K694" s="53">
        <f>SUM(K690:K693)</f>
        <v>114374878.07000002</v>
      </c>
      <c r="L694" s="91">
        <f>SUM(L690:L693)</f>
        <v>1</v>
      </c>
      <c r="M694" s="79">
        <f>VLOOKUP(E694,town351,24)</f>
        <v>13183748</v>
      </c>
      <c r="N694" s="79">
        <f>SUM(N690:N693)</f>
        <v>13183748</v>
      </c>
      <c r="O694" s="79">
        <v>12452771</v>
      </c>
      <c r="P694" s="79">
        <f>SUM(P690:P693)</f>
        <v>730977</v>
      </c>
      <c r="Q694" s="39">
        <f t="shared" si="109"/>
        <v>5.8699947184445938</v>
      </c>
      <c r="R694" s="9">
        <v>5926</v>
      </c>
      <c r="S694" s="9">
        <f t="shared" si="107"/>
        <v>5850</v>
      </c>
      <c r="T694" s="90">
        <f t="shared" si="102"/>
        <v>137</v>
      </c>
      <c r="U694" s="90">
        <f t="shared" si="103"/>
        <v>999</v>
      </c>
      <c r="V694" s="373">
        <f t="shared" si="104"/>
        <v>685</v>
      </c>
      <c r="W694" s="90">
        <f t="shared" si="105"/>
        <v>5850</v>
      </c>
      <c r="X694" s="90">
        <f t="shared" si="106"/>
        <v>114374878.07000002</v>
      </c>
      <c r="Y694" s="141">
        <f t="shared" si="108"/>
        <v>685</v>
      </c>
      <c r="Z694" s="298">
        <v>137</v>
      </c>
      <c r="AA694" s="299">
        <v>999</v>
      </c>
      <c r="AB694" s="299">
        <v>685</v>
      </c>
      <c r="AC694" s="301">
        <v>5850</v>
      </c>
      <c r="AD694" s="301">
        <v>114374878.07000002</v>
      </c>
      <c r="AE694" s="126"/>
      <c r="AF694" s="298"/>
      <c r="AG694" s="299"/>
      <c r="AH694" s="299"/>
      <c r="AI694" s="301"/>
      <c r="AJ694" s="301"/>
      <c r="AK694" s="426"/>
      <c r="AL694" s="298"/>
      <c r="AM694" s="299"/>
      <c r="AN694" s="299"/>
      <c r="AO694" s="301"/>
      <c r="AP694" s="301"/>
      <c r="AQ694" s="426"/>
      <c r="AR694" s="298"/>
      <c r="AS694" s="299"/>
      <c r="AT694" s="299"/>
      <c r="AU694" s="301"/>
      <c r="AV694" s="301"/>
      <c r="AW694" s="91"/>
      <c r="AX694" s="298"/>
      <c r="AY694" s="299"/>
      <c r="AZ694" s="299"/>
      <c r="BA694" s="301"/>
      <c r="BB694" s="301"/>
      <c r="BC694" s="426"/>
      <c r="BD694" s="298"/>
      <c r="BE694" s="299"/>
      <c r="BF694" s="299"/>
      <c r="BG694" s="301"/>
      <c r="BH694" s="301"/>
      <c r="BI694" s="91"/>
      <c r="BJ694" s="298"/>
      <c r="BK694" s="299"/>
      <c r="BL694" s="299"/>
      <c r="BM694" s="301"/>
      <c r="BN694" s="301"/>
      <c r="BO694" s="91"/>
      <c r="BP694" s="9"/>
      <c r="BS694" s="81"/>
      <c r="BT694" s="81"/>
      <c r="BV694" s="9"/>
      <c r="BY694" s="81"/>
      <c r="BZ694" s="81"/>
      <c r="CB694" s="9"/>
      <c r="CE694" s="81"/>
      <c r="CF694" s="81"/>
      <c r="CH694" s="9"/>
      <c r="CK694" s="81"/>
      <c r="CL694" s="81"/>
      <c r="CR694" s="9"/>
      <c r="CS694" s="9"/>
      <c r="CT694" s="9"/>
      <c r="CU694" s="9"/>
      <c r="CV694" s="9"/>
      <c r="CW694" s="129"/>
      <c r="CX694" s="9"/>
    </row>
    <row r="695" spans="1:102">
      <c r="A695" s="6" t="str">
        <f t="shared" si="101"/>
        <v>01380138</v>
      </c>
      <c r="B695" s="6" t="s">
        <v>1788</v>
      </c>
      <c r="C695" s="6" t="s">
        <v>1788</v>
      </c>
      <c r="D695" s="6">
        <v>686</v>
      </c>
      <c r="E695" s="6">
        <v>138</v>
      </c>
      <c r="F695" s="6" t="s">
        <v>1256</v>
      </c>
      <c r="G695" s="6">
        <v>138</v>
      </c>
      <c r="H695" s="6" t="s">
        <v>819</v>
      </c>
      <c r="I695" s="33">
        <v>11489500.85</v>
      </c>
      <c r="J695" s="88">
        <v>0.8928796087463694</v>
      </c>
      <c r="K695" s="89">
        <f>X695</f>
        <v>11657637.4</v>
      </c>
      <c r="L695" s="88">
        <f>IF(K699&gt;0, K695/K699, 0)</f>
        <v>0.89447176381545301</v>
      </c>
      <c r="M695" s="58"/>
      <c r="N695" s="9">
        <f>ROUND(M699*L695,0)</f>
        <v>6842443</v>
      </c>
      <c r="O695" s="9">
        <v>6489561</v>
      </c>
      <c r="P695" s="9">
        <f>N695-O695</f>
        <v>352882</v>
      </c>
      <c r="Q695" s="40">
        <f t="shared" si="109"/>
        <v>5.4376867711082459</v>
      </c>
      <c r="R695" s="9">
        <v>875</v>
      </c>
      <c r="S695" s="9">
        <f t="shared" si="107"/>
        <v>865</v>
      </c>
      <c r="T695" s="90">
        <f t="shared" si="102"/>
        <v>138</v>
      </c>
      <c r="U695" s="90">
        <f t="shared" si="103"/>
        <v>138</v>
      </c>
      <c r="V695" s="373">
        <f t="shared" si="104"/>
        <v>686</v>
      </c>
      <c r="W695" s="90">
        <f t="shared" si="105"/>
        <v>865</v>
      </c>
      <c r="X695" s="90">
        <f t="shared" si="106"/>
        <v>11657637.4</v>
      </c>
      <c r="Y695" s="141">
        <f t="shared" si="108"/>
        <v>686</v>
      </c>
      <c r="Z695" s="298">
        <v>138</v>
      </c>
      <c r="AA695" s="299">
        <v>138</v>
      </c>
      <c r="AB695" s="299">
        <v>686</v>
      </c>
      <c r="AC695" s="301">
        <v>865</v>
      </c>
      <c r="AD695" s="301">
        <v>11657637.4</v>
      </c>
      <c r="AE695" s="126"/>
      <c r="AF695" s="298"/>
      <c r="AG695" s="299"/>
      <c r="AH695" s="299"/>
      <c r="AI695" s="301"/>
      <c r="AJ695" s="301"/>
      <c r="AK695" s="426"/>
      <c r="AL695" s="298"/>
      <c r="AM695" s="299"/>
      <c r="AN695" s="299"/>
      <c r="AO695" s="301"/>
      <c r="AP695" s="301"/>
      <c r="AQ695" s="426"/>
      <c r="AR695" s="298"/>
      <c r="AS695" s="299"/>
      <c r="AT695" s="299"/>
      <c r="AU695" s="301"/>
      <c r="AV695" s="301"/>
      <c r="AW695" s="88"/>
      <c r="AX695" s="298"/>
      <c r="AY695" s="299"/>
      <c r="AZ695" s="299"/>
      <c r="BA695" s="301"/>
      <c r="BB695" s="301"/>
      <c r="BC695" s="426"/>
      <c r="BD695" s="298"/>
      <c r="BE695" s="299"/>
      <c r="BF695" s="299"/>
      <c r="BG695" s="301"/>
      <c r="BH695" s="301"/>
      <c r="BI695" s="88"/>
      <c r="BJ695" s="298"/>
      <c r="BK695" s="299"/>
      <c r="BL695" s="299"/>
      <c r="BM695" s="301"/>
      <c r="BN695" s="301"/>
      <c r="BO695" s="88"/>
      <c r="BP695" s="9"/>
      <c r="BS695" s="81"/>
      <c r="BT695" s="81"/>
      <c r="BV695" s="9"/>
      <c r="BY695" s="81"/>
      <c r="BZ695" s="81"/>
      <c r="CB695" s="9"/>
      <c r="CE695" s="81"/>
      <c r="CF695" s="81"/>
      <c r="CH695" s="9"/>
      <c r="CK695" s="81"/>
      <c r="CL695" s="81"/>
      <c r="CR695" s="9"/>
      <c r="CS695" s="9"/>
      <c r="CT695" s="9"/>
      <c r="CU695" s="9"/>
      <c r="CV695" s="9"/>
      <c r="CW695" s="129"/>
      <c r="CX695" s="9"/>
    </row>
    <row r="696" spans="1:102">
      <c r="A696" s="6" t="str">
        <f t="shared" si="101"/>
        <v>01380805</v>
      </c>
      <c r="B696" s="6" t="s">
        <v>1788</v>
      </c>
      <c r="C696" s="6" t="s">
        <v>2063</v>
      </c>
      <c r="D696" s="6">
        <v>687</v>
      </c>
      <c r="E696" s="6">
        <v>138</v>
      </c>
      <c r="F696" s="6" t="s">
        <v>1256</v>
      </c>
      <c r="G696" s="6">
        <v>805</v>
      </c>
      <c r="H696" s="6" t="s">
        <v>1093</v>
      </c>
      <c r="I696" s="33">
        <v>1378416.3220940237</v>
      </c>
      <c r="J696" s="88">
        <v>0.10712039125363061</v>
      </c>
      <c r="K696" s="89">
        <f t="shared" si="110"/>
        <v>1375347.9569365412</v>
      </c>
      <c r="L696" s="88">
        <f>IF(K699&gt;0, K696/K699, 0)</f>
        <v>0.10552823618454694</v>
      </c>
      <c r="M696" s="58"/>
      <c r="N696" s="9">
        <f>ROUND(M699*L696,0)</f>
        <v>807260</v>
      </c>
      <c r="O696" s="9">
        <v>778565</v>
      </c>
      <c r="P696" s="9">
        <f>N696-O696</f>
        <v>28695</v>
      </c>
      <c r="Q696" s="40">
        <f t="shared" si="109"/>
        <v>3.6856267620558336</v>
      </c>
      <c r="R696" s="9">
        <v>73.000000005320004</v>
      </c>
      <c r="S696" s="9">
        <f t="shared" si="107"/>
        <v>70.999999997420005</v>
      </c>
      <c r="T696" s="90">
        <f t="shared" si="102"/>
        <v>138</v>
      </c>
      <c r="U696" s="90">
        <f t="shared" si="103"/>
        <v>805</v>
      </c>
      <c r="V696" s="373">
        <f t="shared" si="104"/>
        <v>687</v>
      </c>
      <c r="W696" s="90">
        <f t="shared" si="105"/>
        <v>70.999999997420005</v>
      </c>
      <c r="X696" s="90">
        <f t="shared" si="106"/>
        <v>1375347.9569365412</v>
      </c>
      <c r="Y696" s="141">
        <f t="shared" si="108"/>
        <v>687</v>
      </c>
      <c r="Z696" s="298">
        <v>138</v>
      </c>
      <c r="AA696" s="299">
        <v>805</v>
      </c>
      <c r="AB696" s="299">
        <v>687</v>
      </c>
      <c r="AC696" s="301">
        <v>70.999999997420005</v>
      </c>
      <c r="AD696" s="301">
        <v>1375347.9569365412</v>
      </c>
      <c r="AE696" s="126"/>
      <c r="AF696" s="298"/>
      <c r="AG696" s="299"/>
      <c r="AH696" s="299"/>
      <c r="AI696" s="301"/>
      <c r="AJ696" s="301"/>
      <c r="AK696" s="426"/>
      <c r="AL696" s="298"/>
      <c r="AM696" s="299"/>
      <c r="AN696" s="299"/>
      <c r="AO696" s="301"/>
      <c r="AP696" s="301"/>
      <c r="AQ696" s="426"/>
      <c r="AR696" s="298"/>
      <c r="AS696" s="299"/>
      <c r="AT696" s="299"/>
      <c r="AU696" s="301"/>
      <c r="AV696" s="301"/>
      <c r="AW696" s="88"/>
      <c r="AX696" s="298"/>
      <c r="AY696" s="299"/>
      <c r="AZ696" s="299"/>
      <c r="BA696" s="301"/>
      <c r="BB696" s="301"/>
      <c r="BC696" s="426"/>
      <c r="BD696" s="298"/>
      <c r="BE696" s="299"/>
      <c r="BF696" s="299"/>
      <c r="BG696" s="301"/>
      <c r="BH696" s="301"/>
      <c r="BI696" s="88"/>
      <c r="BJ696" s="298"/>
      <c r="BK696" s="299"/>
      <c r="BL696" s="299"/>
      <c r="BM696" s="301"/>
      <c r="BN696" s="301"/>
      <c r="BO696" s="88"/>
      <c r="BP696" s="9"/>
      <c r="BS696" s="81"/>
      <c r="BT696" s="81"/>
      <c r="BV696" s="9"/>
      <c r="BY696" s="81"/>
      <c r="BZ696" s="81"/>
      <c r="CB696" s="9"/>
      <c r="CE696" s="81"/>
      <c r="CF696" s="81"/>
      <c r="CH696" s="9"/>
      <c r="CK696" s="81"/>
      <c r="CL696" s="81"/>
      <c r="CR696" s="9"/>
      <c r="CS696" s="9"/>
      <c r="CT696" s="9"/>
      <c r="CU696" s="9"/>
      <c r="CV696" s="9"/>
      <c r="CW696" s="129"/>
      <c r="CX696" s="9"/>
    </row>
    <row r="697" spans="1:102">
      <c r="A697" s="6" t="str">
        <f t="shared" si="101"/>
        <v>01380998</v>
      </c>
      <c r="B697" s="6" t="s">
        <v>1788</v>
      </c>
      <c r="C697" s="6" t="s">
        <v>2091</v>
      </c>
      <c r="D697" s="6">
        <v>688</v>
      </c>
      <c r="E697" s="6">
        <v>138</v>
      </c>
      <c r="F697" s="6" t="s">
        <v>1547</v>
      </c>
      <c r="G697" s="6">
        <v>998</v>
      </c>
      <c r="H697" s="6" t="s">
        <v>1547</v>
      </c>
      <c r="I697" s="33">
        <v>0</v>
      </c>
      <c r="J697" s="88">
        <v>0</v>
      </c>
      <c r="K697" s="89">
        <f t="shared" si="110"/>
        <v>0</v>
      </c>
      <c r="L697" s="88">
        <f>IF(K699&gt;0, K697/K699, 0)</f>
        <v>0</v>
      </c>
      <c r="M697" s="58"/>
      <c r="N697" s="9">
        <f>ROUND(M699*L697,0)</f>
        <v>0</v>
      </c>
      <c r="O697" s="9">
        <v>0</v>
      </c>
      <c r="P697" s="9">
        <f>N697-O697</f>
        <v>0</v>
      </c>
      <c r="Q697" s="40">
        <f t="shared" si="109"/>
        <v>0</v>
      </c>
      <c r="R697" s="9">
        <v>0</v>
      </c>
      <c r="S697" s="9">
        <f t="shared" si="107"/>
        <v>0</v>
      </c>
      <c r="T697" s="90">
        <f t="shared" si="102"/>
        <v>138</v>
      </c>
      <c r="U697" s="90">
        <f t="shared" si="103"/>
        <v>998</v>
      </c>
      <c r="V697" s="373">
        <f t="shared" si="104"/>
        <v>688</v>
      </c>
      <c r="W697" s="90">
        <f t="shared" si="105"/>
        <v>0</v>
      </c>
      <c r="X697" s="90">
        <f t="shared" si="106"/>
        <v>0</v>
      </c>
      <c r="Y697" s="141">
        <f t="shared" si="108"/>
        <v>688</v>
      </c>
      <c r="Z697" s="298">
        <v>138</v>
      </c>
      <c r="AA697" s="299">
        <v>998</v>
      </c>
      <c r="AB697" s="299">
        <v>688</v>
      </c>
      <c r="AC697" s="301">
        <v>0</v>
      </c>
      <c r="AD697" s="301">
        <v>0</v>
      </c>
      <c r="AE697" s="126"/>
      <c r="AF697" s="298"/>
      <c r="AG697" s="299"/>
      <c r="AH697" s="299"/>
      <c r="AI697" s="301"/>
      <c r="AJ697" s="301"/>
      <c r="AK697" s="426"/>
      <c r="AL697" s="298"/>
      <c r="AM697" s="299"/>
      <c r="AN697" s="299"/>
      <c r="AO697" s="301"/>
      <c r="AP697" s="301"/>
      <c r="AQ697" s="426"/>
      <c r="AR697" s="298"/>
      <c r="AS697" s="299"/>
      <c r="AT697" s="299"/>
      <c r="AU697" s="301"/>
      <c r="AV697" s="301"/>
      <c r="AW697" s="88"/>
      <c r="AX697" s="298"/>
      <c r="AY697" s="299"/>
      <c r="AZ697" s="299"/>
      <c r="BA697" s="301"/>
      <c r="BB697" s="301"/>
      <c r="BC697" s="426"/>
      <c r="BD697" s="298"/>
      <c r="BE697" s="299"/>
      <c r="BF697" s="299"/>
      <c r="BG697" s="301"/>
      <c r="BH697" s="301"/>
      <c r="BI697" s="88"/>
      <c r="BJ697" s="298"/>
      <c r="BK697" s="299"/>
      <c r="BL697" s="299"/>
      <c r="BM697" s="301"/>
      <c r="BN697" s="301"/>
      <c r="BO697" s="88"/>
      <c r="BP697" s="9"/>
      <c r="BS697" s="81"/>
      <c r="BT697" s="81"/>
      <c r="BV697" s="9"/>
      <c r="BY697" s="81"/>
      <c r="BZ697" s="81"/>
      <c r="CB697" s="9"/>
      <c r="CE697" s="81"/>
      <c r="CF697" s="81"/>
      <c r="CH697" s="9"/>
      <c r="CK697" s="81"/>
      <c r="CL697" s="81"/>
      <c r="CR697" s="9"/>
      <c r="CS697" s="9"/>
      <c r="CT697" s="9"/>
      <c r="CU697" s="9"/>
      <c r="CV697" s="9"/>
      <c r="CW697" s="129"/>
      <c r="CX697" s="9"/>
    </row>
    <row r="698" spans="1:102">
      <c r="A698" s="6" t="str">
        <f t="shared" si="101"/>
        <v>01380998</v>
      </c>
      <c r="B698" s="6" t="s">
        <v>1788</v>
      </c>
      <c r="C698" s="6" t="s">
        <v>2091</v>
      </c>
      <c r="D698" s="6">
        <v>689</v>
      </c>
      <c r="E698" s="6">
        <v>138</v>
      </c>
      <c r="F698" s="6" t="s">
        <v>1547</v>
      </c>
      <c r="G698" s="6">
        <v>998</v>
      </c>
      <c r="H698" s="6" t="s">
        <v>1547</v>
      </c>
      <c r="I698" s="33">
        <v>0</v>
      </c>
      <c r="J698" s="88">
        <v>0</v>
      </c>
      <c r="K698" s="89">
        <f t="shared" si="110"/>
        <v>0</v>
      </c>
      <c r="L698" s="88">
        <f>IF(K699&gt;0, K698/K699, 0)</f>
        <v>0</v>
      </c>
      <c r="M698" s="58"/>
      <c r="N698" s="9">
        <f>ROUND(M699*L698,0)</f>
        <v>0</v>
      </c>
      <c r="O698" s="9">
        <v>0</v>
      </c>
      <c r="P698" s="9">
        <f>N698-O698</f>
        <v>0</v>
      </c>
      <c r="Q698" s="40">
        <f t="shared" si="109"/>
        <v>0</v>
      </c>
      <c r="R698" s="9">
        <v>0</v>
      </c>
      <c r="S698" s="9">
        <f t="shared" si="107"/>
        <v>0</v>
      </c>
      <c r="T698" s="90">
        <f t="shared" si="102"/>
        <v>138</v>
      </c>
      <c r="U698" s="90">
        <f t="shared" si="103"/>
        <v>998</v>
      </c>
      <c r="V698" s="373">
        <f t="shared" si="104"/>
        <v>689</v>
      </c>
      <c r="W698" s="90">
        <f t="shared" si="105"/>
        <v>0</v>
      </c>
      <c r="X698" s="90">
        <f t="shared" si="106"/>
        <v>0</v>
      </c>
      <c r="Y698" s="141">
        <f t="shared" si="108"/>
        <v>689</v>
      </c>
      <c r="Z698" s="298">
        <v>138</v>
      </c>
      <c r="AA698" s="299">
        <v>998</v>
      </c>
      <c r="AB698" s="299">
        <v>689</v>
      </c>
      <c r="AC698" s="301">
        <v>0</v>
      </c>
      <c r="AD698" s="301">
        <v>0</v>
      </c>
      <c r="AE698" s="126"/>
      <c r="AF698" s="298"/>
      <c r="AG698" s="299"/>
      <c r="AH698" s="299"/>
      <c r="AI698" s="301"/>
      <c r="AJ698" s="301"/>
      <c r="AK698" s="426"/>
      <c r="AL698" s="298"/>
      <c r="AM698" s="299"/>
      <c r="AN698" s="299"/>
      <c r="AO698" s="301"/>
      <c r="AP698" s="301"/>
      <c r="AQ698" s="426"/>
      <c r="AR698" s="298"/>
      <c r="AS698" s="299"/>
      <c r="AT698" s="299"/>
      <c r="AU698" s="301"/>
      <c r="AV698" s="301"/>
      <c r="AW698" s="88"/>
      <c r="AX698" s="298"/>
      <c r="AY698" s="299"/>
      <c r="AZ698" s="299"/>
      <c r="BA698" s="301"/>
      <c r="BB698" s="301"/>
      <c r="BC698" s="426"/>
      <c r="BD698" s="298"/>
      <c r="BE698" s="299"/>
      <c r="BF698" s="299"/>
      <c r="BG698" s="301"/>
      <c r="BH698" s="301"/>
      <c r="BI698" s="88"/>
      <c r="BJ698" s="298"/>
      <c r="BK698" s="299"/>
      <c r="BL698" s="299"/>
      <c r="BM698" s="301"/>
      <c r="BN698" s="301"/>
      <c r="BO698" s="88"/>
      <c r="BP698" s="9"/>
      <c r="BS698" s="81"/>
      <c r="BT698" s="81"/>
      <c r="BV698" s="9"/>
      <c r="BY698" s="81"/>
      <c r="BZ698" s="81"/>
      <c r="CB698" s="9"/>
      <c r="CE698" s="81"/>
      <c r="CF698" s="81"/>
      <c r="CH698" s="9"/>
      <c r="CK698" s="81"/>
      <c r="CL698" s="81"/>
      <c r="CR698" s="9"/>
      <c r="CS698" s="9"/>
      <c r="CT698" s="9"/>
      <c r="CU698" s="9"/>
      <c r="CV698" s="9"/>
      <c r="CW698" s="129"/>
      <c r="CX698" s="9"/>
    </row>
    <row r="699" spans="1:102">
      <c r="A699" s="6" t="str">
        <f t="shared" si="101"/>
        <v>01380999</v>
      </c>
      <c r="B699" s="6" t="s">
        <v>1788</v>
      </c>
      <c r="C699" s="6" t="s">
        <v>2092</v>
      </c>
      <c r="D699" s="6">
        <v>690</v>
      </c>
      <c r="E699" s="10">
        <v>138</v>
      </c>
      <c r="F699" s="10" t="s">
        <v>1256</v>
      </c>
      <c r="G699" s="10">
        <v>999</v>
      </c>
      <c r="H699" s="10" t="s">
        <v>593</v>
      </c>
      <c r="I699" s="92">
        <v>12867917.172094023</v>
      </c>
      <c r="J699" s="472">
        <v>1</v>
      </c>
      <c r="K699" s="53">
        <f>SUM(K695:K698)</f>
        <v>13032985.356936542</v>
      </c>
      <c r="L699" s="91">
        <f>SUM(L695:L698)</f>
        <v>1</v>
      </c>
      <c r="M699" s="79">
        <f>VLOOKUP(E699,town351,24)</f>
        <v>7649703</v>
      </c>
      <c r="N699" s="79">
        <f>SUM(N695:N698)</f>
        <v>7649703</v>
      </c>
      <c r="O699" s="79">
        <v>7268126</v>
      </c>
      <c r="P699" s="79">
        <f>SUM(P695:P698)</f>
        <v>381577</v>
      </c>
      <c r="Q699" s="39">
        <f t="shared" si="109"/>
        <v>5.2500052971013433</v>
      </c>
      <c r="R699" s="9">
        <v>948.00000000531998</v>
      </c>
      <c r="S699" s="9">
        <f t="shared" si="107"/>
        <v>935.99999999741999</v>
      </c>
      <c r="T699" s="90">
        <f t="shared" si="102"/>
        <v>138</v>
      </c>
      <c r="U699" s="90">
        <f t="shared" si="103"/>
        <v>999</v>
      </c>
      <c r="V699" s="373">
        <f t="shared" si="104"/>
        <v>690</v>
      </c>
      <c r="W699" s="90">
        <f t="shared" si="105"/>
        <v>935.99999999741999</v>
      </c>
      <c r="X699" s="90">
        <f t="shared" si="106"/>
        <v>13032985.356936542</v>
      </c>
      <c r="Y699" s="141">
        <f t="shared" si="108"/>
        <v>690</v>
      </c>
      <c r="Z699" s="298">
        <v>138</v>
      </c>
      <c r="AA699" s="299">
        <v>999</v>
      </c>
      <c r="AB699" s="299">
        <v>690</v>
      </c>
      <c r="AC699" s="301">
        <v>935.99999999741999</v>
      </c>
      <c r="AD699" s="301">
        <v>13032985.356936542</v>
      </c>
      <c r="AE699" s="126"/>
      <c r="AF699" s="298"/>
      <c r="AG699" s="299"/>
      <c r="AH699" s="299"/>
      <c r="AI699" s="301"/>
      <c r="AJ699" s="301"/>
      <c r="AK699" s="426"/>
      <c r="AL699" s="298"/>
      <c r="AM699" s="299"/>
      <c r="AN699" s="299"/>
      <c r="AO699" s="301"/>
      <c r="AP699" s="301"/>
      <c r="AQ699" s="426"/>
      <c r="AR699" s="298"/>
      <c r="AS699" s="299"/>
      <c r="AT699" s="299"/>
      <c r="AU699" s="301"/>
      <c r="AV699" s="301"/>
      <c r="AW699" s="91"/>
      <c r="AX699" s="298"/>
      <c r="AY699" s="299"/>
      <c r="AZ699" s="299"/>
      <c r="BA699" s="301"/>
      <c r="BB699" s="301"/>
      <c r="BC699" s="426"/>
      <c r="BD699" s="298"/>
      <c r="BE699" s="299"/>
      <c r="BF699" s="299"/>
      <c r="BG699" s="301"/>
      <c r="BH699" s="301"/>
      <c r="BI699" s="91"/>
      <c r="BJ699" s="298"/>
      <c r="BK699" s="299"/>
      <c r="BL699" s="299"/>
      <c r="BM699" s="301"/>
      <c r="BN699" s="301"/>
      <c r="BO699" s="91"/>
      <c r="BP699" s="9"/>
      <c r="BS699" s="81"/>
      <c r="BT699" s="81"/>
      <c r="BV699" s="9"/>
      <c r="BY699" s="81"/>
      <c r="BZ699" s="81"/>
      <c r="CB699" s="9"/>
      <c r="CE699" s="81"/>
      <c r="CF699" s="81"/>
      <c r="CH699" s="9"/>
      <c r="CK699" s="81"/>
      <c r="CL699" s="81"/>
      <c r="CR699" s="9"/>
      <c r="CS699" s="9"/>
      <c r="CT699" s="9"/>
      <c r="CU699" s="9"/>
      <c r="CV699" s="9"/>
      <c r="CW699" s="129"/>
      <c r="CX699" s="9"/>
    </row>
    <row r="700" spans="1:102">
      <c r="A700" s="6" t="str">
        <f t="shared" si="101"/>
        <v>01390139</v>
      </c>
      <c r="B700" s="6" t="s">
        <v>1789</v>
      </c>
      <c r="C700" s="6" t="s">
        <v>1789</v>
      </c>
      <c r="D700" s="6">
        <v>691</v>
      </c>
      <c r="E700" s="6">
        <v>139</v>
      </c>
      <c r="F700" s="6" t="s">
        <v>1257</v>
      </c>
      <c r="G700" s="6">
        <v>139</v>
      </c>
      <c r="H700" s="6" t="s">
        <v>820</v>
      </c>
      <c r="I700" s="33">
        <v>50873294.826880008</v>
      </c>
      <c r="J700" s="88">
        <v>0.98930352610253147</v>
      </c>
      <c r="K700" s="89">
        <f>X700</f>
        <v>52668757.257279992</v>
      </c>
      <c r="L700" s="88">
        <f>IF(K704&gt;0, K700/K704, 0)</f>
        <v>0.98849825742939323</v>
      </c>
      <c r="M700" s="58"/>
      <c r="N700" s="9">
        <f>ROUND(M704*L700,0)</f>
        <v>43451724</v>
      </c>
      <c r="O700" s="9">
        <v>41073636</v>
      </c>
      <c r="P700" s="9">
        <f>N700-O700</f>
        <v>2378088</v>
      </c>
      <c r="Q700" s="40">
        <f t="shared" si="109"/>
        <v>5.7898161243869426</v>
      </c>
      <c r="R700" s="9">
        <v>4139</v>
      </c>
      <c r="S700" s="9">
        <f t="shared" si="107"/>
        <v>4165</v>
      </c>
      <c r="T700" s="90">
        <f t="shared" si="102"/>
        <v>139</v>
      </c>
      <c r="U700" s="90">
        <f t="shared" si="103"/>
        <v>139</v>
      </c>
      <c r="V700" s="373">
        <f t="shared" si="104"/>
        <v>691</v>
      </c>
      <c r="W700" s="90">
        <f t="shared" si="105"/>
        <v>4165</v>
      </c>
      <c r="X700" s="90">
        <f t="shared" si="106"/>
        <v>52668757.257279992</v>
      </c>
      <c r="Y700" s="141">
        <f t="shared" si="108"/>
        <v>691</v>
      </c>
      <c r="Z700" s="298">
        <v>139</v>
      </c>
      <c r="AA700" s="299">
        <v>139</v>
      </c>
      <c r="AB700" s="299">
        <v>691</v>
      </c>
      <c r="AC700" s="301">
        <v>4165</v>
      </c>
      <c r="AD700" s="301">
        <v>52668757.257279992</v>
      </c>
      <c r="AE700" s="126"/>
      <c r="AF700" s="298"/>
      <c r="AG700" s="299"/>
      <c r="AH700" s="299"/>
      <c r="AI700" s="301"/>
      <c r="AJ700" s="301"/>
      <c r="AK700" s="426"/>
      <c r="AL700" s="298"/>
      <c r="AM700" s="299"/>
      <c r="AN700" s="299"/>
      <c r="AO700" s="301"/>
      <c r="AP700" s="301"/>
      <c r="AQ700" s="426"/>
      <c r="AR700" s="298"/>
      <c r="AS700" s="299"/>
      <c r="AT700" s="299"/>
      <c r="AU700" s="301"/>
      <c r="AV700" s="301"/>
      <c r="AW700" s="88"/>
      <c r="AX700" s="298"/>
      <c r="AY700" s="299"/>
      <c r="AZ700" s="299"/>
      <c r="BA700" s="301"/>
      <c r="BB700" s="301"/>
      <c r="BC700" s="426"/>
      <c r="BD700" s="298"/>
      <c r="BE700" s="299"/>
      <c r="BF700" s="299"/>
      <c r="BG700" s="301"/>
      <c r="BH700" s="301"/>
      <c r="BI700" s="88"/>
      <c r="BJ700" s="298"/>
      <c r="BK700" s="299"/>
      <c r="BL700" s="299"/>
      <c r="BM700" s="301"/>
      <c r="BN700" s="301"/>
      <c r="BO700" s="88"/>
      <c r="BP700" s="9"/>
      <c r="BS700" s="81"/>
      <c r="BT700" s="81"/>
      <c r="BV700" s="9"/>
      <c r="BY700" s="81"/>
      <c r="BZ700" s="81"/>
      <c r="CB700" s="9"/>
      <c r="CE700" s="81"/>
      <c r="CF700" s="81"/>
      <c r="CH700" s="9"/>
      <c r="CK700" s="81"/>
      <c r="CL700" s="81"/>
      <c r="CR700" s="9"/>
      <c r="CS700" s="9"/>
      <c r="CT700" s="9"/>
      <c r="CU700" s="9"/>
      <c r="CV700" s="9"/>
      <c r="CW700" s="129"/>
      <c r="CX700" s="9"/>
    </row>
    <row r="701" spans="1:102">
      <c r="A701" s="6" t="str">
        <f t="shared" si="101"/>
        <v>01390829</v>
      </c>
      <c r="B701" s="6" t="s">
        <v>1789</v>
      </c>
      <c r="C701" s="6" t="s">
        <v>2073</v>
      </c>
      <c r="D701" s="6">
        <v>692</v>
      </c>
      <c r="E701" s="6">
        <v>139</v>
      </c>
      <c r="F701" s="6" t="s">
        <v>1257</v>
      </c>
      <c r="G701" s="6">
        <v>829</v>
      </c>
      <c r="H701" s="6" t="s">
        <v>1103</v>
      </c>
      <c r="I701" s="33">
        <v>550048.44907178008</v>
      </c>
      <c r="J701" s="88">
        <v>1.069647389746849E-2</v>
      </c>
      <c r="K701" s="89">
        <f t="shared" si="110"/>
        <v>612831.11319017829</v>
      </c>
      <c r="L701" s="88">
        <f>IF(K704&gt;0, K701/K704, 0)</f>
        <v>1.1501742570606674E-2</v>
      </c>
      <c r="M701" s="58"/>
      <c r="N701" s="9">
        <f>ROUND(M704*L701,0)</f>
        <v>505586</v>
      </c>
      <c r="O701" s="9">
        <v>444093</v>
      </c>
      <c r="P701" s="9">
        <f>N701-O701</f>
        <v>61493</v>
      </c>
      <c r="Q701" s="40">
        <f t="shared" si="109"/>
        <v>13.846874415944407</v>
      </c>
      <c r="R701" s="9">
        <v>24.085918855740001</v>
      </c>
      <c r="S701" s="9">
        <f t="shared" si="107"/>
        <v>26.090069285609999</v>
      </c>
      <c r="T701" s="90">
        <f t="shared" si="102"/>
        <v>139</v>
      </c>
      <c r="U701" s="90">
        <f t="shared" si="103"/>
        <v>829</v>
      </c>
      <c r="V701" s="373">
        <f t="shared" si="104"/>
        <v>692</v>
      </c>
      <c r="W701" s="90">
        <f t="shared" si="105"/>
        <v>26.090069285609999</v>
      </c>
      <c r="X701" s="90">
        <f t="shared" si="106"/>
        <v>612831.11319017829</v>
      </c>
      <c r="Y701" s="141">
        <f t="shared" si="108"/>
        <v>692</v>
      </c>
      <c r="Z701" s="298">
        <v>139</v>
      </c>
      <c r="AA701" s="299">
        <v>829</v>
      </c>
      <c r="AB701" s="299">
        <v>692</v>
      </c>
      <c r="AC701" s="301">
        <v>26.090069285609999</v>
      </c>
      <c r="AD701" s="301">
        <v>612831.11319017829</v>
      </c>
      <c r="AE701" s="126"/>
      <c r="AF701" s="298"/>
      <c r="AG701" s="299"/>
      <c r="AH701" s="299"/>
      <c r="AI701" s="301"/>
      <c r="AJ701" s="301"/>
      <c r="AK701" s="426"/>
      <c r="AL701" s="298"/>
      <c r="AM701" s="299"/>
      <c r="AN701" s="299"/>
      <c r="AO701" s="301"/>
      <c r="AP701" s="301"/>
      <c r="AQ701" s="426"/>
      <c r="AR701" s="298"/>
      <c r="AS701" s="299"/>
      <c r="AT701" s="299"/>
      <c r="AU701" s="301"/>
      <c r="AV701" s="301"/>
      <c r="AW701" s="88"/>
      <c r="AX701" s="298"/>
      <c r="AY701" s="299"/>
      <c r="AZ701" s="299"/>
      <c r="BA701" s="301"/>
      <c r="BB701" s="301"/>
      <c r="BC701" s="426"/>
      <c r="BD701" s="298"/>
      <c r="BE701" s="299"/>
      <c r="BF701" s="299"/>
      <c r="BG701" s="301"/>
      <c r="BH701" s="301"/>
      <c r="BI701" s="88"/>
      <c r="BJ701" s="298"/>
      <c r="BK701" s="299"/>
      <c r="BL701" s="299"/>
      <c r="BM701" s="301"/>
      <c r="BN701" s="301"/>
      <c r="BO701" s="88"/>
      <c r="BP701" s="9"/>
      <c r="BS701" s="81"/>
      <c r="BT701" s="81"/>
      <c r="BV701" s="9"/>
      <c r="BY701" s="81"/>
      <c r="BZ701" s="81"/>
      <c r="CB701" s="9"/>
      <c r="CE701" s="81"/>
      <c r="CF701" s="81"/>
      <c r="CH701" s="9"/>
      <c r="CK701" s="81"/>
      <c r="CL701" s="81"/>
      <c r="CR701" s="9"/>
      <c r="CS701" s="9"/>
      <c r="CT701" s="9"/>
      <c r="CU701" s="9"/>
      <c r="CV701" s="9"/>
      <c r="CW701" s="129"/>
      <c r="CX701" s="9"/>
    </row>
    <row r="702" spans="1:102">
      <c r="A702" s="6" t="str">
        <f t="shared" si="101"/>
        <v>01390998</v>
      </c>
      <c r="B702" s="6" t="s">
        <v>1789</v>
      </c>
      <c r="C702" s="6" t="s">
        <v>2091</v>
      </c>
      <c r="D702" s="6">
        <v>693</v>
      </c>
      <c r="E702" s="6">
        <v>139</v>
      </c>
      <c r="F702" s="6" t="s">
        <v>1547</v>
      </c>
      <c r="G702" s="6">
        <v>998</v>
      </c>
      <c r="H702" s="6" t="s">
        <v>1547</v>
      </c>
      <c r="I702" s="33">
        <v>0</v>
      </c>
      <c r="J702" s="88">
        <v>0</v>
      </c>
      <c r="K702" s="89">
        <f t="shared" si="110"/>
        <v>0</v>
      </c>
      <c r="L702" s="88">
        <f>IF(K704&gt;0, K702/K704, 0)</f>
        <v>0</v>
      </c>
      <c r="M702" s="58"/>
      <c r="N702" s="9">
        <f>ROUND(M704*L702,0)</f>
        <v>0</v>
      </c>
      <c r="O702" s="9">
        <v>0</v>
      </c>
      <c r="P702" s="9">
        <f>N702-O702</f>
        <v>0</v>
      </c>
      <c r="Q702" s="40">
        <f t="shared" si="109"/>
        <v>0</v>
      </c>
      <c r="R702" s="9">
        <v>0</v>
      </c>
      <c r="S702" s="9">
        <f t="shared" si="107"/>
        <v>0</v>
      </c>
      <c r="T702" s="90">
        <f t="shared" si="102"/>
        <v>139</v>
      </c>
      <c r="U702" s="90">
        <f t="shared" si="103"/>
        <v>998</v>
      </c>
      <c r="V702" s="373">
        <f t="shared" si="104"/>
        <v>693</v>
      </c>
      <c r="W702" s="90">
        <f t="shared" si="105"/>
        <v>0</v>
      </c>
      <c r="X702" s="90">
        <f t="shared" si="106"/>
        <v>0</v>
      </c>
      <c r="Y702" s="141">
        <f t="shared" si="108"/>
        <v>693</v>
      </c>
      <c r="Z702" s="298">
        <v>139</v>
      </c>
      <c r="AA702" s="299">
        <v>998</v>
      </c>
      <c r="AB702" s="299">
        <v>693</v>
      </c>
      <c r="AC702" s="301">
        <v>0</v>
      </c>
      <c r="AD702" s="301">
        <v>0</v>
      </c>
      <c r="AE702" s="126"/>
      <c r="AF702" s="298"/>
      <c r="AG702" s="299"/>
      <c r="AH702" s="299"/>
      <c r="AI702" s="301"/>
      <c r="AJ702" s="301"/>
      <c r="AK702" s="426"/>
      <c r="AL702" s="298"/>
      <c r="AM702" s="299"/>
      <c r="AN702" s="299"/>
      <c r="AO702" s="301"/>
      <c r="AP702" s="301"/>
      <c r="AQ702" s="426"/>
      <c r="AR702" s="298"/>
      <c r="AS702" s="299"/>
      <c r="AT702" s="299"/>
      <c r="AU702" s="301"/>
      <c r="AV702" s="301"/>
      <c r="AW702" s="88"/>
      <c r="AX702" s="298"/>
      <c r="AY702" s="299"/>
      <c r="AZ702" s="299"/>
      <c r="BA702" s="301"/>
      <c r="BB702" s="301"/>
      <c r="BC702" s="426"/>
      <c r="BD702" s="298"/>
      <c r="BE702" s="299"/>
      <c r="BF702" s="299"/>
      <c r="BG702" s="301"/>
      <c r="BH702" s="301"/>
      <c r="BI702" s="88"/>
      <c r="BJ702" s="298"/>
      <c r="BK702" s="299"/>
      <c r="BL702" s="299"/>
      <c r="BM702" s="301"/>
      <c r="BN702" s="301"/>
      <c r="BO702" s="88"/>
      <c r="BP702" s="9"/>
      <c r="BS702" s="81"/>
      <c r="BT702" s="81"/>
      <c r="BV702" s="9"/>
      <c r="BY702" s="81"/>
      <c r="BZ702" s="81"/>
      <c r="CB702" s="9"/>
      <c r="CE702" s="81"/>
      <c r="CF702" s="81"/>
      <c r="CH702" s="9"/>
      <c r="CK702" s="81"/>
      <c r="CL702" s="81"/>
      <c r="CR702" s="9"/>
      <c r="CS702" s="9"/>
      <c r="CT702" s="9"/>
      <c r="CU702" s="9"/>
      <c r="CV702" s="9"/>
      <c r="CW702" s="129"/>
      <c r="CX702" s="9"/>
    </row>
    <row r="703" spans="1:102">
      <c r="A703" s="6" t="str">
        <f t="shared" si="101"/>
        <v>01390998</v>
      </c>
      <c r="B703" s="6" t="s">
        <v>1789</v>
      </c>
      <c r="C703" s="6" t="s">
        <v>2091</v>
      </c>
      <c r="D703" s="6">
        <v>694</v>
      </c>
      <c r="E703" s="6">
        <v>139</v>
      </c>
      <c r="F703" s="6" t="s">
        <v>1547</v>
      </c>
      <c r="G703" s="6">
        <v>998</v>
      </c>
      <c r="H703" s="6" t="s">
        <v>1547</v>
      </c>
      <c r="I703" s="33">
        <v>0</v>
      </c>
      <c r="J703" s="88">
        <v>0</v>
      </c>
      <c r="K703" s="89">
        <f t="shared" si="110"/>
        <v>0</v>
      </c>
      <c r="L703" s="88">
        <f>IF(K704&gt;0, K703/K704, 0)</f>
        <v>0</v>
      </c>
      <c r="M703" s="58"/>
      <c r="N703" s="9">
        <f>ROUND(M704*L703,0)</f>
        <v>0</v>
      </c>
      <c r="O703" s="9">
        <v>0</v>
      </c>
      <c r="P703" s="9">
        <f>N703-O703</f>
        <v>0</v>
      </c>
      <c r="Q703" s="40">
        <f t="shared" si="109"/>
        <v>0</v>
      </c>
      <c r="R703" s="9">
        <v>0</v>
      </c>
      <c r="S703" s="9">
        <f t="shared" si="107"/>
        <v>0</v>
      </c>
      <c r="T703" s="90">
        <f t="shared" si="102"/>
        <v>139</v>
      </c>
      <c r="U703" s="90">
        <f t="shared" si="103"/>
        <v>998</v>
      </c>
      <c r="V703" s="373">
        <f t="shared" si="104"/>
        <v>694</v>
      </c>
      <c r="W703" s="90">
        <f t="shared" si="105"/>
        <v>0</v>
      </c>
      <c r="X703" s="90">
        <f t="shared" si="106"/>
        <v>0</v>
      </c>
      <c r="Y703" s="141">
        <f t="shared" si="108"/>
        <v>694</v>
      </c>
      <c r="Z703" s="298">
        <v>139</v>
      </c>
      <c r="AA703" s="299">
        <v>998</v>
      </c>
      <c r="AB703" s="299">
        <v>694</v>
      </c>
      <c r="AC703" s="301">
        <v>0</v>
      </c>
      <c r="AD703" s="301">
        <v>0</v>
      </c>
      <c r="AE703" s="126"/>
      <c r="AF703" s="298"/>
      <c r="AG703" s="299"/>
      <c r="AH703" s="299"/>
      <c r="AI703" s="301"/>
      <c r="AJ703" s="301"/>
      <c r="AK703" s="426"/>
      <c r="AL703" s="298"/>
      <c r="AM703" s="299"/>
      <c r="AN703" s="299"/>
      <c r="AO703" s="301"/>
      <c r="AP703" s="301"/>
      <c r="AQ703" s="426"/>
      <c r="AR703" s="298"/>
      <c r="AS703" s="299"/>
      <c r="AT703" s="299"/>
      <c r="AU703" s="301"/>
      <c r="AV703" s="301"/>
      <c r="AW703" s="88"/>
      <c r="AX703" s="298"/>
      <c r="AY703" s="299"/>
      <c r="AZ703" s="299"/>
      <c r="BA703" s="301"/>
      <c r="BB703" s="301"/>
      <c r="BC703" s="426"/>
      <c r="BD703" s="298"/>
      <c r="BE703" s="299"/>
      <c r="BF703" s="299"/>
      <c r="BG703" s="301"/>
      <c r="BH703" s="301"/>
      <c r="BI703" s="88"/>
      <c r="BJ703" s="298"/>
      <c r="BK703" s="299"/>
      <c r="BL703" s="299"/>
      <c r="BM703" s="301"/>
      <c r="BN703" s="301"/>
      <c r="BO703" s="88"/>
      <c r="BP703" s="9"/>
      <c r="BS703" s="81"/>
      <c r="BT703" s="81"/>
      <c r="BV703" s="9"/>
      <c r="BY703" s="81"/>
      <c r="BZ703" s="81"/>
      <c r="CB703" s="9"/>
      <c r="CE703" s="81"/>
      <c r="CF703" s="81"/>
      <c r="CH703" s="9"/>
      <c r="CK703" s="81"/>
      <c r="CL703" s="81"/>
      <c r="CR703" s="9"/>
      <c r="CS703" s="9"/>
      <c r="CT703" s="9"/>
      <c r="CU703" s="9"/>
      <c r="CV703" s="9"/>
      <c r="CW703" s="129"/>
      <c r="CX703" s="9"/>
    </row>
    <row r="704" spans="1:102">
      <c r="A704" s="6" t="str">
        <f t="shared" si="101"/>
        <v>01390999</v>
      </c>
      <c r="B704" s="6" t="s">
        <v>1789</v>
      </c>
      <c r="C704" s="6" t="s">
        <v>2092</v>
      </c>
      <c r="D704" s="6">
        <v>695</v>
      </c>
      <c r="E704" s="10">
        <v>139</v>
      </c>
      <c r="F704" s="10" t="s">
        <v>1257</v>
      </c>
      <c r="G704" s="10">
        <v>999</v>
      </c>
      <c r="H704" s="10" t="s">
        <v>593</v>
      </c>
      <c r="I704" s="92">
        <v>51423343.275951788</v>
      </c>
      <c r="J704" s="472">
        <v>1</v>
      </c>
      <c r="K704" s="53">
        <f>SUM(K700:K703)</f>
        <v>53281588.370470174</v>
      </c>
      <c r="L704" s="91">
        <f>SUM(L700:L703)</f>
        <v>0.99999999999999989</v>
      </c>
      <c r="M704" s="79">
        <f>VLOOKUP(E704,town351,24)</f>
        <v>43957310</v>
      </c>
      <c r="N704" s="79">
        <f>SUM(N700:N703)</f>
        <v>43957310</v>
      </c>
      <c r="O704" s="79">
        <v>41517729</v>
      </c>
      <c r="P704" s="79">
        <f>SUM(P700:P703)</f>
        <v>2439581</v>
      </c>
      <c r="Q704" s="39">
        <f t="shared" si="109"/>
        <v>5.8759981789948093</v>
      </c>
      <c r="R704" s="9">
        <v>4163.0859188557397</v>
      </c>
      <c r="S704" s="9">
        <f t="shared" si="107"/>
        <v>4191.0900692856103</v>
      </c>
      <c r="T704" s="90">
        <f t="shared" si="102"/>
        <v>139</v>
      </c>
      <c r="U704" s="90">
        <f t="shared" si="103"/>
        <v>999</v>
      </c>
      <c r="V704" s="373">
        <f t="shared" si="104"/>
        <v>695</v>
      </c>
      <c r="W704" s="90">
        <f t="shared" si="105"/>
        <v>4191.0900692856103</v>
      </c>
      <c r="X704" s="90">
        <f t="shared" si="106"/>
        <v>53281588.370470174</v>
      </c>
      <c r="Y704" s="141">
        <f t="shared" si="108"/>
        <v>695</v>
      </c>
      <c r="Z704" s="298">
        <v>139</v>
      </c>
      <c r="AA704" s="299">
        <v>999</v>
      </c>
      <c r="AB704" s="299">
        <v>695</v>
      </c>
      <c r="AC704" s="301">
        <v>4191.0900692856103</v>
      </c>
      <c r="AD704" s="301">
        <v>53281588.370470174</v>
      </c>
      <c r="AE704" s="126"/>
      <c r="AF704" s="298"/>
      <c r="AG704" s="299"/>
      <c r="AH704" s="299"/>
      <c r="AI704" s="301"/>
      <c r="AJ704" s="301"/>
      <c r="AK704" s="426"/>
      <c r="AL704" s="298"/>
      <c r="AM704" s="299"/>
      <c r="AN704" s="299"/>
      <c r="AO704" s="301"/>
      <c r="AP704" s="301"/>
      <c r="AQ704" s="426"/>
      <c r="AR704" s="298"/>
      <c r="AS704" s="299"/>
      <c r="AT704" s="299"/>
      <c r="AU704" s="301"/>
      <c r="AV704" s="301"/>
      <c r="AW704" s="91"/>
      <c r="AX704" s="298"/>
      <c r="AY704" s="299"/>
      <c r="AZ704" s="299"/>
      <c r="BA704" s="301"/>
      <c r="BB704" s="301"/>
      <c r="BC704" s="426"/>
      <c r="BD704" s="298"/>
      <c r="BE704" s="299"/>
      <c r="BF704" s="299"/>
      <c r="BG704" s="301"/>
      <c r="BH704" s="301"/>
      <c r="BI704" s="91"/>
      <c r="BJ704" s="298"/>
      <c r="BK704" s="299"/>
      <c r="BL704" s="299"/>
      <c r="BM704" s="301"/>
      <c r="BN704" s="301"/>
      <c r="BO704" s="91"/>
      <c r="BP704" s="9"/>
      <c r="BS704" s="81"/>
      <c r="BT704" s="81"/>
      <c r="BV704" s="9"/>
      <c r="BY704" s="81"/>
      <c r="BZ704" s="81"/>
      <c r="CB704" s="9"/>
      <c r="CE704" s="81"/>
      <c r="CF704" s="81"/>
      <c r="CH704" s="9"/>
      <c r="CK704" s="81"/>
      <c r="CL704" s="81"/>
      <c r="CR704" s="9"/>
      <c r="CS704" s="9"/>
      <c r="CT704" s="9"/>
      <c r="CU704" s="9"/>
      <c r="CV704" s="9"/>
      <c r="CW704" s="129"/>
      <c r="CX704" s="9"/>
    </row>
    <row r="705" spans="1:102">
      <c r="A705" s="6" t="str">
        <f t="shared" si="101"/>
        <v>01400140</v>
      </c>
      <c r="B705" s="6" t="s">
        <v>1790</v>
      </c>
      <c r="C705" s="6" t="s">
        <v>1790</v>
      </c>
      <c r="D705" s="6">
        <v>696</v>
      </c>
      <c r="E705" s="6">
        <v>140</v>
      </c>
      <c r="F705" s="6" t="s">
        <v>1258</v>
      </c>
      <c r="G705" s="6">
        <v>140</v>
      </c>
      <c r="H705" s="6" t="s">
        <v>821</v>
      </c>
      <c r="I705" s="33">
        <v>0</v>
      </c>
      <c r="J705" s="88">
        <v>0</v>
      </c>
      <c r="K705" s="89">
        <f>X705</f>
        <v>0</v>
      </c>
      <c r="L705" s="88">
        <f>IF(K709&gt;0, K705/K709, 0)</f>
        <v>0</v>
      </c>
      <c r="M705" s="58"/>
      <c r="N705" s="9">
        <f>ROUND(M709*L705,0)</f>
        <v>0</v>
      </c>
      <c r="O705" s="9">
        <v>0</v>
      </c>
      <c r="P705" s="9">
        <f>N705-O705</f>
        <v>0</v>
      </c>
      <c r="Q705" s="40">
        <f t="shared" si="109"/>
        <v>0</v>
      </c>
      <c r="R705" s="9">
        <v>0</v>
      </c>
      <c r="S705" s="9">
        <f t="shared" si="107"/>
        <v>0</v>
      </c>
      <c r="T705" s="90">
        <f t="shared" si="102"/>
        <v>140</v>
      </c>
      <c r="U705" s="90">
        <f t="shared" si="103"/>
        <v>140</v>
      </c>
      <c r="V705" s="373">
        <f t="shared" si="104"/>
        <v>696</v>
      </c>
      <c r="W705" s="90">
        <f t="shared" si="105"/>
        <v>0</v>
      </c>
      <c r="X705" s="90">
        <f t="shared" si="106"/>
        <v>0</v>
      </c>
      <c r="Y705" s="141">
        <f t="shared" si="108"/>
        <v>696</v>
      </c>
      <c r="Z705" s="298">
        <v>140</v>
      </c>
      <c r="AA705" s="299">
        <v>140</v>
      </c>
      <c r="AB705" s="299">
        <v>696</v>
      </c>
      <c r="AC705" s="301">
        <v>0</v>
      </c>
      <c r="AD705" s="301">
        <v>0</v>
      </c>
      <c r="AE705" s="126"/>
      <c r="AF705" s="298"/>
      <c r="AG705" s="299"/>
      <c r="AH705" s="299"/>
      <c r="AI705" s="301"/>
      <c r="AJ705" s="301"/>
      <c r="AK705" s="426"/>
      <c r="AL705" s="298"/>
      <c r="AM705" s="299"/>
      <c r="AN705" s="299"/>
      <c r="AO705" s="301"/>
      <c r="AP705" s="301"/>
      <c r="AQ705" s="426"/>
      <c r="AR705" s="298"/>
      <c r="AS705" s="299"/>
      <c r="AT705" s="299"/>
      <c r="AU705" s="301"/>
      <c r="AV705" s="301"/>
      <c r="AW705" s="88"/>
      <c r="AX705" s="298"/>
      <c r="AY705" s="299"/>
      <c r="AZ705" s="299"/>
      <c r="BA705" s="301"/>
      <c r="BB705" s="301"/>
      <c r="BC705" s="426"/>
      <c r="BD705" s="298"/>
      <c r="BE705" s="299"/>
      <c r="BF705" s="299"/>
      <c r="BG705" s="301"/>
      <c r="BH705" s="301"/>
      <c r="BI705" s="88"/>
      <c r="BJ705" s="298"/>
      <c r="BK705" s="299"/>
      <c r="BL705" s="299"/>
      <c r="BM705" s="301"/>
      <c r="BN705" s="301"/>
      <c r="BO705" s="88"/>
      <c r="BP705" s="9"/>
      <c r="BS705" s="81"/>
      <c r="BT705" s="81"/>
      <c r="BV705" s="9"/>
      <c r="BY705" s="81"/>
      <c r="BZ705" s="81"/>
      <c r="CB705" s="9"/>
      <c r="CE705" s="81"/>
      <c r="CF705" s="81"/>
      <c r="CH705" s="9"/>
      <c r="CK705" s="81"/>
      <c r="CL705" s="81"/>
      <c r="CR705" s="9"/>
      <c r="CS705" s="9"/>
      <c r="CT705" s="9"/>
      <c r="CU705" s="9"/>
      <c r="CV705" s="9"/>
      <c r="CW705" s="129"/>
      <c r="CX705" s="9"/>
    </row>
    <row r="706" spans="1:102">
      <c r="A706" s="6" t="str">
        <f t="shared" si="101"/>
        <v>01400753</v>
      </c>
      <c r="B706" s="6" t="s">
        <v>1790</v>
      </c>
      <c r="C706" s="6" t="s">
        <v>2049</v>
      </c>
      <c r="D706" s="6">
        <v>697</v>
      </c>
      <c r="E706" s="6">
        <v>140</v>
      </c>
      <c r="F706" s="6" t="s">
        <v>1258</v>
      </c>
      <c r="G706" s="6">
        <v>753</v>
      </c>
      <c r="H706" s="6" t="s">
        <v>1079</v>
      </c>
      <c r="I706" s="33">
        <v>7418650.2368706735</v>
      </c>
      <c r="J706" s="88">
        <v>0.90198220786020289</v>
      </c>
      <c r="K706" s="89">
        <f t="shared" si="110"/>
        <v>8050233.5573123097</v>
      </c>
      <c r="L706" s="88">
        <f>IF(K709&gt;0, K706/K709, 0)</f>
        <v>0.92546360050337073</v>
      </c>
      <c r="M706" s="58"/>
      <c r="N706" s="9">
        <f>ROUND(M709*L706,0)</f>
        <v>4225525</v>
      </c>
      <c r="O706" s="9">
        <v>3930063</v>
      </c>
      <c r="P706" s="9">
        <f>N706-O706</f>
        <v>295462</v>
      </c>
      <c r="Q706" s="40">
        <f t="shared" si="109"/>
        <v>7.5179965308444165</v>
      </c>
      <c r="R706" s="9">
        <v>535.26441351974006</v>
      </c>
      <c r="S706" s="9">
        <f t="shared" si="107"/>
        <v>561.14529914859997</v>
      </c>
      <c r="T706" s="90">
        <f t="shared" si="102"/>
        <v>140</v>
      </c>
      <c r="U706" s="90">
        <f t="shared" si="103"/>
        <v>753</v>
      </c>
      <c r="V706" s="373">
        <f t="shared" si="104"/>
        <v>697</v>
      </c>
      <c r="W706" s="90">
        <f t="shared" si="105"/>
        <v>561.14529914859997</v>
      </c>
      <c r="X706" s="90">
        <f t="shared" si="106"/>
        <v>8050233.5573123097</v>
      </c>
      <c r="Y706" s="141">
        <f t="shared" si="108"/>
        <v>697</v>
      </c>
      <c r="Z706" s="298">
        <v>140</v>
      </c>
      <c r="AA706" s="299">
        <v>753</v>
      </c>
      <c r="AB706" s="299">
        <v>697</v>
      </c>
      <c r="AC706" s="301">
        <v>561.14529914859997</v>
      </c>
      <c r="AD706" s="301">
        <v>8050233.5573123097</v>
      </c>
      <c r="AE706" s="126"/>
      <c r="AF706" s="298"/>
      <c r="AG706" s="299"/>
      <c r="AH706" s="299"/>
      <c r="AI706" s="301"/>
      <c r="AJ706" s="301"/>
      <c r="AK706" s="426"/>
      <c r="AL706" s="298"/>
      <c r="AM706" s="299"/>
      <c r="AN706" s="299"/>
      <c r="AO706" s="301"/>
      <c r="AP706" s="301"/>
      <c r="AQ706" s="426"/>
      <c r="AR706" s="298"/>
      <c r="AS706" s="299"/>
      <c r="AT706" s="299"/>
      <c r="AU706" s="301"/>
      <c r="AV706" s="301"/>
      <c r="AW706" s="88"/>
      <c r="AX706" s="298"/>
      <c r="AY706" s="299"/>
      <c r="AZ706" s="299"/>
      <c r="BA706" s="301"/>
      <c r="BB706" s="301"/>
      <c r="BC706" s="426"/>
      <c r="BD706" s="298"/>
      <c r="BE706" s="299"/>
      <c r="BF706" s="299"/>
      <c r="BG706" s="301"/>
      <c r="BH706" s="301"/>
      <c r="BI706" s="88"/>
      <c r="BJ706" s="298"/>
      <c r="BK706" s="299"/>
      <c r="BL706" s="299"/>
      <c r="BM706" s="301"/>
      <c r="BN706" s="301"/>
      <c r="BO706" s="88"/>
      <c r="BP706" s="9"/>
      <c r="BS706" s="81"/>
      <c r="BT706" s="81"/>
      <c r="BV706" s="9"/>
      <c r="BY706" s="81"/>
      <c r="BZ706" s="81"/>
      <c r="CB706" s="9"/>
      <c r="CE706" s="81"/>
      <c r="CF706" s="81"/>
      <c r="CH706" s="9"/>
      <c r="CK706" s="81"/>
      <c r="CL706" s="81"/>
      <c r="CR706" s="9"/>
      <c r="CS706" s="9"/>
      <c r="CT706" s="9"/>
      <c r="CU706" s="9"/>
      <c r="CV706" s="9"/>
      <c r="CW706" s="129"/>
      <c r="CX706" s="9"/>
    </row>
    <row r="707" spans="1:102">
      <c r="A707" s="6" t="str">
        <f t="shared" si="101"/>
        <v>01400832</v>
      </c>
      <c r="B707" s="6" t="s">
        <v>1790</v>
      </c>
      <c r="C707" s="6" t="s">
        <v>2075</v>
      </c>
      <c r="D707" s="6">
        <v>698</v>
      </c>
      <c r="E707" s="6">
        <v>140</v>
      </c>
      <c r="F707" s="6" t="s">
        <v>1258</v>
      </c>
      <c r="G707" s="6">
        <v>832</v>
      </c>
      <c r="H707" s="6" t="s">
        <v>1105</v>
      </c>
      <c r="I707" s="33">
        <v>806179.6680008882</v>
      </c>
      <c r="J707" s="88">
        <v>9.8017792139797139E-2</v>
      </c>
      <c r="K707" s="89">
        <f t="shared" si="110"/>
        <v>648361.99299749441</v>
      </c>
      <c r="L707" s="88">
        <f>IF(K709&gt;0, K707/K709, 0)</f>
        <v>7.4536399496629407E-2</v>
      </c>
      <c r="M707" s="58"/>
      <c r="N707" s="9">
        <f>ROUND(M709*L707,0)</f>
        <v>340322</v>
      </c>
      <c r="O707" s="9">
        <v>427077</v>
      </c>
      <c r="P707" s="9">
        <f>N707-O707</f>
        <v>-86755</v>
      </c>
      <c r="Q707" s="40">
        <f t="shared" si="109"/>
        <v>-20.313667090477828</v>
      </c>
      <c r="R707" s="9">
        <v>40.054682156049999</v>
      </c>
      <c r="S707" s="9">
        <f t="shared" si="107"/>
        <v>31.9999999968</v>
      </c>
      <c r="T707" s="90">
        <f t="shared" si="102"/>
        <v>140</v>
      </c>
      <c r="U707" s="90">
        <f t="shared" si="103"/>
        <v>832</v>
      </c>
      <c r="V707" s="373">
        <f t="shared" si="104"/>
        <v>698</v>
      </c>
      <c r="W707" s="90">
        <f t="shared" si="105"/>
        <v>31.9999999968</v>
      </c>
      <c r="X707" s="90">
        <f t="shared" si="106"/>
        <v>648361.99299749441</v>
      </c>
      <c r="Y707" s="141">
        <f t="shared" si="108"/>
        <v>698</v>
      </c>
      <c r="Z707" s="298">
        <v>140</v>
      </c>
      <c r="AA707" s="299">
        <v>832</v>
      </c>
      <c r="AB707" s="299">
        <v>698</v>
      </c>
      <c r="AC707" s="301">
        <v>31.9999999968</v>
      </c>
      <c r="AD707" s="301">
        <v>648361.99299749441</v>
      </c>
      <c r="AE707" s="126"/>
      <c r="AF707" s="298"/>
      <c r="AG707" s="299"/>
      <c r="AH707" s="299"/>
      <c r="AI707" s="301"/>
      <c r="AJ707" s="301"/>
      <c r="AK707" s="426"/>
      <c r="AL707" s="298"/>
      <c r="AM707" s="299"/>
      <c r="AN707" s="299"/>
      <c r="AO707" s="301"/>
      <c r="AP707" s="301"/>
      <c r="AQ707" s="426"/>
      <c r="AR707" s="298"/>
      <c r="AS707" s="299"/>
      <c r="AT707" s="299"/>
      <c r="AU707" s="301"/>
      <c r="AV707" s="301"/>
      <c r="AW707" s="88"/>
      <c r="AX707" s="298"/>
      <c r="AY707" s="299"/>
      <c r="AZ707" s="299"/>
      <c r="BA707" s="301"/>
      <c r="BB707" s="301"/>
      <c r="BC707" s="426"/>
      <c r="BD707" s="298"/>
      <c r="BE707" s="299"/>
      <c r="BF707" s="299"/>
      <c r="BG707" s="301"/>
      <c r="BH707" s="301"/>
      <c r="BI707" s="88"/>
      <c r="BJ707" s="298"/>
      <c r="BK707" s="299"/>
      <c r="BL707" s="299"/>
      <c r="BM707" s="301"/>
      <c r="BN707" s="301"/>
      <c r="BO707" s="88"/>
      <c r="BP707" s="9"/>
      <c r="BS707" s="81"/>
      <c r="BT707" s="81"/>
      <c r="BV707" s="9"/>
      <c r="BY707" s="81"/>
      <c r="BZ707" s="81"/>
      <c r="CB707" s="9"/>
      <c r="CE707" s="81"/>
      <c r="CF707" s="81"/>
      <c r="CH707" s="9"/>
      <c r="CK707" s="81"/>
      <c r="CL707" s="81"/>
      <c r="CR707" s="9"/>
      <c r="CS707" s="9"/>
      <c r="CT707" s="9"/>
      <c r="CU707" s="9"/>
      <c r="CV707" s="9"/>
      <c r="CW707" s="129"/>
      <c r="CX707" s="9"/>
    </row>
    <row r="708" spans="1:102">
      <c r="A708" s="6" t="str">
        <f t="shared" si="101"/>
        <v>01400998</v>
      </c>
      <c r="B708" s="6" t="s">
        <v>1790</v>
      </c>
      <c r="C708" s="6" t="s">
        <v>2091</v>
      </c>
      <c r="D708" s="6">
        <v>699</v>
      </c>
      <c r="E708" s="6">
        <v>140</v>
      </c>
      <c r="F708" s="6" t="s">
        <v>1547</v>
      </c>
      <c r="G708" s="6">
        <v>998</v>
      </c>
      <c r="H708" s="6" t="s">
        <v>1547</v>
      </c>
      <c r="I708" s="33">
        <v>0</v>
      </c>
      <c r="J708" s="88">
        <v>0</v>
      </c>
      <c r="K708" s="89">
        <f t="shared" si="110"/>
        <v>0</v>
      </c>
      <c r="L708" s="88">
        <f>IF(K709&gt;0, K708/K709, 0)</f>
        <v>0</v>
      </c>
      <c r="M708" s="58"/>
      <c r="N708" s="9">
        <f>ROUND(M709*L708,0)</f>
        <v>0</v>
      </c>
      <c r="O708" s="9">
        <v>0</v>
      </c>
      <c r="P708" s="9">
        <f>N708-O708</f>
        <v>0</v>
      </c>
      <c r="Q708" s="40">
        <f t="shared" si="109"/>
        <v>0</v>
      </c>
      <c r="R708" s="9">
        <v>0</v>
      </c>
      <c r="S708" s="9">
        <f t="shared" si="107"/>
        <v>0</v>
      </c>
      <c r="T708" s="90">
        <f t="shared" si="102"/>
        <v>140</v>
      </c>
      <c r="U708" s="90">
        <f t="shared" si="103"/>
        <v>998</v>
      </c>
      <c r="V708" s="373">
        <f t="shared" si="104"/>
        <v>699</v>
      </c>
      <c r="W708" s="90">
        <f t="shared" si="105"/>
        <v>0</v>
      </c>
      <c r="X708" s="90">
        <f t="shared" si="106"/>
        <v>0</v>
      </c>
      <c r="Y708" s="141">
        <f t="shared" si="108"/>
        <v>699</v>
      </c>
      <c r="Z708" s="298">
        <v>140</v>
      </c>
      <c r="AA708" s="299">
        <v>998</v>
      </c>
      <c r="AB708" s="299">
        <v>699</v>
      </c>
      <c r="AC708" s="301">
        <v>0</v>
      </c>
      <c r="AD708" s="301">
        <v>0</v>
      </c>
      <c r="AE708" s="126"/>
      <c r="AF708" s="298"/>
      <c r="AG708" s="299"/>
      <c r="AH708" s="299"/>
      <c r="AI708" s="301"/>
      <c r="AJ708" s="301"/>
      <c r="AK708" s="426"/>
      <c r="AL708" s="298"/>
      <c r="AM708" s="299"/>
      <c r="AN708" s="299"/>
      <c r="AO708" s="301"/>
      <c r="AP708" s="301"/>
      <c r="AQ708" s="426"/>
      <c r="AR708" s="298"/>
      <c r="AS708" s="299"/>
      <c r="AT708" s="299"/>
      <c r="AU708" s="301"/>
      <c r="AV708" s="301"/>
      <c r="AW708" s="88"/>
      <c r="AX708" s="298"/>
      <c r="AY708" s="299"/>
      <c r="AZ708" s="299"/>
      <c r="BA708" s="301"/>
      <c r="BB708" s="301"/>
      <c r="BC708" s="426"/>
      <c r="BD708" s="298"/>
      <c r="BE708" s="299"/>
      <c r="BF708" s="299"/>
      <c r="BG708" s="301"/>
      <c r="BH708" s="301"/>
      <c r="BI708" s="88"/>
      <c r="BJ708" s="298"/>
      <c r="BK708" s="299"/>
      <c r="BL708" s="299"/>
      <c r="BM708" s="301"/>
      <c r="BN708" s="301"/>
      <c r="BO708" s="88"/>
      <c r="BP708" s="9"/>
      <c r="BS708" s="81"/>
      <c r="BT708" s="81"/>
      <c r="BV708" s="9"/>
      <c r="BY708" s="81"/>
      <c r="BZ708" s="81"/>
      <c r="CB708" s="9"/>
      <c r="CE708" s="81"/>
      <c r="CF708" s="81"/>
      <c r="CH708" s="9"/>
      <c r="CK708" s="81"/>
      <c r="CL708" s="81"/>
      <c r="CR708" s="9"/>
      <c r="CS708" s="9"/>
      <c r="CT708" s="9"/>
      <c r="CU708" s="9"/>
      <c r="CV708" s="9"/>
      <c r="CW708" s="129"/>
      <c r="CX708" s="9"/>
    </row>
    <row r="709" spans="1:102">
      <c r="A709" s="6" t="str">
        <f t="shared" si="101"/>
        <v>01400999</v>
      </c>
      <c r="B709" s="6" t="s">
        <v>1790</v>
      </c>
      <c r="C709" s="6" t="s">
        <v>2092</v>
      </c>
      <c r="D709" s="6">
        <v>700</v>
      </c>
      <c r="E709" s="10">
        <v>140</v>
      </c>
      <c r="F709" s="10" t="s">
        <v>1258</v>
      </c>
      <c r="G709" s="10">
        <v>999</v>
      </c>
      <c r="H709" s="10" t="s">
        <v>593</v>
      </c>
      <c r="I709" s="92">
        <v>8224829.9048715616</v>
      </c>
      <c r="J709" s="472">
        <v>1</v>
      </c>
      <c r="K709" s="53">
        <f>SUM(K705:K708)</f>
        <v>8698595.5503098033</v>
      </c>
      <c r="L709" s="91">
        <f>SUM(L705:L708)</f>
        <v>1.0000000000000002</v>
      </c>
      <c r="M709" s="79">
        <f>VLOOKUP(E709,town351,24)</f>
        <v>4565847</v>
      </c>
      <c r="N709" s="79">
        <f>SUM(N705:N708)</f>
        <v>4565847</v>
      </c>
      <c r="O709" s="79">
        <v>4357140</v>
      </c>
      <c r="P709" s="79">
        <f>SUM(P705:P708)</f>
        <v>208707</v>
      </c>
      <c r="Q709" s="39">
        <f t="shared" si="109"/>
        <v>4.7899998622949918</v>
      </c>
      <c r="R709" s="9">
        <v>575.31909567579009</v>
      </c>
      <c r="S709" s="9">
        <f t="shared" si="107"/>
        <v>593.14529914540003</v>
      </c>
      <c r="T709" s="90">
        <f t="shared" si="102"/>
        <v>140</v>
      </c>
      <c r="U709" s="90">
        <f t="shared" si="103"/>
        <v>999</v>
      </c>
      <c r="V709" s="373">
        <f t="shared" si="104"/>
        <v>700</v>
      </c>
      <c r="W709" s="90">
        <f t="shared" si="105"/>
        <v>593.14529914540003</v>
      </c>
      <c r="X709" s="90">
        <f t="shared" si="106"/>
        <v>8698595.5503098033</v>
      </c>
      <c r="Y709" s="141">
        <f t="shared" si="108"/>
        <v>700</v>
      </c>
      <c r="Z709" s="298">
        <v>140</v>
      </c>
      <c r="AA709" s="299">
        <v>999</v>
      </c>
      <c r="AB709" s="299">
        <v>700</v>
      </c>
      <c r="AC709" s="301">
        <v>593.14529914540003</v>
      </c>
      <c r="AD709" s="301">
        <v>8698595.5503098033</v>
      </c>
      <c r="AE709" s="126"/>
      <c r="AF709" s="298"/>
      <c r="AG709" s="299"/>
      <c r="AH709" s="299"/>
      <c r="AI709" s="301"/>
      <c r="AJ709" s="301"/>
      <c r="AK709" s="426"/>
      <c r="AL709" s="298"/>
      <c r="AM709" s="299"/>
      <c r="AN709" s="299"/>
      <c r="AO709" s="301"/>
      <c r="AP709" s="301"/>
      <c r="AQ709" s="426"/>
      <c r="AR709" s="298"/>
      <c r="AS709" s="299"/>
      <c r="AT709" s="299"/>
      <c r="AU709" s="301"/>
      <c r="AV709" s="301"/>
      <c r="AW709" s="91"/>
      <c r="AX709" s="298"/>
      <c r="AY709" s="299"/>
      <c r="AZ709" s="299"/>
      <c r="BA709" s="301"/>
      <c r="BB709" s="301"/>
      <c r="BC709" s="426"/>
      <c r="BD709" s="298"/>
      <c r="BE709" s="299"/>
      <c r="BF709" s="299"/>
      <c r="BG709" s="301"/>
      <c r="BH709" s="301"/>
      <c r="BI709" s="91"/>
      <c r="BJ709" s="298"/>
      <c r="BK709" s="299"/>
      <c r="BL709" s="299"/>
      <c r="BM709" s="301"/>
      <c r="BN709" s="301"/>
      <c r="BO709" s="91"/>
      <c r="BP709" s="9"/>
      <c r="BS709" s="81"/>
      <c r="BT709" s="81"/>
      <c r="BV709" s="9"/>
      <c r="BY709" s="81"/>
      <c r="BZ709" s="81"/>
      <c r="CB709" s="9"/>
      <c r="CE709" s="81"/>
      <c r="CF709" s="81"/>
      <c r="CH709" s="9"/>
      <c r="CK709" s="81"/>
      <c r="CL709" s="81"/>
      <c r="CR709" s="9"/>
      <c r="CS709" s="9"/>
      <c r="CT709" s="9"/>
      <c r="CU709" s="9"/>
      <c r="CV709" s="9"/>
      <c r="CW709" s="129"/>
      <c r="CX709" s="9"/>
    </row>
    <row r="710" spans="1:102">
      <c r="A710" s="6" t="str">
        <f t="shared" si="101"/>
        <v>01410141</v>
      </c>
      <c r="B710" s="6" t="s">
        <v>1791</v>
      </c>
      <c r="C710" s="6" t="s">
        <v>1791</v>
      </c>
      <c r="D710" s="6">
        <v>701</v>
      </c>
      <c r="E710" s="6">
        <v>141</v>
      </c>
      <c r="F710" s="6" t="s">
        <v>1259</v>
      </c>
      <c r="G710" s="6">
        <v>141</v>
      </c>
      <c r="H710" s="6" t="s">
        <v>822</v>
      </c>
      <c r="I710" s="33">
        <v>34207457.530000001</v>
      </c>
      <c r="J710" s="88">
        <v>0.88317888323815019</v>
      </c>
      <c r="K710" s="89">
        <f>X710</f>
        <v>35386035.233459994</v>
      </c>
      <c r="L710" s="88">
        <f>IF(K714&gt;0, K710/K714, 0)</f>
        <v>0.88895991738902747</v>
      </c>
      <c r="M710" s="58"/>
      <c r="N710" s="9">
        <f>ROUND(M714*L710,0)</f>
        <v>22432839</v>
      </c>
      <c r="O710" s="9">
        <v>21209511</v>
      </c>
      <c r="P710" s="9">
        <f>N710-O710</f>
        <v>1223328</v>
      </c>
      <c r="Q710" s="40">
        <f t="shared" si="109"/>
        <v>5.7678274619344121</v>
      </c>
      <c r="R710" s="9">
        <v>2417</v>
      </c>
      <c r="S710" s="9">
        <f t="shared" si="107"/>
        <v>2407</v>
      </c>
      <c r="T710" s="90">
        <f t="shared" si="102"/>
        <v>141</v>
      </c>
      <c r="U710" s="90">
        <f t="shared" si="103"/>
        <v>141</v>
      </c>
      <c r="V710" s="373">
        <f t="shared" si="104"/>
        <v>701</v>
      </c>
      <c r="W710" s="90">
        <f t="shared" si="105"/>
        <v>2407</v>
      </c>
      <c r="X710" s="90">
        <f t="shared" si="106"/>
        <v>35386035.233459994</v>
      </c>
      <c r="Y710" s="141">
        <f t="shared" si="108"/>
        <v>701</v>
      </c>
      <c r="Z710" s="298">
        <v>141</v>
      </c>
      <c r="AA710" s="299">
        <v>141</v>
      </c>
      <c r="AB710" s="299">
        <v>701</v>
      </c>
      <c r="AC710" s="301">
        <v>2407</v>
      </c>
      <c r="AD710" s="301">
        <v>35386035.233459994</v>
      </c>
      <c r="AE710" s="126"/>
      <c r="AF710" s="298"/>
      <c r="AG710" s="299"/>
      <c r="AH710" s="299"/>
      <c r="AI710" s="301"/>
      <c r="AJ710" s="301"/>
      <c r="AK710" s="426"/>
      <c r="AL710" s="298"/>
      <c r="AM710" s="299"/>
      <c r="AN710" s="299"/>
      <c r="AO710" s="301"/>
      <c r="AP710" s="301"/>
      <c r="AQ710" s="426"/>
      <c r="AR710" s="298"/>
      <c r="AS710" s="299"/>
      <c r="AT710" s="299"/>
      <c r="AU710" s="301"/>
      <c r="AV710" s="301"/>
      <c r="AW710" s="88"/>
      <c r="AX710" s="298"/>
      <c r="AY710" s="299"/>
      <c r="AZ710" s="299"/>
      <c r="BA710" s="301"/>
      <c r="BB710" s="301"/>
      <c r="BC710" s="426"/>
      <c r="BD710" s="298"/>
      <c r="BE710" s="299"/>
      <c r="BF710" s="299"/>
      <c r="BG710" s="301"/>
      <c r="BH710" s="301"/>
      <c r="BI710" s="88"/>
      <c r="BJ710" s="298"/>
      <c r="BK710" s="299"/>
      <c r="BL710" s="299"/>
      <c r="BM710" s="301"/>
      <c r="BN710" s="301"/>
      <c r="BO710" s="88"/>
      <c r="BP710" s="9"/>
      <c r="BS710" s="81"/>
      <c r="BT710" s="81"/>
      <c r="BV710" s="9"/>
      <c r="BY710" s="81"/>
      <c r="BZ710" s="81"/>
      <c r="CB710" s="9"/>
      <c r="CE710" s="81"/>
      <c r="CF710" s="81"/>
      <c r="CH710" s="9"/>
      <c r="CK710" s="81"/>
      <c r="CL710" s="81"/>
      <c r="CR710" s="9"/>
      <c r="CS710" s="9"/>
      <c r="CT710" s="9"/>
      <c r="CU710" s="9"/>
      <c r="CV710" s="9"/>
      <c r="CW710" s="129"/>
      <c r="CX710" s="9"/>
    </row>
    <row r="711" spans="1:102">
      <c r="A711" s="6" t="str">
        <f t="shared" si="101"/>
        <v>01410801</v>
      </c>
      <c r="B711" s="6" t="s">
        <v>1791</v>
      </c>
      <c r="C711" s="6" t="s">
        <v>2062</v>
      </c>
      <c r="D711" s="6">
        <v>702</v>
      </c>
      <c r="E711" s="6">
        <v>141</v>
      </c>
      <c r="F711" s="6" t="s">
        <v>1259</v>
      </c>
      <c r="G711" s="6">
        <v>801</v>
      </c>
      <c r="H711" s="6" t="s">
        <v>1092</v>
      </c>
      <c r="I711" s="33">
        <v>4524738.3809567159</v>
      </c>
      <c r="J711" s="88">
        <v>0.11682111676184979</v>
      </c>
      <c r="K711" s="89">
        <f t="shared" si="110"/>
        <v>4420073.6149486573</v>
      </c>
      <c r="L711" s="88">
        <f>IF(K714&gt;0, K711/K714, 0)</f>
        <v>0.11104008261097242</v>
      </c>
      <c r="M711" s="58"/>
      <c r="N711" s="9">
        <f>ROUND(M714*L711,0)</f>
        <v>2802088</v>
      </c>
      <c r="O711" s="9">
        <v>2805455</v>
      </c>
      <c r="P711" s="9">
        <f>N711-O711</f>
        <v>-3367</v>
      </c>
      <c r="Q711" s="40">
        <f t="shared" si="109"/>
        <v>-0.12001618275823352</v>
      </c>
      <c r="R711" s="9">
        <v>205.00000000196999</v>
      </c>
      <c r="S711" s="9">
        <f t="shared" si="107"/>
        <v>193.0000000041</v>
      </c>
      <c r="T711" s="90">
        <f t="shared" si="102"/>
        <v>141</v>
      </c>
      <c r="U711" s="90">
        <f t="shared" si="103"/>
        <v>801</v>
      </c>
      <c r="V711" s="373">
        <f t="shared" si="104"/>
        <v>702</v>
      </c>
      <c r="W711" s="90">
        <f t="shared" si="105"/>
        <v>193.0000000041</v>
      </c>
      <c r="X711" s="90">
        <f t="shared" si="106"/>
        <v>4420073.6149486573</v>
      </c>
      <c r="Y711" s="141">
        <f t="shared" si="108"/>
        <v>702</v>
      </c>
      <c r="Z711" s="298">
        <v>141</v>
      </c>
      <c r="AA711" s="299">
        <v>801</v>
      </c>
      <c r="AB711" s="299">
        <v>702</v>
      </c>
      <c r="AC711" s="301">
        <v>193.0000000041</v>
      </c>
      <c r="AD711" s="301">
        <v>4420073.6149486573</v>
      </c>
      <c r="AE711" s="126"/>
      <c r="AF711" s="298"/>
      <c r="AG711" s="299"/>
      <c r="AH711" s="299"/>
      <c r="AI711" s="301"/>
      <c r="AJ711" s="301"/>
      <c r="AK711" s="426"/>
      <c r="AL711" s="298"/>
      <c r="AM711" s="299"/>
      <c r="AN711" s="299"/>
      <c r="AO711" s="301"/>
      <c r="AP711" s="301"/>
      <c r="AQ711" s="426"/>
      <c r="AR711" s="298"/>
      <c r="AS711" s="299"/>
      <c r="AT711" s="299"/>
      <c r="AU711" s="301"/>
      <c r="AV711" s="301"/>
      <c r="AW711" s="88"/>
      <c r="AX711" s="298"/>
      <c r="AY711" s="299"/>
      <c r="AZ711" s="299"/>
      <c r="BA711" s="301"/>
      <c r="BB711" s="301"/>
      <c r="BC711" s="426"/>
      <c r="BD711" s="298"/>
      <c r="BE711" s="299"/>
      <c r="BF711" s="299"/>
      <c r="BG711" s="301"/>
      <c r="BH711" s="301"/>
      <c r="BI711" s="88"/>
      <c r="BJ711" s="298"/>
      <c r="BK711" s="299"/>
      <c r="BL711" s="299"/>
      <c r="BM711" s="301"/>
      <c r="BN711" s="301"/>
      <c r="BO711" s="88"/>
      <c r="BP711" s="9"/>
      <c r="BS711" s="81"/>
      <c r="BT711" s="81"/>
      <c r="BV711" s="9"/>
      <c r="BY711" s="81"/>
      <c r="BZ711" s="81"/>
      <c r="CB711" s="9"/>
      <c r="CE711" s="81"/>
      <c r="CF711" s="81"/>
      <c r="CH711" s="9"/>
      <c r="CK711" s="81"/>
      <c r="CL711" s="81"/>
      <c r="CR711" s="9"/>
      <c r="CS711" s="9"/>
      <c r="CT711" s="9"/>
      <c r="CU711" s="9"/>
      <c r="CV711" s="9"/>
      <c r="CW711" s="129"/>
      <c r="CX711" s="9"/>
    </row>
    <row r="712" spans="1:102">
      <c r="A712" s="6" t="str">
        <f t="shared" si="101"/>
        <v>01410998</v>
      </c>
      <c r="B712" s="6" t="s">
        <v>1791</v>
      </c>
      <c r="C712" s="6" t="s">
        <v>2091</v>
      </c>
      <c r="D712" s="6">
        <v>703</v>
      </c>
      <c r="E712" s="6">
        <v>141</v>
      </c>
      <c r="F712" s="6" t="s">
        <v>1547</v>
      </c>
      <c r="G712" s="6">
        <v>998</v>
      </c>
      <c r="H712" s="6" t="s">
        <v>1547</v>
      </c>
      <c r="I712" s="33">
        <v>0</v>
      </c>
      <c r="J712" s="88">
        <v>0</v>
      </c>
      <c r="K712" s="89">
        <f t="shared" si="110"/>
        <v>0</v>
      </c>
      <c r="L712" s="88">
        <f>IF(K714&gt;0, K712/K714, 0)</f>
        <v>0</v>
      </c>
      <c r="M712" s="58"/>
      <c r="N712" s="9">
        <f>ROUND(M714*L712,0)</f>
        <v>0</v>
      </c>
      <c r="O712" s="9">
        <v>0</v>
      </c>
      <c r="P712" s="9">
        <f>N712-O712</f>
        <v>0</v>
      </c>
      <c r="Q712" s="40">
        <f t="shared" si="109"/>
        <v>0</v>
      </c>
      <c r="R712" s="9">
        <v>0</v>
      </c>
      <c r="S712" s="9">
        <f t="shared" si="107"/>
        <v>0</v>
      </c>
      <c r="T712" s="90">
        <f t="shared" si="102"/>
        <v>141</v>
      </c>
      <c r="U712" s="90">
        <f t="shared" si="103"/>
        <v>998</v>
      </c>
      <c r="V712" s="373">
        <f t="shared" si="104"/>
        <v>703</v>
      </c>
      <c r="W712" s="90">
        <f t="shared" si="105"/>
        <v>0</v>
      </c>
      <c r="X712" s="90">
        <f t="shared" si="106"/>
        <v>0</v>
      </c>
      <c r="Y712" s="141">
        <f t="shared" si="108"/>
        <v>703</v>
      </c>
      <c r="Z712" s="298">
        <v>141</v>
      </c>
      <c r="AA712" s="299">
        <v>998</v>
      </c>
      <c r="AB712" s="299">
        <v>703</v>
      </c>
      <c r="AC712" s="301">
        <v>0</v>
      </c>
      <c r="AD712" s="301">
        <v>0</v>
      </c>
      <c r="AE712" s="126"/>
      <c r="AF712" s="298"/>
      <c r="AG712" s="299"/>
      <c r="AH712" s="299"/>
      <c r="AI712" s="301"/>
      <c r="AJ712" s="301"/>
      <c r="AK712" s="426"/>
      <c r="AL712" s="298"/>
      <c r="AM712" s="299"/>
      <c r="AN712" s="299"/>
      <c r="AO712" s="301"/>
      <c r="AP712" s="301"/>
      <c r="AQ712" s="426"/>
      <c r="AR712" s="298"/>
      <c r="AS712" s="299"/>
      <c r="AT712" s="299"/>
      <c r="AU712" s="301"/>
      <c r="AV712" s="301"/>
      <c r="AW712" s="88"/>
      <c r="AX712" s="298"/>
      <c r="AY712" s="299"/>
      <c r="AZ712" s="299"/>
      <c r="BA712" s="301"/>
      <c r="BB712" s="301"/>
      <c r="BC712" s="426"/>
      <c r="BD712" s="298"/>
      <c r="BE712" s="299"/>
      <c r="BF712" s="299"/>
      <c r="BG712" s="301"/>
      <c r="BH712" s="301"/>
      <c r="BI712" s="88"/>
      <c r="BJ712" s="298"/>
      <c r="BK712" s="299"/>
      <c r="BL712" s="299"/>
      <c r="BM712" s="301"/>
      <c r="BN712" s="301"/>
      <c r="BO712" s="88"/>
      <c r="BP712" s="9"/>
      <c r="BS712" s="81"/>
      <c r="BT712" s="81"/>
      <c r="BV712" s="9"/>
      <c r="BY712" s="81"/>
      <c r="BZ712" s="81"/>
      <c r="CB712" s="9"/>
      <c r="CE712" s="81"/>
      <c r="CF712" s="81"/>
      <c r="CH712" s="9"/>
      <c r="CK712" s="81"/>
      <c r="CL712" s="81"/>
      <c r="CR712" s="9"/>
      <c r="CS712" s="9"/>
      <c r="CT712" s="9"/>
      <c r="CU712" s="9"/>
      <c r="CV712" s="9"/>
      <c r="CW712" s="129"/>
      <c r="CX712" s="9"/>
    </row>
    <row r="713" spans="1:102">
      <c r="A713" s="6" t="str">
        <f t="shared" si="101"/>
        <v>01410998</v>
      </c>
      <c r="B713" s="6" t="s">
        <v>1791</v>
      </c>
      <c r="C713" s="6" t="s">
        <v>2091</v>
      </c>
      <c r="D713" s="6">
        <v>704</v>
      </c>
      <c r="E713" s="6">
        <v>141</v>
      </c>
      <c r="F713" s="6" t="s">
        <v>1547</v>
      </c>
      <c r="G713" s="6">
        <v>998</v>
      </c>
      <c r="H713" s="6" t="s">
        <v>1547</v>
      </c>
      <c r="I713" s="33">
        <v>0</v>
      </c>
      <c r="J713" s="88">
        <v>0</v>
      </c>
      <c r="K713" s="89">
        <f t="shared" si="110"/>
        <v>0</v>
      </c>
      <c r="L713" s="88">
        <f>IF(K714&gt;0, K713/K714, 0)</f>
        <v>0</v>
      </c>
      <c r="M713" s="58"/>
      <c r="N713" s="9">
        <f>ROUND(M714*L713,0)</f>
        <v>0</v>
      </c>
      <c r="O713" s="9">
        <v>0</v>
      </c>
      <c r="P713" s="9">
        <f>N713-O713</f>
        <v>0</v>
      </c>
      <c r="Q713" s="40">
        <f t="shared" si="109"/>
        <v>0</v>
      </c>
      <c r="R713" s="9">
        <v>0</v>
      </c>
      <c r="S713" s="9">
        <f t="shared" si="107"/>
        <v>0</v>
      </c>
      <c r="T713" s="90">
        <f t="shared" si="102"/>
        <v>141</v>
      </c>
      <c r="U713" s="90">
        <f t="shared" si="103"/>
        <v>998</v>
      </c>
      <c r="V713" s="373">
        <f t="shared" si="104"/>
        <v>704</v>
      </c>
      <c r="W713" s="90">
        <f t="shared" si="105"/>
        <v>0</v>
      </c>
      <c r="X713" s="90">
        <f t="shared" si="106"/>
        <v>0</v>
      </c>
      <c r="Y713" s="141">
        <f t="shared" si="108"/>
        <v>704</v>
      </c>
      <c r="Z713" s="298">
        <v>141</v>
      </c>
      <c r="AA713" s="299">
        <v>998</v>
      </c>
      <c r="AB713" s="299">
        <v>704</v>
      </c>
      <c r="AC713" s="301">
        <v>0</v>
      </c>
      <c r="AD713" s="301">
        <v>0</v>
      </c>
      <c r="AE713" s="126"/>
      <c r="AF713" s="298"/>
      <c r="AG713" s="299"/>
      <c r="AH713" s="299"/>
      <c r="AI713" s="301"/>
      <c r="AJ713" s="301"/>
      <c r="AK713" s="426"/>
      <c r="AL713" s="298"/>
      <c r="AM713" s="299"/>
      <c r="AN713" s="299"/>
      <c r="AO713" s="301"/>
      <c r="AP713" s="301"/>
      <c r="AQ713" s="426"/>
      <c r="AR713" s="298"/>
      <c r="AS713" s="299"/>
      <c r="AT713" s="299"/>
      <c r="AU713" s="301"/>
      <c r="AV713" s="301"/>
      <c r="AW713" s="88"/>
      <c r="AX713" s="298"/>
      <c r="AY713" s="299"/>
      <c r="AZ713" s="299"/>
      <c r="BA713" s="301"/>
      <c r="BB713" s="301"/>
      <c r="BC713" s="426"/>
      <c r="BD713" s="298"/>
      <c r="BE713" s="299"/>
      <c r="BF713" s="299"/>
      <c r="BG713" s="301"/>
      <c r="BH713" s="301"/>
      <c r="BI713" s="88"/>
      <c r="BJ713" s="298"/>
      <c r="BK713" s="299"/>
      <c r="BL713" s="299"/>
      <c r="BM713" s="301"/>
      <c r="BN713" s="301"/>
      <c r="BO713" s="88"/>
      <c r="BP713" s="9"/>
      <c r="BS713" s="81"/>
      <c r="BT713" s="81"/>
      <c r="BV713" s="9"/>
      <c r="BY713" s="81"/>
      <c r="BZ713" s="81"/>
      <c r="CB713" s="9"/>
      <c r="CE713" s="81"/>
      <c r="CF713" s="81"/>
      <c r="CH713" s="9"/>
      <c r="CK713" s="81"/>
      <c r="CL713" s="81"/>
      <c r="CR713" s="9"/>
      <c r="CS713" s="9"/>
      <c r="CT713" s="9"/>
      <c r="CU713" s="9"/>
      <c r="CV713" s="9"/>
      <c r="CW713" s="129"/>
      <c r="CX713" s="9"/>
    </row>
    <row r="714" spans="1:102">
      <c r="A714" s="6" t="str">
        <f t="shared" ref="A714:A777" si="111">B714&amp;C714</f>
        <v>01410999</v>
      </c>
      <c r="B714" s="6" t="s">
        <v>1791</v>
      </c>
      <c r="C714" s="6" t="s">
        <v>2092</v>
      </c>
      <c r="D714" s="6">
        <v>705</v>
      </c>
      <c r="E714" s="10">
        <v>141</v>
      </c>
      <c r="F714" s="10" t="s">
        <v>1259</v>
      </c>
      <c r="G714" s="10">
        <v>999</v>
      </c>
      <c r="H714" s="10" t="s">
        <v>593</v>
      </c>
      <c r="I714" s="92">
        <v>38732195.910956718</v>
      </c>
      <c r="J714" s="472">
        <v>1</v>
      </c>
      <c r="K714" s="53">
        <f>SUM(K710:K713)</f>
        <v>39806108.848408654</v>
      </c>
      <c r="L714" s="91">
        <f>SUM(L710:L713)</f>
        <v>0.99999999999999989</v>
      </c>
      <c r="M714" s="79">
        <f>VLOOKUP(E714,town351,24)</f>
        <v>25234927</v>
      </c>
      <c r="N714" s="79">
        <f>SUM(N710:N713)</f>
        <v>25234927</v>
      </c>
      <c r="O714" s="79">
        <v>24014966</v>
      </c>
      <c r="P714" s="79">
        <f>SUM(P710:P713)</f>
        <v>1219961</v>
      </c>
      <c r="Q714" s="39">
        <f t="shared" si="109"/>
        <v>5.0800030281117197</v>
      </c>
      <c r="R714" s="9">
        <v>2622.00000000197</v>
      </c>
      <c r="S714" s="9">
        <f t="shared" si="107"/>
        <v>2600.0000000041</v>
      </c>
      <c r="T714" s="90">
        <f t="shared" ref="T714:T777" si="112">VLOOKUP($D714, foundoptions, VLOOKUP($T$6, foundoptcell, 2, FALSE), FALSE)</f>
        <v>141</v>
      </c>
      <c r="U714" s="90">
        <f t="shared" ref="U714:U777" si="113">VLOOKUP($D714, foundoptions, VLOOKUP($T$6, foundoptcell, 2, FALSE)+1, FALSE)</f>
        <v>999</v>
      </c>
      <c r="V714" s="373">
        <f t="shared" ref="V714:V777" si="114">VLOOKUP($D714, foundoptions, VLOOKUP($T$6, foundoptcell, 2, FALSE)+2, FALSE)</f>
        <v>705</v>
      </c>
      <c r="W714" s="90">
        <f t="shared" ref="W714:W777" si="115">VLOOKUP($D714, foundoptions, VLOOKUP($T$6, foundoptcell, 2, FALSE)+3, FALSE)</f>
        <v>2600.0000000041</v>
      </c>
      <c r="X714" s="90">
        <f t="shared" ref="X714:X777" si="116">VLOOKUP($D714, foundoptions, VLOOKUP($T$6, foundoptcell, 2, FALSE)+4, FALSE)</f>
        <v>39806108.848408654</v>
      </c>
      <c r="Y714" s="141">
        <f t="shared" si="108"/>
        <v>705</v>
      </c>
      <c r="Z714" s="298">
        <v>141</v>
      </c>
      <c r="AA714" s="299">
        <v>999</v>
      </c>
      <c r="AB714" s="299">
        <v>705</v>
      </c>
      <c r="AC714" s="301">
        <v>2600.0000000041</v>
      </c>
      <c r="AD714" s="301">
        <v>39806108.848408654</v>
      </c>
      <c r="AE714" s="126"/>
      <c r="AF714" s="298"/>
      <c r="AG714" s="299"/>
      <c r="AH714" s="299"/>
      <c r="AI714" s="301"/>
      <c r="AJ714" s="301"/>
      <c r="AK714" s="426"/>
      <c r="AL714" s="298"/>
      <c r="AM714" s="299"/>
      <c r="AN714" s="299"/>
      <c r="AO714" s="301"/>
      <c r="AP714" s="301"/>
      <c r="AQ714" s="426"/>
      <c r="AR714" s="298"/>
      <c r="AS714" s="299"/>
      <c r="AT714" s="299"/>
      <c r="AU714" s="301"/>
      <c r="AV714" s="301"/>
      <c r="AW714" s="91"/>
      <c r="AX714" s="298"/>
      <c r="AY714" s="299"/>
      <c r="AZ714" s="299"/>
      <c r="BA714" s="301"/>
      <c r="BB714" s="301"/>
      <c r="BC714" s="426"/>
      <c r="BD714" s="298"/>
      <c r="BE714" s="299"/>
      <c r="BF714" s="299"/>
      <c r="BG714" s="301"/>
      <c r="BH714" s="301"/>
      <c r="BI714" s="91"/>
      <c r="BJ714" s="298"/>
      <c r="BK714" s="299"/>
      <c r="BL714" s="299"/>
      <c r="BM714" s="301"/>
      <c r="BN714" s="301"/>
      <c r="BO714" s="91"/>
      <c r="BP714" s="9"/>
      <c r="BS714" s="81"/>
      <c r="BT714" s="81"/>
      <c r="BV714" s="9"/>
      <c r="BY714" s="81"/>
      <c r="BZ714" s="81"/>
      <c r="CB714" s="9"/>
      <c r="CE714" s="81"/>
      <c r="CF714" s="81"/>
      <c r="CH714" s="9"/>
      <c r="CK714" s="81"/>
      <c r="CL714" s="81"/>
      <c r="CR714" s="9"/>
      <c r="CS714" s="9"/>
      <c r="CT714" s="9"/>
      <c r="CU714" s="9"/>
      <c r="CV714" s="9"/>
      <c r="CW714" s="129"/>
      <c r="CX714" s="9"/>
    </row>
    <row r="715" spans="1:102">
      <c r="A715" s="6" t="str">
        <f t="shared" si="111"/>
        <v>01420142</v>
      </c>
      <c r="B715" s="6" t="s">
        <v>1792</v>
      </c>
      <c r="C715" s="6" t="s">
        <v>1792</v>
      </c>
      <c r="D715" s="6">
        <v>706</v>
      </c>
      <c r="E715" s="6">
        <v>142</v>
      </c>
      <c r="F715" s="6" t="s">
        <v>1260</v>
      </c>
      <c r="G715" s="6">
        <v>142</v>
      </c>
      <c r="H715" s="6" t="s">
        <v>823</v>
      </c>
      <c r="I715" s="33">
        <v>10986735.571280001</v>
      </c>
      <c r="J715" s="88">
        <v>1</v>
      </c>
      <c r="K715" s="89">
        <f>X715</f>
        <v>10813118.211879998</v>
      </c>
      <c r="L715" s="88">
        <f>IF(K719&gt;0, K715/K719, 0)</f>
        <v>1</v>
      </c>
      <c r="M715" s="58"/>
      <c r="N715" s="9">
        <f>ROUND(M719*L715,0)</f>
        <v>8920823</v>
      </c>
      <c r="O715" s="9">
        <v>9052274</v>
      </c>
      <c r="P715" s="9">
        <f>N715-O715</f>
        <v>-131451</v>
      </c>
      <c r="Q715" s="40">
        <f t="shared" si="109"/>
        <v>-1.4521323592281896</v>
      </c>
      <c r="R715" s="9">
        <v>791</v>
      </c>
      <c r="S715" s="9">
        <f t="shared" ref="S715:S778" si="117">W715</f>
        <v>757</v>
      </c>
      <c r="T715" s="90">
        <f t="shared" si="112"/>
        <v>142</v>
      </c>
      <c r="U715" s="90">
        <f t="shared" si="113"/>
        <v>142</v>
      </c>
      <c r="V715" s="373">
        <f t="shared" si="114"/>
        <v>706</v>
      </c>
      <c r="W715" s="90">
        <f t="shared" si="115"/>
        <v>757</v>
      </c>
      <c r="X715" s="90">
        <f t="shared" si="116"/>
        <v>10813118.211879998</v>
      </c>
      <c r="Y715" s="141">
        <f t="shared" ref="Y715:Y778" si="118">D715</f>
        <v>706</v>
      </c>
      <c r="Z715" s="298">
        <v>142</v>
      </c>
      <c r="AA715" s="299">
        <v>142</v>
      </c>
      <c r="AB715" s="299">
        <v>706</v>
      </c>
      <c r="AC715" s="301">
        <v>757</v>
      </c>
      <c r="AD715" s="301">
        <v>10813118.211879998</v>
      </c>
      <c r="AE715" s="126"/>
      <c r="AF715" s="298"/>
      <c r="AG715" s="299"/>
      <c r="AH715" s="299"/>
      <c r="AI715" s="301"/>
      <c r="AJ715" s="301"/>
      <c r="AK715" s="426"/>
      <c r="AL715" s="298"/>
      <c r="AM715" s="299"/>
      <c r="AN715" s="299"/>
      <c r="AO715" s="301"/>
      <c r="AP715" s="301"/>
      <c r="AQ715" s="426"/>
      <c r="AR715" s="298"/>
      <c r="AS715" s="299"/>
      <c r="AT715" s="299"/>
      <c r="AU715" s="301"/>
      <c r="AV715" s="301"/>
      <c r="AW715" s="88"/>
      <c r="AX715" s="298"/>
      <c r="AY715" s="299"/>
      <c r="AZ715" s="299"/>
      <c r="BA715" s="301"/>
      <c r="BB715" s="301"/>
      <c r="BC715" s="426"/>
      <c r="BD715" s="298"/>
      <c r="BE715" s="299"/>
      <c r="BF715" s="299"/>
      <c r="BG715" s="301"/>
      <c r="BH715" s="301"/>
      <c r="BI715" s="88"/>
      <c r="BJ715" s="298"/>
      <c r="BK715" s="299"/>
      <c r="BL715" s="299"/>
      <c r="BM715" s="301"/>
      <c r="BN715" s="301"/>
      <c r="BO715" s="88"/>
      <c r="BP715" s="9"/>
      <c r="BS715" s="81"/>
      <c r="BT715" s="81"/>
      <c r="BV715" s="9"/>
      <c r="BY715" s="81"/>
      <c r="BZ715" s="81"/>
      <c r="CB715" s="9"/>
      <c r="CE715" s="81"/>
      <c r="CF715" s="81"/>
      <c r="CH715" s="9"/>
      <c r="CK715" s="81"/>
      <c r="CL715" s="81"/>
      <c r="CR715" s="9"/>
      <c r="CS715" s="9"/>
      <c r="CT715" s="9"/>
      <c r="CU715" s="9"/>
      <c r="CV715" s="9"/>
      <c r="CW715" s="129"/>
      <c r="CX715" s="9"/>
    </row>
    <row r="716" spans="1:102">
      <c r="A716" s="6" t="str">
        <f t="shared" si="111"/>
        <v>01420998</v>
      </c>
      <c r="B716" s="6" t="s">
        <v>1792</v>
      </c>
      <c r="C716" s="6" t="s">
        <v>2091</v>
      </c>
      <c r="D716" s="6">
        <v>707</v>
      </c>
      <c r="E716" s="6">
        <v>142</v>
      </c>
      <c r="F716" s="6" t="s">
        <v>1547</v>
      </c>
      <c r="G716" s="6">
        <v>998</v>
      </c>
      <c r="H716" s="6" t="s">
        <v>1547</v>
      </c>
      <c r="I716" s="33">
        <v>0</v>
      </c>
      <c r="J716" s="88">
        <v>0</v>
      </c>
      <c r="K716" s="89">
        <f t="shared" si="110"/>
        <v>0</v>
      </c>
      <c r="L716" s="88">
        <f>IF(K719&gt;0, K716/K719, 0)</f>
        <v>0</v>
      </c>
      <c r="M716" s="58"/>
      <c r="N716" s="9">
        <f>ROUND(M719*L716,0)</f>
        <v>0</v>
      </c>
      <c r="O716" s="9">
        <v>0</v>
      </c>
      <c r="P716" s="9">
        <f>N716-O716</f>
        <v>0</v>
      </c>
      <c r="Q716" s="40">
        <f t="shared" si="109"/>
        <v>0</v>
      </c>
      <c r="R716" s="9">
        <v>0</v>
      </c>
      <c r="S716" s="9">
        <f t="shared" si="117"/>
        <v>0</v>
      </c>
      <c r="T716" s="90">
        <f t="shared" si="112"/>
        <v>142</v>
      </c>
      <c r="U716" s="90">
        <f t="shared" si="113"/>
        <v>998</v>
      </c>
      <c r="V716" s="373">
        <f t="shared" si="114"/>
        <v>707</v>
      </c>
      <c r="W716" s="90">
        <f t="shared" si="115"/>
        <v>0</v>
      </c>
      <c r="X716" s="90">
        <f t="shared" si="116"/>
        <v>0</v>
      </c>
      <c r="Y716" s="141">
        <f t="shared" si="118"/>
        <v>707</v>
      </c>
      <c r="Z716" s="298">
        <v>142</v>
      </c>
      <c r="AA716" s="299">
        <v>998</v>
      </c>
      <c r="AB716" s="299">
        <v>707</v>
      </c>
      <c r="AC716" s="301">
        <v>0</v>
      </c>
      <c r="AD716" s="301">
        <v>0</v>
      </c>
      <c r="AE716" s="126"/>
      <c r="AF716" s="298"/>
      <c r="AG716" s="299"/>
      <c r="AH716" s="299"/>
      <c r="AI716" s="301"/>
      <c r="AJ716" s="301"/>
      <c r="AK716" s="426"/>
      <c r="AL716" s="298"/>
      <c r="AM716" s="299"/>
      <c r="AN716" s="299"/>
      <c r="AO716" s="301"/>
      <c r="AP716" s="301"/>
      <c r="AQ716" s="426"/>
      <c r="AR716" s="298"/>
      <c r="AS716" s="299"/>
      <c r="AT716" s="299"/>
      <c r="AU716" s="301"/>
      <c r="AV716" s="301"/>
      <c r="AW716" s="88"/>
      <c r="AX716" s="298"/>
      <c r="AY716" s="299"/>
      <c r="AZ716" s="299"/>
      <c r="BA716" s="301"/>
      <c r="BB716" s="301"/>
      <c r="BC716" s="426"/>
      <c r="BD716" s="298"/>
      <c r="BE716" s="299"/>
      <c r="BF716" s="299"/>
      <c r="BG716" s="301"/>
      <c r="BH716" s="301"/>
      <c r="BI716" s="88"/>
      <c r="BJ716" s="298"/>
      <c r="BK716" s="299"/>
      <c r="BL716" s="299"/>
      <c r="BM716" s="301"/>
      <c r="BN716" s="301"/>
      <c r="BO716" s="88"/>
      <c r="BP716" s="9"/>
      <c r="BS716" s="81"/>
      <c r="BT716" s="81"/>
      <c r="BV716" s="9"/>
      <c r="BY716" s="81"/>
      <c r="BZ716" s="81"/>
      <c r="CB716" s="9"/>
      <c r="CE716" s="81"/>
      <c r="CF716" s="81"/>
      <c r="CH716" s="9"/>
      <c r="CK716" s="81"/>
      <c r="CL716" s="81"/>
      <c r="CR716" s="9"/>
      <c r="CS716" s="9"/>
      <c r="CT716" s="9"/>
      <c r="CU716" s="9"/>
      <c r="CV716" s="9"/>
      <c r="CW716" s="129"/>
      <c r="CX716" s="9"/>
    </row>
    <row r="717" spans="1:102">
      <c r="A717" s="6" t="str">
        <f t="shared" si="111"/>
        <v>01420998</v>
      </c>
      <c r="B717" s="6" t="s">
        <v>1792</v>
      </c>
      <c r="C717" s="6" t="s">
        <v>2091</v>
      </c>
      <c r="D717" s="6">
        <v>708</v>
      </c>
      <c r="E717" s="6">
        <v>142</v>
      </c>
      <c r="F717" s="6" t="s">
        <v>1547</v>
      </c>
      <c r="G717" s="6">
        <v>998</v>
      </c>
      <c r="H717" s="6" t="s">
        <v>1547</v>
      </c>
      <c r="I717" s="33">
        <v>0</v>
      </c>
      <c r="J717" s="88">
        <v>0</v>
      </c>
      <c r="K717" s="89">
        <f t="shared" si="110"/>
        <v>0</v>
      </c>
      <c r="L717" s="88">
        <f>IF(K719&gt;0, K717/K719, 0)</f>
        <v>0</v>
      </c>
      <c r="M717" s="58"/>
      <c r="N717" s="9">
        <f>ROUND(M719*L717,0)</f>
        <v>0</v>
      </c>
      <c r="O717" s="9">
        <v>0</v>
      </c>
      <c r="P717" s="9">
        <f>N717-O717</f>
        <v>0</v>
      </c>
      <c r="Q717" s="40">
        <f t="shared" si="109"/>
        <v>0</v>
      </c>
      <c r="R717" s="9">
        <v>0</v>
      </c>
      <c r="S717" s="9">
        <f t="shared" si="117"/>
        <v>0</v>
      </c>
      <c r="T717" s="90">
        <f t="shared" si="112"/>
        <v>142</v>
      </c>
      <c r="U717" s="90">
        <f t="shared" si="113"/>
        <v>998</v>
      </c>
      <c r="V717" s="373">
        <f t="shared" si="114"/>
        <v>708</v>
      </c>
      <c r="W717" s="90">
        <f t="shared" si="115"/>
        <v>0</v>
      </c>
      <c r="X717" s="90">
        <f t="shared" si="116"/>
        <v>0</v>
      </c>
      <c r="Y717" s="141">
        <f t="shared" si="118"/>
        <v>708</v>
      </c>
      <c r="Z717" s="298">
        <v>142</v>
      </c>
      <c r="AA717" s="299">
        <v>998</v>
      </c>
      <c r="AB717" s="299">
        <v>708</v>
      </c>
      <c r="AC717" s="301">
        <v>0</v>
      </c>
      <c r="AD717" s="301">
        <v>0</v>
      </c>
      <c r="AE717" s="126"/>
      <c r="AF717" s="298"/>
      <c r="AG717" s="299"/>
      <c r="AH717" s="299"/>
      <c r="AI717" s="301"/>
      <c r="AJ717" s="301"/>
      <c r="AK717" s="426"/>
      <c r="AL717" s="298"/>
      <c r="AM717" s="299"/>
      <c r="AN717" s="299"/>
      <c r="AO717" s="301"/>
      <c r="AP717" s="301"/>
      <c r="AQ717" s="426"/>
      <c r="AR717" s="298"/>
      <c r="AS717" s="299"/>
      <c r="AT717" s="299"/>
      <c r="AU717" s="301"/>
      <c r="AV717" s="301"/>
      <c r="AW717" s="88"/>
      <c r="AX717" s="298"/>
      <c r="AY717" s="299"/>
      <c r="AZ717" s="299"/>
      <c r="BA717" s="301"/>
      <c r="BB717" s="301"/>
      <c r="BC717" s="426"/>
      <c r="BD717" s="298"/>
      <c r="BE717" s="299"/>
      <c r="BF717" s="299"/>
      <c r="BG717" s="301"/>
      <c r="BH717" s="301"/>
      <c r="BI717" s="88"/>
      <c r="BJ717" s="298"/>
      <c r="BK717" s="299"/>
      <c r="BL717" s="299"/>
      <c r="BM717" s="301"/>
      <c r="BN717" s="301"/>
      <c r="BO717" s="88"/>
      <c r="BP717" s="9"/>
      <c r="BS717" s="81"/>
      <c r="BT717" s="81"/>
      <c r="BV717" s="9"/>
      <c r="BY717" s="81"/>
      <c r="BZ717" s="81"/>
      <c r="CB717" s="9"/>
      <c r="CE717" s="81"/>
      <c r="CF717" s="81"/>
      <c r="CH717" s="9"/>
      <c r="CK717" s="81"/>
      <c r="CL717" s="81"/>
      <c r="CR717" s="9"/>
      <c r="CS717" s="9"/>
      <c r="CT717" s="9"/>
      <c r="CU717" s="9"/>
      <c r="CV717" s="9"/>
      <c r="CW717" s="129"/>
      <c r="CX717" s="9"/>
    </row>
    <row r="718" spans="1:102">
      <c r="A718" s="6" t="str">
        <f t="shared" si="111"/>
        <v>01420998</v>
      </c>
      <c r="B718" s="6" t="s">
        <v>1792</v>
      </c>
      <c r="C718" s="6" t="s">
        <v>2091</v>
      </c>
      <c r="D718" s="6">
        <v>709</v>
      </c>
      <c r="E718" s="6">
        <v>142</v>
      </c>
      <c r="F718" s="6" t="s">
        <v>1547</v>
      </c>
      <c r="G718" s="6">
        <v>998</v>
      </c>
      <c r="H718" s="6" t="s">
        <v>1547</v>
      </c>
      <c r="I718" s="33">
        <v>0</v>
      </c>
      <c r="J718" s="88">
        <v>0</v>
      </c>
      <c r="K718" s="89">
        <f t="shared" si="110"/>
        <v>0</v>
      </c>
      <c r="L718" s="88">
        <f>IF(K719&gt;0, K718/K719, 0)</f>
        <v>0</v>
      </c>
      <c r="M718" s="58"/>
      <c r="N718" s="9">
        <f>ROUND(M719*L718,0)</f>
        <v>0</v>
      </c>
      <c r="O718" s="9">
        <v>0</v>
      </c>
      <c r="P718" s="9">
        <f>N718-O718</f>
        <v>0</v>
      </c>
      <c r="Q718" s="40">
        <f t="shared" si="109"/>
        <v>0</v>
      </c>
      <c r="R718" s="9">
        <v>0</v>
      </c>
      <c r="S718" s="9">
        <f t="shared" si="117"/>
        <v>0</v>
      </c>
      <c r="T718" s="90">
        <f t="shared" si="112"/>
        <v>142</v>
      </c>
      <c r="U718" s="90">
        <f t="shared" si="113"/>
        <v>998</v>
      </c>
      <c r="V718" s="373">
        <f t="shared" si="114"/>
        <v>709</v>
      </c>
      <c r="W718" s="90">
        <f t="shared" si="115"/>
        <v>0</v>
      </c>
      <c r="X718" s="90">
        <f t="shared" si="116"/>
        <v>0</v>
      </c>
      <c r="Y718" s="141">
        <f t="shared" si="118"/>
        <v>709</v>
      </c>
      <c r="Z718" s="298">
        <v>142</v>
      </c>
      <c r="AA718" s="299">
        <v>998</v>
      </c>
      <c r="AB718" s="299">
        <v>709</v>
      </c>
      <c r="AC718" s="301">
        <v>0</v>
      </c>
      <c r="AD718" s="301">
        <v>0</v>
      </c>
      <c r="AE718" s="126"/>
      <c r="AF718" s="298"/>
      <c r="AG718" s="299"/>
      <c r="AH718" s="299"/>
      <c r="AI718" s="301"/>
      <c r="AJ718" s="301"/>
      <c r="AK718" s="426"/>
      <c r="AL718" s="298"/>
      <c r="AM718" s="299"/>
      <c r="AN718" s="299"/>
      <c r="AO718" s="301"/>
      <c r="AP718" s="301"/>
      <c r="AQ718" s="426"/>
      <c r="AR718" s="298"/>
      <c r="AS718" s="299"/>
      <c r="AT718" s="299"/>
      <c r="AU718" s="301"/>
      <c r="AV718" s="301"/>
      <c r="AW718" s="88"/>
      <c r="AX718" s="298"/>
      <c r="AY718" s="299"/>
      <c r="AZ718" s="299"/>
      <c r="BA718" s="301"/>
      <c r="BB718" s="301"/>
      <c r="BC718" s="426"/>
      <c r="BD718" s="298"/>
      <c r="BE718" s="299"/>
      <c r="BF718" s="299"/>
      <c r="BG718" s="301"/>
      <c r="BH718" s="301"/>
      <c r="BI718" s="88"/>
      <c r="BJ718" s="298"/>
      <c r="BK718" s="299"/>
      <c r="BL718" s="299"/>
      <c r="BM718" s="301"/>
      <c r="BN718" s="301"/>
      <c r="BO718" s="88"/>
      <c r="BP718" s="9"/>
      <c r="BS718" s="81"/>
      <c r="BT718" s="81"/>
      <c r="BV718" s="9"/>
      <c r="BY718" s="81"/>
      <c r="BZ718" s="81"/>
      <c r="CB718" s="9"/>
      <c r="CE718" s="81"/>
      <c r="CF718" s="81"/>
      <c r="CH718" s="9"/>
      <c r="CK718" s="81"/>
      <c r="CL718" s="81"/>
      <c r="CR718" s="9"/>
      <c r="CS718" s="9"/>
      <c r="CT718" s="9"/>
      <c r="CU718" s="9"/>
      <c r="CV718" s="9"/>
      <c r="CW718" s="129"/>
      <c r="CX718" s="9"/>
    </row>
    <row r="719" spans="1:102">
      <c r="A719" s="6" t="str">
        <f t="shared" si="111"/>
        <v>01420999</v>
      </c>
      <c r="B719" s="6" t="s">
        <v>1792</v>
      </c>
      <c r="C719" s="6" t="s">
        <v>2092</v>
      </c>
      <c r="D719" s="6">
        <v>710</v>
      </c>
      <c r="E719" s="10">
        <v>142</v>
      </c>
      <c r="F719" s="10" t="s">
        <v>1260</v>
      </c>
      <c r="G719" s="10">
        <v>999</v>
      </c>
      <c r="H719" s="10" t="s">
        <v>593</v>
      </c>
      <c r="I719" s="92">
        <v>10986735.571280001</v>
      </c>
      <c r="J719" s="472">
        <v>1</v>
      </c>
      <c r="K719" s="53">
        <f>SUM(K715:K718)</f>
        <v>10813118.211879998</v>
      </c>
      <c r="L719" s="91">
        <f>SUM(L715:L718)</f>
        <v>1</v>
      </c>
      <c r="M719" s="79">
        <f>VLOOKUP(E719,town351,24)</f>
        <v>8920823</v>
      </c>
      <c r="N719" s="79">
        <f>SUM(N715:N718)</f>
        <v>8920823</v>
      </c>
      <c r="O719" s="79">
        <v>9052274</v>
      </c>
      <c r="P719" s="79">
        <f>SUM(P715:P718)</f>
        <v>-131451</v>
      </c>
      <c r="Q719" s="39">
        <f t="shared" si="109"/>
        <v>-1.4521323592281896</v>
      </c>
      <c r="R719" s="9">
        <v>791</v>
      </c>
      <c r="S719" s="9">
        <f t="shared" si="117"/>
        <v>757</v>
      </c>
      <c r="T719" s="90">
        <f t="shared" si="112"/>
        <v>142</v>
      </c>
      <c r="U719" s="90">
        <f t="shared" si="113"/>
        <v>999</v>
      </c>
      <c r="V719" s="373">
        <f t="shared" si="114"/>
        <v>710</v>
      </c>
      <c r="W719" s="90">
        <f t="shared" si="115"/>
        <v>757</v>
      </c>
      <c r="X719" s="90">
        <f t="shared" si="116"/>
        <v>10813118.211879998</v>
      </c>
      <c r="Y719" s="141">
        <f t="shared" si="118"/>
        <v>710</v>
      </c>
      <c r="Z719" s="298">
        <v>142</v>
      </c>
      <c r="AA719" s="299">
        <v>999</v>
      </c>
      <c r="AB719" s="299">
        <v>710</v>
      </c>
      <c r="AC719" s="301">
        <v>757</v>
      </c>
      <c r="AD719" s="301">
        <v>10813118.211879998</v>
      </c>
      <c r="AE719" s="126"/>
      <c r="AF719" s="298"/>
      <c r="AG719" s="299"/>
      <c r="AH719" s="299"/>
      <c r="AI719" s="301"/>
      <c r="AJ719" s="301"/>
      <c r="AK719" s="426"/>
      <c r="AL719" s="298"/>
      <c r="AM719" s="299"/>
      <c r="AN719" s="299"/>
      <c r="AO719" s="301"/>
      <c r="AP719" s="301"/>
      <c r="AQ719" s="426"/>
      <c r="AR719" s="298"/>
      <c r="AS719" s="299"/>
      <c r="AT719" s="299"/>
      <c r="AU719" s="301"/>
      <c r="AV719" s="301"/>
      <c r="AW719" s="91"/>
      <c r="AX719" s="298"/>
      <c r="AY719" s="299"/>
      <c r="AZ719" s="299"/>
      <c r="BA719" s="301"/>
      <c r="BB719" s="301"/>
      <c r="BC719" s="426"/>
      <c r="BD719" s="298"/>
      <c r="BE719" s="299"/>
      <c r="BF719" s="299"/>
      <c r="BG719" s="301"/>
      <c r="BH719" s="301"/>
      <c r="BI719" s="91"/>
      <c r="BJ719" s="298"/>
      <c r="BK719" s="299"/>
      <c r="BL719" s="299"/>
      <c r="BM719" s="301"/>
      <c r="BN719" s="301"/>
      <c r="BO719" s="91"/>
      <c r="BP719" s="9"/>
      <c r="BS719" s="81"/>
      <c r="BT719" s="81"/>
      <c r="BV719" s="9"/>
      <c r="BY719" s="81"/>
      <c r="BZ719" s="81"/>
      <c r="CB719" s="9"/>
      <c r="CE719" s="81"/>
      <c r="CF719" s="81"/>
      <c r="CH719" s="9"/>
      <c r="CK719" s="81"/>
      <c r="CL719" s="81"/>
      <c r="CR719" s="9"/>
      <c r="CS719" s="9"/>
      <c r="CT719" s="9"/>
      <c r="CU719" s="9"/>
      <c r="CV719" s="9"/>
      <c r="CW719" s="129"/>
      <c r="CX719" s="9"/>
    </row>
    <row r="720" spans="1:102">
      <c r="A720" s="6" t="str">
        <f t="shared" si="111"/>
        <v>01430143</v>
      </c>
      <c r="B720" s="6" t="s">
        <v>1793</v>
      </c>
      <c r="C720" s="6" t="s">
        <v>1793</v>
      </c>
      <c r="D720" s="6">
        <v>711</v>
      </c>
      <c r="E720" s="6">
        <v>143</v>
      </c>
      <c r="F720" s="6" t="s">
        <v>1261</v>
      </c>
      <c r="G720" s="6">
        <v>143</v>
      </c>
      <c r="H720" s="6" t="s">
        <v>824</v>
      </c>
      <c r="I720" s="33">
        <v>572755.80000000005</v>
      </c>
      <c r="J720" s="88">
        <v>0.12166881902330988</v>
      </c>
      <c r="K720" s="89">
        <f>X720</f>
        <v>686499.45000000007</v>
      </c>
      <c r="L720" s="88">
        <f>IF(K724&gt;0, K720/K724, 0)</f>
        <v>0.14176313441419561</v>
      </c>
      <c r="M720" s="58"/>
      <c r="N720" s="9">
        <f>ROUND(M724*L720,0)</f>
        <v>265317</v>
      </c>
      <c r="O720" s="9">
        <v>217988</v>
      </c>
      <c r="P720" s="9">
        <f>N720-O720</f>
        <v>47329</v>
      </c>
      <c r="Q720" s="40">
        <f>IF(O720&gt;0,P720*100/O720,IF(P720&gt;0,100,0))</f>
        <v>21.711745600675268</v>
      </c>
      <c r="R720" s="9">
        <v>31</v>
      </c>
      <c r="S720" s="9">
        <f t="shared" si="117"/>
        <v>37</v>
      </c>
      <c r="T720" s="90">
        <f t="shared" si="112"/>
        <v>143</v>
      </c>
      <c r="U720" s="90">
        <f t="shared" si="113"/>
        <v>143</v>
      </c>
      <c r="V720" s="373">
        <f t="shared" si="114"/>
        <v>711</v>
      </c>
      <c r="W720" s="90">
        <f t="shared" si="115"/>
        <v>37</v>
      </c>
      <c r="X720" s="90">
        <f t="shared" si="116"/>
        <v>686499.45000000007</v>
      </c>
      <c r="Y720" s="141">
        <f t="shared" si="118"/>
        <v>711</v>
      </c>
      <c r="Z720" s="298">
        <v>143</v>
      </c>
      <c r="AA720" s="299">
        <v>143</v>
      </c>
      <c r="AB720" s="299">
        <v>711</v>
      </c>
      <c r="AC720" s="301">
        <v>37</v>
      </c>
      <c r="AD720" s="301">
        <v>686499.45000000007</v>
      </c>
      <c r="AE720" s="126"/>
      <c r="AF720" s="298"/>
      <c r="AG720" s="299"/>
      <c r="AH720" s="299"/>
      <c r="AI720" s="301"/>
      <c r="AJ720" s="301"/>
      <c r="AK720" s="426"/>
      <c r="AL720" s="298"/>
      <c r="AM720" s="299"/>
      <c r="AN720" s="299"/>
      <c r="AO720" s="301"/>
      <c r="AP720" s="301"/>
      <c r="AQ720" s="426"/>
      <c r="AR720" s="298"/>
      <c r="AS720" s="299"/>
      <c r="AT720" s="299"/>
      <c r="AU720" s="301"/>
      <c r="AV720" s="301"/>
      <c r="AW720" s="88"/>
      <c r="AX720" s="298"/>
      <c r="AY720" s="299"/>
      <c r="AZ720" s="299"/>
      <c r="BA720" s="301"/>
      <c r="BB720" s="301"/>
      <c r="BC720" s="426"/>
      <c r="BD720" s="298"/>
      <c r="BE720" s="299"/>
      <c r="BF720" s="299"/>
      <c r="BG720" s="301"/>
      <c r="BH720" s="301"/>
      <c r="BI720" s="88"/>
      <c r="BJ720" s="298"/>
      <c r="BK720" s="299"/>
      <c r="BL720" s="299"/>
      <c r="BM720" s="301"/>
      <c r="BN720" s="301"/>
      <c r="BO720" s="88"/>
      <c r="BP720" s="9"/>
      <c r="BS720" s="81"/>
      <c r="BT720" s="81"/>
      <c r="BV720" s="9"/>
      <c r="BY720" s="81"/>
      <c r="BZ720" s="81"/>
      <c r="CB720" s="9"/>
      <c r="CE720" s="81"/>
      <c r="CF720" s="81"/>
      <c r="CH720" s="9"/>
      <c r="CK720" s="81"/>
      <c r="CL720" s="81"/>
      <c r="CR720" s="9"/>
      <c r="CS720" s="9"/>
      <c r="CT720" s="9"/>
      <c r="CU720" s="9"/>
      <c r="CV720" s="9"/>
      <c r="CW720" s="129"/>
      <c r="CX720" s="9"/>
    </row>
    <row r="721" spans="1:102">
      <c r="A721" s="6" t="str">
        <f t="shared" si="111"/>
        <v>01430672</v>
      </c>
      <c r="B721" s="6" t="s">
        <v>1793</v>
      </c>
      <c r="C721" s="6" t="s">
        <v>2025</v>
      </c>
      <c r="D721" s="6">
        <v>712</v>
      </c>
      <c r="E721" s="6">
        <v>143</v>
      </c>
      <c r="F721" s="6" t="s">
        <v>1261</v>
      </c>
      <c r="G721" s="6">
        <v>672</v>
      </c>
      <c r="H721" s="6" t="s">
        <v>1055</v>
      </c>
      <c r="I721" s="33">
        <v>4134742.8393208012</v>
      </c>
      <c r="J721" s="88">
        <v>0.87833118097669016</v>
      </c>
      <c r="K721" s="89">
        <f t="shared" si="110"/>
        <v>4156081.470891777</v>
      </c>
      <c r="L721" s="88">
        <f>IF(K724&gt;0, K721/K724, 0)</f>
        <v>0.85823686558580448</v>
      </c>
      <c r="M721" s="58"/>
      <c r="N721" s="9">
        <f>ROUND(M724*L721,0)</f>
        <v>1606237</v>
      </c>
      <c r="O721" s="9">
        <v>1573659</v>
      </c>
      <c r="P721" s="9">
        <f>N721-O721</f>
        <v>32578</v>
      </c>
      <c r="Q721" s="40">
        <f>IF(O721&gt;0,P721*100/O721,IF(P721&gt;0,100,0))</f>
        <v>2.0702070778993416</v>
      </c>
      <c r="R721" s="9">
        <v>280.85121951162</v>
      </c>
      <c r="S721" s="9">
        <f t="shared" si="117"/>
        <v>265.7142857165</v>
      </c>
      <c r="T721" s="90">
        <f t="shared" si="112"/>
        <v>143</v>
      </c>
      <c r="U721" s="90">
        <f t="shared" si="113"/>
        <v>672</v>
      </c>
      <c r="V721" s="373">
        <f t="shared" si="114"/>
        <v>712</v>
      </c>
      <c r="W721" s="90">
        <f t="shared" si="115"/>
        <v>265.7142857165</v>
      </c>
      <c r="X721" s="90">
        <f t="shared" si="116"/>
        <v>4156081.470891777</v>
      </c>
      <c r="Y721" s="141">
        <f t="shared" si="118"/>
        <v>712</v>
      </c>
      <c r="Z721" s="298">
        <v>143</v>
      </c>
      <c r="AA721" s="299">
        <v>672</v>
      </c>
      <c r="AB721" s="299">
        <v>712</v>
      </c>
      <c r="AC721" s="301">
        <v>265.7142857165</v>
      </c>
      <c r="AD721" s="301">
        <v>4156081.470891777</v>
      </c>
      <c r="AE721" s="126"/>
      <c r="AF721" s="298"/>
      <c r="AG721" s="299"/>
      <c r="AH721" s="299"/>
      <c r="AI721" s="301"/>
      <c r="AJ721" s="301"/>
      <c r="AK721" s="426"/>
      <c r="AL721" s="298"/>
      <c r="AM721" s="299"/>
      <c r="AN721" s="299"/>
      <c r="AO721" s="301"/>
      <c r="AP721" s="301"/>
      <c r="AQ721" s="426"/>
      <c r="AR721" s="298"/>
      <c r="AS721" s="299"/>
      <c r="AT721" s="299"/>
      <c r="AU721" s="301"/>
      <c r="AV721" s="301"/>
      <c r="AW721" s="88"/>
      <c r="AX721" s="298"/>
      <c r="AY721" s="299"/>
      <c r="AZ721" s="299"/>
      <c r="BA721" s="301"/>
      <c r="BB721" s="301"/>
      <c r="BC721" s="426"/>
      <c r="BD721" s="298"/>
      <c r="BE721" s="299"/>
      <c r="BF721" s="299"/>
      <c r="BG721" s="301"/>
      <c r="BH721" s="301"/>
      <c r="BI721" s="88"/>
      <c r="BJ721" s="298"/>
      <c r="BK721" s="299"/>
      <c r="BL721" s="299"/>
      <c r="BM721" s="301"/>
      <c r="BN721" s="301"/>
      <c r="BO721" s="88"/>
      <c r="BP721" s="9"/>
      <c r="BS721" s="81"/>
      <c r="BT721" s="81"/>
      <c r="BV721" s="9"/>
      <c r="BY721" s="81"/>
      <c r="BZ721" s="81"/>
      <c r="CB721" s="9"/>
      <c r="CE721" s="81"/>
      <c r="CF721" s="81"/>
      <c r="CH721" s="9"/>
      <c r="CK721" s="81"/>
      <c r="CL721" s="81"/>
      <c r="CR721" s="9"/>
      <c r="CS721" s="9"/>
      <c r="CT721" s="9"/>
      <c r="CU721" s="9"/>
      <c r="CV721" s="9"/>
      <c r="CW721" s="129"/>
      <c r="CX721" s="9"/>
    </row>
    <row r="722" spans="1:102">
      <c r="A722" s="6" t="str">
        <f t="shared" si="111"/>
        <v>01430998</v>
      </c>
      <c r="B722" s="6" t="s">
        <v>1793</v>
      </c>
      <c r="C722" s="6" t="s">
        <v>2091</v>
      </c>
      <c r="D722" s="6">
        <v>713</v>
      </c>
      <c r="E722" s="6">
        <v>143</v>
      </c>
      <c r="F722" s="6" t="s">
        <v>1547</v>
      </c>
      <c r="G722" s="6">
        <v>998</v>
      </c>
      <c r="H722" s="6" t="s">
        <v>1547</v>
      </c>
      <c r="I722" s="33">
        <v>0</v>
      </c>
      <c r="J722" s="88">
        <v>0</v>
      </c>
      <c r="K722" s="89">
        <f t="shared" si="110"/>
        <v>0</v>
      </c>
      <c r="L722" s="88">
        <f>IF(K724&gt;0, K722/K724, 0)</f>
        <v>0</v>
      </c>
      <c r="M722" s="58"/>
      <c r="N722" s="9">
        <f>ROUND(M724*L722,0)</f>
        <v>0</v>
      </c>
      <c r="O722" s="9">
        <v>0</v>
      </c>
      <c r="P722" s="9">
        <f>N722-O722</f>
        <v>0</v>
      </c>
      <c r="Q722" s="40">
        <f>IF(O722&gt;0,P722*100/O722,IF(P722&gt;0,100,0))</f>
        <v>0</v>
      </c>
      <c r="R722" s="9">
        <v>0</v>
      </c>
      <c r="S722" s="9">
        <f t="shared" si="117"/>
        <v>0</v>
      </c>
      <c r="T722" s="90">
        <f t="shared" si="112"/>
        <v>143</v>
      </c>
      <c r="U722" s="90">
        <f t="shared" si="113"/>
        <v>998</v>
      </c>
      <c r="V722" s="373">
        <f t="shared" si="114"/>
        <v>713</v>
      </c>
      <c r="W722" s="90">
        <f t="shared" si="115"/>
        <v>0</v>
      </c>
      <c r="X722" s="90">
        <f t="shared" si="116"/>
        <v>0</v>
      </c>
      <c r="Y722" s="141">
        <f t="shared" si="118"/>
        <v>713</v>
      </c>
      <c r="Z722" s="298">
        <v>143</v>
      </c>
      <c r="AA722" s="299">
        <v>998</v>
      </c>
      <c r="AB722" s="299">
        <v>713</v>
      </c>
      <c r="AC722" s="301">
        <v>0</v>
      </c>
      <c r="AD722" s="301">
        <v>0</v>
      </c>
      <c r="AE722" s="126"/>
      <c r="AF722" s="298"/>
      <c r="AG722" s="299"/>
      <c r="AH722" s="299"/>
      <c r="AI722" s="301"/>
      <c r="AJ722" s="301"/>
      <c r="AK722" s="426"/>
      <c r="AL722" s="298"/>
      <c r="AM722" s="299"/>
      <c r="AN722" s="299"/>
      <c r="AO722" s="301"/>
      <c r="AP722" s="301"/>
      <c r="AQ722" s="426"/>
      <c r="AR722" s="298"/>
      <c r="AS722" s="299"/>
      <c r="AT722" s="299"/>
      <c r="AU722" s="301"/>
      <c r="AV722" s="301"/>
      <c r="AW722" s="88"/>
      <c r="AX722" s="298"/>
      <c r="AY722" s="299"/>
      <c r="AZ722" s="299"/>
      <c r="BA722" s="301"/>
      <c r="BB722" s="301"/>
      <c r="BC722" s="426"/>
      <c r="BD722" s="298"/>
      <c r="BE722" s="299"/>
      <c r="BF722" s="299"/>
      <c r="BG722" s="301"/>
      <c r="BH722" s="301"/>
      <c r="BI722" s="88"/>
      <c r="BJ722" s="298"/>
      <c r="BK722" s="299"/>
      <c r="BL722" s="299"/>
      <c r="BM722" s="301"/>
      <c r="BN722" s="301"/>
      <c r="BO722" s="88"/>
      <c r="BP722" s="9"/>
      <c r="BS722" s="81"/>
      <c r="BT722" s="81"/>
      <c r="BV722" s="9"/>
      <c r="BY722" s="81"/>
      <c r="BZ722" s="81"/>
      <c r="CB722" s="9"/>
      <c r="CE722" s="81"/>
      <c r="CF722" s="81"/>
      <c r="CH722" s="9"/>
      <c r="CK722" s="81"/>
      <c r="CL722" s="81"/>
      <c r="CR722" s="9"/>
      <c r="CS722" s="9"/>
      <c r="CT722" s="9"/>
      <c r="CU722" s="9"/>
      <c r="CV722" s="9"/>
      <c r="CW722" s="129"/>
      <c r="CX722" s="9"/>
    </row>
    <row r="723" spans="1:102">
      <c r="A723" s="6" t="str">
        <f t="shared" si="111"/>
        <v>01430998</v>
      </c>
      <c r="B723" s="6" t="s">
        <v>1793</v>
      </c>
      <c r="C723" s="6" t="s">
        <v>2091</v>
      </c>
      <c r="D723" s="6">
        <v>714</v>
      </c>
      <c r="E723" s="6">
        <v>143</v>
      </c>
      <c r="F723" s="6" t="s">
        <v>1547</v>
      </c>
      <c r="G723" s="6">
        <v>998</v>
      </c>
      <c r="H723" s="6" t="s">
        <v>1547</v>
      </c>
      <c r="I723" s="33">
        <v>0</v>
      </c>
      <c r="J723" s="88">
        <v>0</v>
      </c>
      <c r="K723" s="89">
        <f t="shared" si="110"/>
        <v>0</v>
      </c>
      <c r="L723" s="88">
        <f>IF(K724&gt;0, K723/K724, 0)</f>
        <v>0</v>
      </c>
      <c r="M723" s="58"/>
      <c r="N723" s="9">
        <f>ROUND(M724*L723,0)</f>
        <v>0</v>
      </c>
      <c r="O723" s="9">
        <v>0</v>
      </c>
      <c r="P723" s="9">
        <f>N723-O723</f>
        <v>0</v>
      </c>
      <c r="Q723" s="40">
        <f>IF(O723&gt;0,P723*100/O723,IF(P723&gt;0,100,0))</f>
        <v>0</v>
      </c>
      <c r="R723" s="9">
        <v>0</v>
      </c>
      <c r="S723" s="9">
        <f t="shared" si="117"/>
        <v>0</v>
      </c>
      <c r="T723" s="90">
        <f t="shared" si="112"/>
        <v>143</v>
      </c>
      <c r="U723" s="90">
        <f t="shared" si="113"/>
        <v>998</v>
      </c>
      <c r="V723" s="373">
        <f t="shared" si="114"/>
        <v>714</v>
      </c>
      <c r="W723" s="90">
        <f t="shared" si="115"/>
        <v>0</v>
      </c>
      <c r="X723" s="90">
        <f t="shared" si="116"/>
        <v>0</v>
      </c>
      <c r="Y723" s="141">
        <f t="shared" si="118"/>
        <v>714</v>
      </c>
      <c r="Z723" s="298">
        <v>143</v>
      </c>
      <c r="AA723" s="299">
        <v>998</v>
      </c>
      <c r="AB723" s="299">
        <v>714</v>
      </c>
      <c r="AC723" s="301">
        <v>0</v>
      </c>
      <c r="AD723" s="301">
        <v>0</v>
      </c>
      <c r="AE723" s="126"/>
      <c r="AF723" s="298"/>
      <c r="AG723" s="299"/>
      <c r="AH723" s="299"/>
      <c r="AI723" s="301"/>
      <c r="AJ723" s="301"/>
      <c r="AK723" s="426"/>
      <c r="AL723" s="298"/>
      <c r="AM723" s="299"/>
      <c r="AN723" s="299"/>
      <c r="AO723" s="301"/>
      <c r="AP723" s="301"/>
      <c r="AQ723" s="426"/>
      <c r="AR723" s="298"/>
      <c r="AS723" s="299"/>
      <c r="AT723" s="299"/>
      <c r="AU723" s="301"/>
      <c r="AV723" s="301"/>
      <c r="AW723" s="88"/>
      <c r="AX723" s="298"/>
      <c r="AY723" s="299"/>
      <c r="AZ723" s="299"/>
      <c r="BA723" s="301"/>
      <c r="BB723" s="301"/>
      <c r="BC723" s="426"/>
      <c r="BD723" s="298"/>
      <c r="BE723" s="299"/>
      <c r="BF723" s="299"/>
      <c r="BG723" s="301"/>
      <c r="BH723" s="301"/>
      <c r="BI723" s="88"/>
      <c r="BJ723" s="298"/>
      <c r="BK723" s="299"/>
      <c r="BL723" s="299"/>
      <c r="BM723" s="301"/>
      <c r="BN723" s="301"/>
      <c r="BO723" s="88"/>
      <c r="BP723" s="9"/>
      <c r="BS723" s="81"/>
      <c r="BT723" s="81"/>
      <c r="BV723" s="9"/>
      <c r="BY723" s="81"/>
      <c r="BZ723" s="81"/>
      <c r="CB723" s="9"/>
      <c r="CE723" s="81"/>
      <c r="CF723" s="81"/>
      <c r="CH723" s="9"/>
      <c r="CK723" s="81"/>
      <c r="CL723" s="81"/>
      <c r="CR723" s="9"/>
      <c r="CS723" s="9"/>
      <c r="CT723" s="9"/>
      <c r="CU723" s="9"/>
      <c r="CV723" s="9"/>
      <c r="CW723" s="129"/>
      <c r="CX723" s="9"/>
    </row>
    <row r="724" spans="1:102">
      <c r="A724" s="6" t="str">
        <f t="shared" si="111"/>
        <v>01430999</v>
      </c>
      <c r="B724" s="6" t="s">
        <v>1793</v>
      </c>
      <c r="C724" s="6" t="s">
        <v>2092</v>
      </c>
      <c r="D724" s="6">
        <v>715</v>
      </c>
      <c r="E724" s="10">
        <v>143</v>
      </c>
      <c r="F724" s="10" t="s">
        <v>1261</v>
      </c>
      <c r="G724" s="10">
        <v>999</v>
      </c>
      <c r="H724" s="10" t="s">
        <v>593</v>
      </c>
      <c r="I724" s="92">
        <v>4707498.639320801</v>
      </c>
      <c r="J724" s="472">
        <v>1</v>
      </c>
      <c r="K724" s="53">
        <f>SUM(K720:K723)</f>
        <v>4842580.9208917767</v>
      </c>
      <c r="L724" s="91">
        <f>SUM(L720:L723)</f>
        <v>1</v>
      </c>
      <c r="M724" s="79">
        <f>VLOOKUP(E724,town351,24)</f>
        <v>1871554</v>
      </c>
      <c r="N724" s="79">
        <f>SUM(N720:N723)</f>
        <v>1871554</v>
      </c>
      <c r="O724" s="79">
        <v>1791647</v>
      </c>
      <c r="P724" s="79">
        <f>SUM(P720:P723)</f>
        <v>79907</v>
      </c>
      <c r="Q724" s="39">
        <f t="shared" ref="Q724:Q783" si="119">IF(O724&gt;0,P724*100/O724,IF(P724&gt;0,100,0))</f>
        <v>4.4599745373949222</v>
      </c>
      <c r="R724" s="9">
        <v>311.85121951162</v>
      </c>
      <c r="S724" s="9">
        <f t="shared" si="117"/>
        <v>302.7142857165</v>
      </c>
      <c r="T724" s="90">
        <f t="shared" si="112"/>
        <v>143</v>
      </c>
      <c r="U724" s="90">
        <f t="shared" si="113"/>
        <v>999</v>
      </c>
      <c r="V724" s="373">
        <f t="shared" si="114"/>
        <v>715</v>
      </c>
      <c r="W724" s="90">
        <f t="shared" si="115"/>
        <v>302.7142857165</v>
      </c>
      <c r="X724" s="90">
        <f t="shared" si="116"/>
        <v>4842580.9208917767</v>
      </c>
      <c r="Y724" s="141">
        <f t="shared" si="118"/>
        <v>715</v>
      </c>
      <c r="Z724" s="298">
        <v>143</v>
      </c>
      <c r="AA724" s="299">
        <v>999</v>
      </c>
      <c r="AB724" s="299">
        <v>715</v>
      </c>
      <c r="AC724" s="301">
        <v>302.7142857165</v>
      </c>
      <c r="AD724" s="301">
        <v>4842580.9208917767</v>
      </c>
      <c r="AE724" s="126"/>
      <c r="AF724" s="298"/>
      <c r="AG724" s="299"/>
      <c r="AH724" s="299"/>
      <c r="AI724" s="301"/>
      <c r="AJ724" s="301"/>
      <c r="AK724" s="426"/>
      <c r="AL724" s="298"/>
      <c r="AM724" s="299"/>
      <c r="AN724" s="299"/>
      <c r="AO724" s="301"/>
      <c r="AP724" s="301"/>
      <c r="AQ724" s="426"/>
      <c r="AR724" s="298"/>
      <c r="AS724" s="299"/>
      <c r="AT724" s="299"/>
      <c r="AU724" s="301"/>
      <c r="AV724" s="301"/>
      <c r="AW724" s="91"/>
      <c r="AX724" s="298"/>
      <c r="AY724" s="299"/>
      <c r="AZ724" s="299"/>
      <c r="BA724" s="301"/>
      <c r="BB724" s="301"/>
      <c r="BC724" s="426"/>
      <c r="BD724" s="298"/>
      <c r="BE724" s="299"/>
      <c r="BF724" s="299"/>
      <c r="BG724" s="301"/>
      <c r="BH724" s="301"/>
      <c r="BI724" s="91"/>
      <c r="BJ724" s="298"/>
      <c r="BK724" s="299"/>
      <c r="BL724" s="299"/>
      <c r="BM724" s="301"/>
      <c r="BN724" s="301"/>
      <c r="BO724" s="91"/>
      <c r="BP724" s="9"/>
      <c r="BS724" s="81"/>
      <c r="BT724" s="81"/>
      <c r="BV724" s="9"/>
      <c r="BY724" s="81"/>
      <c r="BZ724" s="81"/>
      <c r="CB724" s="9"/>
      <c r="CE724" s="81"/>
      <c r="CF724" s="81"/>
      <c r="CH724" s="9"/>
      <c r="CK724" s="81"/>
      <c r="CL724" s="81"/>
      <c r="CR724" s="9"/>
      <c r="CS724" s="9"/>
      <c r="CT724" s="9"/>
      <c r="CU724" s="9"/>
      <c r="CV724" s="9"/>
      <c r="CW724" s="129"/>
      <c r="CX724" s="9"/>
    </row>
    <row r="725" spans="1:102">
      <c r="A725" s="6" t="str">
        <f t="shared" si="111"/>
        <v>01440144</v>
      </c>
      <c r="B725" s="6" t="s">
        <v>1794</v>
      </c>
      <c r="C725" s="6" t="s">
        <v>1794</v>
      </c>
      <c r="D725" s="6">
        <v>716</v>
      </c>
      <c r="E725" s="6">
        <v>144</v>
      </c>
      <c r="F725" s="6" t="s">
        <v>1262</v>
      </c>
      <c r="G725" s="6">
        <v>144</v>
      </c>
      <c r="H725" s="6" t="s">
        <v>825</v>
      </c>
      <c r="I725" s="33">
        <v>20567036.155019999</v>
      </c>
      <c r="J725" s="88">
        <v>0.97055423498761917</v>
      </c>
      <c r="K725" s="89">
        <f>X725</f>
        <v>21036885.203640003</v>
      </c>
      <c r="L725" s="88">
        <f>IF(K729&gt;0, K725/K729, 0)</f>
        <v>0.97333401623385751</v>
      </c>
      <c r="M725" s="58"/>
      <c r="N725" s="9">
        <f>ROUND(M729*L725,0)</f>
        <v>17194551</v>
      </c>
      <c r="O725" s="9">
        <v>16419694</v>
      </c>
      <c r="P725" s="9">
        <f>N725-O725</f>
        <v>774857</v>
      </c>
      <c r="Q725" s="40">
        <f t="shared" si="119"/>
        <v>4.7190708913332973</v>
      </c>
      <c r="R725" s="9">
        <v>1557</v>
      </c>
      <c r="S725" s="9">
        <f t="shared" si="117"/>
        <v>1551</v>
      </c>
      <c r="T725" s="90">
        <f t="shared" si="112"/>
        <v>144</v>
      </c>
      <c r="U725" s="90">
        <f t="shared" si="113"/>
        <v>144</v>
      </c>
      <c r="V725" s="373">
        <f t="shared" si="114"/>
        <v>716</v>
      </c>
      <c r="W725" s="90">
        <f t="shared" si="115"/>
        <v>1551</v>
      </c>
      <c r="X725" s="90">
        <f t="shared" si="116"/>
        <v>21036885.203640003</v>
      </c>
      <c r="Y725" s="141">
        <f t="shared" si="118"/>
        <v>716</v>
      </c>
      <c r="Z725" s="298">
        <v>144</v>
      </c>
      <c r="AA725" s="299">
        <v>144</v>
      </c>
      <c r="AB725" s="299">
        <v>716</v>
      </c>
      <c r="AC725" s="301">
        <v>1551</v>
      </c>
      <c r="AD725" s="301">
        <v>21036885.203640003</v>
      </c>
      <c r="AE725" s="126"/>
      <c r="AF725" s="298"/>
      <c r="AG725" s="299"/>
      <c r="AH725" s="299"/>
      <c r="AI725" s="301"/>
      <c r="AJ725" s="301"/>
      <c r="AK725" s="426"/>
      <c r="AL725" s="298"/>
      <c r="AM725" s="299"/>
      <c r="AN725" s="299"/>
      <c r="AO725" s="301"/>
      <c r="AP725" s="301"/>
      <c r="AQ725" s="426"/>
      <c r="AR725" s="298"/>
      <c r="AS725" s="299"/>
      <c r="AT725" s="299"/>
      <c r="AU725" s="301"/>
      <c r="AV725" s="301"/>
      <c r="AW725" s="88"/>
      <c r="AX725" s="298"/>
      <c r="AY725" s="299"/>
      <c r="AZ725" s="299"/>
      <c r="BA725" s="301"/>
      <c r="BB725" s="301"/>
      <c r="BC725" s="426"/>
      <c r="BD725" s="298"/>
      <c r="BE725" s="299"/>
      <c r="BF725" s="299"/>
      <c r="BG725" s="301"/>
      <c r="BH725" s="301"/>
      <c r="BI725" s="88"/>
      <c r="BJ725" s="298"/>
      <c r="BK725" s="299"/>
      <c r="BL725" s="299"/>
      <c r="BM725" s="301"/>
      <c r="BN725" s="301"/>
      <c r="BO725" s="88"/>
      <c r="BP725" s="9"/>
      <c r="BS725" s="81"/>
      <c r="BT725" s="81"/>
      <c r="BV725" s="9"/>
      <c r="BY725" s="81"/>
      <c r="BZ725" s="81"/>
      <c r="CB725" s="9"/>
      <c r="CE725" s="81"/>
      <c r="CF725" s="81"/>
      <c r="CH725" s="9"/>
      <c r="CK725" s="81"/>
      <c r="CL725" s="81"/>
      <c r="CR725" s="9"/>
      <c r="CS725" s="9"/>
      <c r="CT725" s="9"/>
      <c r="CU725" s="9"/>
      <c r="CV725" s="9"/>
      <c r="CW725" s="129"/>
      <c r="CX725" s="9"/>
    </row>
    <row r="726" spans="1:102">
      <c r="A726" s="6" t="str">
        <f t="shared" si="111"/>
        <v>01440885</v>
      </c>
      <c r="B726" s="6" t="s">
        <v>1794</v>
      </c>
      <c r="C726" s="6" t="s">
        <v>2087</v>
      </c>
      <c r="D726" s="6">
        <v>717</v>
      </c>
      <c r="E726" s="6">
        <v>144</v>
      </c>
      <c r="F726" s="6" t="s">
        <v>1262</v>
      </c>
      <c r="G726" s="6">
        <v>885</v>
      </c>
      <c r="H726" s="6" t="s">
        <v>1117</v>
      </c>
      <c r="I726" s="33">
        <v>623985.85446343815</v>
      </c>
      <c r="J726" s="88">
        <v>2.9445765012380765E-2</v>
      </c>
      <c r="K726" s="89">
        <f t="shared" si="110"/>
        <v>576337.85522162274</v>
      </c>
      <c r="L726" s="88">
        <f>IF(K729&gt;0, K726/K729, 0)</f>
        <v>2.6665983766142588E-2</v>
      </c>
      <c r="M726" s="58"/>
      <c r="N726" s="9">
        <f>ROUND(M729*L726,0)</f>
        <v>471071</v>
      </c>
      <c r="O726" s="9">
        <v>498159</v>
      </c>
      <c r="P726" s="9">
        <f>N726-O726</f>
        <v>-27088</v>
      </c>
      <c r="Q726" s="40">
        <f t="shared" si="119"/>
        <v>-5.4376213217065237</v>
      </c>
      <c r="R726" s="9">
        <v>29.999999994</v>
      </c>
      <c r="S726" s="9">
        <f t="shared" si="117"/>
        <v>27.06357927574</v>
      </c>
      <c r="T726" s="90">
        <f t="shared" si="112"/>
        <v>144</v>
      </c>
      <c r="U726" s="90">
        <f t="shared" si="113"/>
        <v>885</v>
      </c>
      <c r="V726" s="373">
        <f t="shared" si="114"/>
        <v>717</v>
      </c>
      <c r="W726" s="90">
        <f t="shared" si="115"/>
        <v>27.06357927574</v>
      </c>
      <c r="X726" s="90">
        <f t="shared" si="116"/>
        <v>576337.85522162274</v>
      </c>
      <c r="Y726" s="141">
        <f t="shared" si="118"/>
        <v>717</v>
      </c>
      <c r="Z726" s="298">
        <v>144</v>
      </c>
      <c r="AA726" s="299">
        <v>885</v>
      </c>
      <c r="AB726" s="299">
        <v>717</v>
      </c>
      <c r="AC726" s="301">
        <v>27.06357927574</v>
      </c>
      <c r="AD726" s="301">
        <v>576337.85522162274</v>
      </c>
      <c r="AE726" s="126"/>
      <c r="AF726" s="298"/>
      <c r="AG726" s="299"/>
      <c r="AH726" s="299"/>
      <c r="AI726" s="301"/>
      <c r="AJ726" s="301"/>
      <c r="AK726" s="426"/>
      <c r="AL726" s="298"/>
      <c r="AM726" s="299"/>
      <c r="AN726" s="299"/>
      <c r="AO726" s="301"/>
      <c r="AP726" s="301"/>
      <c r="AQ726" s="426"/>
      <c r="AR726" s="298"/>
      <c r="AS726" s="299"/>
      <c r="AT726" s="299"/>
      <c r="AU726" s="301"/>
      <c r="AV726" s="301"/>
      <c r="AW726" s="88"/>
      <c r="AX726" s="298"/>
      <c r="AY726" s="299"/>
      <c r="AZ726" s="299"/>
      <c r="BA726" s="301"/>
      <c r="BB726" s="301"/>
      <c r="BC726" s="426"/>
      <c r="BD726" s="298"/>
      <c r="BE726" s="299"/>
      <c r="BF726" s="299"/>
      <c r="BG726" s="301"/>
      <c r="BH726" s="301"/>
      <c r="BI726" s="88"/>
      <c r="BJ726" s="298"/>
      <c r="BK726" s="299"/>
      <c r="BL726" s="299"/>
      <c r="BM726" s="301"/>
      <c r="BN726" s="301"/>
      <c r="BO726" s="88"/>
      <c r="BP726" s="9"/>
      <c r="BS726" s="81"/>
      <c r="BT726" s="81"/>
      <c r="BV726" s="9"/>
      <c r="BY726" s="81"/>
      <c r="BZ726" s="81"/>
      <c r="CB726" s="9"/>
      <c r="CE726" s="81"/>
      <c r="CF726" s="81"/>
      <c r="CH726" s="9"/>
      <c r="CK726" s="81"/>
      <c r="CL726" s="81"/>
      <c r="CR726" s="9"/>
      <c r="CS726" s="9"/>
      <c r="CT726" s="9"/>
      <c r="CU726" s="9"/>
      <c r="CV726" s="9"/>
      <c r="CW726" s="129"/>
      <c r="CX726" s="9"/>
    </row>
    <row r="727" spans="1:102">
      <c r="A727" s="6" t="str">
        <f t="shared" si="111"/>
        <v>01440998</v>
      </c>
      <c r="B727" s="6" t="s">
        <v>1794</v>
      </c>
      <c r="C727" s="6" t="s">
        <v>2091</v>
      </c>
      <c r="D727" s="6">
        <v>718</v>
      </c>
      <c r="E727" s="6">
        <v>144</v>
      </c>
      <c r="F727" s="6" t="s">
        <v>1547</v>
      </c>
      <c r="G727" s="6">
        <v>998</v>
      </c>
      <c r="I727" s="33">
        <v>0</v>
      </c>
      <c r="J727" s="88">
        <v>0</v>
      </c>
      <c r="K727" s="89">
        <f t="shared" si="110"/>
        <v>0</v>
      </c>
      <c r="L727" s="88">
        <f>IF(K729&gt;0, K727/K729, 0)</f>
        <v>0</v>
      </c>
      <c r="M727" s="58"/>
      <c r="N727" s="9">
        <f>ROUND(M729*L727,0)</f>
        <v>0</v>
      </c>
      <c r="O727" s="9">
        <v>0</v>
      </c>
      <c r="P727" s="9">
        <f>N727-O727</f>
        <v>0</v>
      </c>
      <c r="Q727" s="40">
        <f t="shared" si="119"/>
        <v>0</v>
      </c>
      <c r="R727" s="9">
        <v>0</v>
      </c>
      <c r="S727" s="9">
        <f t="shared" si="117"/>
        <v>0</v>
      </c>
      <c r="T727" s="90">
        <f t="shared" si="112"/>
        <v>144</v>
      </c>
      <c r="U727" s="90">
        <f t="shared" si="113"/>
        <v>998</v>
      </c>
      <c r="V727" s="373">
        <f t="shared" si="114"/>
        <v>718</v>
      </c>
      <c r="W727" s="90">
        <f t="shared" si="115"/>
        <v>0</v>
      </c>
      <c r="X727" s="90">
        <f t="shared" si="116"/>
        <v>0</v>
      </c>
      <c r="Y727" s="141">
        <f t="shared" si="118"/>
        <v>718</v>
      </c>
      <c r="Z727" s="298">
        <v>144</v>
      </c>
      <c r="AA727" s="299">
        <v>998</v>
      </c>
      <c r="AB727" s="299">
        <v>718</v>
      </c>
      <c r="AC727" s="301">
        <v>0</v>
      </c>
      <c r="AD727" s="301">
        <v>0</v>
      </c>
      <c r="AE727" s="126"/>
      <c r="AF727" s="298"/>
      <c r="AG727" s="299"/>
      <c r="AH727" s="299"/>
      <c r="AI727" s="301"/>
      <c r="AJ727" s="301"/>
      <c r="AK727" s="426"/>
      <c r="AL727" s="298"/>
      <c r="AM727" s="299"/>
      <c r="AN727" s="299"/>
      <c r="AO727" s="301"/>
      <c r="AP727" s="301"/>
      <c r="AQ727" s="426"/>
      <c r="AR727" s="298"/>
      <c r="AS727" s="299"/>
      <c r="AT727" s="299"/>
      <c r="AU727" s="301"/>
      <c r="AV727" s="301"/>
      <c r="AW727" s="88"/>
      <c r="AX727" s="298"/>
      <c r="AY727" s="299"/>
      <c r="AZ727" s="299"/>
      <c r="BA727" s="301"/>
      <c r="BB727" s="301"/>
      <c r="BC727" s="426"/>
      <c r="BD727" s="298"/>
      <c r="BE727" s="299"/>
      <c r="BF727" s="299"/>
      <c r="BG727" s="301"/>
      <c r="BH727" s="301"/>
      <c r="BI727" s="88"/>
      <c r="BJ727" s="298"/>
      <c r="BK727" s="299"/>
      <c r="BL727" s="299"/>
      <c r="BM727" s="301"/>
      <c r="BN727" s="301"/>
      <c r="BO727" s="88"/>
      <c r="BP727" s="9"/>
      <c r="BS727" s="81"/>
      <c r="BT727" s="81"/>
      <c r="BV727" s="9"/>
      <c r="BY727" s="81"/>
      <c r="BZ727" s="81"/>
      <c r="CB727" s="9"/>
      <c r="CE727" s="81"/>
      <c r="CF727" s="81"/>
      <c r="CH727" s="9"/>
      <c r="CK727" s="81"/>
      <c r="CL727" s="81"/>
      <c r="CR727" s="9"/>
      <c r="CS727" s="9"/>
      <c r="CT727" s="9"/>
      <c r="CU727" s="9"/>
      <c r="CV727" s="9"/>
      <c r="CW727" s="129"/>
      <c r="CX727" s="9"/>
    </row>
    <row r="728" spans="1:102">
      <c r="A728" s="6" t="str">
        <f t="shared" si="111"/>
        <v>01440998</v>
      </c>
      <c r="B728" s="6" t="s">
        <v>1794</v>
      </c>
      <c r="C728" s="6" t="s">
        <v>2091</v>
      </c>
      <c r="D728" s="6">
        <v>719</v>
      </c>
      <c r="E728" s="6">
        <v>144</v>
      </c>
      <c r="F728" s="6" t="s">
        <v>1547</v>
      </c>
      <c r="G728" s="6">
        <v>998</v>
      </c>
      <c r="H728" s="6" t="s">
        <v>1547</v>
      </c>
      <c r="I728" s="33">
        <v>0</v>
      </c>
      <c r="J728" s="88">
        <v>0</v>
      </c>
      <c r="K728" s="89">
        <f t="shared" si="110"/>
        <v>0</v>
      </c>
      <c r="L728" s="88">
        <f>IF(K729&gt;0, K728/K729, 0)</f>
        <v>0</v>
      </c>
      <c r="M728" s="58"/>
      <c r="N728" s="9">
        <f>ROUND(M729*L728,0)</f>
        <v>0</v>
      </c>
      <c r="O728" s="9">
        <v>0</v>
      </c>
      <c r="P728" s="9">
        <f>N728-O728</f>
        <v>0</v>
      </c>
      <c r="Q728" s="40">
        <f t="shared" si="119"/>
        <v>0</v>
      </c>
      <c r="R728" s="9">
        <v>0</v>
      </c>
      <c r="S728" s="9">
        <f t="shared" si="117"/>
        <v>0</v>
      </c>
      <c r="T728" s="90">
        <f t="shared" si="112"/>
        <v>144</v>
      </c>
      <c r="U728" s="90">
        <f t="shared" si="113"/>
        <v>998</v>
      </c>
      <c r="V728" s="373">
        <f t="shared" si="114"/>
        <v>719</v>
      </c>
      <c r="W728" s="90">
        <f t="shared" si="115"/>
        <v>0</v>
      </c>
      <c r="X728" s="90">
        <f t="shared" si="116"/>
        <v>0</v>
      </c>
      <c r="Y728" s="141">
        <f t="shared" si="118"/>
        <v>719</v>
      </c>
      <c r="Z728" s="298">
        <v>144</v>
      </c>
      <c r="AA728" s="299">
        <v>998</v>
      </c>
      <c r="AB728" s="299">
        <v>719</v>
      </c>
      <c r="AC728" s="301">
        <v>0</v>
      </c>
      <c r="AD728" s="301">
        <v>0</v>
      </c>
      <c r="AE728" s="126"/>
      <c r="AF728" s="298"/>
      <c r="AG728" s="299"/>
      <c r="AH728" s="299"/>
      <c r="AI728" s="301"/>
      <c r="AJ728" s="301"/>
      <c r="AK728" s="426"/>
      <c r="AL728" s="298"/>
      <c r="AM728" s="299"/>
      <c r="AN728" s="299"/>
      <c r="AO728" s="301"/>
      <c r="AP728" s="301"/>
      <c r="AQ728" s="426"/>
      <c r="AR728" s="298"/>
      <c r="AS728" s="299"/>
      <c r="AT728" s="299"/>
      <c r="AU728" s="301"/>
      <c r="AV728" s="301"/>
      <c r="AW728" s="88"/>
      <c r="AX728" s="298"/>
      <c r="AY728" s="299"/>
      <c r="AZ728" s="299"/>
      <c r="BA728" s="301"/>
      <c r="BB728" s="301"/>
      <c r="BC728" s="426"/>
      <c r="BD728" s="298"/>
      <c r="BE728" s="299"/>
      <c r="BF728" s="299"/>
      <c r="BG728" s="301"/>
      <c r="BH728" s="301"/>
      <c r="BI728" s="88"/>
      <c r="BJ728" s="298"/>
      <c r="BK728" s="299"/>
      <c r="BL728" s="299"/>
      <c r="BM728" s="301"/>
      <c r="BN728" s="301"/>
      <c r="BO728" s="88"/>
      <c r="BP728" s="9"/>
      <c r="BS728" s="81"/>
      <c r="BT728" s="81"/>
      <c r="BV728" s="9"/>
      <c r="BY728" s="81"/>
      <c r="BZ728" s="81"/>
      <c r="CB728" s="9"/>
      <c r="CE728" s="81"/>
      <c r="CF728" s="81"/>
      <c r="CH728" s="9"/>
      <c r="CK728" s="81"/>
      <c r="CL728" s="81"/>
      <c r="CR728" s="9"/>
      <c r="CS728" s="9"/>
      <c r="CT728" s="9"/>
      <c r="CU728" s="9"/>
      <c r="CV728" s="9"/>
      <c r="CW728" s="129"/>
      <c r="CX728" s="9"/>
    </row>
    <row r="729" spans="1:102">
      <c r="A729" s="6" t="str">
        <f t="shared" si="111"/>
        <v>01440999</v>
      </c>
      <c r="B729" s="6" t="s">
        <v>1794</v>
      </c>
      <c r="C729" s="6" t="s">
        <v>2092</v>
      </c>
      <c r="D729" s="6">
        <v>720</v>
      </c>
      <c r="E729" s="10">
        <v>144</v>
      </c>
      <c r="F729" s="10" t="s">
        <v>1262</v>
      </c>
      <c r="G729" s="10">
        <v>999</v>
      </c>
      <c r="H729" s="10" t="s">
        <v>593</v>
      </c>
      <c r="I729" s="92">
        <v>21191022.009483438</v>
      </c>
      <c r="J729" s="472">
        <v>0.99999999999999989</v>
      </c>
      <c r="K729" s="53">
        <f>SUM(K725:K728)</f>
        <v>21613223.058861624</v>
      </c>
      <c r="L729" s="91">
        <f>SUM(L725:L728)</f>
        <v>1</v>
      </c>
      <c r="M729" s="79">
        <f>VLOOKUP(E729,town351,24)</f>
        <v>17665622</v>
      </c>
      <c r="N729" s="79">
        <f>SUM(N725:N728)</f>
        <v>17665622</v>
      </c>
      <c r="O729" s="79">
        <v>16917853</v>
      </c>
      <c r="P729" s="79">
        <f>SUM(P725:P728)</f>
        <v>747769</v>
      </c>
      <c r="Q729" s="39">
        <f t="shared" si="119"/>
        <v>4.419999393540067</v>
      </c>
      <c r="R729" s="9">
        <v>1586.9999999940001</v>
      </c>
      <c r="S729" s="9">
        <f t="shared" si="117"/>
        <v>1578.06357927574</v>
      </c>
      <c r="T729" s="90">
        <f t="shared" si="112"/>
        <v>144</v>
      </c>
      <c r="U729" s="90">
        <f t="shared" si="113"/>
        <v>999</v>
      </c>
      <c r="V729" s="373">
        <f t="shared" si="114"/>
        <v>720</v>
      </c>
      <c r="W729" s="90">
        <f t="shared" si="115"/>
        <v>1578.06357927574</v>
      </c>
      <c r="X729" s="90">
        <f t="shared" si="116"/>
        <v>21613223.058861624</v>
      </c>
      <c r="Y729" s="141">
        <f t="shared" si="118"/>
        <v>720</v>
      </c>
      <c r="Z729" s="298">
        <v>144</v>
      </c>
      <c r="AA729" s="299">
        <v>999</v>
      </c>
      <c r="AB729" s="299">
        <v>720</v>
      </c>
      <c r="AC729" s="301">
        <v>1578.06357927574</v>
      </c>
      <c r="AD729" s="301">
        <v>21613223.058861624</v>
      </c>
      <c r="AE729" s="126"/>
      <c r="AF729" s="298"/>
      <c r="AG729" s="299"/>
      <c r="AH729" s="299"/>
      <c r="AI729" s="301"/>
      <c r="AJ729" s="301"/>
      <c r="AK729" s="426"/>
      <c r="AL729" s="298"/>
      <c r="AM729" s="299"/>
      <c r="AN729" s="299"/>
      <c r="AO729" s="301"/>
      <c r="AP729" s="301"/>
      <c r="AQ729" s="426"/>
      <c r="AR729" s="298"/>
      <c r="AS729" s="299"/>
      <c r="AT729" s="299"/>
      <c r="AU729" s="301"/>
      <c r="AV729" s="301"/>
      <c r="AW729" s="91"/>
      <c r="AX729" s="298"/>
      <c r="AY729" s="299"/>
      <c r="AZ729" s="299"/>
      <c r="BA729" s="301"/>
      <c r="BB729" s="301"/>
      <c r="BC729" s="426"/>
      <c r="BD729" s="298"/>
      <c r="BE729" s="299"/>
      <c r="BF729" s="299"/>
      <c r="BG729" s="301"/>
      <c r="BH729" s="301"/>
      <c r="BI729" s="91"/>
      <c r="BJ729" s="298"/>
      <c r="BK729" s="299"/>
      <c r="BL729" s="299"/>
      <c r="BM729" s="301"/>
      <c r="BN729" s="301"/>
      <c r="BO729" s="91"/>
      <c r="BP729" s="9"/>
      <c r="BS729" s="81"/>
      <c r="BT729" s="81"/>
      <c r="BV729" s="9"/>
      <c r="BY729" s="81"/>
      <c r="BZ729" s="81"/>
      <c r="CB729" s="9"/>
      <c r="CE729" s="81"/>
      <c r="CF729" s="81"/>
      <c r="CH729" s="9"/>
      <c r="CK729" s="81"/>
      <c r="CL729" s="81"/>
      <c r="CR729" s="9"/>
      <c r="CS729" s="9"/>
      <c r="CT729" s="9"/>
      <c r="CU729" s="9"/>
      <c r="CV729" s="9"/>
      <c r="CW729" s="129"/>
      <c r="CX729" s="9"/>
    </row>
    <row r="730" spans="1:102">
      <c r="A730" s="6" t="str">
        <f t="shared" si="111"/>
        <v>01450145</v>
      </c>
      <c r="B730" s="6" t="s">
        <v>1795</v>
      </c>
      <c r="C730" s="6" t="s">
        <v>1795</v>
      </c>
      <c r="D730" s="6">
        <v>721</v>
      </c>
      <c r="E730" s="6">
        <v>145</v>
      </c>
      <c r="F730" s="6" t="s">
        <v>1263</v>
      </c>
      <c r="G730" s="6">
        <v>145</v>
      </c>
      <c r="H730" s="6" t="s">
        <v>826</v>
      </c>
      <c r="I730" s="33">
        <v>14371240.407579998</v>
      </c>
      <c r="J730" s="88">
        <v>0.50011559072381495</v>
      </c>
      <c r="K730" s="89">
        <f t="shared" ref="K730:K793" si="120">X730</f>
        <v>14866128.19836</v>
      </c>
      <c r="L730" s="88">
        <f>IF(K734&gt;0, K730/K734, 0)</f>
        <v>0.4911580280550023</v>
      </c>
      <c r="M730" s="58"/>
      <c r="N730" s="9">
        <f>ROUND(M734*L730,0)</f>
        <v>9396563</v>
      </c>
      <c r="O730" s="9">
        <v>8940323</v>
      </c>
      <c r="P730" s="9">
        <f>N730-O730</f>
        <v>456240</v>
      </c>
      <c r="Q730" s="40">
        <f t="shared" si="119"/>
        <v>5.1031713283737066</v>
      </c>
      <c r="R730" s="9">
        <v>1125</v>
      </c>
      <c r="S730" s="9">
        <f t="shared" si="117"/>
        <v>1151</v>
      </c>
      <c r="T730" s="90">
        <f t="shared" si="112"/>
        <v>145</v>
      </c>
      <c r="U730" s="90">
        <f t="shared" si="113"/>
        <v>145</v>
      </c>
      <c r="V730" s="373">
        <f t="shared" si="114"/>
        <v>721</v>
      </c>
      <c r="W730" s="90">
        <f t="shared" si="115"/>
        <v>1151</v>
      </c>
      <c r="X730" s="90">
        <f t="shared" si="116"/>
        <v>14866128.19836</v>
      </c>
      <c r="Y730" s="141">
        <f t="shared" si="118"/>
        <v>721</v>
      </c>
      <c r="Z730" s="298">
        <v>145</v>
      </c>
      <c r="AA730" s="299">
        <v>145</v>
      </c>
      <c r="AB730" s="299">
        <v>721</v>
      </c>
      <c r="AC730" s="301">
        <v>1151</v>
      </c>
      <c r="AD730" s="301">
        <v>14866128.19836</v>
      </c>
      <c r="AE730" s="126"/>
      <c r="AF730" s="298"/>
      <c r="AG730" s="299"/>
      <c r="AH730" s="299"/>
      <c r="AI730" s="301"/>
      <c r="AJ730" s="301"/>
      <c r="AK730" s="426"/>
      <c r="AL730" s="298"/>
      <c r="AM730" s="299"/>
      <c r="AN730" s="299"/>
      <c r="AO730" s="301"/>
      <c r="AP730" s="301"/>
      <c r="AQ730" s="426"/>
      <c r="AR730" s="298"/>
      <c r="AS730" s="299"/>
      <c r="AT730" s="299"/>
      <c r="AU730" s="301"/>
      <c r="AV730" s="301"/>
      <c r="AW730" s="88"/>
      <c r="AX730" s="298"/>
      <c r="AY730" s="299"/>
      <c r="AZ730" s="299"/>
      <c r="BA730" s="301"/>
      <c r="BB730" s="301"/>
      <c r="BC730" s="426"/>
      <c r="BD730" s="298"/>
      <c r="BE730" s="299"/>
      <c r="BF730" s="299"/>
      <c r="BG730" s="301"/>
      <c r="BH730" s="301"/>
      <c r="BI730" s="88"/>
      <c r="BJ730" s="298"/>
      <c r="BK730" s="299"/>
      <c r="BL730" s="299"/>
      <c r="BM730" s="301"/>
      <c r="BN730" s="301"/>
      <c r="BO730" s="88"/>
      <c r="BP730" s="9"/>
      <c r="BS730" s="81"/>
      <c r="BT730" s="81"/>
      <c r="BV730" s="9"/>
      <c r="BY730" s="81"/>
      <c r="BZ730" s="81"/>
      <c r="CB730" s="9"/>
      <c r="CE730" s="81"/>
      <c r="CF730" s="81"/>
      <c r="CH730" s="9"/>
      <c r="CK730" s="81"/>
      <c r="CL730" s="81"/>
      <c r="CR730" s="9"/>
      <c r="CS730" s="9"/>
      <c r="CT730" s="9"/>
      <c r="CU730" s="9"/>
      <c r="CV730" s="9"/>
      <c r="CW730" s="129"/>
      <c r="CX730" s="9"/>
    </row>
    <row r="731" spans="1:102">
      <c r="A731" s="6" t="str">
        <f t="shared" si="111"/>
        <v>01450760</v>
      </c>
      <c r="B731" s="6" t="s">
        <v>1795</v>
      </c>
      <c r="C731" s="6" t="s">
        <v>2051</v>
      </c>
      <c r="D731" s="6">
        <v>722</v>
      </c>
      <c r="E731" s="6">
        <v>145</v>
      </c>
      <c r="F731" s="6" t="s">
        <v>1263</v>
      </c>
      <c r="G731" s="6">
        <v>760</v>
      </c>
      <c r="H731" s="6" t="s">
        <v>1081</v>
      </c>
      <c r="I731" s="33">
        <v>14364597.215039546</v>
      </c>
      <c r="J731" s="88">
        <v>0.4998844092761851</v>
      </c>
      <c r="K731" s="89">
        <f t="shared" si="120"/>
        <v>15401377.06309369</v>
      </c>
      <c r="L731" s="88">
        <f>IF(K734&gt;0, K731/K734, 0)</f>
        <v>0.50884197194499781</v>
      </c>
      <c r="M731" s="58"/>
      <c r="N731" s="9">
        <f>ROUND(M734*L731,0)</f>
        <v>9734882</v>
      </c>
      <c r="O731" s="9">
        <v>8936191</v>
      </c>
      <c r="P731" s="9">
        <f>N731-O731</f>
        <v>798691</v>
      </c>
      <c r="Q731" s="40">
        <f t="shared" si="119"/>
        <v>8.937711828227485</v>
      </c>
      <c r="R731" s="9">
        <v>961.99152029869992</v>
      </c>
      <c r="S731" s="9">
        <f t="shared" si="117"/>
        <v>993.63882618294997</v>
      </c>
      <c r="T731" s="90">
        <f t="shared" si="112"/>
        <v>145</v>
      </c>
      <c r="U731" s="90">
        <f t="shared" si="113"/>
        <v>760</v>
      </c>
      <c r="V731" s="373">
        <f t="shared" si="114"/>
        <v>722</v>
      </c>
      <c r="W731" s="90">
        <f t="shared" si="115"/>
        <v>993.63882618294997</v>
      </c>
      <c r="X731" s="90">
        <f t="shared" si="116"/>
        <v>15401377.06309369</v>
      </c>
      <c r="Y731" s="141">
        <f t="shared" si="118"/>
        <v>722</v>
      </c>
      <c r="Z731" s="298">
        <v>145</v>
      </c>
      <c r="AA731" s="299">
        <v>760</v>
      </c>
      <c r="AB731" s="299">
        <v>722</v>
      </c>
      <c r="AC731" s="301">
        <v>993.63882618294997</v>
      </c>
      <c r="AD731" s="301">
        <v>15401377.06309369</v>
      </c>
      <c r="AE731" s="126"/>
      <c r="AF731" s="298"/>
      <c r="AG731" s="299"/>
      <c r="AH731" s="299"/>
      <c r="AI731" s="301"/>
      <c r="AJ731" s="301"/>
      <c r="AK731" s="426"/>
      <c r="AL731" s="298"/>
      <c r="AM731" s="299"/>
      <c r="AN731" s="299"/>
      <c r="AO731" s="301"/>
      <c r="AP731" s="301"/>
      <c r="AQ731" s="426"/>
      <c r="AR731" s="298"/>
      <c r="AS731" s="299"/>
      <c r="AT731" s="299"/>
      <c r="AU731" s="301"/>
      <c r="AV731" s="301"/>
      <c r="AW731" s="88"/>
      <c r="AX731" s="298"/>
      <c r="AY731" s="299"/>
      <c r="AZ731" s="299"/>
      <c r="BA731" s="301"/>
      <c r="BB731" s="301"/>
      <c r="BC731" s="426"/>
      <c r="BD731" s="298"/>
      <c r="BE731" s="299"/>
      <c r="BF731" s="299"/>
      <c r="BG731" s="301"/>
      <c r="BH731" s="301"/>
      <c r="BI731" s="88"/>
      <c r="BJ731" s="298"/>
      <c r="BK731" s="299"/>
      <c r="BL731" s="299"/>
      <c r="BM731" s="301"/>
      <c r="BN731" s="301"/>
      <c r="BO731" s="88"/>
      <c r="BP731" s="9"/>
      <c r="BS731" s="81"/>
      <c r="BT731" s="81"/>
      <c r="BV731" s="9"/>
      <c r="BY731" s="81"/>
      <c r="BZ731" s="81"/>
      <c r="CB731" s="9"/>
      <c r="CE731" s="81"/>
      <c r="CF731" s="81"/>
      <c r="CH731" s="9"/>
      <c r="CK731" s="81"/>
      <c r="CL731" s="81"/>
      <c r="CR731" s="9"/>
      <c r="CS731" s="9"/>
      <c r="CT731" s="9"/>
      <c r="CU731" s="9"/>
      <c r="CV731" s="9"/>
      <c r="CW731" s="129"/>
      <c r="CX731" s="9"/>
    </row>
    <row r="732" spans="1:102">
      <c r="A732" s="6" t="str">
        <f t="shared" si="111"/>
        <v>01450998</v>
      </c>
      <c r="B732" s="6" t="s">
        <v>1795</v>
      </c>
      <c r="C732" s="6" t="s">
        <v>2091</v>
      </c>
      <c r="D732" s="6">
        <v>723</v>
      </c>
      <c r="E732" s="6">
        <v>145</v>
      </c>
      <c r="F732" s="6" t="s">
        <v>1547</v>
      </c>
      <c r="G732" s="6">
        <v>998</v>
      </c>
      <c r="H732" s="6" t="s">
        <v>1547</v>
      </c>
      <c r="I732" s="33">
        <v>0</v>
      </c>
      <c r="J732" s="88">
        <v>0</v>
      </c>
      <c r="K732" s="89">
        <f t="shared" si="120"/>
        <v>0</v>
      </c>
      <c r="L732" s="88">
        <f>IF(K734&gt;0, K732/K734, 0)</f>
        <v>0</v>
      </c>
      <c r="M732" s="58"/>
      <c r="N732" s="9">
        <f>ROUND(M734*L732,0)</f>
        <v>0</v>
      </c>
      <c r="O732" s="9">
        <v>0</v>
      </c>
      <c r="P732" s="9">
        <f>N732-O732</f>
        <v>0</v>
      </c>
      <c r="Q732" s="40">
        <f t="shared" si="119"/>
        <v>0</v>
      </c>
      <c r="R732" s="9">
        <v>0</v>
      </c>
      <c r="S732" s="9">
        <f t="shared" si="117"/>
        <v>0</v>
      </c>
      <c r="T732" s="90">
        <f t="shared" si="112"/>
        <v>145</v>
      </c>
      <c r="U732" s="90">
        <f t="shared" si="113"/>
        <v>998</v>
      </c>
      <c r="V732" s="373">
        <f t="shared" si="114"/>
        <v>723</v>
      </c>
      <c r="W732" s="90">
        <f t="shared" si="115"/>
        <v>0</v>
      </c>
      <c r="X732" s="90">
        <f t="shared" si="116"/>
        <v>0</v>
      </c>
      <c r="Y732" s="141">
        <f t="shared" si="118"/>
        <v>723</v>
      </c>
      <c r="Z732" s="298">
        <v>145</v>
      </c>
      <c r="AA732" s="299">
        <v>998</v>
      </c>
      <c r="AB732" s="299">
        <v>723</v>
      </c>
      <c r="AC732" s="301">
        <v>0</v>
      </c>
      <c r="AD732" s="301">
        <v>0</v>
      </c>
      <c r="AE732" s="126"/>
      <c r="AF732" s="298"/>
      <c r="AG732" s="299"/>
      <c r="AH732" s="299"/>
      <c r="AI732" s="301"/>
      <c r="AJ732" s="301"/>
      <c r="AK732" s="426"/>
      <c r="AL732" s="298"/>
      <c r="AM732" s="299"/>
      <c r="AN732" s="299"/>
      <c r="AO732" s="301"/>
      <c r="AP732" s="301"/>
      <c r="AQ732" s="426"/>
      <c r="AR732" s="298"/>
      <c r="AS732" s="299"/>
      <c r="AT732" s="299"/>
      <c r="AU732" s="301"/>
      <c r="AV732" s="301"/>
      <c r="AW732" s="88"/>
      <c r="AX732" s="298"/>
      <c r="AY732" s="299"/>
      <c r="AZ732" s="299"/>
      <c r="BA732" s="301"/>
      <c r="BB732" s="301"/>
      <c r="BC732" s="426"/>
      <c r="BD732" s="298"/>
      <c r="BE732" s="299"/>
      <c r="BF732" s="299"/>
      <c r="BG732" s="301"/>
      <c r="BH732" s="301"/>
      <c r="BI732" s="88"/>
      <c r="BJ732" s="298"/>
      <c r="BK732" s="299"/>
      <c r="BL732" s="299"/>
      <c r="BM732" s="301"/>
      <c r="BN732" s="301"/>
      <c r="BO732" s="88"/>
      <c r="BP732" s="9"/>
      <c r="BS732" s="81"/>
      <c r="BT732" s="81"/>
      <c r="BV732" s="9"/>
      <c r="BY732" s="81"/>
      <c r="BZ732" s="81"/>
      <c r="CB732" s="9"/>
      <c r="CE732" s="81"/>
      <c r="CF732" s="81"/>
      <c r="CH732" s="9"/>
      <c r="CK732" s="81"/>
      <c r="CL732" s="81"/>
      <c r="CR732" s="9"/>
      <c r="CS732" s="9"/>
      <c r="CT732" s="9"/>
      <c r="CU732" s="9"/>
      <c r="CV732" s="9"/>
      <c r="CW732" s="129"/>
      <c r="CX732" s="9"/>
    </row>
    <row r="733" spans="1:102">
      <c r="A733" s="6" t="str">
        <f t="shared" si="111"/>
        <v>01450998</v>
      </c>
      <c r="B733" s="6" t="s">
        <v>1795</v>
      </c>
      <c r="C733" s="6" t="s">
        <v>2091</v>
      </c>
      <c r="D733" s="6">
        <v>724</v>
      </c>
      <c r="E733" s="6">
        <v>145</v>
      </c>
      <c r="F733" s="6" t="s">
        <v>1547</v>
      </c>
      <c r="G733" s="6">
        <v>998</v>
      </c>
      <c r="H733" s="6" t="s">
        <v>1547</v>
      </c>
      <c r="I733" s="33">
        <v>0</v>
      </c>
      <c r="J733" s="88">
        <v>0</v>
      </c>
      <c r="K733" s="89">
        <f t="shared" si="120"/>
        <v>0</v>
      </c>
      <c r="L733" s="88">
        <f>IF(K734&gt;0, K733/K734, 0)</f>
        <v>0</v>
      </c>
      <c r="M733" s="58"/>
      <c r="N733" s="9">
        <f>ROUND(M734*L733,0)</f>
        <v>0</v>
      </c>
      <c r="O733" s="9">
        <v>0</v>
      </c>
      <c r="P733" s="9">
        <f>N733-O733</f>
        <v>0</v>
      </c>
      <c r="Q733" s="40">
        <f t="shared" si="119"/>
        <v>0</v>
      </c>
      <c r="R733" s="9">
        <v>0</v>
      </c>
      <c r="S733" s="9">
        <f t="shared" si="117"/>
        <v>0</v>
      </c>
      <c r="T733" s="90">
        <f t="shared" si="112"/>
        <v>145</v>
      </c>
      <c r="U733" s="90">
        <f t="shared" si="113"/>
        <v>998</v>
      </c>
      <c r="V733" s="373">
        <f t="shared" si="114"/>
        <v>724</v>
      </c>
      <c r="W733" s="90">
        <f t="shared" si="115"/>
        <v>0</v>
      </c>
      <c r="X733" s="90">
        <f t="shared" si="116"/>
        <v>0</v>
      </c>
      <c r="Y733" s="141">
        <f t="shared" si="118"/>
        <v>724</v>
      </c>
      <c r="Z733" s="298">
        <v>145</v>
      </c>
      <c r="AA733" s="299">
        <v>998</v>
      </c>
      <c r="AB733" s="299">
        <v>724</v>
      </c>
      <c r="AC733" s="301">
        <v>0</v>
      </c>
      <c r="AD733" s="301">
        <v>0</v>
      </c>
      <c r="AE733" s="126"/>
      <c r="AF733" s="298"/>
      <c r="AG733" s="299"/>
      <c r="AH733" s="299"/>
      <c r="AI733" s="301"/>
      <c r="AJ733" s="301"/>
      <c r="AK733" s="426"/>
      <c r="AL733" s="298"/>
      <c r="AM733" s="299"/>
      <c r="AN733" s="299"/>
      <c r="AO733" s="301"/>
      <c r="AP733" s="301"/>
      <c r="AQ733" s="426"/>
      <c r="AR733" s="298"/>
      <c r="AS733" s="299"/>
      <c r="AT733" s="299"/>
      <c r="AU733" s="301"/>
      <c r="AV733" s="301"/>
      <c r="AW733" s="88"/>
      <c r="AX733" s="298"/>
      <c r="AY733" s="299"/>
      <c r="AZ733" s="299"/>
      <c r="BA733" s="301"/>
      <c r="BB733" s="301"/>
      <c r="BC733" s="426"/>
      <c r="BD733" s="298"/>
      <c r="BE733" s="299"/>
      <c r="BF733" s="299"/>
      <c r="BG733" s="301"/>
      <c r="BH733" s="301"/>
      <c r="BI733" s="88"/>
      <c r="BJ733" s="298"/>
      <c r="BK733" s="299"/>
      <c r="BL733" s="299"/>
      <c r="BM733" s="301"/>
      <c r="BN733" s="301"/>
      <c r="BO733" s="88"/>
      <c r="BP733" s="9"/>
      <c r="BS733" s="81"/>
      <c r="BT733" s="81"/>
      <c r="BV733" s="9"/>
      <c r="BY733" s="81"/>
      <c r="BZ733" s="81"/>
      <c r="CB733" s="9"/>
      <c r="CE733" s="81"/>
      <c r="CF733" s="81"/>
      <c r="CH733" s="9"/>
      <c r="CK733" s="81"/>
      <c r="CL733" s="81"/>
      <c r="CR733" s="9"/>
      <c r="CS733" s="9"/>
      <c r="CT733" s="9"/>
      <c r="CU733" s="9"/>
      <c r="CV733" s="9"/>
      <c r="CW733" s="129"/>
      <c r="CX733" s="9"/>
    </row>
    <row r="734" spans="1:102">
      <c r="A734" s="6" t="str">
        <f t="shared" si="111"/>
        <v>01450999</v>
      </c>
      <c r="B734" s="6" t="s">
        <v>1795</v>
      </c>
      <c r="C734" s="6" t="s">
        <v>2092</v>
      </c>
      <c r="D734" s="6">
        <v>725</v>
      </c>
      <c r="E734" s="10">
        <v>145</v>
      </c>
      <c r="F734" s="10" t="s">
        <v>1263</v>
      </c>
      <c r="G734" s="10">
        <v>999</v>
      </c>
      <c r="H734" s="10" t="s">
        <v>593</v>
      </c>
      <c r="I734" s="92">
        <v>28735837.622619543</v>
      </c>
      <c r="J734" s="472">
        <v>1</v>
      </c>
      <c r="K734" s="53">
        <f>SUM(K730:K733)</f>
        <v>30267505.261453688</v>
      </c>
      <c r="L734" s="91">
        <f>SUM(L730:L733)</f>
        <v>1</v>
      </c>
      <c r="M734" s="79">
        <f>VLOOKUP(E734,town351,24)</f>
        <v>19131445</v>
      </c>
      <c r="N734" s="79">
        <f>SUM(N730:N733)</f>
        <v>19131445</v>
      </c>
      <c r="O734" s="79">
        <v>17876514</v>
      </c>
      <c r="P734" s="79">
        <f>SUM(P730:P733)</f>
        <v>1254931</v>
      </c>
      <c r="Q734" s="39">
        <f t="shared" si="119"/>
        <v>7.0199984180360895</v>
      </c>
      <c r="R734" s="9">
        <v>2086.9915202986999</v>
      </c>
      <c r="S734" s="9">
        <f t="shared" si="117"/>
        <v>2144.6388261829497</v>
      </c>
      <c r="T734" s="90">
        <f t="shared" si="112"/>
        <v>145</v>
      </c>
      <c r="U734" s="90">
        <f t="shared" si="113"/>
        <v>999</v>
      </c>
      <c r="V734" s="373">
        <f t="shared" si="114"/>
        <v>725</v>
      </c>
      <c r="W734" s="90">
        <f t="shared" si="115"/>
        <v>2144.6388261829497</v>
      </c>
      <c r="X734" s="90">
        <f t="shared" si="116"/>
        <v>30267505.261453688</v>
      </c>
      <c r="Y734" s="141">
        <f t="shared" si="118"/>
        <v>725</v>
      </c>
      <c r="Z734" s="298">
        <v>145</v>
      </c>
      <c r="AA734" s="299">
        <v>999</v>
      </c>
      <c r="AB734" s="299">
        <v>725</v>
      </c>
      <c r="AC734" s="301">
        <v>2144.6388261829497</v>
      </c>
      <c r="AD734" s="301">
        <v>30267505.261453688</v>
      </c>
      <c r="AE734" s="126"/>
      <c r="AF734" s="298"/>
      <c r="AG734" s="299"/>
      <c r="AH734" s="299"/>
      <c r="AI734" s="301"/>
      <c r="AJ734" s="301"/>
      <c r="AK734" s="426"/>
      <c r="AL734" s="298"/>
      <c r="AM734" s="299"/>
      <c r="AN734" s="299"/>
      <c r="AO734" s="301"/>
      <c r="AP734" s="301"/>
      <c r="AQ734" s="426"/>
      <c r="AR734" s="298"/>
      <c r="AS734" s="299"/>
      <c r="AT734" s="299"/>
      <c r="AU734" s="301"/>
      <c r="AV734" s="301"/>
      <c r="AW734" s="91"/>
      <c r="AX734" s="298"/>
      <c r="AY734" s="299"/>
      <c r="AZ734" s="299"/>
      <c r="BA734" s="301"/>
      <c r="BB734" s="301"/>
      <c r="BC734" s="426"/>
      <c r="BD734" s="298"/>
      <c r="BE734" s="299"/>
      <c r="BF734" s="299"/>
      <c r="BG734" s="301"/>
      <c r="BH734" s="301"/>
      <c r="BI734" s="91"/>
      <c r="BJ734" s="298"/>
      <c r="BK734" s="299"/>
      <c r="BL734" s="299"/>
      <c r="BM734" s="301"/>
      <c r="BN734" s="301"/>
      <c r="BO734" s="91"/>
      <c r="BP734" s="9"/>
      <c r="BS734" s="81"/>
      <c r="BT734" s="81"/>
      <c r="BV734" s="9"/>
      <c r="BY734" s="81"/>
      <c r="BZ734" s="81"/>
      <c r="CB734" s="9"/>
      <c r="CE734" s="81"/>
      <c r="CF734" s="81"/>
      <c r="CH734" s="9"/>
      <c r="CK734" s="81"/>
      <c r="CL734" s="81"/>
      <c r="CR734" s="9"/>
      <c r="CS734" s="9"/>
      <c r="CT734" s="9"/>
      <c r="CU734" s="9"/>
      <c r="CV734" s="9"/>
      <c r="CW734" s="129"/>
      <c r="CX734" s="9"/>
    </row>
    <row r="735" spans="1:102">
      <c r="A735" s="6" t="str">
        <f t="shared" si="111"/>
        <v>01460146</v>
      </c>
      <c r="B735" s="6" t="s">
        <v>1796</v>
      </c>
      <c r="C735" s="6" t="s">
        <v>1796</v>
      </c>
      <c r="D735" s="6">
        <v>726</v>
      </c>
      <c r="E735" s="6">
        <v>146</v>
      </c>
      <c r="F735" s="6" t="s">
        <v>1264</v>
      </c>
      <c r="G735" s="6">
        <v>146</v>
      </c>
      <c r="H735" s="6" t="s">
        <v>827</v>
      </c>
      <c r="I735" s="33">
        <v>212169.47999999998</v>
      </c>
      <c r="J735" s="88">
        <v>9.1243943854862914E-3</v>
      </c>
      <c r="K735" s="89">
        <f>X735</f>
        <v>267378.24</v>
      </c>
      <c r="L735" s="88">
        <f>IF(K739&gt;0, K735/K739, 0)</f>
        <v>1.1351170460454632E-2</v>
      </c>
      <c r="M735" s="58"/>
      <c r="N735" s="9">
        <f>ROUND(M739*L735,0)</f>
        <v>183306</v>
      </c>
      <c r="O735" s="9">
        <v>138249</v>
      </c>
      <c r="P735" s="9">
        <f>N735-O735</f>
        <v>45057</v>
      </c>
      <c r="Q735" s="40">
        <f t="shared" si="119"/>
        <v>32.591194149686437</v>
      </c>
      <c r="R735" s="9">
        <v>11</v>
      </c>
      <c r="S735" s="9">
        <f t="shared" si="117"/>
        <v>14</v>
      </c>
      <c r="T735" s="90">
        <f t="shared" si="112"/>
        <v>146</v>
      </c>
      <c r="U735" s="90">
        <f t="shared" si="113"/>
        <v>146</v>
      </c>
      <c r="V735" s="373">
        <f t="shared" si="114"/>
        <v>726</v>
      </c>
      <c r="W735" s="90">
        <f t="shared" si="115"/>
        <v>14</v>
      </c>
      <c r="X735" s="90">
        <f t="shared" si="116"/>
        <v>267378.24</v>
      </c>
      <c r="Y735" s="141">
        <f t="shared" si="118"/>
        <v>726</v>
      </c>
      <c r="Z735" s="298">
        <v>146</v>
      </c>
      <c r="AA735" s="299">
        <v>146</v>
      </c>
      <c r="AB735" s="299">
        <v>726</v>
      </c>
      <c r="AC735" s="301">
        <v>14</v>
      </c>
      <c r="AD735" s="301">
        <v>267378.24</v>
      </c>
      <c r="AE735" s="126"/>
      <c r="AF735" s="298"/>
      <c r="AG735" s="299"/>
      <c r="AH735" s="299"/>
      <c r="AI735" s="301"/>
      <c r="AJ735" s="301"/>
      <c r="AK735" s="426"/>
      <c r="AL735" s="298"/>
      <c r="AM735" s="299"/>
      <c r="AN735" s="299"/>
      <c r="AO735" s="301"/>
      <c r="AP735" s="301"/>
      <c r="AQ735" s="426"/>
      <c r="AR735" s="298"/>
      <c r="AS735" s="299"/>
      <c r="AT735" s="299"/>
      <c r="AU735" s="301"/>
      <c r="AV735" s="301"/>
      <c r="AW735" s="88"/>
      <c r="AX735" s="298"/>
      <c r="AY735" s="299"/>
      <c r="AZ735" s="299"/>
      <c r="BA735" s="301"/>
      <c r="BB735" s="301"/>
      <c r="BC735" s="426"/>
      <c r="BD735" s="298"/>
      <c r="BE735" s="299"/>
      <c r="BF735" s="299"/>
      <c r="BG735" s="301"/>
      <c r="BH735" s="301"/>
      <c r="BI735" s="88"/>
      <c r="BJ735" s="298"/>
      <c r="BK735" s="299"/>
      <c r="BL735" s="299"/>
      <c r="BM735" s="301"/>
      <c r="BN735" s="301"/>
      <c r="BO735" s="88"/>
      <c r="BP735" s="9"/>
      <c r="BS735" s="81"/>
      <c r="BT735" s="81"/>
      <c r="BV735" s="9"/>
      <c r="BY735" s="81"/>
      <c r="BZ735" s="81"/>
      <c r="CB735" s="9"/>
      <c r="CE735" s="81"/>
      <c r="CF735" s="81"/>
      <c r="CH735" s="9"/>
      <c r="CK735" s="81"/>
      <c r="CL735" s="81"/>
      <c r="CR735" s="9"/>
      <c r="CS735" s="9"/>
      <c r="CT735" s="9"/>
      <c r="CU735" s="9"/>
      <c r="CV735" s="9"/>
      <c r="CW735" s="129"/>
      <c r="CX735" s="9"/>
    </row>
    <row r="736" spans="1:102">
      <c r="A736" s="6" t="str">
        <f t="shared" si="111"/>
        <v>01460665</v>
      </c>
      <c r="B736" s="6" t="s">
        <v>1796</v>
      </c>
      <c r="C736" s="6" t="s">
        <v>2023</v>
      </c>
      <c r="D736" s="6">
        <v>727</v>
      </c>
      <c r="E736" s="6">
        <v>146</v>
      </c>
      <c r="F736" s="6" t="s">
        <v>1264</v>
      </c>
      <c r="G736" s="6">
        <v>665</v>
      </c>
      <c r="H736" s="6" t="s">
        <v>1053</v>
      </c>
      <c r="I736" s="33">
        <v>20165052.873568162</v>
      </c>
      <c r="J736" s="88">
        <v>0.86720246108261922</v>
      </c>
      <c r="K736" s="89">
        <f t="shared" si="120"/>
        <v>20289842.442859355</v>
      </c>
      <c r="L736" s="88">
        <f>IF(K739&gt;0, K736/K739, 0)</f>
        <v>0.86137697736608554</v>
      </c>
      <c r="M736" s="58"/>
      <c r="N736" s="9">
        <f>ROUND(M739*L736,0)</f>
        <v>13910037</v>
      </c>
      <c r="O736" s="9">
        <v>13139529</v>
      </c>
      <c r="P736" s="9">
        <f>N736-O736</f>
        <v>770508</v>
      </c>
      <c r="Q736" s="40">
        <f t="shared" si="119"/>
        <v>5.8640458116877703</v>
      </c>
      <c r="R736" s="9">
        <v>1580.3174489517</v>
      </c>
      <c r="S736" s="9">
        <f t="shared" si="117"/>
        <v>1554.853801168</v>
      </c>
      <c r="T736" s="90">
        <f t="shared" si="112"/>
        <v>146</v>
      </c>
      <c r="U736" s="90">
        <f t="shared" si="113"/>
        <v>665</v>
      </c>
      <c r="V736" s="373">
        <f t="shared" si="114"/>
        <v>727</v>
      </c>
      <c r="W736" s="90">
        <f t="shared" si="115"/>
        <v>1554.853801168</v>
      </c>
      <c r="X736" s="90">
        <f t="shared" si="116"/>
        <v>20289842.442859355</v>
      </c>
      <c r="Y736" s="141">
        <f t="shared" si="118"/>
        <v>727</v>
      </c>
      <c r="Z736" s="298">
        <v>146</v>
      </c>
      <c r="AA736" s="299">
        <v>665</v>
      </c>
      <c r="AB736" s="299">
        <v>727</v>
      </c>
      <c r="AC736" s="301">
        <v>1554.853801168</v>
      </c>
      <c r="AD736" s="301">
        <v>20289842.442859355</v>
      </c>
      <c r="AE736" s="126"/>
      <c r="AF736" s="298"/>
      <c r="AG736" s="299"/>
      <c r="AH736" s="299"/>
      <c r="AI736" s="301"/>
      <c r="AJ736" s="301"/>
      <c r="AK736" s="426"/>
      <c r="AL736" s="298"/>
      <c r="AM736" s="299"/>
      <c r="AN736" s="299"/>
      <c r="AO736" s="301"/>
      <c r="AP736" s="301"/>
      <c r="AQ736" s="426"/>
      <c r="AR736" s="298"/>
      <c r="AS736" s="299"/>
      <c r="AT736" s="299"/>
      <c r="AU736" s="301"/>
      <c r="AV736" s="301"/>
      <c r="AW736" s="88"/>
      <c r="AX736" s="298"/>
      <c r="AY736" s="299"/>
      <c r="AZ736" s="299"/>
      <c r="BA736" s="301"/>
      <c r="BB736" s="301"/>
      <c r="BC736" s="426"/>
      <c r="BD736" s="298"/>
      <c r="BE736" s="299"/>
      <c r="BF736" s="299"/>
      <c r="BG736" s="301"/>
      <c r="BH736" s="301"/>
      <c r="BI736" s="88"/>
      <c r="BJ736" s="298"/>
      <c r="BK736" s="299"/>
      <c r="BL736" s="299"/>
      <c r="BM736" s="301"/>
      <c r="BN736" s="301"/>
      <c r="BO736" s="88"/>
      <c r="BP736" s="9"/>
      <c r="BS736" s="81"/>
      <c r="BT736" s="81"/>
      <c r="BV736" s="9"/>
      <c r="BY736" s="81"/>
      <c r="BZ736" s="81"/>
      <c r="CB736" s="9"/>
      <c r="CE736" s="81"/>
      <c r="CF736" s="81"/>
      <c r="CH736" s="9"/>
      <c r="CK736" s="81"/>
      <c r="CL736" s="81"/>
      <c r="CR736" s="9"/>
      <c r="CS736" s="9"/>
      <c r="CT736" s="9"/>
      <c r="CU736" s="9"/>
      <c r="CV736" s="9"/>
      <c r="CW736" s="129"/>
      <c r="CX736" s="9"/>
    </row>
    <row r="737" spans="1:102">
      <c r="A737" s="6" t="str">
        <f t="shared" si="111"/>
        <v>01460855</v>
      </c>
      <c r="B737" s="6" t="s">
        <v>1796</v>
      </c>
      <c r="C737" s="6" t="s">
        <v>2079</v>
      </c>
      <c r="D737" s="6">
        <v>728</v>
      </c>
      <c r="E737" s="6">
        <v>146</v>
      </c>
      <c r="F737" s="6" t="s">
        <v>1264</v>
      </c>
      <c r="G737" s="6">
        <v>855</v>
      </c>
      <c r="H737" s="6" t="s">
        <v>1109</v>
      </c>
      <c r="I737" s="33">
        <v>2875770.780692576</v>
      </c>
      <c r="J737" s="88">
        <v>0.12367314453189437</v>
      </c>
      <c r="K737" s="89">
        <f t="shared" si="120"/>
        <v>2997904.3971045213</v>
      </c>
      <c r="L737" s="88">
        <f>IF(K739&gt;0, K737/K739, 0)</f>
        <v>0.12727185217345996</v>
      </c>
      <c r="M737" s="58"/>
      <c r="N737" s="9">
        <f>ROUND(M739*L737,0)</f>
        <v>2055263</v>
      </c>
      <c r="O737" s="9">
        <v>1873849</v>
      </c>
      <c r="P737" s="9">
        <f>N737-O737</f>
        <v>181414</v>
      </c>
      <c r="Q737" s="40">
        <f t="shared" si="119"/>
        <v>9.6813563953125357</v>
      </c>
      <c r="R737" s="9">
        <v>148.00000000145999</v>
      </c>
      <c r="S737" s="9">
        <f t="shared" si="117"/>
        <v>151.99999999988998</v>
      </c>
      <c r="T737" s="90">
        <f t="shared" si="112"/>
        <v>146</v>
      </c>
      <c r="U737" s="90">
        <f t="shared" si="113"/>
        <v>855</v>
      </c>
      <c r="V737" s="373">
        <f t="shared" si="114"/>
        <v>728</v>
      </c>
      <c r="W737" s="90">
        <f t="shared" si="115"/>
        <v>151.99999999988998</v>
      </c>
      <c r="X737" s="90">
        <f t="shared" si="116"/>
        <v>2997904.3971045213</v>
      </c>
      <c r="Y737" s="141">
        <f t="shared" si="118"/>
        <v>728</v>
      </c>
      <c r="Z737" s="298">
        <v>146</v>
      </c>
      <c r="AA737" s="299">
        <v>855</v>
      </c>
      <c r="AB737" s="299">
        <v>728</v>
      </c>
      <c r="AC737" s="301">
        <v>151.99999999988998</v>
      </c>
      <c r="AD737" s="301">
        <v>2997904.3971045213</v>
      </c>
      <c r="AE737" s="126"/>
      <c r="AF737" s="298"/>
      <c r="AG737" s="299"/>
      <c r="AH737" s="299"/>
      <c r="AI737" s="301"/>
      <c r="AJ737" s="301"/>
      <c r="AK737" s="426"/>
      <c r="AL737" s="298"/>
      <c r="AM737" s="299"/>
      <c r="AN737" s="299"/>
      <c r="AO737" s="301"/>
      <c r="AP737" s="301"/>
      <c r="AQ737" s="426"/>
      <c r="AR737" s="298"/>
      <c r="AS737" s="299"/>
      <c r="AT737" s="299"/>
      <c r="AU737" s="301"/>
      <c r="AV737" s="301"/>
      <c r="AW737" s="88"/>
      <c r="AX737" s="298"/>
      <c r="AY737" s="299"/>
      <c r="AZ737" s="299"/>
      <c r="BA737" s="301"/>
      <c r="BB737" s="301"/>
      <c r="BC737" s="426"/>
      <c r="BD737" s="298"/>
      <c r="BE737" s="299"/>
      <c r="BF737" s="299"/>
      <c r="BG737" s="301"/>
      <c r="BH737" s="301"/>
      <c r="BI737" s="88"/>
      <c r="BJ737" s="298"/>
      <c r="BK737" s="299"/>
      <c r="BL737" s="299"/>
      <c r="BM737" s="301"/>
      <c r="BN737" s="301"/>
      <c r="BO737" s="88"/>
      <c r="BP737" s="9"/>
      <c r="BS737" s="81"/>
      <c r="BT737" s="81"/>
      <c r="BV737" s="9"/>
      <c r="BY737" s="81"/>
      <c r="BZ737" s="81"/>
      <c r="CB737" s="9"/>
      <c r="CE737" s="81"/>
      <c r="CF737" s="81"/>
      <c r="CH737" s="9"/>
      <c r="CK737" s="81"/>
      <c r="CL737" s="81"/>
      <c r="CR737" s="9"/>
      <c r="CS737" s="9"/>
      <c r="CT737" s="9"/>
      <c r="CU737" s="9"/>
      <c r="CV737" s="9"/>
      <c r="CW737" s="129"/>
      <c r="CX737" s="9"/>
    </row>
    <row r="738" spans="1:102">
      <c r="A738" s="6" t="str">
        <f t="shared" si="111"/>
        <v>01460998</v>
      </c>
      <c r="B738" s="6" t="s">
        <v>1796</v>
      </c>
      <c r="C738" s="6" t="s">
        <v>2091</v>
      </c>
      <c r="D738" s="6">
        <v>729</v>
      </c>
      <c r="E738" s="6">
        <v>146</v>
      </c>
      <c r="F738" s="6" t="s">
        <v>1547</v>
      </c>
      <c r="G738" s="6">
        <v>998</v>
      </c>
      <c r="H738" s="6" t="s">
        <v>1547</v>
      </c>
      <c r="I738" s="33">
        <v>0</v>
      </c>
      <c r="J738" s="88">
        <v>0</v>
      </c>
      <c r="K738" s="89">
        <f t="shared" si="120"/>
        <v>0</v>
      </c>
      <c r="L738" s="88">
        <f>IF(K739&gt;0, K738/K739, 0)</f>
        <v>0</v>
      </c>
      <c r="M738" s="58"/>
      <c r="N738" s="9">
        <f>ROUND(M739*L738,0)</f>
        <v>0</v>
      </c>
      <c r="O738" s="9">
        <v>0</v>
      </c>
      <c r="P738" s="9">
        <f>N738-O738</f>
        <v>0</v>
      </c>
      <c r="Q738" s="40">
        <f t="shared" si="119"/>
        <v>0</v>
      </c>
      <c r="R738" s="9">
        <v>0</v>
      </c>
      <c r="S738" s="9">
        <f t="shared" si="117"/>
        <v>0</v>
      </c>
      <c r="T738" s="90">
        <f t="shared" si="112"/>
        <v>146</v>
      </c>
      <c r="U738" s="90">
        <f t="shared" si="113"/>
        <v>998</v>
      </c>
      <c r="V738" s="373">
        <f t="shared" si="114"/>
        <v>729</v>
      </c>
      <c r="W738" s="90">
        <f t="shared" si="115"/>
        <v>0</v>
      </c>
      <c r="X738" s="90">
        <f t="shared" si="116"/>
        <v>0</v>
      </c>
      <c r="Y738" s="141">
        <f t="shared" si="118"/>
        <v>729</v>
      </c>
      <c r="Z738" s="298">
        <v>146</v>
      </c>
      <c r="AA738" s="299">
        <v>998</v>
      </c>
      <c r="AB738" s="299">
        <v>729</v>
      </c>
      <c r="AC738" s="301">
        <v>0</v>
      </c>
      <c r="AD738" s="301">
        <v>0</v>
      </c>
      <c r="AE738" s="126"/>
      <c r="AF738" s="298"/>
      <c r="AG738" s="299"/>
      <c r="AH738" s="299"/>
      <c r="AI738" s="301"/>
      <c r="AJ738" s="301"/>
      <c r="AK738" s="426"/>
      <c r="AL738" s="298"/>
      <c r="AM738" s="299"/>
      <c r="AN738" s="299"/>
      <c r="AO738" s="301"/>
      <c r="AP738" s="301"/>
      <c r="AQ738" s="426"/>
      <c r="AR738" s="298"/>
      <c r="AS738" s="299"/>
      <c r="AT738" s="299"/>
      <c r="AU738" s="301"/>
      <c r="AV738" s="301"/>
      <c r="AW738" s="88"/>
      <c r="AX738" s="298"/>
      <c r="AY738" s="299"/>
      <c r="AZ738" s="299"/>
      <c r="BA738" s="301"/>
      <c r="BB738" s="301"/>
      <c r="BC738" s="426"/>
      <c r="BD738" s="298"/>
      <c r="BE738" s="299"/>
      <c r="BF738" s="299"/>
      <c r="BG738" s="301"/>
      <c r="BH738" s="301"/>
      <c r="BI738" s="88"/>
      <c r="BJ738" s="298"/>
      <c r="BK738" s="299"/>
      <c r="BL738" s="299"/>
      <c r="BM738" s="301"/>
      <c r="BN738" s="301"/>
      <c r="BO738" s="88"/>
      <c r="BP738" s="9"/>
      <c r="BS738" s="81"/>
      <c r="BT738" s="81"/>
      <c r="BV738" s="9"/>
      <c r="BY738" s="81"/>
      <c r="BZ738" s="81"/>
      <c r="CB738" s="9"/>
      <c r="CE738" s="81"/>
      <c r="CF738" s="81"/>
      <c r="CH738" s="9"/>
      <c r="CK738" s="81"/>
      <c r="CL738" s="81"/>
      <c r="CR738" s="9"/>
      <c r="CS738" s="9"/>
      <c r="CT738" s="9"/>
      <c r="CU738" s="9"/>
      <c r="CV738" s="9"/>
      <c r="CW738" s="129"/>
      <c r="CX738" s="9"/>
    </row>
    <row r="739" spans="1:102">
      <c r="A739" s="6" t="str">
        <f t="shared" si="111"/>
        <v>01460999</v>
      </c>
      <c r="B739" s="6" t="s">
        <v>1796</v>
      </c>
      <c r="C739" s="6" t="s">
        <v>2092</v>
      </c>
      <c r="D739" s="6">
        <v>730</v>
      </c>
      <c r="E739" s="10">
        <v>146</v>
      </c>
      <c r="F739" s="10" t="s">
        <v>1264</v>
      </c>
      <c r="G739" s="10">
        <v>999</v>
      </c>
      <c r="H739" s="10" t="s">
        <v>593</v>
      </c>
      <c r="I739" s="92">
        <v>23252993.13426074</v>
      </c>
      <c r="J739" s="472">
        <v>0.99999999999999989</v>
      </c>
      <c r="K739" s="53">
        <f>SUM(K735:K738)</f>
        <v>23555125.079963874</v>
      </c>
      <c r="L739" s="91">
        <f>SUM(L735:L738)</f>
        <v>1.0000000000000002</v>
      </c>
      <c r="M739" s="79">
        <f>VLOOKUP(E739,town351,24)</f>
        <v>16148606</v>
      </c>
      <c r="N739" s="79">
        <f>SUM(N735:N738)</f>
        <v>16148606</v>
      </c>
      <c r="O739" s="79">
        <v>15151627</v>
      </c>
      <c r="P739" s="79">
        <f>SUM(P735:P738)</f>
        <v>996979</v>
      </c>
      <c r="Q739" s="39">
        <f t="shared" si="119"/>
        <v>6.5800128263453157</v>
      </c>
      <c r="R739" s="9">
        <v>1739.31744895316</v>
      </c>
      <c r="S739" s="9">
        <f t="shared" si="117"/>
        <v>1720.85380116789</v>
      </c>
      <c r="T739" s="90">
        <f t="shared" si="112"/>
        <v>146</v>
      </c>
      <c r="U739" s="90">
        <f t="shared" si="113"/>
        <v>999</v>
      </c>
      <c r="V739" s="373">
        <f t="shared" si="114"/>
        <v>730</v>
      </c>
      <c r="W739" s="90">
        <f t="shared" si="115"/>
        <v>1720.85380116789</v>
      </c>
      <c r="X739" s="90">
        <f t="shared" si="116"/>
        <v>23555125.079963874</v>
      </c>
      <c r="Y739" s="141">
        <f t="shared" si="118"/>
        <v>730</v>
      </c>
      <c r="Z739" s="298">
        <v>146</v>
      </c>
      <c r="AA739" s="299">
        <v>999</v>
      </c>
      <c r="AB739" s="299">
        <v>730</v>
      </c>
      <c r="AC739" s="301">
        <v>1720.85380116789</v>
      </c>
      <c r="AD739" s="301">
        <v>23555125.079963874</v>
      </c>
      <c r="AE739" s="126"/>
      <c r="AF739" s="298"/>
      <c r="AG739" s="299"/>
      <c r="AH739" s="299"/>
      <c r="AI739" s="301"/>
      <c r="AJ739" s="301"/>
      <c r="AK739" s="426"/>
      <c r="AL739" s="298"/>
      <c r="AM739" s="299"/>
      <c r="AN739" s="299"/>
      <c r="AO739" s="301"/>
      <c r="AP739" s="301"/>
      <c r="AQ739" s="426"/>
      <c r="AR739" s="298"/>
      <c r="AS739" s="299"/>
      <c r="AT739" s="299"/>
      <c r="AU739" s="301"/>
      <c r="AV739" s="301"/>
      <c r="AW739" s="91"/>
      <c r="AX739" s="298"/>
      <c r="AY739" s="299"/>
      <c r="AZ739" s="299"/>
      <c r="BA739" s="301"/>
      <c r="BB739" s="301"/>
      <c r="BC739" s="426"/>
      <c r="BD739" s="298"/>
      <c r="BE739" s="299"/>
      <c r="BF739" s="299"/>
      <c r="BG739" s="301"/>
      <c r="BH739" s="301"/>
      <c r="BI739" s="91"/>
      <c r="BJ739" s="298"/>
      <c r="BK739" s="299"/>
      <c r="BL739" s="299"/>
      <c r="BM739" s="301"/>
      <c r="BN739" s="301"/>
      <c r="BO739" s="91"/>
      <c r="BP739" s="9"/>
      <c r="BS739" s="81"/>
      <c r="BT739" s="81"/>
      <c r="BV739" s="9"/>
      <c r="BY739" s="81"/>
      <c r="BZ739" s="81"/>
      <c r="CB739" s="9"/>
      <c r="CE739" s="81"/>
      <c r="CF739" s="81"/>
      <c r="CH739" s="9"/>
      <c r="CK739" s="81"/>
      <c r="CL739" s="81"/>
      <c r="CR739" s="9"/>
      <c r="CS739" s="9"/>
      <c r="CT739" s="9"/>
      <c r="CU739" s="9"/>
      <c r="CV739" s="9"/>
      <c r="CW739" s="129"/>
      <c r="CX739" s="9"/>
    </row>
    <row r="740" spans="1:102">
      <c r="A740" s="6" t="str">
        <f t="shared" si="111"/>
        <v>01470147</v>
      </c>
      <c r="B740" s="6" t="s">
        <v>1797</v>
      </c>
      <c r="C740" s="6" t="s">
        <v>1797</v>
      </c>
      <c r="D740" s="6">
        <v>731</v>
      </c>
      <c r="E740" s="6">
        <v>147</v>
      </c>
      <c r="F740" s="6" t="s">
        <v>1265</v>
      </c>
      <c r="G740" s="6">
        <v>147</v>
      </c>
      <c r="H740" s="6" t="s">
        <v>828</v>
      </c>
      <c r="I740" s="33">
        <v>32981.520000000004</v>
      </c>
      <c r="J740" s="88">
        <v>2.3698216482543337E-3</v>
      </c>
      <c r="K740" s="89">
        <f>X740</f>
        <v>33720.660000000003</v>
      </c>
      <c r="L740" s="88">
        <f>IF(K744&gt;0, K740/K744, 0)</f>
        <v>2.3575230087268619E-3</v>
      </c>
      <c r="M740" s="58"/>
      <c r="N740" s="9">
        <f>ROUND(M744*L740,0)</f>
        <v>22101</v>
      </c>
      <c r="O740" s="9">
        <v>21289</v>
      </c>
      <c r="P740" s="9">
        <f>N740-O740</f>
        <v>812</v>
      </c>
      <c r="Q740" s="40">
        <f t="shared" si="119"/>
        <v>3.8141763351965805</v>
      </c>
      <c r="R740" s="9">
        <v>2</v>
      </c>
      <c r="S740" s="9">
        <f t="shared" si="117"/>
        <v>2</v>
      </c>
      <c r="T740" s="90">
        <f t="shared" si="112"/>
        <v>147</v>
      </c>
      <c r="U740" s="90">
        <f t="shared" si="113"/>
        <v>147</v>
      </c>
      <c r="V740" s="373">
        <f t="shared" si="114"/>
        <v>731</v>
      </c>
      <c r="W740" s="90">
        <f t="shared" si="115"/>
        <v>2</v>
      </c>
      <c r="X740" s="90">
        <f t="shared" si="116"/>
        <v>33720.660000000003</v>
      </c>
      <c r="Y740" s="141">
        <f t="shared" si="118"/>
        <v>731</v>
      </c>
      <c r="Z740" s="298">
        <v>147</v>
      </c>
      <c r="AA740" s="299">
        <v>147</v>
      </c>
      <c r="AB740" s="299">
        <v>731</v>
      </c>
      <c r="AC740" s="301">
        <v>2</v>
      </c>
      <c r="AD740" s="301">
        <v>33720.660000000003</v>
      </c>
      <c r="AE740" s="126"/>
      <c r="AF740" s="298"/>
      <c r="AG740" s="299"/>
      <c r="AH740" s="299"/>
      <c r="AI740" s="301"/>
      <c r="AJ740" s="301"/>
      <c r="AK740" s="426"/>
      <c r="AL740" s="298"/>
      <c r="AM740" s="299"/>
      <c r="AN740" s="299"/>
      <c r="AO740" s="301"/>
      <c r="AP740" s="301"/>
      <c r="AQ740" s="426"/>
      <c r="AR740" s="298"/>
      <c r="AS740" s="299"/>
      <c r="AT740" s="299"/>
      <c r="AU740" s="301"/>
      <c r="AV740" s="301"/>
      <c r="AW740" s="88"/>
      <c r="AX740" s="298"/>
      <c r="AY740" s="299"/>
      <c r="AZ740" s="299"/>
      <c r="BA740" s="301"/>
      <c r="BB740" s="301"/>
      <c r="BC740" s="426"/>
      <c r="BD740" s="298"/>
      <c r="BE740" s="299"/>
      <c r="BF740" s="299"/>
      <c r="BG740" s="301"/>
      <c r="BH740" s="301"/>
      <c r="BI740" s="88"/>
      <c r="BJ740" s="298"/>
      <c r="BK740" s="299"/>
      <c r="BL740" s="299"/>
      <c r="BM740" s="301"/>
      <c r="BN740" s="301"/>
      <c r="BO740" s="88"/>
      <c r="BP740" s="9"/>
      <c r="BS740" s="81"/>
      <c r="BT740" s="81"/>
      <c r="BV740" s="9"/>
      <c r="BY740" s="81"/>
      <c r="BZ740" s="81"/>
      <c r="CB740" s="9"/>
      <c r="CE740" s="81"/>
      <c r="CF740" s="81"/>
      <c r="CH740" s="9"/>
      <c r="CK740" s="81"/>
      <c r="CL740" s="81"/>
      <c r="CR740" s="9"/>
      <c r="CS740" s="9"/>
      <c r="CT740" s="9"/>
      <c r="CU740" s="9"/>
      <c r="CV740" s="9"/>
      <c r="CW740" s="129"/>
      <c r="CX740" s="9"/>
    </row>
    <row r="741" spans="1:102">
      <c r="A741" s="6" t="str">
        <f t="shared" si="111"/>
        <v>01470725</v>
      </c>
      <c r="B741" s="6" t="s">
        <v>1797</v>
      </c>
      <c r="C741" s="6" t="s">
        <v>2042</v>
      </c>
      <c r="D741" s="6">
        <v>732</v>
      </c>
      <c r="E741" s="6">
        <v>147</v>
      </c>
      <c r="F741" s="6" t="s">
        <v>1265</v>
      </c>
      <c r="G741" s="6">
        <v>725</v>
      </c>
      <c r="H741" s="6" t="s">
        <v>1072</v>
      </c>
      <c r="I741" s="33">
        <v>12674205.171358863</v>
      </c>
      <c r="J741" s="88">
        <v>0.91067985312694066</v>
      </c>
      <c r="K741" s="89">
        <f t="shared" si="120"/>
        <v>13058423.970026778</v>
      </c>
      <c r="L741" s="88">
        <f>IF(K744&gt;0, K741/K744, 0)</f>
        <v>0.91295766355250751</v>
      </c>
      <c r="M741" s="58"/>
      <c r="N741" s="9">
        <f>ROUND(M744*L741,0)</f>
        <v>8558850</v>
      </c>
      <c r="O741" s="9">
        <v>8180813</v>
      </c>
      <c r="P741" s="9">
        <f>N741-O741</f>
        <v>378037</v>
      </c>
      <c r="Q741" s="40">
        <f t="shared" si="119"/>
        <v>4.6210199401942083</v>
      </c>
      <c r="R741" s="9">
        <v>1013.58211329726</v>
      </c>
      <c r="S741" s="9">
        <f t="shared" si="117"/>
        <v>1017.1296829880999</v>
      </c>
      <c r="T741" s="90">
        <f t="shared" si="112"/>
        <v>147</v>
      </c>
      <c r="U741" s="90">
        <f t="shared" si="113"/>
        <v>725</v>
      </c>
      <c r="V741" s="373">
        <f t="shared" si="114"/>
        <v>732</v>
      </c>
      <c r="W741" s="90">
        <f t="shared" si="115"/>
        <v>1017.1296829880999</v>
      </c>
      <c r="X741" s="90">
        <f t="shared" si="116"/>
        <v>13058423.970026778</v>
      </c>
      <c r="Y741" s="141">
        <f t="shared" si="118"/>
        <v>732</v>
      </c>
      <c r="Z741" s="298">
        <v>147</v>
      </c>
      <c r="AA741" s="299">
        <v>725</v>
      </c>
      <c r="AB741" s="299">
        <v>732</v>
      </c>
      <c r="AC741" s="301">
        <v>1017.1296829880999</v>
      </c>
      <c r="AD741" s="301">
        <v>13058423.970026778</v>
      </c>
      <c r="AE741" s="126"/>
      <c r="AF741" s="298"/>
      <c r="AG741" s="299"/>
      <c r="AH741" s="299"/>
      <c r="AI741" s="301"/>
      <c r="AJ741" s="301"/>
      <c r="AK741" s="426"/>
      <c r="AL741" s="298"/>
      <c r="AM741" s="299"/>
      <c r="AN741" s="299"/>
      <c r="AO741" s="301"/>
      <c r="AP741" s="301"/>
      <c r="AQ741" s="426"/>
      <c r="AR741" s="298"/>
      <c r="AS741" s="299"/>
      <c r="AT741" s="299"/>
      <c r="AU741" s="301"/>
      <c r="AV741" s="301"/>
      <c r="AW741" s="88"/>
      <c r="AX741" s="298"/>
      <c r="AY741" s="299"/>
      <c r="AZ741" s="299"/>
      <c r="BA741" s="301"/>
      <c r="BB741" s="301"/>
      <c r="BC741" s="426"/>
      <c r="BD741" s="298"/>
      <c r="BE741" s="299"/>
      <c r="BF741" s="299"/>
      <c r="BG741" s="301"/>
      <c r="BH741" s="301"/>
      <c r="BI741" s="88"/>
      <c r="BJ741" s="298"/>
      <c r="BK741" s="299"/>
      <c r="BL741" s="299"/>
      <c r="BM741" s="301"/>
      <c r="BN741" s="301"/>
      <c r="BO741" s="88"/>
      <c r="BP741" s="9"/>
      <c r="BS741" s="81"/>
      <c r="BT741" s="81"/>
      <c r="BV741" s="9"/>
      <c r="BY741" s="81"/>
      <c r="BZ741" s="81"/>
      <c r="CB741" s="9"/>
      <c r="CE741" s="81"/>
      <c r="CF741" s="81"/>
      <c r="CH741" s="9"/>
      <c r="CK741" s="81"/>
      <c r="CL741" s="81"/>
      <c r="CR741" s="9"/>
      <c r="CS741" s="9"/>
      <c r="CT741" s="9"/>
      <c r="CU741" s="9"/>
      <c r="CV741" s="9"/>
      <c r="CW741" s="129"/>
      <c r="CX741" s="9"/>
    </row>
    <row r="742" spans="1:102">
      <c r="A742" s="6" t="str">
        <f t="shared" si="111"/>
        <v>01470830</v>
      </c>
      <c r="B742" s="6" t="s">
        <v>1797</v>
      </c>
      <c r="C742" s="6" t="s">
        <v>2074</v>
      </c>
      <c r="D742" s="6">
        <v>733</v>
      </c>
      <c r="E742" s="6">
        <v>147</v>
      </c>
      <c r="F742" s="6" t="s">
        <v>1265</v>
      </c>
      <c r="G742" s="6">
        <v>830</v>
      </c>
      <c r="H742" s="6" t="s">
        <v>1104</v>
      </c>
      <c r="I742" s="33">
        <v>1210113.8043535333</v>
      </c>
      <c r="J742" s="88">
        <v>8.6950325224805045E-2</v>
      </c>
      <c r="K742" s="89">
        <f t="shared" si="120"/>
        <v>1211283.1096711869</v>
      </c>
      <c r="L742" s="88">
        <f>IF(K744&gt;0, K742/K744, 0)</f>
        <v>8.4684813438765605E-2</v>
      </c>
      <c r="M742" s="58"/>
      <c r="N742" s="9">
        <f>ROUND(M744*L742,0)</f>
        <v>793908</v>
      </c>
      <c r="O742" s="9">
        <v>781092</v>
      </c>
      <c r="P742" s="9">
        <f>N742-O742</f>
        <v>12816</v>
      </c>
      <c r="Q742" s="40">
        <f t="shared" si="119"/>
        <v>1.6407798313130848</v>
      </c>
      <c r="R742" s="9">
        <v>58.000000002420002</v>
      </c>
      <c r="S742" s="9">
        <f t="shared" si="117"/>
        <v>57.999999999659998</v>
      </c>
      <c r="T742" s="90">
        <f t="shared" si="112"/>
        <v>147</v>
      </c>
      <c r="U742" s="90">
        <f t="shared" si="113"/>
        <v>830</v>
      </c>
      <c r="V742" s="373">
        <f t="shared" si="114"/>
        <v>733</v>
      </c>
      <c r="W742" s="90">
        <f t="shared" si="115"/>
        <v>57.999999999659998</v>
      </c>
      <c r="X742" s="90">
        <f t="shared" si="116"/>
        <v>1211283.1096711869</v>
      </c>
      <c r="Y742" s="141">
        <f t="shared" si="118"/>
        <v>733</v>
      </c>
      <c r="Z742" s="298">
        <v>147</v>
      </c>
      <c r="AA742" s="299">
        <v>830</v>
      </c>
      <c r="AB742" s="299">
        <v>733</v>
      </c>
      <c r="AC742" s="301">
        <v>57.999999999659998</v>
      </c>
      <c r="AD742" s="301">
        <v>1211283.1096711869</v>
      </c>
      <c r="AE742" s="126"/>
      <c r="AF742" s="298"/>
      <c r="AG742" s="299"/>
      <c r="AH742" s="299"/>
      <c r="AI742" s="301"/>
      <c r="AJ742" s="301"/>
      <c r="AK742" s="426"/>
      <c r="AL742" s="298"/>
      <c r="AM742" s="299"/>
      <c r="AN742" s="299"/>
      <c r="AO742" s="301"/>
      <c r="AP742" s="301"/>
      <c r="AQ742" s="426"/>
      <c r="AR742" s="298"/>
      <c r="AS742" s="299"/>
      <c r="AT742" s="299"/>
      <c r="AU742" s="301"/>
      <c r="AV742" s="301"/>
      <c r="AW742" s="88"/>
      <c r="AX742" s="298"/>
      <c r="AY742" s="299"/>
      <c r="AZ742" s="299"/>
      <c r="BA742" s="301"/>
      <c r="BB742" s="301"/>
      <c r="BC742" s="426"/>
      <c r="BD742" s="298"/>
      <c r="BE742" s="299"/>
      <c r="BF742" s="299"/>
      <c r="BG742" s="301"/>
      <c r="BH742" s="301"/>
      <c r="BI742" s="88"/>
      <c r="BJ742" s="298"/>
      <c r="BK742" s="299"/>
      <c r="BL742" s="299"/>
      <c r="BM742" s="301"/>
      <c r="BN742" s="301"/>
      <c r="BO742" s="88"/>
      <c r="BP742" s="9"/>
      <c r="BS742" s="81"/>
      <c r="BT742" s="81"/>
      <c r="BV742" s="9"/>
      <c r="BY742" s="81"/>
      <c r="BZ742" s="81"/>
      <c r="CB742" s="9"/>
      <c r="CE742" s="81"/>
      <c r="CF742" s="81"/>
      <c r="CH742" s="9"/>
      <c r="CK742" s="81"/>
      <c r="CL742" s="81"/>
      <c r="CR742" s="9"/>
      <c r="CS742" s="9"/>
      <c r="CT742" s="9"/>
      <c r="CU742" s="9"/>
      <c r="CV742" s="9"/>
      <c r="CW742" s="129"/>
      <c r="CX742" s="9"/>
    </row>
    <row r="743" spans="1:102">
      <c r="A743" s="6" t="str">
        <f t="shared" si="111"/>
        <v>01470998</v>
      </c>
      <c r="B743" s="6" t="s">
        <v>1797</v>
      </c>
      <c r="C743" s="6" t="s">
        <v>2091</v>
      </c>
      <c r="D743" s="6">
        <v>734</v>
      </c>
      <c r="E743" s="6">
        <v>147</v>
      </c>
      <c r="F743" s="6" t="s">
        <v>1547</v>
      </c>
      <c r="G743" s="6">
        <v>998</v>
      </c>
      <c r="H743" s="6" t="s">
        <v>1547</v>
      </c>
      <c r="I743" s="33">
        <v>0</v>
      </c>
      <c r="J743" s="88">
        <v>0</v>
      </c>
      <c r="K743" s="89">
        <f t="shared" si="120"/>
        <v>0</v>
      </c>
      <c r="L743" s="88">
        <f>IF(K744&gt;0, K743/K744, 0)</f>
        <v>0</v>
      </c>
      <c r="M743" s="58"/>
      <c r="N743" s="9">
        <f>ROUND(M744*L743,0)</f>
        <v>0</v>
      </c>
      <c r="O743" s="9">
        <v>0</v>
      </c>
      <c r="P743" s="9">
        <f>N743-O743</f>
        <v>0</v>
      </c>
      <c r="Q743" s="40">
        <f t="shared" si="119"/>
        <v>0</v>
      </c>
      <c r="R743" s="9">
        <v>0</v>
      </c>
      <c r="S743" s="9">
        <f t="shared" si="117"/>
        <v>0</v>
      </c>
      <c r="T743" s="90">
        <f t="shared" si="112"/>
        <v>147</v>
      </c>
      <c r="U743" s="90">
        <f t="shared" si="113"/>
        <v>998</v>
      </c>
      <c r="V743" s="373">
        <f t="shared" si="114"/>
        <v>734</v>
      </c>
      <c r="W743" s="90">
        <f t="shared" si="115"/>
        <v>0</v>
      </c>
      <c r="X743" s="90">
        <f t="shared" si="116"/>
        <v>0</v>
      </c>
      <c r="Y743" s="141">
        <f t="shared" si="118"/>
        <v>734</v>
      </c>
      <c r="Z743" s="298">
        <v>147</v>
      </c>
      <c r="AA743" s="299">
        <v>998</v>
      </c>
      <c r="AB743" s="299">
        <v>734</v>
      </c>
      <c r="AC743" s="301">
        <v>0</v>
      </c>
      <c r="AD743" s="301">
        <v>0</v>
      </c>
      <c r="AE743" s="126"/>
      <c r="AF743" s="298"/>
      <c r="AG743" s="299"/>
      <c r="AH743" s="299"/>
      <c r="AI743" s="301"/>
      <c r="AJ743" s="301"/>
      <c r="AK743" s="426"/>
      <c r="AL743" s="298"/>
      <c r="AM743" s="299"/>
      <c r="AN743" s="299"/>
      <c r="AO743" s="301"/>
      <c r="AP743" s="301"/>
      <c r="AQ743" s="426"/>
      <c r="AR743" s="298"/>
      <c r="AS743" s="299"/>
      <c r="AT743" s="299"/>
      <c r="AU743" s="301"/>
      <c r="AV743" s="301"/>
      <c r="AW743" s="88"/>
      <c r="AX743" s="298"/>
      <c r="AY743" s="299"/>
      <c r="AZ743" s="299"/>
      <c r="BA743" s="301"/>
      <c r="BB743" s="301"/>
      <c r="BC743" s="426"/>
      <c r="BD743" s="298"/>
      <c r="BE743" s="299"/>
      <c r="BF743" s="299"/>
      <c r="BG743" s="301"/>
      <c r="BH743" s="301"/>
      <c r="BI743" s="88"/>
      <c r="BJ743" s="298"/>
      <c r="BK743" s="299"/>
      <c r="BL743" s="299"/>
      <c r="BM743" s="301"/>
      <c r="BN743" s="301"/>
      <c r="BO743" s="88"/>
      <c r="BP743" s="9"/>
      <c r="BS743" s="81"/>
      <c r="BT743" s="81"/>
      <c r="BV743" s="9"/>
      <c r="BY743" s="81"/>
      <c r="BZ743" s="81"/>
      <c r="CB743" s="9"/>
      <c r="CE743" s="81"/>
      <c r="CF743" s="81"/>
      <c r="CH743" s="9"/>
      <c r="CK743" s="81"/>
      <c r="CL743" s="81"/>
      <c r="CR743" s="9"/>
      <c r="CS743" s="9"/>
      <c r="CT743" s="9"/>
      <c r="CU743" s="9"/>
      <c r="CV743" s="9"/>
      <c r="CW743" s="129"/>
      <c r="CX743" s="9"/>
    </row>
    <row r="744" spans="1:102">
      <c r="A744" s="6" t="str">
        <f t="shared" si="111"/>
        <v>01470999</v>
      </c>
      <c r="B744" s="6" t="s">
        <v>1797</v>
      </c>
      <c r="C744" s="6" t="s">
        <v>2092</v>
      </c>
      <c r="D744" s="6">
        <v>735</v>
      </c>
      <c r="E744" s="10">
        <v>147</v>
      </c>
      <c r="F744" s="10" t="s">
        <v>1265</v>
      </c>
      <c r="G744" s="10">
        <v>999</v>
      </c>
      <c r="H744" s="10" t="s">
        <v>593</v>
      </c>
      <c r="I744" s="92">
        <v>13917300.495712396</v>
      </c>
      <c r="J744" s="472">
        <v>1</v>
      </c>
      <c r="K744" s="53">
        <f>SUM(K740:K743)</f>
        <v>14303427.739697965</v>
      </c>
      <c r="L744" s="91">
        <f>SUM(L740:L743)</f>
        <v>1</v>
      </c>
      <c r="M744" s="79">
        <f>VLOOKUP(E744,town351,24)</f>
        <v>9374860</v>
      </c>
      <c r="N744" s="79">
        <f>SUM(N740:N743)</f>
        <v>9374859</v>
      </c>
      <c r="O744" s="79">
        <v>8983194</v>
      </c>
      <c r="P744" s="79">
        <f>SUM(P740:P743)</f>
        <v>391665</v>
      </c>
      <c r="Q744" s="39">
        <f t="shared" si="119"/>
        <v>4.3599748597213868</v>
      </c>
      <c r="R744" s="9">
        <v>1073.58211329968</v>
      </c>
      <c r="S744" s="9">
        <f t="shared" si="117"/>
        <v>1077.1296829877599</v>
      </c>
      <c r="T744" s="90">
        <f t="shared" si="112"/>
        <v>147</v>
      </c>
      <c r="U744" s="90">
        <f t="shared" si="113"/>
        <v>999</v>
      </c>
      <c r="V744" s="373">
        <f t="shared" si="114"/>
        <v>735</v>
      </c>
      <c r="W744" s="90">
        <f t="shared" si="115"/>
        <v>1077.1296829877599</v>
      </c>
      <c r="X744" s="90">
        <f t="shared" si="116"/>
        <v>14303427.739697965</v>
      </c>
      <c r="Y744" s="141">
        <f t="shared" si="118"/>
        <v>735</v>
      </c>
      <c r="Z744" s="298">
        <v>147</v>
      </c>
      <c r="AA744" s="299">
        <v>999</v>
      </c>
      <c r="AB744" s="299">
        <v>735</v>
      </c>
      <c r="AC744" s="301">
        <v>1077.1296829877599</v>
      </c>
      <c r="AD744" s="301">
        <v>14303427.739697965</v>
      </c>
      <c r="AE744" s="126"/>
      <c r="AF744" s="298"/>
      <c r="AG744" s="299"/>
      <c r="AH744" s="299"/>
      <c r="AI744" s="301"/>
      <c r="AJ744" s="301"/>
      <c r="AK744" s="426"/>
      <c r="AL744" s="298"/>
      <c r="AM744" s="299"/>
      <c r="AN744" s="299"/>
      <c r="AO744" s="301"/>
      <c r="AP744" s="301"/>
      <c r="AQ744" s="426"/>
      <c r="AR744" s="298"/>
      <c r="AS744" s="299"/>
      <c r="AT744" s="299"/>
      <c r="AU744" s="301"/>
      <c r="AV744" s="301"/>
      <c r="AW744" s="91"/>
      <c r="AX744" s="298"/>
      <c r="AY744" s="299"/>
      <c r="AZ744" s="299"/>
      <c r="BA744" s="301"/>
      <c r="BB744" s="301"/>
      <c r="BC744" s="426"/>
      <c r="BD744" s="298"/>
      <c r="BE744" s="299"/>
      <c r="BF744" s="299"/>
      <c r="BG744" s="301"/>
      <c r="BH744" s="301"/>
      <c r="BI744" s="91"/>
      <c r="BJ744" s="298"/>
      <c r="BK744" s="299"/>
      <c r="BL744" s="299"/>
      <c r="BM744" s="301"/>
      <c r="BN744" s="301"/>
      <c r="BO744" s="91"/>
      <c r="BP744" s="9"/>
      <c r="BS744" s="81"/>
      <c r="BT744" s="81"/>
      <c r="BV744" s="9"/>
      <c r="BY744" s="81"/>
      <c r="BZ744" s="81"/>
      <c r="CB744" s="9"/>
      <c r="CE744" s="81"/>
      <c r="CF744" s="81"/>
      <c r="CH744" s="9"/>
      <c r="CK744" s="81"/>
      <c r="CL744" s="81"/>
      <c r="CR744" s="9"/>
      <c r="CS744" s="9"/>
      <c r="CT744" s="9"/>
      <c r="CU744" s="9"/>
      <c r="CV744" s="9"/>
      <c r="CW744" s="129"/>
      <c r="CX744" s="9"/>
    </row>
    <row r="745" spans="1:102">
      <c r="A745" s="6" t="str">
        <f t="shared" si="111"/>
        <v>01480148</v>
      </c>
      <c r="B745" s="6" t="s">
        <v>1798</v>
      </c>
      <c r="C745" s="6" t="s">
        <v>1798</v>
      </c>
      <c r="D745" s="6">
        <v>736</v>
      </c>
      <c r="E745" s="6">
        <v>148</v>
      </c>
      <c r="F745" s="6" t="s">
        <v>1266</v>
      </c>
      <c r="G745" s="6">
        <v>148</v>
      </c>
      <c r="H745" s="6" t="s">
        <v>829</v>
      </c>
      <c r="I745" s="33">
        <v>0</v>
      </c>
      <c r="J745" s="88">
        <v>0</v>
      </c>
      <c r="K745" s="89">
        <f>X745</f>
        <v>0</v>
      </c>
      <c r="L745" s="88">
        <f>IF(K749&gt;0, K745/K749, 0)</f>
        <v>0</v>
      </c>
      <c r="M745" s="58"/>
      <c r="N745" s="9">
        <f>ROUND(M749*L745,0)</f>
        <v>0</v>
      </c>
      <c r="O745" s="9">
        <v>0</v>
      </c>
      <c r="P745" s="9">
        <f>N745-O745</f>
        <v>0</v>
      </c>
      <c r="Q745" s="40">
        <f t="shared" si="119"/>
        <v>0</v>
      </c>
      <c r="R745" s="9">
        <v>0</v>
      </c>
      <c r="S745" s="9">
        <f t="shared" si="117"/>
        <v>0</v>
      </c>
      <c r="T745" s="90">
        <f t="shared" si="112"/>
        <v>148</v>
      </c>
      <c r="U745" s="90">
        <f t="shared" si="113"/>
        <v>148</v>
      </c>
      <c r="V745" s="373">
        <f t="shared" si="114"/>
        <v>736</v>
      </c>
      <c r="W745" s="90">
        <f t="shared" si="115"/>
        <v>0</v>
      </c>
      <c r="X745" s="90">
        <f t="shared" si="116"/>
        <v>0</v>
      </c>
      <c r="Y745" s="141">
        <f t="shared" si="118"/>
        <v>736</v>
      </c>
      <c r="Z745" s="298">
        <v>148</v>
      </c>
      <c r="AA745" s="299">
        <v>148</v>
      </c>
      <c r="AB745" s="299">
        <v>736</v>
      </c>
      <c r="AC745" s="301">
        <v>0</v>
      </c>
      <c r="AD745" s="301">
        <v>0</v>
      </c>
      <c r="AE745" s="126"/>
      <c r="AF745" s="298"/>
      <c r="AG745" s="299"/>
      <c r="AH745" s="299"/>
      <c r="AI745" s="301"/>
      <c r="AJ745" s="301"/>
      <c r="AK745" s="426"/>
      <c r="AL745" s="298"/>
      <c r="AM745" s="299"/>
      <c r="AN745" s="299"/>
      <c r="AO745" s="301"/>
      <c r="AP745" s="301"/>
      <c r="AQ745" s="426"/>
      <c r="AR745" s="298"/>
      <c r="AS745" s="299"/>
      <c r="AT745" s="299"/>
      <c r="AU745" s="301"/>
      <c r="AV745" s="301"/>
      <c r="AW745" s="88"/>
      <c r="AX745" s="298"/>
      <c r="AY745" s="299"/>
      <c r="AZ745" s="299"/>
      <c r="BA745" s="301"/>
      <c r="BB745" s="301"/>
      <c r="BC745" s="426"/>
      <c r="BD745" s="298"/>
      <c r="BE745" s="299"/>
      <c r="BF745" s="299"/>
      <c r="BG745" s="301"/>
      <c r="BH745" s="301"/>
      <c r="BI745" s="88"/>
      <c r="BJ745" s="298"/>
      <c r="BK745" s="299"/>
      <c r="BL745" s="299"/>
      <c r="BM745" s="301"/>
      <c r="BN745" s="301"/>
      <c r="BO745" s="88"/>
      <c r="BP745" s="9"/>
      <c r="BS745" s="81"/>
      <c r="BT745" s="81"/>
      <c r="BV745" s="9"/>
      <c r="BY745" s="81"/>
      <c r="BZ745" s="81"/>
      <c r="CB745" s="9"/>
      <c r="CE745" s="81"/>
      <c r="CF745" s="81"/>
      <c r="CH745" s="9"/>
      <c r="CK745" s="81"/>
      <c r="CL745" s="81"/>
      <c r="CR745" s="9"/>
      <c r="CS745" s="9"/>
      <c r="CT745" s="9"/>
      <c r="CU745" s="9"/>
      <c r="CV745" s="9"/>
      <c r="CW745" s="129"/>
      <c r="CX745" s="9"/>
    </row>
    <row r="746" spans="1:102">
      <c r="A746" s="6" t="str">
        <f t="shared" si="111"/>
        <v>01480715</v>
      </c>
      <c r="B746" s="6" t="s">
        <v>1798</v>
      </c>
      <c r="C746" s="6" t="s">
        <v>2039</v>
      </c>
      <c r="D746" s="6">
        <v>737</v>
      </c>
      <c r="E746" s="6">
        <v>148</v>
      </c>
      <c r="F746" s="6" t="s">
        <v>1266</v>
      </c>
      <c r="G746" s="6">
        <v>715</v>
      </c>
      <c r="H746" s="6" t="s">
        <v>1069</v>
      </c>
      <c r="I746" s="33">
        <v>4787305.4172518328</v>
      </c>
      <c r="J746" s="88">
        <v>0.87950534467376884</v>
      </c>
      <c r="K746" s="89">
        <f t="shared" si="120"/>
        <v>5113312.7742155073</v>
      </c>
      <c r="L746" s="88">
        <f>IF(K749&gt;0, K746/K749, 0)</f>
        <v>0.88267728389764843</v>
      </c>
      <c r="M746" s="58"/>
      <c r="N746" s="9">
        <f>ROUND(M749*L746,0)</f>
        <v>2752902</v>
      </c>
      <c r="O746" s="9">
        <v>2532086</v>
      </c>
      <c r="P746" s="9">
        <f>N746-O746</f>
        <v>220816</v>
      </c>
      <c r="Q746" s="40">
        <f t="shared" si="119"/>
        <v>8.7207148572362865</v>
      </c>
      <c r="R746" s="9">
        <v>362.97574123998004</v>
      </c>
      <c r="S746" s="9">
        <f t="shared" si="117"/>
        <v>376.80952380435002</v>
      </c>
      <c r="T746" s="90">
        <f t="shared" si="112"/>
        <v>148</v>
      </c>
      <c r="U746" s="90">
        <f t="shared" si="113"/>
        <v>715</v>
      </c>
      <c r="V746" s="373">
        <f t="shared" si="114"/>
        <v>737</v>
      </c>
      <c r="W746" s="90">
        <f t="shared" si="115"/>
        <v>376.80952380435002</v>
      </c>
      <c r="X746" s="90">
        <f t="shared" si="116"/>
        <v>5113312.7742155073</v>
      </c>
      <c r="Y746" s="141">
        <f t="shared" si="118"/>
        <v>737</v>
      </c>
      <c r="Z746" s="298">
        <v>148</v>
      </c>
      <c r="AA746" s="299">
        <v>715</v>
      </c>
      <c r="AB746" s="299">
        <v>737</v>
      </c>
      <c r="AC746" s="301">
        <v>376.80952380435002</v>
      </c>
      <c r="AD746" s="301">
        <v>5113312.7742155073</v>
      </c>
      <c r="AE746" s="126"/>
      <c r="AF746" s="298"/>
      <c r="AG746" s="299"/>
      <c r="AH746" s="299"/>
      <c r="AI746" s="301"/>
      <c r="AJ746" s="301"/>
      <c r="AK746" s="426"/>
      <c r="AL746" s="298"/>
      <c r="AM746" s="299"/>
      <c r="AN746" s="299"/>
      <c r="AO746" s="301"/>
      <c r="AP746" s="301"/>
      <c r="AQ746" s="426"/>
      <c r="AR746" s="298"/>
      <c r="AS746" s="299"/>
      <c r="AT746" s="299"/>
      <c r="AU746" s="301"/>
      <c r="AV746" s="301"/>
      <c r="AW746" s="88"/>
      <c r="AX746" s="298"/>
      <c r="AY746" s="299"/>
      <c r="AZ746" s="299"/>
      <c r="BA746" s="301"/>
      <c r="BB746" s="301"/>
      <c r="BC746" s="426"/>
      <c r="BD746" s="298"/>
      <c r="BE746" s="299"/>
      <c r="BF746" s="299"/>
      <c r="BG746" s="301"/>
      <c r="BH746" s="301"/>
      <c r="BI746" s="88"/>
      <c r="BJ746" s="298"/>
      <c r="BK746" s="299"/>
      <c r="BL746" s="299"/>
      <c r="BM746" s="301"/>
      <c r="BN746" s="301"/>
      <c r="BO746" s="88"/>
      <c r="BP746" s="9"/>
      <c r="BS746" s="81"/>
      <c r="BT746" s="81"/>
      <c r="BV746" s="9"/>
      <c r="BY746" s="81"/>
      <c r="BZ746" s="81"/>
      <c r="CB746" s="9"/>
      <c r="CE746" s="81"/>
      <c r="CF746" s="81"/>
      <c r="CH746" s="9"/>
      <c r="CK746" s="81"/>
      <c r="CL746" s="81"/>
      <c r="CR746" s="9"/>
      <c r="CS746" s="9"/>
      <c r="CT746" s="9"/>
      <c r="CU746" s="9"/>
      <c r="CV746" s="9"/>
      <c r="CW746" s="129"/>
      <c r="CX746" s="9"/>
    </row>
    <row r="747" spans="1:102">
      <c r="A747" s="6" t="str">
        <f t="shared" si="111"/>
        <v>01480851</v>
      </c>
      <c r="B747" s="6" t="s">
        <v>1798</v>
      </c>
      <c r="C747" s="6" t="s">
        <v>2076</v>
      </c>
      <c r="D747" s="6">
        <v>738</v>
      </c>
      <c r="E747" s="6">
        <v>148</v>
      </c>
      <c r="F747" s="6" t="s">
        <v>1266</v>
      </c>
      <c r="G747" s="6">
        <v>851</v>
      </c>
      <c r="H747" s="6" t="s">
        <v>1106</v>
      </c>
      <c r="I747" s="33">
        <v>655874.0315638734</v>
      </c>
      <c r="J747" s="88">
        <v>0.12049465532623116</v>
      </c>
      <c r="K747" s="89">
        <f t="shared" si="120"/>
        <v>679645.61215713457</v>
      </c>
      <c r="L747" s="88">
        <f>IF(K749&gt;0, K747/K749, 0)</f>
        <v>0.11732271610235165</v>
      </c>
      <c r="M747" s="58"/>
      <c r="N747" s="9">
        <f>ROUND(M749*L747,0)</f>
        <v>365907</v>
      </c>
      <c r="O747" s="9">
        <v>346903</v>
      </c>
      <c r="P747" s="9">
        <f>N747-O747</f>
        <v>19004</v>
      </c>
      <c r="Q747" s="40">
        <f t="shared" si="119"/>
        <v>5.4781884273125341</v>
      </c>
      <c r="R747" s="9">
        <v>30.999999997500002</v>
      </c>
      <c r="S747" s="9">
        <f t="shared" si="117"/>
        <v>31.000000001499998</v>
      </c>
      <c r="T747" s="90">
        <f t="shared" si="112"/>
        <v>148</v>
      </c>
      <c r="U747" s="90">
        <f t="shared" si="113"/>
        <v>851</v>
      </c>
      <c r="V747" s="373">
        <f t="shared" si="114"/>
        <v>738</v>
      </c>
      <c r="W747" s="90">
        <f t="shared" si="115"/>
        <v>31.000000001499998</v>
      </c>
      <c r="X747" s="90">
        <f t="shared" si="116"/>
        <v>679645.61215713457</v>
      </c>
      <c r="Y747" s="141">
        <f t="shared" si="118"/>
        <v>738</v>
      </c>
      <c r="Z747" s="298">
        <v>148</v>
      </c>
      <c r="AA747" s="299">
        <v>851</v>
      </c>
      <c r="AB747" s="299">
        <v>738</v>
      </c>
      <c r="AC747" s="301">
        <v>31.000000001499998</v>
      </c>
      <c r="AD747" s="301">
        <v>679645.61215713457</v>
      </c>
      <c r="AE747" s="126"/>
      <c r="AF747" s="298"/>
      <c r="AG747" s="299"/>
      <c r="AH747" s="299"/>
      <c r="AI747" s="301"/>
      <c r="AJ747" s="301"/>
      <c r="AK747" s="426"/>
      <c r="AL747" s="298"/>
      <c r="AM747" s="299"/>
      <c r="AN747" s="299"/>
      <c r="AO747" s="301"/>
      <c r="AP747" s="301"/>
      <c r="AQ747" s="426"/>
      <c r="AR747" s="298"/>
      <c r="AS747" s="299"/>
      <c r="AT747" s="299"/>
      <c r="AU747" s="301"/>
      <c r="AV747" s="301"/>
      <c r="AW747" s="88"/>
      <c r="AX747" s="298"/>
      <c r="AY747" s="299"/>
      <c r="AZ747" s="299"/>
      <c r="BA747" s="301"/>
      <c r="BB747" s="301"/>
      <c r="BC747" s="426"/>
      <c r="BD747" s="298"/>
      <c r="BE747" s="299"/>
      <c r="BF747" s="299"/>
      <c r="BG747" s="301"/>
      <c r="BH747" s="301"/>
      <c r="BI747" s="88"/>
      <c r="BJ747" s="298"/>
      <c r="BK747" s="299"/>
      <c r="BL747" s="299"/>
      <c r="BM747" s="301"/>
      <c r="BN747" s="301"/>
      <c r="BO747" s="88"/>
      <c r="BP747" s="9"/>
      <c r="BS747" s="81"/>
      <c r="BT747" s="81"/>
      <c r="BV747" s="9"/>
      <c r="BY747" s="81"/>
      <c r="BZ747" s="81"/>
      <c r="CB747" s="9"/>
      <c r="CE747" s="81"/>
      <c r="CF747" s="81"/>
      <c r="CH747" s="9"/>
      <c r="CK747" s="81"/>
      <c r="CL747" s="81"/>
      <c r="CR747" s="9"/>
      <c r="CS747" s="9"/>
      <c r="CT747" s="9"/>
      <c r="CU747" s="9"/>
      <c r="CV747" s="9"/>
      <c r="CW747" s="129"/>
      <c r="CX747" s="9"/>
    </row>
    <row r="748" spans="1:102">
      <c r="A748" s="6" t="str">
        <f t="shared" si="111"/>
        <v>01480998</v>
      </c>
      <c r="B748" s="6" t="s">
        <v>1798</v>
      </c>
      <c r="C748" s="6" t="s">
        <v>2091</v>
      </c>
      <c r="D748" s="6">
        <v>739</v>
      </c>
      <c r="E748" s="6">
        <v>148</v>
      </c>
      <c r="F748" s="6" t="s">
        <v>1547</v>
      </c>
      <c r="G748" s="6">
        <v>998</v>
      </c>
      <c r="H748" s="6" t="s">
        <v>1547</v>
      </c>
      <c r="I748" s="33">
        <v>0</v>
      </c>
      <c r="J748" s="88">
        <v>0</v>
      </c>
      <c r="K748" s="89">
        <f t="shared" si="120"/>
        <v>0</v>
      </c>
      <c r="L748" s="88">
        <f>IF(K749&gt;0, K748/K749, 0)</f>
        <v>0</v>
      </c>
      <c r="M748" s="58"/>
      <c r="N748" s="9">
        <f>ROUND(M749*L748,0)</f>
        <v>0</v>
      </c>
      <c r="O748" s="9">
        <v>0</v>
      </c>
      <c r="P748" s="9">
        <f>N748-O748</f>
        <v>0</v>
      </c>
      <c r="Q748" s="40">
        <f t="shared" si="119"/>
        <v>0</v>
      </c>
      <c r="R748" s="9">
        <v>0</v>
      </c>
      <c r="S748" s="9">
        <f t="shared" si="117"/>
        <v>0</v>
      </c>
      <c r="T748" s="90">
        <f t="shared" si="112"/>
        <v>148</v>
      </c>
      <c r="U748" s="90">
        <f t="shared" si="113"/>
        <v>998</v>
      </c>
      <c r="V748" s="373">
        <f t="shared" si="114"/>
        <v>739</v>
      </c>
      <c r="W748" s="90">
        <f t="shared" si="115"/>
        <v>0</v>
      </c>
      <c r="X748" s="90">
        <f t="shared" si="116"/>
        <v>0</v>
      </c>
      <c r="Y748" s="141">
        <f t="shared" si="118"/>
        <v>739</v>
      </c>
      <c r="Z748" s="298">
        <v>148</v>
      </c>
      <c r="AA748" s="299">
        <v>998</v>
      </c>
      <c r="AB748" s="299">
        <v>739</v>
      </c>
      <c r="AC748" s="301">
        <v>0</v>
      </c>
      <c r="AD748" s="301">
        <v>0</v>
      </c>
      <c r="AE748" s="126"/>
      <c r="AF748" s="298"/>
      <c r="AG748" s="299"/>
      <c r="AH748" s="299"/>
      <c r="AI748" s="301"/>
      <c r="AJ748" s="301"/>
      <c r="AK748" s="426"/>
      <c r="AL748" s="298"/>
      <c r="AM748" s="299"/>
      <c r="AN748" s="299"/>
      <c r="AO748" s="301"/>
      <c r="AP748" s="301"/>
      <c r="AQ748" s="426"/>
      <c r="AR748" s="298"/>
      <c r="AS748" s="299"/>
      <c r="AT748" s="299"/>
      <c r="AU748" s="301"/>
      <c r="AV748" s="301"/>
      <c r="AW748" s="88"/>
      <c r="AX748" s="298"/>
      <c r="AY748" s="299"/>
      <c r="AZ748" s="299"/>
      <c r="BA748" s="301"/>
      <c r="BB748" s="301"/>
      <c r="BC748" s="426"/>
      <c r="BD748" s="298"/>
      <c r="BE748" s="299"/>
      <c r="BF748" s="299"/>
      <c r="BG748" s="301"/>
      <c r="BH748" s="301"/>
      <c r="BI748" s="88"/>
      <c r="BJ748" s="298"/>
      <c r="BK748" s="299"/>
      <c r="BL748" s="299"/>
      <c r="BM748" s="301"/>
      <c r="BN748" s="301"/>
      <c r="BO748" s="88"/>
      <c r="BP748" s="9"/>
      <c r="BS748" s="81"/>
      <c r="BT748" s="81"/>
      <c r="BV748" s="9"/>
      <c r="BY748" s="81"/>
      <c r="BZ748" s="81"/>
      <c r="CB748" s="9"/>
      <c r="CE748" s="81"/>
      <c r="CF748" s="81"/>
      <c r="CH748" s="9"/>
      <c r="CK748" s="81"/>
      <c r="CL748" s="81"/>
      <c r="CR748" s="9"/>
      <c r="CS748" s="9"/>
      <c r="CT748" s="9"/>
      <c r="CU748" s="9"/>
      <c r="CV748" s="9"/>
      <c r="CW748" s="129"/>
      <c r="CX748" s="9"/>
    </row>
    <row r="749" spans="1:102">
      <c r="A749" s="6" t="str">
        <f t="shared" si="111"/>
        <v>01480999</v>
      </c>
      <c r="B749" s="6" t="s">
        <v>1798</v>
      </c>
      <c r="C749" s="6" t="s">
        <v>2092</v>
      </c>
      <c r="D749" s="6">
        <v>740</v>
      </c>
      <c r="E749" s="10">
        <v>148</v>
      </c>
      <c r="F749" s="10" t="s">
        <v>1266</v>
      </c>
      <c r="G749" s="10">
        <v>999</v>
      </c>
      <c r="H749" s="10" t="s">
        <v>593</v>
      </c>
      <c r="I749" s="92">
        <v>5443179.4488157062</v>
      </c>
      <c r="J749" s="472">
        <v>1</v>
      </c>
      <c r="K749" s="53">
        <f>SUM(K745:K748)</f>
        <v>5792958.3863726417</v>
      </c>
      <c r="L749" s="91">
        <f>SUM(L745:L748)</f>
        <v>1</v>
      </c>
      <c r="M749" s="79">
        <f>VLOOKUP(E749,town351,24)</f>
        <v>3118809</v>
      </c>
      <c r="N749" s="79">
        <f>SUM(N745:N748)</f>
        <v>3118809</v>
      </c>
      <c r="O749" s="79">
        <v>2878989</v>
      </c>
      <c r="P749" s="79">
        <f>SUM(P745:P748)</f>
        <v>239820</v>
      </c>
      <c r="Q749" s="39">
        <f t="shared" si="119"/>
        <v>8.3300075130540616</v>
      </c>
      <c r="R749" s="9">
        <v>393.97574123748007</v>
      </c>
      <c r="S749" s="9">
        <f t="shared" si="117"/>
        <v>407.80952380585001</v>
      </c>
      <c r="T749" s="90">
        <f t="shared" si="112"/>
        <v>148</v>
      </c>
      <c r="U749" s="90">
        <f t="shared" si="113"/>
        <v>999</v>
      </c>
      <c r="V749" s="373">
        <f t="shared" si="114"/>
        <v>740</v>
      </c>
      <c r="W749" s="90">
        <f t="shared" si="115"/>
        <v>407.80952380585001</v>
      </c>
      <c r="X749" s="90">
        <f t="shared" si="116"/>
        <v>5792958.3863726417</v>
      </c>
      <c r="Y749" s="141">
        <f t="shared" si="118"/>
        <v>740</v>
      </c>
      <c r="Z749" s="298">
        <v>148</v>
      </c>
      <c r="AA749" s="299">
        <v>999</v>
      </c>
      <c r="AB749" s="299">
        <v>740</v>
      </c>
      <c r="AC749" s="301">
        <v>407.80952380585001</v>
      </c>
      <c r="AD749" s="301">
        <v>5792958.3863726417</v>
      </c>
      <c r="AE749" s="126"/>
      <c r="AF749" s="298"/>
      <c r="AG749" s="299"/>
      <c r="AH749" s="299"/>
      <c r="AI749" s="301"/>
      <c r="AJ749" s="301"/>
      <c r="AK749" s="426"/>
      <c r="AL749" s="298"/>
      <c r="AM749" s="299"/>
      <c r="AN749" s="299"/>
      <c r="AO749" s="301"/>
      <c r="AP749" s="301"/>
      <c r="AQ749" s="426"/>
      <c r="AR749" s="298"/>
      <c r="AS749" s="299"/>
      <c r="AT749" s="299"/>
      <c r="AU749" s="301"/>
      <c r="AV749" s="301"/>
      <c r="AW749" s="91"/>
      <c r="AX749" s="298"/>
      <c r="AY749" s="299"/>
      <c r="AZ749" s="299"/>
      <c r="BA749" s="301"/>
      <c r="BB749" s="301"/>
      <c r="BC749" s="426"/>
      <c r="BD749" s="298"/>
      <c r="BE749" s="299"/>
      <c r="BF749" s="299"/>
      <c r="BG749" s="301"/>
      <c r="BH749" s="301"/>
      <c r="BI749" s="91"/>
      <c r="BJ749" s="298"/>
      <c r="BK749" s="299"/>
      <c r="BL749" s="299"/>
      <c r="BM749" s="301"/>
      <c r="BN749" s="301"/>
      <c r="BO749" s="91"/>
      <c r="BP749" s="9"/>
      <c r="BS749" s="81"/>
      <c r="BT749" s="81"/>
      <c r="BV749" s="9"/>
      <c r="BY749" s="81"/>
      <c r="BZ749" s="81"/>
      <c r="CB749" s="9"/>
      <c r="CE749" s="81"/>
      <c r="CF749" s="81"/>
      <c r="CH749" s="9"/>
      <c r="CK749" s="81"/>
      <c r="CL749" s="81"/>
      <c r="CR749" s="9"/>
      <c r="CS749" s="9"/>
      <c r="CT749" s="9"/>
      <c r="CU749" s="9"/>
      <c r="CV749" s="9"/>
      <c r="CW749" s="129"/>
      <c r="CX749" s="9"/>
    </row>
    <row r="750" spans="1:102">
      <c r="A750" s="6" t="str">
        <f t="shared" si="111"/>
        <v>01490149</v>
      </c>
      <c r="B750" s="6" t="s">
        <v>1799</v>
      </c>
      <c r="C750" s="6" t="s">
        <v>1799</v>
      </c>
      <c r="D750" s="6">
        <v>741</v>
      </c>
      <c r="E750" s="6">
        <v>149</v>
      </c>
      <c r="F750" s="6" t="s">
        <v>1267</v>
      </c>
      <c r="G750" s="6">
        <v>149</v>
      </c>
      <c r="H750" s="6" t="s">
        <v>830</v>
      </c>
      <c r="I750" s="33">
        <v>279873222.13999999</v>
      </c>
      <c r="J750" s="88">
        <v>0.90168462924556025</v>
      </c>
      <c r="K750" s="89">
        <f>X750</f>
        <v>301454148.42000002</v>
      </c>
      <c r="L750" s="88">
        <f>IF(K754&gt;0, K750/K754, 0)</f>
        <v>0.9011456912543262</v>
      </c>
      <c r="M750" s="58"/>
      <c r="N750" s="9">
        <f>ROUND(M754*L750,0)</f>
        <v>15203337</v>
      </c>
      <c r="O750" s="9">
        <v>13728391</v>
      </c>
      <c r="P750" s="9">
        <f>N750-O750</f>
        <v>1474946</v>
      </c>
      <c r="Q750" s="40">
        <f t="shared" si="119"/>
        <v>10.743764509620975</v>
      </c>
      <c r="R750" s="9">
        <v>14566</v>
      </c>
      <c r="S750" s="9">
        <f t="shared" si="117"/>
        <v>14816</v>
      </c>
      <c r="T750" s="90">
        <f t="shared" si="112"/>
        <v>149</v>
      </c>
      <c r="U750" s="90">
        <f t="shared" si="113"/>
        <v>149</v>
      </c>
      <c r="V750" s="373">
        <f t="shared" si="114"/>
        <v>741</v>
      </c>
      <c r="W750" s="90">
        <f t="shared" si="115"/>
        <v>14816</v>
      </c>
      <c r="X750" s="90">
        <f t="shared" si="116"/>
        <v>301454148.42000002</v>
      </c>
      <c r="Y750" s="141">
        <f t="shared" si="118"/>
        <v>741</v>
      </c>
      <c r="Z750" s="298">
        <v>149</v>
      </c>
      <c r="AA750" s="299">
        <v>149</v>
      </c>
      <c r="AB750" s="299">
        <v>741</v>
      </c>
      <c r="AC750" s="301">
        <v>14816</v>
      </c>
      <c r="AD750" s="301">
        <v>301454148.42000002</v>
      </c>
      <c r="AE750" s="126"/>
      <c r="AF750" s="298"/>
      <c r="AG750" s="299"/>
      <c r="AH750" s="299"/>
      <c r="AI750" s="301"/>
      <c r="AJ750" s="301"/>
      <c r="AK750" s="426"/>
      <c r="AL750" s="298"/>
      <c r="AM750" s="299"/>
      <c r="AN750" s="299"/>
      <c r="AO750" s="301"/>
      <c r="AP750" s="301"/>
      <c r="AQ750" s="426"/>
      <c r="AR750" s="298"/>
      <c r="AS750" s="299"/>
      <c r="AT750" s="299"/>
      <c r="AU750" s="301"/>
      <c r="AV750" s="301"/>
      <c r="AW750" s="88"/>
      <c r="AX750" s="298"/>
      <c r="AY750" s="299"/>
      <c r="AZ750" s="299"/>
      <c r="BA750" s="301"/>
      <c r="BB750" s="301"/>
      <c r="BC750" s="426"/>
      <c r="BD750" s="298"/>
      <c r="BE750" s="299"/>
      <c r="BF750" s="299"/>
      <c r="BG750" s="301"/>
      <c r="BH750" s="301"/>
      <c r="BI750" s="88"/>
      <c r="BJ750" s="298"/>
      <c r="BK750" s="299"/>
      <c r="BL750" s="299"/>
      <c r="BM750" s="301"/>
      <c r="BN750" s="301"/>
      <c r="BO750" s="88"/>
      <c r="BP750" s="9"/>
      <c r="BS750" s="81"/>
      <c r="BT750" s="81"/>
      <c r="BV750" s="9"/>
      <c r="BY750" s="81"/>
      <c r="BZ750" s="81"/>
      <c r="CB750" s="9"/>
      <c r="CE750" s="81"/>
      <c r="CF750" s="81"/>
      <c r="CH750" s="9"/>
      <c r="CK750" s="81"/>
      <c r="CL750" s="81"/>
      <c r="CR750" s="9"/>
      <c r="CS750" s="9"/>
      <c r="CT750" s="9"/>
      <c r="CU750" s="9"/>
      <c r="CV750" s="9"/>
      <c r="CW750" s="129"/>
      <c r="CX750" s="9"/>
    </row>
    <row r="751" spans="1:102">
      <c r="A751" s="6" t="str">
        <f t="shared" si="111"/>
        <v>01490823</v>
      </c>
      <c r="B751" s="6" t="s">
        <v>1799</v>
      </c>
      <c r="C751" s="6" t="s">
        <v>2070</v>
      </c>
      <c r="D751" s="6">
        <v>742</v>
      </c>
      <c r="E751" s="6">
        <v>149</v>
      </c>
      <c r="F751" s="6" t="s">
        <v>1267</v>
      </c>
      <c r="G751" s="6">
        <v>823</v>
      </c>
      <c r="H751" s="6" t="s">
        <v>1100</v>
      </c>
      <c r="I751" s="33">
        <v>30516034.882347174</v>
      </c>
      <c r="J751" s="88">
        <v>9.8315370754439815E-2</v>
      </c>
      <c r="K751" s="89">
        <f t="shared" si="120"/>
        <v>33069060.585636783</v>
      </c>
      <c r="L751" s="88">
        <f>IF(K754&gt;0, K751/K754, 0)</f>
        <v>9.8854308745673788E-2</v>
      </c>
      <c r="M751" s="58"/>
      <c r="N751" s="9">
        <f>ROUND(M754*L751,0)</f>
        <v>1667783</v>
      </c>
      <c r="O751" s="9">
        <v>1496878</v>
      </c>
      <c r="P751" s="9">
        <f>N751-O751</f>
        <v>170905</v>
      </c>
      <c r="Q751" s="40">
        <f t="shared" si="119"/>
        <v>11.417430144607643</v>
      </c>
      <c r="R751" s="9">
        <v>1200.9999999976499</v>
      </c>
      <c r="S751" s="9">
        <f t="shared" si="117"/>
        <v>1272.00000000304</v>
      </c>
      <c r="T751" s="90">
        <f t="shared" si="112"/>
        <v>149</v>
      </c>
      <c r="U751" s="90">
        <f t="shared" si="113"/>
        <v>823</v>
      </c>
      <c r="V751" s="373">
        <f t="shared" si="114"/>
        <v>742</v>
      </c>
      <c r="W751" s="90">
        <f t="shared" si="115"/>
        <v>1272.00000000304</v>
      </c>
      <c r="X751" s="90">
        <f t="shared" si="116"/>
        <v>33069060.585636783</v>
      </c>
      <c r="Y751" s="141">
        <f t="shared" si="118"/>
        <v>742</v>
      </c>
      <c r="Z751" s="298">
        <v>149</v>
      </c>
      <c r="AA751" s="299">
        <v>823</v>
      </c>
      <c r="AB751" s="299">
        <v>742</v>
      </c>
      <c r="AC751" s="301">
        <v>1272.00000000304</v>
      </c>
      <c r="AD751" s="301">
        <v>33069060.585636783</v>
      </c>
      <c r="AE751" s="126"/>
      <c r="AF751" s="298"/>
      <c r="AG751" s="299"/>
      <c r="AH751" s="299"/>
      <c r="AI751" s="301"/>
      <c r="AJ751" s="301"/>
      <c r="AK751" s="426"/>
      <c r="AL751" s="298"/>
      <c r="AM751" s="299"/>
      <c r="AN751" s="299"/>
      <c r="AO751" s="301"/>
      <c r="AP751" s="301"/>
      <c r="AQ751" s="426"/>
      <c r="AR751" s="298"/>
      <c r="AS751" s="299"/>
      <c r="AT751" s="299"/>
      <c r="AU751" s="301"/>
      <c r="AV751" s="301"/>
      <c r="AW751" s="88"/>
      <c r="AX751" s="298"/>
      <c r="AY751" s="299"/>
      <c r="AZ751" s="299"/>
      <c r="BA751" s="301"/>
      <c r="BB751" s="301"/>
      <c r="BC751" s="426"/>
      <c r="BD751" s="298"/>
      <c r="BE751" s="299"/>
      <c r="BF751" s="299"/>
      <c r="BG751" s="301"/>
      <c r="BH751" s="301"/>
      <c r="BI751" s="88"/>
      <c r="BJ751" s="298"/>
      <c r="BK751" s="299"/>
      <c r="BL751" s="299"/>
      <c r="BM751" s="301"/>
      <c r="BN751" s="301"/>
      <c r="BO751" s="88"/>
      <c r="BP751" s="9"/>
      <c r="BS751" s="81"/>
      <c r="BT751" s="81"/>
      <c r="BV751" s="9"/>
      <c r="BY751" s="81"/>
      <c r="BZ751" s="81"/>
      <c r="CB751" s="9"/>
      <c r="CE751" s="81"/>
      <c r="CF751" s="81"/>
      <c r="CH751" s="9"/>
      <c r="CK751" s="81"/>
      <c r="CL751" s="81"/>
      <c r="CR751" s="9"/>
      <c r="CS751" s="9"/>
      <c r="CT751" s="9"/>
      <c r="CU751" s="9"/>
      <c r="CV751" s="9"/>
      <c r="CW751" s="129"/>
      <c r="CX751" s="9"/>
    </row>
    <row r="752" spans="1:102">
      <c r="A752" s="6" t="str">
        <f t="shared" si="111"/>
        <v>01490998</v>
      </c>
      <c r="B752" s="6" t="s">
        <v>1799</v>
      </c>
      <c r="C752" s="6" t="s">
        <v>2091</v>
      </c>
      <c r="D752" s="6">
        <v>743</v>
      </c>
      <c r="E752" s="6">
        <v>149</v>
      </c>
      <c r="F752" s="6" t="s">
        <v>1547</v>
      </c>
      <c r="G752" s="6">
        <v>998</v>
      </c>
      <c r="I752" s="33">
        <v>0</v>
      </c>
      <c r="J752" s="88">
        <v>0</v>
      </c>
      <c r="K752" s="89">
        <f t="shared" si="120"/>
        <v>0</v>
      </c>
      <c r="L752" s="88">
        <f>IF(K754&gt;0, K752/K754, 0)</f>
        <v>0</v>
      </c>
      <c r="M752" s="58"/>
      <c r="N752" s="9">
        <f>ROUND(M754*L752,0)</f>
        <v>0</v>
      </c>
      <c r="O752" s="9">
        <v>0</v>
      </c>
      <c r="P752" s="9">
        <f>N752-O752</f>
        <v>0</v>
      </c>
      <c r="Q752" s="40">
        <f t="shared" si="119"/>
        <v>0</v>
      </c>
      <c r="R752" s="9">
        <v>0</v>
      </c>
      <c r="S752" s="9">
        <f t="shared" si="117"/>
        <v>0</v>
      </c>
      <c r="T752" s="90">
        <f t="shared" si="112"/>
        <v>149</v>
      </c>
      <c r="U752" s="90">
        <f t="shared" si="113"/>
        <v>998</v>
      </c>
      <c r="V752" s="373">
        <f t="shared" si="114"/>
        <v>743</v>
      </c>
      <c r="W752" s="90">
        <f t="shared" si="115"/>
        <v>0</v>
      </c>
      <c r="X752" s="90">
        <f t="shared" si="116"/>
        <v>0</v>
      </c>
      <c r="Y752" s="141">
        <f t="shared" si="118"/>
        <v>743</v>
      </c>
      <c r="Z752" s="298">
        <v>149</v>
      </c>
      <c r="AA752" s="299">
        <v>998</v>
      </c>
      <c r="AB752" s="299">
        <v>743</v>
      </c>
      <c r="AC752" s="301">
        <v>0</v>
      </c>
      <c r="AD752" s="301">
        <v>0</v>
      </c>
      <c r="AE752" s="126"/>
      <c r="AF752" s="298"/>
      <c r="AG752" s="299"/>
      <c r="AH752" s="299"/>
      <c r="AI752" s="301"/>
      <c r="AJ752" s="301"/>
      <c r="AK752" s="426"/>
      <c r="AL752" s="298"/>
      <c r="AM752" s="299"/>
      <c r="AN752" s="299"/>
      <c r="AO752" s="301"/>
      <c r="AP752" s="301"/>
      <c r="AQ752" s="426"/>
      <c r="AR752" s="298"/>
      <c r="AS752" s="299"/>
      <c r="AT752" s="299"/>
      <c r="AU752" s="301"/>
      <c r="AV752" s="301"/>
      <c r="AW752" s="88"/>
      <c r="AX752" s="298"/>
      <c r="AY752" s="299"/>
      <c r="AZ752" s="299"/>
      <c r="BA752" s="301"/>
      <c r="BB752" s="301"/>
      <c r="BC752" s="426"/>
      <c r="BD752" s="298"/>
      <c r="BE752" s="299"/>
      <c r="BF752" s="299"/>
      <c r="BG752" s="301"/>
      <c r="BH752" s="301"/>
      <c r="BI752" s="88"/>
      <c r="BJ752" s="298"/>
      <c r="BK752" s="299"/>
      <c r="BL752" s="299"/>
      <c r="BM752" s="301"/>
      <c r="BN752" s="301"/>
      <c r="BO752" s="88"/>
      <c r="BP752" s="9"/>
      <c r="BS752" s="81"/>
      <c r="BT752" s="81"/>
      <c r="BV752" s="9"/>
      <c r="BY752" s="81"/>
      <c r="BZ752" s="81"/>
      <c r="CB752" s="9"/>
      <c r="CE752" s="81"/>
      <c r="CF752" s="81"/>
      <c r="CH752" s="9"/>
      <c r="CK752" s="81"/>
      <c r="CL752" s="81"/>
      <c r="CR752" s="9"/>
      <c r="CS752" s="9"/>
      <c r="CT752" s="9"/>
      <c r="CU752" s="9"/>
      <c r="CV752" s="9"/>
      <c r="CW752" s="129"/>
      <c r="CX752" s="9"/>
    </row>
    <row r="753" spans="1:102">
      <c r="A753" s="6" t="str">
        <f t="shared" si="111"/>
        <v>01490998</v>
      </c>
      <c r="B753" s="6" t="s">
        <v>1799</v>
      </c>
      <c r="C753" s="6" t="s">
        <v>2091</v>
      </c>
      <c r="D753" s="6">
        <v>744</v>
      </c>
      <c r="E753" s="6">
        <v>149</v>
      </c>
      <c r="F753" s="6" t="s">
        <v>1547</v>
      </c>
      <c r="G753" s="6">
        <v>998</v>
      </c>
      <c r="H753" s="6" t="s">
        <v>1547</v>
      </c>
      <c r="I753" s="33">
        <v>0</v>
      </c>
      <c r="J753" s="88">
        <v>0</v>
      </c>
      <c r="K753" s="89">
        <f t="shared" si="120"/>
        <v>0</v>
      </c>
      <c r="L753" s="88">
        <f>IF(K754&gt;0, K753/K754, 0)</f>
        <v>0</v>
      </c>
      <c r="M753" s="58"/>
      <c r="N753" s="9">
        <f>ROUND(M754*L753,0)</f>
        <v>0</v>
      </c>
      <c r="O753" s="9">
        <v>0</v>
      </c>
      <c r="P753" s="9">
        <f>N753-O753</f>
        <v>0</v>
      </c>
      <c r="Q753" s="40">
        <f t="shared" si="119"/>
        <v>0</v>
      </c>
      <c r="R753" s="9">
        <v>0</v>
      </c>
      <c r="S753" s="9">
        <f t="shared" si="117"/>
        <v>0</v>
      </c>
      <c r="T753" s="90">
        <f t="shared" si="112"/>
        <v>149</v>
      </c>
      <c r="U753" s="90">
        <f t="shared" si="113"/>
        <v>998</v>
      </c>
      <c r="V753" s="373">
        <f t="shared" si="114"/>
        <v>744</v>
      </c>
      <c r="W753" s="90">
        <f t="shared" si="115"/>
        <v>0</v>
      </c>
      <c r="X753" s="90">
        <f t="shared" si="116"/>
        <v>0</v>
      </c>
      <c r="Y753" s="141">
        <f t="shared" si="118"/>
        <v>744</v>
      </c>
      <c r="Z753" s="298">
        <v>149</v>
      </c>
      <c r="AA753" s="299">
        <v>998</v>
      </c>
      <c r="AB753" s="299">
        <v>744</v>
      </c>
      <c r="AC753" s="301">
        <v>0</v>
      </c>
      <c r="AD753" s="301">
        <v>0</v>
      </c>
      <c r="AE753" s="126"/>
      <c r="AF753" s="298"/>
      <c r="AG753" s="299"/>
      <c r="AH753" s="299"/>
      <c r="AI753" s="301"/>
      <c r="AJ753" s="301"/>
      <c r="AK753" s="426"/>
      <c r="AL753" s="298"/>
      <c r="AM753" s="299"/>
      <c r="AN753" s="299"/>
      <c r="AO753" s="301"/>
      <c r="AP753" s="301"/>
      <c r="AQ753" s="426"/>
      <c r="AR753" s="298"/>
      <c r="AS753" s="299"/>
      <c r="AT753" s="299"/>
      <c r="AU753" s="301"/>
      <c r="AV753" s="301"/>
      <c r="AW753" s="88"/>
      <c r="AX753" s="298"/>
      <c r="AY753" s="299"/>
      <c r="AZ753" s="299"/>
      <c r="BA753" s="301"/>
      <c r="BB753" s="301"/>
      <c r="BC753" s="426"/>
      <c r="BD753" s="298"/>
      <c r="BE753" s="299"/>
      <c r="BF753" s="299"/>
      <c r="BG753" s="301"/>
      <c r="BH753" s="301"/>
      <c r="BI753" s="88"/>
      <c r="BJ753" s="298"/>
      <c r="BK753" s="299"/>
      <c r="BL753" s="299"/>
      <c r="BM753" s="301"/>
      <c r="BN753" s="301"/>
      <c r="BO753" s="88"/>
      <c r="BP753" s="9"/>
      <c r="BS753" s="81"/>
      <c r="BT753" s="81"/>
      <c r="BV753" s="9"/>
      <c r="BY753" s="81"/>
      <c r="BZ753" s="81"/>
      <c r="CB753" s="9"/>
      <c r="CE753" s="81"/>
      <c r="CF753" s="81"/>
      <c r="CH753" s="9"/>
      <c r="CK753" s="81"/>
      <c r="CL753" s="81"/>
      <c r="CR753" s="9"/>
      <c r="CS753" s="9"/>
      <c r="CT753" s="9"/>
      <c r="CU753" s="9"/>
      <c r="CV753" s="9"/>
      <c r="CW753" s="129"/>
      <c r="CX753" s="9"/>
    </row>
    <row r="754" spans="1:102">
      <c r="A754" s="6" t="str">
        <f t="shared" si="111"/>
        <v>01490999</v>
      </c>
      <c r="B754" s="6" t="s">
        <v>1799</v>
      </c>
      <c r="C754" s="6" t="s">
        <v>2092</v>
      </c>
      <c r="D754" s="6">
        <v>745</v>
      </c>
      <c r="E754" s="10">
        <v>149</v>
      </c>
      <c r="F754" s="10" t="s">
        <v>1267</v>
      </c>
      <c r="G754" s="10">
        <v>999</v>
      </c>
      <c r="H754" s="10" t="s">
        <v>593</v>
      </c>
      <c r="I754" s="92">
        <v>310389257.02234715</v>
      </c>
      <c r="J754" s="472">
        <v>1</v>
      </c>
      <c r="K754" s="53">
        <f>SUM(K750:K753)</f>
        <v>334523209.00563681</v>
      </c>
      <c r="L754" s="91">
        <f>SUM(L750:L753)</f>
        <v>1</v>
      </c>
      <c r="M754" s="79">
        <f>VLOOKUP(E754,town351,24)</f>
        <v>16871120</v>
      </c>
      <c r="N754" s="79">
        <f>SUM(N750:N753)</f>
        <v>16871120</v>
      </c>
      <c r="O754" s="79">
        <v>15225269</v>
      </c>
      <c r="P754" s="79">
        <f>SUM(P750:P753)</f>
        <v>1645851</v>
      </c>
      <c r="Q754" s="39">
        <f t="shared" si="119"/>
        <v>10.809996197768328</v>
      </c>
      <c r="R754" s="9">
        <v>15766.99999999765</v>
      </c>
      <c r="S754" s="9">
        <f t="shared" si="117"/>
        <v>16088.00000000304</v>
      </c>
      <c r="T754" s="90">
        <f t="shared" si="112"/>
        <v>149</v>
      </c>
      <c r="U754" s="90">
        <f t="shared" si="113"/>
        <v>999</v>
      </c>
      <c r="V754" s="373">
        <f t="shared" si="114"/>
        <v>745</v>
      </c>
      <c r="W754" s="90">
        <f t="shared" si="115"/>
        <v>16088.00000000304</v>
      </c>
      <c r="X754" s="90">
        <f t="shared" si="116"/>
        <v>334523209.00563681</v>
      </c>
      <c r="Y754" s="141">
        <f t="shared" si="118"/>
        <v>745</v>
      </c>
      <c r="Z754" s="298">
        <v>149</v>
      </c>
      <c r="AA754" s="299">
        <v>999</v>
      </c>
      <c r="AB754" s="299">
        <v>745</v>
      </c>
      <c r="AC754" s="301">
        <v>16088.00000000304</v>
      </c>
      <c r="AD754" s="301">
        <v>334523209.00563681</v>
      </c>
      <c r="AE754" s="126"/>
      <c r="AF754" s="298"/>
      <c r="AG754" s="299"/>
      <c r="AH754" s="299"/>
      <c r="AI754" s="301"/>
      <c r="AJ754" s="301"/>
      <c r="AK754" s="426"/>
      <c r="AL754" s="298"/>
      <c r="AM754" s="299"/>
      <c r="AN754" s="299"/>
      <c r="AO754" s="301"/>
      <c r="AP754" s="301"/>
      <c r="AQ754" s="426"/>
      <c r="AR754" s="298"/>
      <c r="AS754" s="299"/>
      <c r="AT754" s="299"/>
      <c r="AU754" s="301"/>
      <c r="AV754" s="301"/>
      <c r="AW754" s="91"/>
      <c r="AX754" s="298"/>
      <c r="AY754" s="299"/>
      <c r="AZ754" s="299"/>
      <c r="BA754" s="301"/>
      <c r="BB754" s="301"/>
      <c r="BC754" s="426"/>
      <c r="BD754" s="298"/>
      <c r="BE754" s="299"/>
      <c r="BF754" s="299"/>
      <c r="BG754" s="301"/>
      <c r="BH754" s="301"/>
      <c r="BI754" s="91"/>
      <c r="BJ754" s="298"/>
      <c r="BK754" s="299"/>
      <c r="BL754" s="299"/>
      <c r="BM754" s="301"/>
      <c r="BN754" s="301"/>
      <c r="BO754" s="91"/>
      <c r="BP754" s="9"/>
      <c r="BS754" s="81"/>
      <c r="BT754" s="81"/>
      <c r="BV754" s="9"/>
      <c r="BY754" s="81"/>
      <c r="BZ754" s="81"/>
      <c r="CB754" s="9"/>
      <c r="CE754" s="81"/>
      <c r="CF754" s="81"/>
      <c r="CH754" s="9"/>
      <c r="CK754" s="81"/>
      <c r="CL754" s="81"/>
      <c r="CR754" s="9"/>
      <c r="CS754" s="9"/>
      <c r="CT754" s="9"/>
      <c r="CU754" s="9"/>
      <c r="CV754" s="9"/>
      <c r="CW754" s="129"/>
      <c r="CX754" s="9"/>
    </row>
    <row r="755" spans="1:102">
      <c r="A755" s="6" t="str">
        <f t="shared" si="111"/>
        <v>01500150</v>
      </c>
      <c r="B755" s="6" t="s">
        <v>1800</v>
      </c>
      <c r="C755" s="6" t="s">
        <v>1800</v>
      </c>
      <c r="D755" s="6">
        <v>746</v>
      </c>
      <c r="E755" s="6">
        <v>150</v>
      </c>
      <c r="F755" s="6" t="s">
        <v>1268</v>
      </c>
      <c r="G755" s="6">
        <v>150</v>
      </c>
      <c r="H755" s="6" t="s">
        <v>831</v>
      </c>
      <c r="I755" s="33">
        <v>8739704.6600000001</v>
      </c>
      <c r="J755" s="88">
        <v>1</v>
      </c>
      <c r="K755" s="89">
        <f>X755</f>
        <v>8566370.1999999974</v>
      </c>
      <c r="L755" s="88">
        <f>IF(K759&gt;0, K755/K759, 0)</f>
        <v>1</v>
      </c>
      <c r="M755" s="58"/>
      <c r="N755" s="9">
        <f>ROUND(M759*L755,0)</f>
        <v>7067255</v>
      </c>
      <c r="O755" s="9">
        <v>6760874</v>
      </c>
      <c r="P755" s="9">
        <f>N755-O755</f>
        <v>306381</v>
      </c>
      <c r="Q755" s="40">
        <f t="shared" si="119"/>
        <v>4.5316774133048483</v>
      </c>
      <c r="R755" s="9">
        <v>570</v>
      </c>
      <c r="S755" s="9">
        <f t="shared" si="117"/>
        <v>549</v>
      </c>
      <c r="T755" s="90">
        <f t="shared" si="112"/>
        <v>150</v>
      </c>
      <c r="U755" s="90">
        <f t="shared" si="113"/>
        <v>150</v>
      </c>
      <c r="V755" s="373">
        <f t="shared" si="114"/>
        <v>746</v>
      </c>
      <c r="W755" s="90">
        <f t="shared" si="115"/>
        <v>549</v>
      </c>
      <c r="X755" s="90">
        <f t="shared" si="116"/>
        <v>8566370.1999999974</v>
      </c>
      <c r="Y755" s="141">
        <f t="shared" si="118"/>
        <v>746</v>
      </c>
      <c r="Z755" s="298">
        <v>150</v>
      </c>
      <c r="AA755" s="299">
        <v>150</v>
      </c>
      <c r="AB755" s="299">
        <v>746</v>
      </c>
      <c r="AC755" s="301">
        <v>549</v>
      </c>
      <c r="AD755" s="301">
        <v>8566370.1999999974</v>
      </c>
      <c r="AE755" s="126"/>
      <c r="AF755" s="298"/>
      <c r="AG755" s="299"/>
      <c r="AH755" s="299"/>
      <c r="AI755" s="301"/>
      <c r="AJ755" s="301"/>
      <c r="AK755" s="426"/>
      <c r="AL755" s="298"/>
      <c r="AM755" s="299"/>
      <c r="AN755" s="299"/>
      <c r="AO755" s="301"/>
      <c r="AP755" s="301"/>
      <c r="AQ755" s="426"/>
      <c r="AR755" s="298"/>
      <c r="AS755" s="299"/>
      <c r="AT755" s="299"/>
      <c r="AU755" s="301"/>
      <c r="AV755" s="301"/>
      <c r="AW755" s="88"/>
      <c r="AX755" s="298"/>
      <c r="AY755" s="299"/>
      <c r="AZ755" s="299"/>
      <c r="BA755" s="301"/>
      <c r="BB755" s="301"/>
      <c r="BC755" s="426"/>
      <c r="BD755" s="298"/>
      <c r="BE755" s="299"/>
      <c r="BF755" s="299"/>
      <c r="BG755" s="301"/>
      <c r="BH755" s="301"/>
      <c r="BI755" s="88"/>
      <c r="BJ755" s="298"/>
      <c r="BK755" s="299"/>
      <c r="BL755" s="299"/>
      <c r="BM755" s="301"/>
      <c r="BN755" s="301"/>
      <c r="BO755" s="88"/>
      <c r="BP755" s="9"/>
      <c r="BS755" s="81"/>
      <c r="BT755" s="81"/>
      <c r="BV755" s="9"/>
      <c r="BY755" s="81"/>
      <c r="BZ755" s="81"/>
      <c r="CB755" s="9"/>
      <c r="CE755" s="81"/>
      <c r="CF755" s="81"/>
      <c r="CH755" s="9"/>
      <c r="CK755" s="81"/>
      <c r="CL755" s="81"/>
      <c r="CR755" s="9"/>
      <c r="CS755" s="9"/>
      <c r="CT755" s="9"/>
      <c r="CU755" s="9"/>
      <c r="CV755" s="9"/>
      <c r="CW755" s="129"/>
      <c r="CX755" s="9"/>
    </row>
    <row r="756" spans="1:102">
      <c r="A756" s="6" t="str">
        <f t="shared" si="111"/>
        <v>01500998</v>
      </c>
      <c r="B756" s="6" t="s">
        <v>1800</v>
      </c>
      <c r="C756" s="6" t="s">
        <v>2091</v>
      </c>
      <c r="D756" s="6">
        <v>747</v>
      </c>
      <c r="E756" s="6">
        <v>150</v>
      </c>
      <c r="F756" s="6" t="s">
        <v>1547</v>
      </c>
      <c r="G756" s="6">
        <v>998</v>
      </c>
      <c r="H756" s="6" t="s">
        <v>1547</v>
      </c>
      <c r="I756" s="33">
        <v>0</v>
      </c>
      <c r="J756" s="88">
        <v>0</v>
      </c>
      <c r="K756" s="89">
        <f t="shared" si="120"/>
        <v>0</v>
      </c>
      <c r="L756" s="88">
        <f>IF(K759&gt;0, K756/K759, 0)</f>
        <v>0</v>
      </c>
      <c r="M756" s="58"/>
      <c r="N756" s="9">
        <f>ROUND(M759*L756,0)</f>
        <v>0</v>
      </c>
      <c r="O756" s="9">
        <v>0</v>
      </c>
      <c r="P756" s="9">
        <f>N756-O756</f>
        <v>0</v>
      </c>
      <c r="Q756" s="40">
        <f t="shared" si="119"/>
        <v>0</v>
      </c>
      <c r="R756" s="9">
        <v>0</v>
      </c>
      <c r="S756" s="9">
        <f t="shared" si="117"/>
        <v>0</v>
      </c>
      <c r="T756" s="90">
        <f t="shared" si="112"/>
        <v>150</v>
      </c>
      <c r="U756" s="90">
        <f t="shared" si="113"/>
        <v>998</v>
      </c>
      <c r="V756" s="373">
        <f t="shared" si="114"/>
        <v>747</v>
      </c>
      <c r="W756" s="90">
        <f t="shared" si="115"/>
        <v>0</v>
      </c>
      <c r="X756" s="90">
        <f t="shared" si="116"/>
        <v>0</v>
      </c>
      <c r="Y756" s="141">
        <f t="shared" si="118"/>
        <v>747</v>
      </c>
      <c r="Z756" s="298">
        <v>150</v>
      </c>
      <c r="AA756" s="299">
        <v>998</v>
      </c>
      <c r="AB756" s="299">
        <v>747</v>
      </c>
      <c r="AC756" s="301">
        <v>0</v>
      </c>
      <c r="AD756" s="301">
        <v>0</v>
      </c>
      <c r="AE756" s="126"/>
      <c r="AF756" s="298"/>
      <c r="AG756" s="299"/>
      <c r="AH756" s="299"/>
      <c r="AI756" s="301"/>
      <c r="AJ756" s="301"/>
      <c r="AK756" s="426"/>
      <c r="AL756" s="298"/>
      <c r="AM756" s="299"/>
      <c r="AN756" s="299"/>
      <c r="AO756" s="301"/>
      <c r="AP756" s="301"/>
      <c r="AQ756" s="426"/>
      <c r="AR756" s="298"/>
      <c r="AS756" s="299"/>
      <c r="AT756" s="299"/>
      <c r="AU756" s="301"/>
      <c r="AV756" s="301"/>
      <c r="AW756" s="88"/>
      <c r="AX756" s="298"/>
      <c r="AY756" s="299"/>
      <c r="AZ756" s="299"/>
      <c r="BA756" s="301"/>
      <c r="BB756" s="301"/>
      <c r="BC756" s="426"/>
      <c r="BD756" s="298"/>
      <c r="BE756" s="299"/>
      <c r="BF756" s="299"/>
      <c r="BG756" s="301"/>
      <c r="BH756" s="301"/>
      <c r="BI756" s="88"/>
      <c r="BJ756" s="298"/>
      <c r="BK756" s="299"/>
      <c r="BL756" s="299"/>
      <c r="BM756" s="301"/>
      <c r="BN756" s="301"/>
      <c r="BO756" s="88"/>
      <c r="BP756" s="9"/>
      <c r="BS756" s="81"/>
      <c r="BT756" s="81"/>
      <c r="BV756" s="9"/>
      <c r="BY756" s="81"/>
      <c r="BZ756" s="81"/>
      <c r="CB756" s="9"/>
      <c r="CE756" s="81"/>
      <c r="CF756" s="81"/>
      <c r="CH756" s="9"/>
      <c r="CK756" s="81"/>
      <c r="CL756" s="81"/>
      <c r="CR756" s="9"/>
      <c r="CS756" s="9"/>
      <c r="CT756" s="9"/>
      <c r="CU756" s="9"/>
      <c r="CV756" s="9"/>
      <c r="CW756" s="129"/>
      <c r="CX756" s="9"/>
    </row>
    <row r="757" spans="1:102">
      <c r="A757" s="6" t="str">
        <f t="shared" si="111"/>
        <v>01500998</v>
      </c>
      <c r="B757" s="6" t="s">
        <v>1800</v>
      </c>
      <c r="C757" s="6" t="s">
        <v>2091</v>
      </c>
      <c r="D757" s="6">
        <v>748</v>
      </c>
      <c r="E757" s="6">
        <v>150</v>
      </c>
      <c r="F757" s="6" t="s">
        <v>1547</v>
      </c>
      <c r="G757" s="6">
        <v>998</v>
      </c>
      <c r="H757" s="6" t="s">
        <v>1547</v>
      </c>
      <c r="I757" s="33">
        <v>0</v>
      </c>
      <c r="J757" s="88">
        <v>0</v>
      </c>
      <c r="K757" s="89">
        <f t="shared" si="120"/>
        <v>0</v>
      </c>
      <c r="L757" s="88">
        <f>IF(K759&gt;0, K757/K759, 0)</f>
        <v>0</v>
      </c>
      <c r="M757" s="58"/>
      <c r="N757" s="9">
        <f>ROUND(M759*L757,0)</f>
        <v>0</v>
      </c>
      <c r="O757" s="9">
        <v>0</v>
      </c>
      <c r="P757" s="9">
        <f>N757-O757</f>
        <v>0</v>
      </c>
      <c r="Q757" s="40">
        <f t="shared" si="119"/>
        <v>0</v>
      </c>
      <c r="R757" s="9">
        <v>0</v>
      </c>
      <c r="S757" s="9">
        <f t="shared" si="117"/>
        <v>0</v>
      </c>
      <c r="T757" s="90">
        <f t="shared" si="112"/>
        <v>150</v>
      </c>
      <c r="U757" s="90">
        <f t="shared" si="113"/>
        <v>998</v>
      </c>
      <c r="V757" s="373">
        <f t="shared" si="114"/>
        <v>748</v>
      </c>
      <c r="W757" s="90">
        <f t="shared" si="115"/>
        <v>0</v>
      </c>
      <c r="X757" s="90">
        <f t="shared" si="116"/>
        <v>0</v>
      </c>
      <c r="Y757" s="141">
        <f t="shared" si="118"/>
        <v>748</v>
      </c>
      <c r="Z757" s="298">
        <v>150</v>
      </c>
      <c r="AA757" s="299">
        <v>998</v>
      </c>
      <c r="AB757" s="299">
        <v>748</v>
      </c>
      <c r="AC757" s="301">
        <v>0</v>
      </c>
      <c r="AD757" s="301">
        <v>0</v>
      </c>
      <c r="AE757" s="126"/>
      <c r="AF757" s="298"/>
      <c r="AG757" s="299"/>
      <c r="AH757" s="299"/>
      <c r="AI757" s="301"/>
      <c r="AJ757" s="301"/>
      <c r="AK757" s="426"/>
      <c r="AL757" s="298"/>
      <c r="AM757" s="299"/>
      <c r="AN757" s="299"/>
      <c r="AO757" s="301"/>
      <c r="AP757" s="301"/>
      <c r="AQ757" s="426"/>
      <c r="AR757" s="298"/>
      <c r="AS757" s="299"/>
      <c r="AT757" s="299"/>
      <c r="AU757" s="301"/>
      <c r="AV757" s="301"/>
      <c r="AW757" s="88"/>
      <c r="AX757" s="298"/>
      <c r="AY757" s="299"/>
      <c r="AZ757" s="299"/>
      <c r="BA757" s="301"/>
      <c r="BB757" s="301"/>
      <c r="BC757" s="426"/>
      <c r="BD757" s="298"/>
      <c r="BE757" s="299"/>
      <c r="BF757" s="299"/>
      <c r="BG757" s="301"/>
      <c r="BH757" s="301"/>
      <c r="BI757" s="88"/>
      <c r="BJ757" s="298"/>
      <c r="BK757" s="299"/>
      <c r="BL757" s="299"/>
      <c r="BM757" s="301"/>
      <c r="BN757" s="301"/>
      <c r="BO757" s="88"/>
      <c r="BP757" s="9"/>
      <c r="BS757" s="81"/>
      <c r="BT757" s="81"/>
      <c r="BV757" s="9"/>
      <c r="BY757" s="81"/>
      <c r="BZ757" s="81"/>
      <c r="CB757" s="9"/>
      <c r="CE757" s="81"/>
      <c r="CF757" s="81"/>
      <c r="CH757" s="9"/>
      <c r="CK757" s="81"/>
      <c r="CL757" s="81"/>
      <c r="CR757" s="9"/>
      <c r="CS757" s="9"/>
      <c r="CT757" s="9"/>
      <c r="CU757" s="9"/>
      <c r="CV757" s="9"/>
      <c r="CW757" s="129"/>
      <c r="CX757" s="9"/>
    </row>
    <row r="758" spans="1:102">
      <c r="A758" s="6" t="str">
        <f t="shared" si="111"/>
        <v>01500998</v>
      </c>
      <c r="B758" s="6" t="s">
        <v>1800</v>
      </c>
      <c r="C758" s="6" t="s">
        <v>2091</v>
      </c>
      <c r="D758" s="6">
        <v>749</v>
      </c>
      <c r="E758" s="6">
        <v>150</v>
      </c>
      <c r="F758" s="6" t="s">
        <v>1547</v>
      </c>
      <c r="G758" s="6">
        <v>998</v>
      </c>
      <c r="H758" s="6" t="s">
        <v>1547</v>
      </c>
      <c r="I758" s="33">
        <v>0</v>
      </c>
      <c r="J758" s="88">
        <v>0</v>
      </c>
      <c r="K758" s="89">
        <f t="shared" si="120"/>
        <v>0</v>
      </c>
      <c r="L758" s="88">
        <f>IF(K759&gt;0, K758/K759, 0)</f>
        <v>0</v>
      </c>
      <c r="M758" s="58"/>
      <c r="N758" s="9">
        <f>ROUND(M759*L758,0)</f>
        <v>0</v>
      </c>
      <c r="O758" s="9">
        <v>0</v>
      </c>
      <c r="P758" s="9">
        <f>N758-O758</f>
        <v>0</v>
      </c>
      <c r="Q758" s="40">
        <f t="shared" si="119"/>
        <v>0</v>
      </c>
      <c r="R758" s="9">
        <v>0</v>
      </c>
      <c r="S758" s="9">
        <f t="shared" si="117"/>
        <v>0</v>
      </c>
      <c r="T758" s="90">
        <f t="shared" si="112"/>
        <v>150</v>
      </c>
      <c r="U758" s="90">
        <f t="shared" si="113"/>
        <v>998</v>
      </c>
      <c r="V758" s="373">
        <f t="shared" si="114"/>
        <v>749</v>
      </c>
      <c r="W758" s="90">
        <f t="shared" si="115"/>
        <v>0</v>
      </c>
      <c r="X758" s="90">
        <f t="shared" si="116"/>
        <v>0</v>
      </c>
      <c r="Y758" s="141">
        <f t="shared" si="118"/>
        <v>749</v>
      </c>
      <c r="Z758" s="298">
        <v>150</v>
      </c>
      <c r="AA758" s="299">
        <v>998</v>
      </c>
      <c r="AB758" s="299">
        <v>749</v>
      </c>
      <c r="AC758" s="301">
        <v>0</v>
      </c>
      <c r="AD758" s="301">
        <v>0</v>
      </c>
      <c r="AE758" s="126"/>
      <c r="AF758" s="298"/>
      <c r="AG758" s="299"/>
      <c r="AH758" s="299"/>
      <c r="AI758" s="301"/>
      <c r="AJ758" s="301"/>
      <c r="AK758" s="426"/>
      <c r="AL758" s="298"/>
      <c r="AM758" s="299"/>
      <c r="AN758" s="299"/>
      <c r="AO758" s="301"/>
      <c r="AP758" s="301"/>
      <c r="AQ758" s="426"/>
      <c r="AR758" s="298"/>
      <c r="AS758" s="299"/>
      <c r="AT758" s="299"/>
      <c r="AU758" s="301"/>
      <c r="AV758" s="301"/>
      <c r="AW758" s="88"/>
      <c r="AX758" s="298"/>
      <c r="AY758" s="299"/>
      <c r="AZ758" s="299"/>
      <c r="BA758" s="301"/>
      <c r="BB758" s="301"/>
      <c r="BC758" s="426"/>
      <c r="BD758" s="298"/>
      <c r="BE758" s="299"/>
      <c r="BF758" s="299"/>
      <c r="BG758" s="301"/>
      <c r="BH758" s="301"/>
      <c r="BI758" s="88"/>
      <c r="BJ758" s="298"/>
      <c r="BK758" s="299"/>
      <c r="BL758" s="299"/>
      <c r="BM758" s="301"/>
      <c r="BN758" s="301"/>
      <c r="BO758" s="88"/>
      <c r="BP758" s="9"/>
      <c r="BS758" s="81"/>
      <c r="BT758" s="81"/>
      <c r="BV758" s="9"/>
      <c r="BY758" s="81"/>
      <c r="BZ758" s="81"/>
      <c r="CB758" s="9"/>
      <c r="CE758" s="81"/>
      <c r="CF758" s="81"/>
      <c r="CH758" s="9"/>
      <c r="CK758" s="81"/>
      <c r="CL758" s="81"/>
      <c r="CR758" s="9"/>
      <c r="CS758" s="9"/>
      <c r="CT758" s="9"/>
      <c r="CU758" s="9"/>
      <c r="CV758" s="9"/>
      <c r="CW758" s="129"/>
      <c r="CX758" s="9"/>
    </row>
    <row r="759" spans="1:102">
      <c r="A759" s="6" t="str">
        <f t="shared" si="111"/>
        <v>01500999</v>
      </c>
      <c r="B759" s="6" t="s">
        <v>1800</v>
      </c>
      <c r="C759" s="6" t="s">
        <v>2092</v>
      </c>
      <c r="D759" s="6">
        <v>750</v>
      </c>
      <c r="E759" s="10">
        <v>150</v>
      </c>
      <c r="F759" s="10" t="s">
        <v>1268</v>
      </c>
      <c r="G759" s="10">
        <v>999</v>
      </c>
      <c r="H759" s="10" t="s">
        <v>593</v>
      </c>
      <c r="I759" s="92">
        <v>8739704.6600000001</v>
      </c>
      <c r="J759" s="472">
        <v>1</v>
      </c>
      <c r="K759" s="53">
        <f>SUM(K755:K758)</f>
        <v>8566370.1999999974</v>
      </c>
      <c r="L759" s="91">
        <f>SUM(L755:L758)</f>
        <v>1</v>
      </c>
      <c r="M759" s="79">
        <f>VLOOKUP(E759,town351,24)</f>
        <v>7067255</v>
      </c>
      <c r="N759" s="79">
        <f>SUM(N755:N758)</f>
        <v>7067255</v>
      </c>
      <c r="O759" s="79">
        <v>6760874</v>
      </c>
      <c r="P759" s="79">
        <f>SUM(P755:P758)</f>
        <v>306381</v>
      </c>
      <c r="Q759" s="39">
        <f t="shared" si="119"/>
        <v>4.5316774133048483</v>
      </c>
      <c r="R759" s="9">
        <v>570</v>
      </c>
      <c r="S759" s="9">
        <f t="shared" si="117"/>
        <v>549</v>
      </c>
      <c r="T759" s="90">
        <f t="shared" si="112"/>
        <v>150</v>
      </c>
      <c r="U759" s="90">
        <f t="shared" si="113"/>
        <v>999</v>
      </c>
      <c r="V759" s="373">
        <f t="shared" si="114"/>
        <v>750</v>
      </c>
      <c r="W759" s="90">
        <f t="shared" si="115"/>
        <v>549</v>
      </c>
      <c r="X759" s="90">
        <f t="shared" si="116"/>
        <v>8566370.1999999974</v>
      </c>
      <c r="Y759" s="141">
        <f t="shared" si="118"/>
        <v>750</v>
      </c>
      <c r="Z759" s="298">
        <v>150</v>
      </c>
      <c r="AA759" s="299">
        <v>999</v>
      </c>
      <c r="AB759" s="299">
        <v>750</v>
      </c>
      <c r="AC759" s="301">
        <v>549</v>
      </c>
      <c r="AD759" s="301">
        <v>8566370.1999999974</v>
      </c>
      <c r="AE759" s="126"/>
      <c r="AF759" s="298"/>
      <c r="AG759" s="299"/>
      <c r="AH759" s="299"/>
      <c r="AI759" s="301"/>
      <c r="AJ759" s="301"/>
      <c r="AK759" s="426"/>
      <c r="AL759" s="298"/>
      <c r="AM759" s="299"/>
      <c r="AN759" s="299"/>
      <c r="AO759" s="301"/>
      <c r="AP759" s="301"/>
      <c r="AQ759" s="426"/>
      <c r="AR759" s="298"/>
      <c r="AS759" s="299"/>
      <c r="AT759" s="299"/>
      <c r="AU759" s="301"/>
      <c r="AV759" s="301"/>
      <c r="AW759" s="91"/>
      <c r="AX759" s="298"/>
      <c r="AY759" s="299"/>
      <c r="AZ759" s="299"/>
      <c r="BA759" s="301"/>
      <c r="BB759" s="301"/>
      <c r="BC759" s="426"/>
      <c r="BD759" s="298"/>
      <c r="BE759" s="299"/>
      <c r="BF759" s="299"/>
      <c r="BG759" s="301"/>
      <c r="BH759" s="301"/>
      <c r="BI759" s="91"/>
      <c r="BJ759" s="298"/>
      <c r="BK759" s="299"/>
      <c r="BL759" s="299"/>
      <c r="BM759" s="301"/>
      <c r="BN759" s="301"/>
      <c r="BO759" s="91"/>
      <c r="BP759" s="9"/>
      <c r="BS759" s="81"/>
      <c r="BT759" s="81"/>
      <c r="BV759" s="9"/>
      <c r="BY759" s="81"/>
      <c r="BZ759" s="81"/>
      <c r="CB759" s="9"/>
      <c r="CE759" s="81"/>
      <c r="CF759" s="81"/>
      <c r="CH759" s="9"/>
      <c r="CK759" s="81"/>
      <c r="CL759" s="81"/>
      <c r="CR759" s="9"/>
      <c r="CS759" s="9"/>
      <c r="CT759" s="9"/>
      <c r="CU759" s="9"/>
      <c r="CV759" s="9"/>
      <c r="CW759" s="129"/>
      <c r="CX759" s="9"/>
    </row>
    <row r="760" spans="1:102">
      <c r="A760" s="6" t="str">
        <f t="shared" si="111"/>
        <v>01510151</v>
      </c>
      <c r="B760" s="6" t="s">
        <v>1801</v>
      </c>
      <c r="C760" s="6" t="s">
        <v>1801</v>
      </c>
      <c r="D760" s="6">
        <v>751</v>
      </c>
      <c r="E760" s="6">
        <v>151</v>
      </c>
      <c r="F760" s="6" t="s">
        <v>1269</v>
      </c>
      <c r="G760" s="6">
        <v>151</v>
      </c>
      <c r="H760" s="6" t="s">
        <v>832</v>
      </c>
      <c r="I760" s="33">
        <v>20759208.559999999</v>
      </c>
      <c r="J760" s="88">
        <v>1</v>
      </c>
      <c r="K760" s="89">
        <f>X760</f>
        <v>21380842.219999999</v>
      </c>
      <c r="L760" s="88">
        <f>IF(K764&gt;0, K760/K764, 0)</f>
        <v>1</v>
      </c>
      <c r="M760" s="58"/>
      <c r="N760" s="9">
        <f>ROUND(M764*L760,0)</f>
        <v>10610635</v>
      </c>
      <c r="O760" s="9">
        <v>9660962</v>
      </c>
      <c r="P760" s="9">
        <f>N760-O760</f>
        <v>949673</v>
      </c>
      <c r="Q760" s="40">
        <f t="shared" si="119"/>
        <v>9.8300045067975628</v>
      </c>
      <c r="R760" s="9">
        <v>1443</v>
      </c>
      <c r="S760" s="9">
        <f t="shared" si="117"/>
        <v>1405</v>
      </c>
      <c r="T760" s="90">
        <f t="shared" si="112"/>
        <v>151</v>
      </c>
      <c r="U760" s="90">
        <f t="shared" si="113"/>
        <v>151</v>
      </c>
      <c r="V760" s="373">
        <f t="shared" si="114"/>
        <v>751</v>
      </c>
      <c r="W760" s="90">
        <f t="shared" si="115"/>
        <v>1405</v>
      </c>
      <c r="X760" s="90">
        <f t="shared" si="116"/>
        <v>21380842.219999999</v>
      </c>
      <c r="Y760" s="141">
        <f t="shared" si="118"/>
        <v>751</v>
      </c>
      <c r="Z760" s="298">
        <v>151</v>
      </c>
      <c r="AA760" s="299">
        <v>151</v>
      </c>
      <c r="AB760" s="299">
        <v>751</v>
      </c>
      <c r="AC760" s="301">
        <v>1405</v>
      </c>
      <c r="AD760" s="301">
        <v>21380842.219999999</v>
      </c>
      <c r="AE760" s="126"/>
      <c r="AF760" s="298"/>
      <c r="AG760" s="299"/>
      <c r="AH760" s="299"/>
      <c r="AI760" s="301"/>
      <c r="AJ760" s="301"/>
      <c r="AK760" s="426"/>
      <c r="AL760" s="298"/>
      <c r="AM760" s="299"/>
      <c r="AN760" s="299"/>
      <c r="AO760" s="301"/>
      <c r="AP760" s="301"/>
      <c r="AQ760" s="426"/>
      <c r="AR760" s="298"/>
      <c r="AS760" s="299"/>
      <c r="AT760" s="299"/>
      <c r="AU760" s="301"/>
      <c r="AV760" s="301"/>
      <c r="AW760" s="88"/>
      <c r="AX760" s="298"/>
      <c r="AY760" s="299"/>
      <c r="AZ760" s="299"/>
      <c r="BA760" s="301"/>
      <c r="BB760" s="301"/>
      <c r="BC760" s="426"/>
      <c r="BD760" s="298"/>
      <c r="BE760" s="299"/>
      <c r="BF760" s="299"/>
      <c r="BG760" s="301"/>
      <c r="BH760" s="301"/>
      <c r="BI760" s="88"/>
      <c r="BJ760" s="298"/>
      <c r="BK760" s="299"/>
      <c r="BL760" s="299"/>
      <c r="BM760" s="301"/>
      <c r="BN760" s="301"/>
      <c r="BO760" s="88"/>
      <c r="BP760" s="9"/>
      <c r="BS760" s="81"/>
      <c r="BT760" s="81"/>
      <c r="BV760" s="9"/>
      <c r="BY760" s="81"/>
      <c r="BZ760" s="81"/>
      <c r="CB760" s="9"/>
      <c r="CE760" s="81"/>
      <c r="CF760" s="81"/>
      <c r="CH760" s="9"/>
      <c r="CK760" s="81"/>
      <c r="CL760" s="81"/>
      <c r="CR760" s="9"/>
      <c r="CS760" s="9"/>
      <c r="CT760" s="9"/>
      <c r="CU760" s="9"/>
      <c r="CV760" s="9"/>
      <c r="CW760" s="129"/>
      <c r="CX760" s="9"/>
    </row>
    <row r="761" spans="1:102">
      <c r="A761" s="6" t="str">
        <f t="shared" si="111"/>
        <v>01510998</v>
      </c>
      <c r="B761" s="6" t="s">
        <v>1801</v>
      </c>
      <c r="C761" s="6" t="s">
        <v>2091</v>
      </c>
      <c r="D761" s="6">
        <v>752</v>
      </c>
      <c r="E761" s="6">
        <v>151</v>
      </c>
      <c r="F761" s="6" t="s">
        <v>1547</v>
      </c>
      <c r="G761" s="6">
        <v>998</v>
      </c>
      <c r="H761" s="6" t="s">
        <v>1547</v>
      </c>
      <c r="I761" s="33">
        <v>0</v>
      </c>
      <c r="J761" s="88">
        <v>0</v>
      </c>
      <c r="K761" s="89">
        <f t="shared" si="120"/>
        <v>0</v>
      </c>
      <c r="L761" s="88">
        <f>IF(K764&gt;0, K761/K764, 0)</f>
        <v>0</v>
      </c>
      <c r="M761" s="58"/>
      <c r="N761" s="9">
        <f>ROUND(M764*L761,0)</f>
        <v>0</v>
      </c>
      <c r="O761" s="9">
        <v>0</v>
      </c>
      <c r="P761" s="9">
        <f>N761-O761</f>
        <v>0</v>
      </c>
      <c r="Q761" s="40">
        <f t="shared" si="119"/>
        <v>0</v>
      </c>
      <c r="R761" s="9">
        <v>0</v>
      </c>
      <c r="S761" s="9">
        <f t="shared" si="117"/>
        <v>0</v>
      </c>
      <c r="T761" s="90">
        <f t="shared" si="112"/>
        <v>151</v>
      </c>
      <c r="U761" s="90">
        <f t="shared" si="113"/>
        <v>998</v>
      </c>
      <c r="V761" s="373">
        <f t="shared" si="114"/>
        <v>752</v>
      </c>
      <c r="W761" s="90">
        <f t="shared" si="115"/>
        <v>0</v>
      </c>
      <c r="X761" s="90">
        <f t="shared" si="116"/>
        <v>0</v>
      </c>
      <c r="Y761" s="141">
        <f t="shared" si="118"/>
        <v>752</v>
      </c>
      <c r="Z761" s="298">
        <v>151</v>
      </c>
      <c r="AA761" s="299">
        <v>998</v>
      </c>
      <c r="AB761" s="299">
        <v>752</v>
      </c>
      <c r="AC761" s="301">
        <v>0</v>
      </c>
      <c r="AD761" s="301">
        <v>0</v>
      </c>
      <c r="AE761" s="126"/>
      <c r="AF761" s="298"/>
      <c r="AG761" s="299"/>
      <c r="AH761" s="299"/>
      <c r="AI761" s="301"/>
      <c r="AJ761" s="301"/>
      <c r="AK761" s="426"/>
      <c r="AL761" s="298"/>
      <c r="AM761" s="299"/>
      <c r="AN761" s="299"/>
      <c r="AO761" s="301"/>
      <c r="AP761" s="301"/>
      <c r="AQ761" s="426"/>
      <c r="AR761" s="298"/>
      <c r="AS761" s="299"/>
      <c r="AT761" s="299"/>
      <c r="AU761" s="301"/>
      <c r="AV761" s="301"/>
      <c r="AW761" s="88"/>
      <c r="AX761" s="298"/>
      <c r="AY761" s="299"/>
      <c r="AZ761" s="299"/>
      <c r="BA761" s="301"/>
      <c r="BB761" s="301"/>
      <c r="BC761" s="426"/>
      <c r="BD761" s="298"/>
      <c r="BE761" s="299"/>
      <c r="BF761" s="299"/>
      <c r="BG761" s="301"/>
      <c r="BH761" s="301"/>
      <c r="BI761" s="88"/>
      <c r="BJ761" s="298"/>
      <c r="BK761" s="299"/>
      <c r="BL761" s="299"/>
      <c r="BM761" s="301"/>
      <c r="BN761" s="301"/>
      <c r="BO761" s="88"/>
      <c r="BP761" s="9"/>
      <c r="BS761" s="81"/>
      <c r="BT761" s="81"/>
      <c r="BV761" s="9"/>
      <c r="BY761" s="81"/>
      <c r="BZ761" s="81"/>
      <c r="CB761" s="9"/>
      <c r="CE761" s="81"/>
      <c r="CF761" s="81"/>
      <c r="CH761" s="9"/>
      <c r="CK761" s="81"/>
      <c r="CL761" s="81"/>
      <c r="CR761" s="9"/>
      <c r="CS761" s="9"/>
      <c r="CT761" s="9"/>
      <c r="CU761" s="9"/>
      <c r="CV761" s="9"/>
      <c r="CW761" s="129"/>
      <c r="CX761" s="9"/>
    </row>
    <row r="762" spans="1:102">
      <c r="A762" s="6" t="str">
        <f t="shared" si="111"/>
        <v>01510998</v>
      </c>
      <c r="B762" s="6" t="s">
        <v>1801</v>
      </c>
      <c r="C762" s="6" t="s">
        <v>2091</v>
      </c>
      <c r="D762" s="6">
        <v>753</v>
      </c>
      <c r="E762" s="6">
        <v>151</v>
      </c>
      <c r="F762" s="6" t="s">
        <v>1547</v>
      </c>
      <c r="G762" s="6">
        <v>998</v>
      </c>
      <c r="H762" s="6" t="s">
        <v>1547</v>
      </c>
      <c r="I762" s="33">
        <v>0</v>
      </c>
      <c r="J762" s="88">
        <v>0</v>
      </c>
      <c r="K762" s="89">
        <f t="shared" si="120"/>
        <v>0</v>
      </c>
      <c r="L762" s="88">
        <f>IF(K764&gt;0, K762/K764, 0)</f>
        <v>0</v>
      </c>
      <c r="M762" s="58"/>
      <c r="N762" s="9">
        <f>ROUND(M764*L762,0)</f>
        <v>0</v>
      </c>
      <c r="O762" s="9">
        <v>0</v>
      </c>
      <c r="P762" s="9">
        <f>N762-O762</f>
        <v>0</v>
      </c>
      <c r="Q762" s="40">
        <f t="shared" si="119"/>
        <v>0</v>
      </c>
      <c r="R762" s="9">
        <v>0</v>
      </c>
      <c r="S762" s="9">
        <f t="shared" si="117"/>
        <v>0</v>
      </c>
      <c r="T762" s="90">
        <f t="shared" si="112"/>
        <v>151</v>
      </c>
      <c r="U762" s="90">
        <f t="shared" si="113"/>
        <v>998</v>
      </c>
      <c r="V762" s="373">
        <f t="shared" si="114"/>
        <v>753</v>
      </c>
      <c r="W762" s="90">
        <f t="shared" si="115"/>
        <v>0</v>
      </c>
      <c r="X762" s="90">
        <f t="shared" si="116"/>
        <v>0</v>
      </c>
      <c r="Y762" s="141">
        <f t="shared" si="118"/>
        <v>753</v>
      </c>
      <c r="Z762" s="298">
        <v>151</v>
      </c>
      <c r="AA762" s="299">
        <v>998</v>
      </c>
      <c r="AB762" s="299">
        <v>753</v>
      </c>
      <c r="AC762" s="301">
        <v>0</v>
      </c>
      <c r="AD762" s="301">
        <v>0</v>
      </c>
      <c r="AE762" s="126"/>
      <c r="AF762" s="298"/>
      <c r="AG762" s="299"/>
      <c r="AH762" s="299"/>
      <c r="AI762" s="301"/>
      <c r="AJ762" s="301"/>
      <c r="AK762" s="426"/>
      <c r="AL762" s="298"/>
      <c r="AM762" s="299"/>
      <c r="AN762" s="299"/>
      <c r="AO762" s="301"/>
      <c r="AP762" s="301"/>
      <c r="AQ762" s="426"/>
      <c r="AR762" s="298"/>
      <c r="AS762" s="299"/>
      <c r="AT762" s="299"/>
      <c r="AU762" s="301"/>
      <c r="AV762" s="301"/>
      <c r="AW762" s="88"/>
      <c r="AX762" s="298"/>
      <c r="AY762" s="299"/>
      <c r="AZ762" s="299"/>
      <c r="BA762" s="301"/>
      <c r="BB762" s="301"/>
      <c r="BC762" s="426"/>
      <c r="BD762" s="298"/>
      <c r="BE762" s="299"/>
      <c r="BF762" s="299"/>
      <c r="BG762" s="301"/>
      <c r="BH762" s="301"/>
      <c r="BI762" s="88"/>
      <c r="BJ762" s="298"/>
      <c r="BK762" s="299"/>
      <c r="BL762" s="299"/>
      <c r="BM762" s="301"/>
      <c r="BN762" s="301"/>
      <c r="BO762" s="88"/>
      <c r="BP762" s="9"/>
      <c r="BS762" s="81"/>
      <c r="BT762" s="81"/>
      <c r="BV762" s="9"/>
      <c r="BY762" s="81"/>
      <c r="BZ762" s="81"/>
      <c r="CB762" s="9"/>
      <c r="CE762" s="81"/>
      <c r="CF762" s="81"/>
      <c r="CH762" s="9"/>
      <c r="CK762" s="81"/>
      <c r="CL762" s="81"/>
      <c r="CR762" s="9"/>
      <c r="CS762" s="9"/>
      <c r="CT762" s="9"/>
      <c r="CU762" s="9"/>
      <c r="CV762" s="9"/>
      <c r="CW762" s="129"/>
      <c r="CX762" s="9"/>
    </row>
    <row r="763" spans="1:102">
      <c r="A763" s="6" t="str">
        <f t="shared" si="111"/>
        <v>01510998</v>
      </c>
      <c r="B763" s="6" t="s">
        <v>1801</v>
      </c>
      <c r="C763" s="6" t="s">
        <v>2091</v>
      </c>
      <c r="D763" s="6">
        <v>754</v>
      </c>
      <c r="E763" s="6">
        <v>151</v>
      </c>
      <c r="F763" s="6" t="s">
        <v>1547</v>
      </c>
      <c r="G763" s="6">
        <v>998</v>
      </c>
      <c r="H763" s="6" t="s">
        <v>1547</v>
      </c>
      <c r="I763" s="33">
        <v>0</v>
      </c>
      <c r="J763" s="88">
        <v>0</v>
      </c>
      <c r="K763" s="89">
        <f t="shared" si="120"/>
        <v>0</v>
      </c>
      <c r="L763" s="88">
        <f>IF(K764&gt;0, K763/K764, 0)</f>
        <v>0</v>
      </c>
      <c r="M763" s="58"/>
      <c r="N763" s="9">
        <f>ROUND(M764*L763,0)</f>
        <v>0</v>
      </c>
      <c r="O763" s="9">
        <v>0</v>
      </c>
      <c r="P763" s="9">
        <f>N763-O763</f>
        <v>0</v>
      </c>
      <c r="Q763" s="40">
        <f t="shared" si="119"/>
        <v>0</v>
      </c>
      <c r="R763" s="9">
        <v>0</v>
      </c>
      <c r="S763" s="9">
        <f t="shared" si="117"/>
        <v>0</v>
      </c>
      <c r="T763" s="90">
        <f t="shared" si="112"/>
        <v>151</v>
      </c>
      <c r="U763" s="90">
        <f t="shared" si="113"/>
        <v>998</v>
      </c>
      <c r="V763" s="373">
        <f t="shared" si="114"/>
        <v>754</v>
      </c>
      <c r="W763" s="90">
        <f t="shared" si="115"/>
        <v>0</v>
      </c>
      <c r="X763" s="90">
        <f t="shared" si="116"/>
        <v>0</v>
      </c>
      <c r="Y763" s="141">
        <f t="shared" si="118"/>
        <v>754</v>
      </c>
      <c r="Z763" s="298">
        <v>151</v>
      </c>
      <c r="AA763" s="299">
        <v>998</v>
      </c>
      <c r="AB763" s="299">
        <v>754</v>
      </c>
      <c r="AC763" s="301">
        <v>0</v>
      </c>
      <c r="AD763" s="301">
        <v>0</v>
      </c>
      <c r="AE763" s="126"/>
      <c r="AF763" s="298"/>
      <c r="AG763" s="299"/>
      <c r="AH763" s="299"/>
      <c r="AI763" s="301"/>
      <c r="AJ763" s="301"/>
      <c r="AK763" s="426"/>
      <c r="AL763" s="298"/>
      <c r="AM763" s="299"/>
      <c r="AN763" s="299"/>
      <c r="AO763" s="301"/>
      <c r="AP763" s="301"/>
      <c r="AQ763" s="426"/>
      <c r="AR763" s="298"/>
      <c r="AS763" s="299"/>
      <c r="AT763" s="299"/>
      <c r="AU763" s="301"/>
      <c r="AV763" s="301"/>
      <c r="AW763" s="88"/>
      <c r="AX763" s="298"/>
      <c r="AY763" s="299"/>
      <c r="AZ763" s="299"/>
      <c r="BA763" s="301"/>
      <c r="BB763" s="301"/>
      <c r="BC763" s="426"/>
      <c r="BD763" s="298"/>
      <c r="BE763" s="299"/>
      <c r="BF763" s="299"/>
      <c r="BG763" s="301"/>
      <c r="BH763" s="301"/>
      <c r="BI763" s="88"/>
      <c r="BJ763" s="298"/>
      <c r="BK763" s="299"/>
      <c r="BL763" s="299"/>
      <c r="BM763" s="301"/>
      <c r="BN763" s="301"/>
      <c r="BO763" s="88"/>
      <c r="BP763" s="9"/>
      <c r="BS763" s="81"/>
      <c r="BT763" s="81"/>
      <c r="BV763" s="9"/>
      <c r="BY763" s="81"/>
      <c r="BZ763" s="81"/>
      <c r="CB763" s="9"/>
      <c r="CE763" s="81"/>
      <c r="CF763" s="81"/>
      <c r="CH763" s="9"/>
      <c r="CK763" s="81"/>
      <c r="CL763" s="81"/>
      <c r="CR763" s="9"/>
      <c r="CS763" s="9"/>
      <c r="CT763" s="9"/>
      <c r="CU763" s="9"/>
      <c r="CV763" s="9"/>
      <c r="CW763" s="129"/>
      <c r="CX763" s="9"/>
    </row>
    <row r="764" spans="1:102">
      <c r="A764" s="6" t="str">
        <f t="shared" si="111"/>
        <v>01510999</v>
      </c>
      <c r="B764" s="6" t="s">
        <v>1801</v>
      </c>
      <c r="C764" s="6" t="s">
        <v>2092</v>
      </c>
      <c r="D764" s="6">
        <v>755</v>
      </c>
      <c r="E764" s="10">
        <v>151</v>
      </c>
      <c r="F764" s="10" t="s">
        <v>1269</v>
      </c>
      <c r="G764" s="10">
        <v>999</v>
      </c>
      <c r="H764" s="10" t="s">
        <v>593</v>
      </c>
      <c r="I764" s="92">
        <v>20759208.559999999</v>
      </c>
      <c r="J764" s="472">
        <v>1</v>
      </c>
      <c r="K764" s="53">
        <f>SUM(K760:K763)</f>
        <v>21380842.219999999</v>
      </c>
      <c r="L764" s="91">
        <f>SUM(L760:L763)</f>
        <v>1</v>
      </c>
      <c r="M764" s="79">
        <f>VLOOKUP(E764,town351,24)</f>
        <v>10610635</v>
      </c>
      <c r="N764" s="79">
        <f>SUM(N760:N763)</f>
        <v>10610635</v>
      </c>
      <c r="O764" s="79">
        <v>9660962</v>
      </c>
      <c r="P764" s="79">
        <f>SUM(P760:P763)</f>
        <v>949673</v>
      </c>
      <c r="Q764" s="39">
        <f t="shared" si="119"/>
        <v>9.8300045067975628</v>
      </c>
      <c r="R764" s="9">
        <v>1443</v>
      </c>
      <c r="S764" s="9">
        <f t="shared" si="117"/>
        <v>1405</v>
      </c>
      <c r="T764" s="90">
        <f t="shared" si="112"/>
        <v>151</v>
      </c>
      <c r="U764" s="90">
        <f t="shared" si="113"/>
        <v>999</v>
      </c>
      <c r="V764" s="373">
        <f t="shared" si="114"/>
        <v>755</v>
      </c>
      <c r="W764" s="90">
        <f t="shared" si="115"/>
        <v>1405</v>
      </c>
      <c r="X764" s="90">
        <f t="shared" si="116"/>
        <v>21380842.219999999</v>
      </c>
      <c r="Y764" s="141">
        <f t="shared" si="118"/>
        <v>755</v>
      </c>
      <c r="Z764" s="298">
        <v>151</v>
      </c>
      <c r="AA764" s="299">
        <v>999</v>
      </c>
      <c r="AB764" s="299">
        <v>755</v>
      </c>
      <c r="AC764" s="301">
        <v>1405</v>
      </c>
      <c r="AD764" s="301">
        <v>21380842.219999999</v>
      </c>
      <c r="AE764" s="126"/>
      <c r="AF764" s="298"/>
      <c r="AG764" s="299"/>
      <c r="AH764" s="299"/>
      <c r="AI764" s="301"/>
      <c r="AJ764" s="301"/>
      <c r="AK764" s="426"/>
      <c r="AL764" s="298"/>
      <c r="AM764" s="299"/>
      <c r="AN764" s="299"/>
      <c r="AO764" s="301"/>
      <c r="AP764" s="301"/>
      <c r="AQ764" s="426"/>
      <c r="AR764" s="298"/>
      <c r="AS764" s="299"/>
      <c r="AT764" s="299"/>
      <c r="AU764" s="301"/>
      <c r="AV764" s="301"/>
      <c r="AW764" s="91"/>
      <c r="AX764" s="298"/>
      <c r="AY764" s="299"/>
      <c r="AZ764" s="299"/>
      <c r="BA764" s="301"/>
      <c r="BB764" s="301"/>
      <c r="BC764" s="426"/>
      <c r="BD764" s="298"/>
      <c r="BE764" s="299"/>
      <c r="BF764" s="299"/>
      <c r="BG764" s="301"/>
      <c r="BH764" s="301"/>
      <c r="BI764" s="91"/>
      <c r="BJ764" s="298"/>
      <c r="BK764" s="299"/>
      <c r="BL764" s="299"/>
      <c r="BM764" s="301"/>
      <c r="BN764" s="301"/>
      <c r="BO764" s="91"/>
      <c r="BP764" s="9"/>
      <c r="BS764" s="81"/>
      <c r="BT764" s="81"/>
      <c r="BV764" s="9"/>
      <c r="BY764" s="81"/>
      <c r="BZ764" s="81"/>
      <c r="CB764" s="9"/>
      <c r="CE764" s="81"/>
      <c r="CF764" s="81"/>
      <c r="CH764" s="9"/>
      <c r="CK764" s="81"/>
      <c r="CL764" s="81"/>
      <c r="CR764" s="9"/>
      <c r="CS764" s="9"/>
      <c r="CT764" s="9"/>
      <c r="CU764" s="9"/>
      <c r="CV764" s="9"/>
      <c r="CW764" s="129"/>
      <c r="CX764" s="9"/>
    </row>
    <row r="765" spans="1:102">
      <c r="A765" s="6" t="str">
        <f t="shared" si="111"/>
        <v>01520152</v>
      </c>
      <c r="B765" s="6" t="s">
        <v>1802</v>
      </c>
      <c r="C765" s="6" t="s">
        <v>1802</v>
      </c>
      <c r="D765" s="6">
        <v>756</v>
      </c>
      <c r="E765" s="6">
        <v>152</v>
      </c>
      <c r="F765" s="6" t="s">
        <v>1270</v>
      </c>
      <c r="G765" s="6">
        <v>152</v>
      </c>
      <c r="H765" s="6" t="s">
        <v>833</v>
      </c>
      <c r="I765" s="33">
        <v>6717817.4100000001</v>
      </c>
      <c r="J765" s="88">
        <v>1</v>
      </c>
      <c r="K765" s="89">
        <f>X765</f>
        <v>6823610.0699999994</v>
      </c>
      <c r="L765" s="88">
        <f>IF(K769&gt;0, K765/K769, 0)</f>
        <v>1</v>
      </c>
      <c r="M765" s="58"/>
      <c r="N765" s="9">
        <f>ROUND(M769*L765,0)</f>
        <v>5629478</v>
      </c>
      <c r="O765" s="9">
        <v>5422289</v>
      </c>
      <c r="P765" s="9">
        <f>N765-O765</f>
        <v>207189</v>
      </c>
      <c r="Q765" s="40">
        <f t="shared" si="119"/>
        <v>3.8210615479920014</v>
      </c>
      <c r="R765" s="9">
        <v>489</v>
      </c>
      <c r="S765" s="9">
        <f t="shared" si="117"/>
        <v>482</v>
      </c>
      <c r="T765" s="90">
        <f t="shared" si="112"/>
        <v>152</v>
      </c>
      <c r="U765" s="90">
        <f t="shared" si="113"/>
        <v>152</v>
      </c>
      <c r="V765" s="373">
        <f t="shared" si="114"/>
        <v>756</v>
      </c>
      <c r="W765" s="90">
        <f t="shared" si="115"/>
        <v>482</v>
      </c>
      <c r="X765" s="90">
        <f t="shared" si="116"/>
        <v>6823610.0699999994</v>
      </c>
      <c r="Y765" s="141">
        <f t="shared" si="118"/>
        <v>756</v>
      </c>
      <c r="Z765" s="298">
        <v>152</v>
      </c>
      <c r="AA765" s="299">
        <v>152</v>
      </c>
      <c r="AB765" s="299">
        <v>756</v>
      </c>
      <c r="AC765" s="301">
        <v>482</v>
      </c>
      <c r="AD765" s="301">
        <v>6823610.0699999994</v>
      </c>
      <c r="AE765" s="126"/>
      <c r="AF765" s="298"/>
      <c r="AG765" s="299"/>
      <c r="AH765" s="299"/>
      <c r="AI765" s="301"/>
      <c r="AJ765" s="301"/>
      <c r="AK765" s="426"/>
      <c r="AL765" s="298"/>
      <c r="AM765" s="299"/>
      <c r="AN765" s="299"/>
      <c r="AO765" s="301"/>
      <c r="AP765" s="301"/>
      <c r="AQ765" s="426"/>
      <c r="AR765" s="298"/>
      <c r="AS765" s="299"/>
      <c r="AT765" s="299"/>
      <c r="AU765" s="301"/>
      <c r="AV765" s="301"/>
      <c r="AW765" s="88"/>
      <c r="AX765" s="298"/>
      <c r="AY765" s="299"/>
      <c r="AZ765" s="299"/>
      <c r="BA765" s="301"/>
      <c r="BB765" s="301"/>
      <c r="BC765" s="426"/>
      <c r="BD765" s="298"/>
      <c r="BE765" s="299"/>
      <c r="BF765" s="299"/>
      <c r="BG765" s="301"/>
      <c r="BH765" s="301"/>
      <c r="BI765" s="88"/>
      <c r="BJ765" s="298"/>
      <c r="BK765" s="299"/>
      <c r="BL765" s="299"/>
      <c r="BM765" s="301"/>
      <c r="BN765" s="301"/>
      <c r="BO765" s="88"/>
      <c r="BP765" s="9"/>
      <c r="BS765" s="81"/>
      <c r="BT765" s="81"/>
      <c r="BV765" s="9"/>
      <c r="BY765" s="81"/>
      <c r="BZ765" s="81"/>
      <c r="CB765" s="9"/>
      <c r="CE765" s="81"/>
      <c r="CF765" s="81"/>
      <c r="CH765" s="9"/>
      <c r="CK765" s="81"/>
      <c r="CL765" s="81"/>
      <c r="CR765" s="9"/>
      <c r="CS765" s="9"/>
      <c r="CT765" s="9"/>
      <c r="CU765" s="9"/>
      <c r="CV765" s="9"/>
      <c r="CW765" s="129"/>
      <c r="CX765" s="9"/>
    </row>
    <row r="766" spans="1:102">
      <c r="A766" s="6" t="str">
        <f t="shared" si="111"/>
        <v>01520998</v>
      </c>
      <c r="B766" s="6" t="s">
        <v>1802</v>
      </c>
      <c r="C766" s="6" t="s">
        <v>2091</v>
      </c>
      <c r="D766" s="6">
        <v>757</v>
      </c>
      <c r="E766" s="6">
        <v>152</v>
      </c>
      <c r="F766" s="6" t="s">
        <v>1547</v>
      </c>
      <c r="G766" s="6">
        <v>998</v>
      </c>
      <c r="H766" s="6" t="s">
        <v>1547</v>
      </c>
      <c r="I766" s="33">
        <v>0</v>
      </c>
      <c r="J766" s="88">
        <v>0</v>
      </c>
      <c r="K766" s="89">
        <f t="shared" si="120"/>
        <v>0</v>
      </c>
      <c r="L766" s="88">
        <f>IF(K769&gt;0, K766/K769, 0)</f>
        <v>0</v>
      </c>
      <c r="M766" s="58"/>
      <c r="N766" s="9">
        <f>ROUND(M769*L766,0)</f>
        <v>0</v>
      </c>
      <c r="O766" s="9">
        <v>0</v>
      </c>
      <c r="P766" s="9">
        <f>N766-O766</f>
        <v>0</v>
      </c>
      <c r="Q766" s="40">
        <f t="shared" si="119"/>
        <v>0</v>
      </c>
      <c r="R766" s="9">
        <v>0</v>
      </c>
      <c r="S766" s="9">
        <f t="shared" si="117"/>
        <v>0</v>
      </c>
      <c r="T766" s="90">
        <f t="shared" si="112"/>
        <v>152</v>
      </c>
      <c r="U766" s="90">
        <f t="shared" si="113"/>
        <v>998</v>
      </c>
      <c r="V766" s="373">
        <f t="shared" si="114"/>
        <v>757</v>
      </c>
      <c r="W766" s="90">
        <f t="shared" si="115"/>
        <v>0</v>
      </c>
      <c r="X766" s="90">
        <f t="shared" si="116"/>
        <v>0</v>
      </c>
      <c r="Y766" s="141">
        <f t="shared" si="118"/>
        <v>757</v>
      </c>
      <c r="Z766" s="298">
        <v>152</v>
      </c>
      <c r="AA766" s="299">
        <v>998</v>
      </c>
      <c r="AB766" s="299">
        <v>757</v>
      </c>
      <c r="AC766" s="301">
        <v>0</v>
      </c>
      <c r="AD766" s="301">
        <v>0</v>
      </c>
      <c r="AE766" s="126"/>
      <c r="AF766" s="298"/>
      <c r="AG766" s="299"/>
      <c r="AH766" s="299"/>
      <c r="AI766" s="301"/>
      <c r="AJ766" s="301"/>
      <c r="AK766" s="426"/>
      <c r="AL766" s="298"/>
      <c r="AM766" s="299"/>
      <c r="AN766" s="299"/>
      <c r="AO766" s="301"/>
      <c r="AP766" s="301"/>
      <c r="AQ766" s="426"/>
      <c r="AR766" s="298"/>
      <c r="AS766" s="299"/>
      <c r="AT766" s="299"/>
      <c r="AU766" s="301"/>
      <c r="AV766" s="301"/>
      <c r="AW766" s="88"/>
      <c r="AX766" s="298"/>
      <c r="AY766" s="299"/>
      <c r="AZ766" s="299"/>
      <c r="BA766" s="301"/>
      <c r="BB766" s="301"/>
      <c r="BC766" s="426"/>
      <c r="BD766" s="298"/>
      <c r="BE766" s="299"/>
      <c r="BF766" s="299"/>
      <c r="BG766" s="301"/>
      <c r="BH766" s="301"/>
      <c r="BI766" s="88"/>
      <c r="BJ766" s="298"/>
      <c r="BK766" s="299"/>
      <c r="BL766" s="299"/>
      <c r="BM766" s="301"/>
      <c r="BN766" s="301"/>
      <c r="BO766" s="88"/>
      <c r="BP766" s="9"/>
      <c r="BS766" s="81"/>
      <c r="BT766" s="81"/>
      <c r="BV766" s="9"/>
      <c r="BY766" s="81"/>
      <c r="BZ766" s="81"/>
      <c r="CB766" s="9"/>
      <c r="CE766" s="81"/>
      <c r="CF766" s="81"/>
      <c r="CH766" s="9"/>
      <c r="CK766" s="81"/>
      <c r="CL766" s="81"/>
      <c r="CR766" s="9"/>
      <c r="CS766" s="9"/>
      <c r="CT766" s="9"/>
      <c r="CU766" s="9"/>
      <c r="CV766" s="9"/>
      <c r="CW766" s="129"/>
      <c r="CX766" s="9"/>
    </row>
    <row r="767" spans="1:102">
      <c r="A767" s="6" t="str">
        <f t="shared" si="111"/>
        <v>01520998</v>
      </c>
      <c r="B767" s="6" t="s">
        <v>1802</v>
      </c>
      <c r="C767" s="6" t="s">
        <v>2091</v>
      </c>
      <c r="D767" s="6">
        <v>758</v>
      </c>
      <c r="E767" s="6">
        <v>152</v>
      </c>
      <c r="F767" s="6" t="s">
        <v>1547</v>
      </c>
      <c r="G767" s="6">
        <v>998</v>
      </c>
      <c r="H767" s="6" t="s">
        <v>1547</v>
      </c>
      <c r="I767" s="33">
        <v>0</v>
      </c>
      <c r="J767" s="88">
        <v>0</v>
      </c>
      <c r="K767" s="89">
        <f t="shared" si="120"/>
        <v>0</v>
      </c>
      <c r="L767" s="88">
        <f>IF(K769&gt;0, K767/K769, 0)</f>
        <v>0</v>
      </c>
      <c r="M767" s="58"/>
      <c r="N767" s="9">
        <f>ROUND(M769*L767,0)</f>
        <v>0</v>
      </c>
      <c r="O767" s="9">
        <v>0</v>
      </c>
      <c r="P767" s="9">
        <f>N767-O767</f>
        <v>0</v>
      </c>
      <c r="Q767" s="40">
        <f t="shared" si="119"/>
        <v>0</v>
      </c>
      <c r="R767" s="9">
        <v>0</v>
      </c>
      <c r="S767" s="9">
        <f t="shared" si="117"/>
        <v>0</v>
      </c>
      <c r="T767" s="90">
        <f t="shared" si="112"/>
        <v>152</v>
      </c>
      <c r="U767" s="90">
        <f t="shared" si="113"/>
        <v>998</v>
      </c>
      <c r="V767" s="373">
        <f t="shared" si="114"/>
        <v>758</v>
      </c>
      <c r="W767" s="90">
        <f t="shared" si="115"/>
        <v>0</v>
      </c>
      <c r="X767" s="90">
        <f t="shared" si="116"/>
        <v>0</v>
      </c>
      <c r="Y767" s="141">
        <f t="shared" si="118"/>
        <v>758</v>
      </c>
      <c r="Z767" s="298">
        <v>152</v>
      </c>
      <c r="AA767" s="299">
        <v>998</v>
      </c>
      <c r="AB767" s="299">
        <v>758</v>
      </c>
      <c r="AC767" s="301">
        <v>0</v>
      </c>
      <c r="AD767" s="301">
        <v>0</v>
      </c>
      <c r="AE767" s="126"/>
      <c r="AF767" s="298"/>
      <c r="AG767" s="299"/>
      <c r="AH767" s="299"/>
      <c r="AI767" s="301"/>
      <c r="AJ767" s="301"/>
      <c r="AK767" s="426"/>
      <c r="AL767" s="298"/>
      <c r="AM767" s="299"/>
      <c r="AN767" s="299"/>
      <c r="AO767" s="301"/>
      <c r="AP767" s="301"/>
      <c r="AQ767" s="426"/>
      <c r="AR767" s="298"/>
      <c r="AS767" s="299"/>
      <c r="AT767" s="299"/>
      <c r="AU767" s="301"/>
      <c r="AV767" s="301"/>
      <c r="AW767" s="88"/>
      <c r="AX767" s="298"/>
      <c r="AY767" s="299"/>
      <c r="AZ767" s="299"/>
      <c r="BA767" s="301"/>
      <c r="BB767" s="301"/>
      <c r="BC767" s="426"/>
      <c r="BD767" s="298"/>
      <c r="BE767" s="299"/>
      <c r="BF767" s="299"/>
      <c r="BG767" s="301"/>
      <c r="BH767" s="301"/>
      <c r="BI767" s="88"/>
      <c r="BJ767" s="298"/>
      <c r="BK767" s="299"/>
      <c r="BL767" s="299"/>
      <c r="BM767" s="301"/>
      <c r="BN767" s="301"/>
      <c r="BO767" s="88"/>
      <c r="BP767" s="9"/>
      <c r="BS767" s="81"/>
      <c r="BT767" s="81"/>
      <c r="BV767" s="9"/>
      <c r="BY767" s="81"/>
      <c r="BZ767" s="81"/>
      <c r="CB767" s="9"/>
      <c r="CE767" s="81"/>
      <c r="CF767" s="81"/>
      <c r="CH767" s="9"/>
      <c r="CK767" s="81"/>
      <c r="CL767" s="81"/>
      <c r="CR767" s="9"/>
      <c r="CS767" s="9"/>
      <c r="CT767" s="9"/>
      <c r="CU767" s="9"/>
      <c r="CV767" s="9"/>
      <c r="CW767" s="129"/>
      <c r="CX767" s="9"/>
    </row>
    <row r="768" spans="1:102">
      <c r="A768" s="6" t="str">
        <f t="shared" si="111"/>
        <v>01520998</v>
      </c>
      <c r="B768" s="6" t="s">
        <v>1802</v>
      </c>
      <c r="C768" s="6" t="s">
        <v>2091</v>
      </c>
      <c r="D768" s="6">
        <v>759</v>
      </c>
      <c r="E768" s="6">
        <v>152</v>
      </c>
      <c r="F768" s="6" t="s">
        <v>1547</v>
      </c>
      <c r="G768" s="6">
        <v>998</v>
      </c>
      <c r="H768" s="6" t="s">
        <v>1547</v>
      </c>
      <c r="I768" s="33">
        <v>0</v>
      </c>
      <c r="J768" s="88">
        <v>0</v>
      </c>
      <c r="K768" s="89">
        <f t="shared" si="120"/>
        <v>0</v>
      </c>
      <c r="L768" s="88">
        <f>IF(K769&gt;0, K768/K769, 0)</f>
        <v>0</v>
      </c>
      <c r="M768" s="58"/>
      <c r="N768" s="9">
        <f>ROUND(M769*L768,0)</f>
        <v>0</v>
      </c>
      <c r="O768" s="9">
        <v>0</v>
      </c>
      <c r="P768" s="9">
        <f>N768-O768</f>
        <v>0</v>
      </c>
      <c r="Q768" s="40">
        <f t="shared" si="119"/>
        <v>0</v>
      </c>
      <c r="R768" s="9">
        <v>0</v>
      </c>
      <c r="S768" s="9">
        <f t="shared" si="117"/>
        <v>0</v>
      </c>
      <c r="T768" s="90">
        <f t="shared" si="112"/>
        <v>152</v>
      </c>
      <c r="U768" s="90">
        <f t="shared" si="113"/>
        <v>998</v>
      </c>
      <c r="V768" s="373">
        <f t="shared" si="114"/>
        <v>759</v>
      </c>
      <c r="W768" s="90">
        <f t="shared" si="115"/>
        <v>0</v>
      </c>
      <c r="X768" s="90">
        <f t="shared" si="116"/>
        <v>0</v>
      </c>
      <c r="Y768" s="141">
        <f t="shared" si="118"/>
        <v>759</v>
      </c>
      <c r="Z768" s="298">
        <v>152</v>
      </c>
      <c r="AA768" s="299">
        <v>998</v>
      </c>
      <c r="AB768" s="299">
        <v>759</v>
      </c>
      <c r="AC768" s="301">
        <v>0</v>
      </c>
      <c r="AD768" s="301">
        <v>0</v>
      </c>
      <c r="AE768" s="126"/>
      <c r="AF768" s="298"/>
      <c r="AG768" s="299"/>
      <c r="AH768" s="299"/>
      <c r="AI768" s="301"/>
      <c r="AJ768" s="301"/>
      <c r="AK768" s="426"/>
      <c r="AL768" s="298"/>
      <c r="AM768" s="299"/>
      <c r="AN768" s="299"/>
      <c r="AO768" s="301"/>
      <c r="AP768" s="301"/>
      <c r="AQ768" s="426"/>
      <c r="AR768" s="298"/>
      <c r="AS768" s="299"/>
      <c r="AT768" s="299"/>
      <c r="AU768" s="301"/>
      <c r="AV768" s="301"/>
      <c r="AW768" s="88"/>
      <c r="AX768" s="298"/>
      <c r="AY768" s="299"/>
      <c r="AZ768" s="299"/>
      <c r="BA768" s="301"/>
      <c r="BB768" s="301"/>
      <c r="BC768" s="426"/>
      <c r="BD768" s="298"/>
      <c r="BE768" s="299"/>
      <c r="BF768" s="299"/>
      <c r="BG768" s="301"/>
      <c r="BH768" s="301"/>
      <c r="BI768" s="88"/>
      <c r="BJ768" s="298"/>
      <c r="BK768" s="299"/>
      <c r="BL768" s="299"/>
      <c r="BM768" s="301"/>
      <c r="BN768" s="301"/>
      <c r="BO768" s="88"/>
      <c r="BP768" s="9"/>
      <c r="BS768" s="81"/>
      <c r="BT768" s="81"/>
      <c r="BV768" s="9"/>
      <c r="BY768" s="81"/>
      <c r="BZ768" s="81"/>
      <c r="CB768" s="9"/>
      <c r="CE768" s="81"/>
      <c r="CF768" s="81"/>
      <c r="CH768" s="9"/>
      <c r="CK768" s="81"/>
      <c r="CL768" s="81"/>
      <c r="CR768" s="9"/>
      <c r="CS768" s="9"/>
      <c r="CT768" s="9"/>
      <c r="CU768" s="9"/>
      <c r="CV768" s="9"/>
      <c r="CW768" s="129"/>
      <c r="CX768" s="9"/>
    </row>
    <row r="769" spans="1:102">
      <c r="A769" s="6" t="str">
        <f t="shared" si="111"/>
        <v>01520999</v>
      </c>
      <c r="B769" s="6" t="s">
        <v>1802</v>
      </c>
      <c r="C769" s="6" t="s">
        <v>2092</v>
      </c>
      <c r="D769" s="6">
        <v>760</v>
      </c>
      <c r="E769" s="10">
        <v>152</v>
      </c>
      <c r="F769" s="10" t="s">
        <v>1270</v>
      </c>
      <c r="G769" s="10">
        <v>999</v>
      </c>
      <c r="H769" s="10" t="s">
        <v>593</v>
      </c>
      <c r="I769" s="92">
        <v>6717817.4100000001</v>
      </c>
      <c r="J769" s="472">
        <v>1</v>
      </c>
      <c r="K769" s="53">
        <f>SUM(K765:K768)</f>
        <v>6823610.0699999994</v>
      </c>
      <c r="L769" s="91">
        <f>SUM(L765:L768)</f>
        <v>1</v>
      </c>
      <c r="M769" s="79">
        <f>VLOOKUP(E769,town351,24)</f>
        <v>5629478</v>
      </c>
      <c r="N769" s="79">
        <f>SUM(N765:N768)</f>
        <v>5629478</v>
      </c>
      <c r="O769" s="79">
        <v>5422289</v>
      </c>
      <c r="P769" s="79">
        <f>SUM(P765:P768)</f>
        <v>207189</v>
      </c>
      <c r="Q769" s="39">
        <f t="shared" si="119"/>
        <v>3.8210615479920014</v>
      </c>
      <c r="R769" s="9">
        <v>489</v>
      </c>
      <c r="S769" s="9">
        <f t="shared" si="117"/>
        <v>482</v>
      </c>
      <c r="T769" s="90">
        <f t="shared" si="112"/>
        <v>152</v>
      </c>
      <c r="U769" s="90">
        <f t="shared" si="113"/>
        <v>999</v>
      </c>
      <c r="V769" s="373">
        <f t="shared" si="114"/>
        <v>760</v>
      </c>
      <c r="W769" s="90">
        <f t="shared" si="115"/>
        <v>482</v>
      </c>
      <c r="X769" s="90">
        <f t="shared" si="116"/>
        <v>6823610.0699999994</v>
      </c>
      <c r="Y769" s="141">
        <f t="shared" si="118"/>
        <v>760</v>
      </c>
      <c r="Z769" s="298">
        <v>152</v>
      </c>
      <c r="AA769" s="299">
        <v>999</v>
      </c>
      <c r="AB769" s="299">
        <v>760</v>
      </c>
      <c r="AC769" s="301">
        <v>482</v>
      </c>
      <c r="AD769" s="301">
        <v>6823610.0699999994</v>
      </c>
      <c r="AE769" s="126"/>
      <c r="AF769" s="298"/>
      <c r="AG769" s="299"/>
      <c r="AH769" s="299"/>
      <c r="AI769" s="301"/>
      <c r="AJ769" s="301"/>
      <c r="AK769" s="426"/>
      <c r="AL769" s="298"/>
      <c r="AM769" s="299"/>
      <c r="AN769" s="299"/>
      <c r="AO769" s="301"/>
      <c r="AP769" s="301"/>
      <c r="AQ769" s="426"/>
      <c r="AR769" s="298"/>
      <c r="AS769" s="299"/>
      <c r="AT769" s="299"/>
      <c r="AU769" s="301"/>
      <c r="AV769" s="301"/>
      <c r="AW769" s="91"/>
      <c r="AX769" s="298"/>
      <c r="AY769" s="299"/>
      <c r="AZ769" s="299"/>
      <c r="BA769" s="301"/>
      <c r="BB769" s="301"/>
      <c r="BC769" s="426"/>
      <c r="BD769" s="298"/>
      <c r="BE769" s="299"/>
      <c r="BF769" s="299"/>
      <c r="BG769" s="301"/>
      <c r="BH769" s="301"/>
      <c r="BI769" s="91"/>
      <c r="BJ769" s="298"/>
      <c r="BK769" s="299"/>
      <c r="BL769" s="299"/>
      <c r="BM769" s="301"/>
      <c r="BN769" s="301"/>
      <c r="BO769" s="91"/>
      <c r="BP769" s="9"/>
      <c r="BS769" s="81"/>
      <c r="BT769" s="81"/>
      <c r="BV769" s="9"/>
      <c r="BY769" s="81"/>
      <c r="BZ769" s="81"/>
      <c r="CB769" s="9"/>
      <c r="CE769" s="81"/>
      <c r="CF769" s="81"/>
      <c r="CH769" s="9"/>
      <c r="CK769" s="81"/>
      <c r="CL769" s="81"/>
      <c r="CR769" s="9"/>
      <c r="CS769" s="9"/>
      <c r="CT769" s="9"/>
      <c r="CU769" s="9"/>
      <c r="CV769" s="9"/>
      <c r="CW769" s="129"/>
      <c r="CX769" s="9"/>
    </row>
    <row r="770" spans="1:102">
      <c r="A770" s="6" t="str">
        <f t="shared" si="111"/>
        <v>01530153</v>
      </c>
      <c r="B770" s="6" t="s">
        <v>1803</v>
      </c>
      <c r="C770" s="6" t="s">
        <v>1803</v>
      </c>
      <c r="D770" s="6">
        <v>761</v>
      </c>
      <c r="E770" s="6">
        <v>153</v>
      </c>
      <c r="F770" s="6" t="s">
        <v>1271</v>
      </c>
      <c r="G770" s="6">
        <v>153</v>
      </c>
      <c r="H770" s="6" t="s">
        <v>834</v>
      </c>
      <c r="I770" s="33">
        <v>99599000.579999998</v>
      </c>
      <c r="J770" s="88">
        <v>1</v>
      </c>
      <c r="K770" s="89">
        <f>X770</f>
        <v>103734761.66000001</v>
      </c>
      <c r="L770" s="88">
        <f>IF(K774&gt;0, K770/K774, 0)</f>
        <v>1</v>
      </c>
      <c r="M770" s="58"/>
      <c r="N770" s="9">
        <f>ROUND(M774*L770,0)</f>
        <v>36964269</v>
      </c>
      <c r="O770" s="9">
        <v>35204065</v>
      </c>
      <c r="P770" s="9">
        <f>N770-O770</f>
        <v>1760204</v>
      </c>
      <c r="Q770" s="40">
        <f t="shared" si="119"/>
        <v>5.0000021304357896</v>
      </c>
      <c r="R770" s="9">
        <v>6020</v>
      </c>
      <c r="S770" s="9">
        <f t="shared" si="117"/>
        <v>6009</v>
      </c>
      <c r="T770" s="90">
        <f t="shared" si="112"/>
        <v>153</v>
      </c>
      <c r="U770" s="90">
        <f t="shared" si="113"/>
        <v>153</v>
      </c>
      <c r="V770" s="373">
        <f t="shared" si="114"/>
        <v>761</v>
      </c>
      <c r="W770" s="90">
        <f t="shared" si="115"/>
        <v>6009</v>
      </c>
      <c r="X770" s="90">
        <f t="shared" si="116"/>
        <v>103734761.66000001</v>
      </c>
      <c r="Y770" s="141">
        <f t="shared" si="118"/>
        <v>761</v>
      </c>
      <c r="Z770" s="298">
        <v>153</v>
      </c>
      <c r="AA770" s="299">
        <v>153</v>
      </c>
      <c r="AB770" s="299">
        <v>761</v>
      </c>
      <c r="AC770" s="301">
        <v>6009</v>
      </c>
      <c r="AD770" s="301">
        <v>103734761.66000001</v>
      </c>
      <c r="AE770" s="126"/>
      <c r="AF770" s="298"/>
      <c r="AG770" s="299"/>
      <c r="AH770" s="299"/>
      <c r="AI770" s="301"/>
      <c r="AJ770" s="301"/>
      <c r="AK770" s="426"/>
      <c r="AL770" s="298"/>
      <c r="AM770" s="299"/>
      <c r="AN770" s="299"/>
      <c r="AO770" s="301"/>
      <c r="AP770" s="301"/>
      <c r="AQ770" s="426"/>
      <c r="AR770" s="298"/>
      <c r="AS770" s="299"/>
      <c r="AT770" s="299"/>
      <c r="AU770" s="301"/>
      <c r="AV770" s="301"/>
      <c r="AW770" s="88"/>
      <c r="AX770" s="298"/>
      <c r="AY770" s="299"/>
      <c r="AZ770" s="299"/>
      <c r="BA770" s="301"/>
      <c r="BB770" s="301"/>
      <c r="BC770" s="426"/>
      <c r="BD770" s="298"/>
      <c r="BE770" s="299"/>
      <c r="BF770" s="299"/>
      <c r="BG770" s="301"/>
      <c r="BH770" s="301"/>
      <c r="BI770" s="88"/>
      <c r="BJ770" s="298"/>
      <c r="BK770" s="299"/>
      <c r="BL770" s="299"/>
      <c r="BM770" s="301"/>
      <c r="BN770" s="301"/>
      <c r="BO770" s="88"/>
      <c r="BP770" s="9"/>
      <c r="BS770" s="81"/>
      <c r="BT770" s="81"/>
      <c r="BV770" s="9"/>
      <c r="BY770" s="81"/>
      <c r="BZ770" s="81"/>
      <c r="CB770" s="9"/>
      <c r="CE770" s="81"/>
      <c r="CF770" s="81"/>
      <c r="CH770" s="9"/>
      <c r="CK770" s="81"/>
      <c r="CL770" s="81"/>
      <c r="CR770" s="9"/>
      <c r="CS770" s="9"/>
      <c r="CT770" s="9"/>
      <c r="CU770" s="9"/>
      <c r="CV770" s="9"/>
      <c r="CW770" s="129"/>
      <c r="CX770" s="9"/>
    </row>
    <row r="771" spans="1:102">
      <c r="A771" s="6" t="str">
        <f t="shared" si="111"/>
        <v>01530998</v>
      </c>
      <c r="B771" s="6" t="s">
        <v>1803</v>
      </c>
      <c r="C771" s="6" t="s">
        <v>2091</v>
      </c>
      <c r="D771" s="6">
        <v>762</v>
      </c>
      <c r="E771" s="6">
        <v>153</v>
      </c>
      <c r="F771" s="6" t="s">
        <v>1547</v>
      </c>
      <c r="G771" s="6">
        <v>998</v>
      </c>
      <c r="H771" s="6" t="s">
        <v>1547</v>
      </c>
      <c r="I771" s="33">
        <v>0</v>
      </c>
      <c r="J771" s="88">
        <v>0</v>
      </c>
      <c r="K771" s="89">
        <f t="shared" si="120"/>
        <v>0</v>
      </c>
      <c r="L771" s="88">
        <f>IF(K774&gt;0, K771/K774, 0)</f>
        <v>0</v>
      </c>
      <c r="M771" s="58"/>
      <c r="N771" s="9">
        <f>ROUND(M774*L771,0)</f>
        <v>0</v>
      </c>
      <c r="O771" s="9">
        <v>0</v>
      </c>
      <c r="P771" s="9">
        <f>N771-O771</f>
        <v>0</v>
      </c>
      <c r="Q771" s="40">
        <f t="shared" si="119"/>
        <v>0</v>
      </c>
      <c r="R771" s="9">
        <v>0</v>
      </c>
      <c r="S771" s="9">
        <f t="shared" si="117"/>
        <v>0</v>
      </c>
      <c r="T771" s="90">
        <f t="shared" si="112"/>
        <v>153</v>
      </c>
      <c r="U771" s="90">
        <f t="shared" si="113"/>
        <v>998</v>
      </c>
      <c r="V771" s="373">
        <f t="shared" si="114"/>
        <v>762</v>
      </c>
      <c r="W771" s="90">
        <f t="shared" si="115"/>
        <v>0</v>
      </c>
      <c r="X771" s="90">
        <f t="shared" si="116"/>
        <v>0</v>
      </c>
      <c r="Y771" s="141">
        <f t="shared" si="118"/>
        <v>762</v>
      </c>
      <c r="Z771" s="298">
        <v>153</v>
      </c>
      <c r="AA771" s="299">
        <v>998</v>
      </c>
      <c r="AB771" s="299">
        <v>762</v>
      </c>
      <c r="AC771" s="301">
        <v>0</v>
      </c>
      <c r="AD771" s="301">
        <v>0</v>
      </c>
      <c r="AE771" s="126"/>
      <c r="AF771" s="298"/>
      <c r="AG771" s="299"/>
      <c r="AH771" s="299"/>
      <c r="AI771" s="301"/>
      <c r="AJ771" s="301"/>
      <c r="AK771" s="426"/>
      <c r="AL771" s="298"/>
      <c r="AM771" s="299"/>
      <c r="AN771" s="299"/>
      <c r="AO771" s="301"/>
      <c r="AP771" s="301"/>
      <c r="AQ771" s="426"/>
      <c r="AR771" s="298"/>
      <c r="AS771" s="299"/>
      <c r="AT771" s="299"/>
      <c r="AU771" s="301"/>
      <c r="AV771" s="301"/>
      <c r="AW771" s="88"/>
      <c r="AX771" s="298"/>
      <c r="AY771" s="299"/>
      <c r="AZ771" s="299"/>
      <c r="BA771" s="301"/>
      <c r="BB771" s="301"/>
      <c r="BC771" s="426"/>
      <c r="BD771" s="298"/>
      <c r="BE771" s="299"/>
      <c r="BF771" s="299"/>
      <c r="BG771" s="301"/>
      <c r="BH771" s="301"/>
      <c r="BI771" s="88"/>
      <c r="BJ771" s="298"/>
      <c r="BK771" s="299"/>
      <c r="BL771" s="299"/>
      <c r="BM771" s="301"/>
      <c r="BN771" s="301"/>
      <c r="BO771" s="88"/>
      <c r="BP771" s="9"/>
      <c r="BS771" s="81"/>
      <c r="BT771" s="81"/>
      <c r="BV771" s="9"/>
      <c r="BY771" s="81"/>
      <c r="BZ771" s="81"/>
      <c r="CB771" s="9"/>
      <c r="CE771" s="81"/>
      <c r="CF771" s="81"/>
      <c r="CH771" s="9"/>
      <c r="CK771" s="81"/>
      <c r="CL771" s="81"/>
      <c r="CR771" s="9"/>
      <c r="CS771" s="9"/>
      <c r="CT771" s="9"/>
      <c r="CU771" s="9"/>
      <c r="CV771" s="9"/>
      <c r="CW771" s="129"/>
      <c r="CX771" s="9"/>
    </row>
    <row r="772" spans="1:102">
      <c r="A772" s="6" t="str">
        <f t="shared" si="111"/>
        <v>01530998</v>
      </c>
      <c r="B772" s="6" t="s">
        <v>1803</v>
      </c>
      <c r="C772" s="6" t="s">
        <v>2091</v>
      </c>
      <c r="D772" s="6">
        <v>763</v>
      </c>
      <c r="E772" s="6">
        <v>153</v>
      </c>
      <c r="F772" s="6" t="s">
        <v>1547</v>
      </c>
      <c r="G772" s="6">
        <v>998</v>
      </c>
      <c r="H772" s="6" t="s">
        <v>1547</v>
      </c>
      <c r="I772" s="33">
        <v>0</v>
      </c>
      <c r="J772" s="88">
        <v>0</v>
      </c>
      <c r="K772" s="89">
        <f t="shared" si="120"/>
        <v>0</v>
      </c>
      <c r="L772" s="88">
        <f>IF(K774&gt;0, K772/K774, 0)</f>
        <v>0</v>
      </c>
      <c r="M772" s="58"/>
      <c r="N772" s="9">
        <f>ROUND(M774*L772,0)</f>
        <v>0</v>
      </c>
      <c r="O772" s="9">
        <v>0</v>
      </c>
      <c r="P772" s="9">
        <f>N772-O772</f>
        <v>0</v>
      </c>
      <c r="Q772" s="40">
        <f t="shared" si="119"/>
        <v>0</v>
      </c>
      <c r="R772" s="9">
        <v>0</v>
      </c>
      <c r="S772" s="9">
        <f t="shared" si="117"/>
        <v>0</v>
      </c>
      <c r="T772" s="90">
        <f t="shared" si="112"/>
        <v>153</v>
      </c>
      <c r="U772" s="90">
        <f t="shared" si="113"/>
        <v>998</v>
      </c>
      <c r="V772" s="373">
        <f t="shared" si="114"/>
        <v>763</v>
      </c>
      <c r="W772" s="90">
        <f t="shared" si="115"/>
        <v>0</v>
      </c>
      <c r="X772" s="90">
        <f t="shared" si="116"/>
        <v>0</v>
      </c>
      <c r="Y772" s="141">
        <f t="shared" si="118"/>
        <v>763</v>
      </c>
      <c r="Z772" s="298">
        <v>153</v>
      </c>
      <c r="AA772" s="299">
        <v>998</v>
      </c>
      <c r="AB772" s="299">
        <v>763</v>
      </c>
      <c r="AC772" s="301">
        <v>0</v>
      </c>
      <c r="AD772" s="301">
        <v>0</v>
      </c>
      <c r="AE772" s="126"/>
      <c r="AF772" s="298"/>
      <c r="AG772" s="299"/>
      <c r="AH772" s="299"/>
      <c r="AI772" s="301"/>
      <c r="AJ772" s="301"/>
      <c r="AK772" s="426"/>
      <c r="AL772" s="298"/>
      <c r="AM772" s="299"/>
      <c r="AN772" s="299"/>
      <c r="AO772" s="301"/>
      <c r="AP772" s="301"/>
      <c r="AQ772" s="426"/>
      <c r="AR772" s="298"/>
      <c r="AS772" s="299"/>
      <c r="AT772" s="299"/>
      <c r="AU772" s="301"/>
      <c r="AV772" s="301"/>
      <c r="AW772" s="88"/>
      <c r="AX772" s="298"/>
      <c r="AY772" s="299"/>
      <c r="AZ772" s="299"/>
      <c r="BA772" s="301"/>
      <c r="BB772" s="301"/>
      <c r="BC772" s="426"/>
      <c r="BD772" s="298"/>
      <c r="BE772" s="299"/>
      <c r="BF772" s="299"/>
      <c r="BG772" s="301"/>
      <c r="BH772" s="301"/>
      <c r="BI772" s="88"/>
      <c r="BJ772" s="298"/>
      <c r="BK772" s="299"/>
      <c r="BL772" s="299"/>
      <c r="BM772" s="301"/>
      <c r="BN772" s="301"/>
      <c r="BO772" s="88"/>
      <c r="BP772" s="9"/>
      <c r="BS772" s="81"/>
      <c r="BT772" s="81"/>
      <c r="BV772" s="9"/>
      <c r="BY772" s="81"/>
      <c r="BZ772" s="81"/>
      <c r="CB772" s="9"/>
      <c r="CE772" s="81"/>
      <c r="CF772" s="81"/>
      <c r="CH772" s="9"/>
      <c r="CK772" s="81"/>
      <c r="CL772" s="81"/>
      <c r="CR772" s="9"/>
      <c r="CS772" s="9"/>
      <c r="CT772" s="9"/>
      <c r="CU772" s="9"/>
      <c r="CV772" s="9"/>
      <c r="CW772" s="129"/>
      <c r="CX772" s="9"/>
    </row>
    <row r="773" spans="1:102">
      <c r="A773" s="6" t="str">
        <f t="shared" si="111"/>
        <v>01530998</v>
      </c>
      <c r="B773" s="6" t="s">
        <v>1803</v>
      </c>
      <c r="C773" s="6" t="s">
        <v>2091</v>
      </c>
      <c r="D773" s="6">
        <v>764</v>
      </c>
      <c r="E773" s="6">
        <v>153</v>
      </c>
      <c r="F773" s="6" t="s">
        <v>1547</v>
      </c>
      <c r="G773" s="6">
        <v>998</v>
      </c>
      <c r="H773" s="6" t="s">
        <v>1547</v>
      </c>
      <c r="I773" s="33">
        <v>0</v>
      </c>
      <c r="J773" s="88">
        <v>0</v>
      </c>
      <c r="K773" s="89">
        <f t="shared" si="120"/>
        <v>0</v>
      </c>
      <c r="L773" s="88">
        <f>IF(K774&gt;0, K773/K774, 0)</f>
        <v>0</v>
      </c>
      <c r="M773" s="58"/>
      <c r="N773" s="9">
        <f>ROUND(M774*L773,0)</f>
        <v>0</v>
      </c>
      <c r="O773" s="9">
        <v>0</v>
      </c>
      <c r="P773" s="9">
        <f>N773-O773</f>
        <v>0</v>
      </c>
      <c r="Q773" s="40">
        <f t="shared" si="119"/>
        <v>0</v>
      </c>
      <c r="R773" s="9">
        <v>0</v>
      </c>
      <c r="S773" s="9">
        <f t="shared" si="117"/>
        <v>0</v>
      </c>
      <c r="T773" s="90">
        <f t="shared" si="112"/>
        <v>153</v>
      </c>
      <c r="U773" s="90">
        <f t="shared" si="113"/>
        <v>998</v>
      </c>
      <c r="V773" s="373">
        <f t="shared" si="114"/>
        <v>764</v>
      </c>
      <c r="W773" s="90">
        <f t="shared" si="115"/>
        <v>0</v>
      </c>
      <c r="X773" s="90">
        <f t="shared" si="116"/>
        <v>0</v>
      </c>
      <c r="Y773" s="141">
        <f t="shared" si="118"/>
        <v>764</v>
      </c>
      <c r="Z773" s="298">
        <v>153</v>
      </c>
      <c r="AA773" s="299">
        <v>998</v>
      </c>
      <c r="AB773" s="299">
        <v>764</v>
      </c>
      <c r="AC773" s="301">
        <v>0</v>
      </c>
      <c r="AD773" s="301">
        <v>0</v>
      </c>
      <c r="AE773" s="126"/>
      <c r="AF773" s="298"/>
      <c r="AG773" s="299"/>
      <c r="AH773" s="299"/>
      <c r="AI773" s="301"/>
      <c r="AJ773" s="301"/>
      <c r="AK773" s="426"/>
      <c r="AL773" s="298"/>
      <c r="AM773" s="299"/>
      <c r="AN773" s="299"/>
      <c r="AO773" s="301"/>
      <c r="AP773" s="301"/>
      <c r="AQ773" s="426"/>
      <c r="AR773" s="298"/>
      <c r="AS773" s="299"/>
      <c r="AT773" s="299"/>
      <c r="AU773" s="301"/>
      <c r="AV773" s="301"/>
      <c r="AW773" s="88"/>
      <c r="AX773" s="298"/>
      <c r="AY773" s="299"/>
      <c r="AZ773" s="299"/>
      <c r="BA773" s="301"/>
      <c r="BB773" s="301"/>
      <c r="BC773" s="426"/>
      <c r="BD773" s="298"/>
      <c r="BE773" s="299"/>
      <c r="BF773" s="299"/>
      <c r="BG773" s="301"/>
      <c r="BH773" s="301"/>
      <c r="BI773" s="88"/>
      <c r="BJ773" s="298"/>
      <c r="BK773" s="299"/>
      <c r="BL773" s="299"/>
      <c r="BM773" s="301"/>
      <c r="BN773" s="301"/>
      <c r="BO773" s="88"/>
      <c r="BP773" s="9"/>
      <c r="BS773" s="81"/>
      <c r="BT773" s="81"/>
      <c r="BV773" s="9"/>
      <c r="BY773" s="81"/>
      <c r="BZ773" s="81"/>
      <c r="CB773" s="9"/>
      <c r="CE773" s="81"/>
      <c r="CF773" s="81"/>
      <c r="CH773" s="9"/>
      <c r="CK773" s="81"/>
      <c r="CL773" s="81"/>
      <c r="CR773" s="9"/>
      <c r="CS773" s="9"/>
      <c r="CT773" s="9"/>
      <c r="CU773" s="9"/>
      <c r="CV773" s="9"/>
      <c r="CW773" s="129"/>
      <c r="CX773" s="9"/>
    </row>
    <row r="774" spans="1:102">
      <c r="A774" s="6" t="str">
        <f t="shared" si="111"/>
        <v>01530999</v>
      </c>
      <c r="B774" s="6" t="s">
        <v>1803</v>
      </c>
      <c r="C774" s="6" t="s">
        <v>2092</v>
      </c>
      <c r="D774" s="6">
        <v>765</v>
      </c>
      <c r="E774" s="10">
        <v>153</v>
      </c>
      <c r="F774" s="10" t="s">
        <v>1271</v>
      </c>
      <c r="G774" s="10">
        <v>999</v>
      </c>
      <c r="H774" s="10" t="s">
        <v>593</v>
      </c>
      <c r="I774" s="92">
        <v>99599000.579999998</v>
      </c>
      <c r="J774" s="472">
        <v>1</v>
      </c>
      <c r="K774" s="53">
        <f>SUM(K770:K773)</f>
        <v>103734761.66000001</v>
      </c>
      <c r="L774" s="91">
        <f>SUM(L770:L773)</f>
        <v>1</v>
      </c>
      <c r="M774" s="79">
        <f>VLOOKUP(E774,town351,24)</f>
        <v>36964269</v>
      </c>
      <c r="N774" s="79">
        <f>SUM(N770:N773)</f>
        <v>36964269</v>
      </c>
      <c r="O774" s="79">
        <v>35204065</v>
      </c>
      <c r="P774" s="79">
        <f>SUM(P770:P773)</f>
        <v>1760204</v>
      </c>
      <c r="Q774" s="39">
        <f t="shared" si="119"/>
        <v>5.0000021304357896</v>
      </c>
      <c r="R774" s="9">
        <v>6020</v>
      </c>
      <c r="S774" s="9">
        <f t="shared" si="117"/>
        <v>6009</v>
      </c>
      <c r="T774" s="90">
        <f t="shared" si="112"/>
        <v>153</v>
      </c>
      <c r="U774" s="90">
        <f t="shared" si="113"/>
        <v>999</v>
      </c>
      <c r="V774" s="373">
        <f t="shared" si="114"/>
        <v>765</v>
      </c>
      <c r="W774" s="90">
        <f t="shared" si="115"/>
        <v>6009</v>
      </c>
      <c r="X774" s="90">
        <f t="shared" si="116"/>
        <v>103734761.66000001</v>
      </c>
      <c r="Y774" s="141">
        <f t="shared" si="118"/>
        <v>765</v>
      </c>
      <c r="Z774" s="298">
        <v>153</v>
      </c>
      <c r="AA774" s="299">
        <v>999</v>
      </c>
      <c r="AB774" s="299">
        <v>765</v>
      </c>
      <c r="AC774" s="301">
        <v>6009</v>
      </c>
      <c r="AD774" s="301">
        <v>103734761.66000001</v>
      </c>
      <c r="AE774" s="126"/>
      <c r="AF774" s="298"/>
      <c r="AG774" s="299"/>
      <c r="AH774" s="299"/>
      <c r="AI774" s="301"/>
      <c r="AJ774" s="301"/>
      <c r="AK774" s="426"/>
      <c r="AL774" s="298"/>
      <c r="AM774" s="299"/>
      <c r="AN774" s="299"/>
      <c r="AO774" s="301"/>
      <c r="AP774" s="301"/>
      <c r="AQ774" s="426"/>
      <c r="AR774" s="298"/>
      <c r="AS774" s="299"/>
      <c r="AT774" s="299"/>
      <c r="AU774" s="301"/>
      <c r="AV774" s="301"/>
      <c r="AW774" s="91"/>
      <c r="AX774" s="298"/>
      <c r="AY774" s="299"/>
      <c r="AZ774" s="299"/>
      <c r="BA774" s="301"/>
      <c r="BB774" s="301"/>
      <c r="BC774" s="426"/>
      <c r="BD774" s="298"/>
      <c r="BE774" s="299"/>
      <c r="BF774" s="299"/>
      <c r="BG774" s="301"/>
      <c r="BH774" s="301"/>
      <c r="BI774" s="91"/>
      <c r="BJ774" s="298"/>
      <c r="BK774" s="299"/>
      <c r="BL774" s="299"/>
      <c r="BM774" s="301"/>
      <c r="BN774" s="301"/>
      <c r="BO774" s="91"/>
      <c r="BP774" s="9"/>
      <c r="BS774" s="81"/>
      <c r="BT774" s="81"/>
      <c r="BV774" s="9"/>
      <c r="BY774" s="81"/>
      <c r="BZ774" s="81"/>
      <c r="CB774" s="9"/>
      <c r="CE774" s="81"/>
      <c r="CF774" s="81"/>
      <c r="CH774" s="9"/>
      <c r="CK774" s="81"/>
      <c r="CL774" s="81"/>
      <c r="CR774" s="9"/>
      <c r="CS774" s="9"/>
      <c r="CT774" s="9"/>
      <c r="CU774" s="9"/>
      <c r="CV774" s="9"/>
      <c r="CW774" s="129"/>
      <c r="CX774" s="9"/>
    </row>
    <row r="775" spans="1:102">
      <c r="A775" s="6" t="str">
        <f t="shared" si="111"/>
        <v>01540154</v>
      </c>
      <c r="B775" s="6" t="s">
        <v>1804</v>
      </c>
      <c r="C775" s="6" t="s">
        <v>1804</v>
      </c>
      <c r="D775" s="6">
        <v>766</v>
      </c>
      <c r="E775" s="6">
        <v>154</v>
      </c>
      <c r="F775" s="6" t="s">
        <v>1272</v>
      </c>
      <c r="G775" s="6">
        <v>154</v>
      </c>
      <c r="H775" s="6" t="s">
        <v>835</v>
      </c>
      <c r="I775" s="33">
        <v>1255147.3</v>
      </c>
      <c r="J775" s="88">
        <v>0.46442822786820637</v>
      </c>
      <c r="K775" s="89">
        <f>X775</f>
        <v>1407132.92</v>
      </c>
      <c r="L775" s="88">
        <f>IF(K779&gt;0, K775/K779, 0)</f>
        <v>0.49578967604829877</v>
      </c>
      <c r="M775" s="58"/>
      <c r="N775" s="9">
        <f>ROUND(M779*L775,0)</f>
        <v>1083930</v>
      </c>
      <c r="O775" s="9">
        <v>954740</v>
      </c>
      <c r="P775" s="9">
        <f>N775-O775</f>
        <v>129190</v>
      </c>
      <c r="Q775" s="40">
        <f t="shared" si="119"/>
        <v>13.531432641347383</v>
      </c>
      <c r="R775" s="9">
        <v>101</v>
      </c>
      <c r="S775" s="9">
        <f t="shared" si="117"/>
        <v>105</v>
      </c>
      <c r="T775" s="90">
        <f t="shared" si="112"/>
        <v>154</v>
      </c>
      <c r="U775" s="90">
        <f t="shared" si="113"/>
        <v>154</v>
      </c>
      <c r="V775" s="373">
        <f t="shared" si="114"/>
        <v>766</v>
      </c>
      <c r="W775" s="90">
        <f t="shared" si="115"/>
        <v>105</v>
      </c>
      <c r="X775" s="90">
        <f t="shared" si="116"/>
        <v>1407132.92</v>
      </c>
      <c r="Y775" s="141">
        <f t="shared" si="118"/>
        <v>766</v>
      </c>
      <c r="Z775" s="298">
        <v>154</v>
      </c>
      <c r="AA775" s="299">
        <v>154</v>
      </c>
      <c r="AB775" s="299">
        <v>766</v>
      </c>
      <c r="AC775" s="301">
        <v>105</v>
      </c>
      <c r="AD775" s="301">
        <v>1407132.92</v>
      </c>
      <c r="AE775" s="126"/>
      <c r="AF775" s="298"/>
      <c r="AG775" s="299"/>
      <c r="AH775" s="299"/>
      <c r="AI775" s="301"/>
      <c r="AJ775" s="301"/>
      <c r="AK775" s="426"/>
      <c r="AL775" s="298"/>
      <c r="AM775" s="299"/>
      <c r="AN775" s="299"/>
      <c r="AO775" s="301"/>
      <c r="AP775" s="301"/>
      <c r="AQ775" s="426"/>
      <c r="AR775" s="298"/>
      <c r="AS775" s="299"/>
      <c r="AT775" s="299"/>
      <c r="AU775" s="301"/>
      <c r="AV775" s="301"/>
      <c r="AW775" s="88"/>
      <c r="AX775" s="298"/>
      <c r="AY775" s="299"/>
      <c r="AZ775" s="299"/>
      <c r="BA775" s="301"/>
      <c r="BB775" s="301"/>
      <c r="BC775" s="426"/>
      <c r="BD775" s="298"/>
      <c r="BE775" s="299"/>
      <c r="BF775" s="299"/>
      <c r="BG775" s="301"/>
      <c r="BH775" s="301"/>
      <c r="BI775" s="88"/>
      <c r="BJ775" s="298"/>
      <c r="BK775" s="299"/>
      <c r="BL775" s="299"/>
      <c r="BM775" s="301"/>
      <c r="BN775" s="301"/>
      <c r="BO775" s="88"/>
      <c r="BP775" s="9"/>
      <c r="BS775" s="81"/>
      <c r="BT775" s="81"/>
      <c r="BV775" s="9"/>
      <c r="BY775" s="81"/>
      <c r="BZ775" s="81"/>
      <c r="CB775" s="9"/>
      <c r="CE775" s="81"/>
      <c r="CF775" s="81"/>
      <c r="CH775" s="9"/>
      <c r="CK775" s="81"/>
      <c r="CL775" s="81"/>
      <c r="CR775" s="9"/>
      <c r="CS775" s="9"/>
      <c r="CT775" s="9"/>
      <c r="CU775" s="9"/>
      <c r="CV775" s="9"/>
      <c r="CW775" s="129"/>
      <c r="CX775" s="9"/>
    </row>
    <row r="776" spans="1:102">
      <c r="A776" s="6" t="str">
        <f t="shared" si="111"/>
        <v>01540605</v>
      </c>
      <c r="B776" s="6" t="s">
        <v>1804</v>
      </c>
      <c r="C776" s="6" t="s">
        <v>2006</v>
      </c>
      <c r="D776" s="6">
        <v>767</v>
      </c>
      <c r="E776" s="6">
        <v>154</v>
      </c>
      <c r="F776" s="6" t="s">
        <v>1272</v>
      </c>
      <c r="G776" s="6">
        <v>605</v>
      </c>
      <c r="H776" s="6" t="s">
        <v>1036</v>
      </c>
      <c r="I776" s="33">
        <v>1447417.326102315</v>
      </c>
      <c r="J776" s="88">
        <v>0.53557177213179352</v>
      </c>
      <c r="K776" s="89">
        <f t="shared" si="120"/>
        <v>1431032.1083958715</v>
      </c>
      <c r="L776" s="88">
        <f>IF(K779&gt;0, K776/K779, 0)</f>
        <v>0.50421032395170118</v>
      </c>
      <c r="M776" s="58"/>
      <c r="N776" s="9">
        <f>ROUND(M779*L776,0)</f>
        <v>1102340</v>
      </c>
      <c r="O776" s="9">
        <v>1100991</v>
      </c>
      <c r="P776" s="9">
        <f>N776-O776</f>
        <v>1349</v>
      </c>
      <c r="Q776" s="40">
        <f t="shared" si="119"/>
        <v>0.1225259788681288</v>
      </c>
      <c r="R776" s="9">
        <v>102.00000000189999</v>
      </c>
      <c r="S776" s="9">
        <f t="shared" si="117"/>
        <v>98.999999995499991</v>
      </c>
      <c r="T776" s="90">
        <f t="shared" si="112"/>
        <v>154</v>
      </c>
      <c r="U776" s="90">
        <f t="shared" si="113"/>
        <v>605</v>
      </c>
      <c r="V776" s="373">
        <f t="shared" si="114"/>
        <v>767</v>
      </c>
      <c r="W776" s="90">
        <f t="shared" si="115"/>
        <v>98.999999995499991</v>
      </c>
      <c r="X776" s="90">
        <f t="shared" si="116"/>
        <v>1431032.1083958715</v>
      </c>
      <c r="Y776" s="141">
        <f t="shared" si="118"/>
        <v>767</v>
      </c>
      <c r="Z776" s="298">
        <v>154</v>
      </c>
      <c r="AA776" s="299">
        <v>605</v>
      </c>
      <c r="AB776" s="299">
        <v>767</v>
      </c>
      <c r="AC776" s="301">
        <v>98.999999995499991</v>
      </c>
      <c r="AD776" s="301">
        <v>1431032.1083958715</v>
      </c>
      <c r="AE776" s="126"/>
      <c r="AF776" s="298"/>
      <c r="AG776" s="299"/>
      <c r="AH776" s="299"/>
      <c r="AI776" s="301"/>
      <c r="AJ776" s="301"/>
      <c r="AK776" s="426"/>
      <c r="AL776" s="298"/>
      <c r="AM776" s="299"/>
      <c r="AN776" s="299"/>
      <c r="AO776" s="301"/>
      <c r="AP776" s="301"/>
      <c r="AQ776" s="426"/>
      <c r="AR776" s="298"/>
      <c r="AS776" s="299"/>
      <c r="AT776" s="299"/>
      <c r="AU776" s="301"/>
      <c r="AV776" s="301"/>
      <c r="AW776" s="88"/>
      <c r="AX776" s="298"/>
      <c r="AY776" s="299"/>
      <c r="AZ776" s="299"/>
      <c r="BA776" s="301"/>
      <c r="BB776" s="301"/>
      <c r="BC776" s="426"/>
      <c r="BD776" s="298"/>
      <c r="BE776" s="299"/>
      <c r="BF776" s="299"/>
      <c r="BG776" s="301"/>
      <c r="BH776" s="301"/>
      <c r="BI776" s="88"/>
      <c r="BJ776" s="298"/>
      <c r="BK776" s="299"/>
      <c r="BL776" s="299"/>
      <c r="BM776" s="301"/>
      <c r="BN776" s="301"/>
      <c r="BO776" s="88"/>
      <c r="BP776" s="9"/>
      <c r="BS776" s="81"/>
      <c r="BT776" s="81"/>
      <c r="BV776" s="9"/>
      <c r="BY776" s="81"/>
      <c r="BZ776" s="81"/>
      <c r="CB776" s="9"/>
      <c r="CE776" s="81"/>
      <c r="CF776" s="81"/>
      <c r="CH776" s="9"/>
      <c r="CK776" s="81"/>
      <c r="CL776" s="81"/>
      <c r="CR776" s="9"/>
      <c r="CS776" s="9"/>
      <c r="CT776" s="9"/>
      <c r="CU776" s="9"/>
      <c r="CV776" s="9"/>
      <c r="CW776" s="129"/>
      <c r="CX776" s="9"/>
    </row>
    <row r="777" spans="1:102">
      <c r="A777" s="6" t="str">
        <f t="shared" si="111"/>
        <v>01540998</v>
      </c>
      <c r="B777" s="6" t="s">
        <v>1804</v>
      </c>
      <c r="C777" s="6" t="s">
        <v>2091</v>
      </c>
      <c r="D777" s="6">
        <v>768</v>
      </c>
      <c r="E777" s="6">
        <v>154</v>
      </c>
      <c r="F777" s="6" t="s">
        <v>1547</v>
      </c>
      <c r="G777" s="6">
        <v>998</v>
      </c>
      <c r="H777" s="6" t="s">
        <v>1547</v>
      </c>
      <c r="I777" s="33">
        <v>0</v>
      </c>
      <c r="J777" s="88">
        <v>0</v>
      </c>
      <c r="K777" s="89">
        <f t="shared" si="120"/>
        <v>0</v>
      </c>
      <c r="L777" s="88">
        <f>IF(K779&gt;0, K777/K779, 0)</f>
        <v>0</v>
      </c>
      <c r="M777" s="58"/>
      <c r="N777" s="9">
        <f>ROUND(M779*L777,0)</f>
        <v>0</v>
      </c>
      <c r="O777" s="9">
        <v>0</v>
      </c>
      <c r="P777" s="9">
        <f>N777-O777</f>
        <v>0</v>
      </c>
      <c r="Q777" s="40">
        <f t="shared" si="119"/>
        <v>0</v>
      </c>
      <c r="R777" s="9">
        <v>0</v>
      </c>
      <c r="S777" s="9">
        <f t="shared" si="117"/>
        <v>0</v>
      </c>
      <c r="T777" s="90">
        <f t="shared" si="112"/>
        <v>154</v>
      </c>
      <c r="U777" s="90">
        <f t="shared" si="113"/>
        <v>998</v>
      </c>
      <c r="V777" s="373">
        <f t="shared" si="114"/>
        <v>768</v>
      </c>
      <c r="W777" s="90">
        <f t="shared" si="115"/>
        <v>0</v>
      </c>
      <c r="X777" s="90">
        <f t="shared" si="116"/>
        <v>0</v>
      </c>
      <c r="Y777" s="141">
        <f t="shared" si="118"/>
        <v>768</v>
      </c>
      <c r="Z777" s="298">
        <v>154</v>
      </c>
      <c r="AA777" s="299">
        <v>998</v>
      </c>
      <c r="AB777" s="299">
        <v>768</v>
      </c>
      <c r="AC777" s="301">
        <v>0</v>
      </c>
      <c r="AD777" s="301">
        <v>0</v>
      </c>
      <c r="AE777" s="126"/>
      <c r="AF777" s="298"/>
      <c r="AG777" s="299"/>
      <c r="AH777" s="299"/>
      <c r="AI777" s="301"/>
      <c r="AJ777" s="301"/>
      <c r="AK777" s="426"/>
      <c r="AL777" s="298"/>
      <c r="AM777" s="299"/>
      <c r="AN777" s="299"/>
      <c r="AO777" s="301"/>
      <c r="AP777" s="301"/>
      <c r="AQ777" s="426"/>
      <c r="AR777" s="298"/>
      <c r="AS777" s="299"/>
      <c r="AT777" s="299"/>
      <c r="AU777" s="301"/>
      <c r="AV777" s="301"/>
      <c r="AW777" s="88"/>
      <c r="AX777" s="298"/>
      <c r="AY777" s="299"/>
      <c r="AZ777" s="299"/>
      <c r="BA777" s="301"/>
      <c r="BB777" s="301"/>
      <c r="BC777" s="426"/>
      <c r="BD777" s="298"/>
      <c r="BE777" s="299"/>
      <c r="BF777" s="299"/>
      <c r="BG777" s="301"/>
      <c r="BH777" s="301"/>
      <c r="BI777" s="88"/>
      <c r="BJ777" s="298"/>
      <c r="BK777" s="299"/>
      <c r="BL777" s="299"/>
      <c r="BM777" s="301"/>
      <c r="BN777" s="301"/>
      <c r="BO777" s="88"/>
      <c r="BP777" s="9"/>
      <c r="BS777" s="81"/>
      <c r="BT777" s="81"/>
      <c r="BV777" s="9"/>
      <c r="BY777" s="81"/>
      <c r="BZ777" s="81"/>
      <c r="CB777" s="9"/>
      <c r="CE777" s="81"/>
      <c r="CF777" s="81"/>
      <c r="CH777" s="9"/>
      <c r="CK777" s="81"/>
      <c r="CL777" s="81"/>
      <c r="CR777" s="9"/>
      <c r="CS777" s="9"/>
      <c r="CT777" s="9"/>
      <c r="CU777" s="9"/>
      <c r="CV777" s="9"/>
      <c r="CW777" s="129"/>
      <c r="CX777" s="9"/>
    </row>
    <row r="778" spans="1:102">
      <c r="A778" s="6" t="str">
        <f t="shared" ref="A778:A841" si="121">B778&amp;C778</f>
        <v>01540998</v>
      </c>
      <c r="B778" s="6" t="s">
        <v>1804</v>
      </c>
      <c r="C778" s="6" t="s">
        <v>2091</v>
      </c>
      <c r="D778" s="6">
        <v>769</v>
      </c>
      <c r="E778" s="6">
        <v>154</v>
      </c>
      <c r="F778" s="6" t="s">
        <v>1547</v>
      </c>
      <c r="G778" s="6">
        <v>998</v>
      </c>
      <c r="H778" s="6" t="s">
        <v>1547</v>
      </c>
      <c r="I778" s="33">
        <v>0</v>
      </c>
      <c r="J778" s="88">
        <v>0</v>
      </c>
      <c r="K778" s="89">
        <f t="shared" si="120"/>
        <v>0</v>
      </c>
      <c r="L778" s="88">
        <f>IF(K779&gt;0, K778/K779, 0)</f>
        <v>0</v>
      </c>
      <c r="M778" s="58"/>
      <c r="N778" s="9">
        <f>ROUND(M779*L778,0)</f>
        <v>0</v>
      </c>
      <c r="O778" s="9">
        <v>0</v>
      </c>
      <c r="P778" s="9">
        <f>N778-O778</f>
        <v>0</v>
      </c>
      <c r="Q778" s="40">
        <f t="shared" si="119"/>
        <v>0</v>
      </c>
      <c r="R778" s="9">
        <v>0</v>
      </c>
      <c r="S778" s="9">
        <f t="shared" si="117"/>
        <v>0</v>
      </c>
      <c r="T778" s="90">
        <f t="shared" ref="T778:T841" si="122">VLOOKUP($D778, foundoptions, VLOOKUP($T$6, foundoptcell, 2, FALSE), FALSE)</f>
        <v>154</v>
      </c>
      <c r="U778" s="90">
        <f t="shared" ref="U778:U841" si="123">VLOOKUP($D778, foundoptions, VLOOKUP($T$6, foundoptcell, 2, FALSE)+1, FALSE)</f>
        <v>998</v>
      </c>
      <c r="V778" s="373">
        <f t="shared" ref="V778:V841" si="124">VLOOKUP($D778, foundoptions, VLOOKUP($T$6, foundoptcell, 2, FALSE)+2, FALSE)</f>
        <v>769</v>
      </c>
      <c r="W778" s="90">
        <f t="shared" ref="W778:W841" si="125">VLOOKUP($D778, foundoptions, VLOOKUP($T$6, foundoptcell, 2, FALSE)+3, FALSE)</f>
        <v>0</v>
      </c>
      <c r="X778" s="90">
        <f t="shared" ref="X778:X841" si="126">VLOOKUP($D778, foundoptions, VLOOKUP($T$6, foundoptcell, 2, FALSE)+4, FALSE)</f>
        <v>0</v>
      </c>
      <c r="Y778" s="141">
        <f t="shared" si="118"/>
        <v>769</v>
      </c>
      <c r="Z778" s="298">
        <v>154</v>
      </c>
      <c r="AA778" s="299">
        <v>998</v>
      </c>
      <c r="AB778" s="299">
        <v>769</v>
      </c>
      <c r="AC778" s="301">
        <v>0</v>
      </c>
      <c r="AD778" s="301">
        <v>0</v>
      </c>
      <c r="AE778" s="126"/>
      <c r="AF778" s="298"/>
      <c r="AG778" s="299"/>
      <c r="AH778" s="299"/>
      <c r="AI778" s="301"/>
      <c r="AJ778" s="301"/>
      <c r="AK778" s="426"/>
      <c r="AL778" s="298"/>
      <c r="AM778" s="299"/>
      <c r="AN778" s="299"/>
      <c r="AO778" s="301"/>
      <c r="AP778" s="301"/>
      <c r="AQ778" s="426"/>
      <c r="AR778" s="298"/>
      <c r="AS778" s="299"/>
      <c r="AT778" s="299"/>
      <c r="AU778" s="301"/>
      <c r="AV778" s="301"/>
      <c r="AW778" s="88"/>
      <c r="AX778" s="298"/>
      <c r="AY778" s="299"/>
      <c r="AZ778" s="299"/>
      <c r="BA778" s="301"/>
      <c r="BB778" s="301"/>
      <c r="BC778" s="426"/>
      <c r="BD778" s="298"/>
      <c r="BE778" s="299"/>
      <c r="BF778" s="299"/>
      <c r="BG778" s="301"/>
      <c r="BH778" s="301"/>
      <c r="BI778" s="88"/>
      <c r="BJ778" s="298"/>
      <c r="BK778" s="299"/>
      <c r="BL778" s="299"/>
      <c r="BM778" s="301"/>
      <c r="BN778" s="301"/>
      <c r="BO778" s="88"/>
      <c r="BP778" s="9"/>
      <c r="BS778" s="81"/>
      <c r="BT778" s="81"/>
      <c r="BV778" s="9"/>
      <c r="BY778" s="81"/>
      <c r="BZ778" s="81"/>
      <c r="CB778" s="9"/>
      <c r="CE778" s="81"/>
      <c r="CF778" s="81"/>
      <c r="CH778" s="9"/>
      <c r="CK778" s="81"/>
      <c r="CL778" s="81"/>
      <c r="CR778" s="9"/>
      <c r="CS778" s="9"/>
      <c r="CT778" s="9"/>
      <c r="CU778" s="9"/>
      <c r="CV778" s="9"/>
      <c r="CW778" s="129"/>
      <c r="CX778" s="9"/>
    </row>
    <row r="779" spans="1:102">
      <c r="A779" s="6" t="str">
        <f t="shared" si="121"/>
        <v>01540999</v>
      </c>
      <c r="B779" s="6" t="s">
        <v>1804</v>
      </c>
      <c r="C779" s="6" t="s">
        <v>2092</v>
      </c>
      <c r="D779" s="6">
        <v>770</v>
      </c>
      <c r="E779" s="10">
        <v>154</v>
      </c>
      <c r="F779" s="10" t="s">
        <v>1272</v>
      </c>
      <c r="G779" s="10">
        <v>999</v>
      </c>
      <c r="H779" s="10" t="s">
        <v>593</v>
      </c>
      <c r="I779" s="92">
        <v>2702564.6261023153</v>
      </c>
      <c r="J779" s="472">
        <v>0.99999999999999989</v>
      </c>
      <c r="K779" s="53">
        <f>SUM(K775:K778)</f>
        <v>2838165.0283958716</v>
      </c>
      <c r="L779" s="91">
        <f>SUM(L775:L778)</f>
        <v>1</v>
      </c>
      <c r="M779" s="79">
        <f>VLOOKUP(E779,town351,24)</f>
        <v>2186270</v>
      </c>
      <c r="N779" s="79">
        <f>SUM(N775:N778)</f>
        <v>2186270</v>
      </c>
      <c r="O779" s="79">
        <v>2055731</v>
      </c>
      <c r="P779" s="79">
        <f>SUM(P775:P778)</f>
        <v>130539</v>
      </c>
      <c r="Q779" s="39">
        <f t="shared" si="119"/>
        <v>6.3500039645264872</v>
      </c>
      <c r="R779" s="9">
        <v>203.00000000189999</v>
      </c>
      <c r="S779" s="9">
        <f t="shared" ref="S779:S842" si="127">W779</f>
        <v>203.99999999549999</v>
      </c>
      <c r="T779" s="90">
        <f t="shared" si="122"/>
        <v>154</v>
      </c>
      <c r="U779" s="90">
        <f t="shared" si="123"/>
        <v>999</v>
      </c>
      <c r="V779" s="373">
        <f t="shared" si="124"/>
        <v>770</v>
      </c>
      <c r="W779" s="90">
        <f t="shared" si="125"/>
        <v>203.99999999549999</v>
      </c>
      <c r="X779" s="90">
        <f t="shared" si="126"/>
        <v>2838165.0283958716</v>
      </c>
      <c r="Y779" s="141">
        <f t="shared" ref="Y779:Y842" si="128">D779</f>
        <v>770</v>
      </c>
      <c r="Z779" s="298">
        <v>154</v>
      </c>
      <c r="AA779" s="299">
        <v>999</v>
      </c>
      <c r="AB779" s="299">
        <v>770</v>
      </c>
      <c r="AC779" s="301">
        <v>203.99999999549999</v>
      </c>
      <c r="AD779" s="301">
        <v>2838165.0283958716</v>
      </c>
      <c r="AE779" s="126"/>
      <c r="AF779" s="298"/>
      <c r="AG779" s="299"/>
      <c r="AH779" s="299"/>
      <c r="AI779" s="301"/>
      <c r="AJ779" s="301"/>
      <c r="AK779" s="426"/>
      <c r="AL779" s="298"/>
      <c r="AM779" s="299"/>
      <c r="AN779" s="299"/>
      <c r="AO779" s="301"/>
      <c r="AP779" s="301"/>
      <c r="AQ779" s="426"/>
      <c r="AR779" s="298"/>
      <c r="AS779" s="299"/>
      <c r="AT779" s="299"/>
      <c r="AU779" s="301"/>
      <c r="AV779" s="301"/>
      <c r="AW779" s="91"/>
      <c r="AX779" s="298"/>
      <c r="AY779" s="299"/>
      <c r="AZ779" s="299"/>
      <c r="BA779" s="301"/>
      <c r="BB779" s="301"/>
      <c r="BC779" s="426"/>
      <c r="BD779" s="298"/>
      <c r="BE779" s="299"/>
      <c r="BF779" s="299"/>
      <c r="BG779" s="301"/>
      <c r="BH779" s="301"/>
      <c r="BI779" s="91"/>
      <c r="BJ779" s="298"/>
      <c r="BK779" s="299"/>
      <c r="BL779" s="299"/>
      <c r="BM779" s="301"/>
      <c r="BN779" s="301"/>
      <c r="BO779" s="91"/>
      <c r="BP779" s="9"/>
      <c r="BS779" s="81"/>
      <c r="BT779" s="81"/>
      <c r="BV779" s="9"/>
      <c r="BY779" s="81"/>
      <c r="BZ779" s="81"/>
      <c r="CB779" s="9"/>
      <c r="CE779" s="81"/>
      <c r="CF779" s="81"/>
      <c r="CH779" s="9"/>
      <c r="CK779" s="81"/>
      <c r="CL779" s="81"/>
      <c r="CR779" s="9"/>
      <c r="CS779" s="9"/>
      <c r="CT779" s="9"/>
      <c r="CU779" s="9"/>
      <c r="CV779" s="9"/>
      <c r="CW779" s="129"/>
      <c r="CX779" s="9"/>
    </row>
    <row r="780" spans="1:102">
      <c r="A780" s="6" t="str">
        <f t="shared" si="121"/>
        <v>01550155</v>
      </c>
      <c r="B780" s="6" t="s">
        <v>1805</v>
      </c>
      <c r="C780" s="6" t="s">
        <v>1805</v>
      </c>
      <c r="D780" s="6">
        <v>771</v>
      </c>
      <c r="E780" s="6">
        <v>155</v>
      </c>
      <c r="F780" s="6" t="s">
        <v>1273</v>
      </c>
      <c r="G780" s="6">
        <v>155</v>
      </c>
      <c r="H780" s="6" t="s">
        <v>836</v>
      </c>
      <c r="I780" s="33">
        <v>90646899.40639998</v>
      </c>
      <c r="J780" s="88">
        <v>0.98258568381820754</v>
      </c>
      <c r="K780" s="89">
        <f>X780</f>
        <v>91458917.922800004</v>
      </c>
      <c r="L780" s="88">
        <f>IF(K784&gt;0, K780/K784, 0)</f>
        <v>0.9818399382142412</v>
      </c>
      <c r="M780" s="58"/>
      <c r="N780" s="9">
        <f>ROUND(M784*L780,0)</f>
        <v>75453607</v>
      </c>
      <c r="O780" s="9">
        <v>73037768</v>
      </c>
      <c r="P780" s="9">
        <f>N780-O780</f>
        <v>2415839</v>
      </c>
      <c r="Q780" s="40">
        <f t="shared" si="119"/>
        <v>3.3076572109925375</v>
      </c>
      <c r="R780" s="9">
        <v>6893</v>
      </c>
      <c r="S780" s="9">
        <f t="shared" si="127"/>
        <v>6851</v>
      </c>
      <c r="T780" s="90">
        <f t="shared" si="122"/>
        <v>155</v>
      </c>
      <c r="U780" s="90">
        <f t="shared" si="123"/>
        <v>155</v>
      </c>
      <c r="V780" s="373">
        <f t="shared" si="124"/>
        <v>771</v>
      </c>
      <c r="W780" s="90">
        <f t="shared" si="125"/>
        <v>6851</v>
      </c>
      <c r="X780" s="90">
        <f t="shared" si="126"/>
        <v>91458917.922800004</v>
      </c>
      <c r="Y780" s="141">
        <f t="shared" si="128"/>
        <v>771</v>
      </c>
      <c r="Z780" s="298">
        <v>155</v>
      </c>
      <c r="AA780" s="299">
        <v>155</v>
      </c>
      <c r="AB780" s="299">
        <v>771</v>
      </c>
      <c r="AC780" s="301">
        <v>6851</v>
      </c>
      <c r="AD780" s="301">
        <v>91458917.922800004</v>
      </c>
      <c r="AE780" s="126"/>
      <c r="AF780" s="298"/>
      <c r="AG780" s="299"/>
      <c r="AH780" s="299"/>
      <c r="AI780" s="301"/>
      <c r="AJ780" s="301"/>
      <c r="AK780" s="426"/>
      <c r="AL780" s="298"/>
      <c r="AM780" s="299"/>
      <c r="AN780" s="299"/>
      <c r="AO780" s="301"/>
      <c r="AP780" s="301"/>
      <c r="AQ780" s="426"/>
      <c r="AR780" s="298"/>
      <c r="AS780" s="299"/>
      <c r="AT780" s="299"/>
      <c r="AU780" s="301"/>
      <c r="AV780" s="301"/>
      <c r="AW780" s="88"/>
      <c r="AX780" s="298"/>
      <c r="AY780" s="299"/>
      <c r="AZ780" s="299"/>
      <c r="BA780" s="301"/>
      <c r="BB780" s="301"/>
      <c r="BC780" s="426"/>
      <c r="BD780" s="298"/>
      <c r="BE780" s="299"/>
      <c r="BF780" s="299"/>
      <c r="BG780" s="301"/>
      <c r="BH780" s="301"/>
      <c r="BI780" s="88"/>
      <c r="BJ780" s="298"/>
      <c r="BK780" s="299"/>
      <c r="BL780" s="299"/>
      <c r="BM780" s="301"/>
      <c r="BN780" s="301"/>
      <c r="BO780" s="88"/>
      <c r="BP780" s="9"/>
      <c r="BS780" s="81"/>
      <c r="BT780" s="81"/>
      <c r="BV780" s="9"/>
      <c r="BY780" s="81"/>
      <c r="BZ780" s="81"/>
      <c r="CB780" s="9"/>
      <c r="CE780" s="81"/>
      <c r="CF780" s="81"/>
      <c r="CH780" s="9"/>
      <c r="CK780" s="81"/>
      <c r="CL780" s="81"/>
      <c r="CR780" s="9"/>
      <c r="CS780" s="9"/>
      <c r="CT780" s="9"/>
      <c r="CU780" s="9"/>
      <c r="CV780" s="9"/>
      <c r="CW780" s="129"/>
      <c r="CX780" s="9"/>
    </row>
    <row r="781" spans="1:102">
      <c r="A781" s="6" t="str">
        <f t="shared" si="121"/>
        <v>01550830</v>
      </c>
      <c r="B781" s="6" t="s">
        <v>1805</v>
      </c>
      <c r="C781" s="6" t="s">
        <v>2074</v>
      </c>
      <c r="D781" s="6">
        <v>772</v>
      </c>
      <c r="E781" s="6">
        <v>155</v>
      </c>
      <c r="F781" s="6" t="s">
        <v>1273</v>
      </c>
      <c r="G781" s="6">
        <v>830</v>
      </c>
      <c r="H781" s="6" t="s">
        <v>1104</v>
      </c>
      <c r="I781" s="33">
        <v>1606530.3954237476</v>
      </c>
      <c r="J781" s="88">
        <v>1.7414316181792393E-2</v>
      </c>
      <c r="K781" s="89">
        <f t="shared" si="120"/>
        <v>1691619.5152516447</v>
      </c>
      <c r="L781" s="88">
        <f>IF(K784&gt;0, K781/K784, 0)</f>
        <v>1.8160061785758675E-2</v>
      </c>
      <c r="M781" s="58"/>
      <c r="N781" s="9">
        <f>ROUND(M784*L781,0)</f>
        <v>1395586</v>
      </c>
      <c r="O781" s="9">
        <v>1294445</v>
      </c>
      <c r="P781" s="9">
        <f>N781-O781</f>
        <v>101141</v>
      </c>
      <c r="Q781" s="40">
        <f t="shared" si="119"/>
        <v>7.8134644577405759</v>
      </c>
      <c r="R781" s="9">
        <v>77.000000002679997</v>
      </c>
      <c r="S781" s="9">
        <f t="shared" si="127"/>
        <v>81.000000000539998</v>
      </c>
      <c r="T781" s="90">
        <f t="shared" si="122"/>
        <v>155</v>
      </c>
      <c r="U781" s="90">
        <f t="shared" si="123"/>
        <v>830</v>
      </c>
      <c r="V781" s="373">
        <f t="shared" si="124"/>
        <v>772</v>
      </c>
      <c r="W781" s="90">
        <f t="shared" si="125"/>
        <v>81.000000000539998</v>
      </c>
      <c r="X781" s="90">
        <f t="shared" si="126"/>
        <v>1691619.5152516447</v>
      </c>
      <c r="Y781" s="141">
        <f t="shared" si="128"/>
        <v>772</v>
      </c>
      <c r="Z781" s="298">
        <v>155</v>
      </c>
      <c r="AA781" s="299">
        <v>830</v>
      </c>
      <c r="AB781" s="299">
        <v>772</v>
      </c>
      <c r="AC781" s="301">
        <v>81.000000000539998</v>
      </c>
      <c r="AD781" s="301">
        <v>1691619.5152516447</v>
      </c>
      <c r="AE781" s="126"/>
      <c r="AF781" s="298"/>
      <c r="AG781" s="299"/>
      <c r="AH781" s="299"/>
      <c r="AI781" s="301"/>
      <c r="AJ781" s="301"/>
      <c r="AK781" s="426"/>
      <c r="AL781" s="298"/>
      <c r="AM781" s="299"/>
      <c r="AN781" s="299"/>
      <c r="AO781" s="301"/>
      <c r="AP781" s="301"/>
      <c r="AQ781" s="426"/>
      <c r="AR781" s="298"/>
      <c r="AS781" s="299"/>
      <c r="AT781" s="299"/>
      <c r="AU781" s="301"/>
      <c r="AV781" s="301"/>
      <c r="AW781" s="88"/>
      <c r="AX781" s="298"/>
      <c r="AY781" s="299"/>
      <c r="AZ781" s="299"/>
      <c r="BA781" s="301"/>
      <c r="BB781" s="301"/>
      <c r="BC781" s="426"/>
      <c r="BD781" s="298"/>
      <c r="BE781" s="299"/>
      <c r="BF781" s="299"/>
      <c r="BG781" s="301"/>
      <c r="BH781" s="301"/>
      <c r="BI781" s="88"/>
      <c r="BJ781" s="298"/>
      <c r="BK781" s="299"/>
      <c r="BL781" s="299"/>
      <c r="BM781" s="301"/>
      <c r="BN781" s="301"/>
      <c r="BO781" s="88"/>
      <c r="BP781" s="9"/>
      <c r="BS781" s="81"/>
      <c r="BT781" s="81"/>
      <c r="BV781" s="9"/>
      <c r="BY781" s="81"/>
      <c r="BZ781" s="81"/>
      <c r="CB781" s="9"/>
      <c r="CE781" s="81"/>
      <c r="CF781" s="81"/>
      <c r="CH781" s="9"/>
      <c r="CK781" s="81"/>
      <c r="CL781" s="81"/>
      <c r="CR781" s="9"/>
      <c r="CS781" s="9"/>
      <c r="CT781" s="9"/>
      <c r="CU781" s="9"/>
      <c r="CV781" s="9"/>
      <c r="CW781" s="129"/>
      <c r="CX781" s="9"/>
    </row>
    <row r="782" spans="1:102">
      <c r="A782" s="6" t="str">
        <f t="shared" si="121"/>
        <v>01550998</v>
      </c>
      <c r="B782" s="6" t="s">
        <v>1805</v>
      </c>
      <c r="C782" s="6" t="s">
        <v>2091</v>
      </c>
      <c r="D782" s="6">
        <v>773</v>
      </c>
      <c r="E782" s="6">
        <v>155</v>
      </c>
      <c r="F782" s="6" t="s">
        <v>1547</v>
      </c>
      <c r="G782" s="6">
        <v>998</v>
      </c>
      <c r="I782" s="33">
        <v>0</v>
      </c>
      <c r="J782" s="88">
        <v>0</v>
      </c>
      <c r="K782" s="89">
        <f t="shared" si="120"/>
        <v>0</v>
      </c>
      <c r="L782" s="88">
        <f>IF(K784&gt;0, K782/K784, 0)</f>
        <v>0</v>
      </c>
      <c r="M782" s="58"/>
      <c r="N782" s="9">
        <f>ROUND(M784*L782,0)</f>
        <v>0</v>
      </c>
      <c r="O782" s="9">
        <v>0</v>
      </c>
      <c r="P782" s="9">
        <f>N782-O782</f>
        <v>0</v>
      </c>
      <c r="Q782" s="40">
        <f t="shared" si="119"/>
        <v>0</v>
      </c>
      <c r="R782" s="9">
        <v>0</v>
      </c>
      <c r="S782" s="9">
        <f t="shared" si="127"/>
        <v>0</v>
      </c>
      <c r="T782" s="90">
        <f t="shared" si="122"/>
        <v>155</v>
      </c>
      <c r="U782" s="90">
        <f t="shared" si="123"/>
        <v>998</v>
      </c>
      <c r="V782" s="373">
        <f t="shared" si="124"/>
        <v>773</v>
      </c>
      <c r="W782" s="90">
        <f t="shared" si="125"/>
        <v>0</v>
      </c>
      <c r="X782" s="90">
        <f t="shared" si="126"/>
        <v>0</v>
      </c>
      <c r="Y782" s="141">
        <f t="shared" si="128"/>
        <v>773</v>
      </c>
      <c r="Z782" s="298">
        <v>155</v>
      </c>
      <c r="AA782" s="299">
        <v>998</v>
      </c>
      <c r="AB782" s="299">
        <v>773</v>
      </c>
      <c r="AC782" s="301">
        <v>0</v>
      </c>
      <c r="AD782" s="301">
        <v>0</v>
      </c>
      <c r="AE782" s="126"/>
      <c r="AF782" s="298"/>
      <c r="AG782" s="299"/>
      <c r="AH782" s="299"/>
      <c r="AI782" s="301"/>
      <c r="AJ782" s="301"/>
      <c r="AK782" s="426"/>
      <c r="AL782" s="298"/>
      <c r="AM782" s="299"/>
      <c r="AN782" s="299"/>
      <c r="AO782" s="301"/>
      <c r="AP782" s="301"/>
      <c r="AQ782" s="426"/>
      <c r="AR782" s="298"/>
      <c r="AS782" s="299"/>
      <c r="AT782" s="299"/>
      <c r="AU782" s="301"/>
      <c r="AV782" s="301"/>
      <c r="AW782" s="88"/>
      <c r="AX782" s="298"/>
      <c r="AY782" s="299"/>
      <c r="AZ782" s="299"/>
      <c r="BA782" s="301"/>
      <c r="BB782" s="301"/>
      <c r="BC782" s="426"/>
      <c r="BD782" s="298"/>
      <c r="BE782" s="299"/>
      <c r="BF782" s="299"/>
      <c r="BG782" s="301"/>
      <c r="BH782" s="301"/>
      <c r="BI782" s="88"/>
      <c r="BJ782" s="298"/>
      <c r="BK782" s="299"/>
      <c r="BL782" s="299"/>
      <c r="BM782" s="301"/>
      <c r="BN782" s="301"/>
      <c r="BO782" s="88"/>
      <c r="BP782" s="9"/>
      <c r="BS782" s="81"/>
      <c r="BT782" s="81"/>
      <c r="BV782" s="9"/>
      <c r="BY782" s="81"/>
      <c r="BZ782" s="81"/>
      <c r="CB782" s="9"/>
      <c r="CE782" s="81"/>
      <c r="CF782" s="81"/>
      <c r="CH782" s="9"/>
      <c r="CK782" s="81"/>
      <c r="CL782" s="81"/>
      <c r="CR782" s="9"/>
      <c r="CS782" s="9"/>
      <c r="CT782" s="9"/>
      <c r="CU782" s="9"/>
      <c r="CV782" s="9"/>
      <c r="CW782" s="129"/>
      <c r="CX782" s="9"/>
    </row>
    <row r="783" spans="1:102">
      <c r="A783" s="6" t="str">
        <f t="shared" si="121"/>
        <v>01550998</v>
      </c>
      <c r="B783" s="6" t="s">
        <v>1805</v>
      </c>
      <c r="C783" s="6" t="s">
        <v>2091</v>
      </c>
      <c r="D783" s="6">
        <v>774</v>
      </c>
      <c r="E783" s="6">
        <v>155</v>
      </c>
      <c r="F783" s="6" t="s">
        <v>1547</v>
      </c>
      <c r="G783" s="6">
        <v>998</v>
      </c>
      <c r="H783" s="6" t="s">
        <v>1547</v>
      </c>
      <c r="I783" s="33">
        <v>0</v>
      </c>
      <c r="J783" s="88">
        <v>0</v>
      </c>
      <c r="K783" s="89">
        <f t="shared" si="120"/>
        <v>0</v>
      </c>
      <c r="L783" s="88">
        <f>IF(K784&gt;0, K783/K784, 0)</f>
        <v>0</v>
      </c>
      <c r="M783" s="58"/>
      <c r="N783" s="9">
        <f>ROUND(M784*L783,0)</f>
        <v>0</v>
      </c>
      <c r="O783" s="9">
        <v>0</v>
      </c>
      <c r="P783" s="9">
        <f>N783-O783</f>
        <v>0</v>
      </c>
      <c r="Q783" s="40">
        <f t="shared" si="119"/>
        <v>0</v>
      </c>
      <c r="R783" s="9">
        <v>0</v>
      </c>
      <c r="S783" s="9">
        <f t="shared" si="127"/>
        <v>0</v>
      </c>
      <c r="T783" s="90">
        <f t="shared" si="122"/>
        <v>155</v>
      </c>
      <c r="U783" s="90">
        <f t="shared" si="123"/>
        <v>998</v>
      </c>
      <c r="V783" s="373">
        <f t="shared" si="124"/>
        <v>774</v>
      </c>
      <c r="W783" s="90">
        <f t="shared" si="125"/>
        <v>0</v>
      </c>
      <c r="X783" s="90">
        <f t="shared" si="126"/>
        <v>0</v>
      </c>
      <c r="Y783" s="141">
        <f t="shared" si="128"/>
        <v>774</v>
      </c>
      <c r="Z783" s="298">
        <v>155</v>
      </c>
      <c r="AA783" s="299">
        <v>998</v>
      </c>
      <c r="AB783" s="299">
        <v>774</v>
      </c>
      <c r="AC783" s="301">
        <v>0</v>
      </c>
      <c r="AD783" s="301">
        <v>0</v>
      </c>
      <c r="AE783" s="126"/>
      <c r="AF783" s="298"/>
      <c r="AG783" s="299"/>
      <c r="AH783" s="299"/>
      <c r="AI783" s="301"/>
      <c r="AJ783" s="301"/>
      <c r="AK783" s="426"/>
      <c r="AL783" s="298"/>
      <c r="AM783" s="299"/>
      <c r="AN783" s="299"/>
      <c r="AO783" s="301"/>
      <c r="AP783" s="301"/>
      <c r="AQ783" s="426"/>
      <c r="AR783" s="298"/>
      <c r="AS783" s="299"/>
      <c r="AT783" s="299"/>
      <c r="AU783" s="301"/>
      <c r="AV783" s="301"/>
      <c r="AW783" s="88"/>
      <c r="AX783" s="298"/>
      <c r="AY783" s="299"/>
      <c r="AZ783" s="299"/>
      <c r="BA783" s="301"/>
      <c r="BB783" s="301"/>
      <c r="BC783" s="426"/>
      <c r="BD783" s="298"/>
      <c r="BE783" s="299"/>
      <c r="BF783" s="299"/>
      <c r="BG783" s="301"/>
      <c r="BH783" s="301"/>
      <c r="BI783" s="88"/>
      <c r="BJ783" s="298"/>
      <c r="BK783" s="299"/>
      <c r="BL783" s="299"/>
      <c r="BM783" s="301"/>
      <c r="BN783" s="301"/>
      <c r="BO783" s="88"/>
      <c r="BP783" s="9"/>
      <c r="BS783" s="81"/>
      <c r="BT783" s="81"/>
      <c r="BV783" s="9"/>
      <c r="BY783" s="81"/>
      <c r="BZ783" s="81"/>
      <c r="CB783" s="9"/>
      <c r="CE783" s="81"/>
      <c r="CF783" s="81"/>
      <c r="CH783" s="9"/>
      <c r="CK783" s="81"/>
      <c r="CL783" s="81"/>
      <c r="CR783" s="9"/>
      <c r="CS783" s="9"/>
      <c r="CT783" s="9"/>
      <c r="CU783" s="9"/>
      <c r="CV783" s="9"/>
      <c r="CW783" s="129"/>
      <c r="CX783" s="9"/>
    </row>
    <row r="784" spans="1:102">
      <c r="A784" s="6" t="str">
        <f t="shared" si="121"/>
        <v>01550999</v>
      </c>
      <c r="B784" s="6" t="s">
        <v>1805</v>
      </c>
      <c r="C784" s="6" t="s">
        <v>2092</v>
      </c>
      <c r="D784" s="6">
        <v>775</v>
      </c>
      <c r="E784" s="10">
        <v>155</v>
      </c>
      <c r="F784" s="10" t="s">
        <v>1273</v>
      </c>
      <c r="G784" s="10">
        <v>999</v>
      </c>
      <c r="H784" s="10" t="s">
        <v>593</v>
      </c>
      <c r="I784" s="92">
        <v>92253429.801823735</v>
      </c>
      <c r="J784" s="472">
        <v>0.99999999999999989</v>
      </c>
      <c r="K784" s="53">
        <f>SUM(K780:K783)</f>
        <v>93150537.438051656</v>
      </c>
      <c r="L784" s="91">
        <f>SUM(L780:L783)</f>
        <v>0.99999999999999989</v>
      </c>
      <c r="M784" s="79">
        <f>VLOOKUP(E784,town351,24)</f>
        <v>76849193</v>
      </c>
      <c r="N784" s="79">
        <f>SUM(N780:N783)</f>
        <v>76849193</v>
      </c>
      <c r="O784" s="79">
        <v>74332213</v>
      </c>
      <c r="P784" s="79">
        <f>SUM(P780:P783)</f>
        <v>2516980</v>
      </c>
      <c r="Q784" s="39">
        <f t="shared" ref="Q784:Q847" si="129">IF(O784&gt;0,P784*100/O784,IF(P784&gt;0,100,0))</f>
        <v>3.3861227836711927</v>
      </c>
      <c r="R784" s="9">
        <v>6970.0000000026803</v>
      </c>
      <c r="S784" s="9">
        <f t="shared" si="127"/>
        <v>6932.0000000005402</v>
      </c>
      <c r="T784" s="90">
        <f t="shared" si="122"/>
        <v>155</v>
      </c>
      <c r="U784" s="90">
        <f t="shared" si="123"/>
        <v>999</v>
      </c>
      <c r="V784" s="373">
        <f t="shared" si="124"/>
        <v>775</v>
      </c>
      <c r="W784" s="90">
        <f t="shared" si="125"/>
        <v>6932.0000000005402</v>
      </c>
      <c r="X784" s="90">
        <f t="shared" si="126"/>
        <v>93150537.438051656</v>
      </c>
      <c r="Y784" s="141">
        <f t="shared" si="128"/>
        <v>775</v>
      </c>
      <c r="Z784" s="298">
        <v>155</v>
      </c>
      <c r="AA784" s="299">
        <v>999</v>
      </c>
      <c r="AB784" s="299">
        <v>775</v>
      </c>
      <c r="AC784" s="301">
        <v>6932.0000000005402</v>
      </c>
      <c r="AD784" s="301">
        <v>93150537.438051656</v>
      </c>
      <c r="AE784" s="126"/>
      <c r="AF784" s="298"/>
      <c r="AG784" s="299"/>
      <c r="AH784" s="299"/>
      <c r="AI784" s="301"/>
      <c r="AJ784" s="301"/>
      <c r="AK784" s="426"/>
      <c r="AL784" s="298"/>
      <c r="AM784" s="299"/>
      <c r="AN784" s="299"/>
      <c r="AO784" s="301"/>
      <c r="AP784" s="301"/>
      <c r="AQ784" s="426"/>
      <c r="AR784" s="298"/>
      <c r="AS784" s="299"/>
      <c r="AT784" s="299"/>
      <c r="AU784" s="301"/>
      <c r="AV784" s="301"/>
      <c r="AW784" s="91"/>
      <c r="AX784" s="298"/>
      <c r="AY784" s="299"/>
      <c r="AZ784" s="299"/>
      <c r="BA784" s="301"/>
      <c r="BB784" s="301"/>
      <c r="BC784" s="426"/>
      <c r="BD784" s="298"/>
      <c r="BE784" s="299"/>
      <c r="BF784" s="299"/>
      <c r="BG784" s="301"/>
      <c r="BH784" s="301"/>
      <c r="BI784" s="91"/>
      <c r="BJ784" s="298"/>
      <c r="BK784" s="299"/>
      <c r="BL784" s="299"/>
      <c r="BM784" s="301"/>
      <c r="BN784" s="301"/>
      <c r="BO784" s="91"/>
      <c r="BP784" s="9"/>
      <c r="BS784" s="81"/>
      <c r="BT784" s="81"/>
      <c r="BV784" s="9"/>
      <c r="BY784" s="81"/>
      <c r="BZ784" s="81"/>
      <c r="CB784" s="9"/>
      <c r="CE784" s="81"/>
      <c r="CF784" s="81"/>
      <c r="CH784" s="9"/>
      <c r="CK784" s="81"/>
      <c r="CL784" s="81"/>
      <c r="CR784" s="9"/>
      <c r="CS784" s="9"/>
      <c r="CT784" s="9"/>
      <c r="CU784" s="9"/>
      <c r="CV784" s="9"/>
      <c r="CW784" s="129"/>
      <c r="CX784" s="9"/>
    </row>
    <row r="785" spans="1:102">
      <c r="A785" s="6" t="str">
        <f t="shared" si="121"/>
        <v>01560156</v>
      </c>
      <c r="B785" s="6" t="s">
        <v>1806</v>
      </c>
      <c r="C785" s="6" t="s">
        <v>1806</v>
      </c>
      <c r="D785" s="6">
        <v>776</v>
      </c>
      <c r="E785" s="6">
        <v>156</v>
      </c>
      <c r="F785" s="6" t="s">
        <v>1274</v>
      </c>
      <c r="G785" s="6">
        <v>156</v>
      </c>
      <c r="H785" s="6" t="s">
        <v>837</v>
      </c>
      <c r="I785" s="33">
        <v>0</v>
      </c>
      <c r="J785" s="88">
        <v>0</v>
      </c>
      <c r="K785" s="89">
        <f>X785</f>
        <v>0</v>
      </c>
      <c r="L785" s="88">
        <f>IF(K789&gt;0, K785/K789, 0)</f>
        <v>0</v>
      </c>
      <c r="M785" s="58"/>
      <c r="N785" s="9">
        <f>ROUND(M789*L785,0)</f>
        <v>0</v>
      </c>
      <c r="O785" s="9">
        <v>0</v>
      </c>
      <c r="P785" s="9">
        <f>N785-O785</f>
        <v>0</v>
      </c>
      <c r="Q785" s="40">
        <f t="shared" si="129"/>
        <v>0</v>
      </c>
      <c r="R785" s="9">
        <v>0</v>
      </c>
      <c r="S785" s="9">
        <f t="shared" si="127"/>
        <v>0</v>
      </c>
      <c r="T785" s="90">
        <f t="shared" si="122"/>
        <v>156</v>
      </c>
      <c r="U785" s="90">
        <f t="shared" si="123"/>
        <v>156</v>
      </c>
      <c r="V785" s="373">
        <f t="shared" si="124"/>
        <v>776</v>
      </c>
      <c r="W785" s="90">
        <f t="shared" si="125"/>
        <v>0</v>
      </c>
      <c r="X785" s="90">
        <f t="shared" si="126"/>
        <v>0</v>
      </c>
      <c r="Y785" s="141">
        <f t="shared" si="128"/>
        <v>776</v>
      </c>
      <c r="Z785" s="298">
        <v>156</v>
      </c>
      <c r="AA785" s="299">
        <v>156</v>
      </c>
      <c r="AB785" s="299">
        <v>776</v>
      </c>
      <c r="AC785" s="301">
        <v>0</v>
      </c>
      <c r="AD785" s="301">
        <v>0</v>
      </c>
      <c r="AE785" s="126"/>
      <c r="AF785" s="298"/>
      <c r="AG785" s="299"/>
      <c r="AH785" s="299"/>
      <c r="AI785" s="301"/>
      <c r="AJ785" s="301"/>
      <c r="AK785" s="426"/>
      <c r="AL785" s="298"/>
      <c r="AM785" s="299"/>
      <c r="AN785" s="299"/>
      <c r="AO785" s="301"/>
      <c r="AP785" s="301"/>
      <c r="AQ785" s="426"/>
      <c r="AR785" s="298"/>
      <c r="AS785" s="299"/>
      <c r="AT785" s="299"/>
      <c r="AU785" s="301"/>
      <c r="AV785" s="301"/>
      <c r="AW785" s="88"/>
      <c r="AX785" s="298"/>
      <c r="AY785" s="299"/>
      <c r="AZ785" s="299"/>
      <c r="BA785" s="301"/>
      <c r="BB785" s="301"/>
      <c r="BC785" s="426"/>
      <c r="BD785" s="298"/>
      <c r="BE785" s="299"/>
      <c r="BF785" s="299"/>
      <c r="BG785" s="301"/>
      <c r="BH785" s="301"/>
      <c r="BI785" s="88"/>
      <c r="BJ785" s="298"/>
      <c r="BK785" s="299"/>
      <c r="BL785" s="299"/>
      <c r="BM785" s="301"/>
      <c r="BN785" s="301"/>
      <c r="BO785" s="88"/>
      <c r="BP785" s="9"/>
      <c r="BS785" s="81"/>
      <c r="BT785" s="81"/>
      <c r="BV785" s="9"/>
      <c r="BY785" s="81"/>
      <c r="BZ785" s="81"/>
      <c r="CB785" s="9"/>
      <c r="CE785" s="81"/>
      <c r="CF785" s="81"/>
      <c r="CH785" s="9"/>
      <c r="CK785" s="81"/>
      <c r="CL785" s="81"/>
      <c r="CR785" s="9"/>
      <c r="CS785" s="9"/>
      <c r="CT785" s="9"/>
      <c r="CU785" s="9"/>
      <c r="CV785" s="9"/>
      <c r="CW785" s="129"/>
      <c r="CX785" s="9"/>
    </row>
    <row r="786" spans="1:102">
      <c r="A786" s="6" t="str">
        <f t="shared" si="121"/>
        <v>01560750</v>
      </c>
      <c r="B786" s="6" t="s">
        <v>1806</v>
      </c>
      <c r="C786" s="6" t="s">
        <v>2048</v>
      </c>
      <c r="D786" s="6">
        <v>777</v>
      </c>
      <c r="E786" s="6">
        <v>156</v>
      </c>
      <c r="F786" s="6" t="s">
        <v>1274</v>
      </c>
      <c r="G786" s="6">
        <v>750</v>
      </c>
      <c r="H786" s="6" t="s">
        <v>1078</v>
      </c>
      <c r="I786" s="33">
        <v>823620.64266951056</v>
      </c>
      <c r="J786" s="88">
        <v>0.97472285620230326</v>
      </c>
      <c r="K786" s="89">
        <f t="shared" si="120"/>
        <v>973834.113576898</v>
      </c>
      <c r="L786" s="88">
        <f>IF(K789&gt;0, K786/K789, 0)</f>
        <v>0.91761907992139058</v>
      </c>
      <c r="M786" s="58"/>
      <c r="N786" s="9">
        <f>ROUND(M789*L786,0)</f>
        <v>546052</v>
      </c>
      <c r="O786" s="9">
        <v>551205</v>
      </c>
      <c r="P786" s="9">
        <f>N786-O786</f>
        <v>-5153</v>
      </c>
      <c r="Q786" s="40">
        <f t="shared" si="129"/>
        <v>-0.93486089567402331</v>
      </c>
      <c r="R786" s="9">
        <v>59.637457042639994</v>
      </c>
      <c r="S786" s="9">
        <f t="shared" si="127"/>
        <v>69.381918817699997</v>
      </c>
      <c r="T786" s="90">
        <f t="shared" si="122"/>
        <v>156</v>
      </c>
      <c r="U786" s="90">
        <f t="shared" si="123"/>
        <v>750</v>
      </c>
      <c r="V786" s="373">
        <f t="shared" si="124"/>
        <v>777</v>
      </c>
      <c r="W786" s="90">
        <f t="shared" si="125"/>
        <v>69.381918817699997</v>
      </c>
      <c r="X786" s="90">
        <f t="shared" si="126"/>
        <v>973834.113576898</v>
      </c>
      <c r="Y786" s="141">
        <f t="shared" si="128"/>
        <v>777</v>
      </c>
      <c r="Z786" s="298">
        <v>156</v>
      </c>
      <c r="AA786" s="299">
        <v>750</v>
      </c>
      <c r="AB786" s="299">
        <v>777</v>
      </c>
      <c r="AC786" s="301">
        <v>69.381918817699997</v>
      </c>
      <c r="AD786" s="301">
        <v>973834.113576898</v>
      </c>
      <c r="AE786" s="126"/>
      <c r="AF786" s="298"/>
      <c r="AG786" s="299"/>
      <c r="AH786" s="299"/>
      <c r="AI786" s="301"/>
      <c r="AJ786" s="301"/>
      <c r="AK786" s="426"/>
      <c r="AL786" s="298"/>
      <c r="AM786" s="299"/>
      <c r="AN786" s="299"/>
      <c r="AO786" s="301"/>
      <c r="AP786" s="301"/>
      <c r="AQ786" s="426"/>
      <c r="AR786" s="298"/>
      <c r="AS786" s="299"/>
      <c r="AT786" s="299"/>
      <c r="AU786" s="301"/>
      <c r="AV786" s="301"/>
      <c r="AW786" s="88"/>
      <c r="AX786" s="298"/>
      <c r="AY786" s="299"/>
      <c r="AZ786" s="299"/>
      <c r="BA786" s="301"/>
      <c r="BB786" s="301"/>
      <c r="BC786" s="426"/>
      <c r="BD786" s="298"/>
      <c r="BE786" s="299"/>
      <c r="BF786" s="299"/>
      <c r="BG786" s="301"/>
      <c r="BH786" s="301"/>
      <c r="BI786" s="88"/>
      <c r="BJ786" s="298"/>
      <c r="BK786" s="299"/>
      <c r="BL786" s="299"/>
      <c r="BM786" s="301"/>
      <c r="BN786" s="301"/>
      <c r="BO786" s="88"/>
      <c r="BP786" s="9"/>
      <c r="BS786" s="81"/>
      <c r="BT786" s="81"/>
      <c r="BV786" s="9"/>
      <c r="BY786" s="81"/>
      <c r="BZ786" s="81"/>
      <c r="CB786" s="9"/>
      <c r="CE786" s="81"/>
      <c r="CF786" s="81"/>
      <c r="CH786" s="9"/>
      <c r="CK786" s="81"/>
      <c r="CL786" s="81"/>
      <c r="CR786" s="9"/>
      <c r="CS786" s="9"/>
      <c r="CT786" s="9"/>
      <c r="CU786" s="9"/>
      <c r="CV786" s="9"/>
      <c r="CW786" s="129"/>
      <c r="CX786" s="9"/>
    </row>
    <row r="787" spans="1:102">
      <c r="A787" s="6" t="str">
        <f t="shared" si="121"/>
        <v>01560818</v>
      </c>
      <c r="B787" s="6" t="s">
        <v>1806</v>
      </c>
      <c r="C787" s="6" t="s">
        <v>2068</v>
      </c>
      <c r="D787" s="6">
        <v>778</v>
      </c>
      <c r="E787" s="6">
        <v>156</v>
      </c>
      <c r="F787" s="6" t="s">
        <v>1274</v>
      </c>
      <c r="G787" s="6">
        <v>818</v>
      </c>
      <c r="H787" s="6" t="s">
        <v>1098</v>
      </c>
      <c r="I787" s="33">
        <v>21358.663426260795</v>
      </c>
      <c r="J787" s="88">
        <v>2.5277143797696706E-2</v>
      </c>
      <c r="K787" s="89">
        <f t="shared" si="120"/>
        <v>87427.726859466056</v>
      </c>
      <c r="L787" s="88">
        <f>IF(K789&gt;0, K787/K789, 0)</f>
        <v>8.2380920078609421E-2</v>
      </c>
      <c r="M787" s="58"/>
      <c r="N787" s="9">
        <f>ROUND(M789*L787,0)</f>
        <v>49023</v>
      </c>
      <c r="O787" s="9">
        <v>14294</v>
      </c>
      <c r="P787" s="9">
        <f>N787-O787</f>
        <v>34729</v>
      </c>
      <c r="Q787" s="40">
        <f t="shared" si="129"/>
        <v>242.96208199244438</v>
      </c>
      <c r="R787" s="9">
        <v>1.0000000024</v>
      </c>
      <c r="S787" s="9">
        <f t="shared" si="127"/>
        <v>3.99999999974</v>
      </c>
      <c r="T787" s="90">
        <f t="shared" si="122"/>
        <v>156</v>
      </c>
      <c r="U787" s="90">
        <f t="shared" si="123"/>
        <v>818</v>
      </c>
      <c r="V787" s="373">
        <f t="shared" si="124"/>
        <v>778</v>
      </c>
      <c r="W787" s="90">
        <f t="shared" si="125"/>
        <v>3.99999999974</v>
      </c>
      <c r="X787" s="90">
        <f t="shared" si="126"/>
        <v>87427.726859466056</v>
      </c>
      <c r="Y787" s="141">
        <f t="shared" si="128"/>
        <v>778</v>
      </c>
      <c r="Z787" s="298">
        <v>156</v>
      </c>
      <c r="AA787" s="299">
        <v>818</v>
      </c>
      <c r="AB787" s="299">
        <v>778</v>
      </c>
      <c r="AC787" s="301">
        <v>3.99999999974</v>
      </c>
      <c r="AD787" s="301">
        <v>87427.726859466056</v>
      </c>
      <c r="AE787" s="126"/>
      <c r="AF787" s="298"/>
      <c r="AG787" s="299"/>
      <c r="AH787" s="299"/>
      <c r="AI787" s="301"/>
      <c r="AJ787" s="301"/>
      <c r="AK787" s="426"/>
      <c r="AL787" s="298"/>
      <c r="AM787" s="299"/>
      <c r="AN787" s="299"/>
      <c r="AO787" s="301"/>
      <c r="AP787" s="301"/>
      <c r="AQ787" s="426"/>
      <c r="AR787" s="298"/>
      <c r="AS787" s="299"/>
      <c r="AT787" s="299"/>
      <c r="AU787" s="301"/>
      <c r="AV787" s="301"/>
      <c r="AW787" s="88"/>
      <c r="AX787" s="298"/>
      <c r="AY787" s="299"/>
      <c r="AZ787" s="299"/>
      <c r="BA787" s="301"/>
      <c r="BB787" s="301"/>
      <c r="BC787" s="426"/>
      <c r="BD787" s="298"/>
      <c r="BE787" s="299"/>
      <c r="BF787" s="299"/>
      <c r="BG787" s="301"/>
      <c r="BH787" s="301"/>
      <c r="BI787" s="88"/>
      <c r="BJ787" s="298"/>
      <c r="BK787" s="299"/>
      <c r="BL787" s="299"/>
      <c r="BM787" s="301"/>
      <c r="BN787" s="301"/>
      <c r="BO787" s="88"/>
      <c r="BP787" s="9"/>
      <c r="BS787" s="81"/>
      <c r="BT787" s="81"/>
      <c r="BV787" s="9"/>
      <c r="BY787" s="81"/>
      <c r="BZ787" s="81"/>
      <c r="CB787" s="9"/>
      <c r="CE787" s="81"/>
      <c r="CF787" s="81"/>
      <c r="CH787" s="9"/>
      <c r="CK787" s="81"/>
      <c r="CL787" s="81"/>
      <c r="CR787" s="9"/>
      <c r="CS787" s="9"/>
      <c r="CT787" s="9"/>
      <c r="CU787" s="9"/>
      <c r="CV787" s="9"/>
      <c r="CW787" s="129"/>
      <c r="CX787" s="9"/>
    </row>
    <row r="788" spans="1:102">
      <c r="A788" s="6" t="str">
        <f t="shared" si="121"/>
        <v>01560998</v>
      </c>
      <c r="B788" s="6" t="s">
        <v>1806</v>
      </c>
      <c r="C788" s="6" t="s">
        <v>2091</v>
      </c>
      <c r="D788" s="6">
        <v>779</v>
      </c>
      <c r="E788" s="6">
        <v>156</v>
      </c>
      <c r="F788" s="6" t="s">
        <v>1547</v>
      </c>
      <c r="G788" s="6">
        <v>998</v>
      </c>
      <c r="H788" s="6" t="s">
        <v>1547</v>
      </c>
      <c r="I788" s="33">
        <v>0</v>
      </c>
      <c r="J788" s="88">
        <v>0</v>
      </c>
      <c r="K788" s="89">
        <f t="shared" si="120"/>
        <v>0</v>
      </c>
      <c r="L788" s="88">
        <f>IF(K789&gt;0, K788/K789, 0)</f>
        <v>0</v>
      </c>
      <c r="M788" s="58"/>
      <c r="N788" s="9">
        <f>ROUND(M789*L788,0)</f>
        <v>0</v>
      </c>
      <c r="O788" s="9">
        <v>0</v>
      </c>
      <c r="P788" s="9">
        <f>N788-O788</f>
        <v>0</v>
      </c>
      <c r="Q788" s="40">
        <f t="shared" si="129"/>
        <v>0</v>
      </c>
      <c r="R788" s="9">
        <v>0</v>
      </c>
      <c r="S788" s="9">
        <f t="shared" si="127"/>
        <v>0</v>
      </c>
      <c r="T788" s="90">
        <f t="shared" si="122"/>
        <v>156</v>
      </c>
      <c r="U788" s="90">
        <f t="shared" si="123"/>
        <v>998</v>
      </c>
      <c r="V788" s="373">
        <f t="shared" si="124"/>
        <v>779</v>
      </c>
      <c r="W788" s="90">
        <f t="shared" si="125"/>
        <v>0</v>
      </c>
      <c r="X788" s="90">
        <f t="shared" si="126"/>
        <v>0</v>
      </c>
      <c r="Y788" s="141">
        <f t="shared" si="128"/>
        <v>779</v>
      </c>
      <c r="Z788" s="298">
        <v>156</v>
      </c>
      <c r="AA788" s="299">
        <v>998</v>
      </c>
      <c r="AB788" s="299">
        <v>779</v>
      </c>
      <c r="AC788" s="301">
        <v>0</v>
      </c>
      <c r="AD788" s="301">
        <v>0</v>
      </c>
      <c r="AE788" s="126"/>
      <c r="AF788" s="298"/>
      <c r="AG788" s="299"/>
      <c r="AH788" s="299"/>
      <c r="AI788" s="301"/>
      <c r="AJ788" s="301"/>
      <c r="AK788" s="426"/>
      <c r="AL788" s="298"/>
      <c r="AM788" s="299"/>
      <c r="AN788" s="299"/>
      <c r="AO788" s="301"/>
      <c r="AP788" s="301"/>
      <c r="AQ788" s="426"/>
      <c r="AR788" s="298"/>
      <c r="AS788" s="299"/>
      <c r="AT788" s="299"/>
      <c r="AU788" s="301"/>
      <c r="AV788" s="301"/>
      <c r="AW788" s="88"/>
      <c r="AX788" s="298"/>
      <c r="AY788" s="299"/>
      <c r="AZ788" s="299"/>
      <c r="BA788" s="301"/>
      <c r="BB788" s="301"/>
      <c r="BC788" s="426"/>
      <c r="BD788" s="298"/>
      <c r="BE788" s="299"/>
      <c r="BF788" s="299"/>
      <c r="BG788" s="301"/>
      <c r="BH788" s="301"/>
      <c r="BI788" s="88"/>
      <c r="BJ788" s="298"/>
      <c r="BK788" s="299"/>
      <c r="BL788" s="299"/>
      <c r="BM788" s="301"/>
      <c r="BN788" s="301"/>
      <c r="BO788" s="88"/>
      <c r="BP788" s="9"/>
      <c r="BS788" s="81"/>
      <c r="BT788" s="81"/>
      <c r="BV788" s="9"/>
      <c r="BY788" s="81"/>
      <c r="BZ788" s="81"/>
      <c r="CB788" s="9"/>
      <c r="CE788" s="81"/>
      <c r="CF788" s="81"/>
      <c r="CH788" s="9"/>
      <c r="CK788" s="81"/>
      <c r="CL788" s="81"/>
      <c r="CR788" s="9"/>
      <c r="CS788" s="9"/>
      <c r="CT788" s="9"/>
      <c r="CU788" s="9"/>
      <c r="CV788" s="9"/>
      <c r="CW788" s="129"/>
      <c r="CX788" s="9"/>
    </row>
    <row r="789" spans="1:102">
      <c r="A789" s="6" t="str">
        <f t="shared" si="121"/>
        <v>01560999</v>
      </c>
      <c r="B789" s="6" t="s">
        <v>1806</v>
      </c>
      <c r="C789" s="6" t="s">
        <v>2092</v>
      </c>
      <c r="D789" s="6">
        <v>780</v>
      </c>
      <c r="E789" s="10">
        <v>156</v>
      </c>
      <c r="F789" s="10" t="s">
        <v>1274</v>
      </c>
      <c r="G789" s="10">
        <v>999</v>
      </c>
      <c r="H789" s="10" t="s">
        <v>593</v>
      </c>
      <c r="I789" s="92">
        <v>844979.30609577138</v>
      </c>
      <c r="J789" s="472">
        <v>1</v>
      </c>
      <c r="K789" s="53">
        <f>SUM(K785:K788)</f>
        <v>1061261.8404363641</v>
      </c>
      <c r="L789" s="91">
        <f>SUM(L785:L788)</f>
        <v>1</v>
      </c>
      <c r="M789" s="79">
        <f>VLOOKUP(E789,town351,24)</f>
        <v>595075</v>
      </c>
      <c r="N789" s="79">
        <f>SUM(N785:N788)</f>
        <v>595075</v>
      </c>
      <c r="O789" s="79">
        <v>565499</v>
      </c>
      <c r="P789" s="79">
        <f>SUM(P785:P788)</f>
        <v>29576</v>
      </c>
      <c r="Q789" s="39">
        <f t="shared" si="129"/>
        <v>5.2300711407093559</v>
      </c>
      <c r="R789" s="9">
        <v>60.637457045039994</v>
      </c>
      <c r="S789" s="9">
        <f t="shared" si="127"/>
        <v>73.381918817439995</v>
      </c>
      <c r="T789" s="90">
        <f t="shared" si="122"/>
        <v>156</v>
      </c>
      <c r="U789" s="90">
        <f t="shared" si="123"/>
        <v>999</v>
      </c>
      <c r="V789" s="373">
        <f t="shared" si="124"/>
        <v>780</v>
      </c>
      <c r="W789" s="90">
        <f t="shared" si="125"/>
        <v>73.381918817439995</v>
      </c>
      <c r="X789" s="90">
        <f t="shared" si="126"/>
        <v>1061261.8404363641</v>
      </c>
      <c r="Y789" s="141">
        <f t="shared" si="128"/>
        <v>780</v>
      </c>
      <c r="Z789" s="298">
        <v>156</v>
      </c>
      <c r="AA789" s="299">
        <v>999</v>
      </c>
      <c r="AB789" s="299">
        <v>780</v>
      </c>
      <c r="AC789" s="301">
        <v>73.381918817439995</v>
      </c>
      <c r="AD789" s="301">
        <v>1061261.8404363641</v>
      </c>
      <c r="AE789" s="126"/>
      <c r="AF789" s="298"/>
      <c r="AG789" s="299"/>
      <c r="AH789" s="299"/>
      <c r="AI789" s="301"/>
      <c r="AJ789" s="301"/>
      <c r="AK789" s="426"/>
      <c r="AL789" s="298"/>
      <c r="AM789" s="299"/>
      <c r="AN789" s="299"/>
      <c r="AO789" s="301"/>
      <c r="AP789" s="301"/>
      <c r="AQ789" s="426"/>
      <c r="AR789" s="298"/>
      <c r="AS789" s="299"/>
      <c r="AT789" s="299"/>
      <c r="AU789" s="301"/>
      <c r="AV789" s="301"/>
      <c r="AW789" s="91"/>
      <c r="AX789" s="298"/>
      <c r="AY789" s="299"/>
      <c r="AZ789" s="299"/>
      <c r="BA789" s="301"/>
      <c r="BB789" s="301"/>
      <c r="BC789" s="426"/>
      <c r="BD789" s="298"/>
      <c r="BE789" s="299"/>
      <c r="BF789" s="299"/>
      <c r="BG789" s="301"/>
      <c r="BH789" s="301"/>
      <c r="BI789" s="91"/>
      <c r="BJ789" s="298"/>
      <c r="BK789" s="299"/>
      <c r="BL789" s="299"/>
      <c r="BM789" s="301"/>
      <c r="BN789" s="301"/>
      <c r="BO789" s="91"/>
      <c r="BP789" s="9"/>
      <c r="BS789" s="81"/>
      <c r="BT789" s="81"/>
      <c r="BV789" s="9"/>
      <c r="BY789" s="81"/>
      <c r="BZ789" s="81"/>
      <c r="CB789" s="9"/>
      <c r="CE789" s="81"/>
      <c r="CF789" s="81"/>
      <c r="CH789" s="9"/>
      <c r="CK789" s="81"/>
      <c r="CL789" s="81"/>
      <c r="CR789" s="9"/>
      <c r="CS789" s="9"/>
      <c r="CT789" s="9"/>
      <c r="CU789" s="9"/>
      <c r="CV789" s="9"/>
      <c r="CW789" s="129"/>
      <c r="CX789" s="9"/>
    </row>
    <row r="790" spans="1:102">
      <c r="A790" s="6" t="str">
        <f t="shared" si="121"/>
        <v>01570157</v>
      </c>
      <c r="B790" s="6" t="s">
        <v>1807</v>
      </c>
      <c r="C790" s="6" t="s">
        <v>1807</v>
      </c>
      <c r="D790" s="6">
        <v>781</v>
      </c>
      <c r="E790" s="6">
        <v>157</v>
      </c>
      <c r="F790" s="6" t="s">
        <v>1275</v>
      </c>
      <c r="G790" s="6">
        <v>157</v>
      </c>
      <c r="H790" s="6" t="s">
        <v>838</v>
      </c>
      <c r="I790" s="33">
        <v>7355301.9672800004</v>
      </c>
      <c r="J790" s="88">
        <v>0.74579226041639202</v>
      </c>
      <c r="K790" s="89">
        <f>X790</f>
        <v>7515362.2277600011</v>
      </c>
      <c r="L790" s="88">
        <f>IF(K794&gt;0, K790/K794, 0)</f>
        <v>0.73693904822758061</v>
      </c>
      <c r="M790" s="58"/>
      <c r="N790" s="9">
        <f>ROUND(M794*L790,0)</f>
        <v>6200174</v>
      </c>
      <c r="O790" s="9">
        <v>6068124</v>
      </c>
      <c r="P790" s="9">
        <f>N790-O790</f>
        <v>132050</v>
      </c>
      <c r="Q790" s="40">
        <f t="shared" si="129"/>
        <v>2.1761256032342122</v>
      </c>
      <c r="R790" s="9">
        <v>586</v>
      </c>
      <c r="S790" s="9">
        <f t="shared" si="127"/>
        <v>585</v>
      </c>
      <c r="T790" s="90">
        <f t="shared" si="122"/>
        <v>157</v>
      </c>
      <c r="U790" s="90">
        <f t="shared" si="123"/>
        <v>157</v>
      </c>
      <c r="V790" s="373">
        <f t="shared" si="124"/>
        <v>781</v>
      </c>
      <c r="W790" s="90">
        <f t="shared" si="125"/>
        <v>585</v>
      </c>
      <c r="X790" s="90">
        <f t="shared" si="126"/>
        <v>7515362.2277600011</v>
      </c>
      <c r="Y790" s="141">
        <f t="shared" si="128"/>
        <v>781</v>
      </c>
      <c r="Z790" s="298">
        <v>157</v>
      </c>
      <c r="AA790" s="299">
        <v>157</v>
      </c>
      <c r="AB790" s="299">
        <v>781</v>
      </c>
      <c r="AC790" s="301">
        <v>585</v>
      </c>
      <c r="AD790" s="301">
        <v>7515362.2277600011</v>
      </c>
      <c r="AE790" s="126"/>
      <c r="AF790" s="298"/>
      <c r="AG790" s="299"/>
      <c r="AH790" s="299"/>
      <c r="AI790" s="301"/>
      <c r="AJ790" s="301"/>
      <c r="AK790" s="426"/>
      <c r="AL790" s="298"/>
      <c r="AM790" s="299"/>
      <c r="AN790" s="299"/>
      <c r="AO790" s="301"/>
      <c r="AP790" s="301"/>
      <c r="AQ790" s="426"/>
      <c r="AR790" s="298"/>
      <c r="AS790" s="299"/>
      <c r="AT790" s="299"/>
      <c r="AU790" s="301"/>
      <c r="AV790" s="301"/>
      <c r="AW790" s="88"/>
      <c r="AX790" s="298"/>
      <c r="AY790" s="299"/>
      <c r="AZ790" s="299"/>
      <c r="BA790" s="301"/>
      <c r="BB790" s="301"/>
      <c r="BC790" s="426"/>
      <c r="BD790" s="298"/>
      <c r="BE790" s="299"/>
      <c r="BF790" s="299"/>
      <c r="BG790" s="301"/>
      <c r="BH790" s="301"/>
      <c r="BI790" s="88"/>
      <c r="BJ790" s="298"/>
      <c r="BK790" s="299"/>
      <c r="BL790" s="299"/>
      <c r="BM790" s="301"/>
      <c r="BN790" s="301"/>
      <c r="BO790" s="88"/>
      <c r="BP790" s="9"/>
      <c r="BS790" s="81"/>
      <c r="BT790" s="81"/>
      <c r="BV790" s="9"/>
      <c r="BY790" s="81"/>
      <c r="BZ790" s="81"/>
      <c r="CB790" s="9"/>
      <c r="CE790" s="81"/>
      <c r="CF790" s="81"/>
      <c r="CH790" s="9"/>
      <c r="CK790" s="81"/>
      <c r="CL790" s="81"/>
      <c r="CR790" s="9"/>
      <c r="CS790" s="9"/>
      <c r="CT790" s="9"/>
      <c r="CU790" s="9"/>
      <c r="CV790" s="9"/>
      <c r="CW790" s="129"/>
      <c r="CX790" s="9"/>
    </row>
    <row r="791" spans="1:102">
      <c r="A791" s="6" t="str">
        <f t="shared" si="121"/>
        <v>01570695</v>
      </c>
      <c r="B791" s="6" t="s">
        <v>1807</v>
      </c>
      <c r="C791" s="6" t="s">
        <v>2033</v>
      </c>
      <c r="D791" s="6">
        <v>782</v>
      </c>
      <c r="E791" s="6">
        <v>157</v>
      </c>
      <c r="F791" s="6" t="s">
        <v>1275</v>
      </c>
      <c r="G791" s="6">
        <v>695</v>
      </c>
      <c r="H791" s="6" t="s">
        <v>1063</v>
      </c>
      <c r="I791" s="33">
        <v>2507098.539763846</v>
      </c>
      <c r="J791" s="88">
        <v>0.25420773958360804</v>
      </c>
      <c r="K791" s="89">
        <f t="shared" si="120"/>
        <v>2682716.2236876092</v>
      </c>
      <c r="L791" s="88">
        <f>IF(K794&gt;0, K791/K794, 0)</f>
        <v>0.26306095177241939</v>
      </c>
      <c r="M791" s="58"/>
      <c r="N791" s="9">
        <f>ROUND(M794*L791,0)</f>
        <v>2213241</v>
      </c>
      <c r="O791" s="9">
        <v>2068356</v>
      </c>
      <c r="P791" s="9">
        <f>N791-O791</f>
        <v>144885</v>
      </c>
      <c r="Q791" s="40">
        <f t="shared" si="129"/>
        <v>7.00483862545906</v>
      </c>
      <c r="R791" s="9">
        <v>192.13568904192002</v>
      </c>
      <c r="S791" s="9">
        <f t="shared" si="127"/>
        <v>200.02284083547002</v>
      </c>
      <c r="T791" s="90">
        <f t="shared" si="122"/>
        <v>157</v>
      </c>
      <c r="U791" s="90">
        <f t="shared" si="123"/>
        <v>695</v>
      </c>
      <c r="V791" s="373">
        <f t="shared" si="124"/>
        <v>782</v>
      </c>
      <c r="W791" s="90">
        <f t="shared" si="125"/>
        <v>200.02284083547002</v>
      </c>
      <c r="X791" s="90">
        <f t="shared" si="126"/>
        <v>2682716.2236876092</v>
      </c>
      <c r="Y791" s="141">
        <f t="shared" si="128"/>
        <v>782</v>
      </c>
      <c r="Z791" s="298">
        <v>157</v>
      </c>
      <c r="AA791" s="299">
        <v>695</v>
      </c>
      <c r="AB791" s="299">
        <v>782</v>
      </c>
      <c r="AC791" s="301">
        <v>200.02284083547002</v>
      </c>
      <c r="AD791" s="301">
        <v>2682716.2236876092</v>
      </c>
      <c r="AE791" s="126"/>
      <c r="AF791" s="298"/>
      <c r="AG791" s="299"/>
      <c r="AH791" s="299"/>
      <c r="AI791" s="301"/>
      <c r="AJ791" s="301"/>
      <c r="AK791" s="426"/>
      <c r="AL791" s="298"/>
      <c r="AM791" s="299"/>
      <c r="AN791" s="299"/>
      <c r="AO791" s="301"/>
      <c r="AP791" s="301"/>
      <c r="AQ791" s="426"/>
      <c r="AR791" s="298"/>
      <c r="AS791" s="299"/>
      <c r="AT791" s="299"/>
      <c r="AU791" s="301"/>
      <c r="AV791" s="301"/>
      <c r="AW791" s="88"/>
      <c r="AX791" s="298"/>
      <c r="AY791" s="299"/>
      <c r="AZ791" s="299"/>
      <c r="BA791" s="301"/>
      <c r="BB791" s="301"/>
      <c r="BC791" s="426"/>
      <c r="BD791" s="298"/>
      <c r="BE791" s="299"/>
      <c r="BF791" s="299"/>
      <c r="BG791" s="301"/>
      <c r="BH791" s="301"/>
      <c r="BI791" s="88"/>
      <c r="BJ791" s="298"/>
      <c r="BK791" s="299"/>
      <c r="BL791" s="299"/>
      <c r="BM791" s="301"/>
      <c r="BN791" s="301"/>
      <c r="BO791" s="88"/>
      <c r="BP791" s="9"/>
      <c r="BS791" s="81"/>
      <c r="BT791" s="81"/>
      <c r="BV791" s="9"/>
      <c r="BY791" s="81"/>
      <c r="BZ791" s="81"/>
      <c r="CB791" s="9"/>
      <c r="CE791" s="81"/>
      <c r="CF791" s="81"/>
      <c r="CH791" s="9"/>
      <c r="CK791" s="81"/>
      <c r="CL791" s="81"/>
      <c r="CR791" s="9"/>
      <c r="CS791" s="9"/>
      <c r="CT791" s="9"/>
      <c r="CU791" s="9"/>
      <c r="CV791" s="9"/>
      <c r="CW791" s="129"/>
      <c r="CX791" s="9"/>
    </row>
    <row r="792" spans="1:102">
      <c r="A792" s="6" t="str">
        <f t="shared" si="121"/>
        <v>01570830</v>
      </c>
      <c r="B792" s="6" t="s">
        <v>1807</v>
      </c>
      <c r="C792" s="6" t="s">
        <v>2074</v>
      </c>
      <c r="D792" s="6">
        <v>783</v>
      </c>
      <c r="E792" s="6">
        <v>157</v>
      </c>
      <c r="G792" s="6">
        <v>998</v>
      </c>
      <c r="I792" s="33">
        <v>0</v>
      </c>
      <c r="J792" s="88">
        <v>0</v>
      </c>
      <c r="K792" s="89">
        <f t="shared" si="120"/>
        <v>0</v>
      </c>
      <c r="L792" s="88">
        <f>IF(K794&gt;0, K792/K794, 0)</f>
        <v>0</v>
      </c>
      <c r="M792" s="58"/>
      <c r="N792" s="9">
        <f>ROUND(M794*L792,0)</f>
        <v>0</v>
      </c>
      <c r="O792" s="9">
        <v>0</v>
      </c>
      <c r="P792" s="9">
        <f>N792-O792</f>
        <v>0</v>
      </c>
      <c r="Q792" s="40">
        <f t="shared" si="129"/>
        <v>0</v>
      </c>
      <c r="R792" s="9">
        <v>0</v>
      </c>
      <c r="S792" s="9">
        <f t="shared" si="127"/>
        <v>0</v>
      </c>
      <c r="T792" s="90">
        <f t="shared" si="122"/>
        <v>157</v>
      </c>
      <c r="U792" s="90">
        <f t="shared" si="123"/>
        <v>998</v>
      </c>
      <c r="V792" s="373">
        <f t="shared" si="124"/>
        <v>783</v>
      </c>
      <c r="W792" s="90">
        <f t="shared" si="125"/>
        <v>0</v>
      </c>
      <c r="X792" s="90">
        <f t="shared" si="126"/>
        <v>0</v>
      </c>
      <c r="Y792" s="141">
        <f t="shared" si="128"/>
        <v>783</v>
      </c>
      <c r="Z792" s="298">
        <v>157</v>
      </c>
      <c r="AA792" s="299">
        <v>998</v>
      </c>
      <c r="AB792" s="299">
        <v>783</v>
      </c>
      <c r="AC792" s="301">
        <v>0</v>
      </c>
      <c r="AD792" s="301">
        <v>0</v>
      </c>
      <c r="AE792" s="126"/>
      <c r="AF792" s="298"/>
      <c r="AG792" s="299"/>
      <c r="AH792" s="299"/>
      <c r="AI792" s="301"/>
      <c r="AJ792" s="301"/>
      <c r="AK792" s="426"/>
      <c r="AL792" s="298"/>
      <c r="AM792" s="299"/>
      <c r="AN792" s="299"/>
      <c r="AO792" s="301"/>
      <c r="AP792" s="301"/>
      <c r="AQ792" s="426"/>
      <c r="AR792" s="298"/>
      <c r="AS792" s="299"/>
      <c r="AT792" s="299"/>
      <c r="AU792" s="301"/>
      <c r="AV792" s="301"/>
      <c r="AW792" s="88"/>
      <c r="AX792" s="298"/>
      <c r="AY792" s="299"/>
      <c r="AZ792" s="299"/>
      <c r="BA792" s="301"/>
      <c r="BB792" s="301"/>
      <c r="BC792" s="426"/>
      <c r="BD792" s="298"/>
      <c r="BE792" s="299"/>
      <c r="BF792" s="299"/>
      <c r="BG792" s="301"/>
      <c r="BH792" s="301"/>
      <c r="BI792" s="88"/>
      <c r="BJ792" s="298"/>
      <c r="BK792" s="299"/>
      <c r="BL792" s="299"/>
      <c r="BM792" s="301"/>
      <c r="BN792" s="301"/>
      <c r="BO792" s="88"/>
      <c r="BP792" s="9"/>
      <c r="BS792" s="81"/>
      <c r="BT792" s="81"/>
      <c r="BV792" s="9"/>
      <c r="BY792" s="81"/>
      <c r="BZ792" s="81"/>
      <c r="CB792" s="9"/>
      <c r="CE792" s="81"/>
      <c r="CF792" s="81"/>
      <c r="CH792" s="9"/>
      <c r="CK792" s="81"/>
      <c r="CL792" s="81"/>
      <c r="CR792" s="9"/>
      <c r="CS792" s="9"/>
      <c r="CT792" s="9"/>
      <c r="CU792" s="9"/>
      <c r="CV792" s="9"/>
      <c r="CW792" s="129"/>
      <c r="CX792" s="9"/>
    </row>
    <row r="793" spans="1:102">
      <c r="A793" s="6" t="str">
        <f t="shared" si="121"/>
        <v>01570998</v>
      </c>
      <c r="B793" s="6" t="s">
        <v>1807</v>
      </c>
      <c r="C793" s="6" t="s">
        <v>2091</v>
      </c>
      <c r="D793" s="6">
        <v>784</v>
      </c>
      <c r="E793" s="6">
        <v>157</v>
      </c>
      <c r="F793" s="6" t="s">
        <v>1547</v>
      </c>
      <c r="G793" s="6">
        <v>998</v>
      </c>
      <c r="H793" s="6" t="s">
        <v>1547</v>
      </c>
      <c r="I793" s="33">
        <v>0</v>
      </c>
      <c r="J793" s="88">
        <v>0</v>
      </c>
      <c r="K793" s="89">
        <f t="shared" si="120"/>
        <v>0</v>
      </c>
      <c r="L793" s="88">
        <f>IF(K794&gt;0, K793/K794, 0)</f>
        <v>0</v>
      </c>
      <c r="M793" s="58"/>
      <c r="N793" s="9">
        <f>ROUND(M794*L793,0)</f>
        <v>0</v>
      </c>
      <c r="O793" s="9">
        <v>0</v>
      </c>
      <c r="P793" s="9">
        <f>N793-O793</f>
        <v>0</v>
      </c>
      <c r="Q793" s="40">
        <f t="shared" si="129"/>
        <v>0</v>
      </c>
      <c r="R793" s="9">
        <v>0</v>
      </c>
      <c r="S793" s="9">
        <f t="shared" si="127"/>
        <v>0</v>
      </c>
      <c r="T793" s="90">
        <f t="shared" si="122"/>
        <v>157</v>
      </c>
      <c r="U793" s="90">
        <f t="shared" si="123"/>
        <v>998</v>
      </c>
      <c r="V793" s="373">
        <f t="shared" si="124"/>
        <v>784</v>
      </c>
      <c r="W793" s="90">
        <f t="shared" si="125"/>
        <v>0</v>
      </c>
      <c r="X793" s="90">
        <f t="shared" si="126"/>
        <v>0</v>
      </c>
      <c r="Y793" s="141">
        <f t="shared" si="128"/>
        <v>784</v>
      </c>
      <c r="Z793" s="298">
        <v>157</v>
      </c>
      <c r="AA793" s="299">
        <v>998</v>
      </c>
      <c r="AB793" s="299">
        <v>784</v>
      </c>
      <c r="AC793" s="301">
        <v>0</v>
      </c>
      <c r="AD793" s="301">
        <v>0</v>
      </c>
      <c r="AE793" s="126"/>
      <c r="AF793" s="298"/>
      <c r="AG793" s="299"/>
      <c r="AH793" s="299"/>
      <c r="AI793" s="301"/>
      <c r="AJ793" s="301"/>
      <c r="AK793" s="426"/>
      <c r="AL793" s="298"/>
      <c r="AM793" s="299"/>
      <c r="AN793" s="299"/>
      <c r="AO793" s="301"/>
      <c r="AP793" s="301"/>
      <c r="AQ793" s="426"/>
      <c r="AR793" s="298"/>
      <c r="AS793" s="299"/>
      <c r="AT793" s="299"/>
      <c r="AU793" s="301"/>
      <c r="AV793" s="301"/>
      <c r="AW793" s="88"/>
      <c r="AX793" s="298"/>
      <c r="AY793" s="299"/>
      <c r="AZ793" s="299"/>
      <c r="BA793" s="301"/>
      <c r="BB793" s="301"/>
      <c r="BC793" s="426"/>
      <c r="BD793" s="298"/>
      <c r="BE793" s="299"/>
      <c r="BF793" s="299"/>
      <c r="BG793" s="301"/>
      <c r="BH793" s="301"/>
      <c r="BI793" s="88"/>
      <c r="BJ793" s="298"/>
      <c r="BK793" s="299"/>
      <c r="BL793" s="299"/>
      <c r="BM793" s="301"/>
      <c r="BN793" s="301"/>
      <c r="BO793" s="88"/>
      <c r="BP793" s="9"/>
      <c r="BS793" s="81"/>
      <c r="BT793" s="81"/>
      <c r="BV793" s="9"/>
      <c r="BY793" s="81"/>
      <c r="BZ793" s="81"/>
      <c r="CB793" s="9"/>
      <c r="CE793" s="81"/>
      <c r="CF793" s="81"/>
      <c r="CH793" s="9"/>
      <c r="CK793" s="81"/>
      <c r="CL793" s="81"/>
      <c r="CR793" s="9"/>
      <c r="CS793" s="9"/>
      <c r="CT793" s="9"/>
      <c r="CU793" s="9"/>
      <c r="CV793" s="9"/>
      <c r="CW793" s="129"/>
      <c r="CX793" s="9"/>
    </row>
    <row r="794" spans="1:102">
      <c r="A794" s="6" t="str">
        <f t="shared" si="121"/>
        <v>01570999</v>
      </c>
      <c r="B794" s="6" t="s">
        <v>1807</v>
      </c>
      <c r="C794" s="6" t="s">
        <v>2092</v>
      </c>
      <c r="D794" s="6">
        <v>785</v>
      </c>
      <c r="E794" s="10">
        <v>157</v>
      </c>
      <c r="F794" s="10" t="s">
        <v>1275</v>
      </c>
      <c r="G794" s="10">
        <v>999</v>
      </c>
      <c r="H794" s="10" t="s">
        <v>593</v>
      </c>
      <c r="I794" s="92">
        <v>9862400.507043846</v>
      </c>
      <c r="J794" s="472">
        <v>1</v>
      </c>
      <c r="K794" s="53">
        <f>SUM(K790:K793)</f>
        <v>10198078.45144761</v>
      </c>
      <c r="L794" s="91">
        <f>SUM(L790:L793)</f>
        <v>1</v>
      </c>
      <c r="M794" s="79">
        <f>VLOOKUP(E794,town351,24)</f>
        <v>8413415</v>
      </c>
      <c r="N794" s="79">
        <f>SUM(N790:N793)</f>
        <v>8413415</v>
      </c>
      <c r="O794" s="79">
        <v>8136480</v>
      </c>
      <c r="P794" s="79">
        <f>SUM(P790:P793)</f>
        <v>276935</v>
      </c>
      <c r="Q794" s="39">
        <f t="shared" si="129"/>
        <v>3.4036217135665545</v>
      </c>
      <c r="R794" s="9">
        <v>778.13568904192005</v>
      </c>
      <c r="S794" s="9">
        <f t="shared" si="127"/>
        <v>785.02284083546999</v>
      </c>
      <c r="T794" s="90">
        <f t="shared" si="122"/>
        <v>157</v>
      </c>
      <c r="U794" s="90">
        <f t="shared" si="123"/>
        <v>999</v>
      </c>
      <c r="V794" s="373">
        <f t="shared" si="124"/>
        <v>785</v>
      </c>
      <c r="W794" s="90">
        <f t="shared" si="125"/>
        <v>785.02284083546999</v>
      </c>
      <c r="X794" s="90">
        <f t="shared" si="126"/>
        <v>10198078.45144761</v>
      </c>
      <c r="Y794" s="141">
        <f t="shared" si="128"/>
        <v>785</v>
      </c>
      <c r="Z794" s="298">
        <v>157</v>
      </c>
      <c r="AA794" s="299">
        <v>999</v>
      </c>
      <c r="AB794" s="299">
        <v>785</v>
      </c>
      <c r="AC794" s="301">
        <v>785.02284083546999</v>
      </c>
      <c r="AD794" s="301">
        <v>10198078.45144761</v>
      </c>
      <c r="AE794" s="126"/>
      <c r="AF794" s="298"/>
      <c r="AG794" s="299"/>
      <c r="AH794" s="299"/>
      <c r="AI794" s="301"/>
      <c r="AJ794" s="301"/>
      <c r="AK794" s="426"/>
      <c r="AL794" s="298"/>
      <c r="AM794" s="299"/>
      <c r="AN794" s="299"/>
      <c r="AO794" s="301"/>
      <c r="AP794" s="301"/>
      <c r="AQ794" s="426"/>
      <c r="AR794" s="298"/>
      <c r="AS794" s="299"/>
      <c r="AT794" s="299"/>
      <c r="AU794" s="301"/>
      <c r="AV794" s="301"/>
      <c r="AW794" s="91"/>
      <c r="AX794" s="298"/>
      <c r="AY794" s="299"/>
      <c r="AZ794" s="299"/>
      <c r="BA794" s="301"/>
      <c r="BB794" s="301"/>
      <c r="BC794" s="426"/>
      <c r="BD794" s="298"/>
      <c r="BE794" s="299"/>
      <c r="BF794" s="299"/>
      <c r="BG794" s="301"/>
      <c r="BH794" s="301"/>
      <c r="BI794" s="91"/>
      <c r="BJ794" s="298"/>
      <c r="BK794" s="299"/>
      <c r="BL794" s="299"/>
      <c r="BM794" s="301"/>
      <c r="BN794" s="301"/>
      <c r="BO794" s="91"/>
      <c r="BP794" s="9"/>
      <c r="BS794" s="81"/>
      <c r="BT794" s="81"/>
      <c r="BV794" s="9"/>
      <c r="BY794" s="81"/>
      <c r="BZ794" s="81"/>
      <c r="CB794" s="9"/>
      <c r="CE794" s="81"/>
      <c r="CF794" s="81"/>
      <c r="CH794" s="9"/>
      <c r="CK794" s="81"/>
      <c r="CL794" s="81"/>
      <c r="CR794" s="9"/>
      <c r="CS794" s="9"/>
      <c r="CT794" s="9"/>
      <c r="CU794" s="9"/>
      <c r="CV794" s="9"/>
      <c r="CW794" s="129"/>
      <c r="CX794" s="9"/>
    </row>
    <row r="795" spans="1:102">
      <c r="A795" s="6" t="str">
        <f t="shared" si="121"/>
        <v>01580158</v>
      </c>
      <c r="B795" s="6" t="s">
        <v>1808</v>
      </c>
      <c r="C795" s="6" t="s">
        <v>1808</v>
      </c>
      <c r="D795" s="6">
        <v>786</v>
      </c>
      <c r="E795" s="6">
        <v>158</v>
      </c>
      <c r="F795" s="6" t="s">
        <v>1276</v>
      </c>
      <c r="G795" s="6">
        <v>158</v>
      </c>
      <c r="H795" s="6" t="s">
        <v>839</v>
      </c>
      <c r="I795" s="33">
        <v>20056951.579999998</v>
      </c>
      <c r="J795" s="88">
        <v>0.95727098428278967</v>
      </c>
      <c r="K795" s="89">
        <f t="shared" ref="K795:K858" si="130">X795</f>
        <v>20185599.029999997</v>
      </c>
      <c r="L795" s="88">
        <f>IF(K799&gt;0, K795/K799, 0)</f>
        <v>0.95328375423108058</v>
      </c>
      <c r="M795" s="58"/>
      <c r="N795" s="9">
        <f>ROUND(M799*L795,0)</f>
        <v>15942774</v>
      </c>
      <c r="O795" s="9">
        <v>15207996</v>
      </c>
      <c r="P795" s="9">
        <f>N795-O795</f>
        <v>734778</v>
      </c>
      <c r="Q795" s="40">
        <f t="shared" si="129"/>
        <v>4.8315241534782096</v>
      </c>
      <c r="R795" s="9">
        <v>1665</v>
      </c>
      <c r="S795" s="9">
        <f t="shared" si="127"/>
        <v>1636</v>
      </c>
      <c r="T795" s="90">
        <f t="shared" si="122"/>
        <v>158</v>
      </c>
      <c r="U795" s="90">
        <f t="shared" si="123"/>
        <v>158</v>
      </c>
      <c r="V795" s="373">
        <f t="shared" si="124"/>
        <v>786</v>
      </c>
      <c r="W795" s="90">
        <f t="shared" si="125"/>
        <v>1636</v>
      </c>
      <c r="X795" s="90">
        <f t="shared" si="126"/>
        <v>20185599.029999997</v>
      </c>
      <c r="Y795" s="141">
        <f t="shared" si="128"/>
        <v>786</v>
      </c>
      <c r="Z795" s="298">
        <v>158</v>
      </c>
      <c r="AA795" s="299">
        <v>158</v>
      </c>
      <c r="AB795" s="299">
        <v>786</v>
      </c>
      <c r="AC795" s="301">
        <v>1636</v>
      </c>
      <c r="AD795" s="301">
        <v>20185599.029999997</v>
      </c>
      <c r="AE795" s="126"/>
      <c r="AF795" s="298"/>
      <c r="AG795" s="299"/>
      <c r="AH795" s="299"/>
      <c r="AI795" s="301"/>
      <c r="AJ795" s="301"/>
      <c r="AK795" s="426"/>
      <c r="AL795" s="298"/>
      <c r="AM795" s="299"/>
      <c r="AN795" s="299"/>
      <c r="AO795" s="301"/>
      <c r="AP795" s="301"/>
      <c r="AQ795" s="426"/>
      <c r="AR795" s="298"/>
      <c r="AS795" s="299"/>
      <c r="AT795" s="299"/>
      <c r="AU795" s="301"/>
      <c r="AV795" s="301"/>
      <c r="AW795" s="88"/>
      <c r="AX795" s="298"/>
      <c r="AY795" s="299"/>
      <c r="AZ795" s="299"/>
      <c r="BA795" s="301"/>
      <c r="BB795" s="301"/>
      <c r="BC795" s="426"/>
      <c r="BD795" s="298"/>
      <c r="BE795" s="299"/>
      <c r="BF795" s="299"/>
      <c r="BG795" s="301"/>
      <c r="BH795" s="301"/>
      <c r="BI795" s="88"/>
      <c r="BJ795" s="298"/>
      <c r="BK795" s="299"/>
      <c r="BL795" s="299"/>
      <c r="BM795" s="301"/>
      <c r="BN795" s="301"/>
      <c r="BO795" s="88"/>
      <c r="BP795" s="9"/>
      <c r="BS795" s="81"/>
      <c r="BT795" s="81"/>
      <c r="BV795" s="9"/>
      <c r="BY795" s="81"/>
      <c r="BZ795" s="81"/>
      <c r="CB795" s="9"/>
      <c r="CE795" s="81"/>
      <c r="CF795" s="81"/>
      <c r="CH795" s="9"/>
      <c r="CK795" s="81"/>
      <c r="CL795" s="81"/>
      <c r="CR795" s="9"/>
      <c r="CS795" s="9"/>
      <c r="CT795" s="9"/>
      <c r="CU795" s="9"/>
      <c r="CV795" s="9"/>
      <c r="CW795" s="129"/>
      <c r="CX795" s="9"/>
    </row>
    <row r="796" spans="1:102">
      <c r="A796" s="6" t="str">
        <f t="shared" si="121"/>
        <v>01580852</v>
      </c>
      <c r="B796" s="6" t="s">
        <v>1808</v>
      </c>
      <c r="C796" s="6" t="s">
        <v>2077</v>
      </c>
      <c r="D796" s="6">
        <v>787</v>
      </c>
      <c r="E796" s="6">
        <v>158</v>
      </c>
      <c r="F796" s="6" t="s">
        <v>1276</v>
      </c>
      <c r="G796" s="6">
        <v>852</v>
      </c>
      <c r="H796" s="6" t="s">
        <v>1107</v>
      </c>
      <c r="I796" s="33">
        <v>895267.70723468927</v>
      </c>
      <c r="J796" s="88">
        <v>4.2729015717210377E-2</v>
      </c>
      <c r="K796" s="89">
        <f t="shared" si="130"/>
        <v>989207.4642968846</v>
      </c>
      <c r="L796" s="88">
        <f>IF(K799&gt;0, K796/K799, 0)</f>
        <v>4.6716245768919439E-2</v>
      </c>
      <c r="M796" s="58"/>
      <c r="N796" s="9">
        <f>ROUND(M799*L796,0)</f>
        <v>781285</v>
      </c>
      <c r="O796" s="9">
        <v>678828</v>
      </c>
      <c r="P796" s="9">
        <f>N796-O796</f>
        <v>102457</v>
      </c>
      <c r="Q796" s="40">
        <f t="shared" si="129"/>
        <v>15.093219490062284</v>
      </c>
      <c r="R796" s="9">
        <v>44.000000001099998</v>
      </c>
      <c r="S796" s="9">
        <f t="shared" si="127"/>
        <v>47.999999996539998</v>
      </c>
      <c r="T796" s="90">
        <f t="shared" si="122"/>
        <v>158</v>
      </c>
      <c r="U796" s="90">
        <f t="shared" si="123"/>
        <v>852</v>
      </c>
      <c r="V796" s="373">
        <f t="shared" si="124"/>
        <v>787</v>
      </c>
      <c r="W796" s="90">
        <f t="shared" si="125"/>
        <v>47.999999996539998</v>
      </c>
      <c r="X796" s="90">
        <f t="shared" si="126"/>
        <v>989207.4642968846</v>
      </c>
      <c r="Y796" s="141">
        <f t="shared" si="128"/>
        <v>787</v>
      </c>
      <c r="Z796" s="298">
        <v>158</v>
      </c>
      <c r="AA796" s="299">
        <v>852</v>
      </c>
      <c r="AB796" s="299">
        <v>787</v>
      </c>
      <c r="AC796" s="301">
        <v>47.999999996539998</v>
      </c>
      <c r="AD796" s="301">
        <v>989207.4642968846</v>
      </c>
      <c r="AE796" s="126"/>
      <c r="AF796" s="298"/>
      <c r="AG796" s="299"/>
      <c r="AH796" s="299"/>
      <c r="AI796" s="301"/>
      <c r="AJ796" s="301"/>
      <c r="AK796" s="426"/>
      <c r="AL796" s="298"/>
      <c r="AM796" s="299"/>
      <c r="AN796" s="299"/>
      <c r="AO796" s="301"/>
      <c r="AP796" s="301"/>
      <c r="AQ796" s="426"/>
      <c r="AR796" s="298"/>
      <c r="AS796" s="299"/>
      <c r="AT796" s="299"/>
      <c r="AU796" s="301"/>
      <c r="AV796" s="301"/>
      <c r="AW796" s="88"/>
      <c r="AX796" s="298"/>
      <c r="AY796" s="299"/>
      <c r="AZ796" s="299"/>
      <c r="BA796" s="301"/>
      <c r="BB796" s="301"/>
      <c r="BC796" s="426"/>
      <c r="BD796" s="298"/>
      <c r="BE796" s="299"/>
      <c r="BF796" s="299"/>
      <c r="BG796" s="301"/>
      <c r="BH796" s="301"/>
      <c r="BI796" s="88"/>
      <c r="BJ796" s="298"/>
      <c r="BK796" s="299"/>
      <c r="BL796" s="299"/>
      <c r="BM796" s="301"/>
      <c r="BN796" s="301"/>
      <c r="BO796" s="88"/>
      <c r="BP796" s="9"/>
      <c r="BS796" s="81"/>
      <c r="BT796" s="81"/>
      <c r="BV796" s="9"/>
      <c r="BY796" s="81"/>
      <c r="BZ796" s="81"/>
      <c r="CB796" s="9"/>
      <c r="CE796" s="81"/>
      <c r="CF796" s="81"/>
      <c r="CH796" s="9"/>
      <c r="CK796" s="81"/>
      <c r="CL796" s="81"/>
      <c r="CR796" s="9"/>
      <c r="CS796" s="9"/>
      <c r="CT796" s="9"/>
      <c r="CU796" s="9"/>
      <c r="CV796" s="9"/>
      <c r="CW796" s="129"/>
      <c r="CX796" s="9"/>
    </row>
    <row r="797" spans="1:102">
      <c r="A797" s="6" t="str">
        <f t="shared" si="121"/>
        <v>01580998</v>
      </c>
      <c r="B797" s="6" t="s">
        <v>1808</v>
      </c>
      <c r="C797" s="6" t="s">
        <v>2091</v>
      </c>
      <c r="D797" s="6">
        <v>788</v>
      </c>
      <c r="E797" s="6">
        <v>158</v>
      </c>
      <c r="F797" s="6" t="s">
        <v>1547</v>
      </c>
      <c r="G797" s="6">
        <v>998</v>
      </c>
      <c r="H797" s="6" t="s">
        <v>1547</v>
      </c>
      <c r="I797" s="33">
        <v>0</v>
      </c>
      <c r="J797" s="88">
        <v>0</v>
      </c>
      <c r="K797" s="89">
        <f t="shared" si="130"/>
        <v>0</v>
      </c>
      <c r="L797" s="88">
        <f>IF(K799&gt;0, K797/K799, 0)</f>
        <v>0</v>
      </c>
      <c r="M797" s="58"/>
      <c r="N797" s="9">
        <f>ROUND(M799*L797,0)</f>
        <v>0</v>
      </c>
      <c r="O797" s="9">
        <v>0</v>
      </c>
      <c r="P797" s="9">
        <f>N797-O797</f>
        <v>0</v>
      </c>
      <c r="Q797" s="40">
        <f t="shared" si="129"/>
        <v>0</v>
      </c>
      <c r="R797" s="9">
        <v>0</v>
      </c>
      <c r="S797" s="9">
        <f t="shared" si="127"/>
        <v>0</v>
      </c>
      <c r="T797" s="90">
        <f t="shared" si="122"/>
        <v>158</v>
      </c>
      <c r="U797" s="90">
        <f t="shared" si="123"/>
        <v>998</v>
      </c>
      <c r="V797" s="373">
        <f t="shared" si="124"/>
        <v>788</v>
      </c>
      <c r="W797" s="90">
        <f t="shared" si="125"/>
        <v>0</v>
      </c>
      <c r="X797" s="90">
        <f t="shared" si="126"/>
        <v>0</v>
      </c>
      <c r="Y797" s="141">
        <f t="shared" si="128"/>
        <v>788</v>
      </c>
      <c r="Z797" s="298">
        <v>158</v>
      </c>
      <c r="AA797" s="299">
        <v>998</v>
      </c>
      <c r="AB797" s="299">
        <v>788</v>
      </c>
      <c r="AC797" s="301">
        <v>0</v>
      </c>
      <c r="AD797" s="301">
        <v>0</v>
      </c>
      <c r="AE797" s="126"/>
      <c r="AF797" s="298"/>
      <c r="AG797" s="299"/>
      <c r="AH797" s="299"/>
      <c r="AI797" s="301"/>
      <c r="AJ797" s="301"/>
      <c r="AK797" s="426"/>
      <c r="AL797" s="298"/>
      <c r="AM797" s="299"/>
      <c r="AN797" s="299"/>
      <c r="AO797" s="301"/>
      <c r="AP797" s="301"/>
      <c r="AQ797" s="426"/>
      <c r="AR797" s="298"/>
      <c r="AS797" s="299"/>
      <c r="AT797" s="299"/>
      <c r="AU797" s="301"/>
      <c r="AV797" s="301"/>
      <c r="AW797" s="88"/>
      <c r="AX797" s="298"/>
      <c r="AY797" s="299"/>
      <c r="AZ797" s="299"/>
      <c r="BA797" s="301"/>
      <c r="BB797" s="301"/>
      <c r="BC797" s="426"/>
      <c r="BD797" s="298"/>
      <c r="BE797" s="299"/>
      <c r="BF797" s="299"/>
      <c r="BG797" s="301"/>
      <c r="BH797" s="301"/>
      <c r="BI797" s="88"/>
      <c r="BJ797" s="298"/>
      <c r="BK797" s="299"/>
      <c r="BL797" s="299"/>
      <c r="BM797" s="301"/>
      <c r="BN797" s="301"/>
      <c r="BO797" s="88"/>
      <c r="BP797" s="9"/>
      <c r="BS797" s="81"/>
      <c r="BT797" s="81"/>
      <c r="BV797" s="9"/>
      <c r="BY797" s="81"/>
      <c r="BZ797" s="81"/>
      <c r="CB797" s="9"/>
      <c r="CE797" s="81"/>
      <c r="CF797" s="81"/>
      <c r="CH797" s="9"/>
      <c r="CK797" s="81"/>
      <c r="CL797" s="81"/>
      <c r="CR797" s="9"/>
      <c r="CS797" s="9"/>
      <c r="CT797" s="9"/>
      <c r="CU797" s="9"/>
      <c r="CV797" s="9"/>
      <c r="CW797" s="129"/>
      <c r="CX797" s="9"/>
    </row>
    <row r="798" spans="1:102">
      <c r="A798" s="6" t="str">
        <f t="shared" si="121"/>
        <v>01580998</v>
      </c>
      <c r="B798" s="6" t="s">
        <v>1808</v>
      </c>
      <c r="C798" s="6" t="s">
        <v>2091</v>
      </c>
      <c r="D798" s="6">
        <v>789</v>
      </c>
      <c r="E798" s="6">
        <v>158</v>
      </c>
      <c r="F798" s="6" t="s">
        <v>1547</v>
      </c>
      <c r="G798" s="6">
        <v>998</v>
      </c>
      <c r="H798" s="6" t="s">
        <v>1547</v>
      </c>
      <c r="I798" s="33">
        <v>0</v>
      </c>
      <c r="J798" s="88">
        <v>0</v>
      </c>
      <c r="K798" s="89">
        <f t="shared" si="130"/>
        <v>0</v>
      </c>
      <c r="L798" s="88">
        <f>IF(K799&gt;0, K798/K799, 0)</f>
        <v>0</v>
      </c>
      <c r="M798" s="58"/>
      <c r="N798" s="9">
        <f>ROUND(M799*L798,0)</f>
        <v>0</v>
      </c>
      <c r="O798" s="9">
        <v>0</v>
      </c>
      <c r="P798" s="9">
        <f>N798-O798</f>
        <v>0</v>
      </c>
      <c r="Q798" s="40">
        <f t="shared" si="129"/>
        <v>0</v>
      </c>
      <c r="R798" s="9">
        <v>0</v>
      </c>
      <c r="S798" s="9">
        <f t="shared" si="127"/>
        <v>0</v>
      </c>
      <c r="T798" s="90">
        <f t="shared" si="122"/>
        <v>158</v>
      </c>
      <c r="U798" s="90">
        <f t="shared" si="123"/>
        <v>998</v>
      </c>
      <c r="V798" s="373">
        <f t="shared" si="124"/>
        <v>789</v>
      </c>
      <c r="W798" s="90">
        <f t="shared" si="125"/>
        <v>0</v>
      </c>
      <c r="X798" s="90">
        <f t="shared" si="126"/>
        <v>0</v>
      </c>
      <c r="Y798" s="141">
        <f t="shared" si="128"/>
        <v>789</v>
      </c>
      <c r="Z798" s="298">
        <v>158</v>
      </c>
      <c r="AA798" s="299">
        <v>998</v>
      </c>
      <c r="AB798" s="299">
        <v>789</v>
      </c>
      <c r="AC798" s="301">
        <v>0</v>
      </c>
      <c r="AD798" s="301">
        <v>0</v>
      </c>
      <c r="AE798" s="126"/>
      <c r="AF798" s="298"/>
      <c r="AG798" s="299"/>
      <c r="AH798" s="299"/>
      <c r="AI798" s="301"/>
      <c r="AJ798" s="301"/>
      <c r="AK798" s="426"/>
      <c r="AL798" s="298"/>
      <c r="AM798" s="299"/>
      <c r="AN798" s="299"/>
      <c r="AO798" s="301"/>
      <c r="AP798" s="301"/>
      <c r="AQ798" s="426"/>
      <c r="AR798" s="298"/>
      <c r="AS798" s="299"/>
      <c r="AT798" s="299"/>
      <c r="AU798" s="301"/>
      <c r="AV798" s="301"/>
      <c r="AW798" s="88"/>
      <c r="AX798" s="298"/>
      <c r="AY798" s="299"/>
      <c r="AZ798" s="299"/>
      <c r="BA798" s="301"/>
      <c r="BB798" s="301"/>
      <c r="BC798" s="426"/>
      <c r="BD798" s="298"/>
      <c r="BE798" s="299"/>
      <c r="BF798" s="299"/>
      <c r="BG798" s="301"/>
      <c r="BH798" s="301"/>
      <c r="BI798" s="88"/>
      <c r="BJ798" s="298"/>
      <c r="BK798" s="299"/>
      <c r="BL798" s="299"/>
      <c r="BM798" s="301"/>
      <c r="BN798" s="301"/>
      <c r="BO798" s="88"/>
      <c r="BP798" s="9"/>
      <c r="BS798" s="81"/>
      <c r="BT798" s="81"/>
      <c r="BV798" s="9"/>
      <c r="BY798" s="81"/>
      <c r="BZ798" s="81"/>
      <c r="CB798" s="9"/>
      <c r="CE798" s="81"/>
      <c r="CF798" s="81"/>
      <c r="CH798" s="9"/>
      <c r="CK798" s="81"/>
      <c r="CL798" s="81"/>
      <c r="CR798" s="9"/>
      <c r="CS798" s="9"/>
      <c r="CT798" s="9"/>
      <c r="CU798" s="9"/>
      <c r="CV798" s="9"/>
      <c r="CW798" s="129"/>
      <c r="CX798" s="9"/>
    </row>
    <row r="799" spans="1:102">
      <c r="A799" s="6" t="str">
        <f t="shared" si="121"/>
        <v>01580999</v>
      </c>
      <c r="B799" s="6" t="s">
        <v>1808</v>
      </c>
      <c r="C799" s="6" t="s">
        <v>2092</v>
      </c>
      <c r="D799" s="6">
        <v>790</v>
      </c>
      <c r="E799" s="10">
        <v>158</v>
      </c>
      <c r="F799" s="10" t="s">
        <v>1276</v>
      </c>
      <c r="G799" s="10">
        <v>999</v>
      </c>
      <c r="H799" s="10" t="s">
        <v>593</v>
      </c>
      <c r="I799" s="92">
        <v>20952219.287234686</v>
      </c>
      <c r="J799" s="472">
        <v>1</v>
      </c>
      <c r="K799" s="53">
        <f>SUM(K795:K798)</f>
        <v>21174806.494296882</v>
      </c>
      <c r="L799" s="91">
        <f>SUM(L795:L798)</f>
        <v>1</v>
      </c>
      <c r="M799" s="79">
        <f>VLOOKUP(E799,town351,24)</f>
        <v>16724059</v>
      </c>
      <c r="N799" s="79">
        <f>SUM(N795:N798)</f>
        <v>16724059</v>
      </c>
      <c r="O799" s="79">
        <v>15886824</v>
      </c>
      <c r="P799" s="79">
        <f>SUM(P795:P798)</f>
        <v>837235</v>
      </c>
      <c r="Q799" s="39">
        <f t="shared" si="129"/>
        <v>5.2699960671812063</v>
      </c>
      <c r="R799" s="9">
        <v>1709.0000000011</v>
      </c>
      <c r="S799" s="9">
        <f t="shared" si="127"/>
        <v>1683.9999999965401</v>
      </c>
      <c r="T799" s="90">
        <f t="shared" si="122"/>
        <v>158</v>
      </c>
      <c r="U799" s="90">
        <f t="shared" si="123"/>
        <v>999</v>
      </c>
      <c r="V799" s="373">
        <f t="shared" si="124"/>
        <v>790</v>
      </c>
      <c r="W799" s="90">
        <f t="shared" si="125"/>
        <v>1683.9999999965401</v>
      </c>
      <c r="X799" s="90">
        <f t="shared" si="126"/>
        <v>21174806.494296882</v>
      </c>
      <c r="Y799" s="141">
        <f t="shared" si="128"/>
        <v>790</v>
      </c>
      <c r="Z799" s="298">
        <v>158</v>
      </c>
      <c r="AA799" s="299">
        <v>999</v>
      </c>
      <c r="AB799" s="299">
        <v>790</v>
      </c>
      <c r="AC799" s="301">
        <v>1683.9999999965401</v>
      </c>
      <c r="AD799" s="301">
        <v>21174806.494296882</v>
      </c>
      <c r="AE799" s="126"/>
      <c r="AF799" s="298"/>
      <c r="AG799" s="299"/>
      <c r="AH799" s="299"/>
      <c r="AI799" s="301"/>
      <c r="AJ799" s="301"/>
      <c r="AK799" s="426"/>
      <c r="AL799" s="298"/>
      <c r="AM799" s="299"/>
      <c r="AN799" s="299"/>
      <c r="AO799" s="301"/>
      <c r="AP799" s="301"/>
      <c r="AQ799" s="426"/>
      <c r="AR799" s="298"/>
      <c r="AS799" s="299"/>
      <c r="AT799" s="299"/>
      <c r="AU799" s="301"/>
      <c r="AV799" s="301"/>
      <c r="AW799" s="91"/>
      <c r="AX799" s="298"/>
      <c r="AY799" s="299"/>
      <c r="AZ799" s="299"/>
      <c r="BA799" s="301"/>
      <c r="BB799" s="301"/>
      <c r="BC799" s="426"/>
      <c r="BD799" s="298"/>
      <c r="BE799" s="299"/>
      <c r="BF799" s="299"/>
      <c r="BG799" s="301"/>
      <c r="BH799" s="301"/>
      <c r="BI799" s="91"/>
      <c r="BJ799" s="298"/>
      <c r="BK799" s="299"/>
      <c r="BL799" s="299"/>
      <c r="BM799" s="301"/>
      <c r="BN799" s="301"/>
      <c r="BO799" s="91"/>
      <c r="BP799" s="9"/>
      <c r="BS799" s="81"/>
      <c r="BT799" s="81"/>
      <c r="BV799" s="9"/>
      <c r="BY799" s="81"/>
      <c r="BZ799" s="81"/>
      <c r="CB799" s="9"/>
      <c r="CE799" s="81"/>
      <c r="CF799" s="81"/>
      <c r="CH799" s="9"/>
      <c r="CK799" s="81"/>
      <c r="CL799" s="81"/>
      <c r="CR799" s="9"/>
      <c r="CS799" s="9"/>
      <c r="CT799" s="9"/>
      <c r="CU799" s="9"/>
      <c r="CV799" s="9"/>
      <c r="CW799" s="129"/>
      <c r="CX799" s="9"/>
    </row>
    <row r="800" spans="1:102">
      <c r="A800" s="6" t="str">
        <f t="shared" si="121"/>
        <v>01590159</v>
      </c>
      <c r="B800" s="6" t="s">
        <v>1809</v>
      </c>
      <c r="C800" s="6" t="s">
        <v>1809</v>
      </c>
      <c r="D800" s="6">
        <v>791</v>
      </c>
      <c r="E800" s="6">
        <v>159</v>
      </c>
      <c r="F800" s="6" t="s">
        <v>1277</v>
      </c>
      <c r="G800" s="6">
        <v>159</v>
      </c>
      <c r="H800" s="6" t="s">
        <v>840</v>
      </c>
      <c r="I800" s="33">
        <v>33192700.990000002</v>
      </c>
      <c r="J800" s="88">
        <v>1</v>
      </c>
      <c r="K800" s="89">
        <f>X800</f>
        <v>34218165.739999995</v>
      </c>
      <c r="L800" s="88">
        <f>IF(K804&gt;0, K800/K804, 0)</f>
        <v>1</v>
      </c>
      <c r="M800" s="58"/>
      <c r="N800" s="9">
        <f>ROUND(M804*L800,0)</f>
        <v>27327546</v>
      </c>
      <c r="O800" s="9">
        <v>26093332</v>
      </c>
      <c r="P800" s="9">
        <f>N800-O800</f>
        <v>1234214</v>
      </c>
      <c r="Q800" s="40">
        <f t="shared" si="129"/>
        <v>4.7299976867653388</v>
      </c>
      <c r="R800" s="9">
        <v>2725</v>
      </c>
      <c r="S800" s="9">
        <f t="shared" si="127"/>
        <v>2723</v>
      </c>
      <c r="T800" s="90">
        <f t="shared" si="122"/>
        <v>159</v>
      </c>
      <c r="U800" s="90">
        <f t="shared" si="123"/>
        <v>159</v>
      </c>
      <c r="V800" s="373">
        <f t="shared" si="124"/>
        <v>791</v>
      </c>
      <c r="W800" s="90">
        <f t="shared" si="125"/>
        <v>2723</v>
      </c>
      <c r="X800" s="90">
        <f t="shared" si="126"/>
        <v>34218165.739999995</v>
      </c>
      <c r="Y800" s="141">
        <f t="shared" si="128"/>
        <v>791</v>
      </c>
      <c r="Z800" s="298">
        <v>159</v>
      </c>
      <c r="AA800" s="299">
        <v>159</v>
      </c>
      <c r="AB800" s="299">
        <v>791</v>
      </c>
      <c r="AC800" s="301">
        <v>2723</v>
      </c>
      <c r="AD800" s="301">
        <v>34218165.739999995</v>
      </c>
      <c r="AE800" s="126"/>
      <c r="AF800" s="298"/>
      <c r="AG800" s="299"/>
      <c r="AH800" s="299"/>
      <c r="AI800" s="301"/>
      <c r="AJ800" s="301"/>
      <c r="AK800" s="426"/>
      <c r="AL800" s="298"/>
      <c r="AM800" s="299"/>
      <c r="AN800" s="299"/>
      <c r="AO800" s="301"/>
      <c r="AP800" s="301"/>
      <c r="AQ800" s="426"/>
      <c r="AR800" s="298"/>
      <c r="AS800" s="299"/>
      <c r="AT800" s="299"/>
      <c r="AU800" s="301"/>
      <c r="AV800" s="301"/>
      <c r="AW800" s="88"/>
      <c r="AX800" s="298"/>
      <c r="AY800" s="299"/>
      <c r="AZ800" s="299"/>
      <c r="BA800" s="301"/>
      <c r="BB800" s="301"/>
      <c r="BC800" s="426"/>
      <c r="BD800" s="298"/>
      <c r="BE800" s="299"/>
      <c r="BF800" s="299"/>
      <c r="BG800" s="301"/>
      <c r="BH800" s="301"/>
      <c r="BI800" s="88"/>
      <c r="BJ800" s="298"/>
      <c r="BK800" s="299"/>
      <c r="BL800" s="299"/>
      <c r="BM800" s="301"/>
      <c r="BN800" s="301"/>
      <c r="BO800" s="88"/>
      <c r="BP800" s="9"/>
      <c r="BS800" s="81"/>
      <c r="BT800" s="81"/>
      <c r="BV800" s="9"/>
      <c r="BY800" s="81"/>
      <c r="BZ800" s="81"/>
      <c r="CB800" s="9"/>
      <c r="CE800" s="81"/>
      <c r="CF800" s="81"/>
      <c r="CH800" s="9"/>
      <c r="CK800" s="81"/>
      <c r="CL800" s="81"/>
      <c r="CR800" s="9"/>
      <c r="CS800" s="9"/>
      <c r="CT800" s="9"/>
      <c r="CU800" s="9"/>
      <c r="CV800" s="9"/>
      <c r="CW800" s="129"/>
      <c r="CX800" s="9"/>
    </row>
    <row r="801" spans="1:102">
      <c r="A801" s="6" t="str">
        <f t="shared" si="121"/>
        <v>01590998</v>
      </c>
      <c r="B801" s="6" t="s">
        <v>1809</v>
      </c>
      <c r="C801" s="6" t="s">
        <v>2091</v>
      </c>
      <c r="D801" s="6">
        <v>792</v>
      </c>
      <c r="E801" s="6">
        <v>159</v>
      </c>
      <c r="F801" s="6" t="s">
        <v>1547</v>
      </c>
      <c r="G801" s="6">
        <v>998</v>
      </c>
      <c r="H801" s="6" t="s">
        <v>1547</v>
      </c>
      <c r="I801" s="33">
        <v>0</v>
      </c>
      <c r="J801" s="88">
        <v>0</v>
      </c>
      <c r="K801" s="89">
        <f t="shared" si="130"/>
        <v>0</v>
      </c>
      <c r="L801" s="88">
        <f>IF(K804&gt;0, K801/K804, 0)</f>
        <v>0</v>
      </c>
      <c r="M801" s="58"/>
      <c r="N801" s="9">
        <f>ROUND(M804*L801,0)</f>
        <v>0</v>
      </c>
      <c r="O801" s="9">
        <v>0</v>
      </c>
      <c r="P801" s="9">
        <f>N801-O801</f>
        <v>0</v>
      </c>
      <c r="Q801" s="40">
        <f t="shared" si="129"/>
        <v>0</v>
      </c>
      <c r="R801" s="9">
        <v>0</v>
      </c>
      <c r="S801" s="9">
        <f t="shared" si="127"/>
        <v>0</v>
      </c>
      <c r="T801" s="90">
        <f t="shared" si="122"/>
        <v>159</v>
      </c>
      <c r="U801" s="90">
        <f t="shared" si="123"/>
        <v>998</v>
      </c>
      <c r="V801" s="373">
        <f t="shared" si="124"/>
        <v>792</v>
      </c>
      <c r="W801" s="90">
        <f t="shared" si="125"/>
        <v>0</v>
      </c>
      <c r="X801" s="90">
        <f t="shared" si="126"/>
        <v>0</v>
      </c>
      <c r="Y801" s="141">
        <f t="shared" si="128"/>
        <v>792</v>
      </c>
      <c r="Z801" s="298">
        <v>159</v>
      </c>
      <c r="AA801" s="299">
        <v>998</v>
      </c>
      <c r="AB801" s="299">
        <v>792</v>
      </c>
      <c r="AC801" s="301">
        <v>0</v>
      </c>
      <c r="AD801" s="301">
        <v>0</v>
      </c>
      <c r="AE801" s="126"/>
      <c r="AF801" s="298"/>
      <c r="AG801" s="299"/>
      <c r="AH801" s="299"/>
      <c r="AI801" s="301"/>
      <c r="AJ801" s="301"/>
      <c r="AK801" s="426"/>
      <c r="AL801" s="298"/>
      <c r="AM801" s="299"/>
      <c r="AN801" s="299"/>
      <c r="AO801" s="301"/>
      <c r="AP801" s="301"/>
      <c r="AQ801" s="426"/>
      <c r="AR801" s="298"/>
      <c r="AS801" s="299"/>
      <c r="AT801" s="299"/>
      <c r="AU801" s="301"/>
      <c r="AV801" s="301"/>
      <c r="AW801" s="88"/>
      <c r="AX801" s="298"/>
      <c r="AY801" s="299"/>
      <c r="AZ801" s="299"/>
      <c r="BA801" s="301"/>
      <c r="BB801" s="301"/>
      <c r="BC801" s="426"/>
      <c r="BD801" s="298"/>
      <c r="BE801" s="299"/>
      <c r="BF801" s="299"/>
      <c r="BG801" s="301"/>
      <c r="BH801" s="301"/>
      <c r="BI801" s="88"/>
      <c r="BJ801" s="298"/>
      <c r="BK801" s="299"/>
      <c r="BL801" s="299"/>
      <c r="BM801" s="301"/>
      <c r="BN801" s="301"/>
      <c r="BO801" s="88"/>
      <c r="BP801" s="9"/>
      <c r="BS801" s="81"/>
      <c r="BT801" s="81"/>
      <c r="BV801" s="9"/>
      <c r="BY801" s="81"/>
      <c r="BZ801" s="81"/>
      <c r="CB801" s="9"/>
      <c r="CE801" s="81"/>
      <c r="CF801" s="81"/>
      <c r="CH801" s="9"/>
      <c r="CK801" s="81"/>
      <c r="CL801" s="81"/>
      <c r="CR801" s="9"/>
      <c r="CS801" s="9"/>
      <c r="CT801" s="9"/>
      <c r="CU801" s="9"/>
      <c r="CV801" s="9"/>
      <c r="CW801" s="129"/>
      <c r="CX801" s="9"/>
    </row>
    <row r="802" spans="1:102">
      <c r="A802" s="6" t="str">
        <f t="shared" si="121"/>
        <v>01590998</v>
      </c>
      <c r="B802" s="6" t="s">
        <v>1809</v>
      </c>
      <c r="C802" s="6" t="s">
        <v>2091</v>
      </c>
      <c r="D802" s="6">
        <v>793</v>
      </c>
      <c r="E802" s="6">
        <v>159</v>
      </c>
      <c r="F802" s="6" t="s">
        <v>1547</v>
      </c>
      <c r="G802" s="6">
        <v>998</v>
      </c>
      <c r="H802" s="6" t="s">
        <v>1547</v>
      </c>
      <c r="I802" s="33">
        <v>0</v>
      </c>
      <c r="J802" s="88">
        <v>0</v>
      </c>
      <c r="K802" s="89">
        <f t="shared" si="130"/>
        <v>0</v>
      </c>
      <c r="L802" s="88">
        <f>IF(K804&gt;0, K802/K804, 0)</f>
        <v>0</v>
      </c>
      <c r="M802" s="58"/>
      <c r="N802" s="9">
        <f>ROUND(M804*L802,0)</f>
        <v>0</v>
      </c>
      <c r="O802" s="9">
        <v>0</v>
      </c>
      <c r="P802" s="9">
        <f>N802-O802</f>
        <v>0</v>
      </c>
      <c r="Q802" s="40">
        <f t="shared" si="129"/>
        <v>0</v>
      </c>
      <c r="R802" s="9">
        <v>0</v>
      </c>
      <c r="S802" s="9">
        <f t="shared" si="127"/>
        <v>0</v>
      </c>
      <c r="T802" s="90">
        <f t="shared" si="122"/>
        <v>159</v>
      </c>
      <c r="U802" s="90">
        <f t="shared" si="123"/>
        <v>998</v>
      </c>
      <c r="V802" s="373">
        <f t="shared" si="124"/>
        <v>793</v>
      </c>
      <c r="W802" s="90">
        <f t="shared" si="125"/>
        <v>0</v>
      </c>
      <c r="X802" s="90">
        <f t="shared" si="126"/>
        <v>0</v>
      </c>
      <c r="Y802" s="141">
        <f t="shared" si="128"/>
        <v>793</v>
      </c>
      <c r="Z802" s="298">
        <v>159</v>
      </c>
      <c r="AA802" s="299">
        <v>998</v>
      </c>
      <c r="AB802" s="299">
        <v>793</v>
      </c>
      <c r="AC802" s="301">
        <v>0</v>
      </c>
      <c r="AD802" s="301">
        <v>0</v>
      </c>
      <c r="AE802" s="126"/>
      <c r="AF802" s="298"/>
      <c r="AG802" s="299"/>
      <c r="AH802" s="299"/>
      <c r="AI802" s="301"/>
      <c r="AJ802" s="301"/>
      <c r="AK802" s="426"/>
      <c r="AL802" s="298"/>
      <c r="AM802" s="299"/>
      <c r="AN802" s="299"/>
      <c r="AO802" s="301"/>
      <c r="AP802" s="301"/>
      <c r="AQ802" s="426"/>
      <c r="AR802" s="298"/>
      <c r="AS802" s="299"/>
      <c r="AT802" s="299"/>
      <c r="AU802" s="301"/>
      <c r="AV802" s="301"/>
      <c r="AW802" s="88"/>
      <c r="AX802" s="298"/>
      <c r="AY802" s="299"/>
      <c r="AZ802" s="299"/>
      <c r="BA802" s="301"/>
      <c r="BB802" s="301"/>
      <c r="BC802" s="426"/>
      <c r="BD802" s="298"/>
      <c r="BE802" s="299"/>
      <c r="BF802" s="299"/>
      <c r="BG802" s="301"/>
      <c r="BH802" s="301"/>
      <c r="BI802" s="88"/>
      <c r="BJ802" s="298"/>
      <c r="BK802" s="299"/>
      <c r="BL802" s="299"/>
      <c r="BM802" s="301"/>
      <c r="BN802" s="301"/>
      <c r="BO802" s="88"/>
      <c r="BP802" s="9"/>
      <c r="BS802" s="81"/>
      <c r="BT802" s="81"/>
      <c r="BV802" s="9"/>
      <c r="BY802" s="81"/>
      <c r="BZ802" s="81"/>
      <c r="CB802" s="9"/>
      <c r="CE802" s="81"/>
      <c r="CF802" s="81"/>
      <c r="CH802" s="9"/>
      <c r="CK802" s="81"/>
      <c r="CL802" s="81"/>
      <c r="CR802" s="9"/>
      <c r="CS802" s="9"/>
      <c r="CT802" s="9"/>
      <c r="CU802" s="9"/>
      <c r="CV802" s="9"/>
      <c r="CW802" s="129"/>
      <c r="CX802" s="9"/>
    </row>
    <row r="803" spans="1:102">
      <c r="A803" s="6" t="str">
        <f t="shared" si="121"/>
        <v>01590998</v>
      </c>
      <c r="B803" s="6" t="s">
        <v>1809</v>
      </c>
      <c r="C803" s="6" t="s">
        <v>2091</v>
      </c>
      <c r="D803" s="6">
        <v>794</v>
      </c>
      <c r="E803" s="6">
        <v>159</v>
      </c>
      <c r="F803" s="6" t="s">
        <v>1547</v>
      </c>
      <c r="G803" s="6">
        <v>998</v>
      </c>
      <c r="H803" s="6" t="s">
        <v>1547</v>
      </c>
      <c r="I803" s="33">
        <v>0</v>
      </c>
      <c r="J803" s="88">
        <v>0</v>
      </c>
      <c r="K803" s="89">
        <f t="shared" si="130"/>
        <v>0</v>
      </c>
      <c r="L803" s="88">
        <f>IF(K804&gt;0, K803/K804, 0)</f>
        <v>0</v>
      </c>
      <c r="M803" s="58"/>
      <c r="N803" s="9">
        <f>ROUND(M804*L803,0)</f>
        <v>0</v>
      </c>
      <c r="O803" s="9">
        <v>0</v>
      </c>
      <c r="P803" s="9">
        <f>N803-O803</f>
        <v>0</v>
      </c>
      <c r="Q803" s="40">
        <f t="shared" si="129"/>
        <v>0</v>
      </c>
      <c r="R803" s="9">
        <v>0</v>
      </c>
      <c r="S803" s="9">
        <f t="shared" si="127"/>
        <v>0</v>
      </c>
      <c r="T803" s="90">
        <f t="shared" si="122"/>
        <v>159</v>
      </c>
      <c r="U803" s="90">
        <f t="shared" si="123"/>
        <v>998</v>
      </c>
      <c r="V803" s="373">
        <f t="shared" si="124"/>
        <v>794</v>
      </c>
      <c r="W803" s="90">
        <f t="shared" si="125"/>
        <v>0</v>
      </c>
      <c r="X803" s="90">
        <f t="shared" si="126"/>
        <v>0</v>
      </c>
      <c r="Y803" s="141">
        <f t="shared" si="128"/>
        <v>794</v>
      </c>
      <c r="Z803" s="298">
        <v>159</v>
      </c>
      <c r="AA803" s="299">
        <v>998</v>
      </c>
      <c r="AB803" s="299">
        <v>794</v>
      </c>
      <c r="AC803" s="301">
        <v>0</v>
      </c>
      <c r="AD803" s="301">
        <v>0</v>
      </c>
      <c r="AE803" s="126"/>
      <c r="AF803" s="298"/>
      <c r="AG803" s="299"/>
      <c r="AH803" s="299"/>
      <c r="AI803" s="301"/>
      <c r="AJ803" s="301"/>
      <c r="AK803" s="426"/>
      <c r="AL803" s="298"/>
      <c r="AM803" s="299"/>
      <c r="AN803" s="299"/>
      <c r="AO803" s="301"/>
      <c r="AP803" s="301"/>
      <c r="AQ803" s="426"/>
      <c r="AR803" s="298"/>
      <c r="AS803" s="299"/>
      <c r="AT803" s="299"/>
      <c r="AU803" s="301"/>
      <c r="AV803" s="301"/>
      <c r="AW803" s="88"/>
      <c r="AX803" s="298"/>
      <c r="AY803" s="299"/>
      <c r="AZ803" s="299"/>
      <c r="BA803" s="301"/>
      <c r="BB803" s="301"/>
      <c r="BC803" s="426"/>
      <c r="BD803" s="298"/>
      <c r="BE803" s="299"/>
      <c r="BF803" s="299"/>
      <c r="BG803" s="301"/>
      <c r="BH803" s="301"/>
      <c r="BI803" s="88"/>
      <c r="BJ803" s="298"/>
      <c r="BK803" s="299"/>
      <c r="BL803" s="299"/>
      <c r="BM803" s="301"/>
      <c r="BN803" s="301"/>
      <c r="BO803" s="88"/>
      <c r="BP803" s="9"/>
      <c r="BS803" s="81"/>
      <c r="BT803" s="81"/>
      <c r="BV803" s="9"/>
      <c r="BY803" s="81"/>
      <c r="BZ803" s="81"/>
      <c r="CB803" s="9"/>
      <c r="CE803" s="81"/>
      <c r="CF803" s="81"/>
      <c r="CH803" s="9"/>
      <c r="CK803" s="81"/>
      <c r="CL803" s="81"/>
      <c r="CR803" s="9"/>
      <c r="CS803" s="9"/>
      <c r="CT803" s="9"/>
      <c r="CU803" s="9"/>
      <c r="CV803" s="9"/>
      <c r="CW803" s="129"/>
      <c r="CX803" s="9"/>
    </row>
    <row r="804" spans="1:102">
      <c r="A804" s="6" t="str">
        <f t="shared" si="121"/>
        <v>01590999</v>
      </c>
      <c r="B804" s="6" t="s">
        <v>1809</v>
      </c>
      <c r="C804" s="6" t="s">
        <v>2092</v>
      </c>
      <c r="D804" s="6">
        <v>795</v>
      </c>
      <c r="E804" s="10">
        <v>159</v>
      </c>
      <c r="F804" s="10" t="s">
        <v>1277</v>
      </c>
      <c r="G804" s="10">
        <v>999</v>
      </c>
      <c r="H804" s="10" t="s">
        <v>593</v>
      </c>
      <c r="I804" s="92">
        <v>33192700.990000002</v>
      </c>
      <c r="J804" s="472">
        <v>1</v>
      </c>
      <c r="K804" s="53">
        <f>SUM(K800:K803)</f>
        <v>34218165.739999995</v>
      </c>
      <c r="L804" s="91">
        <f>SUM(L800:L803)</f>
        <v>1</v>
      </c>
      <c r="M804" s="79">
        <f>VLOOKUP(E804,town351,24)</f>
        <v>27327546</v>
      </c>
      <c r="N804" s="79">
        <f>SUM(N800:N803)</f>
        <v>27327546</v>
      </c>
      <c r="O804" s="79">
        <v>26093332</v>
      </c>
      <c r="P804" s="79">
        <f>SUM(P800:P803)</f>
        <v>1234214</v>
      </c>
      <c r="Q804" s="39">
        <f t="shared" si="129"/>
        <v>4.7299976867653388</v>
      </c>
      <c r="R804" s="9">
        <v>2725</v>
      </c>
      <c r="S804" s="9">
        <f t="shared" si="127"/>
        <v>2723</v>
      </c>
      <c r="T804" s="90">
        <f t="shared" si="122"/>
        <v>159</v>
      </c>
      <c r="U804" s="90">
        <f t="shared" si="123"/>
        <v>999</v>
      </c>
      <c r="V804" s="373">
        <f t="shared" si="124"/>
        <v>795</v>
      </c>
      <c r="W804" s="90">
        <f t="shared" si="125"/>
        <v>2723</v>
      </c>
      <c r="X804" s="90">
        <f t="shared" si="126"/>
        <v>34218165.739999995</v>
      </c>
      <c r="Y804" s="141">
        <f t="shared" si="128"/>
        <v>795</v>
      </c>
      <c r="Z804" s="298">
        <v>159</v>
      </c>
      <c r="AA804" s="299">
        <v>999</v>
      </c>
      <c r="AB804" s="299">
        <v>795</v>
      </c>
      <c r="AC804" s="301">
        <v>2723</v>
      </c>
      <c r="AD804" s="301">
        <v>34218165.739999995</v>
      </c>
      <c r="AE804" s="126"/>
      <c r="AF804" s="298"/>
      <c r="AG804" s="299"/>
      <c r="AH804" s="299"/>
      <c r="AI804" s="301"/>
      <c r="AJ804" s="301"/>
      <c r="AK804" s="426"/>
      <c r="AL804" s="298"/>
      <c r="AM804" s="299"/>
      <c r="AN804" s="299"/>
      <c r="AO804" s="301"/>
      <c r="AP804" s="301"/>
      <c r="AQ804" s="426"/>
      <c r="AR804" s="298"/>
      <c r="AS804" s="299"/>
      <c r="AT804" s="299"/>
      <c r="AU804" s="301"/>
      <c r="AV804" s="301"/>
      <c r="AW804" s="91"/>
      <c r="AX804" s="298"/>
      <c r="AY804" s="299"/>
      <c r="AZ804" s="299"/>
      <c r="BA804" s="301"/>
      <c r="BB804" s="301"/>
      <c r="BC804" s="426"/>
      <c r="BD804" s="298"/>
      <c r="BE804" s="299"/>
      <c r="BF804" s="299"/>
      <c r="BG804" s="301"/>
      <c r="BH804" s="301"/>
      <c r="BI804" s="91"/>
      <c r="BJ804" s="298"/>
      <c r="BK804" s="299"/>
      <c r="BL804" s="299"/>
      <c r="BM804" s="301"/>
      <c r="BN804" s="301"/>
      <c r="BO804" s="91"/>
      <c r="BP804" s="9"/>
      <c r="BS804" s="81"/>
      <c r="BT804" s="81"/>
      <c r="BV804" s="9"/>
      <c r="BY804" s="81"/>
      <c r="BZ804" s="81"/>
      <c r="CB804" s="9"/>
      <c r="CE804" s="81"/>
      <c r="CF804" s="81"/>
      <c r="CH804" s="9"/>
      <c r="CK804" s="81"/>
      <c r="CL804" s="81"/>
      <c r="CR804" s="9"/>
      <c r="CS804" s="9"/>
      <c r="CT804" s="9"/>
      <c r="CU804" s="9"/>
      <c r="CV804" s="9"/>
      <c r="CW804" s="129"/>
      <c r="CX804" s="9"/>
    </row>
    <row r="805" spans="1:102">
      <c r="A805" s="6" t="str">
        <f t="shared" si="121"/>
        <v>01600160</v>
      </c>
      <c r="B805" s="6" t="s">
        <v>1810</v>
      </c>
      <c r="C805" s="6" t="s">
        <v>1810</v>
      </c>
      <c r="D805" s="6">
        <v>796</v>
      </c>
      <c r="E805" s="6">
        <v>160</v>
      </c>
      <c r="F805" s="6" t="s">
        <v>1278</v>
      </c>
      <c r="G805" s="6">
        <v>160</v>
      </c>
      <c r="H805" s="6" t="s">
        <v>841</v>
      </c>
      <c r="I805" s="33">
        <v>288791629.52999997</v>
      </c>
      <c r="J805" s="88">
        <v>0.87939015847562108</v>
      </c>
      <c r="K805" s="89">
        <f>X805</f>
        <v>308040584.44</v>
      </c>
      <c r="L805" s="88">
        <f>IF(K809&gt;0, K805/K809, 0)</f>
        <v>0.88552611687984506</v>
      </c>
      <c r="M805" s="58"/>
      <c r="N805" s="9">
        <f>ROUND(M809*L805,0)</f>
        <v>64989538</v>
      </c>
      <c r="O805" s="9">
        <v>60097975</v>
      </c>
      <c r="P805" s="9">
        <f>N805-O805</f>
        <v>4891563</v>
      </c>
      <c r="Q805" s="40">
        <f t="shared" si="129"/>
        <v>8.1393141782231435</v>
      </c>
      <c r="R805" s="9">
        <v>16323</v>
      </c>
      <c r="S805" s="9">
        <f t="shared" si="127"/>
        <v>16506</v>
      </c>
      <c r="T805" s="90">
        <f t="shared" si="122"/>
        <v>160</v>
      </c>
      <c r="U805" s="90">
        <f t="shared" si="123"/>
        <v>160</v>
      </c>
      <c r="V805" s="373">
        <f t="shared" si="124"/>
        <v>796</v>
      </c>
      <c r="W805" s="90">
        <f t="shared" si="125"/>
        <v>16506</v>
      </c>
      <c r="X805" s="90">
        <f t="shared" si="126"/>
        <v>308040584.44</v>
      </c>
      <c r="Y805" s="141">
        <f t="shared" si="128"/>
        <v>796</v>
      </c>
      <c r="Z805" s="298">
        <v>160</v>
      </c>
      <c r="AA805" s="299">
        <v>160</v>
      </c>
      <c r="AB805" s="299">
        <v>796</v>
      </c>
      <c r="AC805" s="301">
        <v>16506</v>
      </c>
      <c r="AD805" s="301">
        <v>308040584.44</v>
      </c>
      <c r="AE805" s="126"/>
      <c r="AF805" s="298"/>
      <c r="AG805" s="299"/>
      <c r="AH805" s="299"/>
      <c r="AI805" s="301"/>
      <c r="AJ805" s="301"/>
      <c r="AK805" s="426"/>
      <c r="AL805" s="298"/>
      <c r="AM805" s="299"/>
      <c r="AN805" s="299"/>
      <c r="AO805" s="301"/>
      <c r="AP805" s="301"/>
      <c r="AQ805" s="426"/>
      <c r="AR805" s="298"/>
      <c r="AS805" s="299"/>
      <c r="AT805" s="299"/>
      <c r="AU805" s="301"/>
      <c r="AV805" s="301"/>
      <c r="AW805" s="88"/>
      <c r="AX805" s="298"/>
      <c r="AY805" s="299"/>
      <c r="AZ805" s="299"/>
      <c r="BA805" s="301"/>
      <c r="BB805" s="301"/>
      <c r="BC805" s="426"/>
      <c r="BD805" s="298"/>
      <c r="BE805" s="299"/>
      <c r="BF805" s="299"/>
      <c r="BG805" s="301"/>
      <c r="BH805" s="301"/>
      <c r="BI805" s="88"/>
      <c r="BJ805" s="298"/>
      <c r="BK805" s="299"/>
      <c r="BL805" s="299"/>
      <c r="BM805" s="301"/>
      <c r="BN805" s="301"/>
      <c r="BO805" s="88"/>
      <c r="BP805" s="9"/>
      <c r="BS805" s="81"/>
      <c r="BT805" s="81"/>
      <c r="BV805" s="9"/>
      <c r="BY805" s="81"/>
      <c r="BZ805" s="81"/>
      <c r="CB805" s="9"/>
      <c r="CE805" s="81"/>
      <c r="CF805" s="81"/>
      <c r="CH805" s="9"/>
      <c r="CK805" s="81"/>
      <c r="CL805" s="81"/>
      <c r="CR805" s="9"/>
      <c r="CS805" s="9"/>
      <c r="CT805" s="9"/>
      <c r="CU805" s="9"/>
      <c r="CV805" s="9"/>
      <c r="CW805" s="129"/>
      <c r="CX805" s="9"/>
    </row>
    <row r="806" spans="1:102">
      <c r="A806" s="6" t="str">
        <f t="shared" si="121"/>
        <v>01600828</v>
      </c>
      <c r="B806" s="6" t="s">
        <v>1810</v>
      </c>
      <c r="C806" s="6" t="s">
        <v>2072</v>
      </c>
      <c r="D806" s="6">
        <v>797</v>
      </c>
      <c r="E806" s="6">
        <v>160</v>
      </c>
      <c r="F806" s="6" t="s">
        <v>1278</v>
      </c>
      <c r="G806" s="6">
        <v>828</v>
      </c>
      <c r="H806" s="6" t="s">
        <v>1102</v>
      </c>
      <c r="I806" s="33">
        <v>39608258.445328116</v>
      </c>
      <c r="J806" s="88">
        <v>0.12060984152437894</v>
      </c>
      <c r="K806" s="89">
        <f t="shared" si="130"/>
        <v>39821074.937571257</v>
      </c>
      <c r="L806" s="88">
        <f>IF(K809&gt;0, K806/K809, 0)</f>
        <v>0.114473883120155</v>
      </c>
      <c r="M806" s="58"/>
      <c r="N806" s="9">
        <f>ROUND(M809*L806,0)</f>
        <v>8401339</v>
      </c>
      <c r="O806" s="9">
        <v>8242538</v>
      </c>
      <c r="P806" s="9">
        <f>N806-O806</f>
        <v>158801</v>
      </c>
      <c r="Q806" s="40">
        <f t="shared" si="129"/>
        <v>1.9266031894545101</v>
      </c>
      <c r="R806" s="9">
        <v>1793.0000000079599</v>
      </c>
      <c r="S806" s="9">
        <f t="shared" si="127"/>
        <v>1763.0000000062801</v>
      </c>
      <c r="T806" s="90">
        <f t="shared" si="122"/>
        <v>160</v>
      </c>
      <c r="U806" s="90">
        <f t="shared" si="123"/>
        <v>828</v>
      </c>
      <c r="V806" s="373">
        <f t="shared" si="124"/>
        <v>797</v>
      </c>
      <c r="W806" s="90">
        <f t="shared" si="125"/>
        <v>1763.0000000062801</v>
      </c>
      <c r="X806" s="90">
        <f t="shared" si="126"/>
        <v>39821074.937571257</v>
      </c>
      <c r="Y806" s="141">
        <f t="shared" si="128"/>
        <v>797</v>
      </c>
      <c r="Z806" s="298">
        <v>160</v>
      </c>
      <c r="AA806" s="299">
        <v>828</v>
      </c>
      <c r="AB806" s="299">
        <v>797</v>
      </c>
      <c r="AC806" s="301">
        <v>1763.0000000062801</v>
      </c>
      <c r="AD806" s="301">
        <v>39821074.937571257</v>
      </c>
      <c r="AE806" s="126"/>
      <c r="AF806" s="298"/>
      <c r="AG806" s="299"/>
      <c r="AH806" s="299"/>
      <c r="AI806" s="301"/>
      <c r="AJ806" s="301"/>
      <c r="AK806" s="426"/>
      <c r="AL806" s="298"/>
      <c r="AM806" s="299"/>
      <c r="AN806" s="299"/>
      <c r="AO806" s="301"/>
      <c r="AP806" s="301"/>
      <c r="AQ806" s="426"/>
      <c r="AR806" s="298"/>
      <c r="AS806" s="299"/>
      <c r="AT806" s="299"/>
      <c r="AU806" s="301"/>
      <c r="AV806" s="301"/>
      <c r="AW806" s="88"/>
      <c r="AX806" s="298"/>
      <c r="AY806" s="299"/>
      <c r="AZ806" s="299"/>
      <c r="BA806" s="301"/>
      <c r="BB806" s="301"/>
      <c r="BC806" s="426"/>
      <c r="BD806" s="298"/>
      <c r="BE806" s="299"/>
      <c r="BF806" s="299"/>
      <c r="BG806" s="301"/>
      <c r="BH806" s="301"/>
      <c r="BI806" s="88"/>
      <c r="BJ806" s="298"/>
      <c r="BK806" s="299"/>
      <c r="BL806" s="299"/>
      <c r="BM806" s="301"/>
      <c r="BN806" s="301"/>
      <c r="BO806" s="88"/>
      <c r="BP806" s="9"/>
      <c r="BS806" s="81"/>
      <c r="BT806" s="81"/>
      <c r="BV806" s="9"/>
      <c r="BY806" s="81"/>
      <c r="BZ806" s="81"/>
      <c r="CB806" s="9"/>
      <c r="CE806" s="81"/>
      <c r="CF806" s="81"/>
      <c r="CH806" s="9"/>
      <c r="CK806" s="81"/>
      <c r="CL806" s="81"/>
      <c r="CR806" s="9"/>
      <c r="CS806" s="9"/>
      <c r="CT806" s="9"/>
      <c r="CU806" s="9"/>
      <c r="CV806" s="9"/>
      <c r="CW806" s="129"/>
      <c r="CX806" s="9"/>
    </row>
    <row r="807" spans="1:102">
      <c r="A807" s="6" t="str">
        <f t="shared" si="121"/>
        <v>01600998</v>
      </c>
      <c r="B807" s="6" t="s">
        <v>1810</v>
      </c>
      <c r="C807" s="6" t="s">
        <v>2091</v>
      </c>
      <c r="D807" s="6">
        <v>798</v>
      </c>
      <c r="E807" s="6">
        <v>160</v>
      </c>
      <c r="F807" s="6" t="s">
        <v>1547</v>
      </c>
      <c r="G807" s="6">
        <v>998</v>
      </c>
      <c r="I807" s="33">
        <v>0</v>
      </c>
      <c r="J807" s="88">
        <v>0</v>
      </c>
      <c r="K807" s="89">
        <f t="shared" si="130"/>
        <v>0</v>
      </c>
      <c r="L807" s="88">
        <f>IF(K809&gt;0, K807/K809, 0)</f>
        <v>0</v>
      </c>
      <c r="M807" s="58"/>
      <c r="N807" s="9">
        <f>ROUND(M809*L807,0)</f>
        <v>0</v>
      </c>
      <c r="O807" s="9">
        <v>0</v>
      </c>
      <c r="P807" s="9">
        <f>N807-O807</f>
        <v>0</v>
      </c>
      <c r="Q807" s="40">
        <f t="shared" si="129"/>
        <v>0</v>
      </c>
      <c r="R807" s="9">
        <v>0</v>
      </c>
      <c r="S807" s="9">
        <f t="shared" si="127"/>
        <v>0</v>
      </c>
      <c r="T807" s="90">
        <f t="shared" si="122"/>
        <v>160</v>
      </c>
      <c r="U807" s="90">
        <f t="shared" si="123"/>
        <v>998</v>
      </c>
      <c r="V807" s="373">
        <f t="shared" si="124"/>
        <v>798</v>
      </c>
      <c r="W807" s="90">
        <f t="shared" si="125"/>
        <v>0</v>
      </c>
      <c r="X807" s="90">
        <f t="shared" si="126"/>
        <v>0</v>
      </c>
      <c r="Y807" s="141">
        <f t="shared" si="128"/>
        <v>798</v>
      </c>
      <c r="Z807" s="298">
        <v>160</v>
      </c>
      <c r="AA807" s="299">
        <v>998</v>
      </c>
      <c r="AB807" s="299">
        <v>798</v>
      </c>
      <c r="AC807" s="301">
        <v>0</v>
      </c>
      <c r="AD807" s="301">
        <v>0</v>
      </c>
      <c r="AE807" s="126"/>
      <c r="AF807" s="298"/>
      <c r="AG807" s="299"/>
      <c r="AH807" s="299"/>
      <c r="AI807" s="301"/>
      <c r="AJ807" s="301"/>
      <c r="AK807" s="426"/>
      <c r="AL807" s="298"/>
      <c r="AM807" s="299"/>
      <c r="AN807" s="299"/>
      <c r="AO807" s="301"/>
      <c r="AP807" s="301"/>
      <c r="AQ807" s="426"/>
      <c r="AR807" s="298"/>
      <c r="AS807" s="299"/>
      <c r="AT807" s="299"/>
      <c r="AU807" s="301"/>
      <c r="AV807" s="301"/>
      <c r="AW807" s="88"/>
      <c r="AX807" s="298"/>
      <c r="AY807" s="299"/>
      <c r="AZ807" s="299"/>
      <c r="BA807" s="301"/>
      <c r="BB807" s="301"/>
      <c r="BC807" s="426"/>
      <c r="BD807" s="298"/>
      <c r="BE807" s="299"/>
      <c r="BF807" s="299"/>
      <c r="BG807" s="301"/>
      <c r="BH807" s="301"/>
      <c r="BI807" s="88"/>
      <c r="BJ807" s="298"/>
      <c r="BK807" s="299"/>
      <c r="BL807" s="299"/>
      <c r="BM807" s="301"/>
      <c r="BN807" s="301"/>
      <c r="BO807" s="88"/>
      <c r="BP807" s="9"/>
      <c r="BS807" s="81"/>
      <c r="BT807" s="81"/>
      <c r="BV807" s="9"/>
      <c r="BY807" s="81"/>
      <c r="BZ807" s="81"/>
      <c r="CB807" s="9"/>
      <c r="CE807" s="81"/>
      <c r="CF807" s="81"/>
      <c r="CH807" s="9"/>
      <c r="CK807" s="81"/>
      <c r="CL807" s="81"/>
      <c r="CR807" s="9"/>
      <c r="CS807" s="9"/>
      <c r="CT807" s="9"/>
      <c r="CU807" s="9"/>
      <c r="CV807" s="9"/>
      <c r="CW807" s="129"/>
      <c r="CX807" s="9"/>
    </row>
    <row r="808" spans="1:102">
      <c r="A808" s="6" t="str">
        <f t="shared" si="121"/>
        <v>01600998</v>
      </c>
      <c r="B808" s="6" t="s">
        <v>1810</v>
      </c>
      <c r="C808" s="6" t="s">
        <v>2091</v>
      </c>
      <c r="D808" s="6">
        <v>799</v>
      </c>
      <c r="E808" s="6">
        <v>160</v>
      </c>
      <c r="F808" s="6" t="s">
        <v>1547</v>
      </c>
      <c r="G808" s="6">
        <v>998</v>
      </c>
      <c r="H808" s="6" t="s">
        <v>1547</v>
      </c>
      <c r="I808" s="33">
        <v>0</v>
      </c>
      <c r="J808" s="88">
        <v>0</v>
      </c>
      <c r="K808" s="89">
        <f t="shared" si="130"/>
        <v>0</v>
      </c>
      <c r="L808" s="88">
        <f>IF(K809&gt;0, K808/K809, 0)</f>
        <v>0</v>
      </c>
      <c r="M808" s="58"/>
      <c r="N808" s="9">
        <f>ROUND(M809*L808,0)</f>
        <v>0</v>
      </c>
      <c r="O808" s="9">
        <v>0</v>
      </c>
      <c r="P808" s="9">
        <f>N808-O808</f>
        <v>0</v>
      </c>
      <c r="Q808" s="40">
        <f t="shared" si="129"/>
        <v>0</v>
      </c>
      <c r="R808" s="9">
        <v>0</v>
      </c>
      <c r="S808" s="9">
        <f t="shared" si="127"/>
        <v>0</v>
      </c>
      <c r="T808" s="90">
        <f t="shared" si="122"/>
        <v>160</v>
      </c>
      <c r="U808" s="90">
        <f t="shared" si="123"/>
        <v>998</v>
      </c>
      <c r="V808" s="373">
        <f t="shared" si="124"/>
        <v>799</v>
      </c>
      <c r="W808" s="90">
        <f t="shared" si="125"/>
        <v>0</v>
      </c>
      <c r="X808" s="90">
        <f t="shared" si="126"/>
        <v>0</v>
      </c>
      <c r="Y808" s="141">
        <f t="shared" si="128"/>
        <v>799</v>
      </c>
      <c r="Z808" s="298">
        <v>160</v>
      </c>
      <c r="AA808" s="299">
        <v>998</v>
      </c>
      <c r="AB808" s="299">
        <v>799</v>
      </c>
      <c r="AC808" s="301">
        <v>0</v>
      </c>
      <c r="AD808" s="301">
        <v>0</v>
      </c>
      <c r="AE808" s="126"/>
      <c r="AF808" s="298"/>
      <c r="AG808" s="299"/>
      <c r="AH808" s="299"/>
      <c r="AI808" s="301"/>
      <c r="AJ808" s="301"/>
      <c r="AK808" s="426"/>
      <c r="AL808" s="298"/>
      <c r="AM808" s="299"/>
      <c r="AN808" s="299"/>
      <c r="AO808" s="301"/>
      <c r="AP808" s="301"/>
      <c r="AQ808" s="426"/>
      <c r="AR808" s="298"/>
      <c r="AS808" s="299"/>
      <c r="AT808" s="299"/>
      <c r="AU808" s="301"/>
      <c r="AV808" s="301"/>
      <c r="AW808" s="88"/>
      <c r="AX808" s="298"/>
      <c r="AY808" s="299"/>
      <c r="AZ808" s="299"/>
      <c r="BA808" s="301"/>
      <c r="BB808" s="301"/>
      <c r="BC808" s="426"/>
      <c r="BD808" s="298"/>
      <c r="BE808" s="299"/>
      <c r="BF808" s="299"/>
      <c r="BG808" s="301"/>
      <c r="BH808" s="301"/>
      <c r="BI808" s="88"/>
      <c r="BJ808" s="298"/>
      <c r="BK808" s="299"/>
      <c r="BL808" s="299"/>
      <c r="BM808" s="301"/>
      <c r="BN808" s="301"/>
      <c r="BO808" s="88"/>
      <c r="BP808" s="9"/>
      <c r="BS808" s="81"/>
      <c r="BT808" s="81"/>
      <c r="BV808" s="9"/>
      <c r="BY808" s="81"/>
      <c r="BZ808" s="81"/>
      <c r="CB808" s="9"/>
      <c r="CE808" s="81"/>
      <c r="CF808" s="81"/>
      <c r="CH808" s="9"/>
      <c r="CK808" s="81"/>
      <c r="CL808" s="81"/>
      <c r="CR808" s="9"/>
      <c r="CS808" s="9"/>
      <c r="CT808" s="9"/>
      <c r="CU808" s="9"/>
      <c r="CV808" s="9"/>
      <c r="CW808" s="129"/>
      <c r="CX808" s="9"/>
    </row>
    <row r="809" spans="1:102">
      <c r="A809" s="6" t="str">
        <f t="shared" si="121"/>
        <v>01600999</v>
      </c>
      <c r="B809" s="6" t="s">
        <v>1810</v>
      </c>
      <c r="C809" s="6" t="s">
        <v>2092</v>
      </c>
      <c r="D809" s="6">
        <v>800</v>
      </c>
      <c r="E809" s="10">
        <v>160</v>
      </c>
      <c r="F809" s="10" t="s">
        <v>1278</v>
      </c>
      <c r="G809" s="10">
        <v>999</v>
      </c>
      <c r="H809" s="10" t="s">
        <v>593</v>
      </c>
      <c r="I809" s="92">
        <v>328399887.97532809</v>
      </c>
      <c r="J809" s="472">
        <v>1</v>
      </c>
      <c r="K809" s="53">
        <f>SUM(K805:K808)</f>
        <v>347861659.37757123</v>
      </c>
      <c r="L809" s="91">
        <f>SUM(L805:L808)</f>
        <v>1</v>
      </c>
      <c r="M809" s="79">
        <f>VLOOKUP(E809,town351,24)</f>
        <v>73390877</v>
      </c>
      <c r="N809" s="79">
        <f>SUM(N805:N808)</f>
        <v>73390877</v>
      </c>
      <c r="O809" s="79">
        <v>68340513</v>
      </c>
      <c r="P809" s="79">
        <f>SUM(P805:P808)</f>
        <v>5050364</v>
      </c>
      <c r="Q809" s="39">
        <f t="shared" si="129"/>
        <v>7.3900001306691978</v>
      </c>
      <c r="R809" s="9">
        <v>18116.00000000796</v>
      </c>
      <c r="S809" s="9">
        <f t="shared" si="127"/>
        <v>18269.000000006279</v>
      </c>
      <c r="T809" s="90">
        <f t="shared" si="122"/>
        <v>160</v>
      </c>
      <c r="U809" s="90">
        <f t="shared" si="123"/>
        <v>999</v>
      </c>
      <c r="V809" s="373">
        <f t="shared" si="124"/>
        <v>800</v>
      </c>
      <c r="W809" s="90">
        <f t="shared" si="125"/>
        <v>18269.000000006279</v>
      </c>
      <c r="X809" s="90">
        <f t="shared" si="126"/>
        <v>347861659.37757123</v>
      </c>
      <c r="Y809" s="141">
        <f t="shared" si="128"/>
        <v>800</v>
      </c>
      <c r="Z809" s="298">
        <v>160</v>
      </c>
      <c r="AA809" s="299">
        <v>999</v>
      </c>
      <c r="AB809" s="299">
        <v>800</v>
      </c>
      <c r="AC809" s="301">
        <v>18269.000000006279</v>
      </c>
      <c r="AD809" s="301">
        <v>347861659.37757123</v>
      </c>
      <c r="AE809" s="126"/>
      <c r="AF809" s="298"/>
      <c r="AG809" s="299"/>
      <c r="AH809" s="299"/>
      <c r="AI809" s="301"/>
      <c r="AJ809" s="301"/>
      <c r="AK809" s="426"/>
      <c r="AL809" s="298"/>
      <c r="AM809" s="299"/>
      <c r="AN809" s="299"/>
      <c r="AO809" s="301"/>
      <c r="AP809" s="301"/>
      <c r="AQ809" s="426"/>
      <c r="AR809" s="298"/>
      <c r="AS809" s="299"/>
      <c r="AT809" s="299"/>
      <c r="AU809" s="301"/>
      <c r="AV809" s="301"/>
      <c r="AW809" s="91"/>
      <c r="AX809" s="298"/>
      <c r="AY809" s="299"/>
      <c r="AZ809" s="299"/>
      <c r="BA809" s="301"/>
      <c r="BB809" s="301"/>
      <c r="BC809" s="426"/>
      <c r="BD809" s="298"/>
      <c r="BE809" s="299"/>
      <c r="BF809" s="299"/>
      <c r="BG809" s="301"/>
      <c r="BH809" s="301"/>
      <c r="BI809" s="91"/>
      <c r="BJ809" s="298"/>
      <c r="BK809" s="299"/>
      <c r="BL809" s="299"/>
      <c r="BM809" s="301"/>
      <c r="BN809" s="301"/>
      <c r="BO809" s="91"/>
      <c r="BP809" s="9"/>
      <c r="BS809" s="81"/>
      <c r="BT809" s="81"/>
      <c r="BV809" s="9"/>
      <c r="BY809" s="81"/>
      <c r="BZ809" s="81"/>
      <c r="CB809" s="9"/>
      <c r="CE809" s="81"/>
      <c r="CF809" s="81"/>
      <c r="CH809" s="9"/>
      <c r="CK809" s="81"/>
      <c r="CL809" s="81"/>
      <c r="CR809" s="9"/>
      <c r="CS809" s="9"/>
      <c r="CT809" s="9"/>
      <c r="CU809" s="9"/>
      <c r="CV809" s="9"/>
      <c r="CW809" s="129"/>
      <c r="CX809" s="9"/>
    </row>
    <row r="810" spans="1:102">
      <c r="A810" s="6" t="str">
        <f t="shared" si="121"/>
        <v>01610161</v>
      </c>
      <c r="B810" s="6" t="s">
        <v>1811</v>
      </c>
      <c r="C810" s="6" t="s">
        <v>1811</v>
      </c>
      <c r="D810" s="6">
        <v>801</v>
      </c>
      <c r="E810" s="6">
        <v>161</v>
      </c>
      <c r="F810" s="6" t="s">
        <v>1279</v>
      </c>
      <c r="G810" s="6">
        <v>161</v>
      </c>
      <c r="H810" s="6" t="s">
        <v>842</v>
      </c>
      <c r="I810" s="33">
        <v>32627792.160000004</v>
      </c>
      <c r="J810" s="88">
        <v>1</v>
      </c>
      <c r="K810" s="89">
        <f>X810</f>
        <v>33328396.509999994</v>
      </c>
      <c r="L810" s="88">
        <f>IF(K814&gt;0, K810/K814, 0)</f>
        <v>1</v>
      </c>
      <c r="M810" s="58"/>
      <c r="N810" s="9">
        <f>ROUND(M814*L810,0)</f>
        <v>18877355</v>
      </c>
      <c r="O810" s="9">
        <v>18168773</v>
      </c>
      <c r="P810" s="9">
        <f>N810-O810</f>
        <v>708582</v>
      </c>
      <c r="Q810" s="40">
        <f t="shared" si="129"/>
        <v>3.8999991909194969</v>
      </c>
      <c r="R810" s="9">
        <v>2248</v>
      </c>
      <c r="S810" s="9">
        <f t="shared" si="127"/>
        <v>2221</v>
      </c>
      <c r="T810" s="90">
        <f t="shared" si="122"/>
        <v>161</v>
      </c>
      <c r="U810" s="90">
        <f t="shared" si="123"/>
        <v>161</v>
      </c>
      <c r="V810" s="373">
        <f t="shared" si="124"/>
        <v>801</v>
      </c>
      <c r="W810" s="90">
        <f t="shared" si="125"/>
        <v>2221</v>
      </c>
      <c r="X810" s="90">
        <f t="shared" si="126"/>
        <v>33328396.509999994</v>
      </c>
      <c r="Y810" s="141">
        <f t="shared" si="128"/>
        <v>801</v>
      </c>
      <c r="Z810" s="298">
        <v>161</v>
      </c>
      <c r="AA810" s="299">
        <v>161</v>
      </c>
      <c r="AB810" s="299">
        <v>801</v>
      </c>
      <c r="AC810" s="301">
        <v>2221</v>
      </c>
      <c r="AD810" s="301">
        <v>33328396.509999994</v>
      </c>
      <c r="AE810" s="126"/>
      <c r="AF810" s="298"/>
      <c r="AG810" s="299"/>
      <c r="AH810" s="299"/>
      <c r="AI810" s="301"/>
      <c r="AJ810" s="301"/>
      <c r="AK810" s="426"/>
      <c r="AL810" s="298"/>
      <c r="AM810" s="299"/>
      <c r="AN810" s="299"/>
      <c r="AO810" s="301"/>
      <c r="AP810" s="301"/>
      <c r="AQ810" s="426"/>
      <c r="AR810" s="298"/>
      <c r="AS810" s="299"/>
      <c r="AT810" s="299"/>
      <c r="AU810" s="301"/>
      <c r="AV810" s="301"/>
      <c r="AW810" s="88"/>
      <c r="AX810" s="298"/>
      <c r="AY810" s="299"/>
      <c r="AZ810" s="299"/>
      <c r="BA810" s="301"/>
      <c r="BB810" s="301"/>
      <c r="BC810" s="426"/>
      <c r="BD810" s="298"/>
      <c r="BE810" s="299"/>
      <c r="BF810" s="299"/>
      <c r="BG810" s="301"/>
      <c r="BH810" s="301"/>
      <c r="BI810" s="88"/>
      <c r="BJ810" s="298"/>
      <c r="BK810" s="299"/>
      <c r="BL810" s="299"/>
      <c r="BM810" s="301"/>
      <c r="BN810" s="301"/>
      <c r="BO810" s="88"/>
      <c r="BP810" s="9"/>
      <c r="BS810" s="81"/>
      <c r="BT810" s="81"/>
      <c r="BV810" s="9"/>
      <c r="BY810" s="81"/>
      <c r="BZ810" s="81"/>
      <c r="CB810" s="9"/>
      <c r="CE810" s="81"/>
      <c r="CF810" s="81"/>
      <c r="CH810" s="9"/>
      <c r="CK810" s="81"/>
      <c r="CL810" s="81"/>
      <c r="CR810" s="9"/>
      <c r="CS810" s="9"/>
      <c r="CT810" s="9"/>
      <c r="CU810" s="9"/>
      <c r="CV810" s="9"/>
      <c r="CW810" s="129"/>
      <c r="CX810" s="9"/>
    </row>
    <row r="811" spans="1:102">
      <c r="A811" s="6" t="str">
        <f t="shared" si="121"/>
        <v>01610998</v>
      </c>
      <c r="B811" s="6" t="s">
        <v>1811</v>
      </c>
      <c r="C811" s="6" t="s">
        <v>2091</v>
      </c>
      <c r="D811" s="6">
        <v>802</v>
      </c>
      <c r="E811" s="6">
        <v>161</v>
      </c>
      <c r="F811" s="6" t="s">
        <v>1547</v>
      </c>
      <c r="G811" s="6">
        <v>998</v>
      </c>
      <c r="H811" s="6" t="s">
        <v>1547</v>
      </c>
      <c r="I811" s="33">
        <v>0</v>
      </c>
      <c r="J811" s="88">
        <v>0</v>
      </c>
      <c r="K811" s="89">
        <f t="shared" si="130"/>
        <v>0</v>
      </c>
      <c r="L811" s="88">
        <f>IF(K814&gt;0, K811/K814, 0)</f>
        <v>0</v>
      </c>
      <c r="M811" s="58"/>
      <c r="N811" s="9">
        <f>ROUND(M814*L811,0)</f>
        <v>0</v>
      </c>
      <c r="O811" s="9">
        <v>0</v>
      </c>
      <c r="P811" s="9">
        <f>N811-O811</f>
        <v>0</v>
      </c>
      <c r="Q811" s="40">
        <f t="shared" si="129"/>
        <v>0</v>
      </c>
      <c r="R811" s="9">
        <v>0</v>
      </c>
      <c r="S811" s="9">
        <f t="shared" si="127"/>
        <v>0</v>
      </c>
      <c r="T811" s="90">
        <f t="shared" si="122"/>
        <v>161</v>
      </c>
      <c r="U811" s="90">
        <f t="shared" si="123"/>
        <v>998</v>
      </c>
      <c r="V811" s="373">
        <f t="shared" si="124"/>
        <v>802</v>
      </c>
      <c r="W811" s="90">
        <f t="shared" si="125"/>
        <v>0</v>
      </c>
      <c r="X811" s="90">
        <f t="shared" si="126"/>
        <v>0</v>
      </c>
      <c r="Y811" s="141">
        <f t="shared" si="128"/>
        <v>802</v>
      </c>
      <c r="Z811" s="298">
        <v>161</v>
      </c>
      <c r="AA811" s="299">
        <v>998</v>
      </c>
      <c r="AB811" s="299">
        <v>802</v>
      </c>
      <c r="AC811" s="301">
        <v>0</v>
      </c>
      <c r="AD811" s="301">
        <v>0</v>
      </c>
      <c r="AE811" s="126"/>
      <c r="AF811" s="298"/>
      <c r="AG811" s="299"/>
      <c r="AH811" s="299"/>
      <c r="AI811" s="301"/>
      <c r="AJ811" s="301"/>
      <c r="AK811" s="426"/>
      <c r="AL811" s="298"/>
      <c r="AM811" s="299"/>
      <c r="AN811" s="299"/>
      <c r="AO811" s="301"/>
      <c r="AP811" s="301"/>
      <c r="AQ811" s="426"/>
      <c r="AR811" s="298"/>
      <c r="AS811" s="299"/>
      <c r="AT811" s="299"/>
      <c r="AU811" s="301"/>
      <c r="AV811" s="301"/>
      <c r="AW811" s="88"/>
      <c r="AX811" s="298"/>
      <c r="AY811" s="299"/>
      <c r="AZ811" s="299"/>
      <c r="BA811" s="301"/>
      <c r="BB811" s="301"/>
      <c r="BC811" s="426"/>
      <c r="BD811" s="298"/>
      <c r="BE811" s="299"/>
      <c r="BF811" s="299"/>
      <c r="BG811" s="301"/>
      <c r="BH811" s="301"/>
      <c r="BI811" s="88"/>
      <c r="BJ811" s="298"/>
      <c r="BK811" s="299"/>
      <c r="BL811" s="299"/>
      <c r="BM811" s="301"/>
      <c r="BN811" s="301"/>
      <c r="BO811" s="88"/>
      <c r="BP811" s="9"/>
      <c r="BS811" s="81"/>
      <c r="BT811" s="81"/>
      <c r="BV811" s="9"/>
      <c r="BY811" s="81"/>
      <c r="BZ811" s="81"/>
      <c r="CB811" s="9"/>
      <c r="CE811" s="81"/>
      <c r="CF811" s="81"/>
      <c r="CH811" s="9"/>
      <c r="CK811" s="81"/>
      <c r="CL811" s="81"/>
      <c r="CR811" s="9"/>
      <c r="CS811" s="9"/>
      <c r="CT811" s="9"/>
      <c r="CU811" s="9"/>
      <c r="CV811" s="9"/>
      <c r="CW811" s="129"/>
      <c r="CX811" s="9"/>
    </row>
    <row r="812" spans="1:102">
      <c r="A812" s="6" t="str">
        <f t="shared" si="121"/>
        <v>01610998</v>
      </c>
      <c r="B812" s="6" t="s">
        <v>1811</v>
      </c>
      <c r="C812" s="6" t="s">
        <v>2091</v>
      </c>
      <c r="D812" s="6">
        <v>803</v>
      </c>
      <c r="E812" s="6">
        <v>161</v>
      </c>
      <c r="F812" s="6" t="s">
        <v>1547</v>
      </c>
      <c r="G812" s="6">
        <v>998</v>
      </c>
      <c r="H812" s="6" t="s">
        <v>1547</v>
      </c>
      <c r="I812" s="33">
        <v>0</v>
      </c>
      <c r="J812" s="88">
        <v>0</v>
      </c>
      <c r="K812" s="89">
        <f t="shared" si="130"/>
        <v>0</v>
      </c>
      <c r="L812" s="88">
        <f>IF(K814&gt;0, K812/K814, 0)</f>
        <v>0</v>
      </c>
      <c r="M812" s="58"/>
      <c r="N812" s="9">
        <f>ROUND(M814*L812,0)</f>
        <v>0</v>
      </c>
      <c r="O812" s="9">
        <v>0</v>
      </c>
      <c r="P812" s="9">
        <f>N812-O812</f>
        <v>0</v>
      </c>
      <c r="Q812" s="40">
        <f t="shared" si="129"/>
        <v>0</v>
      </c>
      <c r="R812" s="9">
        <v>0</v>
      </c>
      <c r="S812" s="9">
        <f t="shared" si="127"/>
        <v>0</v>
      </c>
      <c r="T812" s="90">
        <f t="shared" si="122"/>
        <v>161</v>
      </c>
      <c r="U812" s="90">
        <f t="shared" si="123"/>
        <v>998</v>
      </c>
      <c r="V812" s="373">
        <f t="shared" si="124"/>
        <v>803</v>
      </c>
      <c r="W812" s="90">
        <f t="shared" si="125"/>
        <v>0</v>
      </c>
      <c r="X812" s="90">
        <f t="shared" si="126"/>
        <v>0</v>
      </c>
      <c r="Y812" s="141">
        <f t="shared" si="128"/>
        <v>803</v>
      </c>
      <c r="Z812" s="298">
        <v>161</v>
      </c>
      <c r="AA812" s="299">
        <v>998</v>
      </c>
      <c r="AB812" s="299">
        <v>803</v>
      </c>
      <c r="AC812" s="301">
        <v>0</v>
      </c>
      <c r="AD812" s="301">
        <v>0</v>
      </c>
      <c r="AE812" s="126"/>
      <c r="AF812" s="298"/>
      <c r="AG812" s="299"/>
      <c r="AH812" s="299"/>
      <c r="AI812" s="301"/>
      <c r="AJ812" s="301"/>
      <c r="AK812" s="426"/>
      <c r="AL812" s="298"/>
      <c r="AM812" s="299"/>
      <c r="AN812" s="299"/>
      <c r="AO812" s="301"/>
      <c r="AP812" s="301"/>
      <c r="AQ812" s="426"/>
      <c r="AR812" s="298"/>
      <c r="AS812" s="299"/>
      <c r="AT812" s="299"/>
      <c r="AU812" s="301"/>
      <c r="AV812" s="301"/>
      <c r="AW812" s="88"/>
      <c r="AX812" s="298"/>
      <c r="AY812" s="299"/>
      <c r="AZ812" s="299"/>
      <c r="BA812" s="301"/>
      <c r="BB812" s="301"/>
      <c r="BC812" s="426"/>
      <c r="BD812" s="298"/>
      <c r="BE812" s="299"/>
      <c r="BF812" s="299"/>
      <c r="BG812" s="301"/>
      <c r="BH812" s="301"/>
      <c r="BI812" s="88"/>
      <c r="BJ812" s="298"/>
      <c r="BK812" s="299"/>
      <c r="BL812" s="299"/>
      <c r="BM812" s="301"/>
      <c r="BN812" s="301"/>
      <c r="BO812" s="88"/>
      <c r="BP812" s="9"/>
      <c r="BS812" s="81"/>
      <c r="BT812" s="81"/>
      <c r="BV812" s="9"/>
      <c r="BY812" s="81"/>
      <c r="BZ812" s="81"/>
      <c r="CB812" s="9"/>
      <c r="CE812" s="81"/>
      <c r="CF812" s="81"/>
      <c r="CH812" s="9"/>
      <c r="CK812" s="81"/>
      <c r="CL812" s="81"/>
      <c r="CR812" s="9"/>
      <c r="CS812" s="9"/>
      <c r="CT812" s="9"/>
      <c r="CU812" s="9"/>
      <c r="CV812" s="9"/>
      <c r="CW812" s="129"/>
      <c r="CX812" s="9"/>
    </row>
    <row r="813" spans="1:102">
      <c r="A813" s="6" t="str">
        <f t="shared" si="121"/>
        <v>01610998</v>
      </c>
      <c r="B813" s="6" t="s">
        <v>1811</v>
      </c>
      <c r="C813" s="6" t="s">
        <v>2091</v>
      </c>
      <c r="D813" s="6">
        <v>804</v>
      </c>
      <c r="E813" s="6">
        <v>161</v>
      </c>
      <c r="F813" s="6" t="s">
        <v>1547</v>
      </c>
      <c r="G813" s="6">
        <v>998</v>
      </c>
      <c r="H813" s="6" t="s">
        <v>1547</v>
      </c>
      <c r="I813" s="33">
        <v>0</v>
      </c>
      <c r="J813" s="88">
        <v>0</v>
      </c>
      <c r="K813" s="89">
        <f t="shared" si="130"/>
        <v>0</v>
      </c>
      <c r="L813" s="88">
        <f>IF(K814&gt;0, K813/K814, 0)</f>
        <v>0</v>
      </c>
      <c r="M813" s="58"/>
      <c r="N813" s="9">
        <f>ROUND(M814*L813,0)</f>
        <v>0</v>
      </c>
      <c r="O813" s="9">
        <v>0</v>
      </c>
      <c r="P813" s="9">
        <f>N813-O813</f>
        <v>0</v>
      </c>
      <c r="Q813" s="40">
        <f t="shared" si="129"/>
        <v>0</v>
      </c>
      <c r="R813" s="9">
        <v>0</v>
      </c>
      <c r="S813" s="9">
        <f t="shared" si="127"/>
        <v>0</v>
      </c>
      <c r="T813" s="90">
        <f t="shared" si="122"/>
        <v>161</v>
      </c>
      <c r="U813" s="90">
        <f t="shared" si="123"/>
        <v>998</v>
      </c>
      <c r="V813" s="373">
        <f t="shared" si="124"/>
        <v>804</v>
      </c>
      <c r="W813" s="90">
        <f t="shared" si="125"/>
        <v>0</v>
      </c>
      <c r="X813" s="90">
        <f t="shared" si="126"/>
        <v>0</v>
      </c>
      <c r="Y813" s="141">
        <f t="shared" si="128"/>
        <v>804</v>
      </c>
      <c r="Z813" s="298">
        <v>161</v>
      </c>
      <c r="AA813" s="299">
        <v>998</v>
      </c>
      <c r="AB813" s="299">
        <v>804</v>
      </c>
      <c r="AC813" s="301">
        <v>0</v>
      </c>
      <c r="AD813" s="301">
        <v>0</v>
      </c>
      <c r="AE813" s="126"/>
      <c r="AF813" s="298"/>
      <c r="AG813" s="299"/>
      <c r="AH813" s="299"/>
      <c r="AI813" s="301"/>
      <c r="AJ813" s="301"/>
      <c r="AK813" s="426"/>
      <c r="AL813" s="298"/>
      <c r="AM813" s="299"/>
      <c r="AN813" s="299"/>
      <c r="AO813" s="301"/>
      <c r="AP813" s="301"/>
      <c r="AQ813" s="426"/>
      <c r="AR813" s="298"/>
      <c r="AS813" s="299"/>
      <c r="AT813" s="299"/>
      <c r="AU813" s="301"/>
      <c r="AV813" s="301"/>
      <c r="AW813" s="88"/>
      <c r="AX813" s="298"/>
      <c r="AY813" s="299"/>
      <c r="AZ813" s="299"/>
      <c r="BA813" s="301"/>
      <c r="BB813" s="301"/>
      <c r="BC813" s="426"/>
      <c r="BD813" s="298"/>
      <c r="BE813" s="299"/>
      <c r="BF813" s="299"/>
      <c r="BG813" s="301"/>
      <c r="BH813" s="301"/>
      <c r="BI813" s="88"/>
      <c r="BJ813" s="298"/>
      <c r="BK813" s="299"/>
      <c r="BL813" s="299"/>
      <c r="BM813" s="301"/>
      <c r="BN813" s="301"/>
      <c r="BO813" s="88"/>
      <c r="BP813" s="9"/>
      <c r="BS813" s="81"/>
      <c r="BT813" s="81"/>
      <c r="BV813" s="9"/>
      <c r="BY813" s="81"/>
      <c r="BZ813" s="81"/>
      <c r="CB813" s="9"/>
      <c r="CE813" s="81"/>
      <c r="CF813" s="81"/>
      <c r="CH813" s="9"/>
      <c r="CK813" s="81"/>
      <c r="CL813" s="81"/>
      <c r="CR813" s="9"/>
      <c r="CS813" s="9"/>
      <c r="CT813" s="9"/>
      <c r="CU813" s="9"/>
      <c r="CV813" s="9"/>
      <c r="CW813" s="129"/>
      <c r="CX813" s="9"/>
    </row>
    <row r="814" spans="1:102">
      <c r="A814" s="6" t="str">
        <f t="shared" si="121"/>
        <v>01610999</v>
      </c>
      <c r="B814" s="6" t="s">
        <v>1811</v>
      </c>
      <c r="C814" s="6" t="s">
        <v>2092</v>
      </c>
      <c r="D814" s="6">
        <v>805</v>
      </c>
      <c r="E814" s="10">
        <v>161</v>
      </c>
      <c r="F814" s="10" t="s">
        <v>1279</v>
      </c>
      <c r="G814" s="10">
        <v>999</v>
      </c>
      <c r="H814" s="10" t="s">
        <v>593</v>
      </c>
      <c r="I814" s="92">
        <v>32627792.160000004</v>
      </c>
      <c r="J814" s="472">
        <v>1</v>
      </c>
      <c r="K814" s="53">
        <f>SUM(K810:K813)</f>
        <v>33328396.509999994</v>
      </c>
      <c r="L814" s="91">
        <f>SUM(L810:L813)</f>
        <v>1</v>
      </c>
      <c r="M814" s="79">
        <f>VLOOKUP(E814,town351,24)</f>
        <v>18877355</v>
      </c>
      <c r="N814" s="79">
        <f>SUM(N810:N813)</f>
        <v>18877355</v>
      </c>
      <c r="O814" s="79">
        <v>18168773</v>
      </c>
      <c r="P814" s="79">
        <f>SUM(P810:P813)</f>
        <v>708582</v>
      </c>
      <c r="Q814" s="39">
        <f t="shared" si="129"/>
        <v>3.8999991909194969</v>
      </c>
      <c r="R814" s="9">
        <v>2248</v>
      </c>
      <c r="S814" s="9">
        <f t="shared" si="127"/>
        <v>2221</v>
      </c>
      <c r="T814" s="90">
        <f t="shared" si="122"/>
        <v>161</v>
      </c>
      <c r="U814" s="90">
        <f t="shared" si="123"/>
        <v>999</v>
      </c>
      <c r="V814" s="373">
        <f t="shared" si="124"/>
        <v>805</v>
      </c>
      <c r="W814" s="90">
        <f t="shared" si="125"/>
        <v>2221</v>
      </c>
      <c r="X814" s="90">
        <f t="shared" si="126"/>
        <v>33328396.509999994</v>
      </c>
      <c r="Y814" s="141">
        <f t="shared" si="128"/>
        <v>805</v>
      </c>
      <c r="Z814" s="298">
        <v>161</v>
      </c>
      <c r="AA814" s="299">
        <v>999</v>
      </c>
      <c r="AB814" s="299">
        <v>805</v>
      </c>
      <c r="AC814" s="301">
        <v>2221</v>
      </c>
      <c r="AD814" s="301">
        <v>33328396.509999994</v>
      </c>
      <c r="AE814" s="126"/>
      <c r="AF814" s="298"/>
      <c r="AG814" s="299"/>
      <c r="AH814" s="299"/>
      <c r="AI814" s="301"/>
      <c r="AJ814" s="301"/>
      <c r="AK814" s="426"/>
      <c r="AL814" s="298"/>
      <c r="AM814" s="299"/>
      <c r="AN814" s="299"/>
      <c r="AO814" s="301"/>
      <c r="AP814" s="301"/>
      <c r="AQ814" s="426"/>
      <c r="AR814" s="298"/>
      <c r="AS814" s="299"/>
      <c r="AT814" s="299"/>
      <c r="AU814" s="301"/>
      <c r="AV814" s="301"/>
      <c r="AW814" s="91"/>
      <c r="AX814" s="298"/>
      <c r="AY814" s="299"/>
      <c r="AZ814" s="299"/>
      <c r="BA814" s="301"/>
      <c r="BB814" s="301"/>
      <c r="BC814" s="426"/>
      <c r="BD814" s="298"/>
      <c r="BE814" s="299"/>
      <c r="BF814" s="299"/>
      <c r="BG814" s="301"/>
      <c r="BH814" s="301"/>
      <c r="BI814" s="91"/>
      <c r="BJ814" s="298"/>
      <c r="BK814" s="299"/>
      <c r="BL814" s="299"/>
      <c r="BM814" s="301"/>
      <c r="BN814" s="301"/>
      <c r="BO814" s="91"/>
      <c r="BP814" s="9"/>
      <c r="BS814" s="81"/>
      <c r="BT814" s="81"/>
      <c r="BV814" s="9"/>
      <c r="BY814" s="81"/>
      <c r="BZ814" s="81"/>
      <c r="CB814" s="9"/>
      <c r="CE814" s="81"/>
      <c r="CF814" s="81"/>
      <c r="CH814" s="9"/>
      <c r="CK814" s="81"/>
      <c r="CL814" s="81"/>
      <c r="CR814" s="9"/>
      <c r="CS814" s="9"/>
      <c r="CT814" s="9"/>
      <c r="CU814" s="9"/>
      <c r="CV814" s="9"/>
      <c r="CW814" s="129"/>
      <c r="CX814" s="9"/>
    </row>
    <row r="815" spans="1:102">
      <c r="A815" s="6" t="str">
        <f t="shared" si="121"/>
        <v>01620162</v>
      </c>
      <c r="B815" s="6" t="s">
        <v>1812</v>
      </c>
      <c r="C815" s="6" t="s">
        <v>1812</v>
      </c>
      <c r="D815" s="6">
        <v>806</v>
      </c>
      <c r="E815" s="6">
        <v>162</v>
      </c>
      <c r="F815" s="6" t="s">
        <v>1280</v>
      </c>
      <c r="G815" s="6">
        <v>162</v>
      </c>
      <c r="H815" s="6" t="s">
        <v>843</v>
      </c>
      <c r="I815" s="33">
        <v>20659694.909999996</v>
      </c>
      <c r="J815" s="88">
        <v>0.91355236321345834</v>
      </c>
      <c r="K815" s="89">
        <f>X815</f>
        <v>21553250.210000001</v>
      </c>
      <c r="L815" s="88">
        <f>IF(K819&gt;0, K815/K819, 0)</f>
        <v>0.91485802927873061</v>
      </c>
      <c r="M815" s="58"/>
      <c r="N815" s="9">
        <f>ROUND(M819*L815,0)</f>
        <v>12595979</v>
      </c>
      <c r="O815" s="9">
        <v>11910986</v>
      </c>
      <c r="P815" s="9">
        <f>N815-O815</f>
        <v>684993</v>
      </c>
      <c r="Q815" s="40">
        <f t="shared" si="129"/>
        <v>5.7509344734348611</v>
      </c>
      <c r="R815" s="9">
        <v>1615</v>
      </c>
      <c r="S815" s="9">
        <f t="shared" si="127"/>
        <v>1633</v>
      </c>
      <c r="T815" s="90">
        <f t="shared" si="122"/>
        <v>162</v>
      </c>
      <c r="U815" s="90">
        <f t="shared" si="123"/>
        <v>162</v>
      </c>
      <c r="V815" s="373">
        <f t="shared" si="124"/>
        <v>806</v>
      </c>
      <c r="W815" s="90">
        <f t="shared" si="125"/>
        <v>1633</v>
      </c>
      <c r="X815" s="90">
        <f t="shared" si="126"/>
        <v>21553250.210000001</v>
      </c>
      <c r="Y815" s="141">
        <f t="shared" si="128"/>
        <v>806</v>
      </c>
      <c r="Z815" s="298">
        <v>162</v>
      </c>
      <c r="AA815" s="299">
        <v>162</v>
      </c>
      <c r="AB815" s="299">
        <v>806</v>
      </c>
      <c r="AC815" s="301">
        <v>1633</v>
      </c>
      <c r="AD815" s="301">
        <v>21553250.210000001</v>
      </c>
      <c r="AE815" s="126"/>
      <c r="AF815" s="298"/>
      <c r="AG815" s="299"/>
      <c r="AH815" s="299"/>
      <c r="AI815" s="301"/>
      <c r="AJ815" s="301"/>
      <c r="AK815" s="426"/>
      <c r="AL815" s="298"/>
      <c r="AM815" s="299"/>
      <c r="AN815" s="299"/>
      <c r="AO815" s="301"/>
      <c r="AP815" s="301"/>
      <c r="AQ815" s="426"/>
      <c r="AR815" s="298"/>
      <c r="AS815" s="299"/>
      <c r="AT815" s="299"/>
      <c r="AU815" s="301"/>
      <c r="AV815" s="301"/>
      <c r="AW815" s="88"/>
      <c r="AX815" s="298"/>
      <c r="AY815" s="299"/>
      <c r="AZ815" s="299"/>
      <c r="BA815" s="301"/>
      <c r="BB815" s="301"/>
      <c r="BC815" s="426"/>
      <c r="BD815" s="298"/>
      <c r="BE815" s="299"/>
      <c r="BF815" s="299"/>
      <c r="BG815" s="301"/>
      <c r="BH815" s="301"/>
      <c r="BI815" s="88"/>
      <c r="BJ815" s="298"/>
      <c r="BK815" s="299"/>
      <c r="BL815" s="299"/>
      <c r="BM815" s="301"/>
      <c r="BN815" s="301"/>
      <c r="BO815" s="88"/>
      <c r="BP815" s="9"/>
      <c r="BS815" s="81"/>
      <c r="BT815" s="81"/>
      <c r="BV815" s="9"/>
      <c r="BY815" s="81"/>
      <c r="BZ815" s="81"/>
      <c r="CB815" s="9"/>
      <c r="CE815" s="81"/>
      <c r="CF815" s="81"/>
      <c r="CH815" s="9"/>
      <c r="CK815" s="81"/>
      <c r="CL815" s="81"/>
      <c r="CR815" s="9"/>
      <c r="CS815" s="9"/>
      <c r="CT815" s="9"/>
      <c r="CU815" s="9"/>
      <c r="CV815" s="9"/>
      <c r="CW815" s="129"/>
      <c r="CX815" s="9"/>
    </row>
    <row r="816" spans="1:102">
      <c r="A816" s="6" t="str">
        <f t="shared" si="121"/>
        <v>01620832</v>
      </c>
      <c r="B816" s="6" t="s">
        <v>1812</v>
      </c>
      <c r="C816" s="6" t="s">
        <v>2075</v>
      </c>
      <c r="D816" s="6">
        <v>807</v>
      </c>
      <c r="E816" s="6">
        <v>162</v>
      </c>
      <c r="F816" s="6" t="s">
        <v>1280</v>
      </c>
      <c r="G816" s="6">
        <v>832</v>
      </c>
      <c r="H816" s="6" t="s">
        <v>1105</v>
      </c>
      <c r="I816" s="33">
        <v>1954985.6949832402</v>
      </c>
      <c r="J816" s="88">
        <v>8.6447636786541715E-2</v>
      </c>
      <c r="K816" s="89">
        <f t="shared" si="130"/>
        <v>2005869.915985527</v>
      </c>
      <c r="L816" s="88">
        <f>IF(K819&gt;0, K816/K819, 0)</f>
        <v>8.5141970721269333E-2</v>
      </c>
      <c r="M816" s="58"/>
      <c r="N816" s="9">
        <f>ROUND(M819*L816,0)</f>
        <v>1172254</v>
      </c>
      <c r="O816" s="9">
        <v>1127113</v>
      </c>
      <c r="P816" s="9">
        <f>N816-O816</f>
        <v>45141</v>
      </c>
      <c r="Q816" s="40">
        <f t="shared" si="129"/>
        <v>4.0050110326116366</v>
      </c>
      <c r="R816" s="9">
        <v>97.132604232450007</v>
      </c>
      <c r="S816" s="9">
        <f t="shared" si="127"/>
        <v>98.999999997480003</v>
      </c>
      <c r="T816" s="90">
        <f t="shared" si="122"/>
        <v>162</v>
      </c>
      <c r="U816" s="90">
        <f t="shared" si="123"/>
        <v>832</v>
      </c>
      <c r="V816" s="373">
        <f t="shared" si="124"/>
        <v>807</v>
      </c>
      <c r="W816" s="90">
        <f t="shared" si="125"/>
        <v>98.999999997480003</v>
      </c>
      <c r="X816" s="90">
        <f t="shared" si="126"/>
        <v>2005869.915985527</v>
      </c>
      <c r="Y816" s="141">
        <f t="shared" si="128"/>
        <v>807</v>
      </c>
      <c r="Z816" s="298">
        <v>162</v>
      </c>
      <c r="AA816" s="299">
        <v>832</v>
      </c>
      <c r="AB816" s="299">
        <v>807</v>
      </c>
      <c r="AC816" s="301">
        <v>98.999999997480003</v>
      </c>
      <c r="AD816" s="301">
        <v>2005869.915985527</v>
      </c>
      <c r="AE816" s="126"/>
      <c r="AF816" s="298"/>
      <c r="AG816" s="299"/>
      <c r="AH816" s="299"/>
      <c r="AI816" s="301"/>
      <c r="AJ816" s="301"/>
      <c r="AK816" s="426"/>
      <c r="AL816" s="298"/>
      <c r="AM816" s="299"/>
      <c r="AN816" s="299"/>
      <c r="AO816" s="301"/>
      <c r="AP816" s="301"/>
      <c r="AQ816" s="426"/>
      <c r="AR816" s="298"/>
      <c r="AS816" s="299"/>
      <c r="AT816" s="299"/>
      <c r="AU816" s="301"/>
      <c r="AV816" s="301"/>
      <c r="AW816" s="88"/>
      <c r="AX816" s="298"/>
      <c r="AY816" s="299"/>
      <c r="AZ816" s="299"/>
      <c r="BA816" s="301"/>
      <c r="BB816" s="301"/>
      <c r="BC816" s="426"/>
      <c r="BD816" s="298"/>
      <c r="BE816" s="299"/>
      <c r="BF816" s="299"/>
      <c r="BG816" s="301"/>
      <c r="BH816" s="301"/>
      <c r="BI816" s="88"/>
      <c r="BJ816" s="298"/>
      <c r="BK816" s="299"/>
      <c r="BL816" s="299"/>
      <c r="BM816" s="301"/>
      <c r="BN816" s="301"/>
      <c r="BO816" s="88"/>
      <c r="BP816" s="9"/>
      <c r="BS816" s="81"/>
      <c r="BT816" s="81"/>
      <c r="BV816" s="9"/>
      <c r="BY816" s="81"/>
      <c r="BZ816" s="81"/>
      <c r="CB816" s="9"/>
      <c r="CE816" s="81"/>
      <c r="CF816" s="81"/>
      <c r="CH816" s="9"/>
      <c r="CK816" s="81"/>
      <c r="CL816" s="81"/>
      <c r="CR816" s="9"/>
      <c r="CS816" s="9"/>
      <c r="CT816" s="9"/>
      <c r="CU816" s="9"/>
      <c r="CV816" s="9"/>
      <c r="CW816" s="129"/>
      <c r="CX816" s="9"/>
    </row>
    <row r="817" spans="1:102">
      <c r="A817" s="6" t="str">
        <f t="shared" si="121"/>
        <v>01620998</v>
      </c>
      <c r="B817" s="6" t="s">
        <v>1812</v>
      </c>
      <c r="C817" s="6" t="s">
        <v>2091</v>
      </c>
      <c r="D817" s="6">
        <v>808</v>
      </c>
      <c r="E817" s="6">
        <v>162</v>
      </c>
      <c r="F817" s="6" t="s">
        <v>1547</v>
      </c>
      <c r="G817" s="6">
        <v>998</v>
      </c>
      <c r="H817" s="6" t="s">
        <v>1547</v>
      </c>
      <c r="I817" s="33">
        <v>0</v>
      </c>
      <c r="J817" s="88">
        <v>0</v>
      </c>
      <c r="K817" s="89">
        <f t="shared" si="130"/>
        <v>0</v>
      </c>
      <c r="L817" s="88">
        <f>IF(K819&gt;0, K817/K819, 0)</f>
        <v>0</v>
      </c>
      <c r="M817" s="58"/>
      <c r="N817" s="9">
        <f>ROUND(M819*L817,0)</f>
        <v>0</v>
      </c>
      <c r="O817" s="9">
        <v>0</v>
      </c>
      <c r="P817" s="9">
        <f>N817-O817</f>
        <v>0</v>
      </c>
      <c r="Q817" s="40">
        <f t="shared" si="129"/>
        <v>0</v>
      </c>
      <c r="R817" s="9">
        <v>0</v>
      </c>
      <c r="S817" s="9">
        <f t="shared" si="127"/>
        <v>0</v>
      </c>
      <c r="T817" s="90">
        <f t="shared" si="122"/>
        <v>162</v>
      </c>
      <c r="U817" s="90">
        <f t="shared" si="123"/>
        <v>998</v>
      </c>
      <c r="V817" s="373">
        <f t="shared" si="124"/>
        <v>808</v>
      </c>
      <c r="W817" s="90">
        <f t="shared" si="125"/>
        <v>0</v>
      </c>
      <c r="X817" s="90">
        <f t="shared" si="126"/>
        <v>0</v>
      </c>
      <c r="Y817" s="141">
        <f t="shared" si="128"/>
        <v>808</v>
      </c>
      <c r="Z817" s="298">
        <v>162</v>
      </c>
      <c r="AA817" s="299">
        <v>998</v>
      </c>
      <c r="AB817" s="299">
        <v>808</v>
      </c>
      <c r="AC817" s="301">
        <v>0</v>
      </c>
      <c r="AD817" s="301">
        <v>0</v>
      </c>
      <c r="AE817" s="126"/>
      <c r="AF817" s="298"/>
      <c r="AG817" s="299"/>
      <c r="AH817" s="299"/>
      <c r="AI817" s="301"/>
      <c r="AJ817" s="301"/>
      <c r="AK817" s="426"/>
      <c r="AL817" s="298"/>
      <c r="AM817" s="299"/>
      <c r="AN817" s="299"/>
      <c r="AO817" s="301"/>
      <c r="AP817" s="301"/>
      <c r="AQ817" s="426"/>
      <c r="AR817" s="298"/>
      <c r="AS817" s="299"/>
      <c r="AT817" s="299"/>
      <c r="AU817" s="301"/>
      <c r="AV817" s="301"/>
      <c r="AW817" s="88"/>
      <c r="AX817" s="298"/>
      <c r="AY817" s="299"/>
      <c r="AZ817" s="299"/>
      <c r="BA817" s="301"/>
      <c r="BB817" s="301"/>
      <c r="BC817" s="426"/>
      <c r="BD817" s="298"/>
      <c r="BE817" s="299"/>
      <c r="BF817" s="299"/>
      <c r="BG817" s="301"/>
      <c r="BH817" s="301"/>
      <c r="BI817" s="88"/>
      <c r="BJ817" s="298"/>
      <c r="BK817" s="299"/>
      <c r="BL817" s="299"/>
      <c r="BM817" s="301"/>
      <c r="BN817" s="301"/>
      <c r="BO817" s="88"/>
      <c r="BP817" s="9"/>
      <c r="BS817" s="81"/>
      <c r="BT817" s="81"/>
      <c r="BV817" s="9"/>
      <c r="BY817" s="81"/>
      <c r="BZ817" s="81"/>
      <c r="CB817" s="9"/>
      <c r="CE817" s="81"/>
      <c r="CF817" s="81"/>
      <c r="CH817" s="9"/>
      <c r="CK817" s="81"/>
      <c r="CL817" s="81"/>
      <c r="CR817" s="9"/>
      <c r="CS817" s="9"/>
      <c r="CT817" s="9"/>
      <c r="CU817" s="9"/>
      <c r="CV817" s="9"/>
      <c r="CW817" s="129"/>
      <c r="CX817" s="9"/>
    </row>
    <row r="818" spans="1:102">
      <c r="A818" s="6" t="str">
        <f t="shared" si="121"/>
        <v>01620998</v>
      </c>
      <c r="B818" s="6" t="s">
        <v>1812</v>
      </c>
      <c r="C818" s="6" t="s">
        <v>2091</v>
      </c>
      <c r="D818" s="6">
        <v>809</v>
      </c>
      <c r="E818" s="6">
        <v>162</v>
      </c>
      <c r="F818" s="6" t="s">
        <v>1547</v>
      </c>
      <c r="G818" s="6">
        <v>998</v>
      </c>
      <c r="H818" s="6" t="s">
        <v>1547</v>
      </c>
      <c r="I818" s="33">
        <v>0</v>
      </c>
      <c r="J818" s="88">
        <v>0</v>
      </c>
      <c r="K818" s="89">
        <f t="shared" si="130"/>
        <v>0</v>
      </c>
      <c r="L818" s="88">
        <f>IF(K819&gt;0, K818/K819, 0)</f>
        <v>0</v>
      </c>
      <c r="M818" s="58"/>
      <c r="N818" s="9">
        <f>ROUND(M819*L818,0)</f>
        <v>0</v>
      </c>
      <c r="O818" s="9">
        <v>0</v>
      </c>
      <c r="P818" s="9">
        <f>N818-O818</f>
        <v>0</v>
      </c>
      <c r="Q818" s="40">
        <f t="shared" si="129"/>
        <v>0</v>
      </c>
      <c r="R818" s="9">
        <v>0</v>
      </c>
      <c r="S818" s="9">
        <f t="shared" si="127"/>
        <v>0</v>
      </c>
      <c r="T818" s="90">
        <f t="shared" si="122"/>
        <v>162</v>
      </c>
      <c r="U818" s="90">
        <f t="shared" si="123"/>
        <v>998</v>
      </c>
      <c r="V818" s="373">
        <f t="shared" si="124"/>
        <v>809</v>
      </c>
      <c r="W818" s="90">
        <f t="shared" si="125"/>
        <v>0</v>
      </c>
      <c r="X818" s="90">
        <f t="shared" si="126"/>
        <v>0</v>
      </c>
      <c r="Y818" s="141">
        <f t="shared" si="128"/>
        <v>809</v>
      </c>
      <c r="Z818" s="298">
        <v>162</v>
      </c>
      <c r="AA818" s="299">
        <v>998</v>
      </c>
      <c r="AB818" s="299">
        <v>809</v>
      </c>
      <c r="AC818" s="301">
        <v>0</v>
      </c>
      <c r="AD818" s="301">
        <v>0</v>
      </c>
      <c r="AE818" s="126"/>
      <c r="AF818" s="298"/>
      <c r="AG818" s="299"/>
      <c r="AH818" s="299"/>
      <c r="AI818" s="301"/>
      <c r="AJ818" s="301"/>
      <c r="AK818" s="426"/>
      <c r="AL818" s="298"/>
      <c r="AM818" s="299"/>
      <c r="AN818" s="299"/>
      <c r="AO818" s="301"/>
      <c r="AP818" s="301"/>
      <c r="AQ818" s="426"/>
      <c r="AR818" s="298"/>
      <c r="AS818" s="299"/>
      <c r="AT818" s="299"/>
      <c r="AU818" s="301"/>
      <c r="AV818" s="301"/>
      <c r="AW818" s="88"/>
      <c r="AX818" s="298"/>
      <c r="AY818" s="299"/>
      <c r="AZ818" s="299"/>
      <c r="BA818" s="301"/>
      <c r="BB818" s="301"/>
      <c r="BC818" s="426"/>
      <c r="BD818" s="298"/>
      <c r="BE818" s="299"/>
      <c r="BF818" s="299"/>
      <c r="BG818" s="301"/>
      <c r="BH818" s="301"/>
      <c r="BI818" s="88"/>
      <c r="BJ818" s="298"/>
      <c r="BK818" s="299"/>
      <c r="BL818" s="299"/>
      <c r="BM818" s="301"/>
      <c r="BN818" s="301"/>
      <c r="BO818" s="88"/>
      <c r="BP818" s="9"/>
      <c r="BS818" s="81"/>
      <c r="BT818" s="81"/>
      <c r="BV818" s="9"/>
      <c r="BY818" s="81"/>
      <c r="BZ818" s="81"/>
      <c r="CB818" s="9"/>
      <c r="CE818" s="81"/>
      <c r="CF818" s="81"/>
      <c r="CH818" s="9"/>
      <c r="CK818" s="81"/>
      <c r="CL818" s="81"/>
      <c r="CR818" s="9"/>
      <c r="CS818" s="9"/>
      <c r="CT818" s="9"/>
      <c r="CU818" s="9"/>
      <c r="CV818" s="9"/>
      <c r="CW818" s="129"/>
      <c r="CX818" s="9"/>
    </row>
    <row r="819" spans="1:102">
      <c r="A819" s="6" t="str">
        <f t="shared" si="121"/>
        <v>01620999</v>
      </c>
      <c r="B819" s="6" t="s">
        <v>1812</v>
      </c>
      <c r="C819" s="6" t="s">
        <v>2092</v>
      </c>
      <c r="D819" s="6">
        <v>810</v>
      </c>
      <c r="E819" s="10">
        <v>162</v>
      </c>
      <c r="F819" s="10" t="s">
        <v>1280</v>
      </c>
      <c r="G819" s="10">
        <v>999</v>
      </c>
      <c r="H819" s="10" t="s">
        <v>593</v>
      </c>
      <c r="I819" s="92">
        <v>22614680.604983237</v>
      </c>
      <c r="J819" s="472">
        <v>1</v>
      </c>
      <c r="K819" s="53">
        <f>SUM(K815:K818)</f>
        <v>23559120.125985529</v>
      </c>
      <c r="L819" s="91">
        <f>SUM(L815:L818)</f>
        <v>1</v>
      </c>
      <c r="M819" s="79">
        <f>VLOOKUP(E819,town351,24)</f>
        <v>13768233</v>
      </c>
      <c r="N819" s="79">
        <f>SUM(N815:N818)</f>
        <v>13768233</v>
      </c>
      <c r="O819" s="79">
        <v>13038099</v>
      </c>
      <c r="P819" s="79">
        <f>SUM(P815:P818)</f>
        <v>730134</v>
      </c>
      <c r="Q819" s="39">
        <f t="shared" si="129"/>
        <v>5.6000034974423798</v>
      </c>
      <c r="R819" s="9">
        <v>1712.1326042324499</v>
      </c>
      <c r="S819" s="9">
        <f t="shared" si="127"/>
        <v>1731.99999999748</v>
      </c>
      <c r="T819" s="90">
        <f t="shared" si="122"/>
        <v>162</v>
      </c>
      <c r="U819" s="90">
        <f t="shared" si="123"/>
        <v>999</v>
      </c>
      <c r="V819" s="373">
        <f t="shared" si="124"/>
        <v>810</v>
      </c>
      <c r="W819" s="90">
        <f t="shared" si="125"/>
        <v>1731.99999999748</v>
      </c>
      <c r="X819" s="90">
        <f t="shared" si="126"/>
        <v>23559120.125985529</v>
      </c>
      <c r="Y819" s="141">
        <f t="shared" si="128"/>
        <v>810</v>
      </c>
      <c r="Z819" s="298">
        <v>162</v>
      </c>
      <c r="AA819" s="299">
        <v>999</v>
      </c>
      <c r="AB819" s="299">
        <v>810</v>
      </c>
      <c r="AC819" s="301">
        <v>1731.99999999748</v>
      </c>
      <c r="AD819" s="301">
        <v>23559120.125985529</v>
      </c>
      <c r="AE819" s="126"/>
      <c r="AF819" s="298"/>
      <c r="AG819" s="299"/>
      <c r="AH819" s="299"/>
      <c r="AI819" s="301"/>
      <c r="AJ819" s="301"/>
      <c r="AK819" s="426"/>
      <c r="AL819" s="298"/>
      <c r="AM819" s="299"/>
      <c r="AN819" s="299"/>
      <c r="AO819" s="301"/>
      <c r="AP819" s="301"/>
      <c r="AQ819" s="426"/>
      <c r="AR819" s="298"/>
      <c r="AS819" s="299"/>
      <c r="AT819" s="299"/>
      <c r="AU819" s="301"/>
      <c r="AV819" s="301"/>
      <c r="AW819" s="91"/>
      <c r="AX819" s="298"/>
      <c r="AY819" s="299"/>
      <c r="AZ819" s="299"/>
      <c r="BA819" s="301"/>
      <c r="BB819" s="301"/>
      <c r="BC819" s="426"/>
      <c r="BD819" s="298"/>
      <c r="BE819" s="299"/>
      <c r="BF819" s="299"/>
      <c r="BG819" s="301"/>
      <c r="BH819" s="301"/>
      <c r="BI819" s="91"/>
      <c r="BJ819" s="298"/>
      <c r="BK819" s="299"/>
      <c r="BL819" s="299"/>
      <c r="BM819" s="301"/>
      <c r="BN819" s="301"/>
      <c r="BO819" s="91"/>
      <c r="BP819" s="9"/>
      <c r="BS819" s="81"/>
      <c r="BT819" s="81"/>
      <c r="BV819" s="9"/>
      <c r="BY819" s="81"/>
      <c r="BZ819" s="81"/>
      <c r="CB819" s="9"/>
      <c r="CE819" s="81"/>
      <c r="CF819" s="81"/>
      <c r="CH819" s="9"/>
      <c r="CK819" s="81"/>
      <c r="CL819" s="81"/>
      <c r="CR819" s="9"/>
      <c r="CS819" s="9"/>
      <c r="CT819" s="9"/>
      <c r="CU819" s="9"/>
      <c r="CV819" s="9"/>
      <c r="CW819" s="129"/>
      <c r="CX819" s="9"/>
    </row>
    <row r="820" spans="1:102">
      <c r="A820" s="6" t="str">
        <f t="shared" si="121"/>
        <v>01630163</v>
      </c>
      <c r="B820" s="6" t="s">
        <v>1813</v>
      </c>
      <c r="C820" s="6" t="s">
        <v>1813</v>
      </c>
      <c r="D820" s="6">
        <v>811</v>
      </c>
      <c r="E820" s="6">
        <v>163</v>
      </c>
      <c r="F820" s="6" t="s">
        <v>1281</v>
      </c>
      <c r="G820" s="6">
        <v>163</v>
      </c>
      <c r="H820" s="6" t="s">
        <v>844</v>
      </c>
      <c r="I820" s="33">
        <v>329943497.06999999</v>
      </c>
      <c r="J820" s="88">
        <v>1</v>
      </c>
      <c r="K820" s="89">
        <f>X820</f>
        <v>351967448.88</v>
      </c>
      <c r="L820" s="88">
        <f>IF(K824&gt;0, K820/K824, 0)</f>
        <v>1</v>
      </c>
      <c r="M820" s="58"/>
      <c r="N820" s="9">
        <f>ROUND(M824*L820,0)</f>
        <v>64398962</v>
      </c>
      <c r="O820" s="9">
        <v>60851330</v>
      </c>
      <c r="P820" s="9">
        <f>N820-O820</f>
        <v>3547632</v>
      </c>
      <c r="Q820" s="40">
        <f t="shared" si="129"/>
        <v>5.8299991142346439</v>
      </c>
      <c r="R820" s="9">
        <v>17895</v>
      </c>
      <c r="S820" s="9">
        <f t="shared" si="127"/>
        <v>18143</v>
      </c>
      <c r="T820" s="90">
        <f t="shared" si="122"/>
        <v>163</v>
      </c>
      <c r="U820" s="90">
        <f t="shared" si="123"/>
        <v>163</v>
      </c>
      <c r="V820" s="373">
        <f t="shared" si="124"/>
        <v>811</v>
      </c>
      <c r="W820" s="90">
        <f t="shared" si="125"/>
        <v>18143</v>
      </c>
      <c r="X820" s="90">
        <f t="shared" si="126"/>
        <v>351967448.88</v>
      </c>
      <c r="Y820" s="141">
        <f t="shared" si="128"/>
        <v>811</v>
      </c>
      <c r="Z820" s="298">
        <v>163</v>
      </c>
      <c r="AA820" s="299">
        <v>163</v>
      </c>
      <c r="AB820" s="299">
        <v>811</v>
      </c>
      <c r="AC820" s="301">
        <v>18143</v>
      </c>
      <c r="AD820" s="301">
        <v>351967448.88</v>
      </c>
      <c r="AE820" s="126"/>
      <c r="AF820" s="298"/>
      <c r="AG820" s="299"/>
      <c r="AH820" s="299"/>
      <c r="AI820" s="301"/>
      <c r="AJ820" s="301"/>
      <c r="AK820" s="426"/>
      <c r="AL820" s="298"/>
      <c r="AM820" s="299"/>
      <c r="AN820" s="299"/>
      <c r="AO820" s="301"/>
      <c r="AP820" s="301"/>
      <c r="AQ820" s="426"/>
      <c r="AR820" s="298"/>
      <c r="AS820" s="299"/>
      <c r="AT820" s="299"/>
      <c r="AU820" s="301"/>
      <c r="AV820" s="301"/>
      <c r="AW820" s="88"/>
      <c r="AX820" s="298"/>
      <c r="AY820" s="299"/>
      <c r="AZ820" s="299"/>
      <c r="BA820" s="301"/>
      <c r="BB820" s="301"/>
      <c r="BC820" s="426"/>
      <c r="BD820" s="298"/>
      <c r="BE820" s="299"/>
      <c r="BF820" s="299"/>
      <c r="BG820" s="301"/>
      <c r="BH820" s="301"/>
      <c r="BI820" s="88"/>
      <c r="BJ820" s="298"/>
      <c r="BK820" s="299"/>
      <c r="BL820" s="299"/>
      <c r="BM820" s="301"/>
      <c r="BN820" s="301"/>
      <c r="BO820" s="88"/>
      <c r="BP820" s="9"/>
      <c r="BS820" s="81"/>
      <c r="BT820" s="81"/>
      <c r="BV820" s="9"/>
      <c r="BY820" s="81"/>
      <c r="BZ820" s="81"/>
      <c r="CB820" s="9"/>
      <c r="CE820" s="81"/>
      <c r="CF820" s="81"/>
      <c r="CH820" s="9"/>
      <c r="CK820" s="81"/>
      <c r="CL820" s="81"/>
      <c r="CR820" s="9"/>
      <c r="CS820" s="9"/>
      <c r="CT820" s="9"/>
      <c r="CU820" s="9"/>
      <c r="CV820" s="9"/>
      <c r="CW820" s="129"/>
      <c r="CX820" s="9"/>
    </row>
    <row r="821" spans="1:102">
      <c r="A821" s="6" t="str">
        <f t="shared" si="121"/>
        <v>01630998</v>
      </c>
      <c r="B821" s="6" t="s">
        <v>1813</v>
      </c>
      <c r="C821" s="6" t="s">
        <v>2091</v>
      </c>
      <c r="D821" s="6">
        <v>812</v>
      </c>
      <c r="E821" s="6">
        <v>163</v>
      </c>
      <c r="F821" s="6" t="s">
        <v>1547</v>
      </c>
      <c r="G821" s="6">
        <v>998</v>
      </c>
      <c r="I821" s="33">
        <v>0</v>
      </c>
      <c r="J821" s="88">
        <v>0</v>
      </c>
      <c r="K821" s="89">
        <f t="shared" si="130"/>
        <v>0</v>
      </c>
      <c r="L821" s="88">
        <f>IF(K824&gt;0, K821/K824, 0)</f>
        <v>0</v>
      </c>
      <c r="M821" s="58"/>
      <c r="N821" s="9">
        <f>ROUND(M824*L821,0)</f>
        <v>0</v>
      </c>
      <c r="O821" s="9">
        <v>0</v>
      </c>
      <c r="P821" s="9">
        <f>N821-O821</f>
        <v>0</v>
      </c>
      <c r="Q821" s="40">
        <f t="shared" si="129"/>
        <v>0</v>
      </c>
      <c r="R821" s="9">
        <v>0</v>
      </c>
      <c r="S821" s="9">
        <f t="shared" si="127"/>
        <v>0</v>
      </c>
      <c r="T821" s="90">
        <f t="shared" si="122"/>
        <v>163</v>
      </c>
      <c r="U821" s="90">
        <f t="shared" si="123"/>
        <v>998</v>
      </c>
      <c r="V821" s="373">
        <f t="shared" si="124"/>
        <v>812</v>
      </c>
      <c r="W821" s="90">
        <f t="shared" si="125"/>
        <v>0</v>
      </c>
      <c r="X821" s="90">
        <f t="shared" si="126"/>
        <v>0</v>
      </c>
      <c r="Y821" s="141">
        <f t="shared" si="128"/>
        <v>812</v>
      </c>
      <c r="Z821" s="298">
        <v>163</v>
      </c>
      <c r="AA821" s="299">
        <v>998</v>
      </c>
      <c r="AB821" s="299">
        <v>812</v>
      </c>
      <c r="AC821" s="301">
        <v>0</v>
      </c>
      <c r="AD821" s="301">
        <v>0</v>
      </c>
      <c r="AE821" s="126"/>
      <c r="AF821" s="298"/>
      <c r="AG821" s="299"/>
      <c r="AH821" s="299"/>
      <c r="AI821" s="301"/>
      <c r="AJ821" s="301"/>
      <c r="AK821" s="426"/>
      <c r="AL821" s="298"/>
      <c r="AM821" s="299"/>
      <c r="AN821" s="299"/>
      <c r="AO821" s="301"/>
      <c r="AP821" s="301"/>
      <c r="AQ821" s="426"/>
      <c r="AR821" s="298"/>
      <c r="AS821" s="299"/>
      <c r="AT821" s="299"/>
      <c r="AU821" s="301"/>
      <c r="AV821" s="301"/>
      <c r="AW821" s="88"/>
      <c r="AX821" s="298"/>
      <c r="AY821" s="299"/>
      <c r="AZ821" s="299"/>
      <c r="BA821" s="301"/>
      <c r="BB821" s="301"/>
      <c r="BC821" s="426"/>
      <c r="BD821" s="298"/>
      <c r="BE821" s="299"/>
      <c r="BF821" s="299"/>
      <c r="BG821" s="301"/>
      <c r="BH821" s="301"/>
      <c r="BI821" s="88"/>
      <c r="BJ821" s="298"/>
      <c r="BK821" s="299"/>
      <c r="BL821" s="299"/>
      <c r="BM821" s="301"/>
      <c r="BN821" s="301"/>
      <c r="BO821" s="88"/>
      <c r="BP821" s="9"/>
      <c r="BS821" s="81"/>
      <c r="BT821" s="81"/>
      <c r="BV821" s="9"/>
      <c r="BY821" s="81"/>
      <c r="BZ821" s="81"/>
      <c r="CB821" s="9"/>
      <c r="CE821" s="81"/>
      <c r="CF821" s="81"/>
      <c r="CH821" s="9"/>
      <c r="CK821" s="81"/>
      <c r="CL821" s="81"/>
      <c r="CR821" s="9"/>
      <c r="CS821" s="9"/>
      <c r="CT821" s="9"/>
      <c r="CU821" s="9"/>
      <c r="CV821" s="9"/>
      <c r="CW821" s="129"/>
      <c r="CX821" s="9"/>
    </row>
    <row r="822" spans="1:102">
      <c r="A822" s="6" t="str">
        <f t="shared" si="121"/>
        <v>01630998</v>
      </c>
      <c r="B822" s="6" t="s">
        <v>1813</v>
      </c>
      <c r="C822" s="6" t="s">
        <v>2091</v>
      </c>
      <c r="D822" s="6">
        <v>813</v>
      </c>
      <c r="E822" s="6">
        <v>163</v>
      </c>
      <c r="F822" s="6" t="s">
        <v>1547</v>
      </c>
      <c r="G822" s="6">
        <v>998</v>
      </c>
      <c r="H822" s="6" t="s">
        <v>1547</v>
      </c>
      <c r="I822" s="33">
        <v>0</v>
      </c>
      <c r="J822" s="88">
        <v>0</v>
      </c>
      <c r="K822" s="89">
        <f t="shared" si="130"/>
        <v>0</v>
      </c>
      <c r="L822" s="88">
        <f>IF(K824&gt;0, K822/K824, 0)</f>
        <v>0</v>
      </c>
      <c r="M822" s="58"/>
      <c r="N822" s="9">
        <f>ROUND(M824*L822,0)</f>
        <v>0</v>
      </c>
      <c r="O822" s="9">
        <v>0</v>
      </c>
      <c r="P822" s="9">
        <f>N822-O822</f>
        <v>0</v>
      </c>
      <c r="Q822" s="40">
        <f t="shared" si="129"/>
        <v>0</v>
      </c>
      <c r="R822" s="9">
        <v>0</v>
      </c>
      <c r="S822" s="9">
        <f t="shared" si="127"/>
        <v>0</v>
      </c>
      <c r="T822" s="90">
        <f t="shared" si="122"/>
        <v>163</v>
      </c>
      <c r="U822" s="90">
        <f t="shared" si="123"/>
        <v>998</v>
      </c>
      <c r="V822" s="373">
        <f t="shared" si="124"/>
        <v>813</v>
      </c>
      <c r="W822" s="90">
        <f t="shared" si="125"/>
        <v>0</v>
      </c>
      <c r="X822" s="90">
        <f t="shared" si="126"/>
        <v>0</v>
      </c>
      <c r="Y822" s="141">
        <f t="shared" si="128"/>
        <v>813</v>
      </c>
      <c r="Z822" s="298">
        <v>163</v>
      </c>
      <c r="AA822" s="299">
        <v>998</v>
      </c>
      <c r="AB822" s="299">
        <v>813</v>
      </c>
      <c r="AC822" s="301">
        <v>0</v>
      </c>
      <c r="AD822" s="301">
        <v>0</v>
      </c>
      <c r="AE822" s="126"/>
      <c r="AF822" s="298"/>
      <c r="AG822" s="299"/>
      <c r="AH822" s="299"/>
      <c r="AI822" s="301"/>
      <c r="AJ822" s="301"/>
      <c r="AK822" s="426"/>
      <c r="AL822" s="298"/>
      <c r="AM822" s="299"/>
      <c r="AN822" s="299"/>
      <c r="AO822" s="301"/>
      <c r="AP822" s="301"/>
      <c r="AQ822" s="426"/>
      <c r="AR822" s="298"/>
      <c r="AS822" s="299"/>
      <c r="AT822" s="299"/>
      <c r="AU822" s="301"/>
      <c r="AV822" s="301"/>
      <c r="AW822" s="88"/>
      <c r="AX822" s="298"/>
      <c r="AY822" s="299"/>
      <c r="AZ822" s="299"/>
      <c r="BA822" s="301"/>
      <c r="BB822" s="301"/>
      <c r="BC822" s="426"/>
      <c r="BD822" s="298"/>
      <c r="BE822" s="299"/>
      <c r="BF822" s="299"/>
      <c r="BG822" s="301"/>
      <c r="BH822" s="301"/>
      <c r="BI822" s="88"/>
      <c r="BJ822" s="298"/>
      <c r="BK822" s="299"/>
      <c r="BL822" s="299"/>
      <c r="BM822" s="301"/>
      <c r="BN822" s="301"/>
      <c r="BO822" s="88"/>
      <c r="BP822" s="9"/>
      <c r="BS822" s="81"/>
      <c r="BT822" s="81"/>
      <c r="BV822" s="9"/>
      <c r="BY822" s="81"/>
      <c r="BZ822" s="81"/>
      <c r="CB822" s="9"/>
      <c r="CE822" s="81"/>
      <c r="CF822" s="81"/>
      <c r="CH822" s="9"/>
      <c r="CK822" s="81"/>
      <c r="CL822" s="81"/>
      <c r="CR822" s="9"/>
      <c r="CS822" s="9"/>
      <c r="CT822" s="9"/>
      <c r="CU822" s="9"/>
      <c r="CV822" s="9"/>
      <c r="CW822" s="129"/>
      <c r="CX822" s="9"/>
    </row>
    <row r="823" spans="1:102">
      <c r="A823" s="6" t="str">
        <f t="shared" si="121"/>
        <v>01630998</v>
      </c>
      <c r="B823" s="6" t="s">
        <v>1813</v>
      </c>
      <c r="C823" s="6" t="s">
        <v>2091</v>
      </c>
      <c r="D823" s="6">
        <v>814</v>
      </c>
      <c r="E823" s="6">
        <v>163</v>
      </c>
      <c r="F823" s="6" t="s">
        <v>1547</v>
      </c>
      <c r="G823" s="6">
        <v>998</v>
      </c>
      <c r="H823" s="6" t="s">
        <v>1547</v>
      </c>
      <c r="I823" s="33">
        <v>0</v>
      </c>
      <c r="J823" s="88">
        <v>0</v>
      </c>
      <c r="K823" s="89">
        <f t="shared" si="130"/>
        <v>0</v>
      </c>
      <c r="L823" s="88">
        <f>IF(K824&gt;0, K823/K824, 0)</f>
        <v>0</v>
      </c>
      <c r="M823" s="58"/>
      <c r="N823" s="9">
        <f>ROUND(M824*L823,0)</f>
        <v>0</v>
      </c>
      <c r="O823" s="9">
        <v>0</v>
      </c>
      <c r="P823" s="9">
        <f>N823-O823</f>
        <v>0</v>
      </c>
      <c r="Q823" s="40">
        <f t="shared" si="129"/>
        <v>0</v>
      </c>
      <c r="R823" s="9">
        <v>0</v>
      </c>
      <c r="S823" s="9">
        <f t="shared" si="127"/>
        <v>0</v>
      </c>
      <c r="T823" s="90">
        <f t="shared" si="122"/>
        <v>163</v>
      </c>
      <c r="U823" s="90">
        <f t="shared" si="123"/>
        <v>998</v>
      </c>
      <c r="V823" s="373">
        <f t="shared" si="124"/>
        <v>814</v>
      </c>
      <c r="W823" s="90">
        <f t="shared" si="125"/>
        <v>0</v>
      </c>
      <c r="X823" s="90">
        <f t="shared" si="126"/>
        <v>0</v>
      </c>
      <c r="Y823" s="141">
        <f t="shared" si="128"/>
        <v>814</v>
      </c>
      <c r="Z823" s="298">
        <v>163</v>
      </c>
      <c r="AA823" s="299">
        <v>998</v>
      </c>
      <c r="AB823" s="299">
        <v>814</v>
      </c>
      <c r="AC823" s="301">
        <v>0</v>
      </c>
      <c r="AD823" s="301">
        <v>0</v>
      </c>
      <c r="AE823" s="126"/>
      <c r="AF823" s="298"/>
      <c r="AG823" s="299"/>
      <c r="AH823" s="299"/>
      <c r="AI823" s="301"/>
      <c r="AJ823" s="301"/>
      <c r="AK823" s="426"/>
      <c r="AL823" s="298"/>
      <c r="AM823" s="299"/>
      <c r="AN823" s="299"/>
      <c r="AO823" s="301"/>
      <c r="AP823" s="301"/>
      <c r="AQ823" s="426"/>
      <c r="AR823" s="298"/>
      <c r="AS823" s="299"/>
      <c r="AT823" s="299"/>
      <c r="AU823" s="301"/>
      <c r="AV823" s="301"/>
      <c r="AW823" s="88"/>
      <c r="AX823" s="298"/>
      <c r="AY823" s="299"/>
      <c r="AZ823" s="299"/>
      <c r="BA823" s="301"/>
      <c r="BB823" s="301"/>
      <c r="BC823" s="426"/>
      <c r="BD823" s="298"/>
      <c r="BE823" s="299"/>
      <c r="BF823" s="299"/>
      <c r="BG823" s="301"/>
      <c r="BH823" s="301"/>
      <c r="BI823" s="88"/>
      <c r="BJ823" s="298"/>
      <c r="BK823" s="299"/>
      <c r="BL823" s="299"/>
      <c r="BM823" s="301"/>
      <c r="BN823" s="301"/>
      <c r="BO823" s="88"/>
      <c r="BP823" s="9"/>
      <c r="BS823" s="81"/>
      <c r="BT823" s="81"/>
      <c r="BV823" s="9"/>
      <c r="BY823" s="81"/>
      <c r="BZ823" s="81"/>
      <c r="CB823" s="9"/>
      <c r="CE823" s="81"/>
      <c r="CF823" s="81"/>
      <c r="CH823" s="9"/>
      <c r="CK823" s="81"/>
      <c r="CL823" s="81"/>
      <c r="CR823" s="9"/>
      <c r="CS823" s="9"/>
      <c r="CT823" s="9"/>
      <c r="CU823" s="9"/>
      <c r="CV823" s="9"/>
      <c r="CW823" s="129"/>
      <c r="CX823" s="9"/>
    </row>
    <row r="824" spans="1:102">
      <c r="A824" s="6" t="str">
        <f t="shared" si="121"/>
        <v>01630999</v>
      </c>
      <c r="B824" s="6" t="s">
        <v>1813</v>
      </c>
      <c r="C824" s="6" t="s">
        <v>2092</v>
      </c>
      <c r="D824" s="6">
        <v>815</v>
      </c>
      <c r="E824" s="10">
        <v>163</v>
      </c>
      <c r="F824" s="10" t="s">
        <v>1281</v>
      </c>
      <c r="G824" s="10">
        <v>999</v>
      </c>
      <c r="H824" s="10" t="s">
        <v>593</v>
      </c>
      <c r="I824" s="92">
        <v>329943497.06999999</v>
      </c>
      <c r="J824" s="472">
        <v>1</v>
      </c>
      <c r="K824" s="53">
        <f>SUM(K820:K823)</f>
        <v>351967448.88</v>
      </c>
      <c r="L824" s="91">
        <f>SUM(L820:L823)</f>
        <v>1</v>
      </c>
      <c r="M824" s="79">
        <f>VLOOKUP(E824,town351,24)</f>
        <v>64398962</v>
      </c>
      <c r="N824" s="79">
        <f>SUM(N820:N823)</f>
        <v>64398962</v>
      </c>
      <c r="O824" s="79">
        <v>60851330</v>
      </c>
      <c r="P824" s="79">
        <f>SUM(P820:P823)</f>
        <v>3547632</v>
      </c>
      <c r="Q824" s="39">
        <f t="shared" si="129"/>
        <v>5.8299991142346439</v>
      </c>
      <c r="R824" s="9">
        <v>17895</v>
      </c>
      <c r="S824" s="9">
        <f t="shared" si="127"/>
        <v>18143</v>
      </c>
      <c r="T824" s="90">
        <f t="shared" si="122"/>
        <v>163</v>
      </c>
      <c r="U824" s="90">
        <f t="shared" si="123"/>
        <v>999</v>
      </c>
      <c r="V824" s="373">
        <f t="shared" si="124"/>
        <v>815</v>
      </c>
      <c r="W824" s="90">
        <f t="shared" si="125"/>
        <v>18143</v>
      </c>
      <c r="X824" s="90">
        <f t="shared" si="126"/>
        <v>351967448.88</v>
      </c>
      <c r="Y824" s="141">
        <f t="shared" si="128"/>
        <v>815</v>
      </c>
      <c r="Z824" s="298">
        <v>163</v>
      </c>
      <c r="AA824" s="299">
        <v>999</v>
      </c>
      <c r="AB824" s="299">
        <v>815</v>
      </c>
      <c r="AC824" s="301">
        <v>18143</v>
      </c>
      <c r="AD824" s="301">
        <v>351967448.88</v>
      </c>
      <c r="AE824" s="126"/>
      <c r="AF824" s="298"/>
      <c r="AG824" s="299"/>
      <c r="AH824" s="299"/>
      <c r="AI824" s="301"/>
      <c r="AJ824" s="301"/>
      <c r="AK824" s="426"/>
      <c r="AL824" s="298"/>
      <c r="AM824" s="299"/>
      <c r="AN824" s="299"/>
      <c r="AO824" s="301"/>
      <c r="AP824" s="301"/>
      <c r="AQ824" s="426"/>
      <c r="AR824" s="298"/>
      <c r="AS824" s="299"/>
      <c r="AT824" s="299"/>
      <c r="AU824" s="301"/>
      <c r="AV824" s="301"/>
      <c r="AW824" s="91"/>
      <c r="AX824" s="298"/>
      <c r="AY824" s="299"/>
      <c r="AZ824" s="299"/>
      <c r="BA824" s="301"/>
      <c r="BB824" s="301"/>
      <c r="BC824" s="426"/>
      <c r="BD824" s="298"/>
      <c r="BE824" s="299"/>
      <c r="BF824" s="299"/>
      <c r="BG824" s="301"/>
      <c r="BH824" s="301"/>
      <c r="BI824" s="91"/>
      <c r="BJ824" s="298"/>
      <c r="BK824" s="299"/>
      <c r="BL824" s="299"/>
      <c r="BM824" s="301"/>
      <c r="BN824" s="301"/>
      <c r="BO824" s="91"/>
      <c r="BP824" s="9"/>
      <c r="BS824" s="81"/>
      <c r="BT824" s="81"/>
      <c r="BV824" s="9"/>
      <c r="BY824" s="81"/>
      <c r="BZ824" s="81"/>
      <c r="CB824" s="9"/>
      <c r="CE824" s="81"/>
      <c r="CF824" s="81"/>
      <c r="CH824" s="9"/>
      <c r="CK824" s="81"/>
      <c r="CL824" s="81"/>
      <c r="CR824" s="9"/>
      <c r="CS824" s="9"/>
      <c r="CT824" s="9"/>
      <c r="CU824" s="9"/>
      <c r="CV824" s="9"/>
      <c r="CW824" s="129"/>
      <c r="CX824" s="9"/>
    </row>
    <row r="825" spans="1:102">
      <c r="A825" s="6" t="str">
        <f t="shared" si="121"/>
        <v>01640164</v>
      </c>
      <c r="B825" s="6" t="s">
        <v>1814</v>
      </c>
      <c r="C825" s="6" t="s">
        <v>1814</v>
      </c>
      <c r="D825" s="6">
        <v>816</v>
      </c>
      <c r="E825" s="6">
        <v>164</v>
      </c>
      <c r="F825" s="6" t="s">
        <v>1282</v>
      </c>
      <c r="G825" s="6">
        <v>164</v>
      </c>
      <c r="H825" s="6" t="s">
        <v>845</v>
      </c>
      <c r="I825" s="33">
        <v>27452371.780520003</v>
      </c>
      <c r="J825" s="88">
        <v>0.97547511737701031</v>
      </c>
      <c r="K825" s="89">
        <f>X825</f>
        <v>27975039.198300004</v>
      </c>
      <c r="L825" s="88">
        <f>IF(K829&gt;0, K825/K829, 0)</f>
        <v>0.97469298366678725</v>
      </c>
      <c r="M825" s="58"/>
      <c r="N825" s="9">
        <f>ROUND(M829*L825,0)</f>
        <v>22407746</v>
      </c>
      <c r="O825" s="9">
        <v>21507362</v>
      </c>
      <c r="P825" s="9">
        <f>N825-O825</f>
        <v>900384</v>
      </c>
      <c r="Q825" s="40">
        <f t="shared" si="129"/>
        <v>4.1863990572158505</v>
      </c>
      <c r="R825" s="9">
        <v>2207</v>
      </c>
      <c r="S825" s="9">
        <f t="shared" si="127"/>
        <v>2195</v>
      </c>
      <c r="T825" s="90">
        <f t="shared" si="122"/>
        <v>164</v>
      </c>
      <c r="U825" s="90">
        <f t="shared" si="123"/>
        <v>164</v>
      </c>
      <c r="V825" s="373">
        <f t="shared" si="124"/>
        <v>816</v>
      </c>
      <c r="W825" s="90">
        <f t="shared" si="125"/>
        <v>2195</v>
      </c>
      <c r="X825" s="90">
        <f t="shared" si="126"/>
        <v>27975039.198300004</v>
      </c>
      <c r="Y825" s="141">
        <f t="shared" si="128"/>
        <v>816</v>
      </c>
      <c r="Z825" s="298">
        <v>164</v>
      </c>
      <c r="AA825" s="299">
        <v>164</v>
      </c>
      <c r="AB825" s="299">
        <v>816</v>
      </c>
      <c r="AC825" s="301">
        <v>2195</v>
      </c>
      <c r="AD825" s="301">
        <v>27975039.198300004</v>
      </c>
      <c r="AE825" s="126"/>
      <c r="AF825" s="298"/>
      <c r="AG825" s="299"/>
      <c r="AH825" s="299"/>
      <c r="AI825" s="301"/>
      <c r="AJ825" s="301"/>
      <c r="AK825" s="426"/>
      <c r="AL825" s="298"/>
      <c r="AM825" s="299"/>
      <c r="AN825" s="299"/>
      <c r="AO825" s="301"/>
      <c r="AP825" s="301"/>
      <c r="AQ825" s="426"/>
      <c r="AR825" s="298"/>
      <c r="AS825" s="299"/>
      <c r="AT825" s="299"/>
      <c r="AU825" s="301"/>
      <c r="AV825" s="301"/>
      <c r="AW825" s="88"/>
      <c r="AX825" s="298"/>
      <c r="AY825" s="299"/>
      <c r="AZ825" s="299"/>
      <c r="BA825" s="301"/>
      <c r="BB825" s="301"/>
      <c r="BC825" s="426"/>
      <c r="BD825" s="298"/>
      <c r="BE825" s="299"/>
      <c r="BF825" s="299"/>
      <c r="BG825" s="301"/>
      <c r="BH825" s="301"/>
      <c r="BI825" s="88"/>
      <c r="BJ825" s="298"/>
      <c r="BK825" s="299"/>
      <c r="BL825" s="299"/>
      <c r="BM825" s="301"/>
      <c r="BN825" s="301"/>
      <c r="BO825" s="88"/>
      <c r="BP825" s="9"/>
      <c r="BS825" s="81"/>
      <c r="BT825" s="81"/>
      <c r="BV825" s="9"/>
      <c r="BY825" s="81"/>
      <c r="BZ825" s="81"/>
      <c r="CB825" s="9"/>
      <c r="CE825" s="81"/>
      <c r="CF825" s="81"/>
      <c r="CH825" s="9"/>
      <c r="CK825" s="81"/>
      <c r="CL825" s="81"/>
      <c r="CR825" s="9"/>
      <c r="CS825" s="9"/>
      <c r="CT825" s="9"/>
      <c r="CU825" s="9"/>
      <c r="CV825" s="9"/>
      <c r="CW825" s="129"/>
      <c r="CX825" s="9"/>
    </row>
    <row r="826" spans="1:102">
      <c r="A826" s="6" t="str">
        <f t="shared" si="121"/>
        <v>01640817</v>
      </c>
      <c r="B826" s="6" t="s">
        <v>1814</v>
      </c>
      <c r="C826" s="6" t="s">
        <v>2067</v>
      </c>
      <c r="D826" s="6">
        <v>817</v>
      </c>
      <c r="E826" s="6">
        <v>164</v>
      </c>
      <c r="F826" s="6" t="s">
        <v>1282</v>
      </c>
      <c r="G826" s="6">
        <v>817</v>
      </c>
      <c r="H826" s="6" t="s">
        <v>1097</v>
      </c>
      <c r="I826" s="33">
        <v>690193.10041479743</v>
      </c>
      <c r="J826" s="88">
        <v>2.4524882622989675E-2</v>
      </c>
      <c r="K826" s="89">
        <f t="shared" si="130"/>
        <v>726346.43500796298</v>
      </c>
      <c r="L826" s="88">
        <f>IF(K829&gt;0, K826/K829, 0)</f>
        <v>2.5307016333212768E-2</v>
      </c>
      <c r="M826" s="58"/>
      <c r="N826" s="9">
        <f>ROUND(M829*L826,0)</f>
        <v>581797</v>
      </c>
      <c r="O826" s="9">
        <v>540727</v>
      </c>
      <c r="P826" s="9">
        <f>N826-O826</f>
        <v>41070</v>
      </c>
      <c r="Q826" s="40">
        <f t="shared" si="129"/>
        <v>7.5953299909196321</v>
      </c>
      <c r="R826" s="9">
        <v>35.000000004389996</v>
      </c>
      <c r="S826" s="9">
        <f t="shared" si="127"/>
        <v>36.000000005129998</v>
      </c>
      <c r="T826" s="90">
        <f t="shared" si="122"/>
        <v>164</v>
      </c>
      <c r="U826" s="90">
        <f t="shared" si="123"/>
        <v>817</v>
      </c>
      <c r="V826" s="373">
        <f t="shared" si="124"/>
        <v>817</v>
      </c>
      <c r="W826" s="90">
        <f t="shared" si="125"/>
        <v>36.000000005129998</v>
      </c>
      <c r="X826" s="90">
        <f t="shared" si="126"/>
        <v>726346.43500796298</v>
      </c>
      <c r="Y826" s="141">
        <f t="shared" si="128"/>
        <v>817</v>
      </c>
      <c r="Z826" s="298">
        <v>164</v>
      </c>
      <c r="AA826" s="299">
        <v>817</v>
      </c>
      <c r="AB826" s="299">
        <v>817</v>
      </c>
      <c r="AC826" s="301">
        <v>36.000000005129998</v>
      </c>
      <c r="AD826" s="301">
        <v>726346.43500796298</v>
      </c>
      <c r="AE826" s="126"/>
      <c r="AF826" s="298"/>
      <c r="AG826" s="299"/>
      <c r="AH826" s="299"/>
      <c r="AI826" s="301"/>
      <c r="AJ826" s="301"/>
      <c r="AK826" s="426"/>
      <c r="AL826" s="298"/>
      <c r="AM826" s="299"/>
      <c r="AN826" s="299"/>
      <c r="AO826" s="301"/>
      <c r="AP826" s="301"/>
      <c r="AQ826" s="426"/>
      <c r="AR826" s="298"/>
      <c r="AS826" s="299"/>
      <c r="AT826" s="299"/>
      <c r="AU826" s="301"/>
      <c r="AV826" s="301"/>
      <c r="AW826" s="88"/>
      <c r="AX826" s="298"/>
      <c r="AY826" s="299"/>
      <c r="AZ826" s="299"/>
      <c r="BA826" s="301"/>
      <c r="BB826" s="301"/>
      <c r="BC826" s="426"/>
      <c r="BD826" s="298"/>
      <c r="BE826" s="299"/>
      <c r="BF826" s="299"/>
      <c r="BG826" s="301"/>
      <c r="BH826" s="301"/>
      <c r="BI826" s="88"/>
      <c r="BJ826" s="298"/>
      <c r="BK826" s="299"/>
      <c r="BL826" s="299"/>
      <c r="BM826" s="301"/>
      <c r="BN826" s="301"/>
      <c r="BO826" s="88"/>
      <c r="BP826" s="9"/>
      <c r="BS826" s="81"/>
      <c r="BT826" s="81"/>
      <c r="BV826" s="9"/>
      <c r="BY826" s="81"/>
      <c r="BZ826" s="81"/>
      <c r="CB826" s="9"/>
      <c r="CE826" s="81"/>
      <c r="CF826" s="81"/>
      <c r="CH826" s="9"/>
      <c r="CK826" s="81"/>
      <c r="CL826" s="81"/>
      <c r="CR826" s="9"/>
      <c r="CS826" s="9"/>
      <c r="CT826" s="9"/>
      <c r="CU826" s="9"/>
      <c r="CV826" s="9"/>
      <c r="CW826" s="129"/>
      <c r="CX826" s="9"/>
    </row>
    <row r="827" spans="1:102">
      <c r="A827" s="6" t="str">
        <f t="shared" si="121"/>
        <v>01640998</v>
      </c>
      <c r="B827" s="6" t="s">
        <v>1814</v>
      </c>
      <c r="C827" s="6" t="s">
        <v>2091</v>
      </c>
      <c r="D827" s="6">
        <v>818</v>
      </c>
      <c r="E827" s="6">
        <v>164</v>
      </c>
      <c r="F827" s="6" t="s">
        <v>1547</v>
      </c>
      <c r="G827" s="6">
        <v>998</v>
      </c>
      <c r="I827" s="33">
        <v>0</v>
      </c>
      <c r="J827" s="88">
        <v>0</v>
      </c>
      <c r="K827" s="89">
        <f t="shared" si="130"/>
        <v>0</v>
      </c>
      <c r="L827" s="88">
        <f>IF(K829&gt;0, K827/K829, 0)</f>
        <v>0</v>
      </c>
      <c r="M827" s="58"/>
      <c r="N827" s="9">
        <f>ROUND(M829*L827,0)</f>
        <v>0</v>
      </c>
      <c r="O827" s="9">
        <v>0</v>
      </c>
      <c r="P827" s="9">
        <f>N827-O827</f>
        <v>0</v>
      </c>
      <c r="Q827" s="40">
        <f t="shared" si="129"/>
        <v>0</v>
      </c>
      <c r="R827" s="9">
        <v>0</v>
      </c>
      <c r="S827" s="9">
        <f t="shared" si="127"/>
        <v>0</v>
      </c>
      <c r="T827" s="90">
        <f t="shared" si="122"/>
        <v>164</v>
      </c>
      <c r="U827" s="90">
        <f t="shared" si="123"/>
        <v>998</v>
      </c>
      <c r="V827" s="373">
        <f t="shared" si="124"/>
        <v>818</v>
      </c>
      <c r="W827" s="90">
        <f t="shared" si="125"/>
        <v>0</v>
      </c>
      <c r="X827" s="90">
        <f t="shared" si="126"/>
        <v>0</v>
      </c>
      <c r="Y827" s="141">
        <f t="shared" si="128"/>
        <v>818</v>
      </c>
      <c r="Z827" s="298">
        <v>164</v>
      </c>
      <c r="AA827" s="299">
        <v>998</v>
      </c>
      <c r="AB827" s="299">
        <v>818</v>
      </c>
      <c r="AC827" s="301">
        <v>0</v>
      </c>
      <c r="AD827" s="301">
        <v>0</v>
      </c>
      <c r="AE827" s="126"/>
      <c r="AF827" s="298"/>
      <c r="AG827" s="299"/>
      <c r="AH827" s="299"/>
      <c r="AI827" s="301"/>
      <c r="AJ827" s="301"/>
      <c r="AK827" s="426"/>
      <c r="AL827" s="298"/>
      <c r="AM827" s="299"/>
      <c r="AN827" s="299"/>
      <c r="AO827" s="301"/>
      <c r="AP827" s="301"/>
      <c r="AQ827" s="426"/>
      <c r="AR827" s="298"/>
      <c r="AS827" s="299"/>
      <c r="AT827" s="299"/>
      <c r="AU827" s="301"/>
      <c r="AV827" s="301"/>
      <c r="AW827" s="88"/>
      <c r="AX827" s="298"/>
      <c r="AY827" s="299"/>
      <c r="AZ827" s="299"/>
      <c r="BA827" s="301"/>
      <c r="BB827" s="301"/>
      <c r="BC827" s="426"/>
      <c r="BD827" s="298"/>
      <c r="BE827" s="299"/>
      <c r="BF827" s="299"/>
      <c r="BG827" s="301"/>
      <c r="BH827" s="301"/>
      <c r="BI827" s="88"/>
      <c r="BJ827" s="298"/>
      <c r="BK827" s="299"/>
      <c r="BL827" s="299"/>
      <c r="BM827" s="301"/>
      <c r="BN827" s="301"/>
      <c r="BO827" s="88"/>
      <c r="BP827" s="9"/>
      <c r="BS827" s="81"/>
      <c r="BT827" s="81"/>
      <c r="BV827" s="9"/>
      <c r="BY827" s="81"/>
      <c r="BZ827" s="81"/>
      <c r="CB827" s="9"/>
      <c r="CE827" s="81"/>
      <c r="CF827" s="81"/>
      <c r="CH827" s="9"/>
      <c r="CK827" s="81"/>
      <c r="CL827" s="81"/>
      <c r="CR827" s="9"/>
      <c r="CS827" s="9"/>
      <c r="CT827" s="9"/>
      <c r="CU827" s="9"/>
      <c r="CV827" s="9"/>
      <c r="CW827" s="129"/>
      <c r="CX827" s="9"/>
    </row>
    <row r="828" spans="1:102">
      <c r="A828" s="6" t="str">
        <f t="shared" si="121"/>
        <v>01640998</v>
      </c>
      <c r="B828" s="6" t="s">
        <v>1814</v>
      </c>
      <c r="C828" s="6" t="s">
        <v>2091</v>
      </c>
      <c r="D828" s="6">
        <v>819</v>
      </c>
      <c r="E828" s="6">
        <v>164</v>
      </c>
      <c r="F828" s="6" t="s">
        <v>1547</v>
      </c>
      <c r="G828" s="6">
        <v>998</v>
      </c>
      <c r="H828" s="6" t="s">
        <v>1547</v>
      </c>
      <c r="I828" s="33">
        <v>0</v>
      </c>
      <c r="J828" s="88">
        <v>0</v>
      </c>
      <c r="K828" s="89">
        <f t="shared" si="130"/>
        <v>0</v>
      </c>
      <c r="L828" s="88">
        <f>IF(K829&gt;0, K828/K829, 0)</f>
        <v>0</v>
      </c>
      <c r="M828" s="58"/>
      <c r="N828" s="9">
        <f>ROUND(M829*L828,0)</f>
        <v>0</v>
      </c>
      <c r="O828" s="9">
        <v>0</v>
      </c>
      <c r="P828" s="9">
        <f>N828-O828</f>
        <v>0</v>
      </c>
      <c r="Q828" s="40">
        <f t="shared" si="129"/>
        <v>0</v>
      </c>
      <c r="R828" s="9">
        <v>0</v>
      </c>
      <c r="S828" s="9">
        <f t="shared" si="127"/>
        <v>0</v>
      </c>
      <c r="T828" s="90">
        <f t="shared" si="122"/>
        <v>164</v>
      </c>
      <c r="U828" s="90">
        <f t="shared" si="123"/>
        <v>998</v>
      </c>
      <c r="V828" s="373">
        <f t="shared" si="124"/>
        <v>819</v>
      </c>
      <c r="W828" s="90">
        <f t="shared" si="125"/>
        <v>0</v>
      </c>
      <c r="X828" s="90">
        <f t="shared" si="126"/>
        <v>0</v>
      </c>
      <c r="Y828" s="141">
        <f t="shared" si="128"/>
        <v>819</v>
      </c>
      <c r="Z828" s="298">
        <v>164</v>
      </c>
      <c r="AA828" s="299">
        <v>998</v>
      </c>
      <c r="AB828" s="299">
        <v>819</v>
      </c>
      <c r="AC828" s="301">
        <v>0</v>
      </c>
      <c r="AD828" s="301">
        <v>0</v>
      </c>
      <c r="AE828" s="126"/>
      <c r="AF828" s="298"/>
      <c r="AG828" s="299"/>
      <c r="AH828" s="299"/>
      <c r="AI828" s="301"/>
      <c r="AJ828" s="301"/>
      <c r="AK828" s="426"/>
      <c r="AL828" s="298"/>
      <c r="AM828" s="299"/>
      <c r="AN828" s="299"/>
      <c r="AO828" s="301"/>
      <c r="AP828" s="301"/>
      <c r="AQ828" s="426"/>
      <c r="AR828" s="298"/>
      <c r="AS828" s="299"/>
      <c r="AT828" s="299"/>
      <c r="AU828" s="301"/>
      <c r="AV828" s="301"/>
      <c r="AW828" s="88"/>
      <c r="AX828" s="298"/>
      <c r="AY828" s="299"/>
      <c r="AZ828" s="299"/>
      <c r="BA828" s="301"/>
      <c r="BB828" s="301"/>
      <c r="BC828" s="426"/>
      <c r="BD828" s="298"/>
      <c r="BE828" s="299"/>
      <c r="BF828" s="299"/>
      <c r="BG828" s="301"/>
      <c r="BH828" s="301"/>
      <c r="BI828" s="88"/>
      <c r="BJ828" s="298"/>
      <c r="BK828" s="299"/>
      <c r="BL828" s="299"/>
      <c r="BM828" s="301"/>
      <c r="BN828" s="301"/>
      <c r="BO828" s="88"/>
      <c r="BP828" s="9"/>
      <c r="BS828" s="81"/>
      <c r="BT828" s="81"/>
      <c r="BV828" s="9"/>
      <c r="BY828" s="81"/>
      <c r="BZ828" s="81"/>
      <c r="CB828" s="9"/>
      <c r="CE828" s="81"/>
      <c r="CF828" s="81"/>
      <c r="CH828" s="9"/>
      <c r="CK828" s="81"/>
      <c r="CL828" s="81"/>
      <c r="CR828" s="9"/>
      <c r="CS828" s="9"/>
      <c r="CT828" s="9"/>
      <c r="CU828" s="9"/>
      <c r="CV828" s="9"/>
      <c r="CW828" s="129"/>
      <c r="CX828" s="9"/>
    </row>
    <row r="829" spans="1:102">
      <c r="A829" s="6" t="str">
        <f t="shared" si="121"/>
        <v>01640999</v>
      </c>
      <c r="B829" s="6" t="s">
        <v>1814</v>
      </c>
      <c r="C829" s="6" t="s">
        <v>2092</v>
      </c>
      <c r="D829" s="6">
        <v>820</v>
      </c>
      <c r="E829" s="10">
        <v>164</v>
      </c>
      <c r="F829" s="10" t="s">
        <v>1282</v>
      </c>
      <c r="G829" s="10">
        <v>999</v>
      </c>
      <c r="H829" s="10" t="s">
        <v>593</v>
      </c>
      <c r="I829" s="92">
        <v>28142564.880934801</v>
      </c>
      <c r="J829" s="472">
        <v>1</v>
      </c>
      <c r="K829" s="53">
        <f>SUM(K825:K828)</f>
        <v>28701385.633307967</v>
      </c>
      <c r="L829" s="91">
        <f>SUM(L825:L828)</f>
        <v>1</v>
      </c>
      <c r="M829" s="79">
        <f>VLOOKUP(E829,town351,24)</f>
        <v>22989543</v>
      </c>
      <c r="N829" s="79">
        <f>SUM(N825:N828)</f>
        <v>22989543</v>
      </c>
      <c r="O829" s="79">
        <v>22048089</v>
      </c>
      <c r="P829" s="79">
        <f>SUM(P825:P828)</f>
        <v>941454</v>
      </c>
      <c r="Q829" s="39">
        <f t="shared" si="129"/>
        <v>4.270002719963621</v>
      </c>
      <c r="R829" s="9">
        <v>2242.0000000043901</v>
      </c>
      <c r="S829" s="9">
        <f t="shared" si="127"/>
        <v>2231.00000000513</v>
      </c>
      <c r="T829" s="90">
        <f t="shared" si="122"/>
        <v>164</v>
      </c>
      <c r="U829" s="90">
        <f t="shared" si="123"/>
        <v>999</v>
      </c>
      <c r="V829" s="373">
        <f t="shared" si="124"/>
        <v>820</v>
      </c>
      <c r="W829" s="90">
        <f t="shared" si="125"/>
        <v>2231.00000000513</v>
      </c>
      <c r="X829" s="90">
        <f t="shared" si="126"/>
        <v>28701385.633307967</v>
      </c>
      <c r="Y829" s="141">
        <f t="shared" si="128"/>
        <v>820</v>
      </c>
      <c r="Z829" s="298">
        <v>164</v>
      </c>
      <c r="AA829" s="299">
        <v>999</v>
      </c>
      <c r="AB829" s="299">
        <v>820</v>
      </c>
      <c r="AC829" s="301">
        <v>2231.00000000513</v>
      </c>
      <c r="AD829" s="301">
        <v>28701385.633307967</v>
      </c>
      <c r="AE829" s="126"/>
      <c r="AF829" s="298"/>
      <c r="AG829" s="299"/>
      <c r="AH829" s="299"/>
      <c r="AI829" s="301"/>
      <c r="AJ829" s="301"/>
      <c r="AK829" s="426"/>
      <c r="AL829" s="298"/>
      <c r="AM829" s="299"/>
      <c r="AN829" s="299"/>
      <c r="AO829" s="301"/>
      <c r="AP829" s="301"/>
      <c r="AQ829" s="426"/>
      <c r="AR829" s="298"/>
      <c r="AS829" s="299"/>
      <c r="AT829" s="299"/>
      <c r="AU829" s="301"/>
      <c r="AV829" s="301"/>
      <c r="AW829" s="91"/>
      <c r="AX829" s="298"/>
      <c r="AY829" s="299"/>
      <c r="AZ829" s="299"/>
      <c r="BA829" s="301"/>
      <c r="BB829" s="301"/>
      <c r="BC829" s="426"/>
      <c r="BD829" s="298"/>
      <c r="BE829" s="299"/>
      <c r="BF829" s="299"/>
      <c r="BG829" s="301"/>
      <c r="BH829" s="301"/>
      <c r="BI829" s="91"/>
      <c r="BJ829" s="298"/>
      <c r="BK829" s="299"/>
      <c r="BL829" s="299"/>
      <c r="BM829" s="301"/>
      <c r="BN829" s="301"/>
      <c r="BO829" s="91"/>
      <c r="BP829" s="9"/>
      <c r="BS829" s="81"/>
      <c r="BT829" s="81"/>
      <c r="BV829" s="9"/>
      <c r="BY829" s="81"/>
      <c r="BZ829" s="81"/>
      <c r="CB829" s="9"/>
      <c r="CE829" s="81"/>
      <c r="CF829" s="81"/>
      <c r="CH829" s="9"/>
      <c r="CK829" s="81"/>
      <c r="CL829" s="81"/>
      <c r="CR829" s="9"/>
      <c r="CS829" s="9"/>
      <c r="CT829" s="9"/>
      <c r="CU829" s="9"/>
      <c r="CV829" s="9"/>
      <c r="CW829" s="129"/>
      <c r="CX829" s="9"/>
    </row>
    <row r="830" spans="1:102">
      <c r="A830" s="6" t="str">
        <f t="shared" si="121"/>
        <v>01650165</v>
      </c>
      <c r="B830" s="6" t="s">
        <v>1815</v>
      </c>
      <c r="C830" s="6" t="s">
        <v>1815</v>
      </c>
      <c r="D830" s="6">
        <v>821</v>
      </c>
      <c r="E830" s="6">
        <v>165</v>
      </c>
      <c r="F830" s="6" t="s">
        <v>1283</v>
      </c>
      <c r="G830" s="6">
        <v>165</v>
      </c>
      <c r="H830" s="6" t="s">
        <v>846</v>
      </c>
      <c r="I830" s="33">
        <v>117616659.13781999</v>
      </c>
      <c r="J830" s="88">
        <v>0.96984399121465326</v>
      </c>
      <c r="K830" s="89">
        <f>X830</f>
        <v>121527751.11873999</v>
      </c>
      <c r="L830" s="88">
        <f>IF(K834&gt;0, K830/K834, 0)</f>
        <v>0.96620092564730009</v>
      </c>
      <c r="M830" s="58"/>
      <c r="N830" s="9">
        <f>ROUND(M834*L830,0)</f>
        <v>57647090</v>
      </c>
      <c r="O830" s="9">
        <v>54419682</v>
      </c>
      <c r="P830" s="9">
        <f>N830-O830</f>
        <v>3227408</v>
      </c>
      <c r="Q830" s="40">
        <f t="shared" si="129"/>
        <v>5.9305895980796066</v>
      </c>
      <c r="R830" s="9">
        <v>6940</v>
      </c>
      <c r="S830" s="9">
        <f t="shared" si="127"/>
        <v>6863</v>
      </c>
      <c r="T830" s="90">
        <f t="shared" si="122"/>
        <v>165</v>
      </c>
      <c r="U830" s="90">
        <f t="shared" si="123"/>
        <v>165</v>
      </c>
      <c r="V830" s="373">
        <f t="shared" si="124"/>
        <v>821</v>
      </c>
      <c r="W830" s="90">
        <f t="shared" si="125"/>
        <v>6863</v>
      </c>
      <c r="X830" s="90">
        <f t="shared" si="126"/>
        <v>121527751.11873999</v>
      </c>
      <c r="Y830" s="141">
        <f t="shared" si="128"/>
        <v>821</v>
      </c>
      <c r="Z830" s="298">
        <v>165</v>
      </c>
      <c r="AA830" s="299">
        <v>165</v>
      </c>
      <c r="AB830" s="299">
        <v>821</v>
      </c>
      <c r="AC830" s="301">
        <v>6863</v>
      </c>
      <c r="AD830" s="301">
        <v>121527751.11873999</v>
      </c>
      <c r="AE830" s="126"/>
      <c r="AF830" s="298"/>
      <c r="AG830" s="299"/>
      <c r="AH830" s="299"/>
      <c r="AI830" s="301"/>
      <c r="AJ830" s="301"/>
      <c r="AK830" s="426"/>
      <c r="AL830" s="298"/>
      <c r="AM830" s="299"/>
      <c r="AN830" s="299"/>
      <c r="AO830" s="301"/>
      <c r="AP830" s="301"/>
      <c r="AQ830" s="426"/>
      <c r="AR830" s="298"/>
      <c r="AS830" s="299"/>
      <c r="AT830" s="299"/>
      <c r="AU830" s="301"/>
      <c r="AV830" s="301"/>
      <c r="AW830" s="88"/>
      <c r="AX830" s="298"/>
      <c r="AY830" s="299"/>
      <c r="AZ830" s="299"/>
      <c r="BA830" s="301"/>
      <c r="BB830" s="301"/>
      <c r="BC830" s="426"/>
      <c r="BD830" s="298"/>
      <c r="BE830" s="299"/>
      <c r="BF830" s="299"/>
      <c r="BG830" s="301"/>
      <c r="BH830" s="301"/>
      <c r="BI830" s="88"/>
      <c r="BJ830" s="298"/>
      <c r="BK830" s="299"/>
      <c r="BL830" s="299"/>
      <c r="BM830" s="301"/>
      <c r="BN830" s="301"/>
      <c r="BO830" s="88"/>
      <c r="BP830" s="9"/>
      <c r="BS830" s="81"/>
      <c r="BT830" s="81"/>
      <c r="BV830" s="9"/>
      <c r="BY830" s="81"/>
      <c r="BZ830" s="81"/>
      <c r="CB830" s="9"/>
      <c r="CE830" s="81"/>
      <c r="CF830" s="81"/>
      <c r="CH830" s="9"/>
      <c r="CK830" s="81"/>
      <c r="CL830" s="81"/>
      <c r="CR830" s="9"/>
      <c r="CS830" s="9"/>
      <c r="CT830" s="9"/>
      <c r="CU830" s="9"/>
      <c r="CV830" s="9"/>
      <c r="CW830" s="129"/>
      <c r="CX830" s="9"/>
    </row>
    <row r="831" spans="1:102">
      <c r="A831" s="6" t="str">
        <f t="shared" si="121"/>
        <v>01650853</v>
      </c>
      <c r="B831" s="6" t="s">
        <v>1815</v>
      </c>
      <c r="C831" s="6" t="s">
        <v>2078</v>
      </c>
      <c r="D831" s="6">
        <v>822</v>
      </c>
      <c r="E831" s="6">
        <v>165</v>
      </c>
      <c r="F831" s="6" t="s">
        <v>1283</v>
      </c>
      <c r="G831" s="6">
        <v>853</v>
      </c>
      <c r="H831" s="6" t="s">
        <v>1108</v>
      </c>
      <c r="I831" s="33">
        <v>3657133.557966453</v>
      </c>
      <c r="J831" s="88">
        <v>3.015600878534672E-2</v>
      </c>
      <c r="K831" s="89">
        <f t="shared" si="130"/>
        <v>4251212.544871957</v>
      </c>
      <c r="L831" s="88">
        <f>IF(K834&gt;0, K831/K834, 0)</f>
        <v>3.3799074352699882E-2</v>
      </c>
      <c r="M831" s="58"/>
      <c r="N831" s="9">
        <f>ROUND(M834*L831,0)</f>
        <v>2016577</v>
      </c>
      <c r="O831" s="9">
        <v>1692108</v>
      </c>
      <c r="P831" s="9">
        <f>N831-O831</f>
        <v>324469</v>
      </c>
      <c r="Q831" s="40">
        <f t="shared" si="129"/>
        <v>19.175430882662337</v>
      </c>
      <c r="R831" s="9">
        <v>158.99999999919999</v>
      </c>
      <c r="S831" s="9">
        <f t="shared" si="127"/>
        <v>179.00000000170002</v>
      </c>
      <c r="T831" s="90">
        <f t="shared" si="122"/>
        <v>165</v>
      </c>
      <c r="U831" s="90">
        <f t="shared" si="123"/>
        <v>853</v>
      </c>
      <c r="V831" s="373">
        <f t="shared" si="124"/>
        <v>822</v>
      </c>
      <c r="W831" s="90">
        <f t="shared" si="125"/>
        <v>179.00000000170002</v>
      </c>
      <c r="X831" s="90">
        <f t="shared" si="126"/>
        <v>4251212.544871957</v>
      </c>
      <c r="Y831" s="141">
        <f t="shared" si="128"/>
        <v>822</v>
      </c>
      <c r="Z831" s="298">
        <v>165</v>
      </c>
      <c r="AA831" s="299">
        <v>853</v>
      </c>
      <c r="AB831" s="299">
        <v>822</v>
      </c>
      <c r="AC831" s="301">
        <v>179.00000000170002</v>
      </c>
      <c r="AD831" s="301">
        <v>4251212.544871957</v>
      </c>
      <c r="AE831" s="126"/>
      <c r="AF831" s="298"/>
      <c r="AG831" s="299"/>
      <c r="AH831" s="299"/>
      <c r="AI831" s="301"/>
      <c r="AJ831" s="301"/>
      <c r="AK831" s="426"/>
      <c r="AL831" s="298"/>
      <c r="AM831" s="299"/>
      <c r="AN831" s="299"/>
      <c r="AO831" s="301"/>
      <c r="AP831" s="301"/>
      <c r="AQ831" s="426"/>
      <c r="AR831" s="298"/>
      <c r="AS831" s="299"/>
      <c r="AT831" s="299"/>
      <c r="AU831" s="301"/>
      <c r="AV831" s="301"/>
      <c r="AW831" s="88"/>
      <c r="AX831" s="298"/>
      <c r="AY831" s="299"/>
      <c r="AZ831" s="299"/>
      <c r="BA831" s="301"/>
      <c r="BB831" s="301"/>
      <c r="BC831" s="426"/>
      <c r="BD831" s="298"/>
      <c r="BE831" s="299"/>
      <c r="BF831" s="299"/>
      <c r="BG831" s="301"/>
      <c r="BH831" s="301"/>
      <c r="BI831" s="88"/>
      <c r="BJ831" s="298"/>
      <c r="BK831" s="299"/>
      <c r="BL831" s="299"/>
      <c r="BM831" s="301"/>
      <c r="BN831" s="301"/>
      <c r="BO831" s="88"/>
      <c r="BP831" s="9"/>
      <c r="BS831" s="81"/>
      <c r="BT831" s="81"/>
      <c r="BV831" s="9"/>
      <c r="BY831" s="81"/>
      <c r="BZ831" s="81"/>
      <c r="CB831" s="9"/>
      <c r="CE831" s="81"/>
      <c r="CF831" s="81"/>
      <c r="CH831" s="9"/>
      <c r="CK831" s="81"/>
      <c r="CL831" s="81"/>
      <c r="CR831" s="9"/>
      <c r="CS831" s="9"/>
      <c r="CT831" s="9"/>
      <c r="CU831" s="9"/>
      <c r="CV831" s="9"/>
      <c r="CW831" s="129"/>
      <c r="CX831" s="9"/>
    </row>
    <row r="832" spans="1:102">
      <c r="A832" s="6" t="str">
        <f t="shared" si="121"/>
        <v>01650998</v>
      </c>
      <c r="B832" s="6" t="s">
        <v>1815</v>
      </c>
      <c r="C832" s="6" t="s">
        <v>2091</v>
      </c>
      <c r="D832" s="6">
        <v>823</v>
      </c>
      <c r="E832" s="6">
        <v>165</v>
      </c>
      <c r="F832" s="6" t="s">
        <v>1547</v>
      </c>
      <c r="G832" s="6">
        <v>998</v>
      </c>
      <c r="I832" s="33">
        <v>0</v>
      </c>
      <c r="J832" s="88">
        <v>0</v>
      </c>
      <c r="K832" s="89">
        <f t="shared" si="130"/>
        <v>0</v>
      </c>
      <c r="L832" s="88">
        <f>IF(K834&gt;0, K832/K834, 0)</f>
        <v>0</v>
      </c>
      <c r="M832" s="58"/>
      <c r="N832" s="9">
        <f>ROUND(M834*L832,0)</f>
        <v>0</v>
      </c>
      <c r="O832" s="9">
        <v>0</v>
      </c>
      <c r="P832" s="9">
        <f>N832-O832</f>
        <v>0</v>
      </c>
      <c r="Q832" s="40">
        <f t="shared" si="129"/>
        <v>0</v>
      </c>
      <c r="R832" s="9">
        <v>0</v>
      </c>
      <c r="S832" s="9">
        <f t="shared" si="127"/>
        <v>0</v>
      </c>
      <c r="T832" s="90">
        <f t="shared" si="122"/>
        <v>165</v>
      </c>
      <c r="U832" s="90">
        <f t="shared" si="123"/>
        <v>998</v>
      </c>
      <c r="V832" s="373">
        <f t="shared" si="124"/>
        <v>823</v>
      </c>
      <c r="W832" s="90">
        <f t="shared" si="125"/>
        <v>0</v>
      </c>
      <c r="X832" s="90">
        <f t="shared" si="126"/>
        <v>0</v>
      </c>
      <c r="Y832" s="141">
        <f t="shared" si="128"/>
        <v>823</v>
      </c>
      <c r="Z832" s="298">
        <v>165</v>
      </c>
      <c r="AA832" s="299">
        <v>998</v>
      </c>
      <c r="AB832" s="299">
        <v>823</v>
      </c>
      <c r="AC832" s="301">
        <v>0</v>
      </c>
      <c r="AD832" s="301">
        <v>0</v>
      </c>
      <c r="AE832" s="126"/>
      <c r="AF832" s="298"/>
      <c r="AG832" s="299"/>
      <c r="AH832" s="299"/>
      <c r="AI832" s="301"/>
      <c r="AJ832" s="301"/>
      <c r="AK832" s="426"/>
      <c r="AL832" s="298"/>
      <c r="AM832" s="299"/>
      <c r="AN832" s="299"/>
      <c r="AO832" s="301"/>
      <c r="AP832" s="301"/>
      <c r="AQ832" s="426"/>
      <c r="AR832" s="298"/>
      <c r="AS832" s="299"/>
      <c r="AT832" s="299"/>
      <c r="AU832" s="301"/>
      <c r="AV832" s="301"/>
      <c r="AW832" s="88"/>
      <c r="AX832" s="298"/>
      <c r="AY832" s="299"/>
      <c r="AZ832" s="299"/>
      <c r="BA832" s="301"/>
      <c r="BB832" s="301"/>
      <c r="BC832" s="426"/>
      <c r="BD832" s="298"/>
      <c r="BE832" s="299"/>
      <c r="BF832" s="299"/>
      <c r="BG832" s="301"/>
      <c r="BH832" s="301"/>
      <c r="BI832" s="88"/>
      <c r="BJ832" s="298"/>
      <c r="BK832" s="299"/>
      <c r="BL832" s="299"/>
      <c r="BM832" s="301"/>
      <c r="BN832" s="301"/>
      <c r="BO832" s="88"/>
      <c r="BP832" s="9"/>
      <c r="BS832" s="81"/>
      <c r="BT832" s="81"/>
      <c r="BV832" s="9"/>
      <c r="BY832" s="81"/>
      <c r="BZ832" s="81"/>
      <c r="CB832" s="9"/>
      <c r="CE832" s="81"/>
      <c r="CF832" s="81"/>
      <c r="CH832" s="9"/>
      <c r="CK832" s="81"/>
      <c r="CL832" s="81"/>
      <c r="CR832" s="9"/>
      <c r="CS832" s="9"/>
      <c r="CT832" s="9"/>
      <c r="CU832" s="9"/>
      <c r="CV832" s="9"/>
      <c r="CW832" s="129"/>
      <c r="CX832" s="9"/>
    </row>
    <row r="833" spans="1:102">
      <c r="A833" s="6" t="str">
        <f t="shared" si="121"/>
        <v>01650998</v>
      </c>
      <c r="B833" s="6" t="s">
        <v>1815</v>
      </c>
      <c r="C833" s="6" t="s">
        <v>2091</v>
      </c>
      <c r="D833" s="6">
        <v>824</v>
      </c>
      <c r="E833" s="6">
        <v>165</v>
      </c>
      <c r="F833" s="6" t="s">
        <v>1547</v>
      </c>
      <c r="G833" s="6">
        <v>998</v>
      </c>
      <c r="H833" s="6" t="s">
        <v>1547</v>
      </c>
      <c r="I833" s="33">
        <v>0</v>
      </c>
      <c r="J833" s="88">
        <v>0</v>
      </c>
      <c r="K833" s="89">
        <f t="shared" si="130"/>
        <v>0</v>
      </c>
      <c r="L833" s="88">
        <f>IF(K834&gt;0, K833/K834, 0)</f>
        <v>0</v>
      </c>
      <c r="M833" s="58"/>
      <c r="N833" s="9">
        <f>ROUND(M834*L833,0)</f>
        <v>0</v>
      </c>
      <c r="O833" s="9">
        <v>0</v>
      </c>
      <c r="P833" s="9">
        <f>N833-O833</f>
        <v>0</v>
      </c>
      <c r="Q833" s="40">
        <f t="shared" si="129"/>
        <v>0</v>
      </c>
      <c r="R833" s="9">
        <v>0</v>
      </c>
      <c r="S833" s="9">
        <f t="shared" si="127"/>
        <v>0</v>
      </c>
      <c r="T833" s="90">
        <f t="shared" si="122"/>
        <v>165</v>
      </c>
      <c r="U833" s="90">
        <f t="shared" si="123"/>
        <v>998</v>
      </c>
      <c r="V833" s="373">
        <f t="shared" si="124"/>
        <v>824</v>
      </c>
      <c r="W833" s="90">
        <f t="shared" si="125"/>
        <v>0</v>
      </c>
      <c r="X833" s="90">
        <f t="shared" si="126"/>
        <v>0</v>
      </c>
      <c r="Y833" s="141">
        <f t="shared" si="128"/>
        <v>824</v>
      </c>
      <c r="Z833" s="298">
        <v>165</v>
      </c>
      <c r="AA833" s="299">
        <v>998</v>
      </c>
      <c r="AB833" s="299">
        <v>824</v>
      </c>
      <c r="AC833" s="301">
        <v>0</v>
      </c>
      <c r="AD833" s="301">
        <v>0</v>
      </c>
      <c r="AE833" s="126"/>
      <c r="AF833" s="298"/>
      <c r="AG833" s="299"/>
      <c r="AH833" s="299"/>
      <c r="AI833" s="301"/>
      <c r="AJ833" s="301"/>
      <c r="AK833" s="426"/>
      <c r="AL833" s="298"/>
      <c r="AM833" s="299"/>
      <c r="AN833" s="299"/>
      <c r="AO833" s="301"/>
      <c r="AP833" s="301"/>
      <c r="AQ833" s="426"/>
      <c r="AR833" s="298"/>
      <c r="AS833" s="299"/>
      <c r="AT833" s="299"/>
      <c r="AU833" s="301"/>
      <c r="AV833" s="301"/>
      <c r="AW833" s="88"/>
      <c r="AX833" s="298"/>
      <c r="AY833" s="299"/>
      <c r="AZ833" s="299"/>
      <c r="BA833" s="301"/>
      <c r="BB833" s="301"/>
      <c r="BC833" s="426"/>
      <c r="BD833" s="298"/>
      <c r="BE833" s="299"/>
      <c r="BF833" s="299"/>
      <c r="BG833" s="301"/>
      <c r="BH833" s="301"/>
      <c r="BI833" s="88"/>
      <c r="BJ833" s="298"/>
      <c r="BK833" s="299"/>
      <c r="BL833" s="299"/>
      <c r="BM833" s="301"/>
      <c r="BN833" s="301"/>
      <c r="BO833" s="88"/>
      <c r="BP833" s="9"/>
      <c r="BS833" s="81"/>
      <c r="BT833" s="81"/>
      <c r="BV833" s="9"/>
      <c r="BY833" s="81"/>
      <c r="BZ833" s="81"/>
      <c r="CB833" s="9"/>
      <c r="CE833" s="81"/>
      <c r="CF833" s="81"/>
      <c r="CH833" s="9"/>
      <c r="CK833" s="81"/>
      <c r="CL833" s="81"/>
      <c r="CR833" s="9"/>
      <c r="CS833" s="9"/>
      <c r="CT833" s="9"/>
      <c r="CU833" s="9"/>
      <c r="CV833" s="9"/>
      <c r="CW833" s="129"/>
      <c r="CX833" s="9"/>
    </row>
    <row r="834" spans="1:102">
      <c r="A834" s="6" t="str">
        <f t="shared" si="121"/>
        <v>01650999</v>
      </c>
      <c r="B834" s="6" t="s">
        <v>1815</v>
      </c>
      <c r="C834" s="6" t="s">
        <v>2092</v>
      </c>
      <c r="D834" s="6">
        <v>825</v>
      </c>
      <c r="E834" s="10">
        <v>165</v>
      </c>
      <c r="F834" s="10" t="s">
        <v>1283</v>
      </c>
      <c r="G834" s="10">
        <v>999</v>
      </c>
      <c r="H834" s="10" t="s">
        <v>593</v>
      </c>
      <c r="I834" s="92">
        <v>121273792.69578645</v>
      </c>
      <c r="J834" s="472">
        <v>1</v>
      </c>
      <c r="K834" s="53">
        <f>SUM(K830:K833)</f>
        <v>125778963.66361195</v>
      </c>
      <c r="L834" s="91">
        <f>SUM(L830:L833)</f>
        <v>1</v>
      </c>
      <c r="M834" s="79">
        <f>VLOOKUP(E834,town351,24)</f>
        <v>59663667</v>
      </c>
      <c r="N834" s="79">
        <f>SUM(N830:N833)</f>
        <v>59663667</v>
      </c>
      <c r="O834" s="79">
        <v>56111790</v>
      </c>
      <c r="P834" s="79">
        <f>SUM(P830:P833)</f>
        <v>3551877</v>
      </c>
      <c r="Q834" s="39">
        <f t="shared" si="129"/>
        <v>6.3300012350345627</v>
      </c>
      <c r="R834" s="9">
        <v>7098.9999999991996</v>
      </c>
      <c r="S834" s="9">
        <f t="shared" si="127"/>
        <v>7042.0000000016998</v>
      </c>
      <c r="T834" s="90">
        <f t="shared" si="122"/>
        <v>165</v>
      </c>
      <c r="U834" s="90">
        <f t="shared" si="123"/>
        <v>999</v>
      </c>
      <c r="V834" s="373">
        <f t="shared" si="124"/>
        <v>825</v>
      </c>
      <c r="W834" s="90">
        <f t="shared" si="125"/>
        <v>7042.0000000016998</v>
      </c>
      <c r="X834" s="90">
        <f t="shared" si="126"/>
        <v>125778963.66361195</v>
      </c>
      <c r="Y834" s="141">
        <f t="shared" si="128"/>
        <v>825</v>
      </c>
      <c r="Z834" s="298">
        <v>165</v>
      </c>
      <c r="AA834" s="299">
        <v>999</v>
      </c>
      <c r="AB834" s="299">
        <v>825</v>
      </c>
      <c r="AC834" s="301">
        <v>7042.0000000016998</v>
      </c>
      <c r="AD834" s="301">
        <v>125778963.66361195</v>
      </c>
      <c r="AE834" s="126"/>
      <c r="AF834" s="298"/>
      <c r="AG834" s="299"/>
      <c r="AH834" s="299"/>
      <c r="AI834" s="301"/>
      <c r="AJ834" s="301"/>
      <c r="AK834" s="426"/>
      <c r="AL834" s="298"/>
      <c r="AM834" s="299"/>
      <c r="AN834" s="299"/>
      <c r="AO834" s="301"/>
      <c r="AP834" s="301"/>
      <c r="AQ834" s="426"/>
      <c r="AR834" s="298"/>
      <c r="AS834" s="299"/>
      <c r="AT834" s="299"/>
      <c r="AU834" s="301"/>
      <c r="AV834" s="301"/>
      <c r="AW834" s="91"/>
      <c r="AX834" s="298"/>
      <c r="AY834" s="299"/>
      <c r="AZ834" s="299"/>
      <c r="BA834" s="301"/>
      <c r="BB834" s="301"/>
      <c r="BC834" s="426"/>
      <c r="BD834" s="298"/>
      <c r="BE834" s="299"/>
      <c r="BF834" s="299"/>
      <c r="BG834" s="301"/>
      <c r="BH834" s="301"/>
      <c r="BI834" s="91"/>
      <c r="BJ834" s="298"/>
      <c r="BK834" s="299"/>
      <c r="BL834" s="299"/>
      <c r="BM834" s="301"/>
      <c r="BN834" s="301"/>
      <c r="BO834" s="91"/>
      <c r="BP834" s="9"/>
      <c r="BS834" s="81"/>
      <c r="BT834" s="81"/>
      <c r="BV834" s="9"/>
      <c r="BY834" s="81"/>
      <c r="BZ834" s="81"/>
      <c r="CB834" s="9"/>
      <c r="CE834" s="81"/>
      <c r="CF834" s="81"/>
      <c r="CH834" s="9"/>
      <c r="CK834" s="81"/>
      <c r="CL834" s="81"/>
      <c r="CR834" s="9"/>
      <c r="CS834" s="9"/>
      <c r="CT834" s="9"/>
      <c r="CU834" s="9"/>
      <c r="CV834" s="9"/>
      <c r="CW834" s="129"/>
      <c r="CX834" s="9"/>
    </row>
    <row r="835" spans="1:102">
      <c r="A835" s="6" t="str">
        <f t="shared" si="121"/>
        <v>01660166</v>
      </c>
      <c r="B835" s="6" t="s">
        <v>1816</v>
      </c>
      <c r="C835" s="6" t="s">
        <v>1816</v>
      </c>
      <c r="D835" s="6">
        <v>826</v>
      </c>
      <c r="E835" s="6">
        <v>166</v>
      </c>
      <c r="F835" s="6" t="s">
        <v>1284</v>
      </c>
      <c r="G835" s="6">
        <v>166</v>
      </c>
      <c r="H835" s="6" t="s">
        <v>847</v>
      </c>
      <c r="I835" s="33">
        <v>0</v>
      </c>
      <c r="J835" s="88">
        <v>0</v>
      </c>
      <c r="K835" s="89">
        <f>X835</f>
        <v>0</v>
      </c>
      <c r="L835" s="88">
        <f>IF(K839&gt;0, K835/K839, 0)</f>
        <v>0</v>
      </c>
      <c r="M835" s="58"/>
      <c r="N835" s="9">
        <f>ROUND(M839*L835,0)</f>
        <v>0</v>
      </c>
      <c r="O835" s="9">
        <v>0</v>
      </c>
      <c r="P835" s="9">
        <f>N835-O835</f>
        <v>0</v>
      </c>
      <c r="Q835" s="40">
        <f t="shared" si="129"/>
        <v>0</v>
      </c>
      <c r="R835" s="9">
        <v>0</v>
      </c>
      <c r="S835" s="9">
        <f t="shared" si="127"/>
        <v>0</v>
      </c>
      <c r="T835" s="90">
        <f t="shared" si="122"/>
        <v>166</v>
      </c>
      <c r="U835" s="90">
        <f t="shared" si="123"/>
        <v>166</v>
      </c>
      <c r="V835" s="373">
        <f t="shared" si="124"/>
        <v>826</v>
      </c>
      <c r="W835" s="90">
        <f t="shared" si="125"/>
        <v>0</v>
      </c>
      <c r="X835" s="90">
        <f t="shared" si="126"/>
        <v>0</v>
      </c>
      <c r="Y835" s="141">
        <f t="shared" si="128"/>
        <v>826</v>
      </c>
      <c r="Z835" s="298">
        <v>166</v>
      </c>
      <c r="AA835" s="299">
        <v>166</v>
      </c>
      <c r="AB835" s="299">
        <v>826</v>
      </c>
      <c r="AC835" s="301">
        <v>0</v>
      </c>
      <c r="AD835" s="301">
        <v>0</v>
      </c>
      <c r="AE835" s="126"/>
      <c r="AF835" s="298"/>
      <c r="AG835" s="299"/>
      <c r="AH835" s="299"/>
      <c r="AI835" s="301"/>
      <c r="AJ835" s="301"/>
      <c r="AK835" s="426"/>
      <c r="AL835" s="298"/>
      <c r="AM835" s="299"/>
      <c r="AN835" s="299"/>
      <c r="AO835" s="301"/>
      <c r="AP835" s="301"/>
      <c r="AQ835" s="426"/>
      <c r="AR835" s="298"/>
      <c r="AS835" s="299"/>
      <c r="AT835" s="299"/>
      <c r="AU835" s="301"/>
      <c r="AV835" s="301"/>
      <c r="AW835" s="88"/>
      <c r="AX835" s="298"/>
      <c r="AY835" s="299"/>
      <c r="AZ835" s="299"/>
      <c r="BA835" s="301"/>
      <c r="BB835" s="301"/>
      <c r="BC835" s="426"/>
      <c r="BD835" s="298"/>
      <c r="BE835" s="299"/>
      <c r="BF835" s="299"/>
      <c r="BG835" s="301"/>
      <c r="BH835" s="301"/>
      <c r="BI835" s="88"/>
      <c r="BJ835" s="298"/>
      <c r="BK835" s="299"/>
      <c r="BL835" s="299"/>
      <c r="BM835" s="301"/>
      <c r="BN835" s="301"/>
      <c r="BO835" s="88"/>
      <c r="BP835" s="9"/>
      <c r="BS835" s="81"/>
      <c r="BT835" s="81"/>
      <c r="BV835" s="9"/>
      <c r="BY835" s="81"/>
      <c r="BZ835" s="81"/>
      <c r="CB835" s="9"/>
      <c r="CE835" s="81"/>
      <c r="CF835" s="81"/>
      <c r="CH835" s="9"/>
      <c r="CK835" s="81"/>
      <c r="CL835" s="81"/>
      <c r="CR835" s="9"/>
      <c r="CS835" s="9"/>
      <c r="CT835" s="9"/>
      <c r="CU835" s="9"/>
      <c r="CV835" s="9"/>
      <c r="CW835" s="129"/>
      <c r="CX835" s="9"/>
    </row>
    <row r="836" spans="1:102">
      <c r="A836" s="6" t="str">
        <f t="shared" si="121"/>
        <v>01660698</v>
      </c>
      <c r="B836" s="6" t="s">
        <v>1816</v>
      </c>
      <c r="C836" s="6" t="s">
        <v>2034</v>
      </c>
      <c r="D836" s="6">
        <v>827</v>
      </c>
      <c r="E836" s="6">
        <v>166</v>
      </c>
      <c r="F836" s="6" t="s">
        <v>1284</v>
      </c>
      <c r="G836" s="6">
        <v>698</v>
      </c>
      <c r="H836" s="6" t="s">
        <v>1064</v>
      </c>
      <c r="I836" s="33">
        <v>8656939.6483180579</v>
      </c>
      <c r="J836" s="88">
        <v>0.97123876442751722</v>
      </c>
      <c r="K836" s="89">
        <f t="shared" si="130"/>
        <v>8362900.351031729</v>
      </c>
      <c r="L836" s="88">
        <f>IF(K839&gt;0, K836/K839, 0)</f>
        <v>0.96959003757179762</v>
      </c>
      <c r="M836" s="58"/>
      <c r="N836" s="9">
        <f>ROUND(M839*L836,0)</f>
        <v>6899392</v>
      </c>
      <c r="O836" s="9">
        <v>7141975</v>
      </c>
      <c r="P836" s="9">
        <f>N836-O836</f>
        <v>-242583</v>
      </c>
      <c r="Q836" s="40">
        <f t="shared" si="129"/>
        <v>-3.3965814778125099</v>
      </c>
      <c r="R836" s="9">
        <v>677.76302521037996</v>
      </c>
      <c r="S836" s="9">
        <f t="shared" si="127"/>
        <v>642.1635883908001</v>
      </c>
      <c r="T836" s="90">
        <f t="shared" si="122"/>
        <v>166</v>
      </c>
      <c r="U836" s="90">
        <f t="shared" si="123"/>
        <v>698</v>
      </c>
      <c r="V836" s="373">
        <f t="shared" si="124"/>
        <v>827</v>
      </c>
      <c r="W836" s="90">
        <f t="shared" si="125"/>
        <v>642.1635883908001</v>
      </c>
      <c r="X836" s="90">
        <f t="shared" si="126"/>
        <v>8362900.351031729</v>
      </c>
      <c r="Y836" s="141">
        <f t="shared" si="128"/>
        <v>827</v>
      </c>
      <c r="Z836" s="298">
        <v>166</v>
      </c>
      <c r="AA836" s="299">
        <v>698</v>
      </c>
      <c r="AB836" s="299">
        <v>827</v>
      </c>
      <c r="AC836" s="301">
        <v>642.1635883908001</v>
      </c>
      <c r="AD836" s="301">
        <v>8362900.351031729</v>
      </c>
      <c r="AE836" s="126"/>
      <c r="AF836" s="298"/>
      <c r="AG836" s="299"/>
      <c r="AH836" s="299"/>
      <c r="AI836" s="301"/>
      <c r="AJ836" s="301"/>
      <c r="AK836" s="426"/>
      <c r="AL836" s="298"/>
      <c r="AM836" s="299"/>
      <c r="AN836" s="299"/>
      <c r="AO836" s="301"/>
      <c r="AP836" s="301"/>
      <c r="AQ836" s="426"/>
      <c r="AR836" s="298"/>
      <c r="AS836" s="299"/>
      <c r="AT836" s="299"/>
      <c r="AU836" s="301"/>
      <c r="AV836" s="301"/>
      <c r="AW836" s="88"/>
      <c r="AX836" s="298"/>
      <c r="AY836" s="299"/>
      <c r="AZ836" s="299"/>
      <c r="BA836" s="301"/>
      <c r="BB836" s="301"/>
      <c r="BC836" s="426"/>
      <c r="BD836" s="298"/>
      <c r="BE836" s="299"/>
      <c r="BF836" s="299"/>
      <c r="BG836" s="301"/>
      <c r="BH836" s="301"/>
      <c r="BI836" s="88"/>
      <c r="BJ836" s="298"/>
      <c r="BK836" s="299"/>
      <c r="BL836" s="299"/>
      <c r="BM836" s="301"/>
      <c r="BN836" s="301"/>
      <c r="BO836" s="88"/>
      <c r="BP836" s="9"/>
      <c r="BS836" s="81"/>
      <c r="BT836" s="81"/>
      <c r="BV836" s="9"/>
      <c r="BY836" s="81"/>
      <c r="BZ836" s="81"/>
      <c r="CB836" s="9"/>
      <c r="CE836" s="81"/>
      <c r="CF836" s="81"/>
      <c r="CH836" s="9"/>
      <c r="CK836" s="81"/>
      <c r="CL836" s="81"/>
      <c r="CR836" s="9"/>
      <c r="CS836" s="9"/>
      <c r="CT836" s="9"/>
      <c r="CU836" s="9"/>
      <c r="CV836" s="9"/>
      <c r="CW836" s="129"/>
      <c r="CX836" s="9"/>
    </row>
    <row r="837" spans="1:102">
      <c r="A837" s="6" t="str">
        <f t="shared" si="121"/>
        <v>01660817</v>
      </c>
      <c r="B837" s="6" t="s">
        <v>1816</v>
      </c>
      <c r="C837" s="6" t="s">
        <v>2067</v>
      </c>
      <c r="D837" s="6">
        <v>828</v>
      </c>
      <c r="E837" s="6">
        <v>166</v>
      </c>
      <c r="F837" s="6" t="s">
        <v>1284</v>
      </c>
      <c r="G837" s="6">
        <v>817</v>
      </c>
      <c r="H837" s="6" t="s">
        <v>1097</v>
      </c>
      <c r="I837" s="33">
        <v>256357.4372042304</v>
      </c>
      <c r="J837" s="88">
        <v>2.8761235572482745E-2</v>
      </c>
      <c r="K837" s="89">
        <f t="shared" si="130"/>
        <v>262291.76828443113</v>
      </c>
      <c r="L837" s="88">
        <f>IF(K839&gt;0, K837/K839, 0)</f>
        <v>3.0409962428202313E-2</v>
      </c>
      <c r="M837" s="58"/>
      <c r="N837" s="9">
        <f>ROUND(M839*L837,0)</f>
        <v>216391</v>
      </c>
      <c r="O837" s="9">
        <v>211495</v>
      </c>
      <c r="P837" s="9">
        <f>N837-O837</f>
        <v>4896</v>
      </c>
      <c r="Q837" s="40">
        <f t="shared" si="129"/>
        <v>2.3149483439324805</v>
      </c>
      <c r="R837" s="9">
        <v>12.999999996930001</v>
      </c>
      <c r="S837" s="9">
        <f t="shared" si="127"/>
        <v>13.000000006170001</v>
      </c>
      <c r="T837" s="90">
        <f t="shared" si="122"/>
        <v>166</v>
      </c>
      <c r="U837" s="90">
        <f t="shared" si="123"/>
        <v>817</v>
      </c>
      <c r="V837" s="373">
        <f t="shared" si="124"/>
        <v>828</v>
      </c>
      <c r="W837" s="90">
        <f t="shared" si="125"/>
        <v>13.000000006170001</v>
      </c>
      <c r="X837" s="90">
        <f t="shared" si="126"/>
        <v>262291.76828443113</v>
      </c>
      <c r="Y837" s="141">
        <f t="shared" si="128"/>
        <v>828</v>
      </c>
      <c r="Z837" s="298">
        <v>166</v>
      </c>
      <c r="AA837" s="299">
        <v>817</v>
      </c>
      <c r="AB837" s="299">
        <v>828</v>
      </c>
      <c r="AC837" s="301">
        <v>13.000000006170001</v>
      </c>
      <c r="AD837" s="301">
        <v>262291.76828443113</v>
      </c>
      <c r="AE837" s="126"/>
      <c r="AF837" s="298"/>
      <c r="AG837" s="299"/>
      <c r="AH837" s="299"/>
      <c r="AI837" s="301"/>
      <c r="AJ837" s="301"/>
      <c r="AK837" s="426"/>
      <c r="AL837" s="298"/>
      <c r="AM837" s="299"/>
      <c r="AN837" s="299"/>
      <c r="AO837" s="301"/>
      <c r="AP837" s="301"/>
      <c r="AQ837" s="426"/>
      <c r="AR837" s="298"/>
      <c r="AS837" s="299"/>
      <c r="AT837" s="299"/>
      <c r="AU837" s="301"/>
      <c r="AV837" s="301"/>
      <c r="AW837" s="88"/>
      <c r="AX837" s="298"/>
      <c r="AY837" s="299"/>
      <c r="AZ837" s="299"/>
      <c r="BA837" s="301"/>
      <c r="BB837" s="301"/>
      <c r="BC837" s="426"/>
      <c r="BD837" s="298"/>
      <c r="BE837" s="299"/>
      <c r="BF837" s="299"/>
      <c r="BG837" s="301"/>
      <c r="BH837" s="301"/>
      <c r="BI837" s="88"/>
      <c r="BJ837" s="298"/>
      <c r="BK837" s="299"/>
      <c r="BL837" s="299"/>
      <c r="BM837" s="301"/>
      <c r="BN837" s="301"/>
      <c r="BO837" s="88"/>
      <c r="BP837" s="9"/>
      <c r="BS837" s="81"/>
      <c r="BT837" s="81"/>
      <c r="BV837" s="9"/>
      <c r="BY837" s="81"/>
      <c r="BZ837" s="81"/>
      <c r="CB837" s="9"/>
      <c r="CE837" s="81"/>
      <c r="CF837" s="81"/>
      <c r="CH837" s="9"/>
      <c r="CK837" s="81"/>
      <c r="CL837" s="81"/>
      <c r="CR837" s="9"/>
      <c r="CS837" s="9"/>
      <c r="CT837" s="9"/>
      <c r="CU837" s="9"/>
      <c r="CV837" s="9"/>
      <c r="CW837" s="129"/>
      <c r="CX837" s="9"/>
    </row>
    <row r="838" spans="1:102">
      <c r="A838" s="6" t="str">
        <f t="shared" si="121"/>
        <v>01660998</v>
      </c>
      <c r="B838" s="6" t="s">
        <v>1816</v>
      </c>
      <c r="C838" s="6" t="s">
        <v>2091</v>
      </c>
      <c r="D838" s="6">
        <v>829</v>
      </c>
      <c r="E838" s="6">
        <v>166</v>
      </c>
      <c r="F838" s="6" t="s">
        <v>1547</v>
      </c>
      <c r="G838" s="6">
        <v>998</v>
      </c>
      <c r="H838" s="6" t="s">
        <v>1547</v>
      </c>
      <c r="I838" s="33">
        <v>0</v>
      </c>
      <c r="J838" s="88">
        <v>0</v>
      </c>
      <c r="K838" s="89">
        <f t="shared" si="130"/>
        <v>0</v>
      </c>
      <c r="L838" s="88">
        <f>IF(K839&gt;0, K838/K839, 0)</f>
        <v>0</v>
      </c>
      <c r="M838" s="58"/>
      <c r="N838" s="9">
        <f>ROUND(M839*L838,0)</f>
        <v>0</v>
      </c>
      <c r="O838" s="9">
        <v>0</v>
      </c>
      <c r="P838" s="9">
        <f>N838-O838</f>
        <v>0</v>
      </c>
      <c r="Q838" s="40">
        <f t="shared" si="129"/>
        <v>0</v>
      </c>
      <c r="R838" s="9">
        <v>0</v>
      </c>
      <c r="S838" s="9">
        <f t="shared" si="127"/>
        <v>0</v>
      </c>
      <c r="T838" s="90">
        <f t="shared" si="122"/>
        <v>166</v>
      </c>
      <c r="U838" s="90">
        <f t="shared" si="123"/>
        <v>998</v>
      </c>
      <c r="V838" s="373">
        <f t="shared" si="124"/>
        <v>829</v>
      </c>
      <c r="W838" s="90">
        <f t="shared" si="125"/>
        <v>0</v>
      </c>
      <c r="X838" s="90">
        <f t="shared" si="126"/>
        <v>0</v>
      </c>
      <c r="Y838" s="141">
        <f t="shared" si="128"/>
        <v>829</v>
      </c>
      <c r="Z838" s="298">
        <v>166</v>
      </c>
      <c r="AA838" s="299">
        <v>998</v>
      </c>
      <c r="AB838" s="299">
        <v>829</v>
      </c>
      <c r="AC838" s="301">
        <v>0</v>
      </c>
      <c r="AD838" s="301">
        <v>0</v>
      </c>
      <c r="AE838" s="126"/>
      <c r="AF838" s="298"/>
      <c r="AG838" s="299"/>
      <c r="AH838" s="299"/>
      <c r="AI838" s="301"/>
      <c r="AJ838" s="301"/>
      <c r="AK838" s="426"/>
      <c r="AL838" s="298"/>
      <c r="AM838" s="299"/>
      <c r="AN838" s="299"/>
      <c r="AO838" s="301"/>
      <c r="AP838" s="301"/>
      <c r="AQ838" s="426"/>
      <c r="AR838" s="298"/>
      <c r="AS838" s="299"/>
      <c r="AT838" s="299"/>
      <c r="AU838" s="301"/>
      <c r="AV838" s="301"/>
      <c r="AW838" s="88"/>
      <c r="AX838" s="298"/>
      <c r="AY838" s="299"/>
      <c r="AZ838" s="299"/>
      <c r="BA838" s="301"/>
      <c r="BB838" s="301"/>
      <c r="BC838" s="426"/>
      <c r="BD838" s="298"/>
      <c r="BE838" s="299"/>
      <c r="BF838" s="299"/>
      <c r="BG838" s="301"/>
      <c r="BH838" s="301"/>
      <c r="BI838" s="88"/>
      <c r="BJ838" s="298"/>
      <c r="BK838" s="299"/>
      <c r="BL838" s="299"/>
      <c r="BM838" s="301"/>
      <c r="BN838" s="301"/>
      <c r="BO838" s="88"/>
      <c r="BP838" s="9"/>
      <c r="BS838" s="81"/>
      <c r="BT838" s="81"/>
      <c r="BV838" s="9"/>
      <c r="BY838" s="81"/>
      <c r="BZ838" s="81"/>
      <c r="CB838" s="9"/>
      <c r="CE838" s="81"/>
      <c r="CF838" s="81"/>
      <c r="CH838" s="9"/>
      <c r="CK838" s="81"/>
      <c r="CL838" s="81"/>
      <c r="CR838" s="9"/>
      <c r="CS838" s="9"/>
      <c r="CT838" s="9"/>
      <c r="CU838" s="9"/>
      <c r="CV838" s="9"/>
      <c r="CW838" s="129"/>
      <c r="CX838" s="9"/>
    </row>
    <row r="839" spans="1:102">
      <c r="A839" s="6" t="str">
        <f t="shared" si="121"/>
        <v>01660999</v>
      </c>
      <c r="B839" s="6" t="s">
        <v>1816</v>
      </c>
      <c r="C839" s="6" t="s">
        <v>2092</v>
      </c>
      <c r="D839" s="6">
        <v>830</v>
      </c>
      <c r="E839" s="10">
        <v>166</v>
      </c>
      <c r="F839" s="10" t="s">
        <v>1284</v>
      </c>
      <c r="G839" s="10">
        <v>999</v>
      </c>
      <c r="H839" s="10" t="s">
        <v>593</v>
      </c>
      <c r="I839" s="92">
        <v>8913297.0855222885</v>
      </c>
      <c r="J839" s="472">
        <v>1</v>
      </c>
      <c r="K839" s="53">
        <f>SUM(K835:K838)</f>
        <v>8625192.1193161607</v>
      </c>
      <c r="L839" s="91">
        <f>SUM(L835:L838)</f>
        <v>0.99999999999999989</v>
      </c>
      <c r="M839" s="79">
        <f>VLOOKUP(E839,town351,24)</f>
        <v>7115783</v>
      </c>
      <c r="N839" s="79">
        <f>SUM(N835:N838)</f>
        <v>7115783</v>
      </c>
      <c r="O839" s="79">
        <v>7353470</v>
      </c>
      <c r="P839" s="79">
        <f>SUM(P835:P838)</f>
        <v>-237687</v>
      </c>
      <c r="Q839" s="39">
        <f t="shared" si="129"/>
        <v>-3.2323107322121394</v>
      </c>
      <c r="R839" s="9">
        <v>690.76302520730997</v>
      </c>
      <c r="S839" s="9">
        <f t="shared" si="127"/>
        <v>655.16358839697011</v>
      </c>
      <c r="T839" s="90">
        <f t="shared" si="122"/>
        <v>166</v>
      </c>
      <c r="U839" s="90">
        <f t="shared" si="123"/>
        <v>999</v>
      </c>
      <c r="V839" s="373">
        <f t="shared" si="124"/>
        <v>830</v>
      </c>
      <c r="W839" s="90">
        <f t="shared" si="125"/>
        <v>655.16358839697011</v>
      </c>
      <c r="X839" s="90">
        <f t="shared" si="126"/>
        <v>8625192.1193161607</v>
      </c>
      <c r="Y839" s="141">
        <f t="shared" si="128"/>
        <v>830</v>
      </c>
      <c r="Z839" s="298">
        <v>166</v>
      </c>
      <c r="AA839" s="299">
        <v>999</v>
      </c>
      <c r="AB839" s="299">
        <v>830</v>
      </c>
      <c r="AC839" s="301">
        <v>655.16358839697011</v>
      </c>
      <c r="AD839" s="301">
        <v>8625192.1193161607</v>
      </c>
      <c r="AE839" s="126"/>
      <c r="AF839" s="298"/>
      <c r="AG839" s="299"/>
      <c r="AH839" s="299"/>
      <c r="AI839" s="301"/>
      <c r="AJ839" s="301"/>
      <c r="AK839" s="426"/>
      <c r="AL839" s="298"/>
      <c r="AM839" s="299"/>
      <c r="AN839" s="299"/>
      <c r="AO839" s="301"/>
      <c r="AP839" s="301"/>
      <c r="AQ839" s="426"/>
      <c r="AR839" s="298"/>
      <c r="AS839" s="299"/>
      <c r="AT839" s="299"/>
      <c r="AU839" s="301"/>
      <c r="AV839" s="301"/>
      <c r="AW839" s="91"/>
      <c r="AX839" s="298"/>
      <c r="AY839" s="299"/>
      <c r="AZ839" s="299"/>
      <c r="BA839" s="301"/>
      <c r="BB839" s="301"/>
      <c r="BC839" s="426"/>
      <c r="BD839" s="298"/>
      <c r="BE839" s="299"/>
      <c r="BF839" s="299"/>
      <c r="BG839" s="301"/>
      <c r="BH839" s="301"/>
      <c r="BI839" s="91"/>
      <c r="BJ839" s="298"/>
      <c r="BK839" s="299"/>
      <c r="BL839" s="299"/>
      <c r="BM839" s="301"/>
      <c r="BN839" s="301"/>
      <c r="BO839" s="91"/>
      <c r="BP839" s="9"/>
      <c r="BS839" s="81"/>
      <c r="BT839" s="81"/>
      <c r="BV839" s="9"/>
      <c r="BY839" s="81"/>
      <c r="BZ839" s="81"/>
      <c r="CB839" s="9"/>
      <c r="CE839" s="81"/>
      <c r="CF839" s="81"/>
      <c r="CH839" s="9"/>
      <c r="CK839" s="81"/>
      <c r="CL839" s="81"/>
      <c r="CR839" s="9"/>
      <c r="CS839" s="9"/>
      <c r="CT839" s="9"/>
      <c r="CU839" s="9"/>
      <c r="CV839" s="9"/>
      <c r="CW839" s="129"/>
      <c r="CX839" s="9"/>
    </row>
    <row r="840" spans="1:102">
      <c r="A840" s="6" t="str">
        <f t="shared" si="121"/>
        <v>01670167</v>
      </c>
      <c r="B840" s="6" t="s">
        <v>1817</v>
      </c>
      <c r="C840" s="6" t="s">
        <v>1817</v>
      </c>
      <c r="D840" s="6">
        <v>831</v>
      </c>
      <c r="E840" s="6">
        <v>167</v>
      </c>
      <c r="F840" s="6" t="s">
        <v>1285</v>
      </c>
      <c r="G840" s="6">
        <v>167</v>
      </c>
      <c r="H840" s="6" t="s">
        <v>848</v>
      </c>
      <c r="I840" s="33">
        <v>46129087.005899996</v>
      </c>
      <c r="J840" s="88">
        <v>0.95262369076338049</v>
      </c>
      <c r="K840" s="89">
        <f>X840</f>
        <v>46131542.886</v>
      </c>
      <c r="L840" s="88">
        <f>IF(K844&gt;0, K840/K844, 0)</f>
        <v>0.95663158271594584</v>
      </c>
      <c r="M840" s="58"/>
      <c r="N840" s="9">
        <f>ROUND(M844*L840,0)</f>
        <v>34993046</v>
      </c>
      <c r="O840" s="9">
        <v>32585038</v>
      </c>
      <c r="P840" s="9">
        <f>N840-O840</f>
        <v>2408008</v>
      </c>
      <c r="Q840" s="40">
        <f t="shared" si="129"/>
        <v>7.3899192629451589</v>
      </c>
      <c r="R840" s="9">
        <v>3485</v>
      </c>
      <c r="S840" s="9">
        <f t="shared" si="127"/>
        <v>3412</v>
      </c>
      <c r="T840" s="90">
        <f t="shared" si="122"/>
        <v>167</v>
      </c>
      <c r="U840" s="90">
        <f t="shared" si="123"/>
        <v>167</v>
      </c>
      <c r="V840" s="373">
        <f t="shared" si="124"/>
        <v>831</v>
      </c>
      <c r="W840" s="90">
        <f t="shared" si="125"/>
        <v>3412</v>
      </c>
      <c r="X840" s="90">
        <f t="shared" si="126"/>
        <v>46131542.886</v>
      </c>
      <c r="Y840" s="141">
        <f t="shared" si="128"/>
        <v>831</v>
      </c>
      <c r="Z840" s="298">
        <v>167</v>
      </c>
      <c r="AA840" s="299">
        <v>167</v>
      </c>
      <c r="AB840" s="299">
        <v>831</v>
      </c>
      <c r="AC840" s="301">
        <v>3412</v>
      </c>
      <c r="AD840" s="301">
        <v>46131542.886</v>
      </c>
      <c r="AE840" s="126"/>
      <c r="AF840" s="298"/>
      <c r="AG840" s="299"/>
      <c r="AH840" s="299"/>
      <c r="AI840" s="301"/>
      <c r="AJ840" s="301"/>
      <c r="AK840" s="426"/>
      <c r="AL840" s="298"/>
      <c r="AM840" s="299"/>
      <c r="AN840" s="299"/>
      <c r="AO840" s="301"/>
      <c r="AP840" s="301"/>
      <c r="AQ840" s="426"/>
      <c r="AR840" s="298"/>
      <c r="AS840" s="299"/>
      <c r="AT840" s="299"/>
      <c r="AU840" s="301"/>
      <c r="AV840" s="301"/>
      <c r="AW840" s="88"/>
      <c r="AX840" s="298"/>
      <c r="AY840" s="299"/>
      <c r="AZ840" s="299"/>
      <c r="BA840" s="301"/>
      <c r="BB840" s="301"/>
      <c r="BC840" s="426"/>
      <c r="BD840" s="298"/>
      <c r="BE840" s="299"/>
      <c r="BF840" s="299"/>
      <c r="BG840" s="301"/>
      <c r="BH840" s="301"/>
      <c r="BI840" s="88"/>
      <c r="BJ840" s="298"/>
      <c r="BK840" s="299"/>
      <c r="BL840" s="299"/>
      <c r="BM840" s="301"/>
      <c r="BN840" s="301"/>
      <c r="BO840" s="88"/>
      <c r="BP840" s="9"/>
      <c r="BS840" s="81"/>
      <c r="BT840" s="81"/>
      <c r="BV840" s="9"/>
      <c r="BY840" s="81"/>
      <c r="BZ840" s="81"/>
      <c r="CB840" s="9"/>
      <c r="CE840" s="81"/>
      <c r="CF840" s="81"/>
      <c r="CH840" s="9"/>
      <c r="CK840" s="81"/>
      <c r="CL840" s="81"/>
      <c r="CR840" s="9"/>
      <c r="CS840" s="9"/>
      <c r="CT840" s="9"/>
      <c r="CU840" s="9"/>
      <c r="CV840" s="9"/>
      <c r="CW840" s="129"/>
      <c r="CX840" s="9"/>
    </row>
    <row r="841" spans="1:102">
      <c r="A841" s="6" t="str">
        <f t="shared" si="121"/>
        <v>01670872</v>
      </c>
      <c r="B841" s="6" t="s">
        <v>1817</v>
      </c>
      <c r="C841" s="6" t="s">
        <v>2082</v>
      </c>
      <c r="D841" s="6">
        <v>832</v>
      </c>
      <c r="E841" s="6">
        <v>167</v>
      </c>
      <c r="F841" s="6" t="s">
        <v>1285</v>
      </c>
      <c r="G841" s="6">
        <v>872</v>
      </c>
      <c r="H841" s="6" t="s">
        <v>1112</v>
      </c>
      <c r="I841" s="33">
        <v>2070125.8640575996</v>
      </c>
      <c r="J841" s="88">
        <v>4.2750703925942726E-2</v>
      </c>
      <c r="K841" s="89">
        <f t="shared" si="130"/>
        <v>1882874.8040708841</v>
      </c>
      <c r="L841" s="88">
        <f>IF(K844&gt;0, K841/K844, 0)</f>
        <v>3.9045247377168038E-2</v>
      </c>
      <c r="M841" s="58"/>
      <c r="N841" s="9">
        <f>ROUND(M844*L841,0)</f>
        <v>1428253</v>
      </c>
      <c r="O841" s="9">
        <v>1462312</v>
      </c>
      <c r="P841" s="9">
        <f>N841-O841</f>
        <v>-34059</v>
      </c>
      <c r="Q841" s="40">
        <f t="shared" si="129"/>
        <v>-2.3291199142180328</v>
      </c>
      <c r="R841" s="9">
        <v>97.416564410649997</v>
      </c>
      <c r="S841" s="9">
        <f t="shared" si="127"/>
        <v>86.154121864200008</v>
      </c>
      <c r="T841" s="90">
        <f t="shared" si="122"/>
        <v>167</v>
      </c>
      <c r="U841" s="90">
        <f t="shared" si="123"/>
        <v>872</v>
      </c>
      <c r="V841" s="373">
        <f t="shared" si="124"/>
        <v>832</v>
      </c>
      <c r="W841" s="90">
        <f t="shared" si="125"/>
        <v>86.154121864200008</v>
      </c>
      <c r="X841" s="90">
        <f t="shared" si="126"/>
        <v>1882874.8040708841</v>
      </c>
      <c r="Y841" s="141">
        <f t="shared" si="128"/>
        <v>832</v>
      </c>
      <c r="Z841" s="298">
        <v>167</v>
      </c>
      <c r="AA841" s="299">
        <v>872</v>
      </c>
      <c r="AB841" s="299">
        <v>832</v>
      </c>
      <c r="AC841" s="301">
        <v>86.154121864200008</v>
      </c>
      <c r="AD841" s="301">
        <v>1882874.8040708841</v>
      </c>
      <c r="AE841" s="126"/>
      <c r="AF841" s="298"/>
      <c r="AG841" s="299"/>
      <c r="AH841" s="299"/>
      <c r="AI841" s="301"/>
      <c r="AJ841" s="301"/>
      <c r="AK841" s="426"/>
      <c r="AL841" s="298"/>
      <c r="AM841" s="299"/>
      <c r="AN841" s="299"/>
      <c r="AO841" s="301"/>
      <c r="AP841" s="301"/>
      <c r="AQ841" s="426"/>
      <c r="AR841" s="298"/>
      <c r="AS841" s="299"/>
      <c r="AT841" s="299"/>
      <c r="AU841" s="301"/>
      <c r="AV841" s="301"/>
      <c r="AW841" s="88"/>
      <c r="AX841" s="298"/>
      <c r="AY841" s="299"/>
      <c r="AZ841" s="299"/>
      <c r="BA841" s="301"/>
      <c r="BB841" s="301"/>
      <c r="BC841" s="426"/>
      <c r="BD841" s="298"/>
      <c r="BE841" s="299"/>
      <c r="BF841" s="299"/>
      <c r="BG841" s="301"/>
      <c r="BH841" s="301"/>
      <c r="BI841" s="88"/>
      <c r="BJ841" s="298"/>
      <c r="BK841" s="299"/>
      <c r="BL841" s="299"/>
      <c r="BM841" s="301"/>
      <c r="BN841" s="301"/>
      <c r="BO841" s="88"/>
      <c r="BP841" s="9"/>
      <c r="BS841" s="81"/>
      <c r="BT841" s="81"/>
      <c r="BV841" s="9"/>
      <c r="BY841" s="81"/>
      <c r="BZ841" s="81"/>
      <c r="CB841" s="9"/>
      <c r="CE841" s="81"/>
      <c r="CF841" s="81"/>
      <c r="CH841" s="9"/>
      <c r="CK841" s="81"/>
      <c r="CL841" s="81"/>
      <c r="CR841" s="9"/>
      <c r="CS841" s="9"/>
      <c r="CT841" s="9"/>
      <c r="CU841" s="9"/>
      <c r="CV841" s="9"/>
      <c r="CW841" s="129"/>
      <c r="CX841" s="9"/>
    </row>
    <row r="842" spans="1:102">
      <c r="A842" s="6" t="str">
        <f t="shared" ref="A842:A905" si="131">B842&amp;C842</f>
        <v>01670910</v>
      </c>
      <c r="B842" s="6" t="s">
        <v>1817</v>
      </c>
      <c r="C842" s="6" t="s">
        <v>2088</v>
      </c>
      <c r="D842" s="6">
        <v>833</v>
      </c>
      <c r="E842" s="6">
        <v>167</v>
      </c>
      <c r="F842" s="6" t="s">
        <v>1285</v>
      </c>
      <c r="G842" s="6">
        <v>910</v>
      </c>
      <c r="H842" s="6" t="s">
        <v>1118</v>
      </c>
      <c r="I842" s="33">
        <v>223986.60866828781</v>
      </c>
      <c r="J842" s="88">
        <v>4.6256053106766733E-3</v>
      </c>
      <c r="K842" s="89">
        <f t="shared" si="130"/>
        <v>208475.76179408262</v>
      </c>
      <c r="L842" s="88">
        <f>IF(K844&gt;0, K842/K844, 0)</f>
        <v>4.3231699068862085E-3</v>
      </c>
      <c r="M842" s="58"/>
      <c r="N842" s="9">
        <f>ROUND(M844*L842,0)</f>
        <v>158139</v>
      </c>
      <c r="O842" s="9">
        <v>158221</v>
      </c>
      <c r="P842" s="9">
        <f>N842-O842</f>
        <v>-82</v>
      </c>
      <c r="Q842" s="40">
        <f t="shared" si="129"/>
        <v>-5.1826243039798763E-2</v>
      </c>
      <c r="R842" s="9">
        <v>10.999999998129999</v>
      </c>
      <c r="S842" s="9">
        <f t="shared" si="127"/>
        <v>9.9999999978199998</v>
      </c>
      <c r="T842" s="90">
        <f t="shared" ref="T842:T905" si="132">VLOOKUP($D842, foundoptions, VLOOKUP($T$6, foundoptcell, 2, FALSE), FALSE)</f>
        <v>167</v>
      </c>
      <c r="U842" s="90">
        <f t="shared" ref="U842:U905" si="133">VLOOKUP($D842, foundoptions, VLOOKUP($T$6, foundoptcell, 2, FALSE)+1, FALSE)</f>
        <v>910</v>
      </c>
      <c r="V842" s="373">
        <f t="shared" ref="V842:V905" si="134">VLOOKUP($D842, foundoptions, VLOOKUP($T$6, foundoptcell, 2, FALSE)+2, FALSE)</f>
        <v>833</v>
      </c>
      <c r="W842" s="90">
        <f t="shared" ref="W842:W905" si="135">VLOOKUP($D842, foundoptions, VLOOKUP($T$6, foundoptcell, 2, FALSE)+3, FALSE)</f>
        <v>9.9999999978199998</v>
      </c>
      <c r="X842" s="90">
        <f t="shared" ref="X842:X905" si="136">VLOOKUP($D842, foundoptions, VLOOKUP($T$6, foundoptcell, 2, FALSE)+4, FALSE)</f>
        <v>208475.76179408262</v>
      </c>
      <c r="Y842" s="141">
        <f t="shared" si="128"/>
        <v>833</v>
      </c>
      <c r="Z842" s="298">
        <v>167</v>
      </c>
      <c r="AA842" s="299">
        <v>910</v>
      </c>
      <c r="AB842" s="299">
        <v>833</v>
      </c>
      <c r="AC842" s="301">
        <v>9.9999999978199998</v>
      </c>
      <c r="AD842" s="301">
        <v>208475.76179408262</v>
      </c>
      <c r="AE842" s="126"/>
      <c r="AF842" s="298"/>
      <c r="AG842" s="299"/>
      <c r="AH842" s="299"/>
      <c r="AI842" s="301"/>
      <c r="AJ842" s="301"/>
      <c r="AK842" s="426"/>
      <c r="AL842" s="298"/>
      <c r="AM842" s="299"/>
      <c r="AN842" s="299"/>
      <c r="AO842" s="301"/>
      <c r="AP842" s="301"/>
      <c r="AQ842" s="426"/>
      <c r="AR842" s="298"/>
      <c r="AS842" s="299"/>
      <c r="AT842" s="299"/>
      <c r="AU842" s="301"/>
      <c r="AV842" s="301"/>
      <c r="AW842" s="88"/>
      <c r="AX842" s="298"/>
      <c r="AY842" s="299"/>
      <c r="AZ842" s="299"/>
      <c r="BA842" s="301"/>
      <c r="BB842" s="301"/>
      <c r="BC842" s="426"/>
      <c r="BD842" s="298"/>
      <c r="BE842" s="299"/>
      <c r="BF842" s="299"/>
      <c r="BG842" s="301"/>
      <c r="BH842" s="301"/>
      <c r="BI842" s="88"/>
      <c r="BJ842" s="298"/>
      <c r="BK842" s="299"/>
      <c r="BL842" s="299"/>
      <c r="BM842" s="301"/>
      <c r="BN842" s="301"/>
      <c r="BO842" s="88"/>
      <c r="BP842" s="9"/>
      <c r="BS842" s="81"/>
      <c r="BT842" s="81"/>
      <c r="BV842" s="9"/>
      <c r="BY842" s="81"/>
      <c r="BZ842" s="81"/>
      <c r="CB842" s="9"/>
      <c r="CE842" s="81"/>
      <c r="CF842" s="81"/>
      <c r="CH842" s="9"/>
      <c r="CK842" s="81"/>
      <c r="CL842" s="81"/>
      <c r="CR842" s="9"/>
      <c r="CS842" s="9"/>
      <c r="CT842" s="9"/>
      <c r="CU842" s="9"/>
      <c r="CV842" s="9"/>
      <c r="CW842" s="129"/>
      <c r="CX842" s="9"/>
    </row>
    <row r="843" spans="1:102">
      <c r="A843" s="6" t="str">
        <f t="shared" si="131"/>
        <v>01670998</v>
      </c>
      <c r="B843" s="6" t="s">
        <v>1817</v>
      </c>
      <c r="C843" s="6" t="s">
        <v>2091</v>
      </c>
      <c r="D843" s="6">
        <v>834</v>
      </c>
      <c r="E843" s="6">
        <v>167</v>
      </c>
      <c r="F843" s="6" t="s">
        <v>1547</v>
      </c>
      <c r="G843" s="6">
        <v>998</v>
      </c>
      <c r="H843" s="6" t="s">
        <v>1547</v>
      </c>
      <c r="I843" s="33">
        <v>0</v>
      </c>
      <c r="J843" s="88">
        <v>0</v>
      </c>
      <c r="K843" s="89">
        <f t="shared" si="130"/>
        <v>0</v>
      </c>
      <c r="L843" s="88">
        <f>IF(K844&gt;0, K843/K844, 0)</f>
        <v>0</v>
      </c>
      <c r="M843" s="58"/>
      <c r="N843" s="9">
        <f>ROUND(M844*L843,0)</f>
        <v>0</v>
      </c>
      <c r="O843" s="9">
        <v>0</v>
      </c>
      <c r="P843" s="9">
        <f>N843-O843</f>
        <v>0</v>
      </c>
      <c r="Q843" s="40">
        <f t="shared" si="129"/>
        <v>0</v>
      </c>
      <c r="R843" s="9">
        <v>0</v>
      </c>
      <c r="S843" s="9">
        <f t="shared" ref="S843:S906" si="137">W843</f>
        <v>0</v>
      </c>
      <c r="T843" s="90">
        <f t="shared" si="132"/>
        <v>167</v>
      </c>
      <c r="U843" s="90">
        <f t="shared" si="133"/>
        <v>998</v>
      </c>
      <c r="V843" s="373">
        <f t="shared" si="134"/>
        <v>834</v>
      </c>
      <c r="W843" s="90">
        <f t="shared" si="135"/>
        <v>0</v>
      </c>
      <c r="X843" s="90">
        <f t="shared" si="136"/>
        <v>0</v>
      </c>
      <c r="Y843" s="141">
        <f t="shared" ref="Y843:Y906" si="138">D843</f>
        <v>834</v>
      </c>
      <c r="Z843" s="298">
        <v>167</v>
      </c>
      <c r="AA843" s="299">
        <v>998</v>
      </c>
      <c r="AB843" s="299">
        <v>834</v>
      </c>
      <c r="AC843" s="301">
        <v>0</v>
      </c>
      <c r="AD843" s="301">
        <v>0</v>
      </c>
      <c r="AE843" s="126"/>
      <c r="AF843" s="298"/>
      <c r="AG843" s="299"/>
      <c r="AH843" s="299"/>
      <c r="AI843" s="301"/>
      <c r="AJ843" s="301"/>
      <c r="AK843" s="426"/>
      <c r="AL843" s="298"/>
      <c r="AM843" s="299"/>
      <c r="AN843" s="299"/>
      <c r="AO843" s="301"/>
      <c r="AP843" s="301"/>
      <c r="AQ843" s="426"/>
      <c r="AR843" s="298"/>
      <c r="AS843" s="299"/>
      <c r="AT843" s="299"/>
      <c r="AU843" s="301"/>
      <c r="AV843" s="301"/>
      <c r="AW843" s="88"/>
      <c r="AX843" s="298"/>
      <c r="AY843" s="299"/>
      <c r="AZ843" s="299"/>
      <c r="BA843" s="301"/>
      <c r="BB843" s="301"/>
      <c r="BC843" s="426"/>
      <c r="BD843" s="298"/>
      <c r="BE843" s="299"/>
      <c r="BF843" s="299"/>
      <c r="BG843" s="301"/>
      <c r="BH843" s="301"/>
      <c r="BI843" s="88"/>
      <c r="BJ843" s="298"/>
      <c r="BK843" s="299"/>
      <c r="BL843" s="299"/>
      <c r="BM843" s="301"/>
      <c r="BN843" s="301"/>
      <c r="BO843" s="88"/>
      <c r="BP843" s="9"/>
      <c r="BS843" s="81"/>
      <c r="BT843" s="81"/>
      <c r="BV843" s="9"/>
      <c r="BY843" s="81"/>
      <c r="BZ843" s="81"/>
      <c r="CB843" s="9"/>
      <c r="CE843" s="81"/>
      <c r="CF843" s="81"/>
      <c r="CH843" s="9"/>
      <c r="CK843" s="81"/>
      <c r="CL843" s="81"/>
      <c r="CR843" s="9"/>
      <c r="CS843" s="9"/>
      <c r="CT843" s="9"/>
      <c r="CU843" s="9"/>
      <c r="CV843" s="9"/>
      <c r="CW843" s="129"/>
      <c r="CX843" s="9"/>
    </row>
    <row r="844" spans="1:102">
      <c r="A844" s="6" t="str">
        <f t="shared" si="131"/>
        <v>01670999</v>
      </c>
      <c r="B844" s="6" t="s">
        <v>1817</v>
      </c>
      <c r="C844" s="6" t="s">
        <v>2092</v>
      </c>
      <c r="D844" s="6">
        <v>835</v>
      </c>
      <c r="E844" s="10">
        <v>167</v>
      </c>
      <c r="F844" s="10" t="s">
        <v>1285</v>
      </c>
      <c r="G844" s="10">
        <v>999</v>
      </c>
      <c r="H844" s="10" t="s">
        <v>593</v>
      </c>
      <c r="I844" s="92">
        <v>48423199.478625886</v>
      </c>
      <c r="J844" s="472">
        <v>0.99999999999999989</v>
      </c>
      <c r="K844" s="53">
        <f>SUM(K840:K843)</f>
        <v>48222893.451864965</v>
      </c>
      <c r="L844" s="91">
        <f>SUM(L840:L843)</f>
        <v>1.0000000000000002</v>
      </c>
      <c r="M844" s="79">
        <f>VLOOKUP(E844,town351,24)</f>
        <v>36579438</v>
      </c>
      <c r="N844" s="79">
        <f>SUM(N840:N843)</f>
        <v>36579438</v>
      </c>
      <c r="O844" s="79">
        <v>34205571</v>
      </c>
      <c r="P844" s="79">
        <f>SUM(P840:P843)</f>
        <v>2373867</v>
      </c>
      <c r="Q844" s="39">
        <f t="shared" si="129"/>
        <v>6.9400010892962438</v>
      </c>
      <c r="R844" s="9">
        <v>3593.4165644087802</v>
      </c>
      <c r="S844" s="9">
        <f t="shared" si="137"/>
        <v>3508.15412186202</v>
      </c>
      <c r="T844" s="90">
        <f t="shared" si="132"/>
        <v>167</v>
      </c>
      <c r="U844" s="90">
        <f t="shared" si="133"/>
        <v>999</v>
      </c>
      <c r="V844" s="373">
        <f t="shared" si="134"/>
        <v>835</v>
      </c>
      <c r="W844" s="90">
        <f t="shared" si="135"/>
        <v>3508.15412186202</v>
      </c>
      <c r="X844" s="90">
        <f t="shared" si="136"/>
        <v>48222893.451864965</v>
      </c>
      <c r="Y844" s="141">
        <f t="shared" si="138"/>
        <v>835</v>
      </c>
      <c r="Z844" s="298">
        <v>167</v>
      </c>
      <c r="AA844" s="299">
        <v>999</v>
      </c>
      <c r="AB844" s="299">
        <v>835</v>
      </c>
      <c r="AC844" s="301">
        <v>3508.15412186202</v>
      </c>
      <c r="AD844" s="301">
        <v>48222893.451864965</v>
      </c>
      <c r="AE844" s="126"/>
      <c r="AF844" s="298"/>
      <c r="AG844" s="299"/>
      <c r="AH844" s="299"/>
      <c r="AI844" s="301"/>
      <c r="AJ844" s="301"/>
      <c r="AK844" s="426"/>
      <c r="AL844" s="298"/>
      <c r="AM844" s="299"/>
      <c r="AN844" s="299"/>
      <c r="AO844" s="301"/>
      <c r="AP844" s="301"/>
      <c r="AQ844" s="426"/>
      <c r="AR844" s="298"/>
      <c r="AS844" s="299"/>
      <c r="AT844" s="299"/>
      <c r="AU844" s="301"/>
      <c r="AV844" s="301"/>
      <c r="AW844" s="91"/>
      <c r="AX844" s="298"/>
      <c r="AY844" s="299"/>
      <c r="AZ844" s="299"/>
      <c r="BA844" s="301"/>
      <c r="BB844" s="301"/>
      <c r="BC844" s="426"/>
      <c r="BD844" s="298"/>
      <c r="BE844" s="299"/>
      <c r="BF844" s="299"/>
      <c r="BG844" s="301"/>
      <c r="BH844" s="301"/>
      <c r="BI844" s="91"/>
      <c r="BJ844" s="298"/>
      <c r="BK844" s="299"/>
      <c r="BL844" s="299"/>
      <c r="BM844" s="301"/>
      <c r="BN844" s="301"/>
      <c r="BO844" s="91"/>
      <c r="BP844" s="9"/>
      <c r="BS844" s="81"/>
      <c r="BT844" s="81"/>
      <c r="BV844" s="9"/>
      <c r="BY844" s="81"/>
      <c r="BZ844" s="81"/>
      <c r="CB844" s="9"/>
      <c r="CE844" s="81"/>
      <c r="CF844" s="81"/>
      <c r="CH844" s="9"/>
      <c r="CK844" s="81"/>
      <c r="CL844" s="81"/>
      <c r="CR844" s="9"/>
      <c r="CS844" s="9"/>
      <c r="CT844" s="9"/>
      <c r="CU844" s="9"/>
      <c r="CV844" s="9"/>
      <c r="CW844" s="129"/>
      <c r="CX844" s="9"/>
    </row>
    <row r="845" spans="1:102">
      <c r="A845" s="6" t="str">
        <f t="shared" si="131"/>
        <v>01680168</v>
      </c>
      <c r="B845" s="6" t="s">
        <v>1818</v>
      </c>
      <c r="C845" s="6" t="s">
        <v>1818</v>
      </c>
      <c r="D845" s="6">
        <v>836</v>
      </c>
      <c r="E845" s="6">
        <v>168</v>
      </c>
      <c r="F845" s="6" t="s">
        <v>1286</v>
      </c>
      <c r="G845" s="6">
        <v>168</v>
      </c>
      <c r="H845" s="6" t="s">
        <v>849</v>
      </c>
      <c r="I845" s="33">
        <v>32681938.290000007</v>
      </c>
      <c r="J845" s="88">
        <v>0.98455429337161449</v>
      </c>
      <c r="K845" s="89">
        <f>X845</f>
        <v>32926181.66</v>
      </c>
      <c r="L845" s="88">
        <f>IF(K849&gt;0, K845/K849, 0)</f>
        <v>0.98491180493601982</v>
      </c>
      <c r="M845" s="58"/>
      <c r="N845" s="9">
        <f>ROUND(M849*L845,0)</f>
        <v>27164100</v>
      </c>
      <c r="O845" s="9">
        <v>26962599</v>
      </c>
      <c r="P845" s="9">
        <f>N845-O845</f>
        <v>201501</v>
      </c>
      <c r="Q845" s="40">
        <f t="shared" si="129"/>
        <v>0.74733522536162034</v>
      </c>
      <c r="R845" s="9">
        <v>2658</v>
      </c>
      <c r="S845" s="9">
        <f t="shared" si="137"/>
        <v>2588</v>
      </c>
      <c r="T845" s="90">
        <f t="shared" si="132"/>
        <v>168</v>
      </c>
      <c r="U845" s="90">
        <f t="shared" si="133"/>
        <v>168</v>
      </c>
      <c r="V845" s="373">
        <f t="shared" si="134"/>
        <v>836</v>
      </c>
      <c r="W845" s="90">
        <f t="shared" si="135"/>
        <v>2588</v>
      </c>
      <c r="X845" s="90">
        <f t="shared" si="136"/>
        <v>32926181.66</v>
      </c>
      <c r="Y845" s="141">
        <f t="shared" si="138"/>
        <v>836</v>
      </c>
      <c r="Z845" s="298">
        <v>168</v>
      </c>
      <c r="AA845" s="299">
        <v>168</v>
      </c>
      <c r="AB845" s="299">
        <v>836</v>
      </c>
      <c r="AC845" s="301">
        <v>2588</v>
      </c>
      <c r="AD845" s="301">
        <v>32926181.66</v>
      </c>
      <c r="AE845" s="126"/>
      <c r="AF845" s="298"/>
      <c r="AG845" s="299"/>
      <c r="AH845" s="299"/>
      <c r="AI845" s="301"/>
      <c r="AJ845" s="301"/>
      <c r="AK845" s="426"/>
      <c r="AL845" s="298"/>
      <c r="AM845" s="299"/>
      <c r="AN845" s="299"/>
      <c r="AO845" s="301"/>
      <c r="AP845" s="301"/>
      <c r="AQ845" s="426"/>
      <c r="AR845" s="298"/>
      <c r="AS845" s="299"/>
      <c r="AT845" s="299"/>
      <c r="AU845" s="301"/>
      <c r="AV845" s="301"/>
      <c r="AW845" s="88"/>
      <c r="AX845" s="298"/>
      <c r="AY845" s="299"/>
      <c r="AZ845" s="299"/>
      <c r="BA845" s="301"/>
      <c r="BB845" s="301"/>
      <c r="BC845" s="426"/>
      <c r="BD845" s="298"/>
      <c r="BE845" s="299"/>
      <c r="BF845" s="299"/>
      <c r="BG845" s="301"/>
      <c r="BH845" s="301"/>
      <c r="BI845" s="88"/>
      <c r="BJ845" s="298"/>
      <c r="BK845" s="299"/>
      <c r="BL845" s="299"/>
      <c r="BM845" s="301"/>
      <c r="BN845" s="301"/>
      <c r="BO845" s="88"/>
      <c r="BP845" s="9"/>
      <c r="BS845" s="81"/>
      <c r="BT845" s="81"/>
      <c r="BV845" s="9"/>
      <c r="BY845" s="81"/>
      <c r="BZ845" s="81"/>
      <c r="CB845" s="9"/>
      <c r="CE845" s="81"/>
      <c r="CF845" s="81"/>
      <c r="CH845" s="9"/>
      <c r="CK845" s="81"/>
      <c r="CL845" s="81"/>
      <c r="CR845" s="9"/>
      <c r="CS845" s="9"/>
      <c r="CT845" s="9"/>
      <c r="CU845" s="9"/>
      <c r="CV845" s="9"/>
      <c r="CW845" s="129"/>
      <c r="CX845" s="9"/>
    </row>
    <row r="846" spans="1:102">
      <c r="A846" s="6" t="str">
        <f t="shared" si="131"/>
        <v>01680817</v>
      </c>
      <c r="B846" s="6" t="s">
        <v>1818</v>
      </c>
      <c r="C846" s="6" t="s">
        <v>2067</v>
      </c>
      <c r="D846" s="6">
        <v>837</v>
      </c>
      <c r="E846" s="6">
        <v>168</v>
      </c>
      <c r="F846" s="6" t="s">
        <v>1286</v>
      </c>
      <c r="G846" s="6">
        <v>817</v>
      </c>
      <c r="H846" s="6" t="s">
        <v>1097</v>
      </c>
      <c r="I846" s="33">
        <v>512714.8744084608</v>
      </c>
      <c r="J846" s="88">
        <v>1.5445706628385477E-2</v>
      </c>
      <c r="K846" s="89">
        <f t="shared" si="130"/>
        <v>504407.24652538839</v>
      </c>
      <c r="L846" s="88">
        <f>IF(K849&gt;0, K846/K849, 0)</f>
        <v>1.5088195063980224E-2</v>
      </c>
      <c r="M846" s="58"/>
      <c r="N846" s="9">
        <f>ROUND(M849*L846,0)</f>
        <v>416136</v>
      </c>
      <c r="O846" s="9">
        <v>422990</v>
      </c>
      <c r="P846" s="9">
        <f>N846-O846</f>
        <v>-6854</v>
      </c>
      <c r="Q846" s="40">
        <f t="shared" si="129"/>
        <v>-1.6203692758694059</v>
      </c>
      <c r="R846" s="9">
        <v>25.999999993860001</v>
      </c>
      <c r="S846" s="9">
        <f t="shared" si="137"/>
        <v>25.000000003169998</v>
      </c>
      <c r="T846" s="90">
        <f t="shared" si="132"/>
        <v>168</v>
      </c>
      <c r="U846" s="90">
        <f t="shared" si="133"/>
        <v>817</v>
      </c>
      <c r="V846" s="373">
        <f t="shared" si="134"/>
        <v>837</v>
      </c>
      <c r="W846" s="90">
        <f t="shared" si="135"/>
        <v>25.000000003169998</v>
      </c>
      <c r="X846" s="90">
        <f t="shared" si="136"/>
        <v>504407.24652538839</v>
      </c>
      <c r="Y846" s="141">
        <f t="shared" si="138"/>
        <v>837</v>
      </c>
      <c r="Z846" s="298">
        <v>168</v>
      </c>
      <c r="AA846" s="299">
        <v>817</v>
      </c>
      <c r="AB846" s="299">
        <v>837</v>
      </c>
      <c r="AC846" s="301">
        <v>25.000000003169998</v>
      </c>
      <c r="AD846" s="301">
        <v>504407.24652538839</v>
      </c>
      <c r="AE846" s="126"/>
      <c r="AF846" s="298"/>
      <c r="AG846" s="299"/>
      <c r="AH846" s="299"/>
      <c r="AI846" s="301"/>
      <c r="AJ846" s="301"/>
      <c r="AK846" s="426"/>
      <c r="AL846" s="298"/>
      <c r="AM846" s="299"/>
      <c r="AN846" s="299"/>
      <c r="AO846" s="301"/>
      <c r="AP846" s="301"/>
      <c r="AQ846" s="426"/>
      <c r="AR846" s="298"/>
      <c r="AS846" s="299"/>
      <c r="AT846" s="299"/>
      <c r="AU846" s="301"/>
      <c r="AV846" s="301"/>
      <c r="AW846" s="88"/>
      <c r="AX846" s="298"/>
      <c r="AY846" s="299"/>
      <c r="AZ846" s="299"/>
      <c r="BA846" s="301"/>
      <c r="BB846" s="301"/>
      <c r="BC846" s="426"/>
      <c r="BD846" s="298"/>
      <c r="BE846" s="299"/>
      <c r="BF846" s="299"/>
      <c r="BG846" s="301"/>
      <c r="BH846" s="301"/>
      <c r="BI846" s="88"/>
      <c r="BJ846" s="298"/>
      <c r="BK846" s="299"/>
      <c r="BL846" s="299"/>
      <c r="BM846" s="301"/>
      <c r="BN846" s="301"/>
      <c r="BO846" s="88"/>
      <c r="BP846" s="9"/>
      <c r="BS846" s="81"/>
      <c r="BT846" s="81"/>
      <c r="BV846" s="9"/>
      <c r="BY846" s="81"/>
      <c r="BZ846" s="81"/>
      <c r="CB846" s="9"/>
      <c r="CE846" s="81"/>
      <c r="CF846" s="81"/>
      <c r="CH846" s="9"/>
      <c r="CK846" s="81"/>
      <c r="CL846" s="81"/>
      <c r="CR846" s="9"/>
      <c r="CS846" s="9"/>
      <c r="CT846" s="9"/>
      <c r="CU846" s="9"/>
      <c r="CV846" s="9"/>
      <c r="CW846" s="129"/>
      <c r="CX846" s="9"/>
    </row>
    <row r="847" spans="1:102">
      <c r="A847" s="6" t="str">
        <f t="shared" si="131"/>
        <v>01680998</v>
      </c>
      <c r="B847" s="6" t="s">
        <v>1818</v>
      </c>
      <c r="C847" s="6" t="s">
        <v>2091</v>
      </c>
      <c r="D847" s="6">
        <v>838</v>
      </c>
      <c r="E847" s="6">
        <v>168</v>
      </c>
      <c r="F847" s="6" t="s">
        <v>1547</v>
      </c>
      <c r="G847" s="6">
        <v>998</v>
      </c>
      <c r="I847" s="33">
        <v>0</v>
      </c>
      <c r="J847" s="88">
        <v>0</v>
      </c>
      <c r="K847" s="89">
        <f t="shared" si="130"/>
        <v>0</v>
      </c>
      <c r="L847" s="88">
        <f>IF(K849&gt;0, K847/K849, 0)</f>
        <v>0</v>
      </c>
      <c r="M847" s="58"/>
      <c r="N847" s="9">
        <f>ROUND(M849*L847,0)</f>
        <v>0</v>
      </c>
      <c r="O847" s="9">
        <v>0</v>
      </c>
      <c r="P847" s="9">
        <f>N847-O847</f>
        <v>0</v>
      </c>
      <c r="Q847" s="40">
        <f t="shared" si="129"/>
        <v>0</v>
      </c>
      <c r="R847" s="9">
        <v>0</v>
      </c>
      <c r="S847" s="9">
        <f t="shared" si="137"/>
        <v>0</v>
      </c>
      <c r="T847" s="90">
        <f t="shared" si="132"/>
        <v>168</v>
      </c>
      <c r="U847" s="90">
        <f t="shared" si="133"/>
        <v>998</v>
      </c>
      <c r="V847" s="373">
        <f t="shared" si="134"/>
        <v>838</v>
      </c>
      <c r="W847" s="90">
        <f t="shared" si="135"/>
        <v>0</v>
      </c>
      <c r="X847" s="90">
        <f t="shared" si="136"/>
        <v>0</v>
      </c>
      <c r="Y847" s="141">
        <f t="shared" si="138"/>
        <v>838</v>
      </c>
      <c r="Z847" s="298">
        <v>168</v>
      </c>
      <c r="AA847" s="299">
        <v>998</v>
      </c>
      <c r="AB847" s="299">
        <v>838</v>
      </c>
      <c r="AC847" s="301">
        <v>0</v>
      </c>
      <c r="AD847" s="301">
        <v>0</v>
      </c>
      <c r="AE847" s="126"/>
      <c r="AF847" s="298"/>
      <c r="AG847" s="299"/>
      <c r="AH847" s="299"/>
      <c r="AI847" s="301"/>
      <c r="AJ847" s="301"/>
      <c r="AK847" s="426"/>
      <c r="AL847" s="298"/>
      <c r="AM847" s="299"/>
      <c r="AN847" s="299"/>
      <c r="AO847" s="301"/>
      <c r="AP847" s="301"/>
      <c r="AQ847" s="426"/>
      <c r="AR847" s="298"/>
      <c r="AS847" s="299"/>
      <c r="AT847" s="299"/>
      <c r="AU847" s="301"/>
      <c r="AV847" s="301"/>
      <c r="AW847" s="88"/>
      <c r="AX847" s="298"/>
      <c r="AY847" s="299"/>
      <c r="AZ847" s="299"/>
      <c r="BA847" s="301"/>
      <c r="BB847" s="301"/>
      <c r="BC847" s="426"/>
      <c r="BD847" s="298"/>
      <c r="BE847" s="299"/>
      <c r="BF847" s="299"/>
      <c r="BG847" s="301"/>
      <c r="BH847" s="301"/>
      <c r="BI847" s="88"/>
      <c r="BJ847" s="298"/>
      <c r="BK847" s="299"/>
      <c r="BL847" s="299"/>
      <c r="BM847" s="301"/>
      <c r="BN847" s="301"/>
      <c r="BO847" s="88"/>
      <c r="BP847" s="9"/>
      <c r="BS847" s="81"/>
      <c r="BT847" s="81"/>
      <c r="BV847" s="9"/>
      <c r="BY847" s="81"/>
      <c r="BZ847" s="81"/>
      <c r="CB847" s="9"/>
      <c r="CE847" s="81"/>
      <c r="CF847" s="81"/>
      <c r="CH847" s="9"/>
      <c r="CK847" s="81"/>
      <c r="CL847" s="81"/>
      <c r="CR847" s="9"/>
      <c r="CS847" s="9"/>
      <c r="CT847" s="9"/>
      <c r="CU847" s="9"/>
      <c r="CV847" s="9"/>
      <c r="CW847" s="129"/>
      <c r="CX847" s="9"/>
    </row>
    <row r="848" spans="1:102">
      <c r="A848" s="6" t="str">
        <f t="shared" si="131"/>
        <v>01680998</v>
      </c>
      <c r="B848" s="6" t="s">
        <v>1818</v>
      </c>
      <c r="C848" s="6" t="s">
        <v>2091</v>
      </c>
      <c r="D848" s="6">
        <v>839</v>
      </c>
      <c r="E848" s="6">
        <v>168</v>
      </c>
      <c r="F848" s="6" t="s">
        <v>1547</v>
      </c>
      <c r="G848" s="6">
        <v>998</v>
      </c>
      <c r="H848" s="6" t="s">
        <v>1547</v>
      </c>
      <c r="I848" s="33">
        <v>0</v>
      </c>
      <c r="J848" s="88">
        <v>0</v>
      </c>
      <c r="K848" s="89">
        <f t="shared" si="130"/>
        <v>0</v>
      </c>
      <c r="L848" s="88">
        <f>IF(K849&gt;0, K848/K849, 0)</f>
        <v>0</v>
      </c>
      <c r="M848" s="58"/>
      <c r="N848" s="9">
        <f>ROUND(M849*L848,0)</f>
        <v>0</v>
      </c>
      <c r="O848" s="9">
        <v>0</v>
      </c>
      <c r="P848" s="9">
        <f>N848-O848</f>
        <v>0</v>
      </c>
      <c r="Q848" s="40">
        <f>IF(O848&gt;0,P848*100/O848,IF(P848&gt;0,100,0))</f>
        <v>0</v>
      </c>
      <c r="R848" s="9">
        <v>0</v>
      </c>
      <c r="S848" s="9">
        <f t="shared" si="137"/>
        <v>0</v>
      </c>
      <c r="T848" s="90">
        <f t="shared" si="132"/>
        <v>168</v>
      </c>
      <c r="U848" s="90">
        <f t="shared" si="133"/>
        <v>998</v>
      </c>
      <c r="V848" s="373">
        <f t="shared" si="134"/>
        <v>839</v>
      </c>
      <c r="W848" s="90">
        <f t="shared" si="135"/>
        <v>0</v>
      </c>
      <c r="X848" s="90">
        <f t="shared" si="136"/>
        <v>0</v>
      </c>
      <c r="Y848" s="141">
        <f t="shared" si="138"/>
        <v>839</v>
      </c>
      <c r="Z848" s="298">
        <v>168</v>
      </c>
      <c r="AA848" s="299">
        <v>998</v>
      </c>
      <c r="AB848" s="299">
        <v>839</v>
      </c>
      <c r="AC848" s="301">
        <v>0</v>
      </c>
      <c r="AD848" s="301">
        <v>0</v>
      </c>
      <c r="AE848" s="126"/>
      <c r="AF848" s="298"/>
      <c r="AG848" s="299"/>
      <c r="AH848" s="299"/>
      <c r="AI848" s="301"/>
      <c r="AJ848" s="301"/>
      <c r="AK848" s="426"/>
      <c r="AL848" s="298"/>
      <c r="AM848" s="299"/>
      <c r="AN848" s="299"/>
      <c r="AO848" s="301"/>
      <c r="AP848" s="301"/>
      <c r="AQ848" s="426"/>
      <c r="AR848" s="298"/>
      <c r="AS848" s="299"/>
      <c r="AT848" s="299"/>
      <c r="AU848" s="301"/>
      <c r="AV848" s="301"/>
      <c r="AW848" s="88"/>
      <c r="AX848" s="298"/>
      <c r="AY848" s="299"/>
      <c r="AZ848" s="299"/>
      <c r="BA848" s="301"/>
      <c r="BB848" s="301"/>
      <c r="BC848" s="426"/>
      <c r="BD848" s="298"/>
      <c r="BE848" s="299"/>
      <c r="BF848" s="299"/>
      <c r="BG848" s="301"/>
      <c r="BH848" s="301"/>
      <c r="BI848" s="88"/>
      <c r="BJ848" s="298"/>
      <c r="BK848" s="299"/>
      <c r="BL848" s="299"/>
      <c r="BM848" s="301"/>
      <c r="BN848" s="301"/>
      <c r="BO848" s="88"/>
      <c r="BP848" s="9"/>
      <c r="BS848" s="81"/>
      <c r="BT848" s="81"/>
      <c r="BV848" s="9"/>
      <c r="BY848" s="81"/>
      <c r="BZ848" s="81"/>
      <c r="CB848" s="9"/>
      <c r="CE848" s="81"/>
      <c r="CF848" s="81"/>
      <c r="CH848" s="9"/>
      <c r="CK848" s="81"/>
      <c r="CL848" s="81"/>
      <c r="CR848" s="9"/>
      <c r="CS848" s="9"/>
      <c r="CT848" s="9"/>
      <c r="CU848" s="9"/>
      <c r="CV848" s="9"/>
      <c r="CW848" s="129"/>
      <c r="CX848" s="9"/>
    </row>
    <row r="849" spans="1:102">
      <c r="A849" s="6" t="str">
        <f t="shared" si="131"/>
        <v>01680999</v>
      </c>
      <c r="B849" s="6" t="s">
        <v>1818</v>
      </c>
      <c r="C849" s="6" t="s">
        <v>2092</v>
      </c>
      <c r="D849" s="6">
        <v>840</v>
      </c>
      <c r="E849" s="10">
        <v>168</v>
      </c>
      <c r="F849" s="10" t="s">
        <v>1286</v>
      </c>
      <c r="G849" s="10">
        <v>999</v>
      </c>
      <c r="H849" s="10" t="s">
        <v>593</v>
      </c>
      <c r="I849" s="92">
        <v>33194653.164408468</v>
      </c>
      <c r="J849" s="472">
        <v>1</v>
      </c>
      <c r="K849" s="53">
        <f>SUM(K845:K848)</f>
        <v>33430588.906525388</v>
      </c>
      <c r="L849" s="91">
        <f>SUM(L845:L848)</f>
        <v>1</v>
      </c>
      <c r="M849" s="79">
        <f>VLOOKUP(E849,town351,24)</f>
        <v>27580236</v>
      </c>
      <c r="N849" s="79">
        <f>SUM(N845:N848)</f>
        <v>27580236</v>
      </c>
      <c r="O849" s="79">
        <v>27385589</v>
      </c>
      <c r="P849" s="79">
        <f>SUM(P845:P848)</f>
        <v>194647</v>
      </c>
      <c r="Q849" s="39">
        <f t="shared" ref="Q849:Q911" si="139">IF(O849&gt;0,P849*100/O849,IF(P849&gt;0,100,0))</f>
        <v>0.71076433667356942</v>
      </c>
      <c r="R849" s="9">
        <v>2683.99999999386</v>
      </c>
      <c r="S849" s="9">
        <f t="shared" si="137"/>
        <v>2613.00000000317</v>
      </c>
      <c r="T849" s="90">
        <f t="shared" si="132"/>
        <v>168</v>
      </c>
      <c r="U849" s="90">
        <f t="shared" si="133"/>
        <v>999</v>
      </c>
      <c r="V849" s="373">
        <f t="shared" si="134"/>
        <v>840</v>
      </c>
      <c r="W849" s="90">
        <f t="shared" si="135"/>
        <v>2613.00000000317</v>
      </c>
      <c r="X849" s="90">
        <f t="shared" si="136"/>
        <v>33430588.906525388</v>
      </c>
      <c r="Y849" s="141">
        <f t="shared" si="138"/>
        <v>840</v>
      </c>
      <c r="Z849" s="298">
        <v>168</v>
      </c>
      <c r="AA849" s="299">
        <v>999</v>
      </c>
      <c r="AB849" s="299">
        <v>840</v>
      </c>
      <c r="AC849" s="301">
        <v>2613.00000000317</v>
      </c>
      <c r="AD849" s="301">
        <v>33430588.906525388</v>
      </c>
      <c r="AE849" s="126"/>
      <c r="AF849" s="298"/>
      <c r="AG849" s="299"/>
      <c r="AH849" s="299"/>
      <c r="AI849" s="301"/>
      <c r="AJ849" s="301"/>
      <c r="AK849" s="426"/>
      <c r="AL849" s="298"/>
      <c r="AM849" s="299"/>
      <c r="AN849" s="299"/>
      <c r="AO849" s="301"/>
      <c r="AP849" s="301"/>
      <c r="AQ849" s="426"/>
      <c r="AR849" s="298"/>
      <c r="AS849" s="299"/>
      <c r="AT849" s="299"/>
      <c r="AU849" s="301"/>
      <c r="AV849" s="301"/>
      <c r="AW849" s="91"/>
      <c r="AX849" s="298"/>
      <c r="AY849" s="299"/>
      <c r="AZ849" s="299"/>
      <c r="BA849" s="301"/>
      <c r="BB849" s="301"/>
      <c r="BC849" s="426"/>
      <c r="BD849" s="298"/>
      <c r="BE849" s="299"/>
      <c r="BF849" s="299"/>
      <c r="BG849" s="301"/>
      <c r="BH849" s="301"/>
      <c r="BI849" s="91"/>
      <c r="BJ849" s="298"/>
      <c r="BK849" s="299"/>
      <c r="BL849" s="299"/>
      <c r="BM849" s="301"/>
      <c r="BN849" s="301"/>
      <c r="BO849" s="91"/>
      <c r="BP849" s="9"/>
      <c r="BS849" s="81"/>
      <c r="BT849" s="81"/>
      <c r="BV849" s="9"/>
      <c r="BY849" s="81"/>
      <c r="BZ849" s="81"/>
      <c r="CB849" s="9"/>
      <c r="CE849" s="81"/>
      <c r="CF849" s="81"/>
      <c r="CH849" s="9"/>
      <c r="CK849" s="81"/>
      <c r="CL849" s="81"/>
      <c r="CR849" s="9"/>
      <c r="CS849" s="9"/>
      <c r="CT849" s="9"/>
      <c r="CU849" s="9"/>
      <c r="CV849" s="9"/>
      <c r="CW849" s="129"/>
      <c r="CX849" s="9"/>
    </row>
    <row r="850" spans="1:102">
      <c r="A850" s="6" t="str">
        <f t="shared" si="131"/>
        <v>01690169</v>
      </c>
      <c r="B850" s="6" t="s">
        <v>1819</v>
      </c>
      <c r="C850" s="6" t="s">
        <v>1819</v>
      </c>
      <c r="D850" s="6">
        <v>841</v>
      </c>
      <c r="E850" s="6">
        <v>169</v>
      </c>
      <c r="F850" s="6" t="s">
        <v>1287</v>
      </c>
      <c r="G850" s="6">
        <v>169</v>
      </c>
      <c r="H850" s="6" t="s">
        <v>850</v>
      </c>
      <c r="I850" s="33">
        <v>5068217.2599999988</v>
      </c>
      <c r="J850" s="88">
        <v>0.52268072520947206</v>
      </c>
      <c r="K850" s="89">
        <f>X850</f>
        <v>5105842.0000000009</v>
      </c>
      <c r="L850" s="88">
        <f>IF(K854&gt;0, K850/K854, 0)</f>
        <v>0.50669667755384673</v>
      </c>
      <c r="M850" s="58"/>
      <c r="N850" s="9">
        <f>ROUND(M854*L850,0)</f>
        <v>3952749</v>
      </c>
      <c r="O850" s="9">
        <v>3913467</v>
      </c>
      <c r="P850" s="9">
        <f>N850-O850</f>
        <v>39282</v>
      </c>
      <c r="Q850" s="40">
        <f t="shared" si="139"/>
        <v>1.0037646925347781</v>
      </c>
      <c r="R850" s="9">
        <v>401</v>
      </c>
      <c r="S850" s="9">
        <f t="shared" si="137"/>
        <v>388</v>
      </c>
      <c r="T850" s="90">
        <f t="shared" si="132"/>
        <v>169</v>
      </c>
      <c r="U850" s="90">
        <f t="shared" si="133"/>
        <v>169</v>
      </c>
      <c r="V850" s="373">
        <f t="shared" si="134"/>
        <v>841</v>
      </c>
      <c r="W850" s="90">
        <f t="shared" si="135"/>
        <v>388</v>
      </c>
      <c r="X850" s="90">
        <f t="shared" si="136"/>
        <v>5105842.0000000009</v>
      </c>
      <c r="Y850" s="141">
        <f t="shared" si="138"/>
        <v>841</v>
      </c>
      <c r="Z850" s="298">
        <v>169</v>
      </c>
      <c r="AA850" s="299">
        <v>169</v>
      </c>
      <c r="AB850" s="299">
        <v>841</v>
      </c>
      <c r="AC850" s="301">
        <v>388</v>
      </c>
      <c r="AD850" s="301">
        <v>5105842.0000000009</v>
      </c>
      <c r="AE850" s="126"/>
      <c r="AF850" s="298"/>
      <c r="AG850" s="299"/>
      <c r="AH850" s="299"/>
      <c r="AI850" s="301"/>
      <c r="AJ850" s="301"/>
      <c r="AK850" s="426"/>
      <c r="AL850" s="298"/>
      <c r="AM850" s="299"/>
      <c r="AN850" s="299"/>
      <c r="AO850" s="301"/>
      <c r="AP850" s="301"/>
      <c r="AQ850" s="426"/>
      <c r="AR850" s="298"/>
      <c r="AS850" s="299"/>
      <c r="AT850" s="299"/>
      <c r="AU850" s="301"/>
      <c r="AV850" s="301"/>
      <c r="AW850" s="88"/>
      <c r="AX850" s="298"/>
      <c r="AY850" s="299"/>
      <c r="AZ850" s="299"/>
      <c r="BA850" s="301"/>
      <c r="BB850" s="301"/>
      <c r="BC850" s="426"/>
      <c r="BD850" s="298"/>
      <c r="BE850" s="299"/>
      <c r="BF850" s="299"/>
      <c r="BG850" s="301"/>
      <c r="BH850" s="301"/>
      <c r="BI850" s="88"/>
      <c r="BJ850" s="298"/>
      <c r="BK850" s="299"/>
      <c r="BL850" s="299"/>
      <c r="BM850" s="301"/>
      <c r="BN850" s="301"/>
      <c r="BO850" s="88"/>
      <c r="BP850" s="9"/>
      <c r="BS850" s="81"/>
      <c r="BT850" s="81"/>
      <c r="BV850" s="9"/>
      <c r="BY850" s="81"/>
      <c r="BZ850" s="81"/>
      <c r="CB850" s="9"/>
      <c r="CE850" s="81"/>
      <c r="CF850" s="81"/>
      <c r="CH850" s="9"/>
      <c r="CK850" s="81"/>
      <c r="CL850" s="81"/>
      <c r="CR850" s="9"/>
      <c r="CS850" s="9"/>
      <c r="CT850" s="9"/>
      <c r="CU850" s="9"/>
      <c r="CV850" s="9"/>
      <c r="CW850" s="129"/>
      <c r="CX850" s="9"/>
    </row>
    <row r="851" spans="1:102">
      <c r="A851" s="6" t="str">
        <f t="shared" si="131"/>
        <v>01690740</v>
      </c>
      <c r="B851" s="6" t="s">
        <v>1819</v>
      </c>
      <c r="C851" s="6" t="s">
        <v>2046</v>
      </c>
      <c r="D851" s="6">
        <v>842</v>
      </c>
      <c r="E851" s="6">
        <v>169</v>
      </c>
      <c r="F851" s="6" t="s">
        <v>1287</v>
      </c>
      <c r="G851" s="6">
        <v>740</v>
      </c>
      <c r="H851" s="6" t="s">
        <v>1076</v>
      </c>
      <c r="I851" s="33">
        <v>4081294.1834738483</v>
      </c>
      <c r="J851" s="88">
        <v>0.42090022865580778</v>
      </c>
      <c r="K851" s="89">
        <f t="shared" si="130"/>
        <v>4290713.8270303933</v>
      </c>
      <c r="L851" s="88">
        <f>IF(K854&gt;0, K851/K854, 0)</f>
        <v>0.42580448836659079</v>
      </c>
      <c r="M851" s="58"/>
      <c r="N851" s="9">
        <f>ROUND(M854*L851,0)</f>
        <v>3321708</v>
      </c>
      <c r="O851" s="9">
        <v>3151406</v>
      </c>
      <c r="P851" s="9">
        <f>N851-O851</f>
        <v>170302</v>
      </c>
      <c r="Q851" s="40">
        <f t="shared" si="139"/>
        <v>5.4040006270217162</v>
      </c>
      <c r="R851" s="9">
        <v>304.9999999977</v>
      </c>
      <c r="S851" s="9">
        <f t="shared" si="137"/>
        <v>306.00000000089</v>
      </c>
      <c r="T851" s="90">
        <f t="shared" si="132"/>
        <v>169</v>
      </c>
      <c r="U851" s="90">
        <f t="shared" si="133"/>
        <v>740</v>
      </c>
      <c r="V851" s="373">
        <f t="shared" si="134"/>
        <v>842</v>
      </c>
      <c r="W851" s="90">
        <f t="shared" si="135"/>
        <v>306.00000000089</v>
      </c>
      <c r="X851" s="90">
        <f t="shared" si="136"/>
        <v>4290713.8270303933</v>
      </c>
      <c r="Y851" s="141">
        <f t="shared" si="138"/>
        <v>842</v>
      </c>
      <c r="Z851" s="298">
        <v>169</v>
      </c>
      <c r="AA851" s="299">
        <v>740</v>
      </c>
      <c r="AB851" s="299">
        <v>842</v>
      </c>
      <c r="AC851" s="301">
        <v>306.00000000089</v>
      </c>
      <c r="AD851" s="301">
        <v>4290713.8270303933</v>
      </c>
      <c r="AE851" s="126"/>
      <c r="AF851" s="298"/>
      <c r="AG851" s="299"/>
      <c r="AH851" s="299"/>
      <c r="AI851" s="301"/>
      <c r="AJ851" s="301"/>
      <c r="AK851" s="426"/>
      <c r="AL851" s="298"/>
      <c r="AM851" s="299"/>
      <c r="AN851" s="299"/>
      <c r="AO851" s="301"/>
      <c r="AP851" s="301"/>
      <c r="AQ851" s="426"/>
      <c r="AR851" s="298"/>
      <c r="AS851" s="299"/>
      <c r="AT851" s="299"/>
      <c r="AU851" s="301"/>
      <c r="AV851" s="301"/>
      <c r="AW851" s="88"/>
      <c r="AX851" s="298"/>
      <c r="AY851" s="299"/>
      <c r="AZ851" s="299"/>
      <c r="BA851" s="301"/>
      <c r="BB851" s="301"/>
      <c r="BC851" s="426"/>
      <c r="BD851" s="298"/>
      <c r="BE851" s="299"/>
      <c r="BF851" s="299"/>
      <c r="BG851" s="301"/>
      <c r="BH851" s="301"/>
      <c r="BI851" s="88"/>
      <c r="BJ851" s="298"/>
      <c r="BK851" s="299"/>
      <c r="BL851" s="299"/>
      <c r="BM851" s="301"/>
      <c r="BN851" s="301"/>
      <c r="BO851" s="88"/>
      <c r="BP851" s="9"/>
      <c r="BS851" s="81"/>
      <c r="BT851" s="81"/>
      <c r="BV851" s="9"/>
      <c r="BY851" s="81"/>
      <c r="BZ851" s="81"/>
      <c r="CB851" s="9"/>
      <c r="CE851" s="81"/>
      <c r="CF851" s="81"/>
      <c r="CH851" s="9"/>
      <c r="CK851" s="81"/>
      <c r="CL851" s="81"/>
      <c r="CR851" s="9"/>
      <c r="CS851" s="9"/>
      <c r="CT851" s="9"/>
      <c r="CU851" s="9"/>
      <c r="CV851" s="9"/>
      <c r="CW851" s="129"/>
      <c r="CX851" s="9"/>
    </row>
    <row r="852" spans="1:102">
      <c r="A852" s="6" t="str">
        <f t="shared" si="131"/>
        <v>01690879</v>
      </c>
      <c r="B852" s="6" t="s">
        <v>1819</v>
      </c>
      <c r="C852" s="6" t="s">
        <v>2086</v>
      </c>
      <c r="D852" s="6">
        <v>843</v>
      </c>
      <c r="E852" s="6">
        <v>169</v>
      </c>
      <c r="F852" s="6" t="s">
        <v>1287</v>
      </c>
      <c r="G852" s="6">
        <v>879</v>
      </c>
      <c r="H852" s="6" t="s">
        <v>1116</v>
      </c>
      <c r="I852" s="33">
        <v>547071.98796766053</v>
      </c>
      <c r="J852" s="88">
        <v>5.6419046134720055E-2</v>
      </c>
      <c r="K852" s="89">
        <f t="shared" si="130"/>
        <v>680167.04521974351</v>
      </c>
      <c r="L852" s="88">
        <f>IF(K854&gt;0, K852/K854, 0)</f>
        <v>6.7498834079562406E-2</v>
      </c>
      <c r="M852" s="58"/>
      <c r="N852" s="9">
        <f>ROUND(M854*L852,0)</f>
        <v>526560</v>
      </c>
      <c r="O852" s="9">
        <v>422426</v>
      </c>
      <c r="P852" s="9">
        <f>N852-O852</f>
        <v>104134</v>
      </c>
      <c r="Q852" s="40">
        <f t="shared" si="139"/>
        <v>24.651418236566879</v>
      </c>
      <c r="R852" s="9">
        <v>26.1318124236</v>
      </c>
      <c r="S852" s="9">
        <f t="shared" si="137"/>
        <v>32.112543960960004</v>
      </c>
      <c r="T852" s="90">
        <f t="shared" si="132"/>
        <v>169</v>
      </c>
      <c r="U852" s="90">
        <f t="shared" si="133"/>
        <v>879</v>
      </c>
      <c r="V852" s="373">
        <f t="shared" si="134"/>
        <v>843</v>
      </c>
      <c r="W852" s="90">
        <f t="shared" si="135"/>
        <v>32.112543960960004</v>
      </c>
      <c r="X852" s="90">
        <f t="shared" si="136"/>
        <v>680167.04521974351</v>
      </c>
      <c r="Y852" s="141">
        <f t="shared" si="138"/>
        <v>843</v>
      </c>
      <c r="Z852" s="298">
        <v>169</v>
      </c>
      <c r="AA852" s="299">
        <v>879</v>
      </c>
      <c r="AB852" s="299">
        <v>843</v>
      </c>
      <c r="AC852" s="301">
        <v>32.112543960960004</v>
      </c>
      <c r="AD852" s="301">
        <v>680167.04521974351</v>
      </c>
      <c r="AE852" s="126"/>
      <c r="AF852" s="298"/>
      <c r="AG852" s="299"/>
      <c r="AH852" s="299"/>
      <c r="AI852" s="301"/>
      <c r="AJ852" s="301"/>
      <c r="AK852" s="426"/>
      <c r="AL852" s="298"/>
      <c r="AM852" s="299"/>
      <c r="AN852" s="299"/>
      <c r="AO852" s="301"/>
      <c r="AP852" s="301"/>
      <c r="AQ852" s="426"/>
      <c r="AR852" s="298"/>
      <c r="AS852" s="299"/>
      <c r="AT852" s="299"/>
      <c r="AU852" s="301"/>
      <c r="AV852" s="301"/>
      <c r="AW852" s="88"/>
      <c r="AX852" s="298"/>
      <c r="AY852" s="299"/>
      <c r="AZ852" s="299"/>
      <c r="BA852" s="301"/>
      <c r="BB852" s="301"/>
      <c r="BC852" s="426"/>
      <c r="BD852" s="298"/>
      <c r="BE852" s="299"/>
      <c r="BF852" s="299"/>
      <c r="BG852" s="301"/>
      <c r="BH852" s="301"/>
      <c r="BI852" s="88"/>
      <c r="BJ852" s="298"/>
      <c r="BK852" s="299"/>
      <c r="BL852" s="299"/>
      <c r="BM852" s="301"/>
      <c r="BN852" s="301"/>
      <c r="BO852" s="88"/>
      <c r="BP852" s="9"/>
      <c r="BS852" s="81"/>
      <c r="BT852" s="81"/>
      <c r="BV852" s="9"/>
      <c r="BY852" s="81"/>
      <c r="BZ852" s="81"/>
      <c r="CB852" s="9"/>
      <c r="CE852" s="81"/>
      <c r="CF852" s="81"/>
      <c r="CH852" s="9"/>
      <c r="CK852" s="81"/>
      <c r="CL852" s="81"/>
      <c r="CR852" s="9"/>
      <c r="CS852" s="9"/>
      <c r="CT852" s="9"/>
      <c r="CU852" s="9"/>
      <c r="CV852" s="9"/>
      <c r="CW852" s="129"/>
      <c r="CX852" s="9"/>
    </row>
    <row r="853" spans="1:102">
      <c r="A853" s="6" t="str">
        <f t="shared" si="131"/>
        <v>01690998</v>
      </c>
      <c r="B853" s="6" t="s">
        <v>1819</v>
      </c>
      <c r="C853" s="6" t="s">
        <v>2091</v>
      </c>
      <c r="D853" s="6">
        <v>844</v>
      </c>
      <c r="E853" s="6">
        <v>169</v>
      </c>
      <c r="F853" s="6" t="s">
        <v>1547</v>
      </c>
      <c r="G853" s="6">
        <v>998</v>
      </c>
      <c r="H853" s="6" t="s">
        <v>1547</v>
      </c>
      <c r="I853" s="33">
        <v>0</v>
      </c>
      <c r="J853" s="88">
        <v>0</v>
      </c>
      <c r="K853" s="89">
        <f t="shared" si="130"/>
        <v>0</v>
      </c>
      <c r="L853" s="88">
        <f>IF(K854&gt;0, K853/K854, 0)</f>
        <v>0</v>
      </c>
      <c r="M853" s="58"/>
      <c r="N853" s="9">
        <f>ROUND(M854*L853,0)</f>
        <v>0</v>
      </c>
      <c r="O853" s="9">
        <v>0</v>
      </c>
      <c r="P853" s="9">
        <f>N853-O853</f>
        <v>0</v>
      </c>
      <c r="Q853" s="40">
        <f t="shared" si="139"/>
        <v>0</v>
      </c>
      <c r="R853" s="9">
        <v>0</v>
      </c>
      <c r="S853" s="9">
        <f t="shared" si="137"/>
        <v>0</v>
      </c>
      <c r="T853" s="90">
        <f t="shared" si="132"/>
        <v>169</v>
      </c>
      <c r="U853" s="90">
        <f t="shared" si="133"/>
        <v>998</v>
      </c>
      <c r="V853" s="373">
        <f t="shared" si="134"/>
        <v>844</v>
      </c>
      <c r="W853" s="90">
        <f t="shared" si="135"/>
        <v>0</v>
      </c>
      <c r="X853" s="90">
        <f t="shared" si="136"/>
        <v>0</v>
      </c>
      <c r="Y853" s="141">
        <f t="shared" si="138"/>
        <v>844</v>
      </c>
      <c r="Z853" s="298">
        <v>169</v>
      </c>
      <c r="AA853" s="299">
        <v>998</v>
      </c>
      <c r="AB853" s="299">
        <v>844</v>
      </c>
      <c r="AC853" s="301">
        <v>0</v>
      </c>
      <c r="AD853" s="301">
        <v>0</v>
      </c>
      <c r="AE853" s="126"/>
      <c r="AF853" s="298"/>
      <c r="AG853" s="299"/>
      <c r="AH853" s="299"/>
      <c r="AI853" s="301"/>
      <c r="AJ853" s="301"/>
      <c r="AK853" s="426"/>
      <c r="AL853" s="298"/>
      <c r="AM853" s="299"/>
      <c r="AN853" s="299"/>
      <c r="AO853" s="301"/>
      <c r="AP853" s="301"/>
      <c r="AQ853" s="426"/>
      <c r="AR853" s="298"/>
      <c r="AS853" s="299"/>
      <c r="AT853" s="299"/>
      <c r="AU853" s="301"/>
      <c r="AV853" s="301"/>
      <c r="AW853" s="88"/>
      <c r="AX853" s="298"/>
      <c r="AY853" s="299"/>
      <c r="AZ853" s="299"/>
      <c r="BA853" s="301"/>
      <c r="BB853" s="301"/>
      <c r="BC853" s="426"/>
      <c r="BD853" s="298"/>
      <c r="BE853" s="299"/>
      <c r="BF853" s="299"/>
      <c r="BG853" s="301"/>
      <c r="BH853" s="301"/>
      <c r="BI853" s="88"/>
      <c r="BJ853" s="298"/>
      <c r="BK853" s="299"/>
      <c r="BL853" s="299"/>
      <c r="BM853" s="301"/>
      <c r="BN853" s="301"/>
      <c r="BO853" s="88"/>
      <c r="BP853" s="9"/>
      <c r="BS853" s="81"/>
      <c r="BT853" s="81"/>
      <c r="BV853" s="9"/>
      <c r="BY853" s="81"/>
      <c r="BZ853" s="81"/>
      <c r="CB853" s="9"/>
      <c r="CE853" s="81"/>
      <c r="CF853" s="81"/>
      <c r="CH853" s="9"/>
      <c r="CK853" s="81"/>
      <c r="CL853" s="81"/>
      <c r="CR853" s="9"/>
      <c r="CS853" s="9"/>
      <c r="CT853" s="9"/>
      <c r="CU853" s="9"/>
      <c r="CV853" s="9"/>
      <c r="CW853" s="129"/>
      <c r="CX853" s="9"/>
    </row>
    <row r="854" spans="1:102">
      <c r="A854" s="6" t="str">
        <f t="shared" si="131"/>
        <v>01690999</v>
      </c>
      <c r="B854" s="6" t="s">
        <v>1819</v>
      </c>
      <c r="C854" s="6" t="s">
        <v>2092</v>
      </c>
      <c r="D854" s="6">
        <v>845</v>
      </c>
      <c r="E854" s="10">
        <v>169</v>
      </c>
      <c r="F854" s="10" t="s">
        <v>1287</v>
      </c>
      <c r="G854" s="10">
        <v>999</v>
      </c>
      <c r="H854" s="10" t="s">
        <v>593</v>
      </c>
      <c r="I854" s="92">
        <v>9696583.4314415082</v>
      </c>
      <c r="J854" s="472">
        <v>0.99999999999999989</v>
      </c>
      <c r="K854" s="53">
        <f>SUM(K850:K853)</f>
        <v>10076722.872250138</v>
      </c>
      <c r="L854" s="91">
        <f>SUM(L850:L853)</f>
        <v>0.99999999999999989</v>
      </c>
      <c r="M854" s="79">
        <f>VLOOKUP(E854,town351,24)</f>
        <v>7801017</v>
      </c>
      <c r="N854" s="79">
        <f>SUM(N850:N853)</f>
        <v>7801017</v>
      </c>
      <c r="O854" s="79">
        <v>7487299</v>
      </c>
      <c r="P854" s="79">
        <f>SUM(P850:P853)</f>
        <v>313718</v>
      </c>
      <c r="Q854" s="39">
        <f t="shared" si="139"/>
        <v>4.1900022958880099</v>
      </c>
      <c r="R854" s="9">
        <v>732.13181242129997</v>
      </c>
      <c r="S854" s="9">
        <f t="shared" si="137"/>
        <v>726.11254396184995</v>
      </c>
      <c r="T854" s="90">
        <f t="shared" si="132"/>
        <v>169</v>
      </c>
      <c r="U854" s="90">
        <f t="shared" si="133"/>
        <v>999</v>
      </c>
      <c r="V854" s="373">
        <f t="shared" si="134"/>
        <v>845</v>
      </c>
      <c r="W854" s="90">
        <f t="shared" si="135"/>
        <v>726.11254396184995</v>
      </c>
      <c r="X854" s="90">
        <f t="shared" si="136"/>
        <v>10076722.872250138</v>
      </c>
      <c r="Y854" s="141">
        <f t="shared" si="138"/>
        <v>845</v>
      </c>
      <c r="Z854" s="298">
        <v>169</v>
      </c>
      <c r="AA854" s="299">
        <v>999</v>
      </c>
      <c r="AB854" s="299">
        <v>845</v>
      </c>
      <c r="AC854" s="301">
        <v>726.11254396184995</v>
      </c>
      <c r="AD854" s="301">
        <v>10076722.872250138</v>
      </c>
      <c r="AE854" s="126"/>
      <c r="AF854" s="298"/>
      <c r="AG854" s="299"/>
      <c r="AH854" s="299"/>
      <c r="AI854" s="301"/>
      <c r="AJ854" s="301"/>
      <c r="AK854" s="426"/>
      <c r="AL854" s="298"/>
      <c r="AM854" s="299"/>
      <c r="AN854" s="299"/>
      <c r="AO854" s="301"/>
      <c r="AP854" s="301"/>
      <c r="AQ854" s="426"/>
      <c r="AR854" s="298"/>
      <c r="AS854" s="299"/>
      <c r="AT854" s="299"/>
      <c r="AU854" s="301"/>
      <c r="AV854" s="301"/>
      <c r="AW854" s="91"/>
      <c r="AX854" s="298"/>
      <c r="AY854" s="299"/>
      <c r="AZ854" s="299"/>
      <c r="BA854" s="301"/>
      <c r="BB854" s="301"/>
      <c r="BC854" s="426"/>
      <c r="BD854" s="298"/>
      <c r="BE854" s="299"/>
      <c r="BF854" s="299"/>
      <c r="BG854" s="301"/>
      <c r="BH854" s="301"/>
      <c r="BI854" s="91"/>
      <c r="BJ854" s="298"/>
      <c r="BK854" s="299"/>
      <c r="BL854" s="299"/>
      <c r="BM854" s="301"/>
      <c r="BN854" s="301"/>
      <c r="BO854" s="91"/>
      <c r="BP854" s="9"/>
      <c r="BS854" s="81"/>
      <c r="BT854" s="81"/>
      <c r="BV854" s="9"/>
      <c r="BY854" s="81"/>
      <c r="BZ854" s="81"/>
      <c r="CB854" s="9"/>
      <c r="CE854" s="81"/>
      <c r="CF854" s="81"/>
      <c r="CH854" s="9"/>
      <c r="CK854" s="81"/>
      <c r="CL854" s="81"/>
      <c r="CR854" s="9"/>
      <c r="CS854" s="9"/>
      <c r="CT854" s="9"/>
      <c r="CU854" s="9"/>
      <c r="CV854" s="9"/>
      <c r="CW854" s="129"/>
      <c r="CX854" s="9"/>
    </row>
    <row r="855" spans="1:102">
      <c r="A855" s="6" t="str">
        <f t="shared" si="131"/>
        <v>01700170</v>
      </c>
      <c r="B855" s="6" t="s">
        <v>1820</v>
      </c>
      <c r="C855" s="6" t="s">
        <v>1820</v>
      </c>
      <c r="D855" s="6">
        <v>846</v>
      </c>
      <c r="E855" s="6">
        <v>170</v>
      </c>
      <c r="F855" s="6" t="s">
        <v>1288</v>
      </c>
      <c r="G855" s="6">
        <v>170</v>
      </c>
      <c r="H855" s="6" t="s">
        <v>851</v>
      </c>
      <c r="I855" s="33">
        <v>87221684.996450007</v>
      </c>
      <c r="J855" s="88">
        <v>0.8856940020073838</v>
      </c>
      <c r="K855" s="89">
        <f>X855</f>
        <v>91366536.508999988</v>
      </c>
      <c r="L855" s="88">
        <f>IF(K859&gt;0, K855/K859, 0)</f>
        <v>0.87594598983165928</v>
      </c>
      <c r="M855" s="58"/>
      <c r="N855" s="9">
        <f>ROUND(M859*L855,0)</f>
        <v>43502723</v>
      </c>
      <c r="O855" s="9">
        <v>41360456</v>
      </c>
      <c r="P855" s="9">
        <f>N855-O855</f>
        <v>2142267</v>
      </c>
      <c r="Q855" s="40">
        <f t="shared" si="139"/>
        <v>5.1795052743132235</v>
      </c>
      <c r="R855" s="9">
        <v>5370</v>
      </c>
      <c r="S855" s="9">
        <f t="shared" si="137"/>
        <v>5345</v>
      </c>
      <c r="T855" s="90">
        <f t="shared" si="132"/>
        <v>170</v>
      </c>
      <c r="U855" s="90">
        <f t="shared" si="133"/>
        <v>170</v>
      </c>
      <c r="V855" s="373">
        <f t="shared" si="134"/>
        <v>846</v>
      </c>
      <c r="W855" s="90">
        <f t="shared" si="135"/>
        <v>5345</v>
      </c>
      <c r="X855" s="90">
        <f t="shared" si="136"/>
        <v>91366536.508999988</v>
      </c>
      <c r="Y855" s="141">
        <f t="shared" si="138"/>
        <v>846</v>
      </c>
      <c r="Z855" s="298">
        <v>170</v>
      </c>
      <c r="AA855" s="299">
        <v>170</v>
      </c>
      <c r="AB855" s="299">
        <v>846</v>
      </c>
      <c r="AC855" s="301">
        <v>5345</v>
      </c>
      <c r="AD855" s="301">
        <v>91366536.508999988</v>
      </c>
      <c r="AE855" s="126"/>
      <c r="AF855" s="298"/>
      <c r="AG855" s="299"/>
      <c r="AH855" s="299"/>
      <c r="AI855" s="301"/>
      <c r="AJ855" s="301"/>
      <c r="AK855" s="426"/>
      <c r="AL855" s="298"/>
      <c r="AM855" s="299"/>
      <c r="AN855" s="299"/>
      <c r="AO855" s="301"/>
      <c r="AP855" s="301"/>
      <c r="AQ855" s="426"/>
      <c r="AR855" s="298"/>
      <c r="AS855" s="299"/>
      <c r="AT855" s="299"/>
      <c r="AU855" s="301"/>
      <c r="AV855" s="301"/>
      <c r="AW855" s="88"/>
      <c r="AX855" s="298"/>
      <c r="AY855" s="299"/>
      <c r="AZ855" s="299"/>
      <c r="BA855" s="301"/>
      <c r="BB855" s="301"/>
      <c r="BC855" s="426"/>
      <c r="BD855" s="298"/>
      <c r="BE855" s="299"/>
      <c r="BF855" s="299"/>
      <c r="BG855" s="301"/>
      <c r="BH855" s="301"/>
      <c r="BI855" s="88"/>
      <c r="BJ855" s="298"/>
      <c r="BK855" s="299"/>
      <c r="BL855" s="299"/>
      <c r="BM855" s="301"/>
      <c r="BN855" s="301"/>
      <c r="BO855" s="88"/>
      <c r="BP855" s="9"/>
      <c r="BS855" s="81"/>
      <c r="BT855" s="81"/>
      <c r="BV855" s="9"/>
      <c r="BY855" s="81"/>
      <c r="BZ855" s="81"/>
      <c r="CB855" s="9"/>
      <c r="CE855" s="81"/>
      <c r="CF855" s="81"/>
      <c r="CH855" s="9"/>
      <c r="CK855" s="81"/>
      <c r="CL855" s="81"/>
      <c r="CR855" s="9"/>
      <c r="CS855" s="9"/>
      <c r="CT855" s="9"/>
      <c r="CU855" s="9"/>
      <c r="CV855" s="9"/>
      <c r="CW855" s="129"/>
      <c r="CX855" s="9"/>
    </row>
    <row r="856" spans="1:102">
      <c r="A856" s="6" t="str">
        <f t="shared" si="131"/>
        <v>01700801</v>
      </c>
      <c r="B856" s="6" t="s">
        <v>1820</v>
      </c>
      <c r="C856" s="6" t="s">
        <v>2062</v>
      </c>
      <c r="D856" s="6">
        <v>847</v>
      </c>
      <c r="E856" s="6">
        <v>170</v>
      </c>
      <c r="F856" s="6" t="s">
        <v>1288</v>
      </c>
      <c r="G856" s="6">
        <v>801</v>
      </c>
      <c r="H856" s="6" t="s">
        <v>1092</v>
      </c>
      <c r="I856" s="33">
        <v>11256666.216007294</v>
      </c>
      <c r="J856" s="88">
        <v>0.11430599799261616</v>
      </c>
      <c r="K856" s="89">
        <f t="shared" si="130"/>
        <v>12939593.742887981</v>
      </c>
      <c r="L856" s="88">
        <f>IF(K859&gt;0, K856/K859, 0)</f>
        <v>0.12405401016834071</v>
      </c>
      <c r="M856" s="58"/>
      <c r="N856" s="9">
        <f>ROUND(M859*L856,0)</f>
        <v>6160982</v>
      </c>
      <c r="O856" s="9">
        <v>5337903</v>
      </c>
      <c r="P856" s="9">
        <f>N856-O856</f>
        <v>823079</v>
      </c>
      <c r="Q856" s="40">
        <f t="shared" si="139"/>
        <v>15.419519612851714</v>
      </c>
      <c r="R856" s="9">
        <v>510.00000000347995</v>
      </c>
      <c r="S856" s="9">
        <f t="shared" si="137"/>
        <v>564.99999999647991</v>
      </c>
      <c r="T856" s="90">
        <f t="shared" si="132"/>
        <v>170</v>
      </c>
      <c r="U856" s="90">
        <f t="shared" si="133"/>
        <v>801</v>
      </c>
      <c r="V856" s="373">
        <f t="shared" si="134"/>
        <v>847</v>
      </c>
      <c r="W856" s="90">
        <f t="shared" si="135"/>
        <v>564.99999999647991</v>
      </c>
      <c r="X856" s="90">
        <f t="shared" si="136"/>
        <v>12939593.742887981</v>
      </c>
      <c r="Y856" s="141">
        <f t="shared" si="138"/>
        <v>847</v>
      </c>
      <c r="Z856" s="298">
        <v>170</v>
      </c>
      <c r="AA856" s="299">
        <v>801</v>
      </c>
      <c r="AB856" s="299">
        <v>847</v>
      </c>
      <c r="AC856" s="301">
        <v>564.99999999647991</v>
      </c>
      <c r="AD856" s="301">
        <v>12939593.742887981</v>
      </c>
      <c r="AE856" s="126"/>
      <c r="AF856" s="298"/>
      <c r="AG856" s="299"/>
      <c r="AH856" s="299"/>
      <c r="AI856" s="301"/>
      <c r="AJ856" s="301"/>
      <c r="AK856" s="426"/>
      <c r="AL856" s="298"/>
      <c r="AM856" s="299"/>
      <c r="AN856" s="299"/>
      <c r="AO856" s="301"/>
      <c r="AP856" s="301"/>
      <c r="AQ856" s="426"/>
      <c r="AR856" s="298"/>
      <c r="AS856" s="299"/>
      <c r="AT856" s="299"/>
      <c r="AU856" s="301"/>
      <c r="AV856" s="301"/>
      <c r="AW856" s="88"/>
      <c r="AX856" s="298"/>
      <c r="AY856" s="299"/>
      <c r="AZ856" s="299"/>
      <c r="BA856" s="301"/>
      <c r="BB856" s="301"/>
      <c r="BC856" s="426"/>
      <c r="BD856" s="298"/>
      <c r="BE856" s="299"/>
      <c r="BF856" s="299"/>
      <c r="BG856" s="301"/>
      <c r="BH856" s="301"/>
      <c r="BI856" s="88"/>
      <c r="BJ856" s="298"/>
      <c r="BK856" s="299"/>
      <c r="BL856" s="299"/>
      <c r="BM856" s="301"/>
      <c r="BN856" s="301"/>
      <c r="BO856" s="88"/>
      <c r="BP856" s="9"/>
      <c r="BS856" s="81"/>
      <c r="BT856" s="81"/>
      <c r="BV856" s="9"/>
      <c r="BY856" s="81"/>
      <c r="BZ856" s="81"/>
      <c r="CB856" s="9"/>
      <c r="CE856" s="81"/>
      <c r="CF856" s="81"/>
      <c r="CH856" s="9"/>
      <c r="CK856" s="81"/>
      <c r="CL856" s="81"/>
      <c r="CR856" s="9"/>
      <c r="CS856" s="9"/>
      <c r="CT856" s="9"/>
      <c r="CU856" s="9"/>
      <c r="CV856" s="9"/>
      <c r="CW856" s="129"/>
      <c r="CX856" s="9"/>
    </row>
    <row r="857" spans="1:102">
      <c r="A857" s="6" t="str">
        <f t="shared" si="131"/>
        <v>01700998</v>
      </c>
      <c r="B857" s="6" t="s">
        <v>1820</v>
      </c>
      <c r="C857" s="6" t="s">
        <v>2091</v>
      </c>
      <c r="D857" s="6">
        <v>848</v>
      </c>
      <c r="E857" s="6">
        <v>170</v>
      </c>
      <c r="F857" s="6" t="s">
        <v>1547</v>
      </c>
      <c r="G857" s="6">
        <v>998</v>
      </c>
      <c r="H857" s="6" t="s">
        <v>1547</v>
      </c>
      <c r="I857" s="33">
        <v>0</v>
      </c>
      <c r="J857" s="88">
        <v>0</v>
      </c>
      <c r="K857" s="89">
        <f t="shared" si="130"/>
        <v>0</v>
      </c>
      <c r="L857" s="88">
        <f>IF(K859&gt;0, K857/K859, 0)</f>
        <v>0</v>
      </c>
      <c r="M857" s="58"/>
      <c r="N857" s="9">
        <f>ROUND(M859*L857,0)</f>
        <v>0</v>
      </c>
      <c r="O857" s="9">
        <v>0</v>
      </c>
      <c r="P857" s="9">
        <f>N857-O857</f>
        <v>0</v>
      </c>
      <c r="Q857" s="40">
        <f t="shared" si="139"/>
        <v>0</v>
      </c>
      <c r="R857" s="9">
        <v>0</v>
      </c>
      <c r="S857" s="9">
        <f t="shared" si="137"/>
        <v>0</v>
      </c>
      <c r="T857" s="90">
        <f t="shared" si="132"/>
        <v>170</v>
      </c>
      <c r="U857" s="90">
        <f t="shared" si="133"/>
        <v>998</v>
      </c>
      <c r="V857" s="373">
        <f t="shared" si="134"/>
        <v>848</v>
      </c>
      <c r="W857" s="90">
        <f t="shared" si="135"/>
        <v>0</v>
      </c>
      <c r="X857" s="90">
        <f t="shared" si="136"/>
        <v>0</v>
      </c>
      <c r="Y857" s="141">
        <f t="shared" si="138"/>
        <v>848</v>
      </c>
      <c r="Z857" s="298">
        <v>170</v>
      </c>
      <c r="AA857" s="299">
        <v>998</v>
      </c>
      <c r="AB857" s="299">
        <v>848</v>
      </c>
      <c r="AC857" s="301">
        <v>0</v>
      </c>
      <c r="AD857" s="301">
        <v>0</v>
      </c>
      <c r="AE857" s="126"/>
      <c r="AF857" s="298"/>
      <c r="AG857" s="299"/>
      <c r="AH857" s="299"/>
      <c r="AI857" s="301"/>
      <c r="AJ857" s="301"/>
      <c r="AK857" s="426"/>
      <c r="AL857" s="298"/>
      <c r="AM857" s="299"/>
      <c r="AN857" s="299"/>
      <c r="AO857" s="301"/>
      <c r="AP857" s="301"/>
      <c r="AQ857" s="426"/>
      <c r="AR857" s="298"/>
      <c r="AS857" s="299"/>
      <c r="AT857" s="299"/>
      <c r="AU857" s="301"/>
      <c r="AV857" s="301"/>
      <c r="AW857" s="88"/>
      <c r="AX857" s="298"/>
      <c r="AY857" s="299"/>
      <c r="AZ857" s="299"/>
      <c r="BA857" s="301"/>
      <c r="BB857" s="301"/>
      <c r="BC857" s="426"/>
      <c r="BD857" s="298"/>
      <c r="BE857" s="299"/>
      <c r="BF857" s="299"/>
      <c r="BG857" s="301"/>
      <c r="BH857" s="301"/>
      <c r="BI857" s="88"/>
      <c r="BJ857" s="298"/>
      <c r="BK857" s="299"/>
      <c r="BL857" s="299"/>
      <c r="BM857" s="301"/>
      <c r="BN857" s="301"/>
      <c r="BO857" s="88"/>
      <c r="BP857" s="9"/>
      <c r="BS857" s="81"/>
      <c r="BT857" s="81"/>
      <c r="BV857" s="9"/>
      <c r="BY857" s="81"/>
      <c r="BZ857" s="81"/>
      <c r="CB857" s="9"/>
      <c r="CE857" s="81"/>
      <c r="CF857" s="81"/>
      <c r="CH857" s="9"/>
      <c r="CK857" s="81"/>
      <c r="CL857" s="81"/>
      <c r="CR857" s="9"/>
      <c r="CS857" s="9"/>
      <c r="CT857" s="9"/>
      <c r="CU857" s="9"/>
      <c r="CV857" s="9"/>
      <c r="CW857" s="129"/>
      <c r="CX857" s="9"/>
    </row>
    <row r="858" spans="1:102">
      <c r="A858" s="6" t="str">
        <f t="shared" si="131"/>
        <v>01700998</v>
      </c>
      <c r="B858" s="6" t="s">
        <v>1820</v>
      </c>
      <c r="C858" s="6" t="s">
        <v>2091</v>
      </c>
      <c r="D858" s="6">
        <v>849</v>
      </c>
      <c r="E858" s="6">
        <v>170</v>
      </c>
      <c r="F858" s="6" t="s">
        <v>1547</v>
      </c>
      <c r="G858" s="6">
        <v>998</v>
      </c>
      <c r="H858" s="6" t="s">
        <v>1547</v>
      </c>
      <c r="I858" s="33">
        <v>0</v>
      </c>
      <c r="J858" s="88">
        <v>0</v>
      </c>
      <c r="K858" s="89">
        <f t="shared" si="130"/>
        <v>0</v>
      </c>
      <c r="L858" s="88">
        <f>IF(K859&gt;0, K858/K859, 0)</f>
        <v>0</v>
      </c>
      <c r="M858" s="58"/>
      <c r="N858" s="9">
        <f>ROUND(M859*L858,0)</f>
        <v>0</v>
      </c>
      <c r="O858" s="9">
        <v>0</v>
      </c>
      <c r="P858" s="9">
        <f>N858-O858</f>
        <v>0</v>
      </c>
      <c r="Q858" s="40">
        <f t="shared" si="139"/>
        <v>0</v>
      </c>
      <c r="R858" s="9">
        <v>0</v>
      </c>
      <c r="S858" s="9">
        <f t="shared" si="137"/>
        <v>0</v>
      </c>
      <c r="T858" s="90">
        <f t="shared" si="132"/>
        <v>170</v>
      </c>
      <c r="U858" s="90">
        <f t="shared" si="133"/>
        <v>998</v>
      </c>
      <c r="V858" s="373">
        <f t="shared" si="134"/>
        <v>849</v>
      </c>
      <c r="W858" s="90">
        <f t="shared" si="135"/>
        <v>0</v>
      </c>
      <c r="X858" s="90">
        <f t="shared" si="136"/>
        <v>0</v>
      </c>
      <c r="Y858" s="141">
        <f t="shared" si="138"/>
        <v>849</v>
      </c>
      <c r="Z858" s="298">
        <v>170</v>
      </c>
      <c r="AA858" s="299">
        <v>998</v>
      </c>
      <c r="AB858" s="299">
        <v>849</v>
      </c>
      <c r="AC858" s="301">
        <v>0</v>
      </c>
      <c r="AD858" s="301">
        <v>0</v>
      </c>
      <c r="AE858" s="126"/>
      <c r="AF858" s="298"/>
      <c r="AG858" s="299"/>
      <c r="AH858" s="299"/>
      <c r="AI858" s="301"/>
      <c r="AJ858" s="301"/>
      <c r="AK858" s="426"/>
      <c r="AL858" s="298"/>
      <c r="AM858" s="299"/>
      <c r="AN858" s="299"/>
      <c r="AO858" s="301"/>
      <c r="AP858" s="301"/>
      <c r="AQ858" s="426"/>
      <c r="AR858" s="298"/>
      <c r="AS858" s="299"/>
      <c r="AT858" s="299"/>
      <c r="AU858" s="301"/>
      <c r="AV858" s="301"/>
      <c r="AW858" s="88"/>
      <c r="AX858" s="298"/>
      <c r="AY858" s="299"/>
      <c r="AZ858" s="299"/>
      <c r="BA858" s="301"/>
      <c r="BB858" s="301"/>
      <c r="BC858" s="426"/>
      <c r="BD858" s="298"/>
      <c r="BE858" s="299"/>
      <c r="BF858" s="299"/>
      <c r="BG858" s="301"/>
      <c r="BH858" s="301"/>
      <c r="BI858" s="88"/>
      <c r="BJ858" s="298"/>
      <c r="BK858" s="299"/>
      <c r="BL858" s="299"/>
      <c r="BM858" s="301"/>
      <c r="BN858" s="301"/>
      <c r="BO858" s="88"/>
      <c r="BP858" s="9"/>
      <c r="BS858" s="81"/>
      <c r="BT858" s="81"/>
      <c r="BV858" s="9"/>
      <c r="BY858" s="81"/>
      <c r="BZ858" s="81"/>
      <c r="CB858" s="9"/>
      <c r="CE858" s="81"/>
      <c r="CF858" s="81"/>
      <c r="CH858" s="9"/>
      <c r="CK858" s="81"/>
      <c r="CL858" s="81"/>
      <c r="CR858" s="9"/>
      <c r="CS858" s="9"/>
      <c r="CT858" s="9"/>
      <c r="CU858" s="9"/>
      <c r="CV858" s="9"/>
      <c r="CW858" s="129"/>
      <c r="CX858" s="9"/>
    </row>
    <row r="859" spans="1:102">
      <c r="A859" s="6" t="str">
        <f t="shared" si="131"/>
        <v>01700999</v>
      </c>
      <c r="B859" s="6" t="s">
        <v>1820</v>
      </c>
      <c r="C859" s="6" t="s">
        <v>2092</v>
      </c>
      <c r="D859" s="6">
        <v>850</v>
      </c>
      <c r="E859" s="10">
        <v>170</v>
      </c>
      <c r="F859" s="10" t="s">
        <v>1288</v>
      </c>
      <c r="G859" s="10">
        <v>999</v>
      </c>
      <c r="H859" s="10" t="s">
        <v>593</v>
      </c>
      <c r="I859" s="92">
        <v>98478351.212457299</v>
      </c>
      <c r="J859" s="472">
        <v>1</v>
      </c>
      <c r="K859" s="53">
        <f>SUM(K855:K858)</f>
        <v>104306130.25188798</v>
      </c>
      <c r="L859" s="91">
        <f>SUM(L855:L858)</f>
        <v>1</v>
      </c>
      <c r="M859" s="79">
        <f>VLOOKUP(E859,town351,24)</f>
        <v>49663705</v>
      </c>
      <c r="N859" s="79">
        <f>SUM(N855:N858)</f>
        <v>49663705</v>
      </c>
      <c r="O859" s="79">
        <v>46698359</v>
      </c>
      <c r="P859" s="79">
        <f>SUM(P855:P858)</f>
        <v>2965346</v>
      </c>
      <c r="Q859" s="39">
        <f t="shared" si="139"/>
        <v>6.3500004357754838</v>
      </c>
      <c r="R859" s="9">
        <v>5880.0000000034797</v>
      </c>
      <c r="S859" s="9">
        <f t="shared" si="137"/>
        <v>5909.9999999964803</v>
      </c>
      <c r="T859" s="90">
        <f t="shared" si="132"/>
        <v>170</v>
      </c>
      <c r="U859" s="90">
        <f t="shared" si="133"/>
        <v>999</v>
      </c>
      <c r="V859" s="373">
        <f t="shared" si="134"/>
        <v>850</v>
      </c>
      <c r="W859" s="90">
        <f t="shared" si="135"/>
        <v>5909.9999999964803</v>
      </c>
      <c r="X859" s="90">
        <f t="shared" si="136"/>
        <v>104306130.25188798</v>
      </c>
      <c r="Y859" s="141">
        <f t="shared" si="138"/>
        <v>850</v>
      </c>
      <c r="Z859" s="298">
        <v>170</v>
      </c>
      <c r="AA859" s="299">
        <v>999</v>
      </c>
      <c r="AB859" s="299">
        <v>850</v>
      </c>
      <c r="AC859" s="301">
        <v>5909.9999999964803</v>
      </c>
      <c r="AD859" s="301">
        <v>104306130.25188798</v>
      </c>
      <c r="AE859" s="126"/>
      <c r="AF859" s="298"/>
      <c r="AG859" s="299"/>
      <c r="AH859" s="299"/>
      <c r="AI859" s="301"/>
      <c r="AJ859" s="301"/>
      <c r="AK859" s="426"/>
      <c r="AL859" s="298"/>
      <c r="AM859" s="299"/>
      <c r="AN859" s="299"/>
      <c r="AO859" s="301"/>
      <c r="AP859" s="301"/>
      <c r="AQ859" s="426"/>
      <c r="AR859" s="298"/>
      <c r="AS859" s="299"/>
      <c r="AT859" s="299"/>
      <c r="AU859" s="301"/>
      <c r="AV859" s="301"/>
      <c r="AW859" s="91"/>
      <c r="AX859" s="298"/>
      <c r="AY859" s="299"/>
      <c r="AZ859" s="299"/>
      <c r="BA859" s="301"/>
      <c r="BB859" s="301"/>
      <c r="BC859" s="426"/>
      <c r="BD859" s="298"/>
      <c r="BE859" s="299"/>
      <c r="BF859" s="299"/>
      <c r="BG859" s="301"/>
      <c r="BH859" s="301"/>
      <c r="BI859" s="91"/>
      <c r="BJ859" s="298"/>
      <c r="BK859" s="299"/>
      <c r="BL859" s="299"/>
      <c r="BM859" s="301"/>
      <c r="BN859" s="301"/>
      <c r="BO859" s="91"/>
      <c r="BP859" s="9"/>
      <c r="BS859" s="81"/>
      <c r="BT859" s="81"/>
      <c r="BV859" s="9"/>
      <c r="BY859" s="81"/>
      <c r="BZ859" s="81"/>
      <c r="CB859" s="9"/>
      <c r="CE859" s="81"/>
      <c r="CF859" s="81"/>
      <c r="CH859" s="9"/>
      <c r="CK859" s="81"/>
      <c r="CL859" s="81"/>
      <c r="CR859" s="9"/>
      <c r="CS859" s="9"/>
      <c r="CT859" s="9"/>
      <c r="CU859" s="9"/>
      <c r="CV859" s="9"/>
      <c r="CW859" s="129"/>
      <c r="CX859" s="9"/>
    </row>
    <row r="860" spans="1:102">
      <c r="A860" s="6" t="str">
        <f t="shared" si="131"/>
        <v>01710171</v>
      </c>
      <c r="B860" s="6" t="s">
        <v>1821</v>
      </c>
      <c r="C860" s="6" t="s">
        <v>1821</v>
      </c>
      <c r="D860" s="6">
        <v>851</v>
      </c>
      <c r="E860" s="6">
        <v>171</v>
      </c>
      <c r="F860" s="6" t="s">
        <v>1289</v>
      </c>
      <c r="G860" s="6">
        <v>171</v>
      </c>
      <c r="H860" s="6" t="s">
        <v>852</v>
      </c>
      <c r="I860" s="33">
        <v>49950295.557299994</v>
      </c>
      <c r="J860" s="88">
        <v>1</v>
      </c>
      <c r="K860" s="89">
        <f t="shared" ref="K860:K923" si="140">X860</f>
        <v>49730334.689119995</v>
      </c>
      <c r="L860" s="88">
        <f>IF(K864&gt;0, K860/K864, 0)</f>
        <v>0.99874264931433787</v>
      </c>
      <c r="M860" s="58"/>
      <c r="N860" s="9">
        <f>ROUND(M864*L860,0)</f>
        <v>40410183</v>
      </c>
      <c r="O860" s="9">
        <v>39070159</v>
      </c>
      <c r="P860" s="9">
        <f>N860-O860</f>
        <v>1340024</v>
      </c>
      <c r="Q860" s="40">
        <f t="shared" si="139"/>
        <v>3.4297889599067153</v>
      </c>
      <c r="R860" s="9">
        <v>3783</v>
      </c>
      <c r="S860" s="9">
        <f t="shared" si="137"/>
        <v>3669</v>
      </c>
      <c r="T860" s="90">
        <f t="shared" si="132"/>
        <v>171</v>
      </c>
      <c r="U860" s="90">
        <f t="shared" si="133"/>
        <v>171</v>
      </c>
      <c r="V860" s="373">
        <f t="shared" si="134"/>
        <v>851</v>
      </c>
      <c r="W860" s="90">
        <f t="shared" si="135"/>
        <v>3669</v>
      </c>
      <c r="X860" s="90">
        <f t="shared" si="136"/>
        <v>49730334.689119995</v>
      </c>
      <c r="Y860" s="141">
        <f t="shared" si="138"/>
        <v>851</v>
      </c>
      <c r="Z860" s="298">
        <v>171</v>
      </c>
      <c r="AA860" s="299">
        <v>171</v>
      </c>
      <c r="AB860" s="299">
        <v>851</v>
      </c>
      <c r="AC860" s="301">
        <v>3669</v>
      </c>
      <c r="AD860" s="301">
        <v>49730334.689119995</v>
      </c>
      <c r="AE860" s="126"/>
      <c r="AF860" s="298"/>
      <c r="AG860" s="299"/>
      <c r="AH860" s="299"/>
      <c r="AI860" s="301"/>
      <c r="AJ860" s="301"/>
      <c r="AK860" s="426"/>
      <c r="AL860" s="298"/>
      <c r="AM860" s="299"/>
      <c r="AN860" s="299"/>
      <c r="AO860" s="301"/>
      <c r="AP860" s="301"/>
      <c r="AQ860" s="426"/>
      <c r="AR860" s="298"/>
      <c r="AS860" s="299"/>
      <c r="AT860" s="299"/>
      <c r="AU860" s="301"/>
      <c r="AV860" s="301"/>
      <c r="AW860" s="88"/>
      <c r="AX860" s="298"/>
      <c r="AY860" s="299"/>
      <c r="AZ860" s="299"/>
      <c r="BA860" s="301"/>
      <c r="BB860" s="301"/>
      <c r="BC860" s="426"/>
      <c r="BD860" s="298"/>
      <c r="BE860" s="299"/>
      <c r="BF860" s="299"/>
      <c r="BG860" s="301"/>
      <c r="BH860" s="301"/>
      <c r="BI860" s="88"/>
      <c r="BJ860" s="298"/>
      <c r="BK860" s="299"/>
      <c r="BL860" s="299"/>
      <c r="BM860" s="301"/>
      <c r="BN860" s="301"/>
      <c r="BO860" s="88"/>
      <c r="BP860" s="9"/>
      <c r="BS860" s="81"/>
      <c r="BT860" s="81"/>
      <c r="BV860" s="9"/>
      <c r="BY860" s="81"/>
      <c r="BZ860" s="81"/>
      <c r="CB860" s="9"/>
      <c r="CE860" s="81"/>
      <c r="CF860" s="81"/>
      <c r="CH860" s="9"/>
      <c r="CK860" s="81"/>
      <c r="CL860" s="81"/>
      <c r="CR860" s="9"/>
      <c r="CS860" s="9"/>
      <c r="CT860" s="9"/>
      <c r="CU860" s="9"/>
      <c r="CV860" s="9"/>
      <c r="CW860" s="129"/>
      <c r="CX860" s="9"/>
    </row>
    <row r="861" spans="1:102">
      <c r="A861" s="6" t="str">
        <f t="shared" si="131"/>
        <v>01710873</v>
      </c>
      <c r="B861" s="6" t="s">
        <v>1821</v>
      </c>
      <c r="C861" s="6" t="s">
        <v>2083</v>
      </c>
      <c r="D861" s="6">
        <v>852</v>
      </c>
      <c r="E861" s="6">
        <v>171</v>
      </c>
      <c r="F861" s="6" t="s">
        <v>1289</v>
      </c>
      <c r="G861" s="6">
        <v>873</v>
      </c>
      <c r="H861" s="6" t="s">
        <v>1113</v>
      </c>
      <c r="I861" s="33">
        <v>0</v>
      </c>
      <c r="J861" s="88">
        <v>0</v>
      </c>
      <c r="K861" s="89">
        <f t="shared" si="140"/>
        <v>62607.189612359136</v>
      </c>
      <c r="L861" s="88">
        <f>IF(K864&gt;0, K861/K864, 0)</f>
        <v>1.2573506856621386E-3</v>
      </c>
      <c r="M861" s="58"/>
      <c r="N861" s="9">
        <f>ROUND(M864*L861,0)</f>
        <v>50874</v>
      </c>
      <c r="O861" s="9">
        <v>0</v>
      </c>
      <c r="P861" s="9">
        <f>N861-O861</f>
        <v>50874</v>
      </c>
      <c r="Q861" s="40">
        <f t="shared" si="139"/>
        <v>100</v>
      </c>
      <c r="R861" s="9">
        <v>0</v>
      </c>
      <c r="S861" s="9">
        <f t="shared" si="137"/>
        <v>3.0000000014399997</v>
      </c>
      <c r="T861" s="90">
        <f t="shared" si="132"/>
        <v>171</v>
      </c>
      <c r="U861" s="90">
        <f t="shared" si="133"/>
        <v>873</v>
      </c>
      <c r="V861" s="373">
        <f t="shared" si="134"/>
        <v>852</v>
      </c>
      <c r="W861" s="90">
        <f t="shared" si="135"/>
        <v>3.0000000014399997</v>
      </c>
      <c r="X861" s="90">
        <f t="shared" si="136"/>
        <v>62607.189612359136</v>
      </c>
      <c r="Y861" s="141">
        <f t="shared" si="138"/>
        <v>852</v>
      </c>
      <c r="Z861" s="298">
        <v>171</v>
      </c>
      <c r="AA861" s="299">
        <v>873</v>
      </c>
      <c r="AB861" s="299">
        <v>852</v>
      </c>
      <c r="AC861" s="301">
        <v>3.0000000014399997</v>
      </c>
      <c r="AD861" s="301">
        <v>62607.189612359136</v>
      </c>
      <c r="AE861" s="126"/>
      <c r="AF861" s="298"/>
      <c r="AG861" s="299"/>
      <c r="AH861" s="299"/>
      <c r="AI861" s="301"/>
      <c r="AJ861" s="301"/>
      <c r="AK861" s="426"/>
      <c r="AL861" s="298"/>
      <c r="AM861" s="299"/>
      <c r="AN861" s="299"/>
      <c r="AO861" s="301"/>
      <c r="AP861" s="301"/>
      <c r="AQ861" s="426"/>
      <c r="AR861" s="298"/>
      <c r="AS861" s="299"/>
      <c r="AT861" s="299"/>
      <c r="AU861" s="301"/>
      <c r="AV861" s="301"/>
      <c r="AW861" s="88"/>
      <c r="AX861" s="298"/>
      <c r="AY861" s="299"/>
      <c r="AZ861" s="299"/>
      <c r="BA861" s="301"/>
      <c r="BB861" s="301"/>
      <c r="BC861" s="426"/>
      <c r="BD861" s="298"/>
      <c r="BE861" s="299"/>
      <c r="BF861" s="299"/>
      <c r="BG861" s="301"/>
      <c r="BH861" s="301"/>
      <c r="BI861" s="88"/>
      <c r="BJ861" s="298"/>
      <c r="BK861" s="299"/>
      <c r="BL861" s="299"/>
      <c r="BM861" s="301"/>
      <c r="BN861" s="301"/>
      <c r="BO861" s="88"/>
      <c r="BP861" s="9"/>
      <c r="BS861" s="81"/>
      <c r="BT861" s="81"/>
      <c r="BV861" s="9"/>
      <c r="BY861" s="81"/>
      <c r="BZ861" s="81"/>
      <c r="CB861" s="9"/>
      <c r="CE861" s="81"/>
      <c r="CF861" s="81"/>
      <c r="CH861" s="9"/>
      <c r="CK861" s="81"/>
      <c r="CL861" s="81"/>
      <c r="CR861" s="9"/>
      <c r="CS861" s="9"/>
      <c r="CT861" s="9"/>
      <c r="CU861" s="9"/>
      <c r="CV861" s="9"/>
      <c r="CW861" s="129"/>
      <c r="CX861" s="9"/>
    </row>
    <row r="862" spans="1:102">
      <c r="A862" s="6" t="str">
        <f t="shared" si="131"/>
        <v>01710998</v>
      </c>
      <c r="B862" s="6" t="s">
        <v>1821</v>
      </c>
      <c r="C862" s="6" t="s">
        <v>2091</v>
      </c>
      <c r="D862" s="6">
        <v>853</v>
      </c>
      <c r="E862" s="6">
        <v>171</v>
      </c>
      <c r="F862" s="6" t="s">
        <v>1547</v>
      </c>
      <c r="G862" s="6">
        <v>998</v>
      </c>
      <c r="H862" s="6" t="s">
        <v>1547</v>
      </c>
      <c r="I862" s="33">
        <v>0</v>
      </c>
      <c r="J862" s="88">
        <v>0</v>
      </c>
      <c r="K862" s="89">
        <f t="shared" si="140"/>
        <v>0</v>
      </c>
      <c r="L862" s="88">
        <f>IF(K864&gt;0, K862/K864, 0)</f>
        <v>0</v>
      </c>
      <c r="M862" s="58"/>
      <c r="N862" s="9">
        <f>ROUND(M864*L862,0)</f>
        <v>0</v>
      </c>
      <c r="O862" s="9">
        <v>0</v>
      </c>
      <c r="P862" s="9">
        <f>N862-O862</f>
        <v>0</v>
      </c>
      <c r="Q862" s="40">
        <f t="shared" si="139"/>
        <v>0</v>
      </c>
      <c r="R862" s="9">
        <v>0</v>
      </c>
      <c r="S862" s="9">
        <f t="shared" si="137"/>
        <v>0</v>
      </c>
      <c r="T862" s="90">
        <f t="shared" si="132"/>
        <v>171</v>
      </c>
      <c r="U862" s="90">
        <f t="shared" si="133"/>
        <v>998</v>
      </c>
      <c r="V862" s="373">
        <f t="shared" si="134"/>
        <v>853</v>
      </c>
      <c r="W862" s="90">
        <f t="shared" si="135"/>
        <v>0</v>
      </c>
      <c r="X862" s="90">
        <f t="shared" si="136"/>
        <v>0</v>
      </c>
      <c r="Y862" s="141">
        <f t="shared" si="138"/>
        <v>853</v>
      </c>
      <c r="Z862" s="298">
        <v>171</v>
      </c>
      <c r="AA862" s="299">
        <v>998</v>
      </c>
      <c r="AB862" s="299">
        <v>853</v>
      </c>
      <c r="AC862" s="301">
        <v>0</v>
      </c>
      <c r="AD862" s="301">
        <v>0</v>
      </c>
      <c r="AE862" s="126"/>
      <c r="AF862" s="298"/>
      <c r="AG862" s="299"/>
      <c r="AH862" s="299"/>
      <c r="AI862" s="301"/>
      <c r="AJ862" s="301"/>
      <c r="AK862" s="426"/>
      <c r="AL862" s="298"/>
      <c r="AM862" s="299"/>
      <c r="AN862" s="299"/>
      <c r="AO862" s="301"/>
      <c r="AP862" s="301"/>
      <c r="AQ862" s="426"/>
      <c r="AR862" s="298"/>
      <c r="AS862" s="299"/>
      <c r="AT862" s="299"/>
      <c r="AU862" s="301"/>
      <c r="AV862" s="301"/>
      <c r="AW862" s="88"/>
      <c r="AX862" s="298"/>
      <c r="AY862" s="299"/>
      <c r="AZ862" s="299"/>
      <c r="BA862" s="301"/>
      <c r="BB862" s="301"/>
      <c r="BC862" s="426"/>
      <c r="BD862" s="298"/>
      <c r="BE862" s="299"/>
      <c r="BF862" s="299"/>
      <c r="BG862" s="301"/>
      <c r="BH862" s="301"/>
      <c r="BI862" s="88"/>
      <c r="BJ862" s="298"/>
      <c r="BK862" s="299"/>
      <c r="BL862" s="299"/>
      <c r="BM862" s="301"/>
      <c r="BN862" s="301"/>
      <c r="BO862" s="88"/>
      <c r="BP862" s="9"/>
      <c r="BS862" s="81"/>
      <c r="BT862" s="81"/>
      <c r="BV862" s="9"/>
      <c r="BY862" s="81"/>
      <c r="BZ862" s="81"/>
      <c r="CB862" s="9"/>
      <c r="CE862" s="81"/>
      <c r="CF862" s="81"/>
      <c r="CH862" s="9"/>
      <c r="CK862" s="81"/>
      <c r="CL862" s="81"/>
      <c r="CR862" s="9"/>
      <c r="CS862" s="9"/>
      <c r="CT862" s="9"/>
      <c r="CU862" s="9"/>
      <c r="CV862" s="9"/>
      <c r="CW862" s="129"/>
      <c r="CX862" s="9"/>
    </row>
    <row r="863" spans="1:102">
      <c r="A863" s="6" t="str">
        <f t="shared" si="131"/>
        <v>01710998</v>
      </c>
      <c r="B863" s="6" t="s">
        <v>1821</v>
      </c>
      <c r="C863" s="6" t="s">
        <v>2091</v>
      </c>
      <c r="D863" s="6">
        <v>854</v>
      </c>
      <c r="E863" s="6">
        <v>171</v>
      </c>
      <c r="F863" s="6" t="s">
        <v>1547</v>
      </c>
      <c r="G863" s="6">
        <v>998</v>
      </c>
      <c r="H863" s="6" t="s">
        <v>1547</v>
      </c>
      <c r="I863" s="33">
        <v>0</v>
      </c>
      <c r="J863" s="88">
        <v>0</v>
      </c>
      <c r="K863" s="89">
        <f t="shared" si="140"/>
        <v>0</v>
      </c>
      <c r="L863" s="88">
        <f>IF(K864&gt;0, K863/K864, 0)</f>
        <v>0</v>
      </c>
      <c r="M863" s="58"/>
      <c r="N863" s="9">
        <f>ROUND(M864*L863,0)</f>
        <v>0</v>
      </c>
      <c r="O863" s="9">
        <v>0</v>
      </c>
      <c r="P863" s="9">
        <f>N863-O863</f>
        <v>0</v>
      </c>
      <c r="Q863" s="40">
        <f t="shared" si="139"/>
        <v>0</v>
      </c>
      <c r="R863" s="9">
        <v>0</v>
      </c>
      <c r="S863" s="9">
        <f t="shared" si="137"/>
        <v>0</v>
      </c>
      <c r="T863" s="90">
        <f t="shared" si="132"/>
        <v>171</v>
      </c>
      <c r="U863" s="90">
        <f t="shared" si="133"/>
        <v>998</v>
      </c>
      <c r="V863" s="373">
        <f t="shared" si="134"/>
        <v>854</v>
      </c>
      <c r="W863" s="90">
        <f t="shared" si="135"/>
        <v>0</v>
      </c>
      <c r="X863" s="90">
        <f t="shared" si="136"/>
        <v>0</v>
      </c>
      <c r="Y863" s="141">
        <f t="shared" si="138"/>
        <v>854</v>
      </c>
      <c r="Z863" s="298">
        <v>171</v>
      </c>
      <c r="AA863" s="299">
        <v>998</v>
      </c>
      <c r="AB863" s="299">
        <v>854</v>
      </c>
      <c r="AC863" s="301">
        <v>0</v>
      </c>
      <c r="AD863" s="301">
        <v>0</v>
      </c>
      <c r="AE863" s="126"/>
      <c r="AF863" s="298"/>
      <c r="AG863" s="299"/>
      <c r="AH863" s="299"/>
      <c r="AI863" s="301"/>
      <c r="AJ863" s="301"/>
      <c r="AK863" s="426"/>
      <c r="AL863" s="298"/>
      <c r="AM863" s="299"/>
      <c r="AN863" s="299"/>
      <c r="AO863" s="301"/>
      <c r="AP863" s="301"/>
      <c r="AQ863" s="426"/>
      <c r="AR863" s="298"/>
      <c r="AS863" s="299"/>
      <c r="AT863" s="299"/>
      <c r="AU863" s="301"/>
      <c r="AV863" s="301"/>
      <c r="AW863" s="88"/>
      <c r="AX863" s="298"/>
      <c r="AY863" s="299"/>
      <c r="AZ863" s="299"/>
      <c r="BA863" s="301"/>
      <c r="BB863" s="301"/>
      <c r="BC863" s="426"/>
      <c r="BD863" s="298"/>
      <c r="BE863" s="299"/>
      <c r="BF863" s="299"/>
      <c r="BG863" s="301"/>
      <c r="BH863" s="301"/>
      <c r="BI863" s="88"/>
      <c r="BJ863" s="298"/>
      <c r="BK863" s="299"/>
      <c r="BL863" s="299"/>
      <c r="BM863" s="301"/>
      <c r="BN863" s="301"/>
      <c r="BO863" s="88"/>
      <c r="BP863" s="9"/>
      <c r="BS863" s="81"/>
      <c r="BT863" s="81"/>
      <c r="BV863" s="9"/>
      <c r="BY863" s="81"/>
      <c r="BZ863" s="81"/>
      <c r="CB863" s="9"/>
      <c r="CE863" s="81"/>
      <c r="CF863" s="81"/>
      <c r="CH863" s="9"/>
      <c r="CK863" s="81"/>
      <c r="CL863" s="81"/>
      <c r="CR863" s="9"/>
      <c r="CS863" s="9"/>
      <c r="CT863" s="9"/>
      <c r="CU863" s="9"/>
      <c r="CV863" s="9"/>
      <c r="CW863" s="129"/>
      <c r="CX863" s="9"/>
    </row>
    <row r="864" spans="1:102">
      <c r="A864" s="6" t="str">
        <f t="shared" si="131"/>
        <v>01710999</v>
      </c>
      <c r="B864" s="6" t="s">
        <v>1821</v>
      </c>
      <c r="C864" s="6" t="s">
        <v>2092</v>
      </c>
      <c r="D864" s="6">
        <v>855</v>
      </c>
      <c r="E864" s="10">
        <v>171</v>
      </c>
      <c r="F864" s="10" t="s">
        <v>1289</v>
      </c>
      <c r="G864" s="10">
        <v>999</v>
      </c>
      <c r="H864" s="10" t="s">
        <v>593</v>
      </c>
      <c r="I864" s="92">
        <v>49950295.557299994</v>
      </c>
      <c r="J864" s="472">
        <v>1</v>
      </c>
      <c r="K864" s="53">
        <f>SUM(K860:K863)</f>
        <v>49792941.878732353</v>
      </c>
      <c r="L864" s="91">
        <f>SUM(L860:L863)</f>
        <v>1</v>
      </c>
      <c r="M864" s="79">
        <f>VLOOKUP(E864,town351,24)</f>
        <v>40461057</v>
      </c>
      <c r="N864" s="79">
        <f>SUM(N860:N863)</f>
        <v>40461057</v>
      </c>
      <c r="O864" s="79">
        <v>39070159</v>
      </c>
      <c r="P864" s="79">
        <f>SUM(P860:P863)</f>
        <v>1390898</v>
      </c>
      <c r="Q864" s="39">
        <f t="shared" si="139"/>
        <v>3.5600008692055747</v>
      </c>
      <c r="R864" s="9">
        <v>3783</v>
      </c>
      <c r="S864" s="9">
        <f t="shared" si="137"/>
        <v>3672.0000000014402</v>
      </c>
      <c r="T864" s="90">
        <f t="shared" si="132"/>
        <v>171</v>
      </c>
      <c r="U864" s="90">
        <f t="shared" si="133"/>
        <v>999</v>
      </c>
      <c r="V864" s="373">
        <f t="shared" si="134"/>
        <v>855</v>
      </c>
      <c r="W864" s="90">
        <f t="shared" si="135"/>
        <v>3672.0000000014402</v>
      </c>
      <c r="X864" s="90">
        <f t="shared" si="136"/>
        <v>49792941.878732353</v>
      </c>
      <c r="Y864" s="141">
        <f t="shared" si="138"/>
        <v>855</v>
      </c>
      <c r="Z864" s="298">
        <v>171</v>
      </c>
      <c r="AA864" s="299">
        <v>999</v>
      </c>
      <c r="AB864" s="299">
        <v>855</v>
      </c>
      <c r="AC864" s="301">
        <v>3672.0000000014402</v>
      </c>
      <c r="AD864" s="301">
        <v>49792941.878732353</v>
      </c>
      <c r="AE864" s="126"/>
      <c r="AF864" s="298"/>
      <c r="AG864" s="299"/>
      <c r="AH864" s="299"/>
      <c r="AI864" s="301"/>
      <c r="AJ864" s="301"/>
      <c r="AK864" s="426"/>
      <c r="AL864" s="298"/>
      <c r="AM864" s="299"/>
      <c r="AN864" s="299"/>
      <c r="AO864" s="301"/>
      <c r="AP864" s="301"/>
      <c r="AQ864" s="426"/>
      <c r="AR864" s="298"/>
      <c r="AS864" s="299"/>
      <c r="AT864" s="299"/>
      <c r="AU864" s="301"/>
      <c r="AV864" s="301"/>
      <c r="AW864" s="91"/>
      <c r="AX864" s="298"/>
      <c r="AY864" s="299"/>
      <c r="AZ864" s="299"/>
      <c r="BA864" s="301"/>
      <c r="BB864" s="301"/>
      <c r="BC864" s="426"/>
      <c r="BD864" s="298"/>
      <c r="BE864" s="299"/>
      <c r="BF864" s="299"/>
      <c r="BG864" s="301"/>
      <c r="BH864" s="301"/>
      <c r="BI864" s="91"/>
      <c r="BJ864" s="298"/>
      <c r="BK864" s="299"/>
      <c r="BL864" s="299"/>
      <c r="BM864" s="301"/>
      <c r="BN864" s="301"/>
      <c r="BO864" s="91"/>
      <c r="BP864" s="9"/>
      <c r="BS864" s="81"/>
      <c r="BT864" s="81"/>
      <c r="BV864" s="9"/>
      <c r="BY864" s="81"/>
      <c r="BZ864" s="81"/>
      <c r="CB864" s="9"/>
      <c r="CE864" s="81"/>
      <c r="CF864" s="81"/>
      <c r="CH864" s="9"/>
      <c r="CK864" s="81"/>
      <c r="CL864" s="81"/>
      <c r="CR864" s="9"/>
      <c r="CS864" s="9"/>
      <c r="CT864" s="9"/>
      <c r="CU864" s="9"/>
      <c r="CV864" s="9"/>
      <c r="CW864" s="129"/>
      <c r="CX864" s="9"/>
    </row>
    <row r="865" spans="1:102">
      <c r="A865" s="6" t="str">
        <f t="shared" si="131"/>
        <v>01720172</v>
      </c>
      <c r="B865" s="6" t="s">
        <v>1822</v>
      </c>
      <c r="C865" s="6" t="s">
        <v>1822</v>
      </c>
      <c r="D865" s="6">
        <v>856</v>
      </c>
      <c r="E865" s="6">
        <v>172</v>
      </c>
      <c r="F865" s="6" t="s">
        <v>1290</v>
      </c>
      <c r="G865" s="6">
        <v>172</v>
      </c>
      <c r="H865" s="6" t="s">
        <v>853</v>
      </c>
      <c r="I865" s="33">
        <v>20496134.48</v>
      </c>
      <c r="J865" s="88">
        <v>0.94956552255041116</v>
      </c>
      <c r="K865" s="89">
        <f>X865</f>
        <v>21264618.640000001</v>
      </c>
      <c r="L865" s="88">
        <f>IF(K869&gt;0, K865/K869, 0)</f>
        <v>0.94472973255121506</v>
      </c>
      <c r="M865" s="58"/>
      <c r="N865" s="9">
        <f>ROUND(M869*L865,0)</f>
        <v>17203029</v>
      </c>
      <c r="O865" s="9">
        <v>16524355</v>
      </c>
      <c r="P865" s="9">
        <f>N865-O865</f>
        <v>678674</v>
      </c>
      <c r="Q865" s="40">
        <f t="shared" si="139"/>
        <v>4.107113409267714</v>
      </c>
      <c r="R865" s="9">
        <v>1422</v>
      </c>
      <c r="S865" s="9">
        <f t="shared" si="137"/>
        <v>1416</v>
      </c>
      <c r="T865" s="90">
        <f t="shared" si="132"/>
        <v>172</v>
      </c>
      <c r="U865" s="90">
        <f t="shared" si="133"/>
        <v>172</v>
      </c>
      <c r="V865" s="373">
        <f t="shared" si="134"/>
        <v>856</v>
      </c>
      <c r="W865" s="90">
        <f t="shared" si="135"/>
        <v>1416</v>
      </c>
      <c r="X865" s="90">
        <f t="shared" si="136"/>
        <v>21264618.640000001</v>
      </c>
      <c r="Y865" s="141">
        <f t="shared" si="138"/>
        <v>856</v>
      </c>
      <c r="Z865" s="298">
        <v>172</v>
      </c>
      <c r="AA865" s="299">
        <v>172</v>
      </c>
      <c r="AB865" s="299">
        <v>856</v>
      </c>
      <c r="AC865" s="301">
        <v>1416</v>
      </c>
      <c r="AD865" s="301">
        <v>21264618.640000001</v>
      </c>
      <c r="AE865" s="126"/>
      <c r="AF865" s="298"/>
      <c r="AG865" s="299"/>
      <c r="AH865" s="299"/>
      <c r="AI865" s="301"/>
      <c r="AJ865" s="301"/>
      <c r="AK865" s="426"/>
      <c r="AL865" s="298"/>
      <c r="AM865" s="299"/>
      <c r="AN865" s="299"/>
      <c r="AO865" s="301"/>
      <c r="AP865" s="301"/>
      <c r="AQ865" s="426"/>
      <c r="AR865" s="298"/>
      <c r="AS865" s="299"/>
      <c r="AT865" s="299"/>
      <c r="AU865" s="301"/>
      <c r="AV865" s="301"/>
      <c r="AW865" s="88"/>
      <c r="AX865" s="298"/>
      <c r="AY865" s="299"/>
      <c r="AZ865" s="299"/>
      <c r="BA865" s="301"/>
      <c r="BB865" s="301"/>
      <c r="BC865" s="426"/>
      <c r="BD865" s="298"/>
      <c r="BE865" s="299"/>
      <c r="BF865" s="299"/>
      <c r="BG865" s="301"/>
      <c r="BH865" s="301"/>
      <c r="BI865" s="88"/>
      <c r="BJ865" s="298"/>
      <c r="BK865" s="299"/>
      <c r="BL865" s="299"/>
      <c r="BM865" s="301"/>
      <c r="BN865" s="301"/>
      <c r="BO865" s="88"/>
      <c r="BP865" s="9"/>
      <c r="BS865" s="81"/>
      <c r="BT865" s="81"/>
      <c r="BV865" s="9"/>
      <c r="BY865" s="81"/>
      <c r="BZ865" s="81"/>
      <c r="CB865" s="9"/>
      <c r="CE865" s="81"/>
      <c r="CF865" s="81"/>
      <c r="CH865" s="9"/>
      <c r="CK865" s="81"/>
      <c r="CL865" s="81"/>
      <c r="CR865" s="9"/>
      <c r="CS865" s="9"/>
      <c r="CT865" s="9"/>
      <c r="CU865" s="9"/>
      <c r="CV865" s="9"/>
      <c r="CW865" s="129"/>
      <c r="CX865" s="9"/>
    </row>
    <row r="866" spans="1:102">
      <c r="A866" s="6" t="str">
        <f t="shared" si="131"/>
        <v>01720815</v>
      </c>
      <c r="B866" s="6" t="s">
        <v>1822</v>
      </c>
      <c r="C866" s="6" t="s">
        <v>2066</v>
      </c>
      <c r="D866" s="6">
        <v>857</v>
      </c>
      <c r="E866" s="6">
        <v>172</v>
      </c>
      <c r="F866" s="6" t="s">
        <v>1290</v>
      </c>
      <c r="G866" s="6">
        <v>815</v>
      </c>
      <c r="H866" s="6" t="s">
        <v>1096</v>
      </c>
      <c r="I866" s="33">
        <v>1088615.5906955034</v>
      </c>
      <c r="J866" s="88">
        <v>5.0434477449588837E-2</v>
      </c>
      <c r="K866" s="89">
        <f t="shared" si="140"/>
        <v>1244060.7286227257</v>
      </c>
      <c r="L866" s="88">
        <f>IF(K869&gt;0, K866/K869, 0)</f>
        <v>5.5270267448784931E-2</v>
      </c>
      <c r="M866" s="58"/>
      <c r="N866" s="9">
        <f>ROUND(M869*L866,0)</f>
        <v>1006442</v>
      </c>
      <c r="O866" s="9">
        <v>877662</v>
      </c>
      <c r="P866" s="9">
        <f>N866-O866</f>
        <v>128780</v>
      </c>
      <c r="Q866" s="40">
        <f t="shared" si="139"/>
        <v>14.673074600472619</v>
      </c>
      <c r="R866" s="9">
        <v>50.149925037060001</v>
      </c>
      <c r="S866" s="9">
        <f t="shared" si="137"/>
        <v>57.085585588530002</v>
      </c>
      <c r="T866" s="90">
        <f t="shared" si="132"/>
        <v>172</v>
      </c>
      <c r="U866" s="90">
        <f t="shared" si="133"/>
        <v>815</v>
      </c>
      <c r="V866" s="373">
        <f t="shared" si="134"/>
        <v>857</v>
      </c>
      <c r="W866" s="90">
        <f t="shared" si="135"/>
        <v>57.085585588530002</v>
      </c>
      <c r="X866" s="90">
        <f t="shared" si="136"/>
        <v>1244060.7286227257</v>
      </c>
      <c r="Y866" s="141">
        <f t="shared" si="138"/>
        <v>857</v>
      </c>
      <c r="Z866" s="298">
        <v>172</v>
      </c>
      <c r="AA866" s="299">
        <v>815</v>
      </c>
      <c r="AB866" s="299">
        <v>857</v>
      </c>
      <c r="AC866" s="301">
        <v>57.085585588530002</v>
      </c>
      <c r="AD866" s="301">
        <v>1244060.7286227257</v>
      </c>
      <c r="AE866" s="126"/>
      <c r="AF866" s="298"/>
      <c r="AG866" s="299"/>
      <c r="AH866" s="299"/>
      <c r="AI866" s="301"/>
      <c r="AJ866" s="301"/>
      <c r="AK866" s="426"/>
      <c r="AL866" s="298"/>
      <c r="AM866" s="299"/>
      <c r="AN866" s="299"/>
      <c r="AO866" s="301"/>
      <c r="AP866" s="301"/>
      <c r="AQ866" s="426"/>
      <c r="AR866" s="298"/>
      <c r="AS866" s="299"/>
      <c r="AT866" s="299"/>
      <c r="AU866" s="301"/>
      <c r="AV866" s="301"/>
      <c r="AW866" s="88"/>
      <c r="AX866" s="298"/>
      <c r="AY866" s="299"/>
      <c r="AZ866" s="299"/>
      <c r="BA866" s="301"/>
      <c r="BB866" s="301"/>
      <c r="BC866" s="426"/>
      <c r="BD866" s="298"/>
      <c r="BE866" s="299"/>
      <c r="BF866" s="299"/>
      <c r="BG866" s="301"/>
      <c r="BH866" s="301"/>
      <c r="BI866" s="88"/>
      <c r="BJ866" s="298"/>
      <c r="BK866" s="299"/>
      <c r="BL866" s="299"/>
      <c r="BM866" s="301"/>
      <c r="BN866" s="301"/>
      <c r="BO866" s="88"/>
      <c r="BP866" s="9"/>
      <c r="BS866" s="81"/>
      <c r="BT866" s="81"/>
      <c r="BV866" s="9"/>
      <c r="BY866" s="81"/>
      <c r="BZ866" s="81"/>
      <c r="CB866" s="9"/>
      <c r="CE866" s="81"/>
      <c r="CF866" s="81"/>
      <c r="CH866" s="9"/>
      <c r="CK866" s="81"/>
      <c r="CL866" s="81"/>
      <c r="CR866" s="9"/>
      <c r="CS866" s="9"/>
      <c r="CT866" s="9"/>
      <c r="CU866" s="9"/>
      <c r="CV866" s="9"/>
      <c r="CW866" s="129"/>
      <c r="CX866" s="9"/>
    </row>
    <row r="867" spans="1:102">
      <c r="A867" s="6" t="str">
        <f t="shared" si="131"/>
        <v>01720998</v>
      </c>
      <c r="B867" s="6" t="s">
        <v>1822</v>
      </c>
      <c r="C867" s="6" t="s">
        <v>2091</v>
      </c>
      <c r="D867" s="6">
        <v>858</v>
      </c>
      <c r="E867" s="6">
        <v>172</v>
      </c>
      <c r="F867" s="6" t="s">
        <v>1547</v>
      </c>
      <c r="G867" s="6">
        <v>998</v>
      </c>
      <c r="H867" s="6" t="s">
        <v>1547</v>
      </c>
      <c r="I867" s="33">
        <v>0</v>
      </c>
      <c r="J867" s="88">
        <v>0</v>
      </c>
      <c r="K867" s="89">
        <f t="shared" si="140"/>
        <v>0</v>
      </c>
      <c r="L867" s="88">
        <f>IF(K869&gt;0, K867/K869, 0)</f>
        <v>0</v>
      </c>
      <c r="M867" s="58"/>
      <c r="N867" s="9">
        <f>ROUND(M869*L867,0)</f>
        <v>0</v>
      </c>
      <c r="O867" s="9">
        <v>0</v>
      </c>
      <c r="P867" s="9">
        <f>N867-O867</f>
        <v>0</v>
      </c>
      <c r="Q867" s="40">
        <f t="shared" si="139"/>
        <v>0</v>
      </c>
      <c r="R867" s="9">
        <v>0</v>
      </c>
      <c r="S867" s="9">
        <f t="shared" si="137"/>
        <v>0</v>
      </c>
      <c r="T867" s="90">
        <f t="shared" si="132"/>
        <v>172</v>
      </c>
      <c r="U867" s="90">
        <f t="shared" si="133"/>
        <v>998</v>
      </c>
      <c r="V867" s="373">
        <f t="shared" si="134"/>
        <v>858</v>
      </c>
      <c r="W867" s="90">
        <f t="shared" si="135"/>
        <v>0</v>
      </c>
      <c r="X867" s="90">
        <f t="shared" si="136"/>
        <v>0</v>
      </c>
      <c r="Y867" s="141">
        <f t="shared" si="138"/>
        <v>858</v>
      </c>
      <c r="Z867" s="298">
        <v>172</v>
      </c>
      <c r="AA867" s="299">
        <v>998</v>
      </c>
      <c r="AB867" s="299">
        <v>858</v>
      </c>
      <c r="AC867" s="301">
        <v>0</v>
      </c>
      <c r="AD867" s="301">
        <v>0</v>
      </c>
      <c r="AE867" s="126"/>
      <c r="AF867" s="298"/>
      <c r="AG867" s="299"/>
      <c r="AH867" s="299"/>
      <c r="AI867" s="301"/>
      <c r="AJ867" s="301"/>
      <c r="AK867" s="426"/>
      <c r="AL867" s="298"/>
      <c r="AM867" s="299"/>
      <c r="AN867" s="299"/>
      <c r="AO867" s="301"/>
      <c r="AP867" s="301"/>
      <c r="AQ867" s="426"/>
      <c r="AR867" s="298"/>
      <c r="AS867" s="299"/>
      <c r="AT867" s="299"/>
      <c r="AU867" s="301"/>
      <c r="AV867" s="301"/>
      <c r="AW867" s="88"/>
      <c r="AX867" s="298"/>
      <c r="AY867" s="299"/>
      <c r="AZ867" s="299"/>
      <c r="BA867" s="301"/>
      <c r="BB867" s="301"/>
      <c r="BC867" s="426"/>
      <c r="BD867" s="298"/>
      <c r="BE867" s="299"/>
      <c r="BF867" s="299"/>
      <c r="BG867" s="301"/>
      <c r="BH867" s="301"/>
      <c r="BI867" s="88"/>
      <c r="BJ867" s="298"/>
      <c r="BK867" s="299"/>
      <c r="BL867" s="299"/>
      <c r="BM867" s="301"/>
      <c r="BN867" s="301"/>
      <c r="BO867" s="88"/>
      <c r="BP867" s="9"/>
      <c r="BS867" s="81"/>
      <c r="BT867" s="81"/>
      <c r="BV867" s="9"/>
      <c r="BY867" s="81"/>
      <c r="BZ867" s="81"/>
      <c r="CB867" s="9"/>
      <c r="CE867" s="81"/>
      <c r="CF867" s="81"/>
      <c r="CH867" s="9"/>
      <c r="CK867" s="81"/>
      <c r="CL867" s="81"/>
      <c r="CR867" s="9"/>
      <c r="CS867" s="9"/>
      <c r="CT867" s="9"/>
      <c r="CU867" s="9"/>
      <c r="CV867" s="9"/>
      <c r="CW867" s="129"/>
      <c r="CX867" s="9"/>
    </row>
    <row r="868" spans="1:102">
      <c r="A868" s="6" t="str">
        <f t="shared" si="131"/>
        <v>01720998</v>
      </c>
      <c r="B868" s="6" t="s">
        <v>1822</v>
      </c>
      <c r="C868" s="6" t="s">
        <v>2091</v>
      </c>
      <c r="D868" s="6">
        <v>859</v>
      </c>
      <c r="E868" s="6">
        <v>172</v>
      </c>
      <c r="F868" s="6" t="s">
        <v>1547</v>
      </c>
      <c r="G868" s="6">
        <v>998</v>
      </c>
      <c r="H868" s="6" t="s">
        <v>1547</v>
      </c>
      <c r="I868" s="33">
        <v>0</v>
      </c>
      <c r="J868" s="88">
        <v>0</v>
      </c>
      <c r="K868" s="89">
        <f t="shared" si="140"/>
        <v>0</v>
      </c>
      <c r="L868" s="88">
        <f>IF(K869&gt;0, K868/K869, 0)</f>
        <v>0</v>
      </c>
      <c r="M868" s="58"/>
      <c r="N868" s="9">
        <f>ROUND(M869*L868,0)</f>
        <v>0</v>
      </c>
      <c r="O868" s="9">
        <v>0</v>
      </c>
      <c r="P868" s="9">
        <f>N868-O868</f>
        <v>0</v>
      </c>
      <c r="Q868" s="40">
        <f t="shared" si="139"/>
        <v>0</v>
      </c>
      <c r="R868" s="9">
        <v>0</v>
      </c>
      <c r="S868" s="9">
        <f t="shared" si="137"/>
        <v>0</v>
      </c>
      <c r="T868" s="90">
        <f t="shared" si="132"/>
        <v>172</v>
      </c>
      <c r="U868" s="90">
        <f t="shared" si="133"/>
        <v>998</v>
      </c>
      <c r="V868" s="373">
        <f t="shared" si="134"/>
        <v>859</v>
      </c>
      <c r="W868" s="90">
        <f t="shared" si="135"/>
        <v>0</v>
      </c>
      <c r="X868" s="90">
        <f t="shared" si="136"/>
        <v>0</v>
      </c>
      <c r="Y868" s="141">
        <f t="shared" si="138"/>
        <v>859</v>
      </c>
      <c r="Z868" s="298">
        <v>172</v>
      </c>
      <c r="AA868" s="299">
        <v>998</v>
      </c>
      <c r="AB868" s="299">
        <v>859</v>
      </c>
      <c r="AC868" s="301">
        <v>0</v>
      </c>
      <c r="AD868" s="301">
        <v>0</v>
      </c>
      <c r="AE868" s="126"/>
      <c r="AF868" s="298"/>
      <c r="AG868" s="299"/>
      <c r="AH868" s="299"/>
      <c r="AI868" s="301"/>
      <c r="AJ868" s="301"/>
      <c r="AK868" s="426"/>
      <c r="AL868" s="298"/>
      <c r="AM868" s="299"/>
      <c r="AN868" s="299"/>
      <c r="AO868" s="301"/>
      <c r="AP868" s="301"/>
      <c r="AQ868" s="426"/>
      <c r="AR868" s="298"/>
      <c r="AS868" s="299"/>
      <c r="AT868" s="299"/>
      <c r="AU868" s="301"/>
      <c r="AV868" s="301"/>
      <c r="AW868" s="88"/>
      <c r="AX868" s="298"/>
      <c r="AY868" s="299"/>
      <c r="AZ868" s="299"/>
      <c r="BA868" s="301"/>
      <c r="BB868" s="301"/>
      <c r="BC868" s="426"/>
      <c r="BD868" s="298"/>
      <c r="BE868" s="299"/>
      <c r="BF868" s="299"/>
      <c r="BG868" s="301"/>
      <c r="BH868" s="301"/>
      <c r="BI868" s="88"/>
      <c r="BJ868" s="298"/>
      <c r="BK868" s="299"/>
      <c r="BL868" s="299"/>
      <c r="BM868" s="301"/>
      <c r="BN868" s="301"/>
      <c r="BO868" s="88"/>
      <c r="BP868" s="9"/>
      <c r="BS868" s="81"/>
      <c r="BT868" s="81"/>
      <c r="BV868" s="9"/>
      <c r="BY868" s="81"/>
      <c r="BZ868" s="81"/>
      <c r="CB868" s="9"/>
      <c r="CE868" s="81"/>
      <c r="CF868" s="81"/>
      <c r="CH868" s="9"/>
      <c r="CK868" s="81"/>
      <c r="CL868" s="81"/>
      <c r="CR868" s="9"/>
      <c r="CS868" s="9"/>
      <c r="CT868" s="9"/>
      <c r="CU868" s="9"/>
      <c r="CV868" s="9"/>
      <c r="CW868" s="129"/>
      <c r="CX868" s="9"/>
    </row>
    <row r="869" spans="1:102">
      <c r="A869" s="6" t="str">
        <f t="shared" si="131"/>
        <v>01720999</v>
      </c>
      <c r="B869" s="6" t="s">
        <v>1822</v>
      </c>
      <c r="C869" s="6" t="s">
        <v>2092</v>
      </c>
      <c r="D869" s="6">
        <v>860</v>
      </c>
      <c r="E869" s="10">
        <v>172</v>
      </c>
      <c r="F869" s="10" t="s">
        <v>1290</v>
      </c>
      <c r="G869" s="10">
        <v>999</v>
      </c>
      <c r="H869" s="10" t="s">
        <v>593</v>
      </c>
      <c r="I869" s="92">
        <v>21584750.070695505</v>
      </c>
      <c r="J869" s="472">
        <v>1</v>
      </c>
      <c r="K869" s="53">
        <f>SUM(K865:K868)</f>
        <v>22508679.368622728</v>
      </c>
      <c r="L869" s="91">
        <f>SUM(L865:L868)</f>
        <v>1</v>
      </c>
      <c r="M869" s="79">
        <f>VLOOKUP(E869,town351,24)</f>
        <v>18209471</v>
      </c>
      <c r="N869" s="79">
        <f>SUM(N865:N868)</f>
        <v>18209471</v>
      </c>
      <c r="O869" s="79">
        <v>17402017</v>
      </c>
      <c r="P869" s="79">
        <f>SUM(P865:P868)</f>
        <v>807454</v>
      </c>
      <c r="Q869" s="39">
        <f t="shared" si="139"/>
        <v>4.6400023629444798</v>
      </c>
      <c r="R869" s="9">
        <v>1472.14992503706</v>
      </c>
      <c r="S869" s="9">
        <f t="shared" si="137"/>
        <v>1473.08558558853</v>
      </c>
      <c r="T869" s="90">
        <f t="shared" si="132"/>
        <v>172</v>
      </c>
      <c r="U869" s="90">
        <f t="shared" si="133"/>
        <v>999</v>
      </c>
      <c r="V869" s="373">
        <f t="shared" si="134"/>
        <v>860</v>
      </c>
      <c r="W869" s="90">
        <f t="shared" si="135"/>
        <v>1473.08558558853</v>
      </c>
      <c r="X869" s="90">
        <f t="shared" si="136"/>
        <v>22508679.368622728</v>
      </c>
      <c r="Y869" s="141">
        <f t="shared" si="138"/>
        <v>860</v>
      </c>
      <c r="Z869" s="298">
        <v>172</v>
      </c>
      <c r="AA869" s="299">
        <v>999</v>
      </c>
      <c r="AB869" s="299">
        <v>860</v>
      </c>
      <c r="AC869" s="301">
        <v>1473.08558558853</v>
      </c>
      <c r="AD869" s="301">
        <v>22508679.368622728</v>
      </c>
      <c r="AE869" s="126"/>
      <c r="AF869" s="298"/>
      <c r="AG869" s="299"/>
      <c r="AH869" s="299"/>
      <c r="AI869" s="301"/>
      <c r="AJ869" s="301"/>
      <c r="AK869" s="426"/>
      <c r="AL869" s="298"/>
      <c r="AM869" s="299"/>
      <c r="AN869" s="299"/>
      <c r="AO869" s="301"/>
      <c r="AP869" s="301"/>
      <c r="AQ869" s="426"/>
      <c r="AR869" s="298"/>
      <c r="AS869" s="299"/>
      <c r="AT869" s="299"/>
      <c r="AU869" s="301"/>
      <c r="AV869" s="301"/>
      <c r="AW869" s="91"/>
      <c r="AX869" s="298"/>
      <c r="AY869" s="299"/>
      <c r="AZ869" s="299"/>
      <c r="BA869" s="301"/>
      <c r="BB869" s="301"/>
      <c r="BC869" s="426"/>
      <c r="BD869" s="298"/>
      <c r="BE869" s="299"/>
      <c r="BF869" s="299"/>
      <c r="BG869" s="301"/>
      <c r="BH869" s="301"/>
      <c r="BI869" s="91"/>
      <c r="BJ869" s="298"/>
      <c r="BK869" s="299"/>
      <c r="BL869" s="299"/>
      <c r="BM869" s="301"/>
      <c r="BN869" s="301"/>
      <c r="BO869" s="91"/>
      <c r="BP869" s="9"/>
      <c r="BS869" s="81"/>
      <c r="BT869" s="81"/>
      <c r="BV869" s="9"/>
      <c r="BY869" s="81"/>
      <c r="BZ869" s="81"/>
      <c r="CB869" s="9"/>
      <c r="CE869" s="81"/>
      <c r="CF869" s="81"/>
      <c r="CH869" s="9"/>
      <c r="CK869" s="81"/>
      <c r="CL869" s="81"/>
      <c r="CR869" s="9"/>
      <c r="CS869" s="9"/>
      <c r="CT869" s="9"/>
      <c r="CU869" s="9"/>
      <c r="CV869" s="9"/>
      <c r="CW869" s="129"/>
      <c r="CX869" s="9"/>
    </row>
    <row r="870" spans="1:102">
      <c r="A870" s="6" t="str">
        <f t="shared" si="131"/>
        <v>01730173</v>
      </c>
      <c r="B870" s="6" t="s">
        <v>1823</v>
      </c>
      <c r="C870" s="6" t="s">
        <v>1823</v>
      </c>
      <c r="D870" s="6">
        <v>861</v>
      </c>
      <c r="E870" s="6">
        <v>173</v>
      </c>
      <c r="F870" s="6" t="s">
        <v>1291</v>
      </c>
      <c r="G870" s="6">
        <v>173</v>
      </c>
      <c r="H870" s="6" t="s">
        <v>854</v>
      </c>
      <c r="I870" s="33">
        <v>5079932.7300000004</v>
      </c>
      <c r="J870" s="88">
        <v>0.49170375592868526</v>
      </c>
      <c r="K870" s="89">
        <f>X870</f>
        <v>4865916.0799999991</v>
      </c>
      <c r="L870" s="88">
        <f>IF(K874&gt;0, K870/K874, 0)</f>
        <v>0.47716823415059056</v>
      </c>
      <c r="M870" s="58"/>
      <c r="N870" s="9">
        <f>ROUND(M874*L870,0)</f>
        <v>4014381</v>
      </c>
      <c r="O870" s="9">
        <v>4120905</v>
      </c>
      <c r="P870" s="9">
        <f>N870-O870</f>
        <v>-106524</v>
      </c>
      <c r="Q870" s="40">
        <f t="shared" si="139"/>
        <v>-2.584966166412475</v>
      </c>
      <c r="R870" s="9">
        <v>414</v>
      </c>
      <c r="S870" s="9">
        <f t="shared" si="137"/>
        <v>383</v>
      </c>
      <c r="T870" s="90">
        <f t="shared" si="132"/>
        <v>173</v>
      </c>
      <c r="U870" s="90">
        <f t="shared" si="133"/>
        <v>173</v>
      </c>
      <c r="V870" s="373">
        <f t="shared" si="134"/>
        <v>861</v>
      </c>
      <c r="W870" s="90">
        <f t="shared" si="135"/>
        <v>383</v>
      </c>
      <c r="X870" s="90">
        <f t="shared" si="136"/>
        <v>4865916.0799999991</v>
      </c>
      <c r="Y870" s="141">
        <f t="shared" si="138"/>
        <v>861</v>
      </c>
      <c r="Z870" s="298">
        <v>173</v>
      </c>
      <c r="AA870" s="299">
        <v>173</v>
      </c>
      <c r="AB870" s="299">
        <v>861</v>
      </c>
      <c r="AC870" s="301">
        <v>383</v>
      </c>
      <c r="AD870" s="301">
        <v>4865916.0799999991</v>
      </c>
      <c r="AE870" s="126"/>
      <c r="AF870" s="298"/>
      <c r="AG870" s="299"/>
      <c r="AH870" s="299"/>
      <c r="AI870" s="301"/>
      <c r="AJ870" s="301"/>
      <c r="AK870" s="426"/>
      <c r="AL870" s="298"/>
      <c r="AM870" s="299"/>
      <c r="AN870" s="299"/>
      <c r="AO870" s="301"/>
      <c r="AP870" s="301"/>
      <c r="AQ870" s="426"/>
      <c r="AR870" s="298"/>
      <c r="AS870" s="299"/>
      <c r="AT870" s="299"/>
      <c r="AU870" s="301"/>
      <c r="AV870" s="301"/>
      <c r="AW870" s="88"/>
      <c r="AX870" s="298"/>
      <c r="AY870" s="299"/>
      <c r="AZ870" s="299"/>
      <c r="BA870" s="301"/>
      <c r="BB870" s="301"/>
      <c r="BC870" s="426"/>
      <c r="BD870" s="298"/>
      <c r="BE870" s="299"/>
      <c r="BF870" s="299"/>
      <c r="BG870" s="301"/>
      <c r="BH870" s="301"/>
      <c r="BI870" s="88"/>
      <c r="BJ870" s="298"/>
      <c r="BK870" s="299"/>
      <c r="BL870" s="299"/>
      <c r="BM870" s="301"/>
      <c r="BN870" s="301"/>
      <c r="BO870" s="88"/>
      <c r="BP870" s="9"/>
      <c r="BS870" s="81"/>
      <c r="BT870" s="81"/>
      <c r="BV870" s="9"/>
      <c r="BY870" s="81"/>
      <c r="BZ870" s="81"/>
      <c r="CB870" s="9"/>
      <c r="CE870" s="81"/>
      <c r="CF870" s="81"/>
      <c r="CH870" s="9"/>
      <c r="CK870" s="81"/>
      <c r="CL870" s="81"/>
      <c r="CR870" s="9"/>
      <c r="CS870" s="9"/>
      <c r="CT870" s="9"/>
      <c r="CU870" s="9"/>
      <c r="CV870" s="9"/>
      <c r="CW870" s="129"/>
      <c r="CX870" s="9"/>
    </row>
    <row r="871" spans="1:102">
      <c r="A871" s="6" t="str">
        <f t="shared" si="131"/>
        <v>01730740</v>
      </c>
      <c r="B871" s="6" t="s">
        <v>1823</v>
      </c>
      <c r="C871" s="6" t="s">
        <v>2046</v>
      </c>
      <c r="D871" s="6">
        <v>862</v>
      </c>
      <c r="E871" s="6">
        <v>173</v>
      </c>
      <c r="F871" s="6" t="s">
        <v>1291</v>
      </c>
      <c r="G871" s="6">
        <v>740</v>
      </c>
      <c r="H871" s="6" t="s">
        <v>1076</v>
      </c>
      <c r="I871" s="33">
        <v>4415826.4936010586</v>
      </c>
      <c r="J871" s="88">
        <v>0.42742268211749268</v>
      </c>
      <c r="K871" s="89">
        <f t="shared" si="140"/>
        <v>4641262.3422536869</v>
      </c>
      <c r="L871" s="88">
        <f>IF(K874&gt;0, K871/K874, 0)</f>
        <v>0.45513792668673114</v>
      </c>
      <c r="M871" s="58"/>
      <c r="N871" s="9">
        <f>ROUND(M874*L871,0)</f>
        <v>3829041</v>
      </c>
      <c r="O871" s="9">
        <v>3582174</v>
      </c>
      <c r="P871" s="9">
        <f>N871-O871</f>
        <v>246867</v>
      </c>
      <c r="Q871" s="40">
        <f t="shared" si="139"/>
        <v>6.8915412819142787</v>
      </c>
      <c r="R871" s="9">
        <v>329.99999999799002</v>
      </c>
      <c r="S871" s="9">
        <f t="shared" si="137"/>
        <v>330.99999999689999</v>
      </c>
      <c r="T871" s="90">
        <f t="shared" si="132"/>
        <v>173</v>
      </c>
      <c r="U871" s="90">
        <f t="shared" si="133"/>
        <v>740</v>
      </c>
      <c r="V871" s="373">
        <f t="shared" si="134"/>
        <v>862</v>
      </c>
      <c r="W871" s="90">
        <f t="shared" si="135"/>
        <v>330.99999999689999</v>
      </c>
      <c r="X871" s="90">
        <f t="shared" si="136"/>
        <v>4641262.3422536869</v>
      </c>
      <c r="Y871" s="141">
        <f t="shared" si="138"/>
        <v>862</v>
      </c>
      <c r="Z871" s="298">
        <v>173</v>
      </c>
      <c r="AA871" s="299">
        <v>740</v>
      </c>
      <c r="AB871" s="299">
        <v>862</v>
      </c>
      <c r="AC871" s="301">
        <v>330.99999999689999</v>
      </c>
      <c r="AD871" s="301">
        <v>4641262.3422536869</v>
      </c>
      <c r="AE871" s="126"/>
      <c r="AF871" s="298"/>
      <c r="AG871" s="299"/>
      <c r="AH871" s="299"/>
      <c r="AI871" s="301"/>
      <c r="AJ871" s="301"/>
      <c r="AK871" s="426"/>
      <c r="AL871" s="298"/>
      <c r="AM871" s="299"/>
      <c r="AN871" s="299"/>
      <c r="AO871" s="301"/>
      <c r="AP871" s="301"/>
      <c r="AQ871" s="426"/>
      <c r="AR871" s="298"/>
      <c r="AS871" s="299"/>
      <c r="AT871" s="299"/>
      <c r="AU871" s="301"/>
      <c r="AV871" s="301"/>
      <c r="AW871" s="88"/>
      <c r="AX871" s="298"/>
      <c r="AY871" s="299"/>
      <c r="AZ871" s="299"/>
      <c r="BA871" s="301"/>
      <c r="BB871" s="301"/>
      <c r="BC871" s="426"/>
      <c r="BD871" s="298"/>
      <c r="BE871" s="299"/>
      <c r="BF871" s="299"/>
      <c r="BG871" s="301"/>
      <c r="BH871" s="301"/>
      <c r="BI871" s="88"/>
      <c r="BJ871" s="298"/>
      <c r="BK871" s="299"/>
      <c r="BL871" s="299"/>
      <c r="BM871" s="301"/>
      <c r="BN871" s="301"/>
      <c r="BO871" s="88"/>
      <c r="BP871" s="9"/>
      <c r="BS871" s="81"/>
      <c r="BT871" s="81"/>
      <c r="BV871" s="9"/>
      <c r="BY871" s="81"/>
      <c r="BZ871" s="81"/>
      <c r="CB871" s="9"/>
      <c r="CE871" s="81"/>
      <c r="CF871" s="81"/>
      <c r="CH871" s="9"/>
      <c r="CK871" s="81"/>
      <c r="CL871" s="81"/>
      <c r="CR871" s="9"/>
      <c r="CS871" s="9"/>
      <c r="CT871" s="9"/>
      <c r="CU871" s="9"/>
      <c r="CV871" s="9"/>
      <c r="CW871" s="129"/>
      <c r="CX871" s="9"/>
    </row>
    <row r="872" spans="1:102">
      <c r="A872" s="6" t="str">
        <f t="shared" si="131"/>
        <v>01730855</v>
      </c>
      <c r="B872" s="6" t="s">
        <v>1823</v>
      </c>
      <c r="C872" s="6" t="s">
        <v>2079</v>
      </c>
      <c r="D872" s="6">
        <v>863</v>
      </c>
      <c r="E872" s="6">
        <v>173</v>
      </c>
      <c r="F872" s="6" t="s">
        <v>1291</v>
      </c>
      <c r="G872" s="6">
        <v>855</v>
      </c>
      <c r="H872" s="6" t="s">
        <v>1109</v>
      </c>
      <c r="I872" s="33">
        <v>835527.99710663361</v>
      </c>
      <c r="J872" s="88">
        <v>8.087356195382206E-2</v>
      </c>
      <c r="K872" s="89">
        <f t="shared" si="140"/>
        <v>690306.93353878136</v>
      </c>
      <c r="L872" s="88">
        <f>IF(K874&gt;0, K872/K874, 0)</f>
        <v>6.7693839162678168E-2</v>
      </c>
      <c r="M872" s="58"/>
      <c r="N872" s="9">
        <f>ROUND(M874*L872,0)</f>
        <v>569503</v>
      </c>
      <c r="O872" s="9">
        <v>677791</v>
      </c>
      <c r="P872" s="9">
        <f>N872-O872</f>
        <v>-108288</v>
      </c>
      <c r="Q872" s="40">
        <f t="shared" si="139"/>
        <v>-15.976606358007114</v>
      </c>
      <c r="R872" s="9">
        <v>43.00000000112</v>
      </c>
      <c r="S872" s="9">
        <f t="shared" si="137"/>
        <v>34.999999999720004</v>
      </c>
      <c r="T872" s="90">
        <f t="shared" si="132"/>
        <v>173</v>
      </c>
      <c r="U872" s="90">
        <f t="shared" si="133"/>
        <v>855</v>
      </c>
      <c r="V872" s="373">
        <f t="shared" si="134"/>
        <v>863</v>
      </c>
      <c r="W872" s="90">
        <f t="shared" si="135"/>
        <v>34.999999999720004</v>
      </c>
      <c r="X872" s="90">
        <f t="shared" si="136"/>
        <v>690306.93353878136</v>
      </c>
      <c r="Y872" s="141">
        <f t="shared" si="138"/>
        <v>863</v>
      </c>
      <c r="Z872" s="298">
        <v>173</v>
      </c>
      <c r="AA872" s="299">
        <v>855</v>
      </c>
      <c r="AB872" s="299">
        <v>863</v>
      </c>
      <c r="AC872" s="301">
        <v>34.999999999720004</v>
      </c>
      <c r="AD872" s="301">
        <v>690306.93353878136</v>
      </c>
      <c r="AE872" s="126"/>
      <c r="AF872" s="298"/>
      <c r="AG872" s="299"/>
      <c r="AH872" s="299"/>
      <c r="AI872" s="301"/>
      <c r="AJ872" s="301"/>
      <c r="AK872" s="426"/>
      <c r="AL872" s="298"/>
      <c r="AM872" s="299"/>
      <c r="AN872" s="299"/>
      <c r="AO872" s="301"/>
      <c r="AP872" s="301"/>
      <c r="AQ872" s="426"/>
      <c r="AR872" s="298"/>
      <c r="AS872" s="299"/>
      <c r="AT872" s="299"/>
      <c r="AU872" s="301"/>
      <c r="AV872" s="301"/>
      <c r="AW872" s="88"/>
      <c r="AX872" s="298"/>
      <c r="AY872" s="299"/>
      <c r="AZ872" s="299"/>
      <c r="BA872" s="301"/>
      <c r="BB872" s="301"/>
      <c r="BC872" s="426"/>
      <c r="BD872" s="298"/>
      <c r="BE872" s="299"/>
      <c r="BF872" s="299"/>
      <c r="BG872" s="301"/>
      <c r="BH872" s="301"/>
      <c r="BI872" s="88"/>
      <c r="BJ872" s="298"/>
      <c r="BK872" s="299"/>
      <c r="BL872" s="299"/>
      <c r="BM872" s="301"/>
      <c r="BN872" s="301"/>
      <c r="BO872" s="88"/>
      <c r="BP872" s="9"/>
      <c r="BS872" s="81"/>
      <c r="BT872" s="81"/>
      <c r="BV872" s="9"/>
      <c r="BY872" s="81"/>
      <c r="BZ872" s="81"/>
      <c r="CB872" s="9"/>
      <c r="CE872" s="81"/>
      <c r="CF872" s="81"/>
      <c r="CH872" s="9"/>
      <c r="CK872" s="81"/>
      <c r="CL872" s="81"/>
      <c r="CR872" s="9"/>
      <c r="CS872" s="9"/>
      <c r="CT872" s="9"/>
      <c r="CU872" s="9"/>
      <c r="CV872" s="9"/>
      <c r="CW872" s="129"/>
      <c r="CX872" s="9"/>
    </row>
    <row r="873" spans="1:102">
      <c r="A873" s="6" t="str">
        <f t="shared" si="131"/>
        <v>01730998</v>
      </c>
      <c r="B873" s="6" t="s">
        <v>1823</v>
      </c>
      <c r="C873" s="6" t="s">
        <v>2091</v>
      </c>
      <c r="D873" s="6">
        <v>864</v>
      </c>
      <c r="E873" s="6">
        <v>173</v>
      </c>
      <c r="F873" s="6" t="s">
        <v>1547</v>
      </c>
      <c r="G873" s="6">
        <v>998</v>
      </c>
      <c r="H873" s="6" t="s">
        <v>1547</v>
      </c>
      <c r="I873" s="33">
        <v>0</v>
      </c>
      <c r="J873" s="88">
        <v>0</v>
      </c>
      <c r="K873" s="89">
        <f t="shared" si="140"/>
        <v>0</v>
      </c>
      <c r="L873" s="88">
        <f>IF(K874&gt;0, K873/K874, 0)</f>
        <v>0</v>
      </c>
      <c r="M873" s="58"/>
      <c r="N873" s="9">
        <f>ROUND(M874*L873,0)</f>
        <v>0</v>
      </c>
      <c r="O873" s="9">
        <v>0</v>
      </c>
      <c r="P873" s="9">
        <f>N873-O873</f>
        <v>0</v>
      </c>
      <c r="Q873" s="40">
        <f t="shared" si="139"/>
        <v>0</v>
      </c>
      <c r="R873" s="9">
        <v>0</v>
      </c>
      <c r="S873" s="9">
        <f t="shared" si="137"/>
        <v>0</v>
      </c>
      <c r="T873" s="90">
        <f t="shared" si="132"/>
        <v>173</v>
      </c>
      <c r="U873" s="90">
        <f t="shared" si="133"/>
        <v>998</v>
      </c>
      <c r="V873" s="373">
        <f t="shared" si="134"/>
        <v>864</v>
      </c>
      <c r="W873" s="90">
        <f t="shared" si="135"/>
        <v>0</v>
      </c>
      <c r="X873" s="90">
        <f t="shared" si="136"/>
        <v>0</v>
      </c>
      <c r="Y873" s="141">
        <f t="shared" si="138"/>
        <v>864</v>
      </c>
      <c r="Z873" s="298">
        <v>173</v>
      </c>
      <c r="AA873" s="299">
        <v>998</v>
      </c>
      <c r="AB873" s="299">
        <v>864</v>
      </c>
      <c r="AC873" s="301">
        <v>0</v>
      </c>
      <c r="AD873" s="301">
        <v>0</v>
      </c>
      <c r="AE873" s="126"/>
      <c r="AF873" s="298"/>
      <c r="AG873" s="299"/>
      <c r="AH873" s="299"/>
      <c r="AI873" s="301"/>
      <c r="AJ873" s="301"/>
      <c r="AK873" s="426"/>
      <c r="AL873" s="298"/>
      <c r="AM873" s="299"/>
      <c r="AN873" s="299"/>
      <c r="AO873" s="301"/>
      <c r="AP873" s="301"/>
      <c r="AQ873" s="426"/>
      <c r="AR873" s="298"/>
      <c r="AS873" s="299"/>
      <c r="AT873" s="299"/>
      <c r="AU873" s="301"/>
      <c r="AV873" s="301"/>
      <c r="AW873" s="88"/>
      <c r="AX873" s="298"/>
      <c r="AY873" s="299"/>
      <c r="AZ873" s="299"/>
      <c r="BA873" s="301"/>
      <c r="BB873" s="301"/>
      <c r="BC873" s="426"/>
      <c r="BD873" s="298"/>
      <c r="BE873" s="299"/>
      <c r="BF873" s="299"/>
      <c r="BG873" s="301"/>
      <c r="BH873" s="301"/>
      <c r="BI873" s="88"/>
      <c r="BJ873" s="298"/>
      <c r="BK873" s="299"/>
      <c r="BL873" s="299"/>
      <c r="BM873" s="301"/>
      <c r="BN873" s="301"/>
      <c r="BO873" s="88"/>
      <c r="BP873" s="9"/>
      <c r="BS873" s="81"/>
      <c r="BT873" s="81"/>
      <c r="BV873" s="9"/>
      <c r="BY873" s="81"/>
      <c r="BZ873" s="81"/>
      <c r="CB873" s="9"/>
      <c r="CE873" s="81"/>
      <c r="CF873" s="81"/>
      <c r="CH873" s="9"/>
      <c r="CK873" s="81"/>
      <c r="CL873" s="81"/>
      <c r="CR873" s="9"/>
      <c r="CS873" s="9"/>
      <c r="CT873" s="9"/>
      <c r="CU873" s="9"/>
      <c r="CV873" s="9"/>
      <c r="CW873" s="129"/>
      <c r="CX873" s="9"/>
    </row>
    <row r="874" spans="1:102">
      <c r="A874" s="6" t="str">
        <f t="shared" si="131"/>
        <v>01730999</v>
      </c>
      <c r="B874" s="6" t="s">
        <v>1823</v>
      </c>
      <c r="C874" s="6" t="s">
        <v>2092</v>
      </c>
      <c r="D874" s="6">
        <v>865</v>
      </c>
      <c r="E874" s="10">
        <v>173</v>
      </c>
      <c r="F874" s="10" t="s">
        <v>1291</v>
      </c>
      <c r="G874" s="10">
        <v>999</v>
      </c>
      <c r="H874" s="10" t="s">
        <v>593</v>
      </c>
      <c r="I874" s="92">
        <v>10331287.220707692</v>
      </c>
      <c r="J874" s="472">
        <v>1</v>
      </c>
      <c r="K874" s="53">
        <f>SUM(K870:K873)</f>
        <v>10197485.355792468</v>
      </c>
      <c r="L874" s="91">
        <f>SUM(L870:L873)</f>
        <v>0.99999999999999989</v>
      </c>
      <c r="M874" s="79">
        <f>VLOOKUP(E874,town351,24)</f>
        <v>8412925</v>
      </c>
      <c r="N874" s="79">
        <f>SUM(N870:N873)</f>
        <v>8412925</v>
      </c>
      <c r="O874" s="79">
        <v>8380870</v>
      </c>
      <c r="P874" s="79">
        <f>SUM(P870:P873)</f>
        <v>32055</v>
      </c>
      <c r="Q874" s="39">
        <f t="shared" si="139"/>
        <v>0.3824781914049496</v>
      </c>
      <c r="R874" s="9">
        <v>786.99999999911006</v>
      </c>
      <c r="S874" s="9">
        <f t="shared" si="137"/>
        <v>748.99999999661998</v>
      </c>
      <c r="T874" s="90">
        <f t="shared" si="132"/>
        <v>173</v>
      </c>
      <c r="U874" s="90">
        <f t="shared" si="133"/>
        <v>999</v>
      </c>
      <c r="V874" s="373">
        <f t="shared" si="134"/>
        <v>865</v>
      </c>
      <c r="W874" s="90">
        <f t="shared" si="135"/>
        <v>748.99999999661998</v>
      </c>
      <c r="X874" s="90">
        <f t="shared" si="136"/>
        <v>10197485.355792468</v>
      </c>
      <c r="Y874" s="141">
        <f t="shared" si="138"/>
        <v>865</v>
      </c>
      <c r="Z874" s="298">
        <v>173</v>
      </c>
      <c r="AA874" s="299">
        <v>999</v>
      </c>
      <c r="AB874" s="299">
        <v>865</v>
      </c>
      <c r="AC874" s="301">
        <v>748.99999999661998</v>
      </c>
      <c r="AD874" s="301">
        <v>10197485.355792468</v>
      </c>
      <c r="AE874" s="126"/>
      <c r="AF874" s="298"/>
      <c r="AG874" s="299"/>
      <c r="AH874" s="299"/>
      <c r="AI874" s="301"/>
      <c r="AJ874" s="301"/>
      <c r="AK874" s="426"/>
      <c r="AL874" s="298"/>
      <c r="AM874" s="299"/>
      <c r="AN874" s="299"/>
      <c r="AO874" s="301"/>
      <c r="AP874" s="301"/>
      <c r="AQ874" s="426"/>
      <c r="AR874" s="298"/>
      <c r="AS874" s="299"/>
      <c r="AT874" s="299"/>
      <c r="AU874" s="301"/>
      <c r="AV874" s="301"/>
      <c r="AW874" s="91"/>
      <c r="AX874" s="298"/>
      <c r="AY874" s="299"/>
      <c r="AZ874" s="299"/>
      <c r="BA874" s="301"/>
      <c r="BB874" s="301"/>
      <c r="BC874" s="426"/>
      <c r="BD874" s="298"/>
      <c r="BE874" s="299"/>
      <c r="BF874" s="299"/>
      <c r="BG874" s="301"/>
      <c r="BH874" s="301"/>
      <c r="BI874" s="91"/>
      <c r="BJ874" s="298"/>
      <c r="BK874" s="299"/>
      <c r="BL874" s="299"/>
      <c r="BM874" s="301"/>
      <c r="BN874" s="301"/>
      <c r="BO874" s="91"/>
      <c r="BP874" s="9"/>
      <c r="BS874" s="81"/>
      <c r="BT874" s="81"/>
      <c r="BV874" s="9"/>
      <c r="BY874" s="81"/>
      <c r="BZ874" s="81"/>
      <c r="CB874" s="9"/>
      <c r="CE874" s="81"/>
      <c r="CF874" s="81"/>
      <c r="CH874" s="9"/>
      <c r="CK874" s="81"/>
      <c r="CL874" s="81"/>
      <c r="CR874" s="9"/>
      <c r="CS874" s="9"/>
      <c r="CT874" s="9"/>
      <c r="CU874" s="9"/>
      <c r="CV874" s="9"/>
      <c r="CW874" s="129"/>
      <c r="CX874" s="9"/>
    </row>
    <row r="875" spans="1:102">
      <c r="A875" s="6" t="str">
        <f t="shared" si="131"/>
        <v>01740174</v>
      </c>
      <c r="B875" s="6" t="s">
        <v>1824</v>
      </c>
      <c r="C875" s="6" t="s">
        <v>1824</v>
      </c>
      <c r="D875" s="6">
        <v>866</v>
      </c>
      <c r="E875" s="6">
        <v>174</v>
      </c>
      <c r="F875" s="6" t="s">
        <v>1292</v>
      </c>
      <c r="G875" s="6">
        <v>174</v>
      </c>
      <c r="H875" s="6" t="s">
        <v>855</v>
      </c>
      <c r="I875" s="33">
        <v>17768872.032999996</v>
      </c>
      <c r="J875" s="88">
        <v>0.92211170447386404</v>
      </c>
      <c r="K875" s="89">
        <f>X875</f>
        <v>17943402.248780001</v>
      </c>
      <c r="L875" s="88">
        <f>IF(K879&gt;0, K875/K879, 0)</f>
        <v>0.92339318248533142</v>
      </c>
      <c r="M875" s="58"/>
      <c r="N875" s="9">
        <f>ROUND(M879*L875,0)</f>
        <v>12813459</v>
      </c>
      <c r="O875" s="9">
        <v>12105654</v>
      </c>
      <c r="P875" s="9">
        <f>N875-O875</f>
        <v>707805</v>
      </c>
      <c r="Q875" s="40">
        <f t="shared" si="139"/>
        <v>5.8468960041316231</v>
      </c>
      <c r="R875" s="9">
        <v>1240</v>
      </c>
      <c r="S875" s="9">
        <f t="shared" si="137"/>
        <v>1258</v>
      </c>
      <c r="T875" s="90">
        <f t="shared" si="132"/>
        <v>174</v>
      </c>
      <c r="U875" s="90">
        <f t="shared" si="133"/>
        <v>174</v>
      </c>
      <c r="V875" s="373">
        <f t="shared" si="134"/>
        <v>866</v>
      </c>
      <c r="W875" s="90">
        <f t="shared" si="135"/>
        <v>1258</v>
      </c>
      <c r="X875" s="90">
        <f t="shared" si="136"/>
        <v>17943402.248780001</v>
      </c>
      <c r="Y875" s="141">
        <f t="shared" si="138"/>
        <v>866</v>
      </c>
      <c r="Z875" s="298">
        <v>174</v>
      </c>
      <c r="AA875" s="299">
        <v>174</v>
      </c>
      <c r="AB875" s="299">
        <v>866</v>
      </c>
      <c r="AC875" s="301">
        <v>1258</v>
      </c>
      <c r="AD875" s="301">
        <v>17943402.248780001</v>
      </c>
      <c r="AE875" s="126"/>
      <c r="AF875" s="298"/>
      <c r="AG875" s="299"/>
      <c r="AH875" s="299"/>
      <c r="AI875" s="301"/>
      <c r="AJ875" s="301"/>
      <c r="AK875" s="426"/>
      <c r="AL875" s="298"/>
      <c r="AM875" s="299"/>
      <c r="AN875" s="299"/>
      <c r="AO875" s="301"/>
      <c r="AP875" s="301"/>
      <c r="AQ875" s="426"/>
      <c r="AR875" s="298"/>
      <c r="AS875" s="299"/>
      <c r="AT875" s="299"/>
      <c r="AU875" s="301"/>
      <c r="AV875" s="301"/>
      <c r="AW875" s="88"/>
      <c r="AX875" s="298"/>
      <c r="AY875" s="299"/>
      <c r="AZ875" s="299"/>
      <c r="BA875" s="301"/>
      <c r="BB875" s="301"/>
      <c r="BC875" s="426"/>
      <c r="BD875" s="298"/>
      <c r="BE875" s="299"/>
      <c r="BF875" s="299"/>
      <c r="BG875" s="301"/>
      <c r="BH875" s="301"/>
      <c r="BI875" s="88"/>
      <c r="BJ875" s="298"/>
      <c r="BK875" s="299"/>
      <c r="BL875" s="299"/>
      <c r="BM875" s="301"/>
      <c r="BN875" s="301"/>
      <c r="BO875" s="88"/>
      <c r="BP875" s="9"/>
      <c r="BS875" s="81"/>
      <c r="BT875" s="81"/>
      <c r="BV875" s="9"/>
      <c r="BY875" s="81"/>
      <c r="BZ875" s="81"/>
      <c r="CB875" s="9"/>
      <c r="CE875" s="81"/>
      <c r="CF875" s="81"/>
      <c r="CH875" s="9"/>
      <c r="CK875" s="81"/>
      <c r="CL875" s="81"/>
      <c r="CR875" s="9"/>
      <c r="CS875" s="9"/>
      <c r="CT875" s="9"/>
      <c r="CU875" s="9"/>
      <c r="CV875" s="9"/>
      <c r="CW875" s="129"/>
      <c r="CX875" s="9"/>
    </row>
    <row r="876" spans="1:102">
      <c r="A876" s="6" t="str">
        <f t="shared" si="131"/>
        <v>01740801</v>
      </c>
      <c r="B876" s="6" t="s">
        <v>1824</v>
      </c>
      <c r="C876" s="6" t="s">
        <v>2062</v>
      </c>
      <c r="D876" s="6">
        <v>867</v>
      </c>
      <c r="E876" s="6">
        <v>174</v>
      </c>
      <c r="F876" s="6" t="s">
        <v>1292</v>
      </c>
      <c r="G876" s="6">
        <v>801</v>
      </c>
      <c r="H876" s="6" t="s">
        <v>1092</v>
      </c>
      <c r="I876" s="33">
        <v>1500888.8287152452</v>
      </c>
      <c r="J876" s="88">
        <v>7.7888295526135964E-2</v>
      </c>
      <c r="K876" s="89">
        <f t="shared" si="140"/>
        <v>1488625.8288856472</v>
      </c>
      <c r="L876" s="88">
        <f>IF(K879&gt;0, K876/K879, 0)</f>
        <v>7.660681751466851E-2</v>
      </c>
      <c r="M876" s="58"/>
      <c r="N876" s="9">
        <f>ROUND(M879*L876,0)</f>
        <v>1063034</v>
      </c>
      <c r="O876" s="9">
        <v>1022532</v>
      </c>
      <c r="P876" s="9">
        <f>N876-O876</f>
        <v>40502</v>
      </c>
      <c r="Q876" s="40">
        <f t="shared" si="139"/>
        <v>3.9609518332922589</v>
      </c>
      <c r="R876" s="9">
        <v>67.999999996579987</v>
      </c>
      <c r="S876" s="9">
        <f t="shared" si="137"/>
        <v>65.00000000211999</v>
      </c>
      <c r="T876" s="90">
        <f t="shared" si="132"/>
        <v>174</v>
      </c>
      <c r="U876" s="90">
        <f t="shared" si="133"/>
        <v>801</v>
      </c>
      <c r="V876" s="373">
        <f t="shared" si="134"/>
        <v>867</v>
      </c>
      <c r="W876" s="90">
        <f t="shared" si="135"/>
        <v>65.00000000211999</v>
      </c>
      <c r="X876" s="90">
        <f t="shared" si="136"/>
        <v>1488625.8288856472</v>
      </c>
      <c r="Y876" s="141">
        <f t="shared" si="138"/>
        <v>867</v>
      </c>
      <c r="Z876" s="298">
        <v>174</v>
      </c>
      <c r="AA876" s="299">
        <v>801</v>
      </c>
      <c r="AB876" s="299">
        <v>867</v>
      </c>
      <c r="AC876" s="301">
        <v>65.00000000211999</v>
      </c>
      <c r="AD876" s="301">
        <v>1488625.8288856472</v>
      </c>
      <c r="AE876" s="126"/>
      <c r="AF876" s="298"/>
      <c r="AG876" s="299"/>
      <c r="AH876" s="299"/>
      <c r="AI876" s="301"/>
      <c r="AJ876" s="301"/>
      <c r="AK876" s="426"/>
      <c r="AL876" s="298"/>
      <c r="AM876" s="299"/>
      <c r="AN876" s="299"/>
      <c r="AO876" s="301"/>
      <c r="AP876" s="301"/>
      <c r="AQ876" s="426"/>
      <c r="AR876" s="298"/>
      <c r="AS876" s="299"/>
      <c r="AT876" s="299"/>
      <c r="AU876" s="301"/>
      <c r="AV876" s="301"/>
      <c r="AW876" s="88"/>
      <c r="AX876" s="298"/>
      <c r="AY876" s="299"/>
      <c r="AZ876" s="299"/>
      <c r="BA876" s="301"/>
      <c r="BB876" s="301"/>
      <c r="BC876" s="426"/>
      <c r="BD876" s="298"/>
      <c r="BE876" s="299"/>
      <c r="BF876" s="299"/>
      <c r="BG876" s="301"/>
      <c r="BH876" s="301"/>
      <c r="BI876" s="88"/>
      <c r="BJ876" s="298"/>
      <c r="BK876" s="299"/>
      <c r="BL876" s="299"/>
      <c r="BM876" s="301"/>
      <c r="BN876" s="301"/>
      <c r="BO876" s="88"/>
      <c r="BP876" s="9"/>
      <c r="BS876" s="81"/>
      <c r="BT876" s="81"/>
      <c r="BV876" s="9"/>
      <c r="BY876" s="81"/>
      <c r="BZ876" s="81"/>
      <c r="CB876" s="9"/>
      <c r="CE876" s="81"/>
      <c r="CF876" s="81"/>
      <c r="CH876" s="9"/>
      <c r="CK876" s="81"/>
      <c r="CL876" s="81"/>
      <c r="CR876" s="9"/>
      <c r="CS876" s="9"/>
      <c r="CT876" s="9"/>
      <c r="CU876" s="9"/>
      <c r="CV876" s="9"/>
      <c r="CW876" s="129"/>
      <c r="CX876" s="9"/>
    </row>
    <row r="877" spans="1:102">
      <c r="A877" s="6" t="str">
        <f t="shared" si="131"/>
        <v>01740998</v>
      </c>
      <c r="B877" s="6" t="s">
        <v>1824</v>
      </c>
      <c r="C877" s="6" t="s">
        <v>2091</v>
      </c>
      <c r="D877" s="6">
        <v>868</v>
      </c>
      <c r="E877" s="6">
        <v>174</v>
      </c>
      <c r="F877" s="6" t="s">
        <v>1547</v>
      </c>
      <c r="G877" s="6">
        <v>998</v>
      </c>
      <c r="H877" s="6" t="s">
        <v>1547</v>
      </c>
      <c r="I877" s="33">
        <v>0</v>
      </c>
      <c r="J877" s="88">
        <v>0</v>
      </c>
      <c r="K877" s="89">
        <f t="shared" si="140"/>
        <v>0</v>
      </c>
      <c r="L877" s="88">
        <f>IF(K879&gt;0, K877/K879, 0)</f>
        <v>0</v>
      </c>
      <c r="M877" s="58"/>
      <c r="N877" s="9">
        <f>ROUND(M879*L877,0)</f>
        <v>0</v>
      </c>
      <c r="O877" s="9">
        <v>0</v>
      </c>
      <c r="P877" s="9">
        <f>N877-O877</f>
        <v>0</v>
      </c>
      <c r="Q877" s="40">
        <f t="shared" si="139"/>
        <v>0</v>
      </c>
      <c r="R877" s="9">
        <v>0</v>
      </c>
      <c r="S877" s="9">
        <f t="shared" si="137"/>
        <v>0</v>
      </c>
      <c r="T877" s="90">
        <f t="shared" si="132"/>
        <v>174</v>
      </c>
      <c r="U877" s="90">
        <f t="shared" si="133"/>
        <v>998</v>
      </c>
      <c r="V877" s="373">
        <f t="shared" si="134"/>
        <v>868</v>
      </c>
      <c r="W877" s="90">
        <f t="shared" si="135"/>
        <v>0</v>
      </c>
      <c r="X877" s="90">
        <f t="shared" si="136"/>
        <v>0</v>
      </c>
      <c r="Y877" s="141">
        <f t="shared" si="138"/>
        <v>868</v>
      </c>
      <c r="Z877" s="298">
        <v>174</v>
      </c>
      <c r="AA877" s="299">
        <v>998</v>
      </c>
      <c r="AB877" s="299">
        <v>868</v>
      </c>
      <c r="AC877" s="301">
        <v>0</v>
      </c>
      <c r="AD877" s="301">
        <v>0</v>
      </c>
      <c r="AE877" s="126"/>
      <c r="AF877" s="298"/>
      <c r="AG877" s="299"/>
      <c r="AH877" s="299"/>
      <c r="AI877" s="301"/>
      <c r="AJ877" s="301"/>
      <c r="AK877" s="426"/>
      <c r="AL877" s="298"/>
      <c r="AM877" s="299"/>
      <c r="AN877" s="299"/>
      <c r="AO877" s="301"/>
      <c r="AP877" s="301"/>
      <c r="AQ877" s="426"/>
      <c r="AR877" s="298"/>
      <c r="AS877" s="299"/>
      <c r="AT877" s="299"/>
      <c r="AU877" s="301"/>
      <c r="AV877" s="301"/>
      <c r="AW877" s="88"/>
      <c r="AX877" s="298"/>
      <c r="AY877" s="299"/>
      <c r="AZ877" s="299"/>
      <c r="BA877" s="301"/>
      <c r="BB877" s="301"/>
      <c r="BC877" s="426"/>
      <c r="BD877" s="298"/>
      <c r="BE877" s="299"/>
      <c r="BF877" s="299"/>
      <c r="BG877" s="301"/>
      <c r="BH877" s="301"/>
      <c r="BI877" s="88"/>
      <c r="BJ877" s="298"/>
      <c r="BK877" s="299"/>
      <c r="BL877" s="299"/>
      <c r="BM877" s="301"/>
      <c r="BN877" s="301"/>
      <c r="BO877" s="88"/>
      <c r="BP877" s="9"/>
      <c r="BS877" s="81"/>
      <c r="BT877" s="81"/>
      <c r="BV877" s="9"/>
      <c r="BY877" s="81"/>
      <c r="BZ877" s="81"/>
      <c r="CB877" s="9"/>
      <c r="CE877" s="81"/>
      <c r="CF877" s="81"/>
      <c r="CH877" s="9"/>
      <c r="CK877" s="81"/>
      <c r="CL877" s="81"/>
      <c r="CR877" s="9"/>
      <c r="CS877" s="9"/>
      <c r="CT877" s="9"/>
      <c r="CU877" s="9"/>
      <c r="CV877" s="9"/>
      <c r="CW877" s="129"/>
      <c r="CX877" s="9"/>
    </row>
    <row r="878" spans="1:102">
      <c r="A878" s="6" t="str">
        <f t="shared" si="131"/>
        <v>01740998</v>
      </c>
      <c r="B878" s="6" t="s">
        <v>1824</v>
      </c>
      <c r="C878" s="6" t="s">
        <v>2091</v>
      </c>
      <c r="D878" s="6">
        <v>869</v>
      </c>
      <c r="E878" s="6">
        <v>174</v>
      </c>
      <c r="F878" s="6" t="s">
        <v>1547</v>
      </c>
      <c r="G878" s="6">
        <v>998</v>
      </c>
      <c r="H878" s="6" t="s">
        <v>1547</v>
      </c>
      <c r="I878" s="33">
        <v>0</v>
      </c>
      <c r="J878" s="88">
        <v>0</v>
      </c>
      <c r="K878" s="89">
        <f t="shared" si="140"/>
        <v>0</v>
      </c>
      <c r="L878" s="88">
        <f>IF(K879&gt;0, K878/K879, 0)</f>
        <v>0</v>
      </c>
      <c r="M878" s="58"/>
      <c r="N878" s="9">
        <f>ROUND(M879*L878,0)</f>
        <v>0</v>
      </c>
      <c r="O878" s="9">
        <v>0</v>
      </c>
      <c r="P878" s="9">
        <f>N878-O878</f>
        <v>0</v>
      </c>
      <c r="Q878" s="40">
        <f t="shared" si="139"/>
        <v>0</v>
      </c>
      <c r="R878" s="9">
        <v>0</v>
      </c>
      <c r="S878" s="9">
        <f t="shared" si="137"/>
        <v>0</v>
      </c>
      <c r="T878" s="90">
        <f t="shared" si="132"/>
        <v>174</v>
      </c>
      <c r="U878" s="90">
        <f t="shared" si="133"/>
        <v>998</v>
      </c>
      <c r="V878" s="373">
        <f t="shared" si="134"/>
        <v>869</v>
      </c>
      <c r="W878" s="90">
        <f t="shared" si="135"/>
        <v>0</v>
      </c>
      <c r="X878" s="90">
        <f t="shared" si="136"/>
        <v>0</v>
      </c>
      <c r="Y878" s="141">
        <f t="shared" si="138"/>
        <v>869</v>
      </c>
      <c r="Z878" s="298">
        <v>174</v>
      </c>
      <c r="AA878" s="299">
        <v>998</v>
      </c>
      <c r="AB878" s="299">
        <v>869</v>
      </c>
      <c r="AC878" s="301">
        <v>0</v>
      </c>
      <c r="AD878" s="301">
        <v>0</v>
      </c>
      <c r="AE878" s="126"/>
      <c r="AF878" s="298"/>
      <c r="AG878" s="299"/>
      <c r="AH878" s="299"/>
      <c r="AI878" s="301"/>
      <c r="AJ878" s="301"/>
      <c r="AK878" s="426"/>
      <c r="AL878" s="298"/>
      <c r="AM878" s="299"/>
      <c r="AN878" s="299"/>
      <c r="AO878" s="301"/>
      <c r="AP878" s="301"/>
      <c r="AQ878" s="426"/>
      <c r="AR878" s="298"/>
      <c r="AS878" s="299"/>
      <c r="AT878" s="299"/>
      <c r="AU878" s="301"/>
      <c r="AV878" s="301"/>
      <c r="AW878" s="88"/>
      <c r="AX878" s="298"/>
      <c r="AY878" s="299"/>
      <c r="AZ878" s="299"/>
      <c r="BA878" s="301"/>
      <c r="BB878" s="301"/>
      <c r="BC878" s="426"/>
      <c r="BD878" s="298"/>
      <c r="BE878" s="299"/>
      <c r="BF878" s="299"/>
      <c r="BG878" s="301"/>
      <c r="BH878" s="301"/>
      <c r="BI878" s="88"/>
      <c r="BJ878" s="298"/>
      <c r="BK878" s="299"/>
      <c r="BL878" s="299"/>
      <c r="BM878" s="301"/>
      <c r="BN878" s="301"/>
      <c r="BO878" s="88"/>
      <c r="BP878" s="9"/>
      <c r="BS878" s="81"/>
      <c r="BT878" s="81"/>
      <c r="BV878" s="9"/>
      <c r="BY878" s="81"/>
      <c r="BZ878" s="81"/>
      <c r="CB878" s="9"/>
      <c r="CE878" s="81"/>
      <c r="CF878" s="81"/>
      <c r="CH878" s="9"/>
      <c r="CK878" s="81"/>
      <c r="CL878" s="81"/>
      <c r="CR878" s="9"/>
      <c r="CS878" s="9"/>
      <c r="CT878" s="9"/>
      <c r="CU878" s="9"/>
      <c r="CV878" s="9"/>
      <c r="CW878" s="129"/>
      <c r="CX878" s="9"/>
    </row>
    <row r="879" spans="1:102">
      <c r="A879" s="6" t="str">
        <f t="shared" si="131"/>
        <v>01740999</v>
      </c>
      <c r="B879" s="6" t="s">
        <v>1824</v>
      </c>
      <c r="C879" s="6" t="s">
        <v>2092</v>
      </c>
      <c r="D879" s="6">
        <v>870</v>
      </c>
      <c r="E879" s="10">
        <v>174</v>
      </c>
      <c r="F879" s="10" t="s">
        <v>1292</v>
      </c>
      <c r="G879" s="10">
        <v>999</v>
      </c>
      <c r="H879" s="10" t="s">
        <v>593</v>
      </c>
      <c r="I879" s="92">
        <v>19269760.861715242</v>
      </c>
      <c r="J879" s="472">
        <v>1</v>
      </c>
      <c r="K879" s="53">
        <f>SUM(K875:K878)</f>
        <v>19432028.077665649</v>
      </c>
      <c r="L879" s="91">
        <f>SUM(L875:L878)</f>
        <v>0.99999999999999989</v>
      </c>
      <c r="M879" s="79">
        <f>VLOOKUP(E879,town351,24)</f>
        <v>13876493</v>
      </c>
      <c r="N879" s="79">
        <f>SUM(N875:N878)</f>
        <v>13876493</v>
      </c>
      <c r="O879" s="79">
        <v>13128186</v>
      </c>
      <c r="P879" s="79">
        <f>SUM(P875:P878)</f>
        <v>748307</v>
      </c>
      <c r="Q879" s="39">
        <f t="shared" si="139"/>
        <v>5.7000030316450419</v>
      </c>
      <c r="R879" s="9">
        <v>1307.9999999965801</v>
      </c>
      <c r="S879" s="9">
        <f t="shared" si="137"/>
        <v>1323.00000000212</v>
      </c>
      <c r="T879" s="90">
        <f t="shared" si="132"/>
        <v>174</v>
      </c>
      <c r="U879" s="90">
        <f t="shared" si="133"/>
        <v>999</v>
      </c>
      <c r="V879" s="373">
        <f t="shared" si="134"/>
        <v>870</v>
      </c>
      <c r="W879" s="90">
        <f t="shared" si="135"/>
        <v>1323.00000000212</v>
      </c>
      <c r="X879" s="90">
        <f t="shared" si="136"/>
        <v>19432028.077665649</v>
      </c>
      <c r="Y879" s="141">
        <f t="shared" si="138"/>
        <v>870</v>
      </c>
      <c r="Z879" s="298">
        <v>174</v>
      </c>
      <c r="AA879" s="299">
        <v>999</v>
      </c>
      <c r="AB879" s="299">
        <v>870</v>
      </c>
      <c r="AC879" s="301">
        <v>1323.00000000212</v>
      </c>
      <c r="AD879" s="301">
        <v>19432028.077665649</v>
      </c>
      <c r="AE879" s="126"/>
      <c r="AF879" s="298"/>
      <c r="AG879" s="299"/>
      <c r="AH879" s="299"/>
      <c r="AI879" s="301"/>
      <c r="AJ879" s="301"/>
      <c r="AK879" s="426"/>
      <c r="AL879" s="298"/>
      <c r="AM879" s="299"/>
      <c r="AN879" s="299"/>
      <c r="AO879" s="301"/>
      <c r="AP879" s="301"/>
      <c r="AQ879" s="426"/>
      <c r="AR879" s="298"/>
      <c r="AS879" s="299"/>
      <c r="AT879" s="299"/>
      <c r="AU879" s="301"/>
      <c r="AV879" s="301"/>
      <c r="AW879" s="91"/>
      <c r="AX879" s="298"/>
      <c r="AY879" s="299"/>
      <c r="AZ879" s="299"/>
      <c r="BA879" s="301"/>
      <c r="BB879" s="301"/>
      <c r="BC879" s="426"/>
      <c r="BD879" s="298"/>
      <c r="BE879" s="299"/>
      <c r="BF879" s="299"/>
      <c r="BG879" s="301"/>
      <c r="BH879" s="301"/>
      <c r="BI879" s="91"/>
      <c r="BJ879" s="298"/>
      <c r="BK879" s="299"/>
      <c r="BL879" s="299"/>
      <c r="BM879" s="301"/>
      <c r="BN879" s="301"/>
      <c r="BO879" s="91"/>
      <c r="BP879" s="9"/>
      <c r="BS879" s="81"/>
      <c r="BT879" s="81"/>
      <c r="BV879" s="9"/>
      <c r="BY879" s="81"/>
      <c r="BZ879" s="81"/>
      <c r="CB879" s="9"/>
      <c r="CE879" s="81"/>
      <c r="CF879" s="81"/>
      <c r="CH879" s="9"/>
      <c r="CK879" s="81"/>
      <c r="CL879" s="81"/>
      <c r="CR879" s="9"/>
      <c r="CS879" s="9"/>
      <c r="CT879" s="9"/>
      <c r="CU879" s="9"/>
      <c r="CV879" s="9"/>
      <c r="CW879" s="129"/>
      <c r="CX879" s="9"/>
    </row>
    <row r="880" spans="1:102">
      <c r="A880" s="6" t="str">
        <f t="shared" si="131"/>
        <v>01750175</v>
      </c>
      <c r="B880" s="6" t="s">
        <v>1825</v>
      </c>
      <c r="C880" s="6" t="s">
        <v>1825</v>
      </c>
      <c r="D880" s="6">
        <v>871</v>
      </c>
      <c r="E880" s="6">
        <v>175</v>
      </c>
      <c r="F880" s="6" t="s">
        <v>1293</v>
      </c>
      <c r="G880" s="6">
        <v>175</v>
      </c>
      <c r="H880" s="6" t="s">
        <v>856</v>
      </c>
      <c r="I880" s="33">
        <v>29777088.9976</v>
      </c>
      <c r="J880" s="88">
        <v>0.99302538520940464</v>
      </c>
      <c r="K880" s="89">
        <f>X880</f>
        <v>29971700.2535</v>
      </c>
      <c r="L880" s="88">
        <f>IF(K884&gt;0, K880/K884, 0)</f>
        <v>0.99296152533123816</v>
      </c>
      <c r="M880" s="58"/>
      <c r="N880" s="9">
        <f>ROUND(M884*L880,0)</f>
        <v>24726652</v>
      </c>
      <c r="O880" s="9">
        <v>23849002</v>
      </c>
      <c r="P880" s="9">
        <f>N880-O880</f>
        <v>877650</v>
      </c>
      <c r="Q880" s="40">
        <f t="shared" si="139"/>
        <v>3.6800282041152079</v>
      </c>
      <c r="R880" s="9">
        <v>2427</v>
      </c>
      <c r="S880" s="9">
        <f t="shared" si="137"/>
        <v>2371</v>
      </c>
      <c r="T880" s="90">
        <f t="shared" si="132"/>
        <v>175</v>
      </c>
      <c r="U880" s="90">
        <f t="shared" si="133"/>
        <v>175</v>
      </c>
      <c r="V880" s="373">
        <f t="shared" si="134"/>
        <v>871</v>
      </c>
      <c r="W880" s="90">
        <f t="shared" si="135"/>
        <v>2371</v>
      </c>
      <c r="X880" s="90">
        <f t="shared" si="136"/>
        <v>29971700.2535</v>
      </c>
      <c r="Y880" s="141">
        <f t="shared" si="138"/>
        <v>871</v>
      </c>
      <c r="Z880" s="298">
        <v>175</v>
      </c>
      <c r="AA880" s="299">
        <v>175</v>
      </c>
      <c r="AB880" s="299">
        <v>871</v>
      </c>
      <c r="AC880" s="301">
        <v>2371</v>
      </c>
      <c r="AD880" s="301">
        <v>29971700.2535</v>
      </c>
      <c r="AE880" s="126"/>
      <c r="AF880" s="298"/>
      <c r="AG880" s="299"/>
      <c r="AH880" s="299"/>
      <c r="AI880" s="301"/>
      <c r="AJ880" s="301"/>
      <c r="AK880" s="426"/>
      <c r="AL880" s="298"/>
      <c r="AM880" s="299"/>
      <c r="AN880" s="299"/>
      <c r="AO880" s="301"/>
      <c r="AP880" s="301"/>
      <c r="AQ880" s="426"/>
      <c r="AR880" s="298"/>
      <c r="AS880" s="299"/>
      <c r="AT880" s="299"/>
      <c r="AU880" s="301"/>
      <c r="AV880" s="301"/>
      <c r="AW880" s="88"/>
      <c r="AX880" s="298"/>
      <c r="AY880" s="299"/>
      <c r="AZ880" s="299"/>
      <c r="BA880" s="301"/>
      <c r="BB880" s="301"/>
      <c r="BC880" s="426"/>
      <c r="BD880" s="298"/>
      <c r="BE880" s="299"/>
      <c r="BF880" s="299"/>
      <c r="BG880" s="301"/>
      <c r="BH880" s="301"/>
      <c r="BI880" s="88"/>
      <c r="BJ880" s="298"/>
      <c r="BK880" s="299"/>
      <c r="BL880" s="299"/>
      <c r="BM880" s="301"/>
      <c r="BN880" s="301"/>
      <c r="BO880" s="88"/>
      <c r="BP880" s="9"/>
      <c r="BS880" s="81"/>
      <c r="BT880" s="81"/>
      <c r="BV880" s="9"/>
      <c r="BY880" s="81"/>
      <c r="BZ880" s="81"/>
      <c r="CB880" s="9"/>
      <c r="CE880" s="81"/>
      <c r="CF880" s="81"/>
      <c r="CH880" s="9"/>
      <c r="CK880" s="81"/>
      <c r="CL880" s="81"/>
      <c r="CR880" s="9"/>
      <c r="CS880" s="9"/>
      <c r="CT880" s="9"/>
      <c r="CU880" s="9"/>
      <c r="CV880" s="9"/>
      <c r="CW880" s="129"/>
      <c r="CX880" s="9"/>
    </row>
    <row r="881" spans="1:102">
      <c r="A881" s="6" t="str">
        <f t="shared" si="131"/>
        <v>01750878</v>
      </c>
      <c r="B881" s="6" t="s">
        <v>1825</v>
      </c>
      <c r="C881" s="6" t="s">
        <v>2085</v>
      </c>
      <c r="D881" s="6">
        <v>872</v>
      </c>
      <c r="E881" s="6">
        <v>175</v>
      </c>
      <c r="F881" s="6" t="s">
        <v>1293</v>
      </c>
      <c r="G881" s="6">
        <v>878</v>
      </c>
      <c r="H881" s="6" t="s">
        <v>1115</v>
      </c>
      <c r="I881" s="33">
        <v>123035.68129326899</v>
      </c>
      <c r="J881" s="88">
        <v>4.1030724937752431E-3</v>
      </c>
      <c r="K881" s="89">
        <f t="shared" si="140"/>
        <v>146378.46400355324</v>
      </c>
      <c r="L881" s="88">
        <f>IF(K884&gt;0, K881/K884, 0)</f>
        <v>4.8495140970735776E-3</v>
      </c>
      <c r="M881" s="58"/>
      <c r="N881" s="9">
        <f>ROUND(M884*L881,0)</f>
        <v>120762</v>
      </c>
      <c r="O881" s="9">
        <v>98541</v>
      </c>
      <c r="P881" s="9">
        <f>N881-O881</f>
        <v>22221</v>
      </c>
      <c r="Q881" s="40">
        <f t="shared" si="139"/>
        <v>22.550004566627088</v>
      </c>
      <c r="R881" s="9">
        <v>6.0000000005</v>
      </c>
      <c r="S881" s="9">
        <f t="shared" si="137"/>
        <v>7.0000000029600002</v>
      </c>
      <c r="T881" s="90">
        <f t="shared" si="132"/>
        <v>175</v>
      </c>
      <c r="U881" s="90">
        <f t="shared" si="133"/>
        <v>878</v>
      </c>
      <c r="V881" s="373">
        <f t="shared" si="134"/>
        <v>872</v>
      </c>
      <c r="W881" s="90">
        <f t="shared" si="135"/>
        <v>7.0000000029600002</v>
      </c>
      <c r="X881" s="90">
        <f t="shared" si="136"/>
        <v>146378.46400355324</v>
      </c>
      <c r="Y881" s="141">
        <f t="shared" si="138"/>
        <v>872</v>
      </c>
      <c r="Z881" s="298">
        <v>175</v>
      </c>
      <c r="AA881" s="299">
        <v>878</v>
      </c>
      <c r="AB881" s="299">
        <v>872</v>
      </c>
      <c r="AC881" s="301">
        <v>7.0000000029600002</v>
      </c>
      <c r="AD881" s="301">
        <v>146378.46400355324</v>
      </c>
      <c r="AE881" s="126"/>
      <c r="AF881" s="298"/>
      <c r="AG881" s="299"/>
      <c r="AH881" s="299"/>
      <c r="AI881" s="301"/>
      <c r="AJ881" s="301"/>
      <c r="AK881" s="426"/>
      <c r="AL881" s="298"/>
      <c r="AM881" s="299"/>
      <c r="AN881" s="299"/>
      <c r="AO881" s="301"/>
      <c r="AP881" s="301"/>
      <c r="AQ881" s="426"/>
      <c r="AR881" s="298"/>
      <c r="AS881" s="299"/>
      <c r="AT881" s="299"/>
      <c r="AU881" s="301"/>
      <c r="AV881" s="301"/>
      <c r="AW881" s="88"/>
      <c r="AX881" s="298"/>
      <c r="AY881" s="299"/>
      <c r="AZ881" s="299"/>
      <c r="BA881" s="301"/>
      <c r="BB881" s="301"/>
      <c r="BC881" s="426"/>
      <c r="BD881" s="298"/>
      <c r="BE881" s="299"/>
      <c r="BF881" s="299"/>
      <c r="BG881" s="301"/>
      <c r="BH881" s="301"/>
      <c r="BI881" s="88"/>
      <c r="BJ881" s="298"/>
      <c r="BK881" s="299"/>
      <c r="BL881" s="299"/>
      <c r="BM881" s="301"/>
      <c r="BN881" s="301"/>
      <c r="BO881" s="88"/>
      <c r="BP881" s="9"/>
      <c r="BS881" s="81"/>
      <c r="BT881" s="81"/>
      <c r="BV881" s="9"/>
      <c r="BY881" s="81"/>
      <c r="BZ881" s="81"/>
      <c r="CB881" s="9"/>
      <c r="CE881" s="81"/>
      <c r="CF881" s="81"/>
      <c r="CH881" s="9"/>
      <c r="CK881" s="81"/>
      <c r="CL881" s="81"/>
      <c r="CR881" s="9"/>
      <c r="CS881" s="9"/>
      <c r="CT881" s="9"/>
      <c r="CU881" s="9"/>
      <c r="CV881" s="9"/>
      <c r="CW881" s="129"/>
      <c r="CX881" s="9"/>
    </row>
    <row r="882" spans="1:102">
      <c r="A882" s="6" t="str">
        <f t="shared" si="131"/>
        <v>01750915</v>
      </c>
      <c r="B882" s="6" t="s">
        <v>1825</v>
      </c>
      <c r="C882" s="6" t="s">
        <v>2089</v>
      </c>
      <c r="D882" s="6">
        <v>873</v>
      </c>
      <c r="E882" s="6">
        <v>175</v>
      </c>
      <c r="F882" s="6" t="s">
        <v>1293</v>
      </c>
      <c r="G882" s="6">
        <v>915</v>
      </c>
      <c r="H882" s="6" t="s">
        <v>1119</v>
      </c>
      <c r="I882" s="33">
        <v>86106.731818094282</v>
      </c>
      <c r="J882" s="88">
        <v>2.8715422968201383E-3</v>
      </c>
      <c r="K882" s="89">
        <f t="shared" si="140"/>
        <v>66071.915625820518</v>
      </c>
      <c r="L882" s="88">
        <f>IF(K884&gt;0, K882/K884, 0)</f>
        <v>2.1889605716882963E-3</v>
      </c>
      <c r="M882" s="58"/>
      <c r="N882" s="9">
        <f>ROUND(M884*L882,0)</f>
        <v>54509</v>
      </c>
      <c r="O882" s="9">
        <v>68964</v>
      </c>
      <c r="P882" s="9">
        <f>N882-O882</f>
        <v>-14455</v>
      </c>
      <c r="Q882" s="40">
        <f t="shared" si="139"/>
        <v>-20.960211124644744</v>
      </c>
      <c r="R882" s="9">
        <v>4.00000000004</v>
      </c>
      <c r="S882" s="9">
        <f t="shared" si="137"/>
        <v>2.9999999991199999</v>
      </c>
      <c r="T882" s="90">
        <f t="shared" si="132"/>
        <v>175</v>
      </c>
      <c r="U882" s="90">
        <f t="shared" si="133"/>
        <v>915</v>
      </c>
      <c r="V882" s="373">
        <f t="shared" si="134"/>
        <v>873</v>
      </c>
      <c r="W882" s="90">
        <f t="shared" si="135"/>
        <v>2.9999999991199999</v>
      </c>
      <c r="X882" s="90">
        <f t="shared" si="136"/>
        <v>66071.915625820518</v>
      </c>
      <c r="Y882" s="141">
        <f t="shared" si="138"/>
        <v>873</v>
      </c>
      <c r="Z882" s="298">
        <v>175</v>
      </c>
      <c r="AA882" s="299">
        <v>915</v>
      </c>
      <c r="AB882" s="299">
        <v>873</v>
      </c>
      <c r="AC882" s="301">
        <v>2.9999999991199999</v>
      </c>
      <c r="AD882" s="301">
        <v>66071.915625820518</v>
      </c>
      <c r="AE882" s="126"/>
      <c r="AF882" s="298"/>
      <c r="AG882" s="299"/>
      <c r="AH882" s="299"/>
      <c r="AI882" s="301"/>
      <c r="AJ882" s="301"/>
      <c r="AK882" s="426"/>
      <c r="AL882" s="298"/>
      <c r="AM882" s="299"/>
      <c r="AN882" s="299"/>
      <c r="AO882" s="301"/>
      <c r="AP882" s="301"/>
      <c r="AQ882" s="426"/>
      <c r="AR882" s="298"/>
      <c r="AS882" s="299"/>
      <c r="AT882" s="299"/>
      <c r="AU882" s="301"/>
      <c r="AV882" s="301"/>
      <c r="AW882" s="88"/>
      <c r="AX882" s="298"/>
      <c r="AY882" s="299"/>
      <c r="AZ882" s="299"/>
      <c r="BA882" s="301"/>
      <c r="BB882" s="301"/>
      <c r="BC882" s="426"/>
      <c r="BD882" s="298"/>
      <c r="BE882" s="299"/>
      <c r="BF882" s="299"/>
      <c r="BG882" s="301"/>
      <c r="BH882" s="301"/>
      <c r="BI882" s="88"/>
      <c r="BJ882" s="298"/>
      <c r="BK882" s="299"/>
      <c r="BL882" s="299"/>
      <c r="BM882" s="301"/>
      <c r="BN882" s="301"/>
      <c r="BO882" s="88"/>
      <c r="BP882" s="9"/>
      <c r="BS882" s="81"/>
      <c r="BT882" s="81"/>
      <c r="BV882" s="9"/>
      <c r="BY882" s="81"/>
      <c r="BZ882" s="81"/>
      <c r="CB882" s="9"/>
      <c r="CE882" s="81"/>
      <c r="CF882" s="81"/>
      <c r="CH882" s="9"/>
      <c r="CK882" s="81"/>
      <c r="CL882" s="81"/>
      <c r="CR882" s="9"/>
      <c r="CS882" s="9"/>
      <c r="CT882" s="9"/>
      <c r="CU882" s="9"/>
      <c r="CV882" s="9"/>
      <c r="CW882" s="129"/>
      <c r="CX882" s="9"/>
    </row>
    <row r="883" spans="1:102">
      <c r="A883" s="6" t="str">
        <f t="shared" si="131"/>
        <v>01750998</v>
      </c>
      <c r="B883" s="6" t="s">
        <v>1825</v>
      </c>
      <c r="C883" s="6" t="s">
        <v>2091</v>
      </c>
      <c r="D883" s="6">
        <v>874</v>
      </c>
      <c r="E883" s="6">
        <v>175</v>
      </c>
      <c r="F883" s="6" t="s">
        <v>1547</v>
      </c>
      <c r="G883" s="6">
        <v>998</v>
      </c>
      <c r="H883" s="6" t="s">
        <v>1547</v>
      </c>
      <c r="I883" s="33">
        <v>0</v>
      </c>
      <c r="J883" s="88">
        <v>0</v>
      </c>
      <c r="K883" s="89">
        <f t="shared" si="140"/>
        <v>0</v>
      </c>
      <c r="L883" s="88">
        <f>IF(K884&gt;0, K883/K884, 0)</f>
        <v>0</v>
      </c>
      <c r="M883" s="58"/>
      <c r="N883" s="9">
        <f>ROUND(M884*L883,0)</f>
        <v>0</v>
      </c>
      <c r="O883" s="9">
        <v>0</v>
      </c>
      <c r="P883" s="9">
        <f>N883-O883</f>
        <v>0</v>
      </c>
      <c r="Q883" s="40">
        <f t="shared" si="139"/>
        <v>0</v>
      </c>
      <c r="R883" s="9">
        <v>0</v>
      </c>
      <c r="S883" s="9">
        <f t="shared" si="137"/>
        <v>0</v>
      </c>
      <c r="T883" s="90">
        <f t="shared" si="132"/>
        <v>175</v>
      </c>
      <c r="U883" s="90">
        <f t="shared" si="133"/>
        <v>998</v>
      </c>
      <c r="V883" s="373">
        <f t="shared" si="134"/>
        <v>874</v>
      </c>
      <c r="W883" s="90">
        <f t="shared" si="135"/>
        <v>0</v>
      </c>
      <c r="X883" s="90">
        <f t="shared" si="136"/>
        <v>0</v>
      </c>
      <c r="Y883" s="141">
        <f t="shared" si="138"/>
        <v>874</v>
      </c>
      <c r="Z883" s="298">
        <v>175</v>
      </c>
      <c r="AA883" s="299">
        <v>998</v>
      </c>
      <c r="AB883" s="299">
        <v>874</v>
      </c>
      <c r="AC883" s="301">
        <v>0</v>
      </c>
      <c r="AD883" s="301">
        <v>0</v>
      </c>
      <c r="AE883" s="126"/>
      <c r="AF883" s="298"/>
      <c r="AG883" s="299"/>
      <c r="AH883" s="299"/>
      <c r="AI883" s="301"/>
      <c r="AJ883" s="301"/>
      <c r="AK883" s="426"/>
      <c r="AL883" s="298"/>
      <c r="AM883" s="299"/>
      <c r="AN883" s="299"/>
      <c r="AO883" s="301"/>
      <c r="AP883" s="301"/>
      <c r="AQ883" s="426"/>
      <c r="AR883" s="298"/>
      <c r="AS883" s="299"/>
      <c r="AT883" s="299"/>
      <c r="AU883" s="301"/>
      <c r="AV883" s="301"/>
      <c r="AW883" s="88"/>
      <c r="AX883" s="298"/>
      <c r="AY883" s="299"/>
      <c r="AZ883" s="299"/>
      <c r="BA883" s="301"/>
      <c r="BB883" s="301"/>
      <c r="BC883" s="426"/>
      <c r="BD883" s="298"/>
      <c r="BE883" s="299"/>
      <c r="BF883" s="299"/>
      <c r="BG883" s="301"/>
      <c r="BH883" s="301"/>
      <c r="BI883" s="88"/>
      <c r="BJ883" s="298"/>
      <c r="BK883" s="299"/>
      <c r="BL883" s="299"/>
      <c r="BM883" s="301"/>
      <c r="BN883" s="301"/>
      <c r="BO883" s="88"/>
      <c r="BP883" s="9"/>
      <c r="BS883" s="81"/>
      <c r="BT883" s="81"/>
      <c r="BV883" s="9"/>
      <c r="BY883" s="81"/>
      <c r="BZ883" s="81"/>
      <c r="CB883" s="9"/>
      <c r="CE883" s="81"/>
      <c r="CF883" s="81"/>
      <c r="CH883" s="9"/>
      <c r="CK883" s="81"/>
      <c r="CL883" s="81"/>
      <c r="CR883" s="9"/>
      <c r="CS883" s="9"/>
      <c r="CT883" s="9"/>
      <c r="CU883" s="9"/>
      <c r="CV883" s="9"/>
      <c r="CW883" s="129"/>
      <c r="CX883" s="9"/>
    </row>
    <row r="884" spans="1:102">
      <c r="A884" s="6" t="str">
        <f t="shared" si="131"/>
        <v>01750999</v>
      </c>
      <c r="B884" s="6" t="s">
        <v>1825</v>
      </c>
      <c r="C884" s="6" t="s">
        <v>2092</v>
      </c>
      <c r="D884" s="6">
        <v>875</v>
      </c>
      <c r="E884" s="10">
        <v>175</v>
      </c>
      <c r="F884" s="10" t="s">
        <v>1293</v>
      </c>
      <c r="G884" s="10">
        <v>999</v>
      </c>
      <c r="H884" s="10" t="s">
        <v>593</v>
      </c>
      <c r="I884" s="92">
        <v>29986231.410711363</v>
      </c>
      <c r="J884" s="472">
        <v>1</v>
      </c>
      <c r="K884" s="53">
        <f>SUM(K880:K883)</f>
        <v>30184150.633129373</v>
      </c>
      <c r="L884" s="91">
        <f>SUM(L880:L883)</f>
        <v>1</v>
      </c>
      <c r="M884" s="79">
        <f>VLOOKUP(E884,town351,24)</f>
        <v>24901924</v>
      </c>
      <c r="N884" s="79">
        <f>SUM(N880:N883)</f>
        <v>24901923</v>
      </c>
      <c r="O884" s="79">
        <v>24016507</v>
      </c>
      <c r="P884" s="79">
        <f>SUM(P880:P883)</f>
        <v>885416</v>
      </c>
      <c r="Q884" s="39">
        <f t="shared" si="139"/>
        <v>3.6866976534097984</v>
      </c>
      <c r="R884" s="9">
        <v>2437.0000000005402</v>
      </c>
      <c r="S884" s="9">
        <f t="shared" si="137"/>
        <v>2381.00000000208</v>
      </c>
      <c r="T884" s="90">
        <f t="shared" si="132"/>
        <v>175</v>
      </c>
      <c r="U884" s="90">
        <f t="shared" si="133"/>
        <v>999</v>
      </c>
      <c r="V884" s="373">
        <f t="shared" si="134"/>
        <v>875</v>
      </c>
      <c r="W884" s="90">
        <f t="shared" si="135"/>
        <v>2381.00000000208</v>
      </c>
      <c r="X884" s="90">
        <f t="shared" si="136"/>
        <v>30184150.633129373</v>
      </c>
      <c r="Y884" s="141">
        <f t="shared" si="138"/>
        <v>875</v>
      </c>
      <c r="Z884" s="298">
        <v>175</v>
      </c>
      <c r="AA884" s="299">
        <v>999</v>
      </c>
      <c r="AB884" s="299">
        <v>875</v>
      </c>
      <c r="AC884" s="301">
        <v>2381.00000000208</v>
      </c>
      <c r="AD884" s="301">
        <v>30184150.633129373</v>
      </c>
      <c r="AE884" s="126"/>
      <c r="AF884" s="298"/>
      <c r="AG884" s="299"/>
      <c r="AH884" s="299"/>
      <c r="AI884" s="301"/>
      <c r="AJ884" s="301"/>
      <c r="AK884" s="426"/>
      <c r="AL884" s="298"/>
      <c r="AM884" s="299"/>
      <c r="AN884" s="299"/>
      <c r="AO884" s="301"/>
      <c r="AP884" s="301"/>
      <c r="AQ884" s="426"/>
      <c r="AR884" s="298"/>
      <c r="AS884" s="299"/>
      <c r="AT884" s="299"/>
      <c r="AU884" s="301"/>
      <c r="AV884" s="301"/>
      <c r="AW884" s="91"/>
      <c r="AX884" s="298"/>
      <c r="AY884" s="299"/>
      <c r="AZ884" s="299"/>
      <c r="BA884" s="301"/>
      <c r="BB884" s="301"/>
      <c r="BC884" s="426"/>
      <c r="BD884" s="298"/>
      <c r="BE884" s="299"/>
      <c r="BF884" s="299"/>
      <c r="BG884" s="301"/>
      <c r="BH884" s="301"/>
      <c r="BI884" s="91"/>
      <c r="BJ884" s="298"/>
      <c r="BK884" s="299"/>
      <c r="BL884" s="299"/>
      <c r="BM884" s="301"/>
      <c r="BN884" s="301"/>
      <c r="BO884" s="91"/>
      <c r="BP884" s="9"/>
      <c r="BS884" s="81"/>
      <c r="BT884" s="81"/>
      <c r="BV884" s="9"/>
      <c r="BY884" s="81"/>
      <c r="BZ884" s="81"/>
      <c r="CB884" s="9"/>
      <c r="CE884" s="81"/>
      <c r="CF884" s="81"/>
      <c r="CH884" s="9"/>
      <c r="CK884" s="81"/>
      <c r="CL884" s="81"/>
      <c r="CR884" s="9"/>
      <c r="CS884" s="9"/>
      <c r="CT884" s="9"/>
      <c r="CU884" s="9"/>
      <c r="CV884" s="9"/>
      <c r="CW884" s="129"/>
      <c r="CX884" s="9"/>
    </row>
    <row r="885" spans="1:102">
      <c r="A885" s="6" t="str">
        <f t="shared" si="131"/>
        <v>01760176</v>
      </c>
      <c r="B885" s="6" t="s">
        <v>1826</v>
      </c>
      <c r="C885" s="6" t="s">
        <v>1826</v>
      </c>
      <c r="D885" s="6">
        <v>876</v>
      </c>
      <c r="E885" s="6">
        <v>176</v>
      </c>
      <c r="F885" s="6" t="s">
        <v>1294</v>
      </c>
      <c r="G885" s="6">
        <v>176</v>
      </c>
      <c r="H885" s="6" t="s">
        <v>857</v>
      </c>
      <c r="I885" s="33">
        <v>71888258.341159999</v>
      </c>
      <c r="J885" s="88">
        <v>1</v>
      </c>
      <c r="K885" s="89">
        <f>X885</f>
        <v>73681605.546039999</v>
      </c>
      <c r="L885" s="88">
        <f>IF(K889&gt;0, K885/K889, 0)</f>
        <v>1</v>
      </c>
      <c r="M885" s="58"/>
      <c r="N885" s="9">
        <f>ROUND(M889*L885,0)</f>
        <v>57259487</v>
      </c>
      <c r="O885" s="9">
        <v>54480958</v>
      </c>
      <c r="P885" s="9">
        <f>N885-O885</f>
        <v>2778529</v>
      </c>
      <c r="Q885" s="40">
        <f t="shared" si="139"/>
        <v>5.1000002606415258</v>
      </c>
      <c r="R885" s="9">
        <v>4559</v>
      </c>
      <c r="S885" s="9">
        <f t="shared" si="137"/>
        <v>4524</v>
      </c>
      <c r="T885" s="90">
        <f t="shared" si="132"/>
        <v>176</v>
      </c>
      <c r="U885" s="90">
        <f t="shared" si="133"/>
        <v>176</v>
      </c>
      <c r="V885" s="373">
        <f t="shared" si="134"/>
        <v>876</v>
      </c>
      <c r="W885" s="90">
        <f t="shared" si="135"/>
        <v>4524</v>
      </c>
      <c r="X885" s="90">
        <f t="shared" si="136"/>
        <v>73681605.546039999</v>
      </c>
      <c r="Y885" s="141">
        <f t="shared" si="138"/>
        <v>876</v>
      </c>
      <c r="Z885" s="298">
        <v>176</v>
      </c>
      <c r="AA885" s="299">
        <v>176</v>
      </c>
      <c r="AB885" s="299">
        <v>876</v>
      </c>
      <c r="AC885" s="301">
        <v>4524</v>
      </c>
      <c r="AD885" s="301">
        <v>73681605.546039999</v>
      </c>
      <c r="AE885" s="126"/>
      <c r="AF885" s="298"/>
      <c r="AG885" s="299"/>
      <c r="AH885" s="299"/>
      <c r="AI885" s="301"/>
      <c r="AJ885" s="301"/>
      <c r="AK885" s="426"/>
      <c r="AL885" s="298"/>
      <c r="AM885" s="299"/>
      <c r="AN885" s="299"/>
      <c r="AO885" s="301"/>
      <c r="AP885" s="301"/>
      <c r="AQ885" s="426"/>
      <c r="AR885" s="298"/>
      <c r="AS885" s="299"/>
      <c r="AT885" s="299"/>
      <c r="AU885" s="301"/>
      <c r="AV885" s="301"/>
      <c r="AW885" s="88"/>
      <c r="AX885" s="298"/>
      <c r="AY885" s="299"/>
      <c r="AZ885" s="299"/>
      <c r="BA885" s="301"/>
      <c r="BB885" s="301"/>
      <c r="BC885" s="426"/>
      <c r="BD885" s="298"/>
      <c r="BE885" s="299"/>
      <c r="BF885" s="299"/>
      <c r="BG885" s="301"/>
      <c r="BH885" s="301"/>
      <c r="BI885" s="88"/>
      <c r="BJ885" s="298"/>
      <c r="BK885" s="299"/>
      <c r="BL885" s="299"/>
      <c r="BM885" s="301"/>
      <c r="BN885" s="301"/>
      <c r="BO885" s="88"/>
      <c r="BP885" s="9"/>
      <c r="BS885" s="81"/>
      <c r="BT885" s="81"/>
      <c r="BV885" s="9"/>
      <c r="BY885" s="81"/>
      <c r="BZ885" s="81"/>
      <c r="CB885" s="9"/>
      <c r="CE885" s="81"/>
      <c r="CF885" s="81"/>
      <c r="CH885" s="9"/>
      <c r="CK885" s="81"/>
      <c r="CL885" s="81"/>
      <c r="CR885" s="9"/>
      <c r="CS885" s="9"/>
      <c r="CT885" s="9"/>
      <c r="CU885" s="9"/>
      <c r="CV885" s="9"/>
      <c r="CW885" s="129"/>
      <c r="CX885" s="9"/>
    </row>
    <row r="886" spans="1:102">
      <c r="A886" s="6" t="str">
        <f t="shared" si="131"/>
        <v>01760998</v>
      </c>
      <c r="B886" s="6" t="s">
        <v>1826</v>
      </c>
      <c r="C886" s="6" t="s">
        <v>2091</v>
      </c>
      <c r="D886" s="6">
        <v>877</v>
      </c>
      <c r="E886" s="6">
        <v>176</v>
      </c>
      <c r="F886" s="6" t="s">
        <v>1547</v>
      </c>
      <c r="G886" s="6">
        <v>998</v>
      </c>
      <c r="I886" s="33">
        <v>0</v>
      </c>
      <c r="J886" s="88">
        <v>0</v>
      </c>
      <c r="K886" s="89">
        <f t="shared" si="140"/>
        <v>0</v>
      </c>
      <c r="L886" s="88">
        <f>IF(K889&gt;0, K886/K889, 0)</f>
        <v>0</v>
      </c>
      <c r="M886" s="58"/>
      <c r="N886" s="9">
        <f>ROUND(M889*L886,0)</f>
        <v>0</v>
      </c>
      <c r="O886" s="9">
        <v>0</v>
      </c>
      <c r="P886" s="9">
        <f>N886-O886</f>
        <v>0</v>
      </c>
      <c r="Q886" s="40">
        <f t="shared" si="139"/>
        <v>0</v>
      </c>
      <c r="R886" s="9">
        <v>0</v>
      </c>
      <c r="S886" s="9">
        <f t="shared" si="137"/>
        <v>0</v>
      </c>
      <c r="T886" s="90">
        <f t="shared" si="132"/>
        <v>176</v>
      </c>
      <c r="U886" s="90">
        <f t="shared" si="133"/>
        <v>998</v>
      </c>
      <c r="V886" s="373">
        <f t="shared" si="134"/>
        <v>877</v>
      </c>
      <c r="W886" s="90">
        <f t="shared" si="135"/>
        <v>0</v>
      </c>
      <c r="X886" s="90">
        <f t="shared" si="136"/>
        <v>0</v>
      </c>
      <c r="Y886" s="141">
        <f t="shared" si="138"/>
        <v>877</v>
      </c>
      <c r="Z886" s="298">
        <v>176</v>
      </c>
      <c r="AA886" s="299">
        <v>998</v>
      </c>
      <c r="AB886" s="299">
        <v>877</v>
      </c>
      <c r="AC886" s="301">
        <v>0</v>
      </c>
      <c r="AD886" s="301">
        <v>0</v>
      </c>
      <c r="AE886" s="126"/>
      <c r="AF886" s="298"/>
      <c r="AG886" s="299"/>
      <c r="AH886" s="299"/>
      <c r="AI886" s="301"/>
      <c r="AJ886" s="301"/>
      <c r="AK886" s="426"/>
      <c r="AL886" s="298"/>
      <c r="AM886" s="299"/>
      <c r="AN886" s="299"/>
      <c r="AO886" s="301"/>
      <c r="AP886" s="301"/>
      <c r="AQ886" s="426"/>
      <c r="AR886" s="298"/>
      <c r="AS886" s="299"/>
      <c r="AT886" s="299"/>
      <c r="AU886" s="301"/>
      <c r="AV886" s="301"/>
      <c r="AW886" s="88"/>
      <c r="AX886" s="298"/>
      <c r="AY886" s="299"/>
      <c r="AZ886" s="299"/>
      <c r="BA886" s="301"/>
      <c r="BB886" s="301"/>
      <c r="BC886" s="426"/>
      <c r="BD886" s="298"/>
      <c r="BE886" s="299"/>
      <c r="BF886" s="299"/>
      <c r="BG886" s="301"/>
      <c r="BH886" s="301"/>
      <c r="BI886" s="88"/>
      <c r="BJ886" s="298"/>
      <c r="BK886" s="299"/>
      <c r="BL886" s="299"/>
      <c r="BM886" s="301"/>
      <c r="BN886" s="301"/>
      <c r="BO886" s="88"/>
      <c r="BP886" s="9"/>
      <c r="BS886" s="81"/>
      <c r="BT886" s="81"/>
      <c r="BV886" s="9"/>
      <c r="BY886" s="81"/>
      <c r="BZ886" s="81"/>
      <c r="CB886" s="9"/>
      <c r="CE886" s="81"/>
      <c r="CF886" s="81"/>
      <c r="CH886" s="9"/>
      <c r="CK886" s="81"/>
      <c r="CL886" s="81"/>
      <c r="CR886" s="9"/>
      <c r="CS886" s="9"/>
      <c r="CT886" s="9"/>
      <c r="CU886" s="9"/>
      <c r="CV886" s="9"/>
      <c r="CW886" s="129"/>
      <c r="CX886" s="9"/>
    </row>
    <row r="887" spans="1:102">
      <c r="A887" s="6" t="str">
        <f t="shared" si="131"/>
        <v>01760998</v>
      </c>
      <c r="B887" s="6" t="s">
        <v>1826</v>
      </c>
      <c r="C887" s="6" t="s">
        <v>2091</v>
      </c>
      <c r="D887" s="6">
        <v>878</v>
      </c>
      <c r="E887" s="6">
        <v>176</v>
      </c>
      <c r="F887" s="6" t="s">
        <v>1547</v>
      </c>
      <c r="G887" s="6">
        <v>998</v>
      </c>
      <c r="H887" s="6" t="s">
        <v>1547</v>
      </c>
      <c r="I887" s="33">
        <v>0</v>
      </c>
      <c r="J887" s="88">
        <v>0</v>
      </c>
      <c r="K887" s="89">
        <f t="shared" si="140"/>
        <v>0</v>
      </c>
      <c r="L887" s="88">
        <f>IF(K889&gt;0, K887/K889, 0)</f>
        <v>0</v>
      </c>
      <c r="M887" s="58"/>
      <c r="N887" s="9">
        <f>ROUND(M889*L887,0)</f>
        <v>0</v>
      </c>
      <c r="O887" s="9">
        <v>0</v>
      </c>
      <c r="P887" s="9">
        <f>N887-O887</f>
        <v>0</v>
      </c>
      <c r="Q887" s="40">
        <f t="shared" si="139"/>
        <v>0</v>
      </c>
      <c r="R887" s="9">
        <v>0</v>
      </c>
      <c r="S887" s="9">
        <f t="shared" si="137"/>
        <v>0</v>
      </c>
      <c r="T887" s="90">
        <f t="shared" si="132"/>
        <v>176</v>
      </c>
      <c r="U887" s="90">
        <f t="shared" si="133"/>
        <v>998</v>
      </c>
      <c r="V887" s="373">
        <f t="shared" si="134"/>
        <v>878</v>
      </c>
      <c r="W887" s="90">
        <f t="shared" si="135"/>
        <v>0</v>
      </c>
      <c r="X887" s="90">
        <f t="shared" si="136"/>
        <v>0</v>
      </c>
      <c r="Y887" s="141">
        <f t="shared" si="138"/>
        <v>878</v>
      </c>
      <c r="Z887" s="298">
        <v>176</v>
      </c>
      <c r="AA887" s="299">
        <v>998</v>
      </c>
      <c r="AB887" s="299">
        <v>878</v>
      </c>
      <c r="AC887" s="301">
        <v>0</v>
      </c>
      <c r="AD887" s="301">
        <v>0</v>
      </c>
      <c r="AE887" s="126"/>
      <c r="AF887" s="298"/>
      <c r="AG887" s="299"/>
      <c r="AH887" s="299"/>
      <c r="AI887" s="301"/>
      <c r="AJ887" s="301"/>
      <c r="AK887" s="426"/>
      <c r="AL887" s="298"/>
      <c r="AM887" s="299"/>
      <c r="AN887" s="299"/>
      <c r="AO887" s="301"/>
      <c r="AP887" s="301"/>
      <c r="AQ887" s="426"/>
      <c r="AR887" s="298"/>
      <c r="AS887" s="299"/>
      <c r="AT887" s="299"/>
      <c r="AU887" s="301"/>
      <c r="AV887" s="301"/>
      <c r="AW887" s="88"/>
      <c r="AX887" s="298"/>
      <c r="AY887" s="299"/>
      <c r="AZ887" s="299"/>
      <c r="BA887" s="301"/>
      <c r="BB887" s="301"/>
      <c r="BC887" s="426"/>
      <c r="BD887" s="298"/>
      <c r="BE887" s="299"/>
      <c r="BF887" s="299"/>
      <c r="BG887" s="301"/>
      <c r="BH887" s="301"/>
      <c r="BI887" s="88"/>
      <c r="BJ887" s="298"/>
      <c r="BK887" s="299"/>
      <c r="BL887" s="299"/>
      <c r="BM887" s="301"/>
      <c r="BN887" s="301"/>
      <c r="BO887" s="88"/>
      <c r="BP887" s="9"/>
      <c r="BS887" s="81"/>
      <c r="BT887" s="81"/>
      <c r="BV887" s="9"/>
      <c r="BY887" s="81"/>
      <c r="BZ887" s="81"/>
      <c r="CB887" s="9"/>
      <c r="CE887" s="81"/>
      <c r="CF887" s="81"/>
      <c r="CH887" s="9"/>
      <c r="CK887" s="81"/>
      <c r="CL887" s="81"/>
      <c r="CR887" s="9"/>
      <c r="CS887" s="9"/>
      <c r="CT887" s="9"/>
      <c r="CU887" s="9"/>
      <c r="CV887" s="9"/>
      <c r="CW887" s="129"/>
      <c r="CX887" s="9"/>
    </row>
    <row r="888" spans="1:102">
      <c r="A888" s="6" t="str">
        <f t="shared" si="131"/>
        <v>01760998</v>
      </c>
      <c r="B888" s="6" t="s">
        <v>1826</v>
      </c>
      <c r="C888" s="6" t="s">
        <v>2091</v>
      </c>
      <c r="D888" s="6">
        <v>879</v>
      </c>
      <c r="E888" s="6">
        <v>176</v>
      </c>
      <c r="F888" s="6" t="s">
        <v>1547</v>
      </c>
      <c r="G888" s="6">
        <v>998</v>
      </c>
      <c r="H888" s="6" t="s">
        <v>1547</v>
      </c>
      <c r="I888" s="33">
        <v>0</v>
      </c>
      <c r="J888" s="88">
        <v>0</v>
      </c>
      <c r="K888" s="89">
        <f t="shared" si="140"/>
        <v>0</v>
      </c>
      <c r="L888" s="88">
        <f>IF(K889&gt;0, K888/K889, 0)</f>
        <v>0</v>
      </c>
      <c r="M888" s="58"/>
      <c r="N888" s="9">
        <f>ROUND(M889*L888,0)</f>
        <v>0</v>
      </c>
      <c r="O888" s="9">
        <v>0</v>
      </c>
      <c r="P888" s="9">
        <f>N888-O888</f>
        <v>0</v>
      </c>
      <c r="Q888" s="40">
        <f t="shared" si="139"/>
        <v>0</v>
      </c>
      <c r="R888" s="9">
        <v>0</v>
      </c>
      <c r="S888" s="9">
        <f t="shared" si="137"/>
        <v>0</v>
      </c>
      <c r="T888" s="90">
        <f t="shared" si="132"/>
        <v>176</v>
      </c>
      <c r="U888" s="90">
        <f t="shared" si="133"/>
        <v>998</v>
      </c>
      <c r="V888" s="373">
        <f t="shared" si="134"/>
        <v>879</v>
      </c>
      <c r="W888" s="90">
        <f t="shared" si="135"/>
        <v>0</v>
      </c>
      <c r="X888" s="90">
        <f t="shared" si="136"/>
        <v>0</v>
      </c>
      <c r="Y888" s="141">
        <f t="shared" si="138"/>
        <v>879</v>
      </c>
      <c r="Z888" s="298">
        <v>176</v>
      </c>
      <c r="AA888" s="299">
        <v>998</v>
      </c>
      <c r="AB888" s="299">
        <v>879</v>
      </c>
      <c r="AC888" s="301">
        <v>0</v>
      </c>
      <c r="AD888" s="301">
        <v>0</v>
      </c>
      <c r="AE888" s="126"/>
      <c r="AF888" s="298"/>
      <c r="AG888" s="299"/>
      <c r="AH888" s="299"/>
      <c r="AI888" s="301"/>
      <c r="AJ888" s="301"/>
      <c r="AK888" s="426"/>
      <c r="AL888" s="298"/>
      <c r="AM888" s="299"/>
      <c r="AN888" s="299"/>
      <c r="AO888" s="301"/>
      <c r="AP888" s="301"/>
      <c r="AQ888" s="426"/>
      <c r="AR888" s="298"/>
      <c r="AS888" s="299"/>
      <c r="AT888" s="299"/>
      <c r="AU888" s="301"/>
      <c r="AV888" s="301"/>
      <c r="AW888" s="88"/>
      <c r="AX888" s="298"/>
      <c r="AY888" s="299"/>
      <c r="AZ888" s="299"/>
      <c r="BA888" s="301"/>
      <c r="BB888" s="301"/>
      <c r="BC888" s="426"/>
      <c r="BD888" s="298"/>
      <c r="BE888" s="299"/>
      <c r="BF888" s="299"/>
      <c r="BG888" s="301"/>
      <c r="BH888" s="301"/>
      <c r="BI888" s="88"/>
      <c r="BJ888" s="298"/>
      <c r="BK888" s="299"/>
      <c r="BL888" s="299"/>
      <c r="BM888" s="301"/>
      <c r="BN888" s="301"/>
      <c r="BO888" s="88"/>
      <c r="BP888" s="9"/>
      <c r="BS888" s="81"/>
      <c r="BT888" s="81"/>
      <c r="BV888" s="9"/>
      <c r="BY888" s="81"/>
      <c r="BZ888" s="81"/>
      <c r="CB888" s="9"/>
      <c r="CE888" s="81"/>
      <c r="CF888" s="81"/>
      <c r="CH888" s="9"/>
      <c r="CK888" s="81"/>
      <c r="CL888" s="81"/>
      <c r="CR888" s="9"/>
      <c r="CS888" s="9"/>
      <c r="CT888" s="9"/>
      <c r="CU888" s="9"/>
      <c r="CV888" s="9"/>
      <c r="CW888" s="129"/>
      <c r="CX888" s="9"/>
    </row>
    <row r="889" spans="1:102">
      <c r="A889" s="6" t="str">
        <f t="shared" si="131"/>
        <v>01760999</v>
      </c>
      <c r="B889" s="6" t="s">
        <v>1826</v>
      </c>
      <c r="C889" s="6" t="s">
        <v>2092</v>
      </c>
      <c r="D889" s="6">
        <v>880</v>
      </c>
      <c r="E889" s="10">
        <v>176</v>
      </c>
      <c r="F889" s="10" t="s">
        <v>1294</v>
      </c>
      <c r="G889" s="10">
        <v>999</v>
      </c>
      <c r="H889" s="10" t="s">
        <v>593</v>
      </c>
      <c r="I889" s="92">
        <v>71888258.341159999</v>
      </c>
      <c r="J889" s="472">
        <v>1</v>
      </c>
      <c r="K889" s="53">
        <f>SUM(K885:K888)</f>
        <v>73681605.546039999</v>
      </c>
      <c r="L889" s="91">
        <f>SUM(L885:L888)</f>
        <v>1</v>
      </c>
      <c r="M889" s="79">
        <f>VLOOKUP(E889,town351,24)</f>
        <v>57259487</v>
      </c>
      <c r="N889" s="79">
        <f>SUM(N885:N888)</f>
        <v>57259487</v>
      </c>
      <c r="O889" s="79">
        <v>54480958</v>
      </c>
      <c r="P889" s="79">
        <f>SUM(P885:P888)</f>
        <v>2778529</v>
      </c>
      <c r="Q889" s="39">
        <f t="shared" si="139"/>
        <v>5.1000002606415258</v>
      </c>
      <c r="R889" s="9">
        <v>4559</v>
      </c>
      <c r="S889" s="9">
        <f t="shared" si="137"/>
        <v>4524</v>
      </c>
      <c r="T889" s="90">
        <f t="shared" si="132"/>
        <v>176</v>
      </c>
      <c r="U889" s="90">
        <f t="shared" si="133"/>
        <v>999</v>
      </c>
      <c r="V889" s="373">
        <f t="shared" si="134"/>
        <v>880</v>
      </c>
      <c r="W889" s="90">
        <f t="shared" si="135"/>
        <v>4524</v>
      </c>
      <c r="X889" s="90">
        <f t="shared" si="136"/>
        <v>73681605.546039999</v>
      </c>
      <c r="Y889" s="141">
        <f t="shared" si="138"/>
        <v>880</v>
      </c>
      <c r="Z889" s="298">
        <v>176</v>
      </c>
      <c r="AA889" s="299">
        <v>999</v>
      </c>
      <c r="AB889" s="299">
        <v>880</v>
      </c>
      <c r="AC889" s="301">
        <v>4524</v>
      </c>
      <c r="AD889" s="301">
        <v>73681605.546039999</v>
      </c>
      <c r="AE889" s="126"/>
      <c r="AF889" s="298"/>
      <c r="AG889" s="299"/>
      <c r="AH889" s="299"/>
      <c r="AI889" s="301"/>
      <c r="AJ889" s="301"/>
      <c r="AK889" s="426"/>
      <c r="AL889" s="298"/>
      <c r="AM889" s="299"/>
      <c r="AN889" s="299"/>
      <c r="AO889" s="301"/>
      <c r="AP889" s="301"/>
      <c r="AQ889" s="426"/>
      <c r="AR889" s="298"/>
      <c r="AS889" s="299"/>
      <c r="AT889" s="299"/>
      <c r="AU889" s="301"/>
      <c r="AV889" s="301"/>
      <c r="AW889" s="91"/>
      <c r="AX889" s="298"/>
      <c r="AY889" s="299"/>
      <c r="AZ889" s="299"/>
      <c r="BA889" s="301"/>
      <c r="BB889" s="301"/>
      <c r="BC889" s="426"/>
      <c r="BD889" s="298"/>
      <c r="BE889" s="299"/>
      <c r="BF889" s="299"/>
      <c r="BG889" s="301"/>
      <c r="BH889" s="301"/>
      <c r="BI889" s="91"/>
      <c r="BJ889" s="298"/>
      <c r="BK889" s="299"/>
      <c r="BL889" s="299"/>
      <c r="BM889" s="301"/>
      <c r="BN889" s="301"/>
      <c r="BO889" s="91"/>
      <c r="BP889" s="9"/>
      <c r="BS889" s="81"/>
      <c r="BT889" s="81"/>
      <c r="BV889" s="9"/>
      <c r="BY889" s="81"/>
      <c r="BZ889" s="81"/>
      <c r="CB889" s="9"/>
      <c r="CE889" s="81"/>
      <c r="CF889" s="81"/>
      <c r="CH889" s="9"/>
      <c r="CK889" s="81"/>
      <c r="CL889" s="81"/>
      <c r="CR889" s="9"/>
      <c r="CS889" s="9"/>
      <c r="CT889" s="9"/>
      <c r="CU889" s="9"/>
      <c r="CV889" s="9"/>
      <c r="CW889" s="129"/>
      <c r="CX889" s="9"/>
    </row>
    <row r="890" spans="1:102">
      <c r="A890" s="6" t="str">
        <f t="shared" si="131"/>
        <v>01770177</v>
      </c>
      <c r="B890" s="6" t="s">
        <v>1827</v>
      </c>
      <c r="C890" s="6" t="s">
        <v>1827</v>
      </c>
      <c r="D890" s="6">
        <v>881</v>
      </c>
      <c r="E890" s="6">
        <v>177</v>
      </c>
      <c r="F890" s="6" t="s">
        <v>1295</v>
      </c>
      <c r="G890" s="6">
        <v>177</v>
      </c>
      <c r="H890" s="6" t="s">
        <v>858</v>
      </c>
      <c r="I890" s="33">
        <v>26890897.844290003</v>
      </c>
      <c r="J890" s="88">
        <v>0.93351346305115457</v>
      </c>
      <c r="K890" s="89">
        <f>X890</f>
        <v>28282405.937880002</v>
      </c>
      <c r="L890" s="88">
        <f>IF(K894&gt;0, K890/K894, 0)</f>
        <v>0.93801635774043923</v>
      </c>
      <c r="M890" s="58"/>
      <c r="N890" s="9">
        <f>ROUND(M894*L890,0)</f>
        <v>20376839</v>
      </c>
      <c r="O890" s="9">
        <v>19298650</v>
      </c>
      <c r="P890" s="9">
        <f>N890-O890</f>
        <v>1078189</v>
      </c>
      <c r="Q890" s="40">
        <f t="shared" si="139"/>
        <v>5.5868622934764867</v>
      </c>
      <c r="R890" s="9">
        <v>2120</v>
      </c>
      <c r="S890" s="9">
        <f t="shared" si="137"/>
        <v>2157</v>
      </c>
      <c r="T890" s="90">
        <f t="shared" si="132"/>
        <v>177</v>
      </c>
      <c r="U890" s="90">
        <f t="shared" si="133"/>
        <v>177</v>
      </c>
      <c r="V890" s="373">
        <f t="shared" si="134"/>
        <v>881</v>
      </c>
      <c r="W890" s="90">
        <f t="shared" si="135"/>
        <v>2157</v>
      </c>
      <c r="X890" s="90">
        <f t="shared" si="136"/>
        <v>28282405.937880002</v>
      </c>
      <c r="Y890" s="141">
        <f t="shared" si="138"/>
        <v>881</v>
      </c>
      <c r="Z890" s="298">
        <v>177</v>
      </c>
      <c r="AA890" s="299">
        <v>177</v>
      </c>
      <c r="AB890" s="299">
        <v>881</v>
      </c>
      <c r="AC890" s="301">
        <v>2157</v>
      </c>
      <c r="AD890" s="301">
        <v>28282405.937880002</v>
      </c>
      <c r="AE890" s="126"/>
      <c r="AF890" s="298"/>
      <c r="AG890" s="299"/>
      <c r="AH890" s="299"/>
      <c r="AI890" s="301"/>
      <c r="AJ890" s="301"/>
      <c r="AK890" s="426"/>
      <c r="AL890" s="298"/>
      <c r="AM890" s="299"/>
      <c r="AN890" s="299"/>
      <c r="AO890" s="301"/>
      <c r="AP890" s="301"/>
      <c r="AQ890" s="426"/>
      <c r="AR890" s="298"/>
      <c r="AS890" s="299"/>
      <c r="AT890" s="299"/>
      <c r="AU890" s="301"/>
      <c r="AV890" s="301"/>
      <c r="AW890" s="88"/>
      <c r="AX890" s="298"/>
      <c r="AY890" s="299"/>
      <c r="AZ890" s="299"/>
      <c r="BA890" s="301"/>
      <c r="BB890" s="301"/>
      <c r="BC890" s="426"/>
      <c r="BD890" s="298"/>
      <c r="BE890" s="299"/>
      <c r="BF890" s="299"/>
      <c r="BG890" s="301"/>
      <c r="BH890" s="301"/>
      <c r="BI890" s="88"/>
      <c r="BJ890" s="298"/>
      <c r="BK890" s="299"/>
      <c r="BL890" s="299"/>
      <c r="BM890" s="301"/>
      <c r="BN890" s="301"/>
      <c r="BO890" s="88"/>
      <c r="BP890" s="9"/>
      <c r="BS890" s="81"/>
      <c r="BT890" s="81"/>
      <c r="BV890" s="9"/>
      <c r="BY890" s="81"/>
      <c r="BZ890" s="81"/>
      <c r="CB890" s="9"/>
      <c r="CE890" s="81"/>
      <c r="CF890" s="81"/>
      <c r="CH890" s="9"/>
      <c r="CK890" s="81"/>
      <c r="CL890" s="81"/>
      <c r="CR890" s="9"/>
      <c r="CS890" s="9"/>
      <c r="CT890" s="9"/>
      <c r="CU890" s="9"/>
      <c r="CV890" s="9"/>
      <c r="CW890" s="129"/>
      <c r="CX890" s="9"/>
    </row>
    <row r="891" spans="1:102">
      <c r="A891" s="6" t="str">
        <f t="shared" si="131"/>
        <v>01770878</v>
      </c>
      <c r="B891" s="6" t="s">
        <v>1827</v>
      </c>
      <c r="C891" s="6" t="s">
        <v>2085</v>
      </c>
      <c r="D891" s="6">
        <v>882</v>
      </c>
      <c r="E891" s="6">
        <v>177</v>
      </c>
      <c r="F891" s="6" t="s">
        <v>1295</v>
      </c>
      <c r="G891" s="6">
        <v>878</v>
      </c>
      <c r="H891" s="6" t="s">
        <v>1115</v>
      </c>
      <c r="I891" s="33">
        <v>1743005.4848601574</v>
      </c>
      <c r="J891" s="88">
        <v>6.0508172531489636E-2</v>
      </c>
      <c r="K891" s="89">
        <f t="shared" si="140"/>
        <v>1714719.1489961157</v>
      </c>
      <c r="L891" s="88">
        <f>IF(K894&gt;0, K891/K894, 0)</f>
        <v>5.6870501548627703E-2</v>
      </c>
      <c r="M891" s="58"/>
      <c r="N891" s="9">
        <f>ROUND(M894*L891,0)</f>
        <v>1235417</v>
      </c>
      <c r="O891" s="9">
        <v>1250894</v>
      </c>
      <c r="P891" s="9">
        <f>N891-O891</f>
        <v>-15477</v>
      </c>
      <c r="Q891" s="40">
        <f t="shared" si="139"/>
        <v>-1.2372751008478735</v>
      </c>
      <c r="R891" s="9">
        <v>85.000000000850008</v>
      </c>
      <c r="S891" s="9">
        <f t="shared" si="137"/>
        <v>81.999999998340002</v>
      </c>
      <c r="T891" s="90">
        <f t="shared" si="132"/>
        <v>177</v>
      </c>
      <c r="U891" s="90">
        <f t="shared" si="133"/>
        <v>878</v>
      </c>
      <c r="V891" s="373">
        <f t="shared" si="134"/>
        <v>882</v>
      </c>
      <c r="W891" s="90">
        <f t="shared" si="135"/>
        <v>81.999999998340002</v>
      </c>
      <c r="X891" s="90">
        <f t="shared" si="136"/>
        <v>1714719.1489961157</v>
      </c>
      <c r="Y891" s="141">
        <f t="shared" si="138"/>
        <v>882</v>
      </c>
      <c r="Z891" s="298">
        <v>177</v>
      </c>
      <c r="AA891" s="299">
        <v>878</v>
      </c>
      <c r="AB891" s="299">
        <v>882</v>
      </c>
      <c r="AC891" s="301">
        <v>81.999999998340002</v>
      </c>
      <c r="AD891" s="301">
        <v>1714719.1489961157</v>
      </c>
      <c r="AE891" s="126"/>
      <c r="AF891" s="298"/>
      <c r="AG891" s="299"/>
      <c r="AH891" s="299"/>
      <c r="AI891" s="301"/>
      <c r="AJ891" s="301"/>
      <c r="AK891" s="426"/>
      <c r="AL891" s="298"/>
      <c r="AM891" s="299"/>
      <c r="AN891" s="299"/>
      <c r="AO891" s="301"/>
      <c r="AP891" s="301"/>
      <c r="AQ891" s="426"/>
      <c r="AR891" s="298"/>
      <c r="AS891" s="299"/>
      <c r="AT891" s="299"/>
      <c r="AU891" s="301"/>
      <c r="AV891" s="301"/>
      <c r="AW891" s="88"/>
      <c r="AX891" s="298"/>
      <c r="AY891" s="299"/>
      <c r="AZ891" s="299"/>
      <c r="BA891" s="301"/>
      <c r="BB891" s="301"/>
      <c r="BC891" s="426"/>
      <c r="BD891" s="298"/>
      <c r="BE891" s="299"/>
      <c r="BF891" s="299"/>
      <c r="BG891" s="301"/>
      <c r="BH891" s="301"/>
      <c r="BI891" s="88"/>
      <c r="BJ891" s="298"/>
      <c r="BK891" s="299"/>
      <c r="BL891" s="299"/>
      <c r="BM891" s="301"/>
      <c r="BN891" s="301"/>
      <c r="BO891" s="88"/>
      <c r="BP891" s="9"/>
      <c r="BS891" s="81"/>
      <c r="BT891" s="81"/>
      <c r="BV891" s="9"/>
      <c r="BY891" s="81"/>
      <c r="BZ891" s="81"/>
      <c r="CB891" s="9"/>
      <c r="CE891" s="81"/>
      <c r="CF891" s="81"/>
      <c r="CH891" s="9"/>
      <c r="CK891" s="81"/>
      <c r="CL891" s="81"/>
      <c r="CR891" s="9"/>
      <c r="CS891" s="9"/>
      <c r="CT891" s="9"/>
      <c r="CU891" s="9"/>
      <c r="CV891" s="9"/>
      <c r="CW891" s="129"/>
      <c r="CX891" s="9"/>
    </row>
    <row r="892" spans="1:102">
      <c r="A892" s="6" t="str">
        <f t="shared" si="131"/>
        <v>01770915</v>
      </c>
      <c r="B892" s="6" t="s">
        <v>1827</v>
      </c>
      <c r="C892" s="6" t="s">
        <v>2089</v>
      </c>
      <c r="D892" s="6">
        <v>883</v>
      </c>
      <c r="E892" s="6">
        <v>177</v>
      </c>
      <c r="F892" s="6" t="s">
        <v>1295</v>
      </c>
      <c r="G892" s="6">
        <v>915</v>
      </c>
      <c r="H892" s="6" t="s">
        <v>1119</v>
      </c>
      <c r="I892" s="33">
        <v>172213.46363618856</v>
      </c>
      <c r="J892" s="88">
        <v>5.9783644173557748E-3</v>
      </c>
      <c r="K892" s="89">
        <f t="shared" si="140"/>
        <v>154167.80316332754</v>
      </c>
      <c r="L892" s="88">
        <f>IF(K894&gt;0, K892/K894, 0)</f>
        <v>5.1131407109330715E-3</v>
      </c>
      <c r="M892" s="58"/>
      <c r="N892" s="9">
        <f>ROUND(M894*L892,0)</f>
        <v>111074</v>
      </c>
      <c r="O892" s="9">
        <v>123592</v>
      </c>
      <c r="P892" s="9">
        <f>N892-O892</f>
        <v>-12518</v>
      </c>
      <c r="Q892" s="40">
        <f t="shared" si="139"/>
        <v>-10.128487280730145</v>
      </c>
      <c r="R892" s="9">
        <v>8.00000000008</v>
      </c>
      <c r="S892" s="9">
        <f t="shared" si="137"/>
        <v>6.9999999996</v>
      </c>
      <c r="T892" s="90">
        <f t="shared" si="132"/>
        <v>177</v>
      </c>
      <c r="U892" s="90">
        <f t="shared" si="133"/>
        <v>915</v>
      </c>
      <c r="V892" s="373">
        <f t="shared" si="134"/>
        <v>883</v>
      </c>
      <c r="W892" s="90">
        <f t="shared" si="135"/>
        <v>6.9999999996</v>
      </c>
      <c r="X892" s="90">
        <f t="shared" si="136"/>
        <v>154167.80316332754</v>
      </c>
      <c r="Y892" s="141">
        <f t="shared" si="138"/>
        <v>883</v>
      </c>
      <c r="Z892" s="298">
        <v>177</v>
      </c>
      <c r="AA892" s="299">
        <v>915</v>
      </c>
      <c r="AB892" s="299">
        <v>883</v>
      </c>
      <c r="AC892" s="301">
        <v>6.9999999996</v>
      </c>
      <c r="AD892" s="301">
        <v>154167.80316332754</v>
      </c>
      <c r="AE892" s="126"/>
      <c r="AF892" s="298"/>
      <c r="AG892" s="299"/>
      <c r="AH892" s="299"/>
      <c r="AI892" s="301"/>
      <c r="AJ892" s="301"/>
      <c r="AK892" s="426"/>
      <c r="AL892" s="298"/>
      <c r="AM892" s="299"/>
      <c r="AN892" s="299"/>
      <c r="AO892" s="301"/>
      <c r="AP892" s="301"/>
      <c r="AQ892" s="426"/>
      <c r="AR892" s="298"/>
      <c r="AS892" s="299"/>
      <c r="AT892" s="299"/>
      <c r="AU892" s="301"/>
      <c r="AV892" s="301"/>
      <c r="AW892" s="88"/>
      <c r="AX892" s="298"/>
      <c r="AY892" s="299"/>
      <c r="AZ892" s="299"/>
      <c r="BA892" s="301"/>
      <c r="BB892" s="301"/>
      <c r="BC892" s="426"/>
      <c r="BD892" s="298"/>
      <c r="BE892" s="299"/>
      <c r="BF892" s="299"/>
      <c r="BG892" s="301"/>
      <c r="BH892" s="301"/>
      <c r="BI892" s="88"/>
      <c r="BJ892" s="298"/>
      <c r="BK892" s="299"/>
      <c r="BL892" s="299"/>
      <c r="BM892" s="301"/>
      <c r="BN892" s="301"/>
      <c r="BO892" s="88"/>
      <c r="BP892" s="9"/>
      <c r="BS892" s="81"/>
      <c r="BT892" s="81"/>
      <c r="BV892" s="9"/>
      <c r="BY892" s="81"/>
      <c r="BZ892" s="81"/>
      <c r="CB892" s="9"/>
      <c r="CE892" s="81"/>
      <c r="CF892" s="81"/>
      <c r="CH892" s="9"/>
      <c r="CK892" s="81"/>
      <c r="CL892" s="81"/>
      <c r="CR892" s="9"/>
      <c r="CS892" s="9"/>
      <c r="CT892" s="9"/>
      <c r="CU892" s="9"/>
      <c r="CV892" s="9"/>
      <c r="CW892" s="129"/>
      <c r="CX892" s="9"/>
    </row>
    <row r="893" spans="1:102">
      <c r="A893" s="6" t="str">
        <f t="shared" si="131"/>
        <v>01770998</v>
      </c>
      <c r="B893" s="6" t="s">
        <v>1827</v>
      </c>
      <c r="C893" s="6" t="s">
        <v>2091</v>
      </c>
      <c r="D893" s="6">
        <v>884</v>
      </c>
      <c r="E893" s="6">
        <v>177</v>
      </c>
      <c r="F893" s="6" t="s">
        <v>1547</v>
      </c>
      <c r="G893" s="6">
        <v>998</v>
      </c>
      <c r="H893" s="6" t="s">
        <v>1547</v>
      </c>
      <c r="I893" s="33">
        <v>0</v>
      </c>
      <c r="J893" s="88">
        <v>0</v>
      </c>
      <c r="K893" s="89">
        <f t="shared" si="140"/>
        <v>0</v>
      </c>
      <c r="L893" s="88">
        <f>IF(K894&gt;0, K893/K894, 0)</f>
        <v>0</v>
      </c>
      <c r="M893" s="58"/>
      <c r="N893" s="9">
        <f>ROUND(M894*L893,0)</f>
        <v>0</v>
      </c>
      <c r="O893" s="9">
        <v>0</v>
      </c>
      <c r="P893" s="9">
        <f>N893-O893</f>
        <v>0</v>
      </c>
      <c r="Q893" s="40">
        <f t="shared" si="139"/>
        <v>0</v>
      </c>
      <c r="R893" s="9">
        <v>0</v>
      </c>
      <c r="S893" s="9">
        <f t="shared" si="137"/>
        <v>0</v>
      </c>
      <c r="T893" s="90">
        <f t="shared" si="132"/>
        <v>177</v>
      </c>
      <c r="U893" s="90">
        <f t="shared" si="133"/>
        <v>998</v>
      </c>
      <c r="V893" s="373">
        <f t="shared" si="134"/>
        <v>884</v>
      </c>
      <c r="W893" s="90">
        <f t="shared" si="135"/>
        <v>0</v>
      </c>
      <c r="X893" s="90">
        <f t="shared" si="136"/>
        <v>0</v>
      </c>
      <c r="Y893" s="141">
        <f t="shared" si="138"/>
        <v>884</v>
      </c>
      <c r="Z893" s="298">
        <v>177</v>
      </c>
      <c r="AA893" s="299">
        <v>998</v>
      </c>
      <c r="AB893" s="299">
        <v>884</v>
      </c>
      <c r="AC893" s="301">
        <v>0</v>
      </c>
      <c r="AD893" s="301">
        <v>0</v>
      </c>
      <c r="AE893" s="126"/>
      <c r="AF893" s="298"/>
      <c r="AG893" s="299"/>
      <c r="AH893" s="299"/>
      <c r="AI893" s="301"/>
      <c r="AJ893" s="301"/>
      <c r="AK893" s="426"/>
      <c r="AL893" s="298"/>
      <c r="AM893" s="299"/>
      <c r="AN893" s="299"/>
      <c r="AO893" s="301"/>
      <c r="AP893" s="301"/>
      <c r="AQ893" s="426"/>
      <c r="AR893" s="298"/>
      <c r="AS893" s="299"/>
      <c r="AT893" s="299"/>
      <c r="AU893" s="301"/>
      <c r="AV893" s="301"/>
      <c r="AW893" s="88"/>
      <c r="AX893" s="298"/>
      <c r="AY893" s="299"/>
      <c r="AZ893" s="299"/>
      <c r="BA893" s="301"/>
      <c r="BB893" s="301"/>
      <c r="BC893" s="426"/>
      <c r="BD893" s="298"/>
      <c r="BE893" s="299"/>
      <c r="BF893" s="299"/>
      <c r="BG893" s="301"/>
      <c r="BH893" s="301"/>
      <c r="BI893" s="88"/>
      <c r="BJ893" s="298"/>
      <c r="BK893" s="299"/>
      <c r="BL893" s="299"/>
      <c r="BM893" s="301"/>
      <c r="BN893" s="301"/>
      <c r="BO893" s="88"/>
      <c r="BP893" s="9"/>
      <c r="BS893" s="81"/>
      <c r="BT893" s="81"/>
      <c r="BV893" s="9"/>
      <c r="BY893" s="81"/>
      <c r="BZ893" s="81"/>
      <c r="CB893" s="9"/>
      <c r="CE893" s="81"/>
      <c r="CF893" s="81"/>
      <c r="CH893" s="9"/>
      <c r="CK893" s="81"/>
      <c r="CL893" s="81"/>
      <c r="CR893" s="9"/>
      <c r="CS893" s="9"/>
      <c r="CT893" s="9"/>
      <c r="CU893" s="9"/>
      <c r="CV893" s="9"/>
      <c r="CW893" s="129"/>
      <c r="CX893" s="9"/>
    </row>
    <row r="894" spans="1:102">
      <c r="A894" s="6" t="str">
        <f t="shared" si="131"/>
        <v>01770999</v>
      </c>
      <c r="B894" s="6" t="s">
        <v>1827</v>
      </c>
      <c r="C894" s="6" t="s">
        <v>2092</v>
      </c>
      <c r="D894" s="6">
        <v>885</v>
      </c>
      <c r="E894" s="10">
        <v>177</v>
      </c>
      <c r="F894" s="10" t="s">
        <v>1295</v>
      </c>
      <c r="G894" s="10">
        <v>999</v>
      </c>
      <c r="H894" s="10" t="s">
        <v>593</v>
      </c>
      <c r="I894" s="92">
        <v>28806116.792786349</v>
      </c>
      <c r="J894" s="472">
        <v>1</v>
      </c>
      <c r="K894" s="53">
        <f>SUM(K890:K893)</f>
        <v>30151292.890039444</v>
      </c>
      <c r="L894" s="91">
        <f>SUM(L890:L893)</f>
        <v>1</v>
      </c>
      <c r="M894" s="79">
        <f>VLOOKUP(E894,town351,24)</f>
        <v>21723330</v>
      </c>
      <c r="N894" s="79">
        <f>SUM(N890:N893)</f>
        <v>21723330</v>
      </c>
      <c r="O894" s="79">
        <v>20673136</v>
      </c>
      <c r="P894" s="79">
        <f>SUM(P890:P893)</f>
        <v>1050194</v>
      </c>
      <c r="Q894" s="39">
        <f t="shared" si="139"/>
        <v>5.079993669078557</v>
      </c>
      <c r="R894" s="9">
        <v>2213.00000000093</v>
      </c>
      <c r="S894" s="9">
        <f t="shared" si="137"/>
        <v>2245.99999999794</v>
      </c>
      <c r="T894" s="90">
        <f t="shared" si="132"/>
        <v>177</v>
      </c>
      <c r="U894" s="90">
        <f t="shared" si="133"/>
        <v>999</v>
      </c>
      <c r="V894" s="373">
        <f t="shared" si="134"/>
        <v>885</v>
      </c>
      <c r="W894" s="90">
        <f t="shared" si="135"/>
        <v>2245.99999999794</v>
      </c>
      <c r="X894" s="90">
        <f t="shared" si="136"/>
        <v>30151292.890039444</v>
      </c>
      <c r="Y894" s="141">
        <f t="shared" si="138"/>
        <v>885</v>
      </c>
      <c r="Z894" s="298">
        <v>177</v>
      </c>
      <c r="AA894" s="299">
        <v>999</v>
      </c>
      <c r="AB894" s="299">
        <v>885</v>
      </c>
      <c r="AC894" s="301">
        <v>2245.99999999794</v>
      </c>
      <c r="AD894" s="301">
        <v>30151292.890039444</v>
      </c>
      <c r="AE894" s="126"/>
      <c r="AF894" s="298"/>
      <c r="AG894" s="299"/>
      <c r="AH894" s="299"/>
      <c r="AI894" s="301"/>
      <c r="AJ894" s="301"/>
      <c r="AK894" s="426"/>
      <c r="AL894" s="298"/>
      <c r="AM894" s="299"/>
      <c r="AN894" s="299"/>
      <c r="AO894" s="301"/>
      <c r="AP894" s="301"/>
      <c r="AQ894" s="426"/>
      <c r="AR894" s="298"/>
      <c r="AS894" s="299"/>
      <c r="AT894" s="299"/>
      <c r="AU894" s="301"/>
      <c r="AV894" s="301"/>
      <c r="AW894" s="91"/>
      <c r="AX894" s="298"/>
      <c r="AY894" s="299"/>
      <c r="AZ894" s="299"/>
      <c r="BA894" s="301"/>
      <c r="BB894" s="301"/>
      <c r="BC894" s="426"/>
      <c r="BD894" s="298"/>
      <c r="BE894" s="299"/>
      <c r="BF894" s="299"/>
      <c r="BG894" s="301"/>
      <c r="BH894" s="301"/>
      <c r="BI894" s="91"/>
      <c r="BJ894" s="298"/>
      <c r="BK894" s="299"/>
      <c r="BL894" s="299"/>
      <c r="BM894" s="301"/>
      <c r="BN894" s="301"/>
      <c r="BO894" s="91"/>
      <c r="BP894" s="9"/>
      <c r="BS894" s="81"/>
      <c r="BT894" s="81"/>
      <c r="BV894" s="9"/>
      <c r="BY894" s="81"/>
      <c r="BZ894" s="81"/>
      <c r="CB894" s="9"/>
      <c r="CE894" s="81"/>
      <c r="CF894" s="81"/>
      <c r="CH894" s="9"/>
      <c r="CK894" s="81"/>
      <c r="CL894" s="81"/>
      <c r="CR894" s="9"/>
      <c r="CS894" s="9"/>
      <c r="CT894" s="9"/>
      <c r="CU894" s="9"/>
      <c r="CV894" s="9"/>
      <c r="CW894" s="129"/>
      <c r="CX894" s="9"/>
    </row>
    <row r="895" spans="1:102">
      <c r="A895" s="6" t="str">
        <f t="shared" si="131"/>
        <v>01780178</v>
      </c>
      <c r="B895" s="6" t="s">
        <v>1828</v>
      </c>
      <c r="C895" s="6" t="s">
        <v>1828</v>
      </c>
      <c r="D895" s="6">
        <v>886</v>
      </c>
      <c r="E895" s="6">
        <v>178</v>
      </c>
      <c r="F895" s="6" t="s">
        <v>1296</v>
      </c>
      <c r="G895" s="6">
        <v>178</v>
      </c>
      <c r="H895" s="6" t="s">
        <v>859</v>
      </c>
      <c r="I895" s="33">
        <v>51330398.765020005</v>
      </c>
      <c r="J895" s="88">
        <v>0.97127531046720372</v>
      </c>
      <c r="K895" s="89">
        <f>X895</f>
        <v>53488054.658699989</v>
      </c>
      <c r="L895" s="88">
        <f>IF(K899&gt;0, K895/K899, 0)</f>
        <v>0.96902091185210082</v>
      </c>
      <c r="M895" s="58"/>
      <c r="N895" s="9">
        <f>ROUND(M899*L895,0)</f>
        <v>41053058</v>
      </c>
      <c r="O895" s="9">
        <v>39070041</v>
      </c>
      <c r="P895" s="9">
        <f>N895-O895</f>
        <v>1983017</v>
      </c>
      <c r="Q895" s="40">
        <f t="shared" si="139"/>
        <v>5.0755436883211873</v>
      </c>
      <c r="R895" s="9">
        <v>4062</v>
      </c>
      <c r="S895" s="9">
        <f t="shared" si="137"/>
        <v>4112</v>
      </c>
      <c r="T895" s="90">
        <f t="shared" si="132"/>
        <v>178</v>
      </c>
      <c r="U895" s="90">
        <f t="shared" si="133"/>
        <v>178</v>
      </c>
      <c r="V895" s="373">
        <f t="shared" si="134"/>
        <v>886</v>
      </c>
      <c r="W895" s="90">
        <f t="shared" si="135"/>
        <v>4112</v>
      </c>
      <c r="X895" s="90">
        <f t="shared" si="136"/>
        <v>53488054.658699989</v>
      </c>
      <c r="Y895" s="141">
        <f t="shared" si="138"/>
        <v>886</v>
      </c>
      <c r="Z895" s="298">
        <v>178</v>
      </c>
      <c r="AA895" s="299">
        <v>178</v>
      </c>
      <c r="AB895" s="299">
        <v>886</v>
      </c>
      <c r="AC895" s="301">
        <v>4112</v>
      </c>
      <c r="AD895" s="301">
        <v>53488054.658699989</v>
      </c>
      <c r="AE895" s="126"/>
      <c r="AF895" s="298"/>
      <c r="AG895" s="299"/>
      <c r="AH895" s="299"/>
      <c r="AI895" s="301"/>
      <c r="AJ895" s="301"/>
      <c r="AK895" s="426"/>
      <c r="AL895" s="298"/>
      <c r="AM895" s="299"/>
      <c r="AN895" s="299"/>
      <c r="AO895" s="301"/>
      <c r="AP895" s="301"/>
      <c r="AQ895" s="426"/>
      <c r="AR895" s="298"/>
      <c r="AS895" s="299"/>
      <c r="AT895" s="299"/>
      <c r="AU895" s="301"/>
      <c r="AV895" s="301"/>
      <c r="AW895" s="88"/>
      <c r="AX895" s="298"/>
      <c r="AY895" s="299"/>
      <c r="AZ895" s="299"/>
      <c r="BA895" s="301"/>
      <c r="BB895" s="301"/>
      <c r="BC895" s="426"/>
      <c r="BD895" s="298"/>
      <c r="BE895" s="299"/>
      <c r="BF895" s="299"/>
      <c r="BG895" s="301"/>
      <c r="BH895" s="301"/>
      <c r="BI895" s="88"/>
      <c r="BJ895" s="298"/>
      <c r="BK895" s="299"/>
      <c r="BL895" s="299"/>
      <c r="BM895" s="301"/>
      <c r="BN895" s="301"/>
      <c r="BO895" s="88"/>
      <c r="BP895" s="9"/>
      <c r="BS895" s="81"/>
      <c r="BT895" s="81"/>
      <c r="BV895" s="9"/>
      <c r="BY895" s="81"/>
      <c r="BZ895" s="81"/>
      <c r="CB895" s="9"/>
      <c r="CE895" s="81"/>
      <c r="CF895" s="81"/>
      <c r="CH895" s="9"/>
      <c r="CK895" s="81"/>
      <c r="CL895" s="81"/>
      <c r="CR895" s="9"/>
      <c r="CS895" s="9"/>
      <c r="CT895" s="9"/>
      <c r="CU895" s="9"/>
      <c r="CV895" s="9"/>
      <c r="CW895" s="129"/>
      <c r="CX895" s="9"/>
    </row>
    <row r="896" spans="1:102">
      <c r="A896" s="6" t="str">
        <f t="shared" si="131"/>
        <v>01780853</v>
      </c>
      <c r="B896" s="6" t="s">
        <v>1828</v>
      </c>
      <c r="C896" s="6" t="s">
        <v>2078</v>
      </c>
      <c r="D896" s="6">
        <v>887</v>
      </c>
      <c r="E896" s="6">
        <v>178</v>
      </c>
      <c r="F896" s="6" t="s">
        <v>1296</v>
      </c>
      <c r="G896" s="6">
        <v>853</v>
      </c>
      <c r="H896" s="6" t="s">
        <v>1108</v>
      </c>
      <c r="I896" s="33">
        <v>1518055.4393075095</v>
      </c>
      <c r="J896" s="88">
        <v>2.8724689532796267E-2</v>
      </c>
      <c r="K896" s="89">
        <f t="shared" si="140"/>
        <v>1709984.9341377458</v>
      </c>
      <c r="L896" s="88">
        <f>IF(K899&gt;0, K896/K899, 0)</f>
        <v>3.0979088147899118E-2</v>
      </c>
      <c r="M896" s="58"/>
      <c r="N896" s="9">
        <f>ROUND(M899*L896,0)</f>
        <v>1312445</v>
      </c>
      <c r="O896" s="9">
        <v>1155465</v>
      </c>
      <c r="P896" s="9">
        <f>N896-O896</f>
        <v>156980</v>
      </c>
      <c r="Q896" s="40">
        <f t="shared" si="139"/>
        <v>13.585872354420083</v>
      </c>
      <c r="R896" s="9">
        <v>66.000000006260009</v>
      </c>
      <c r="S896" s="9">
        <f t="shared" si="137"/>
        <v>71.999999995950006</v>
      </c>
      <c r="T896" s="90">
        <f t="shared" si="132"/>
        <v>178</v>
      </c>
      <c r="U896" s="90">
        <f t="shared" si="133"/>
        <v>853</v>
      </c>
      <c r="V896" s="373">
        <f t="shared" si="134"/>
        <v>887</v>
      </c>
      <c r="W896" s="90">
        <f t="shared" si="135"/>
        <v>71.999999995950006</v>
      </c>
      <c r="X896" s="90">
        <f t="shared" si="136"/>
        <v>1709984.9341377458</v>
      </c>
      <c r="Y896" s="141">
        <f t="shared" si="138"/>
        <v>887</v>
      </c>
      <c r="Z896" s="298">
        <v>178</v>
      </c>
      <c r="AA896" s="299">
        <v>853</v>
      </c>
      <c r="AB896" s="299">
        <v>887</v>
      </c>
      <c r="AC896" s="301">
        <v>71.999999995950006</v>
      </c>
      <c r="AD896" s="301">
        <v>1709984.9341377458</v>
      </c>
      <c r="AE896" s="126"/>
      <c r="AF896" s="298"/>
      <c r="AG896" s="299"/>
      <c r="AH896" s="299"/>
      <c r="AI896" s="301"/>
      <c r="AJ896" s="301"/>
      <c r="AK896" s="426"/>
      <c r="AL896" s="298"/>
      <c r="AM896" s="299"/>
      <c r="AN896" s="299"/>
      <c r="AO896" s="301"/>
      <c r="AP896" s="301"/>
      <c r="AQ896" s="426"/>
      <c r="AR896" s="298"/>
      <c r="AS896" s="299"/>
      <c r="AT896" s="299"/>
      <c r="AU896" s="301"/>
      <c r="AV896" s="301"/>
      <c r="AW896" s="88"/>
      <c r="AX896" s="298"/>
      <c r="AY896" s="299"/>
      <c r="AZ896" s="299"/>
      <c r="BA896" s="301"/>
      <c r="BB896" s="301"/>
      <c r="BC896" s="426"/>
      <c r="BD896" s="298"/>
      <c r="BE896" s="299"/>
      <c r="BF896" s="299"/>
      <c r="BG896" s="301"/>
      <c r="BH896" s="301"/>
      <c r="BI896" s="88"/>
      <c r="BJ896" s="298"/>
      <c r="BK896" s="299"/>
      <c r="BL896" s="299"/>
      <c r="BM896" s="301"/>
      <c r="BN896" s="301"/>
      <c r="BO896" s="88"/>
      <c r="BP896" s="9"/>
      <c r="BS896" s="81"/>
      <c r="BT896" s="81"/>
      <c r="BV896" s="9"/>
      <c r="BY896" s="81"/>
      <c r="BZ896" s="81"/>
      <c r="CB896" s="9"/>
      <c r="CE896" s="81"/>
      <c r="CF896" s="81"/>
      <c r="CH896" s="9"/>
      <c r="CK896" s="81"/>
      <c r="CL896" s="81"/>
      <c r="CR896" s="9"/>
      <c r="CS896" s="9"/>
      <c r="CT896" s="9"/>
      <c r="CU896" s="9"/>
      <c r="CV896" s="9"/>
      <c r="CW896" s="129"/>
      <c r="CX896" s="9"/>
    </row>
    <row r="897" spans="1:102">
      <c r="A897" s="6" t="str">
        <f t="shared" si="131"/>
        <v>01780998</v>
      </c>
      <c r="B897" s="6" t="s">
        <v>1828</v>
      </c>
      <c r="C897" s="6" t="s">
        <v>2091</v>
      </c>
      <c r="D897" s="6">
        <v>888</v>
      </c>
      <c r="E897" s="6">
        <v>178</v>
      </c>
      <c r="F897" s="6" t="s">
        <v>1547</v>
      </c>
      <c r="G897" s="6">
        <v>998</v>
      </c>
      <c r="I897" s="33">
        <v>0</v>
      </c>
      <c r="J897" s="88">
        <v>0</v>
      </c>
      <c r="K897" s="89">
        <f t="shared" si="140"/>
        <v>0</v>
      </c>
      <c r="L897" s="88">
        <f>IF(K899&gt;0, K897/K899, 0)</f>
        <v>0</v>
      </c>
      <c r="M897" s="58"/>
      <c r="N897" s="9">
        <f>ROUND(M899*L897,0)</f>
        <v>0</v>
      </c>
      <c r="O897" s="9">
        <v>0</v>
      </c>
      <c r="P897" s="9">
        <f>N897-O897</f>
        <v>0</v>
      </c>
      <c r="Q897" s="40">
        <f t="shared" si="139"/>
        <v>0</v>
      </c>
      <c r="R897" s="9">
        <v>0</v>
      </c>
      <c r="S897" s="9">
        <f t="shared" si="137"/>
        <v>0</v>
      </c>
      <c r="T897" s="90">
        <f t="shared" si="132"/>
        <v>178</v>
      </c>
      <c r="U897" s="90">
        <f t="shared" si="133"/>
        <v>998</v>
      </c>
      <c r="V897" s="373">
        <f t="shared" si="134"/>
        <v>888</v>
      </c>
      <c r="W897" s="90">
        <f t="shared" si="135"/>
        <v>0</v>
      </c>
      <c r="X897" s="90">
        <f t="shared" si="136"/>
        <v>0</v>
      </c>
      <c r="Y897" s="141">
        <f t="shared" si="138"/>
        <v>888</v>
      </c>
      <c r="Z897" s="298">
        <v>178</v>
      </c>
      <c r="AA897" s="299">
        <v>998</v>
      </c>
      <c r="AB897" s="299">
        <v>888</v>
      </c>
      <c r="AC897" s="301">
        <v>0</v>
      </c>
      <c r="AD897" s="301">
        <v>0</v>
      </c>
      <c r="AE897" s="126"/>
      <c r="AF897" s="298"/>
      <c r="AG897" s="299"/>
      <c r="AH897" s="299"/>
      <c r="AI897" s="301"/>
      <c r="AJ897" s="301"/>
      <c r="AK897" s="426"/>
      <c r="AL897" s="298"/>
      <c r="AM897" s="299"/>
      <c r="AN897" s="299"/>
      <c r="AO897" s="301"/>
      <c r="AP897" s="301"/>
      <c r="AQ897" s="426"/>
      <c r="AR897" s="298"/>
      <c r="AS897" s="299"/>
      <c r="AT897" s="299"/>
      <c r="AU897" s="301"/>
      <c r="AV897" s="301"/>
      <c r="AW897" s="88"/>
      <c r="AX897" s="298"/>
      <c r="AY897" s="299"/>
      <c r="AZ897" s="299"/>
      <c r="BA897" s="301"/>
      <c r="BB897" s="301"/>
      <c r="BC897" s="426"/>
      <c r="BD897" s="298"/>
      <c r="BE897" s="299"/>
      <c r="BF897" s="299"/>
      <c r="BG897" s="301"/>
      <c r="BH897" s="301"/>
      <c r="BI897" s="88"/>
      <c r="BJ897" s="298"/>
      <c r="BK897" s="299"/>
      <c r="BL897" s="299"/>
      <c r="BM897" s="301"/>
      <c r="BN897" s="301"/>
      <c r="BO897" s="88"/>
      <c r="BP897" s="9"/>
      <c r="BS897" s="81"/>
      <c r="BT897" s="81"/>
      <c r="BV897" s="9"/>
      <c r="BY897" s="81"/>
      <c r="BZ897" s="81"/>
      <c r="CB897" s="9"/>
      <c r="CE897" s="81"/>
      <c r="CF897" s="81"/>
      <c r="CH897" s="9"/>
      <c r="CK897" s="81"/>
      <c r="CL897" s="81"/>
      <c r="CR897" s="9"/>
      <c r="CS897" s="9"/>
      <c r="CT897" s="9"/>
      <c r="CU897" s="9"/>
      <c r="CV897" s="9"/>
      <c r="CW897" s="129"/>
      <c r="CX897" s="9"/>
    </row>
    <row r="898" spans="1:102">
      <c r="A898" s="6" t="str">
        <f t="shared" si="131"/>
        <v>01780998</v>
      </c>
      <c r="B898" s="6" t="s">
        <v>1828</v>
      </c>
      <c r="C898" s="6" t="s">
        <v>2091</v>
      </c>
      <c r="D898" s="6">
        <v>889</v>
      </c>
      <c r="E898" s="6">
        <v>178</v>
      </c>
      <c r="F898" s="6" t="s">
        <v>1547</v>
      </c>
      <c r="G898" s="6">
        <v>998</v>
      </c>
      <c r="H898" s="6" t="s">
        <v>1547</v>
      </c>
      <c r="I898" s="33">
        <v>0</v>
      </c>
      <c r="J898" s="88">
        <v>0</v>
      </c>
      <c r="K898" s="89">
        <f t="shared" si="140"/>
        <v>0</v>
      </c>
      <c r="L898" s="88">
        <f>IF(K899&gt;0, K898/K899, 0)</f>
        <v>0</v>
      </c>
      <c r="M898" s="58"/>
      <c r="N898" s="9">
        <f>ROUND(M899*L898,0)</f>
        <v>0</v>
      </c>
      <c r="O898" s="9">
        <v>0</v>
      </c>
      <c r="P898" s="9">
        <f>N898-O898</f>
        <v>0</v>
      </c>
      <c r="Q898" s="40">
        <f t="shared" si="139"/>
        <v>0</v>
      </c>
      <c r="R898" s="9">
        <v>0</v>
      </c>
      <c r="S898" s="9">
        <f t="shared" si="137"/>
        <v>0</v>
      </c>
      <c r="T898" s="90">
        <f t="shared" si="132"/>
        <v>178</v>
      </c>
      <c r="U898" s="90">
        <f t="shared" si="133"/>
        <v>998</v>
      </c>
      <c r="V898" s="373">
        <f t="shared" si="134"/>
        <v>889</v>
      </c>
      <c r="W898" s="90">
        <f t="shared" si="135"/>
        <v>0</v>
      </c>
      <c r="X898" s="90">
        <f t="shared" si="136"/>
        <v>0</v>
      </c>
      <c r="Y898" s="141">
        <f t="shared" si="138"/>
        <v>889</v>
      </c>
      <c r="Z898" s="298">
        <v>178</v>
      </c>
      <c r="AA898" s="299">
        <v>998</v>
      </c>
      <c r="AB898" s="299">
        <v>889</v>
      </c>
      <c r="AC898" s="301">
        <v>0</v>
      </c>
      <c r="AD898" s="301">
        <v>0</v>
      </c>
      <c r="AE898" s="126"/>
      <c r="AF898" s="298"/>
      <c r="AG898" s="299"/>
      <c r="AH898" s="299"/>
      <c r="AI898" s="301"/>
      <c r="AJ898" s="301"/>
      <c r="AK898" s="426"/>
      <c r="AL898" s="298"/>
      <c r="AM898" s="299"/>
      <c r="AN898" s="299"/>
      <c r="AO898" s="301"/>
      <c r="AP898" s="301"/>
      <c r="AQ898" s="426"/>
      <c r="AR898" s="298"/>
      <c r="AS898" s="299"/>
      <c r="AT898" s="299"/>
      <c r="AU898" s="301"/>
      <c r="AV898" s="301"/>
      <c r="AW898" s="88"/>
      <c r="AX898" s="298"/>
      <c r="AY898" s="299"/>
      <c r="AZ898" s="299"/>
      <c r="BA898" s="301"/>
      <c r="BB898" s="301"/>
      <c r="BC898" s="426"/>
      <c r="BD898" s="298"/>
      <c r="BE898" s="299"/>
      <c r="BF898" s="299"/>
      <c r="BG898" s="301"/>
      <c r="BH898" s="301"/>
      <c r="BI898" s="88"/>
      <c r="BJ898" s="298"/>
      <c r="BK898" s="299"/>
      <c r="BL898" s="299"/>
      <c r="BM898" s="301"/>
      <c r="BN898" s="301"/>
      <c r="BO898" s="88"/>
      <c r="BP898" s="9"/>
      <c r="BS898" s="81"/>
      <c r="BT898" s="81"/>
      <c r="BV898" s="9"/>
      <c r="BY898" s="81"/>
      <c r="BZ898" s="81"/>
      <c r="CB898" s="9"/>
      <c r="CE898" s="81"/>
      <c r="CF898" s="81"/>
      <c r="CH898" s="9"/>
      <c r="CK898" s="81"/>
      <c r="CL898" s="81"/>
      <c r="CR898" s="9"/>
      <c r="CS898" s="9"/>
      <c r="CT898" s="9"/>
      <c r="CU898" s="9"/>
      <c r="CV898" s="9"/>
      <c r="CW898" s="129"/>
      <c r="CX898" s="9"/>
    </row>
    <row r="899" spans="1:102">
      <c r="A899" s="6" t="str">
        <f t="shared" si="131"/>
        <v>01780999</v>
      </c>
      <c r="B899" s="6" t="s">
        <v>1828</v>
      </c>
      <c r="C899" s="6" t="s">
        <v>2092</v>
      </c>
      <c r="D899" s="6">
        <v>890</v>
      </c>
      <c r="E899" s="10">
        <v>178</v>
      </c>
      <c r="F899" s="10" t="s">
        <v>1296</v>
      </c>
      <c r="G899" s="10">
        <v>999</v>
      </c>
      <c r="H899" s="10" t="s">
        <v>593</v>
      </c>
      <c r="I899" s="92">
        <v>52848454.204327516</v>
      </c>
      <c r="J899" s="472">
        <v>1</v>
      </c>
      <c r="K899" s="53">
        <f>SUM(K895:K898)</f>
        <v>55198039.592837736</v>
      </c>
      <c r="L899" s="91">
        <f>SUM(L895:L898)</f>
        <v>0.99999999999999989</v>
      </c>
      <c r="M899" s="79">
        <f>VLOOKUP(E899,town351,24)</f>
        <v>42365503</v>
      </c>
      <c r="N899" s="79">
        <f>SUM(N895:N898)</f>
        <v>42365503</v>
      </c>
      <c r="O899" s="79">
        <v>40225506</v>
      </c>
      <c r="P899" s="79">
        <f>SUM(P895:P898)</f>
        <v>2139997</v>
      </c>
      <c r="Q899" s="39">
        <f t="shared" si="139"/>
        <v>5.3200002008675789</v>
      </c>
      <c r="R899" s="9">
        <v>4128.0000000062601</v>
      </c>
      <c r="S899" s="9">
        <f t="shared" si="137"/>
        <v>4183.99999999595</v>
      </c>
      <c r="T899" s="90">
        <f t="shared" si="132"/>
        <v>178</v>
      </c>
      <c r="U899" s="90">
        <f t="shared" si="133"/>
        <v>999</v>
      </c>
      <c r="V899" s="373">
        <f t="shared" si="134"/>
        <v>890</v>
      </c>
      <c r="W899" s="90">
        <f t="shared" si="135"/>
        <v>4183.99999999595</v>
      </c>
      <c r="X899" s="90">
        <f t="shared" si="136"/>
        <v>55198039.592837736</v>
      </c>
      <c r="Y899" s="141">
        <f t="shared" si="138"/>
        <v>890</v>
      </c>
      <c r="Z899" s="298">
        <v>178</v>
      </c>
      <c r="AA899" s="299">
        <v>999</v>
      </c>
      <c r="AB899" s="299">
        <v>890</v>
      </c>
      <c r="AC899" s="301">
        <v>4183.99999999595</v>
      </c>
      <c r="AD899" s="301">
        <v>55198039.592837736</v>
      </c>
      <c r="AE899" s="126"/>
      <c r="AF899" s="298"/>
      <c r="AG899" s="299"/>
      <c r="AH899" s="299"/>
      <c r="AI899" s="301"/>
      <c r="AJ899" s="301"/>
      <c r="AK899" s="426"/>
      <c r="AL899" s="298"/>
      <c r="AM899" s="299"/>
      <c r="AN899" s="299"/>
      <c r="AO899" s="301"/>
      <c r="AP899" s="301"/>
      <c r="AQ899" s="426"/>
      <c r="AR899" s="298"/>
      <c r="AS899" s="299"/>
      <c r="AT899" s="299"/>
      <c r="AU899" s="301"/>
      <c r="AV899" s="301"/>
      <c r="AW899" s="91"/>
      <c r="AX899" s="298"/>
      <c r="AY899" s="299"/>
      <c r="AZ899" s="299"/>
      <c r="BA899" s="301"/>
      <c r="BB899" s="301"/>
      <c r="BC899" s="426"/>
      <c r="BD899" s="298"/>
      <c r="BE899" s="299"/>
      <c r="BF899" s="299"/>
      <c r="BG899" s="301"/>
      <c r="BH899" s="301"/>
      <c r="BI899" s="91"/>
      <c r="BJ899" s="298"/>
      <c r="BK899" s="299"/>
      <c r="BL899" s="299"/>
      <c r="BM899" s="301"/>
      <c r="BN899" s="301"/>
      <c r="BO899" s="91"/>
      <c r="BP899" s="9"/>
      <c r="BS899" s="81"/>
      <c r="BT899" s="81"/>
      <c r="BV899" s="9"/>
      <c r="BY899" s="81"/>
      <c r="BZ899" s="81"/>
      <c r="CB899" s="9"/>
      <c r="CE899" s="81"/>
      <c r="CF899" s="81"/>
      <c r="CH899" s="9"/>
      <c r="CK899" s="81"/>
      <c r="CL899" s="81"/>
      <c r="CR899" s="9"/>
      <c r="CS899" s="9"/>
      <c r="CT899" s="9"/>
      <c r="CU899" s="9"/>
      <c r="CV899" s="9"/>
      <c r="CW899" s="129"/>
      <c r="CX899" s="9"/>
    </row>
    <row r="900" spans="1:102">
      <c r="A900" s="6" t="str">
        <f t="shared" si="131"/>
        <v>01790179</v>
      </c>
      <c r="B900" s="6" t="s">
        <v>1829</v>
      </c>
      <c r="C900" s="6" t="s">
        <v>1829</v>
      </c>
      <c r="D900" s="6">
        <v>891</v>
      </c>
      <c r="E900" s="6">
        <v>179</v>
      </c>
      <c r="F900" s="6" t="s">
        <v>1297</v>
      </c>
      <c r="G900" s="6">
        <v>179</v>
      </c>
      <c r="H900" s="6" t="s">
        <v>860</v>
      </c>
      <c r="I900" s="33">
        <v>164907.6</v>
      </c>
      <c r="J900" s="88">
        <v>1.3252624603471045E-2</v>
      </c>
      <c r="K900" s="89">
        <f>X900</f>
        <v>168603.30000000002</v>
      </c>
      <c r="L900" s="88">
        <f>IF(K904&gt;0, K900/K904, 0)</f>
        <v>1.3492248974518487E-2</v>
      </c>
      <c r="M900" s="58"/>
      <c r="N900" s="9">
        <f>ROUND(M904*L900,0)</f>
        <v>135517</v>
      </c>
      <c r="O900" s="9">
        <v>126856</v>
      </c>
      <c r="P900" s="9">
        <f>N900-O900</f>
        <v>8661</v>
      </c>
      <c r="Q900" s="40">
        <f t="shared" si="139"/>
        <v>6.8274263732105691</v>
      </c>
      <c r="R900" s="9">
        <v>10</v>
      </c>
      <c r="S900" s="9">
        <f t="shared" si="137"/>
        <v>10</v>
      </c>
      <c r="T900" s="90">
        <f t="shared" si="132"/>
        <v>179</v>
      </c>
      <c r="U900" s="90">
        <f t="shared" si="133"/>
        <v>179</v>
      </c>
      <c r="V900" s="373">
        <f t="shared" si="134"/>
        <v>891</v>
      </c>
      <c r="W900" s="90">
        <f t="shared" si="135"/>
        <v>10</v>
      </c>
      <c r="X900" s="90">
        <f t="shared" si="136"/>
        <v>168603.30000000002</v>
      </c>
      <c r="Y900" s="141">
        <f t="shared" si="138"/>
        <v>891</v>
      </c>
      <c r="Z900" s="298">
        <v>179</v>
      </c>
      <c r="AA900" s="299">
        <v>179</v>
      </c>
      <c r="AB900" s="299">
        <v>891</v>
      </c>
      <c r="AC900" s="301">
        <v>10</v>
      </c>
      <c r="AD900" s="301">
        <v>168603.30000000002</v>
      </c>
      <c r="AE900" s="126"/>
      <c r="AF900" s="298"/>
      <c r="AG900" s="299"/>
      <c r="AH900" s="299"/>
      <c r="AI900" s="301"/>
      <c r="AJ900" s="301"/>
      <c r="AK900" s="426"/>
      <c r="AL900" s="298"/>
      <c r="AM900" s="299"/>
      <c r="AN900" s="299"/>
      <c r="AO900" s="301"/>
      <c r="AP900" s="301"/>
      <c r="AQ900" s="426"/>
      <c r="AR900" s="298"/>
      <c r="AS900" s="299"/>
      <c r="AT900" s="299"/>
      <c r="AU900" s="301"/>
      <c r="AV900" s="301"/>
      <c r="AW900" s="88"/>
      <c r="AX900" s="298"/>
      <c r="AY900" s="299"/>
      <c r="AZ900" s="299"/>
      <c r="BA900" s="301"/>
      <c r="BB900" s="301"/>
      <c r="BC900" s="426"/>
      <c r="BD900" s="298"/>
      <c r="BE900" s="299"/>
      <c r="BF900" s="299"/>
      <c r="BG900" s="301"/>
      <c r="BH900" s="301"/>
      <c r="BI900" s="88"/>
      <c r="BJ900" s="298"/>
      <c r="BK900" s="299"/>
      <c r="BL900" s="299"/>
      <c r="BM900" s="301"/>
      <c r="BN900" s="301"/>
      <c r="BO900" s="88"/>
      <c r="BP900" s="9"/>
      <c r="BS900" s="81"/>
      <c r="BT900" s="81"/>
      <c r="BV900" s="9"/>
      <c r="BY900" s="81"/>
      <c r="BZ900" s="81"/>
      <c r="CB900" s="9"/>
      <c r="CE900" s="81"/>
      <c r="CF900" s="81"/>
      <c r="CH900" s="9"/>
      <c r="CK900" s="81"/>
      <c r="CL900" s="81"/>
      <c r="CR900" s="9"/>
      <c r="CS900" s="9"/>
      <c r="CT900" s="9"/>
      <c r="CU900" s="9"/>
      <c r="CV900" s="9"/>
      <c r="CW900" s="129"/>
      <c r="CX900" s="9"/>
    </row>
    <row r="901" spans="1:102">
      <c r="A901" s="6" t="str">
        <f t="shared" si="131"/>
        <v>01790710</v>
      </c>
      <c r="B901" s="6" t="s">
        <v>1829</v>
      </c>
      <c r="C901" s="6" t="s">
        <v>2037</v>
      </c>
      <c r="D901" s="6">
        <v>892</v>
      </c>
      <c r="E901" s="6">
        <v>179</v>
      </c>
      <c r="F901" s="6" t="s">
        <v>1297</v>
      </c>
      <c r="G901" s="6">
        <v>710</v>
      </c>
      <c r="H901" s="6" t="s">
        <v>1067</v>
      </c>
      <c r="I901" s="33">
        <v>10673478.869393477</v>
      </c>
      <c r="J901" s="88">
        <v>0.85776282396416115</v>
      </c>
      <c r="K901" s="89">
        <f t="shared" si="140"/>
        <v>10874872.440098867</v>
      </c>
      <c r="L901" s="88">
        <f>IF(K904&gt;0, K901/K904, 0)</f>
        <v>0.87024682510925511</v>
      </c>
      <c r="M901" s="58"/>
      <c r="N901" s="9">
        <f>ROUND(M904*L901,0)</f>
        <v>8740788</v>
      </c>
      <c r="O901" s="9">
        <v>8210615</v>
      </c>
      <c r="P901" s="9">
        <f>N901-O901</f>
        <v>530173</v>
      </c>
      <c r="Q901" s="40">
        <f t="shared" si="139"/>
        <v>6.4571655107443231</v>
      </c>
      <c r="R901" s="9">
        <v>866.02532878574993</v>
      </c>
      <c r="S901" s="9">
        <f t="shared" si="137"/>
        <v>856.60119939864001</v>
      </c>
      <c r="T901" s="90">
        <f t="shared" si="132"/>
        <v>179</v>
      </c>
      <c r="U901" s="90">
        <f t="shared" si="133"/>
        <v>710</v>
      </c>
      <c r="V901" s="373">
        <f t="shared" si="134"/>
        <v>892</v>
      </c>
      <c r="W901" s="90">
        <f t="shared" si="135"/>
        <v>856.60119939864001</v>
      </c>
      <c r="X901" s="90">
        <f t="shared" si="136"/>
        <v>10874872.440098867</v>
      </c>
      <c r="Y901" s="141">
        <f t="shared" si="138"/>
        <v>892</v>
      </c>
      <c r="Z901" s="298">
        <v>179</v>
      </c>
      <c r="AA901" s="299">
        <v>710</v>
      </c>
      <c r="AB901" s="299">
        <v>892</v>
      </c>
      <c r="AC901" s="301">
        <v>856.60119939864001</v>
      </c>
      <c r="AD901" s="301">
        <v>10874872.440098867</v>
      </c>
      <c r="AE901" s="126"/>
      <c r="AF901" s="298"/>
      <c r="AG901" s="299"/>
      <c r="AH901" s="299"/>
      <c r="AI901" s="301"/>
      <c r="AJ901" s="301"/>
      <c r="AK901" s="426"/>
      <c r="AL901" s="298"/>
      <c r="AM901" s="299"/>
      <c r="AN901" s="299"/>
      <c r="AO901" s="301"/>
      <c r="AP901" s="301"/>
      <c r="AQ901" s="426"/>
      <c r="AR901" s="298"/>
      <c r="AS901" s="299"/>
      <c r="AT901" s="299"/>
      <c r="AU901" s="301"/>
      <c r="AV901" s="301"/>
      <c r="AW901" s="88"/>
      <c r="AX901" s="298"/>
      <c r="AY901" s="299"/>
      <c r="AZ901" s="299"/>
      <c r="BA901" s="301"/>
      <c r="BB901" s="301"/>
      <c r="BC901" s="426"/>
      <c r="BD901" s="298"/>
      <c r="BE901" s="299"/>
      <c r="BF901" s="299"/>
      <c r="BG901" s="301"/>
      <c r="BH901" s="301"/>
      <c r="BI901" s="88"/>
      <c r="BJ901" s="298"/>
      <c r="BK901" s="299"/>
      <c r="BL901" s="299"/>
      <c r="BM901" s="301"/>
      <c r="BN901" s="301"/>
      <c r="BO901" s="88"/>
      <c r="BP901" s="9"/>
      <c r="BS901" s="81"/>
      <c r="BT901" s="81"/>
      <c r="BV901" s="9"/>
      <c r="BY901" s="81"/>
      <c r="BZ901" s="81"/>
      <c r="CB901" s="9"/>
      <c r="CE901" s="81"/>
      <c r="CF901" s="81"/>
      <c r="CH901" s="9"/>
      <c r="CK901" s="81"/>
      <c r="CL901" s="81"/>
      <c r="CR901" s="9"/>
      <c r="CS901" s="9"/>
      <c r="CT901" s="9"/>
      <c r="CU901" s="9"/>
      <c r="CV901" s="9"/>
      <c r="CW901" s="129"/>
      <c r="CX901" s="9"/>
    </row>
    <row r="902" spans="1:102">
      <c r="A902" s="6" t="str">
        <f t="shared" si="131"/>
        <v>01790805</v>
      </c>
      <c r="B902" s="6" t="s">
        <v>1829</v>
      </c>
      <c r="C902" s="6" t="s">
        <v>2063</v>
      </c>
      <c r="D902" s="6">
        <v>893</v>
      </c>
      <c r="E902" s="6">
        <v>179</v>
      </c>
      <c r="F902" s="6" t="s">
        <v>1297</v>
      </c>
      <c r="G902" s="6">
        <v>805</v>
      </c>
      <c r="H902" s="6" t="s">
        <v>1093</v>
      </c>
      <c r="I902" s="33">
        <v>1605005.3065124403</v>
      </c>
      <c r="J902" s="88">
        <v>0.12898455143236789</v>
      </c>
      <c r="K902" s="89">
        <f t="shared" si="140"/>
        <v>1452832.3489695191</v>
      </c>
      <c r="L902" s="88">
        <f>IF(K904&gt;0, K902/K904, 0)</f>
        <v>0.1162609259162263</v>
      </c>
      <c r="M902" s="58"/>
      <c r="N902" s="9">
        <f>ROUND(M904*L902,0)</f>
        <v>1167729</v>
      </c>
      <c r="O902" s="9">
        <v>1234657</v>
      </c>
      <c r="P902" s="9">
        <f>N902-O902</f>
        <v>-66928</v>
      </c>
      <c r="Q902" s="40">
        <f t="shared" si="139"/>
        <v>-5.4207767825396038</v>
      </c>
      <c r="R902" s="9">
        <v>85.00000000432</v>
      </c>
      <c r="S902" s="9">
        <f t="shared" si="137"/>
        <v>75.000000002069996</v>
      </c>
      <c r="T902" s="90">
        <f t="shared" si="132"/>
        <v>179</v>
      </c>
      <c r="U902" s="90">
        <f t="shared" si="133"/>
        <v>805</v>
      </c>
      <c r="V902" s="373">
        <f t="shared" si="134"/>
        <v>893</v>
      </c>
      <c r="W902" s="90">
        <f t="shared" si="135"/>
        <v>75.000000002069996</v>
      </c>
      <c r="X902" s="90">
        <f t="shared" si="136"/>
        <v>1452832.3489695191</v>
      </c>
      <c r="Y902" s="141">
        <f t="shared" si="138"/>
        <v>893</v>
      </c>
      <c r="Z902" s="298">
        <v>179</v>
      </c>
      <c r="AA902" s="299">
        <v>805</v>
      </c>
      <c r="AB902" s="299">
        <v>893</v>
      </c>
      <c r="AC902" s="301">
        <v>75.000000002069996</v>
      </c>
      <c r="AD902" s="301">
        <v>1452832.3489695191</v>
      </c>
      <c r="AE902" s="126"/>
      <c r="AF902" s="298"/>
      <c r="AG902" s="299"/>
      <c r="AH902" s="299"/>
      <c r="AI902" s="301"/>
      <c r="AJ902" s="301"/>
      <c r="AK902" s="426"/>
      <c r="AL902" s="298"/>
      <c r="AM902" s="299"/>
      <c r="AN902" s="299"/>
      <c r="AO902" s="301"/>
      <c r="AP902" s="301"/>
      <c r="AQ902" s="426"/>
      <c r="AR902" s="298"/>
      <c r="AS902" s="299"/>
      <c r="AT902" s="299"/>
      <c r="AU902" s="301"/>
      <c r="AV902" s="301"/>
      <c r="AW902" s="88"/>
      <c r="AX902" s="298"/>
      <c r="AY902" s="299"/>
      <c r="AZ902" s="299"/>
      <c r="BA902" s="301"/>
      <c r="BB902" s="301"/>
      <c r="BC902" s="426"/>
      <c r="BD902" s="298"/>
      <c r="BE902" s="299"/>
      <c r="BF902" s="299"/>
      <c r="BG902" s="301"/>
      <c r="BH902" s="301"/>
      <c r="BI902" s="88"/>
      <c r="BJ902" s="298"/>
      <c r="BK902" s="299"/>
      <c r="BL902" s="299"/>
      <c r="BM902" s="301"/>
      <c r="BN902" s="301"/>
      <c r="BO902" s="88"/>
      <c r="BP902" s="9"/>
      <c r="BS902" s="81"/>
      <c r="BT902" s="81"/>
      <c r="BV902" s="9"/>
      <c r="BY902" s="81"/>
      <c r="BZ902" s="81"/>
      <c r="CB902" s="9"/>
      <c r="CE902" s="81"/>
      <c r="CF902" s="81"/>
      <c r="CH902" s="9"/>
      <c r="CK902" s="81"/>
      <c r="CL902" s="81"/>
      <c r="CR902" s="9"/>
      <c r="CS902" s="9"/>
      <c r="CT902" s="9"/>
      <c r="CU902" s="9"/>
      <c r="CV902" s="9"/>
      <c r="CW902" s="129"/>
      <c r="CX902" s="9"/>
    </row>
    <row r="903" spans="1:102">
      <c r="A903" s="6" t="str">
        <f t="shared" si="131"/>
        <v>01790998</v>
      </c>
      <c r="B903" s="6" t="s">
        <v>1829</v>
      </c>
      <c r="C903" s="6" t="s">
        <v>2091</v>
      </c>
      <c r="D903" s="6">
        <v>894</v>
      </c>
      <c r="E903" s="6">
        <v>179</v>
      </c>
      <c r="F903" s="6" t="s">
        <v>1547</v>
      </c>
      <c r="G903" s="6">
        <v>998</v>
      </c>
      <c r="H903" s="6" t="s">
        <v>1547</v>
      </c>
      <c r="I903" s="33">
        <v>0</v>
      </c>
      <c r="J903" s="88">
        <v>0</v>
      </c>
      <c r="K903" s="89">
        <f t="shared" si="140"/>
        <v>0</v>
      </c>
      <c r="L903" s="88">
        <f>IF(K904&gt;0, K903/K904, 0)</f>
        <v>0</v>
      </c>
      <c r="M903" s="58"/>
      <c r="N903" s="9">
        <f>ROUND(M904*L903,0)</f>
        <v>0</v>
      </c>
      <c r="O903" s="9">
        <v>0</v>
      </c>
      <c r="P903" s="9">
        <f>N903-O903</f>
        <v>0</v>
      </c>
      <c r="Q903" s="40">
        <f t="shared" si="139"/>
        <v>0</v>
      </c>
      <c r="R903" s="9">
        <v>0</v>
      </c>
      <c r="S903" s="9">
        <f t="shared" si="137"/>
        <v>0</v>
      </c>
      <c r="T903" s="90">
        <f t="shared" si="132"/>
        <v>179</v>
      </c>
      <c r="U903" s="90">
        <f t="shared" si="133"/>
        <v>998</v>
      </c>
      <c r="V903" s="373">
        <f t="shared" si="134"/>
        <v>894</v>
      </c>
      <c r="W903" s="90">
        <f t="shared" si="135"/>
        <v>0</v>
      </c>
      <c r="X903" s="90">
        <f t="shared" si="136"/>
        <v>0</v>
      </c>
      <c r="Y903" s="141">
        <f t="shared" si="138"/>
        <v>894</v>
      </c>
      <c r="Z903" s="298">
        <v>179</v>
      </c>
      <c r="AA903" s="299">
        <v>998</v>
      </c>
      <c r="AB903" s="299">
        <v>894</v>
      </c>
      <c r="AC903" s="301">
        <v>0</v>
      </c>
      <c r="AD903" s="301">
        <v>0</v>
      </c>
      <c r="AE903" s="126"/>
      <c r="AF903" s="298"/>
      <c r="AG903" s="299"/>
      <c r="AH903" s="299"/>
      <c r="AI903" s="301"/>
      <c r="AJ903" s="301"/>
      <c r="AK903" s="426"/>
      <c r="AL903" s="298"/>
      <c r="AM903" s="299"/>
      <c r="AN903" s="299"/>
      <c r="AO903" s="301"/>
      <c r="AP903" s="301"/>
      <c r="AQ903" s="426"/>
      <c r="AR903" s="298"/>
      <c r="AS903" s="299"/>
      <c r="AT903" s="299"/>
      <c r="AU903" s="301"/>
      <c r="AV903" s="301"/>
      <c r="AW903" s="88"/>
      <c r="AX903" s="298"/>
      <c r="AY903" s="299"/>
      <c r="AZ903" s="299"/>
      <c r="BA903" s="301"/>
      <c r="BB903" s="301"/>
      <c r="BC903" s="426"/>
      <c r="BD903" s="298"/>
      <c r="BE903" s="299"/>
      <c r="BF903" s="299"/>
      <c r="BG903" s="301"/>
      <c r="BH903" s="301"/>
      <c r="BI903" s="88"/>
      <c r="BJ903" s="298"/>
      <c r="BK903" s="299"/>
      <c r="BL903" s="299"/>
      <c r="BM903" s="301"/>
      <c r="BN903" s="301"/>
      <c r="BO903" s="88"/>
      <c r="BP903" s="9"/>
      <c r="BS903" s="81"/>
      <c r="BT903" s="81"/>
      <c r="BV903" s="9"/>
      <c r="BY903" s="81"/>
      <c r="BZ903" s="81"/>
      <c r="CB903" s="9"/>
      <c r="CE903" s="81"/>
      <c r="CF903" s="81"/>
      <c r="CH903" s="9"/>
      <c r="CK903" s="81"/>
      <c r="CL903" s="81"/>
      <c r="CR903" s="9"/>
      <c r="CS903" s="9"/>
      <c r="CT903" s="9"/>
      <c r="CU903" s="9"/>
      <c r="CV903" s="9"/>
      <c r="CW903" s="129"/>
      <c r="CX903" s="9"/>
    </row>
    <row r="904" spans="1:102">
      <c r="A904" s="6" t="str">
        <f t="shared" si="131"/>
        <v>01790999</v>
      </c>
      <c r="B904" s="6" t="s">
        <v>1829</v>
      </c>
      <c r="C904" s="6" t="s">
        <v>2092</v>
      </c>
      <c r="D904" s="6">
        <v>895</v>
      </c>
      <c r="E904" s="10">
        <v>179</v>
      </c>
      <c r="F904" s="10" t="s">
        <v>1297</v>
      </c>
      <c r="G904" s="10">
        <v>999</v>
      </c>
      <c r="H904" s="10" t="s">
        <v>593</v>
      </c>
      <c r="I904" s="92">
        <v>12443391.775905916</v>
      </c>
      <c r="J904" s="472">
        <v>1.0000000000000002</v>
      </c>
      <c r="K904" s="53">
        <f>SUM(K900:K903)</f>
        <v>12496308.089068387</v>
      </c>
      <c r="L904" s="91">
        <f>SUM(L900:L903)</f>
        <v>0.99999999999999989</v>
      </c>
      <c r="M904" s="79">
        <f>VLOOKUP(E904,town351,24)</f>
        <v>10044033</v>
      </c>
      <c r="N904" s="79">
        <f>SUM(N900:N903)</f>
        <v>10044034</v>
      </c>
      <c r="O904" s="79">
        <v>9572128</v>
      </c>
      <c r="P904" s="79">
        <f>SUM(P900:P903)</f>
        <v>471906</v>
      </c>
      <c r="Q904" s="39">
        <f t="shared" si="139"/>
        <v>4.9300009360510018</v>
      </c>
      <c r="R904" s="9">
        <v>961.02532879006992</v>
      </c>
      <c r="S904" s="9">
        <f t="shared" si="137"/>
        <v>941.60119940071002</v>
      </c>
      <c r="T904" s="90">
        <f t="shared" si="132"/>
        <v>179</v>
      </c>
      <c r="U904" s="90">
        <f t="shared" si="133"/>
        <v>999</v>
      </c>
      <c r="V904" s="373">
        <f t="shared" si="134"/>
        <v>895</v>
      </c>
      <c r="W904" s="90">
        <f t="shared" si="135"/>
        <v>941.60119940071002</v>
      </c>
      <c r="X904" s="90">
        <f t="shared" si="136"/>
        <v>12496308.089068387</v>
      </c>
      <c r="Y904" s="141">
        <f t="shared" si="138"/>
        <v>895</v>
      </c>
      <c r="Z904" s="298">
        <v>179</v>
      </c>
      <c r="AA904" s="299">
        <v>999</v>
      </c>
      <c r="AB904" s="299">
        <v>895</v>
      </c>
      <c r="AC904" s="301">
        <v>941.60119940071002</v>
      </c>
      <c r="AD904" s="301">
        <v>12496308.089068387</v>
      </c>
      <c r="AE904" s="126"/>
      <c r="AF904" s="298"/>
      <c r="AG904" s="299"/>
      <c r="AH904" s="299"/>
      <c r="AI904" s="301"/>
      <c r="AJ904" s="301"/>
      <c r="AK904" s="426"/>
      <c r="AL904" s="298"/>
      <c r="AM904" s="299"/>
      <c r="AN904" s="299"/>
      <c r="AO904" s="301"/>
      <c r="AP904" s="301"/>
      <c r="AQ904" s="426"/>
      <c r="AR904" s="298"/>
      <c r="AS904" s="299"/>
      <c r="AT904" s="299"/>
      <c r="AU904" s="301"/>
      <c r="AV904" s="301"/>
      <c r="AW904" s="91"/>
      <c r="AX904" s="298"/>
      <c r="AY904" s="299"/>
      <c r="AZ904" s="299"/>
      <c r="BA904" s="301"/>
      <c r="BB904" s="301"/>
      <c r="BC904" s="426"/>
      <c r="BD904" s="298"/>
      <c r="BE904" s="299"/>
      <c r="BF904" s="299"/>
      <c r="BG904" s="301"/>
      <c r="BH904" s="301"/>
      <c r="BI904" s="91"/>
      <c r="BJ904" s="298"/>
      <c r="BK904" s="299"/>
      <c r="BL904" s="299"/>
      <c r="BM904" s="301"/>
      <c r="BN904" s="301"/>
      <c r="BO904" s="91"/>
      <c r="BP904" s="9"/>
      <c r="BS904" s="81"/>
      <c r="BT904" s="81"/>
      <c r="BV904" s="9"/>
      <c r="BY904" s="81"/>
      <c r="BZ904" s="81"/>
      <c r="CB904" s="9"/>
      <c r="CE904" s="81"/>
      <c r="CF904" s="81"/>
      <c r="CH904" s="9"/>
      <c r="CK904" s="81"/>
      <c r="CL904" s="81"/>
      <c r="CR904" s="9"/>
      <c r="CS904" s="9"/>
      <c r="CT904" s="9"/>
      <c r="CU904" s="9"/>
      <c r="CV904" s="9"/>
      <c r="CW904" s="129"/>
      <c r="CX904" s="9"/>
    </row>
    <row r="905" spans="1:102">
      <c r="A905" s="6" t="str">
        <f t="shared" si="131"/>
        <v>01800180</v>
      </c>
      <c r="B905" s="6" t="s">
        <v>1830</v>
      </c>
      <c r="C905" s="6" t="s">
        <v>1830</v>
      </c>
      <c r="D905" s="6">
        <v>896</v>
      </c>
      <c r="E905" s="6">
        <v>180</v>
      </c>
      <c r="F905" s="6" t="s">
        <v>1298</v>
      </c>
      <c r="G905" s="6">
        <v>180</v>
      </c>
      <c r="H905" s="6" t="s">
        <v>861</v>
      </c>
      <c r="I905" s="33">
        <v>164907.6</v>
      </c>
      <c r="J905" s="88">
        <v>1.4987034968488376E-2</v>
      </c>
      <c r="K905" s="89">
        <f>X905</f>
        <v>134882.64000000001</v>
      </c>
      <c r="L905" s="88">
        <f>IF(K909&gt;0, K905/K909, 0)</f>
        <v>1.1899295702164622E-2</v>
      </c>
      <c r="M905" s="58"/>
      <c r="N905" s="9">
        <f>ROUND(M909*L905,0)</f>
        <v>97208</v>
      </c>
      <c r="O905" s="9">
        <v>115885</v>
      </c>
      <c r="P905" s="9">
        <f>N905-O905</f>
        <v>-18677</v>
      </c>
      <c r="Q905" s="40">
        <f t="shared" si="139"/>
        <v>-16.116839970660568</v>
      </c>
      <c r="R905" s="9">
        <v>10</v>
      </c>
      <c r="S905" s="9">
        <f t="shared" si="137"/>
        <v>8</v>
      </c>
      <c r="T905" s="90">
        <f t="shared" si="132"/>
        <v>180</v>
      </c>
      <c r="U905" s="90">
        <f t="shared" si="133"/>
        <v>180</v>
      </c>
      <c r="V905" s="373">
        <f t="shared" si="134"/>
        <v>896</v>
      </c>
      <c r="W905" s="90">
        <f t="shared" si="135"/>
        <v>8</v>
      </c>
      <c r="X905" s="90">
        <f t="shared" si="136"/>
        <v>134882.64000000001</v>
      </c>
      <c r="Y905" s="141">
        <f t="shared" si="138"/>
        <v>896</v>
      </c>
      <c r="Z905" s="298">
        <v>180</v>
      </c>
      <c r="AA905" s="299">
        <v>180</v>
      </c>
      <c r="AB905" s="299">
        <v>896</v>
      </c>
      <c r="AC905" s="301">
        <v>8</v>
      </c>
      <c r="AD905" s="301">
        <v>134882.64000000001</v>
      </c>
      <c r="AE905" s="126"/>
      <c r="AF905" s="298"/>
      <c r="AG905" s="299"/>
      <c r="AH905" s="299"/>
      <c r="AI905" s="301"/>
      <c r="AJ905" s="301"/>
      <c r="AK905" s="426"/>
      <c r="AL905" s="298"/>
      <c r="AM905" s="299"/>
      <c r="AN905" s="299"/>
      <c r="AO905" s="301"/>
      <c r="AP905" s="301"/>
      <c r="AQ905" s="426"/>
      <c r="AR905" s="298"/>
      <c r="AS905" s="299"/>
      <c r="AT905" s="299"/>
      <c r="AU905" s="301"/>
      <c r="AV905" s="301"/>
      <c r="AW905" s="88"/>
      <c r="AX905" s="298"/>
      <c r="AY905" s="299"/>
      <c r="AZ905" s="299"/>
      <c r="BA905" s="301"/>
      <c r="BB905" s="301"/>
      <c r="BC905" s="426"/>
      <c r="BD905" s="298"/>
      <c r="BE905" s="299"/>
      <c r="BF905" s="299"/>
      <c r="BG905" s="301"/>
      <c r="BH905" s="301"/>
      <c r="BI905" s="88"/>
      <c r="BJ905" s="298"/>
      <c r="BK905" s="299"/>
      <c r="BL905" s="299"/>
      <c r="BM905" s="301"/>
      <c r="BN905" s="301"/>
      <c r="BO905" s="88"/>
      <c r="BP905" s="9"/>
      <c r="BS905" s="81"/>
      <c r="BT905" s="81"/>
      <c r="BV905" s="9"/>
      <c r="BY905" s="81"/>
      <c r="BZ905" s="81"/>
      <c r="CB905" s="9"/>
      <c r="CE905" s="81"/>
      <c r="CF905" s="81"/>
      <c r="CH905" s="9"/>
      <c r="CK905" s="81"/>
      <c r="CL905" s="81"/>
      <c r="CR905" s="9"/>
      <c r="CS905" s="9"/>
      <c r="CT905" s="9"/>
      <c r="CU905" s="9"/>
      <c r="CV905" s="9"/>
      <c r="CW905" s="129"/>
      <c r="CX905" s="9"/>
    </row>
    <row r="906" spans="1:102">
      <c r="A906" s="6" t="str">
        <f t="shared" ref="A906:A969" si="141">B906&amp;C906</f>
        <v>01800745</v>
      </c>
      <c r="B906" s="6" t="s">
        <v>1830</v>
      </c>
      <c r="C906" s="6" t="s">
        <v>2047</v>
      </c>
      <c r="D906" s="6">
        <v>897</v>
      </c>
      <c r="E906" s="6">
        <v>180</v>
      </c>
      <c r="F906" s="6" t="s">
        <v>1298</v>
      </c>
      <c r="G906" s="6">
        <v>745</v>
      </c>
      <c r="H906" s="6" t="s">
        <v>1077</v>
      </c>
      <c r="I906" s="33">
        <v>10006461.846343849</v>
      </c>
      <c r="J906" s="88">
        <v>0.90940134719079058</v>
      </c>
      <c r="K906" s="89">
        <f t="shared" si="140"/>
        <v>10346630.009707285</v>
      </c>
      <c r="L906" s="88">
        <f>IF(K909&gt;0, K906/K909, 0)</f>
        <v>0.91277580277489667</v>
      </c>
      <c r="M906" s="58"/>
      <c r="N906" s="9">
        <f>ROUND(M909*L906,0)</f>
        <v>7456662</v>
      </c>
      <c r="O906" s="9">
        <v>7031799</v>
      </c>
      <c r="P906" s="9">
        <f>N906-O906</f>
        <v>424863</v>
      </c>
      <c r="Q906" s="40">
        <f t="shared" si="139"/>
        <v>6.0420242387474383</v>
      </c>
      <c r="R906" s="9">
        <v>818.19271948127994</v>
      </c>
      <c r="S906" s="9">
        <f t="shared" si="137"/>
        <v>822.38013699570001</v>
      </c>
      <c r="T906" s="90">
        <f t="shared" ref="T906:T969" si="142">VLOOKUP($D906, foundoptions, VLOOKUP($T$6, foundoptcell, 2, FALSE), FALSE)</f>
        <v>180</v>
      </c>
      <c r="U906" s="90">
        <f t="shared" ref="U906:U969" si="143">VLOOKUP($D906, foundoptions, VLOOKUP($T$6, foundoptcell, 2, FALSE)+1, FALSE)</f>
        <v>745</v>
      </c>
      <c r="V906" s="373">
        <f t="shared" ref="V906:V969" si="144">VLOOKUP($D906, foundoptions, VLOOKUP($T$6, foundoptcell, 2, FALSE)+2, FALSE)</f>
        <v>897</v>
      </c>
      <c r="W906" s="90">
        <f t="shared" ref="W906:W969" si="145">VLOOKUP($D906, foundoptions, VLOOKUP($T$6, foundoptcell, 2, FALSE)+3, FALSE)</f>
        <v>822.38013699570001</v>
      </c>
      <c r="X906" s="90">
        <f t="shared" ref="X906:X969" si="146">VLOOKUP($D906, foundoptions, VLOOKUP($T$6, foundoptcell, 2, FALSE)+4, FALSE)</f>
        <v>10346630.009707285</v>
      </c>
      <c r="Y906" s="141">
        <f t="shared" si="138"/>
        <v>897</v>
      </c>
      <c r="Z906" s="298">
        <v>180</v>
      </c>
      <c r="AA906" s="299">
        <v>745</v>
      </c>
      <c r="AB906" s="299">
        <v>897</v>
      </c>
      <c r="AC906" s="301">
        <v>822.38013699570001</v>
      </c>
      <c r="AD906" s="301">
        <v>10346630.009707285</v>
      </c>
      <c r="AE906" s="126"/>
      <c r="AF906" s="298"/>
      <c r="AG906" s="299"/>
      <c r="AH906" s="299"/>
      <c r="AI906" s="301"/>
      <c r="AJ906" s="301"/>
      <c r="AK906" s="426"/>
      <c r="AL906" s="298"/>
      <c r="AM906" s="299"/>
      <c r="AN906" s="299"/>
      <c r="AO906" s="301"/>
      <c r="AP906" s="301"/>
      <c r="AQ906" s="426"/>
      <c r="AR906" s="298"/>
      <c r="AS906" s="299"/>
      <c r="AT906" s="299"/>
      <c r="AU906" s="301"/>
      <c r="AV906" s="301"/>
      <c r="AW906" s="88"/>
      <c r="AX906" s="298"/>
      <c r="AY906" s="299"/>
      <c r="AZ906" s="299"/>
      <c r="BA906" s="301"/>
      <c r="BB906" s="301"/>
      <c r="BC906" s="426"/>
      <c r="BD906" s="298"/>
      <c r="BE906" s="299"/>
      <c r="BF906" s="299"/>
      <c r="BG906" s="301"/>
      <c r="BH906" s="301"/>
      <c r="BI906" s="88"/>
      <c r="BJ906" s="298"/>
      <c r="BK906" s="299"/>
      <c r="BL906" s="299"/>
      <c r="BM906" s="301"/>
      <c r="BN906" s="301"/>
      <c r="BO906" s="88"/>
      <c r="BP906" s="9"/>
      <c r="BS906" s="81"/>
      <c r="BT906" s="81"/>
      <c r="BV906" s="9"/>
      <c r="BY906" s="81"/>
      <c r="BZ906" s="81"/>
      <c r="CB906" s="9"/>
      <c r="CE906" s="81"/>
      <c r="CF906" s="81"/>
      <c r="CH906" s="9"/>
      <c r="CK906" s="81"/>
      <c r="CL906" s="81"/>
      <c r="CR906" s="9"/>
      <c r="CS906" s="9"/>
      <c r="CT906" s="9"/>
      <c r="CU906" s="9"/>
      <c r="CV906" s="9"/>
      <c r="CW906" s="129"/>
      <c r="CX906" s="9"/>
    </row>
    <row r="907" spans="1:102">
      <c r="A907" s="6" t="str">
        <f t="shared" si="141"/>
        <v>01800885</v>
      </c>
      <c r="B907" s="6" t="s">
        <v>1830</v>
      </c>
      <c r="C907" s="6" t="s">
        <v>2087</v>
      </c>
      <c r="D907" s="6">
        <v>898</v>
      </c>
      <c r="E907" s="6">
        <v>180</v>
      </c>
      <c r="F907" s="6" t="s">
        <v>1298</v>
      </c>
      <c r="G907" s="6">
        <v>885</v>
      </c>
      <c r="H907" s="6" t="s">
        <v>1117</v>
      </c>
      <c r="I907" s="33">
        <v>831981.1394613802</v>
      </c>
      <c r="J907" s="88">
        <v>7.5611617840721165E-2</v>
      </c>
      <c r="K907" s="89">
        <f t="shared" si="140"/>
        <v>853833.85953722883</v>
      </c>
      <c r="L907" s="88">
        <f>IF(K909&gt;0, K907/K909, 0)</f>
        <v>7.5324901522938595E-2</v>
      </c>
      <c r="M907" s="58"/>
      <c r="N907" s="9">
        <f>ROUND(M909*L907,0)</f>
        <v>615345</v>
      </c>
      <c r="O907" s="9">
        <v>584655</v>
      </c>
      <c r="P907" s="9">
        <f>N907-O907</f>
        <v>30690</v>
      </c>
      <c r="Q907" s="40">
        <f t="shared" si="139"/>
        <v>5.2492495574313054</v>
      </c>
      <c r="R907" s="9">
        <v>40.000000000500002</v>
      </c>
      <c r="S907" s="9">
        <f t="shared" ref="S907:S970" si="147">W907</f>
        <v>40.094191517250003</v>
      </c>
      <c r="T907" s="90">
        <f t="shared" si="142"/>
        <v>180</v>
      </c>
      <c r="U907" s="90">
        <f t="shared" si="143"/>
        <v>885</v>
      </c>
      <c r="V907" s="373">
        <f t="shared" si="144"/>
        <v>898</v>
      </c>
      <c r="W907" s="90">
        <f t="shared" si="145"/>
        <v>40.094191517250003</v>
      </c>
      <c r="X907" s="90">
        <f t="shared" si="146"/>
        <v>853833.85953722883</v>
      </c>
      <c r="Y907" s="141">
        <f t="shared" ref="Y907:Y970" si="148">D907</f>
        <v>898</v>
      </c>
      <c r="Z907" s="298">
        <v>180</v>
      </c>
      <c r="AA907" s="299">
        <v>885</v>
      </c>
      <c r="AB907" s="299">
        <v>898</v>
      </c>
      <c r="AC907" s="301">
        <v>40.094191517250003</v>
      </c>
      <c r="AD907" s="301">
        <v>853833.85953722883</v>
      </c>
      <c r="AE907" s="126"/>
      <c r="AF907" s="298"/>
      <c r="AG907" s="299"/>
      <c r="AH907" s="299"/>
      <c r="AI907" s="301"/>
      <c r="AJ907" s="301"/>
      <c r="AK907" s="426"/>
      <c r="AL907" s="298"/>
      <c r="AM907" s="299"/>
      <c r="AN907" s="299"/>
      <c r="AO907" s="301"/>
      <c r="AP907" s="301"/>
      <c r="AQ907" s="426"/>
      <c r="AR907" s="298"/>
      <c r="AS907" s="299"/>
      <c r="AT907" s="299"/>
      <c r="AU907" s="301"/>
      <c r="AV907" s="301"/>
      <c r="AW907" s="88"/>
      <c r="AX907" s="298"/>
      <c r="AY907" s="299"/>
      <c r="AZ907" s="299"/>
      <c r="BA907" s="301"/>
      <c r="BB907" s="301"/>
      <c r="BC907" s="426"/>
      <c r="BD907" s="298"/>
      <c r="BE907" s="299"/>
      <c r="BF907" s="299"/>
      <c r="BG907" s="301"/>
      <c r="BH907" s="301"/>
      <c r="BI907" s="88"/>
      <c r="BJ907" s="298"/>
      <c r="BK907" s="299"/>
      <c r="BL907" s="299"/>
      <c r="BM907" s="301"/>
      <c r="BN907" s="301"/>
      <c r="BO907" s="88"/>
      <c r="BP907" s="9"/>
      <c r="BS907" s="81"/>
      <c r="BT907" s="81"/>
      <c r="BV907" s="9"/>
      <c r="BY907" s="81"/>
      <c r="BZ907" s="81"/>
      <c r="CB907" s="9"/>
      <c r="CE907" s="81"/>
      <c r="CF907" s="81"/>
      <c r="CH907" s="9"/>
      <c r="CK907" s="81"/>
      <c r="CL907" s="81"/>
      <c r="CR907" s="9"/>
      <c r="CS907" s="9"/>
      <c r="CT907" s="9"/>
      <c r="CU907" s="9"/>
      <c r="CV907" s="9"/>
      <c r="CW907" s="129"/>
      <c r="CX907" s="9"/>
    </row>
    <row r="908" spans="1:102">
      <c r="A908" s="6" t="str">
        <f t="shared" si="141"/>
        <v>01800998</v>
      </c>
      <c r="B908" s="6" t="s">
        <v>1830</v>
      </c>
      <c r="C908" s="6" t="s">
        <v>2091</v>
      </c>
      <c r="D908" s="6">
        <v>899</v>
      </c>
      <c r="E908" s="6">
        <v>180</v>
      </c>
      <c r="F908" s="6" t="s">
        <v>1547</v>
      </c>
      <c r="G908" s="6">
        <v>998</v>
      </c>
      <c r="I908" s="33">
        <v>0</v>
      </c>
      <c r="J908" s="88">
        <v>0</v>
      </c>
      <c r="K908" s="89">
        <f t="shared" si="140"/>
        <v>0</v>
      </c>
      <c r="L908" s="88">
        <f>IF(K909&gt;0, K908/K909, 0)</f>
        <v>0</v>
      </c>
      <c r="M908" s="58"/>
      <c r="N908" s="9">
        <f>ROUND(M909*L908,0)</f>
        <v>0</v>
      </c>
      <c r="O908" s="9">
        <v>0</v>
      </c>
      <c r="P908" s="9">
        <f>N908-O908</f>
        <v>0</v>
      </c>
      <c r="Q908" s="40">
        <f t="shared" si="139"/>
        <v>0</v>
      </c>
      <c r="R908" s="9">
        <v>0</v>
      </c>
      <c r="S908" s="9">
        <f t="shared" si="147"/>
        <v>0</v>
      </c>
      <c r="T908" s="90">
        <f t="shared" si="142"/>
        <v>180</v>
      </c>
      <c r="U908" s="90">
        <f t="shared" si="143"/>
        <v>998</v>
      </c>
      <c r="V908" s="373">
        <f t="shared" si="144"/>
        <v>899</v>
      </c>
      <c r="W908" s="90">
        <f t="shared" si="145"/>
        <v>0</v>
      </c>
      <c r="X908" s="90">
        <f t="shared" si="146"/>
        <v>0</v>
      </c>
      <c r="Y908" s="141">
        <f t="shared" si="148"/>
        <v>899</v>
      </c>
      <c r="Z908" s="298">
        <v>180</v>
      </c>
      <c r="AA908" s="299">
        <v>998</v>
      </c>
      <c r="AB908" s="299">
        <v>899</v>
      </c>
      <c r="AC908" s="301">
        <v>0</v>
      </c>
      <c r="AD908" s="301">
        <v>0</v>
      </c>
      <c r="AE908" s="126"/>
      <c r="AF908" s="298"/>
      <c r="AG908" s="299"/>
      <c r="AH908" s="299"/>
      <c r="AI908" s="301"/>
      <c r="AJ908" s="301"/>
      <c r="AK908" s="426"/>
      <c r="AL908" s="298"/>
      <c r="AM908" s="299"/>
      <c r="AN908" s="299"/>
      <c r="AO908" s="301"/>
      <c r="AP908" s="301"/>
      <c r="AQ908" s="426"/>
      <c r="AR908" s="298"/>
      <c r="AS908" s="299"/>
      <c r="AT908" s="299"/>
      <c r="AU908" s="301"/>
      <c r="AV908" s="301"/>
      <c r="AW908" s="88"/>
      <c r="AX908" s="298"/>
      <c r="AY908" s="299"/>
      <c r="AZ908" s="299"/>
      <c r="BA908" s="301"/>
      <c r="BB908" s="301"/>
      <c r="BC908" s="426"/>
      <c r="BD908" s="298"/>
      <c r="BE908" s="299"/>
      <c r="BF908" s="299"/>
      <c r="BG908" s="301"/>
      <c r="BH908" s="301"/>
      <c r="BI908" s="88"/>
      <c r="BJ908" s="298"/>
      <c r="BK908" s="299"/>
      <c r="BL908" s="299"/>
      <c r="BM908" s="301"/>
      <c r="BN908" s="301"/>
      <c r="BO908" s="88"/>
      <c r="BP908" s="9"/>
      <c r="BS908" s="81"/>
      <c r="BT908" s="81"/>
      <c r="BV908" s="9"/>
      <c r="BY908" s="81"/>
      <c r="BZ908" s="81"/>
      <c r="CB908" s="9"/>
      <c r="CE908" s="81"/>
      <c r="CF908" s="81"/>
      <c r="CH908" s="9"/>
      <c r="CK908" s="81"/>
      <c r="CL908" s="81"/>
      <c r="CR908" s="9"/>
      <c r="CS908" s="9"/>
      <c r="CT908" s="9"/>
      <c r="CU908" s="9"/>
      <c r="CV908" s="9"/>
      <c r="CW908" s="129"/>
      <c r="CX908" s="9"/>
    </row>
    <row r="909" spans="1:102">
      <c r="A909" s="6" t="str">
        <f t="shared" si="141"/>
        <v>01800999</v>
      </c>
      <c r="B909" s="6" t="s">
        <v>1830</v>
      </c>
      <c r="C909" s="6" t="s">
        <v>2092</v>
      </c>
      <c r="D909" s="6">
        <v>900</v>
      </c>
      <c r="E909" s="10">
        <v>180</v>
      </c>
      <c r="F909" s="10" t="s">
        <v>1298</v>
      </c>
      <c r="G909" s="10">
        <v>999</v>
      </c>
      <c r="H909" s="10" t="s">
        <v>593</v>
      </c>
      <c r="I909" s="92">
        <v>11003350.585805228</v>
      </c>
      <c r="J909" s="472">
        <v>1.0000000000000002</v>
      </c>
      <c r="K909" s="53">
        <f>SUM(K905:K908)</f>
        <v>11335346.509244515</v>
      </c>
      <c r="L909" s="91">
        <f>SUM(L905:L908)</f>
        <v>0.99999999999999989</v>
      </c>
      <c r="M909" s="79">
        <f>VLOOKUP(E909,town351,24)</f>
        <v>8169215</v>
      </c>
      <c r="N909" s="79">
        <f>SUM(N905:N908)</f>
        <v>8169215</v>
      </c>
      <c r="O909" s="79">
        <v>7732339</v>
      </c>
      <c r="P909" s="79">
        <f>SUM(P905:P908)</f>
        <v>436876</v>
      </c>
      <c r="Q909" s="39">
        <f t="shared" si="139"/>
        <v>5.6499850821336208</v>
      </c>
      <c r="R909" s="9">
        <v>868.19271948177993</v>
      </c>
      <c r="S909" s="9">
        <f t="shared" si="147"/>
        <v>870.47432851295002</v>
      </c>
      <c r="T909" s="90">
        <f t="shared" si="142"/>
        <v>180</v>
      </c>
      <c r="U909" s="90">
        <f t="shared" si="143"/>
        <v>999</v>
      </c>
      <c r="V909" s="373">
        <f t="shared" si="144"/>
        <v>900</v>
      </c>
      <c r="W909" s="90">
        <f t="shared" si="145"/>
        <v>870.47432851295002</v>
      </c>
      <c r="X909" s="90">
        <f t="shared" si="146"/>
        <v>11335346.509244515</v>
      </c>
      <c r="Y909" s="141">
        <f t="shared" si="148"/>
        <v>900</v>
      </c>
      <c r="Z909" s="298">
        <v>180</v>
      </c>
      <c r="AA909" s="299">
        <v>999</v>
      </c>
      <c r="AB909" s="299">
        <v>900</v>
      </c>
      <c r="AC909" s="301">
        <v>870.47432851295002</v>
      </c>
      <c r="AD909" s="301">
        <v>11335346.509244515</v>
      </c>
      <c r="AE909" s="126"/>
      <c r="AF909" s="298"/>
      <c r="AG909" s="299"/>
      <c r="AH909" s="299"/>
      <c r="AI909" s="301"/>
      <c r="AJ909" s="301"/>
      <c r="AK909" s="426"/>
      <c r="AL909" s="298"/>
      <c r="AM909" s="299"/>
      <c r="AN909" s="299"/>
      <c r="AO909" s="301"/>
      <c r="AP909" s="301"/>
      <c r="AQ909" s="426"/>
      <c r="AR909" s="298"/>
      <c r="AS909" s="299"/>
      <c r="AT909" s="299"/>
      <c r="AU909" s="301"/>
      <c r="AV909" s="301"/>
      <c r="AW909" s="91"/>
      <c r="AX909" s="298"/>
      <c r="AY909" s="299"/>
      <c r="AZ909" s="299"/>
      <c r="BA909" s="301"/>
      <c r="BB909" s="301"/>
      <c r="BC909" s="426"/>
      <c r="BD909" s="298"/>
      <c r="BE909" s="299"/>
      <c r="BF909" s="299"/>
      <c r="BG909" s="301"/>
      <c r="BH909" s="301"/>
      <c r="BI909" s="91"/>
      <c r="BJ909" s="298"/>
      <c r="BK909" s="299"/>
      <c r="BL909" s="299"/>
      <c r="BM909" s="301"/>
      <c r="BN909" s="301"/>
      <c r="BO909" s="91"/>
      <c r="BP909" s="9"/>
      <c r="BS909" s="81"/>
      <c r="BT909" s="81"/>
      <c r="BV909" s="9"/>
      <c r="BY909" s="81"/>
      <c r="BZ909" s="81"/>
      <c r="CB909" s="9"/>
      <c r="CE909" s="81"/>
      <c r="CF909" s="81"/>
      <c r="CH909" s="9"/>
      <c r="CK909" s="81"/>
      <c r="CL909" s="81"/>
      <c r="CR909" s="9"/>
      <c r="CS909" s="9"/>
      <c r="CT909" s="9"/>
      <c r="CU909" s="9"/>
      <c r="CV909" s="9"/>
      <c r="CW909" s="129"/>
      <c r="CX909" s="9"/>
    </row>
    <row r="910" spans="1:102">
      <c r="A910" s="6" t="str">
        <f t="shared" si="141"/>
        <v>01810181</v>
      </c>
      <c r="B910" s="6" t="s">
        <v>1831</v>
      </c>
      <c r="C910" s="6" t="s">
        <v>1831</v>
      </c>
      <c r="D910" s="6">
        <v>901</v>
      </c>
      <c r="E910" s="6">
        <v>181</v>
      </c>
      <c r="F910" s="6" t="s">
        <v>1299</v>
      </c>
      <c r="G910" s="6">
        <v>181</v>
      </c>
      <c r="H910" s="6" t="s">
        <v>862</v>
      </c>
      <c r="I910" s="33">
        <v>109298849.82999998</v>
      </c>
      <c r="J910" s="88">
        <v>0.91414493418554221</v>
      </c>
      <c r="K910" s="89">
        <f>X910</f>
        <v>115622808.23</v>
      </c>
      <c r="L910" s="88">
        <f>IF(K914&gt;0, K910/K914, 0)</f>
        <v>0.91408769381281385</v>
      </c>
      <c r="M910" s="58"/>
      <c r="N910" s="9">
        <f>ROUND(M914*L910,0)</f>
        <v>47005987</v>
      </c>
      <c r="O910" s="9">
        <v>44617436</v>
      </c>
      <c r="P910" s="9">
        <f>N910-O910</f>
        <v>2388551</v>
      </c>
      <c r="Q910" s="40">
        <f t="shared" si="139"/>
        <v>5.3534026473417251</v>
      </c>
      <c r="R910" s="9">
        <v>6775</v>
      </c>
      <c r="S910" s="9">
        <f t="shared" si="147"/>
        <v>6860</v>
      </c>
      <c r="T910" s="90">
        <f t="shared" si="142"/>
        <v>181</v>
      </c>
      <c r="U910" s="90">
        <f t="shared" si="143"/>
        <v>181</v>
      </c>
      <c r="V910" s="373">
        <f t="shared" si="144"/>
        <v>901</v>
      </c>
      <c r="W910" s="90">
        <f t="shared" si="145"/>
        <v>6860</v>
      </c>
      <c r="X910" s="90">
        <f t="shared" si="146"/>
        <v>115622808.23</v>
      </c>
      <c r="Y910" s="141">
        <f t="shared" si="148"/>
        <v>901</v>
      </c>
      <c r="Z910" s="298">
        <v>181</v>
      </c>
      <c r="AA910" s="299">
        <v>181</v>
      </c>
      <c r="AB910" s="299">
        <v>901</v>
      </c>
      <c r="AC910" s="301">
        <v>6860</v>
      </c>
      <c r="AD910" s="301">
        <v>115622808.23</v>
      </c>
      <c r="AE910" s="126"/>
      <c r="AF910" s="298"/>
      <c r="AG910" s="299"/>
      <c r="AH910" s="299"/>
      <c r="AI910" s="301"/>
      <c r="AJ910" s="301"/>
      <c r="AK910" s="426"/>
      <c r="AL910" s="298"/>
      <c r="AM910" s="299"/>
      <c r="AN910" s="299"/>
      <c r="AO910" s="301"/>
      <c r="AP910" s="301"/>
      <c r="AQ910" s="426"/>
      <c r="AR910" s="298"/>
      <c r="AS910" s="299"/>
      <c r="AT910" s="299"/>
      <c r="AU910" s="301"/>
      <c r="AV910" s="301"/>
      <c r="AW910" s="88"/>
      <c r="AX910" s="298"/>
      <c r="AY910" s="299"/>
      <c r="AZ910" s="299"/>
      <c r="BA910" s="301"/>
      <c r="BB910" s="301"/>
      <c r="BC910" s="426"/>
      <c r="BD910" s="298"/>
      <c r="BE910" s="299"/>
      <c r="BF910" s="299"/>
      <c r="BG910" s="301"/>
      <c r="BH910" s="301"/>
      <c r="BI910" s="88"/>
      <c r="BJ910" s="298"/>
      <c r="BK910" s="299"/>
      <c r="BL910" s="299"/>
      <c r="BM910" s="301"/>
      <c r="BN910" s="301"/>
      <c r="BO910" s="88"/>
      <c r="BP910" s="9"/>
      <c r="BS910" s="81"/>
      <c r="BT910" s="81"/>
      <c r="BV910" s="9"/>
      <c r="BY910" s="81"/>
      <c r="BZ910" s="81"/>
      <c r="CB910" s="9"/>
      <c r="CE910" s="81"/>
      <c r="CF910" s="81"/>
      <c r="CH910" s="9"/>
      <c r="CK910" s="81"/>
      <c r="CL910" s="81"/>
      <c r="CR910" s="9"/>
      <c r="CS910" s="9"/>
      <c r="CT910" s="9"/>
      <c r="CU910" s="9"/>
      <c r="CV910" s="9"/>
      <c r="CW910" s="129"/>
      <c r="CX910" s="9"/>
    </row>
    <row r="911" spans="1:102">
      <c r="A911" s="6" t="str">
        <f t="shared" si="141"/>
        <v>01810823</v>
      </c>
      <c r="B911" s="6" t="s">
        <v>1831</v>
      </c>
      <c r="C911" s="6" t="s">
        <v>2070</v>
      </c>
      <c r="D911" s="6">
        <v>902</v>
      </c>
      <c r="E911" s="6">
        <v>181</v>
      </c>
      <c r="F911" s="6" t="s">
        <v>1299</v>
      </c>
      <c r="G911" s="6">
        <v>823</v>
      </c>
      <c r="H911" s="6" t="s">
        <v>1100</v>
      </c>
      <c r="I911" s="33">
        <v>10265177.429397166</v>
      </c>
      <c r="J911" s="88">
        <v>8.5855065814457773E-2</v>
      </c>
      <c r="K911" s="89">
        <f t="shared" si="140"/>
        <v>10867034.060423773</v>
      </c>
      <c r="L911" s="88">
        <f>IF(K914&gt;0, K911/K914, 0)</f>
        <v>8.5912306187186135E-2</v>
      </c>
      <c r="M911" s="58"/>
      <c r="N911" s="9">
        <f>ROUND(M914*L911,0)</f>
        <v>4417949</v>
      </c>
      <c r="O911" s="9">
        <v>4190400</v>
      </c>
      <c r="P911" s="9">
        <f>N911-O911</f>
        <v>227549</v>
      </c>
      <c r="Q911" s="40">
        <f t="shared" si="139"/>
        <v>5.4302453226422296</v>
      </c>
      <c r="R911" s="9">
        <v>404.00000000700004</v>
      </c>
      <c r="S911" s="9">
        <f t="shared" si="147"/>
        <v>418.00000000290004</v>
      </c>
      <c r="T911" s="90">
        <f t="shared" si="142"/>
        <v>181</v>
      </c>
      <c r="U911" s="90">
        <f t="shared" si="143"/>
        <v>823</v>
      </c>
      <c r="V911" s="373">
        <f t="shared" si="144"/>
        <v>902</v>
      </c>
      <c r="W911" s="90">
        <f t="shared" si="145"/>
        <v>418.00000000290004</v>
      </c>
      <c r="X911" s="90">
        <f t="shared" si="146"/>
        <v>10867034.060423773</v>
      </c>
      <c r="Y911" s="141">
        <f t="shared" si="148"/>
        <v>902</v>
      </c>
      <c r="Z911" s="298">
        <v>181</v>
      </c>
      <c r="AA911" s="299">
        <v>823</v>
      </c>
      <c r="AB911" s="299">
        <v>902</v>
      </c>
      <c r="AC911" s="301">
        <v>418.00000000290004</v>
      </c>
      <c r="AD911" s="301">
        <v>10867034.060423773</v>
      </c>
      <c r="AE911" s="126"/>
      <c r="AF911" s="298"/>
      <c r="AG911" s="299"/>
      <c r="AH911" s="299"/>
      <c r="AI911" s="301"/>
      <c r="AJ911" s="301"/>
      <c r="AK911" s="426"/>
      <c r="AL911" s="298"/>
      <c r="AM911" s="299"/>
      <c r="AN911" s="299"/>
      <c r="AO911" s="301"/>
      <c r="AP911" s="301"/>
      <c r="AQ911" s="426"/>
      <c r="AR911" s="298"/>
      <c r="AS911" s="299"/>
      <c r="AT911" s="299"/>
      <c r="AU911" s="301"/>
      <c r="AV911" s="301"/>
      <c r="AW911" s="88"/>
      <c r="AX911" s="298"/>
      <c r="AY911" s="299"/>
      <c r="AZ911" s="299"/>
      <c r="BA911" s="301"/>
      <c r="BB911" s="301"/>
      <c r="BC911" s="426"/>
      <c r="BD911" s="298"/>
      <c r="BE911" s="299"/>
      <c r="BF911" s="299"/>
      <c r="BG911" s="301"/>
      <c r="BH911" s="301"/>
      <c r="BI911" s="88"/>
      <c r="BJ911" s="298"/>
      <c r="BK911" s="299"/>
      <c r="BL911" s="299"/>
      <c r="BM911" s="301"/>
      <c r="BN911" s="301"/>
      <c r="BO911" s="88"/>
      <c r="BP911" s="9"/>
      <c r="BS911" s="81"/>
      <c r="BT911" s="81"/>
      <c r="BV911" s="9"/>
      <c r="BY911" s="81"/>
      <c r="BZ911" s="81"/>
      <c r="CB911" s="9"/>
      <c r="CE911" s="81"/>
      <c r="CF911" s="81"/>
      <c r="CH911" s="9"/>
      <c r="CK911" s="81"/>
      <c r="CL911" s="81"/>
      <c r="CR911" s="9"/>
      <c r="CS911" s="9"/>
      <c r="CT911" s="9"/>
      <c r="CU911" s="9"/>
      <c r="CV911" s="9"/>
      <c r="CW911" s="129"/>
      <c r="CX911" s="9"/>
    </row>
    <row r="912" spans="1:102">
      <c r="A912" s="6" t="str">
        <f t="shared" si="141"/>
        <v>01810998</v>
      </c>
      <c r="B912" s="6" t="s">
        <v>1831</v>
      </c>
      <c r="C912" s="6" t="s">
        <v>2091</v>
      </c>
      <c r="D912" s="6">
        <v>903</v>
      </c>
      <c r="E912" s="6">
        <v>181</v>
      </c>
      <c r="F912" s="6" t="s">
        <v>1547</v>
      </c>
      <c r="G912" s="6">
        <v>998</v>
      </c>
      <c r="I912" s="33">
        <v>0</v>
      </c>
      <c r="J912" s="88">
        <v>0</v>
      </c>
      <c r="K912" s="89">
        <f t="shared" si="140"/>
        <v>0</v>
      </c>
      <c r="L912" s="88">
        <f>IF(K914&gt;0, K912/K914, 0)</f>
        <v>0</v>
      </c>
      <c r="M912" s="58"/>
      <c r="N912" s="9">
        <f>ROUND(M914*L912,0)</f>
        <v>0</v>
      </c>
      <c r="O912" s="9">
        <v>0</v>
      </c>
      <c r="P912" s="9">
        <f>N912-O912</f>
        <v>0</v>
      </c>
      <c r="Q912" s="40">
        <f>IF(O912&gt;0,P912*100/O912,IF(P912&gt;0,100,0))</f>
        <v>0</v>
      </c>
      <c r="R912" s="9">
        <v>0</v>
      </c>
      <c r="S912" s="9">
        <f t="shared" si="147"/>
        <v>0</v>
      </c>
      <c r="T912" s="90">
        <f t="shared" si="142"/>
        <v>181</v>
      </c>
      <c r="U912" s="90">
        <f t="shared" si="143"/>
        <v>998</v>
      </c>
      <c r="V912" s="373">
        <f t="shared" si="144"/>
        <v>903</v>
      </c>
      <c r="W912" s="90">
        <f t="shared" si="145"/>
        <v>0</v>
      </c>
      <c r="X912" s="90">
        <f t="shared" si="146"/>
        <v>0</v>
      </c>
      <c r="Y912" s="141">
        <f t="shared" si="148"/>
        <v>903</v>
      </c>
      <c r="Z912" s="298">
        <v>181</v>
      </c>
      <c r="AA912" s="299">
        <v>998</v>
      </c>
      <c r="AB912" s="299">
        <v>903</v>
      </c>
      <c r="AC912" s="301">
        <v>0</v>
      </c>
      <c r="AD912" s="301">
        <v>0</v>
      </c>
      <c r="AE912" s="126"/>
      <c r="AF912" s="298"/>
      <c r="AG912" s="299"/>
      <c r="AH912" s="299"/>
      <c r="AI912" s="301"/>
      <c r="AJ912" s="301"/>
      <c r="AK912" s="426"/>
      <c r="AL912" s="298"/>
      <c r="AM912" s="299"/>
      <c r="AN912" s="299"/>
      <c r="AO912" s="301"/>
      <c r="AP912" s="301"/>
      <c r="AQ912" s="426"/>
      <c r="AR912" s="298"/>
      <c r="AS912" s="299"/>
      <c r="AT912" s="299"/>
      <c r="AU912" s="301"/>
      <c r="AV912" s="301"/>
      <c r="AW912" s="88"/>
      <c r="AX912" s="298"/>
      <c r="AY912" s="299"/>
      <c r="AZ912" s="299"/>
      <c r="BA912" s="301"/>
      <c r="BB912" s="301"/>
      <c r="BC912" s="426"/>
      <c r="BD912" s="298"/>
      <c r="BE912" s="299"/>
      <c r="BF912" s="299"/>
      <c r="BG912" s="301"/>
      <c r="BH912" s="301"/>
      <c r="BI912" s="88"/>
      <c r="BJ912" s="298"/>
      <c r="BK912" s="299"/>
      <c r="BL912" s="299"/>
      <c r="BM912" s="301"/>
      <c r="BN912" s="301"/>
      <c r="BO912" s="88"/>
      <c r="BP912" s="9"/>
      <c r="BS912" s="81"/>
      <c r="BT912" s="81"/>
      <c r="BV912" s="9"/>
      <c r="BY912" s="81"/>
      <c r="BZ912" s="81"/>
      <c r="CB912" s="9"/>
      <c r="CE912" s="81"/>
      <c r="CF912" s="81"/>
      <c r="CH912" s="9"/>
      <c r="CK912" s="81"/>
      <c r="CL912" s="81"/>
      <c r="CR912" s="9"/>
      <c r="CS912" s="9"/>
      <c r="CT912" s="9"/>
      <c r="CU912" s="9"/>
      <c r="CV912" s="9"/>
      <c r="CW912" s="129"/>
      <c r="CX912" s="9"/>
    </row>
    <row r="913" spans="1:102">
      <c r="A913" s="6" t="str">
        <f t="shared" si="141"/>
        <v>01810998</v>
      </c>
      <c r="B913" s="6" t="s">
        <v>1831</v>
      </c>
      <c r="C913" s="6" t="s">
        <v>2091</v>
      </c>
      <c r="D913" s="6">
        <v>904</v>
      </c>
      <c r="E913" s="6">
        <v>181</v>
      </c>
      <c r="F913" s="6" t="s">
        <v>1547</v>
      </c>
      <c r="G913" s="6">
        <v>998</v>
      </c>
      <c r="H913" s="6" t="s">
        <v>1547</v>
      </c>
      <c r="I913" s="33">
        <v>0</v>
      </c>
      <c r="J913" s="88">
        <v>0</v>
      </c>
      <c r="K913" s="89">
        <f t="shared" si="140"/>
        <v>0</v>
      </c>
      <c r="L913" s="88">
        <f>IF(K914&gt;0, K913/K914, 0)</f>
        <v>0</v>
      </c>
      <c r="M913" s="58"/>
      <c r="N913" s="9">
        <f>ROUND(M914*L913,0)</f>
        <v>0</v>
      </c>
      <c r="O913" s="9">
        <v>0</v>
      </c>
      <c r="P913" s="9">
        <f>N913-O913</f>
        <v>0</v>
      </c>
      <c r="Q913" s="40">
        <f>IF(O913&gt;0,P913*100/O913,IF(P913&gt;0,100,0))</f>
        <v>0</v>
      </c>
      <c r="R913" s="9">
        <v>0</v>
      </c>
      <c r="S913" s="9">
        <f t="shared" si="147"/>
        <v>0</v>
      </c>
      <c r="T913" s="90">
        <f t="shared" si="142"/>
        <v>181</v>
      </c>
      <c r="U913" s="90">
        <f t="shared" si="143"/>
        <v>998</v>
      </c>
      <c r="V913" s="373">
        <f t="shared" si="144"/>
        <v>904</v>
      </c>
      <c r="W913" s="90">
        <f t="shared" si="145"/>
        <v>0</v>
      </c>
      <c r="X913" s="90">
        <f t="shared" si="146"/>
        <v>0</v>
      </c>
      <c r="Y913" s="141">
        <f t="shared" si="148"/>
        <v>904</v>
      </c>
      <c r="Z913" s="298">
        <v>181</v>
      </c>
      <c r="AA913" s="299">
        <v>998</v>
      </c>
      <c r="AB913" s="299">
        <v>904</v>
      </c>
      <c r="AC913" s="301">
        <v>0</v>
      </c>
      <c r="AD913" s="301">
        <v>0</v>
      </c>
      <c r="AE913" s="126"/>
      <c r="AF913" s="298"/>
      <c r="AG913" s="299"/>
      <c r="AH913" s="299"/>
      <c r="AI913" s="301"/>
      <c r="AJ913" s="301"/>
      <c r="AK913" s="426"/>
      <c r="AL913" s="298"/>
      <c r="AM913" s="299"/>
      <c r="AN913" s="299"/>
      <c r="AO913" s="301"/>
      <c r="AP913" s="301"/>
      <c r="AQ913" s="426"/>
      <c r="AR913" s="298"/>
      <c r="AS913" s="299"/>
      <c r="AT913" s="299"/>
      <c r="AU913" s="301"/>
      <c r="AV913" s="301"/>
      <c r="AW913" s="88"/>
      <c r="AX913" s="298"/>
      <c r="AY913" s="299"/>
      <c r="AZ913" s="299"/>
      <c r="BA913" s="301"/>
      <c r="BB913" s="301"/>
      <c r="BC913" s="426"/>
      <c r="BD913" s="298"/>
      <c r="BE913" s="299"/>
      <c r="BF913" s="299"/>
      <c r="BG913" s="301"/>
      <c r="BH913" s="301"/>
      <c r="BI913" s="88"/>
      <c r="BJ913" s="298"/>
      <c r="BK913" s="299"/>
      <c r="BL913" s="299"/>
      <c r="BM913" s="301"/>
      <c r="BN913" s="301"/>
      <c r="BO913" s="88"/>
      <c r="BP913" s="9"/>
      <c r="BS913" s="81"/>
      <c r="BT913" s="81"/>
      <c r="BV913" s="9"/>
      <c r="BY913" s="81"/>
      <c r="BZ913" s="81"/>
      <c r="CB913" s="9"/>
      <c r="CE913" s="81"/>
      <c r="CF913" s="81"/>
      <c r="CH913" s="9"/>
      <c r="CK913" s="81"/>
      <c r="CL913" s="81"/>
      <c r="CR913" s="9"/>
      <c r="CS913" s="9"/>
      <c r="CT913" s="9"/>
      <c r="CU913" s="9"/>
      <c r="CV913" s="9"/>
      <c r="CW913" s="129"/>
      <c r="CX913" s="9"/>
    </row>
    <row r="914" spans="1:102">
      <c r="A914" s="6" t="str">
        <f t="shared" si="141"/>
        <v>01810999</v>
      </c>
      <c r="B914" s="6" t="s">
        <v>1831</v>
      </c>
      <c r="C914" s="6" t="s">
        <v>2092</v>
      </c>
      <c r="D914" s="6">
        <v>905</v>
      </c>
      <c r="E914" s="10">
        <v>181</v>
      </c>
      <c r="F914" s="10" t="s">
        <v>1299</v>
      </c>
      <c r="G914" s="10">
        <v>999</v>
      </c>
      <c r="H914" s="10" t="s">
        <v>593</v>
      </c>
      <c r="I914" s="92">
        <v>119564027.25939715</v>
      </c>
      <c r="J914" s="472">
        <v>1</v>
      </c>
      <c r="K914" s="53">
        <f>SUM(K910:K913)</f>
        <v>126489842.29042378</v>
      </c>
      <c r="L914" s="91">
        <f>SUM(L910:L913)</f>
        <v>1</v>
      </c>
      <c r="M914" s="79">
        <f>VLOOKUP(E914,town351,24)</f>
        <v>51423936</v>
      </c>
      <c r="N914" s="79">
        <f>SUM(N910:N913)</f>
        <v>51423936</v>
      </c>
      <c r="O914" s="79">
        <v>48807836</v>
      </c>
      <c r="P914" s="79">
        <f>SUM(P910:P913)</f>
        <v>2616100</v>
      </c>
      <c r="Q914" s="39">
        <f t="shared" ref="Q914:Q975" si="149">IF(O914&gt;0,P914*100/O914,IF(P914&gt;0,100,0))</f>
        <v>5.3599999803310272</v>
      </c>
      <c r="R914" s="9">
        <v>7179.0000000070004</v>
      </c>
      <c r="S914" s="9">
        <f t="shared" si="147"/>
        <v>7278.0000000029004</v>
      </c>
      <c r="T914" s="90">
        <f t="shared" si="142"/>
        <v>181</v>
      </c>
      <c r="U914" s="90">
        <f t="shared" si="143"/>
        <v>999</v>
      </c>
      <c r="V914" s="373">
        <f t="shared" si="144"/>
        <v>905</v>
      </c>
      <c r="W914" s="90">
        <f t="shared" si="145"/>
        <v>7278.0000000029004</v>
      </c>
      <c r="X914" s="90">
        <f t="shared" si="146"/>
        <v>126489842.29042378</v>
      </c>
      <c r="Y914" s="141">
        <f t="shared" si="148"/>
        <v>905</v>
      </c>
      <c r="Z914" s="298">
        <v>181</v>
      </c>
      <c r="AA914" s="299">
        <v>999</v>
      </c>
      <c r="AB914" s="299">
        <v>905</v>
      </c>
      <c r="AC914" s="301">
        <v>7278.0000000029004</v>
      </c>
      <c r="AD914" s="301">
        <v>126489842.29042378</v>
      </c>
      <c r="AE914" s="126"/>
      <c r="AF914" s="298"/>
      <c r="AG914" s="299"/>
      <c r="AH914" s="299"/>
      <c r="AI914" s="301"/>
      <c r="AJ914" s="301"/>
      <c r="AK914" s="426"/>
      <c r="AL914" s="298"/>
      <c r="AM914" s="299"/>
      <c r="AN914" s="299"/>
      <c r="AO914" s="301"/>
      <c r="AP914" s="301"/>
      <c r="AQ914" s="426"/>
      <c r="AR914" s="298"/>
      <c r="AS914" s="299"/>
      <c r="AT914" s="299"/>
      <c r="AU914" s="301"/>
      <c r="AV914" s="301"/>
      <c r="AW914" s="91"/>
      <c r="AX914" s="298"/>
      <c r="AY914" s="299"/>
      <c r="AZ914" s="299"/>
      <c r="BA914" s="301"/>
      <c r="BB914" s="301"/>
      <c r="BC914" s="426"/>
      <c r="BD914" s="298"/>
      <c r="BE914" s="299"/>
      <c r="BF914" s="299"/>
      <c r="BG914" s="301"/>
      <c r="BH914" s="301"/>
      <c r="BI914" s="91"/>
      <c r="BJ914" s="298"/>
      <c r="BK914" s="299"/>
      <c r="BL914" s="299"/>
      <c r="BM914" s="301"/>
      <c r="BN914" s="301"/>
      <c r="BO914" s="91"/>
      <c r="BP914" s="9"/>
      <c r="BS914" s="81"/>
      <c r="BT914" s="81"/>
      <c r="BV914" s="9"/>
      <c r="BY914" s="81"/>
      <c r="BZ914" s="81"/>
      <c r="CB914" s="9"/>
      <c r="CE914" s="81"/>
      <c r="CF914" s="81"/>
      <c r="CH914" s="9"/>
      <c r="CK914" s="81"/>
      <c r="CL914" s="81"/>
      <c r="CR914" s="9"/>
      <c r="CS914" s="9"/>
      <c r="CT914" s="9"/>
      <c r="CU914" s="9"/>
      <c r="CV914" s="9"/>
      <c r="CW914" s="129"/>
      <c r="CX914" s="9"/>
    </row>
    <row r="915" spans="1:102">
      <c r="A915" s="6" t="str">
        <f t="shared" si="141"/>
        <v>01820182</v>
      </c>
      <c r="B915" s="6" t="s">
        <v>1832</v>
      </c>
      <c r="C915" s="6" t="s">
        <v>1832</v>
      </c>
      <c r="D915" s="6">
        <v>906</v>
      </c>
      <c r="E915" s="6">
        <v>182</v>
      </c>
      <c r="F915" s="6" t="s">
        <v>1300</v>
      </c>
      <c r="G915" s="6">
        <v>182</v>
      </c>
      <c r="H915" s="6" t="s">
        <v>863</v>
      </c>
      <c r="I915" s="33">
        <v>44333813.130000003</v>
      </c>
      <c r="J915" s="88">
        <v>0.93303202336525981</v>
      </c>
      <c r="K915" s="89">
        <f>X915</f>
        <v>45255834.980000012</v>
      </c>
      <c r="L915" s="88">
        <f>IF(K919&gt;0, K915/K919, 0)</f>
        <v>0.9314150489855485</v>
      </c>
      <c r="M915" s="58"/>
      <c r="N915" s="9">
        <f>ROUND(M919*L915,0)</f>
        <v>23019131</v>
      </c>
      <c r="O915" s="9">
        <v>22002952</v>
      </c>
      <c r="P915" s="9">
        <f>N915-O915</f>
        <v>1016179</v>
      </c>
      <c r="Q915" s="40">
        <f t="shared" si="149"/>
        <v>4.6183757524899383</v>
      </c>
      <c r="R915" s="9">
        <v>3137</v>
      </c>
      <c r="S915" s="9">
        <f t="shared" si="147"/>
        <v>3086</v>
      </c>
      <c r="T915" s="90">
        <f t="shared" si="142"/>
        <v>182</v>
      </c>
      <c r="U915" s="90">
        <f t="shared" si="143"/>
        <v>182</v>
      </c>
      <c r="V915" s="373">
        <f t="shared" si="144"/>
        <v>906</v>
      </c>
      <c r="W915" s="90">
        <f t="shared" si="145"/>
        <v>3086</v>
      </c>
      <c r="X915" s="90">
        <f t="shared" si="146"/>
        <v>45255834.980000012</v>
      </c>
      <c r="Y915" s="141">
        <f t="shared" si="148"/>
        <v>906</v>
      </c>
      <c r="Z915" s="298">
        <v>182</v>
      </c>
      <c r="AA915" s="299">
        <v>182</v>
      </c>
      <c r="AB915" s="299">
        <v>906</v>
      </c>
      <c r="AC915" s="301">
        <v>3086</v>
      </c>
      <c r="AD915" s="301">
        <v>45255834.980000012</v>
      </c>
      <c r="AE915" s="126"/>
      <c r="AF915" s="298"/>
      <c r="AG915" s="299"/>
      <c r="AH915" s="299"/>
      <c r="AI915" s="301"/>
      <c r="AJ915" s="301"/>
      <c r="AK915" s="426"/>
      <c r="AL915" s="298"/>
      <c r="AM915" s="299"/>
      <c r="AN915" s="299"/>
      <c r="AO915" s="301"/>
      <c r="AP915" s="301"/>
      <c r="AQ915" s="426"/>
      <c r="AR915" s="298"/>
      <c r="AS915" s="299"/>
      <c r="AT915" s="299"/>
      <c r="AU915" s="301"/>
      <c r="AV915" s="301"/>
      <c r="AW915" s="88"/>
      <c r="AX915" s="298"/>
      <c r="AY915" s="299"/>
      <c r="AZ915" s="299"/>
      <c r="BA915" s="301"/>
      <c r="BB915" s="301"/>
      <c r="BC915" s="426"/>
      <c r="BD915" s="298"/>
      <c r="BE915" s="299"/>
      <c r="BF915" s="299"/>
      <c r="BG915" s="301"/>
      <c r="BH915" s="301"/>
      <c r="BI915" s="88"/>
      <c r="BJ915" s="298"/>
      <c r="BK915" s="299"/>
      <c r="BL915" s="299"/>
      <c r="BM915" s="301"/>
      <c r="BN915" s="301"/>
      <c r="BO915" s="88"/>
      <c r="BP915" s="9"/>
      <c r="BS915" s="81"/>
      <c r="BT915" s="81"/>
      <c r="BV915" s="9"/>
      <c r="BY915" s="81"/>
      <c r="BZ915" s="81"/>
      <c r="CB915" s="9"/>
      <c r="CE915" s="81"/>
      <c r="CF915" s="81"/>
      <c r="CH915" s="9"/>
      <c r="CK915" s="81"/>
      <c r="CL915" s="81"/>
      <c r="CR915" s="9"/>
      <c r="CS915" s="9"/>
      <c r="CT915" s="9"/>
      <c r="CU915" s="9"/>
      <c r="CV915" s="9"/>
      <c r="CW915" s="129"/>
      <c r="CX915" s="9"/>
    </row>
    <row r="916" spans="1:102">
      <c r="A916" s="6" t="str">
        <f t="shared" si="141"/>
        <v>01820810</v>
      </c>
      <c r="B916" s="6" t="s">
        <v>1832</v>
      </c>
      <c r="C916" s="6" t="s">
        <v>2065</v>
      </c>
      <c r="D916" s="6">
        <v>907</v>
      </c>
      <c r="E916" s="6">
        <v>182</v>
      </c>
      <c r="F916" s="6" t="s">
        <v>1300</v>
      </c>
      <c r="G916" s="6">
        <v>810</v>
      </c>
      <c r="H916" s="6" t="s">
        <v>1095</v>
      </c>
      <c r="I916" s="33">
        <v>3182040.5811050124</v>
      </c>
      <c r="J916" s="88">
        <v>6.6967976634740162E-2</v>
      </c>
      <c r="K916" s="89">
        <f t="shared" si="140"/>
        <v>3332423.3150430457</v>
      </c>
      <c r="L916" s="88">
        <f>IF(K919&gt;0, K916/K919, 0)</f>
        <v>6.8584951014451515E-2</v>
      </c>
      <c r="M916" s="58"/>
      <c r="N916" s="9">
        <f>ROUND(M919*L916,0)</f>
        <v>1695019</v>
      </c>
      <c r="O916" s="9">
        <v>1579252</v>
      </c>
      <c r="P916" s="9">
        <f>N916-O916</f>
        <v>115767</v>
      </c>
      <c r="Q916" s="40">
        <f t="shared" si="149"/>
        <v>7.3304957030290288</v>
      </c>
      <c r="R916" s="9">
        <v>157.8370144692</v>
      </c>
      <c r="S916" s="9">
        <f t="shared" si="147"/>
        <v>164.48306333381998</v>
      </c>
      <c r="T916" s="90">
        <f t="shared" si="142"/>
        <v>182</v>
      </c>
      <c r="U916" s="90">
        <f t="shared" si="143"/>
        <v>810</v>
      </c>
      <c r="V916" s="373">
        <f t="shared" si="144"/>
        <v>907</v>
      </c>
      <c r="W916" s="90">
        <f t="shared" si="145"/>
        <v>164.48306333381998</v>
      </c>
      <c r="X916" s="90">
        <f t="shared" si="146"/>
        <v>3332423.3150430457</v>
      </c>
      <c r="Y916" s="141">
        <f t="shared" si="148"/>
        <v>907</v>
      </c>
      <c r="Z916" s="298">
        <v>182</v>
      </c>
      <c r="AA916" s="299">
        <v>810</v>
      </c>
      <c r="AB916" s="299">
        <v>907</v>
      </c>
      <c r="AC916" s="301">
        <v>164.48306333381998</v>
      </c>
      <c r="AD916" s="301">
        <v>3332423.3150430457</v>
      </c>
      <c r="AE916" s="126"/>
      <c r="AF916" s="298"/>
      <c r="AG916" s="299"/>
      <c r="AH916" s="299"/>
      <c r="AI916" s="301"/>
      <c r="AJ916" s="301"/>
      <c r="AK916" s="426"/>
      <c r="AL916" s="298"/>
      <c r="AM916" s="299"/>
      <c r="AN916" s="299"/>
      <c r="AO916" s="301"/>
      <c r="AP916" s="301"/>
      <c r="AQ916" s="426"/>
      <c r="AR916" s="298"/>
      <c r="AS916" s="299"/>
      <c r="AT916" s="299"/>
      <c r="AU916" s="301"/>
      <c r="AV916" s="301"/>
      <c r="AW916" s="88"/>
      <c r="AX916" s="298"/>
      <c r="AY916" s="299"/>
      <c r="AZ916" s="299"/>
      <c r="BA916" s="301"/>
      <c r="BB916" s="301"/>
      <c r="BC916" s="426"/>
      <c r="BD916" s="298"/>
      <c r="BE916" s="299"/>
      <c r="BF916" s="299"/>
      <c r="BG916" s="301"/>
      <c r="BH916" s="301"/>
      <c r="BI916" s="88"/>
      <c r="BJ916" s="298"/>
      <c r="BK916" s="299"/>
      <c r="BL916" s="299"/>
      <c r="BM916" s="301"/>
      <c r="BN916" s="301"/>
      <c r="BO916" s="88"/>
      <c r="BP916" s="9"/>
      <c r="BS916" s="81"/>
      <c r="BT916" s="81"/>
      <c r="BV916" s="9"/>
      <c r="BY916" s="81"/>
      <c r="BZ916" s="81"/>
      <c r="CB916" s="9"/>
      <c r="CE916" s="81"/>
      <c r="CF916" s="81"/>
      <c r="CH916" s="9"/>
      <c r="CK916" s="81"/>
      <c r="CL916" s="81"/>
      <c r="CR916" s="9"/>
      <c r="CS916" s="9"/>
      <c r="CT916" s="9"/>
      <c r="CU916" s="9"/>
      <c r="CV916" s="9"/>
      <c r="CW916" s="129"/>
      <c r="CX916" s="9"/>
    </row>
    <row r="917" spans="1:102">
      <c r="A917" s="6" t="str">
        <f t="shared" si="141"/>
        <v>01820998</v>
      </c>
      <c r="B917" s="6" t="s">
        <v>1832</v>
      </c>
      <c r="C917" s="6" t="s">
        <v>2091</v>
      </c>
      <c r="D917" s="6">
        <v>908</v>
      </c>
      <c r="E917" s="6">
        <v>182</v>
      </c>
      <c r="F917" s="6" t="s">
        <v>1547</v>
      </c>
      <c r="G917" s="6">
        <v>998</v>
      </c>
      <c r="H917" s="6" t="s">
        <v>1547</v>
      </c>
      <c r="I917" s="33">
        <v>0</v>
      </c>
      <c r="J917" s="88">
        <v>0</v>
      </c>
      <c r="K917" s="89">
        <f t="shared" si="140"/>
        <v>0</v>
      </c>
      <c r="L917" s="88">
        <f>IF(K919&gt;0, K917/K919, 0)</f>
        <v>0</v>
      </c>
      <c r="M917" s="58"/>
      <c r="N917" s="9">
        <f>ROUND(M919*L917,0)</f>
        <v>0</v>
      </c>
      <c r="O917" s="9">
        <v>0</v>
      </c>
      <c r="P917" s="9">
        <f>N917-O917</f>
        <v>0</v>
      </c>
      <c r="Q917" s="40">
        <f t="shared" si="149"/>
        <v>0</v>
      </c>
      <c r="R917" s="9">
        <v>0</v>
      </c>
      <c r="S917" s="9">
        <f t="shared" si="147"/>
        <v>0</v>
      </c>
      <c r="T917" s="90">
        <f t="shared" si="142"/>
        <v>182</v>
      </c>
      <c r="U917" s="90">
        <f t="shared" si="143"/>
        <v>998</v>
      </c>
      <c r="V917" s="373">
        <f t="shared" si="144"/>
        <v>908</v>
      </c>
      <c r="W917" s="90">
        <f t="shared" si="145"/>
        <v>0</v>
      </c>
      <c r="X917" s="90">
        <f t="shared" si="146"/>
        <v>0</v>
      </c>
      <c r="Y917" s="141">
        <f t="shared" si="148"/>
        <v>908</v>
      </c>
      <c r="Z917" s="298">
        <v>182</v>
      </c>
      <c r="AA917" s="299">
        <v>998</v>
      </c>
      <c r="AB917" s="299">
        <v>908</v>
      </c>
      <c r="AC917" s="301">
        <v>0</v>
      </c>
      <c r="AD917" s="301">
        <v>0</v>
      </c>
      <c r="AE917" s="126"/>
      <c r="AF917" s="298"/>
      <c r="AG917" s="299"/>
      <c r="AH917" s="299"/>
      <c r="AI917" s="301"/>
      <c r="AJ917" s="301"/>
      <c r="AK917" s="426"/>
      <c r="AL917" s="298"/>
      <c r="AM917" s="299"/>
      <c r="AN917" s="299"/>
      <c r="AO917" s="301"/>
      <c r="AP917" s="301"/>
      <c r="AQ917" s="426"/>
      <c r="AR917" s="298"/>
      <c r="AS917" s="299"/>
      <c r="AT917" s="299"/>
      <c r="AU917" s="301"/>
      <c r="AV917" s="301"/>
      <c r="AW917" s="88"/>
      <c r="AX917" s="298"/>
      <c r="AY917" s="299"/>
      <c r="AZ917" s="299"/>
      <c r="BA917" s="301"/>
      <c r="BB917" s="301"/>
      <c r="BC917" s="426"/>
      <c r="BD917" s="298"/>
      <c r="BE917" s="299"/>
      <c r="BF917" s="299"/>
      <c r="BG917" s="301"/>
      <c r="BH917" s="301"/>
      <c r="BI917" s="88"/>
      <c r="BJ917" s="298"/>
      <c r="BK917" s="299"/>
      <c r="BL917" s="299"/>
      <c r="BM917" s="301"/>
      <c r="BN917" s="301"/>
      <c r="BO917" s="88"/>
      <c r="BP917" s="9"/>
      <c r="BS917" s="81"/>
      <c r="BT917" s="81"/>
      <c r="BV917" s="9"/>
      <c r="BY917" s="81"/>
      <c r="BZ917" s="81"/>
      <c r="CB917" s="9"/>
      <c r="CE917" s="81"/>
      <c r="CF917" s="81"/>
      <c r="CH917" s="9"/>
      <c r="CK917" s="81"/>
      <c r="CL917" s="81"/>
      <c r="CR917" s="9"/>
      <c r="CS917" s="9"/>
      <c r="CT917" s="9"/>
      <c r="CU917" s="9"/>
      <c r="CV917" s="9"/>
      <c r="CW917" s="129"/>
      <c r="CX917" s="9"/>
    </row>
    <row r="918" spans="1:102">
      <c r="A918" s="6" t="str">
        <f t="shared" si="141"/>
        <v>01820998</v>
      </c>
      <c r="B918" s="6" t="s">
        <v>1832</v>
      </c>
      <c r="C918" s="6" t="s">
        <v>2091</v>
      </c>
      <c r="D918" s="6">
        <v>909</v>
      </c>
      <c r="E918" s="6">
        <v>182</v>
      </c>
      <c r="F918" s="6" t="s">
        <v>1547</v>
      </c>
      <c r="G918" s="6">
        <v>998</v>
      </c>
      <c r="H918" s="6" t="s">
        <v>1547</v>
      </c>
      <c r="I918" s="33">
        <v>0</v>
      </c>
      <c r="J918" s="88">
        <v>0</v>
      </c>
      <c r="K918" s="89">
        <f t="shared" si="140"/>
        <v>0</v>
      </c>
      <c r="L918" s="88">
        <f>IF(K919&gt;0, K918/K919, 0)</f>
        <v>0</v>
      </c>
      <c r="M918" s="58"/>
      <c r="N918" s="9">
        <f>ROUND(M919*L918,0)</f>
        <v>0</v>
      </c>
      <c r="O918" s="9">
        <v>0</v>
      </c>
      <c r="P918" s="9">
        <f>N918-O918</f>
        <v>0</v>
      </c>
      <c r="Q918" s="40">
        <f t="shared" si="149"/>
        <v>0</v>
      </c>
      <c r="R918" s="9">
        <v>0</v>
      </c>
      <c r="S918" s="9">
        <f t="shared" si="147"/>
        <v>0</v>
      </c>
      <c r="T918" s="90">
        <f t="shared" si="142"/>
        <v>182</v>
      </c>
      <c r="U918" s="90">
        <f t="shared" si="143"/>
        <v>998</v>
      </c>
      <c r="V918" s="373">
        <f t="shared" si="144"/>
        <v>909</v>
      </c>
      <c r="W918" s="90">
        <f t="shared" si="145"/>
        <v>0</v>
      </c>
      <c r="X918" s="90">
        <f t="shared" si="146"/>
        <v>0</v>
      </c>
      <c r="Y918" s="141">
        <f t="shared" si="148"/>
        <v>909</v>
      </c>
      <c r="Z918" s="298">
        <v>182</v>
      </c>
      <c r="AA918" s="299">
        <v>998</v>
      </c>
      <c r="AB918" s="299">
        <v>909</v>
      </c>
      <c r="AC918" s="301">
        <v>0</v>
      </c>
      <c r="AD918" s="301">
        <v>0</v>
      </c>
      <c r="AE918" s="126"/>
      <c r="AF918" s="298"/>
      <c r="AG918" s="299"/>
      <c r="AH918" s="299"/>
      <c r="AI918" s="301"/>
      <c r="AJ918" s="301"/>
      <c r="AK918" s="426"/>
      <c r="AL918" s="298"/>
      <c r="AM918" s="299"/>
      <c r="AN918" s="299"/>
      <c r="AO918" s="301"/>
      <c r="AP918" s="301"/>
      <c r="AQ918" s="426"/>
      <c r="AR918" s="298"/>
      <c r="AS918" s="299"/>
      <c r="AT918" s="299"/>
      <c r="AU918" s="301"/>
      <c r="AV918" s="301"/>
      <c r="AW918" s="88"/>
      <c r="AX918" s="298"/>
      <c r="AY918" s="299"/>
      <c r="AZ918" s="299"/>
      <c r="BA918" s="301"/>
      <c r="BB918" s="301"/>
      <c r="BC918" s="426"/>
      <c r="BD918" s="298"/>
      <c r="BE918" s="299"/>
      <c r="BF918" s="299"/>
      <c r="BG918" s="301"/>
      <c r="BH918" s="301"/>
      <c r="BI918" s="88"/>
      <c r="BJ918" s="298"/>
      <c r="BK918" s="299"/>
      <c r="BL918" s="299"/>
      <c r="BM918" s="301"/>
      <c r="BN918" s="301"/>
      <c r="BO918" s="88"/>
      <c r="BP918" s="9"/>
      <c r="BS918" s="81"/>
      <c r="BT918" s="81"/>
      <c r="BV918" s="9"/>
      <c r="BY918" s="81"/>
      <c r="BZ918" s="81"/>
      <c r="CB918" s="9"/>
      <c r="CE918" s="81"/>
      <c r="CF918" s="81"/>
      <c r="CH918" s="9"/>
      <c r="CK918" s="81"/>
      <c r="CL918" s="81"/>
      <c r="CR918" s="9"/>
      <c r="CS918" s="9"/>
      <c r="CT918" s="9"/>
      <c r="CU918" s="9"/>
      <c r="CV918" s="9"/>
      <c r="CW918" s="129"/>
      <c r="CX918" s="9"/>
    </row>
    <row r="919" spans="1:102">
      <c r="A919" s="6" t="str">
        <f t="shared" si="141"/>
        <v>01820999</v>
      </c>
      <c r="B919" s="6" t="s">
        <v>1832</v>
      </c>
      <c r="C919" s="6" t="s">
        <v>2092</v>
      </c>
      <c r="D919" s="6">
        <v>910</v>
      </c>
      <c r="E919" s="10">
        <v>182</v>
      </c>
      <c r="F919" s="10" t="s">
        <v>1300</v>
      </c>
      <c r="G919" s="10">
        <v>999</v>
      </c>
      <c r="H919" s="10" t="s">
        <v>593</v>
      </c>
      <c r="I919" s="92">
        <v>47515853.711105019</v>
      </c>
      <c r="J919" s="472">
        <v>1</v>
      </c>
      <c r="K919" s="53">
        <f>SUM(K915:K918)</f>
        <v>48588258.295043059</v>
      </c>
      <c r="L919" s="91">
        <f>SUM(L915:L918)</f>
        <v>1</v>
      </c>
      <c r="M919" s="79">
        <f>VLOOKUP(E919,town351,24)</f>
        <v>24714150</v>
      </c>
      <c r="N919" s="79">
        <f>SUM(N915:N918)</f>
        <v>24714150</v>
      </c>
      <c r="O919" s="79">
        <v>23582204</v>
      </c>
      <c r="P919" s="79">
        <f>SUM(P915:P918)</f>
        <v>1131946</v>
      </c>
      <c r="Q919" s="39">
        <f t="shared" si="149"/>
        <v>4.8000008820210356</v>
      </c>
      <c r="R919" s="9">
        <v>3294.8370144691999</v>
      </c>
      <c r="S919" s="9">
        <f t="shared" si="147"/>
        <v>3250.4830633338202</v>
      </c>
      <c r="T919" s="90">
        <f t="shared" si="142"/>
        <v>182</v>
      </c>
      <c r="U919" s="90">
        <f t="shared" si="143"/>
        <v>999</v>
      </c>
      <c r="V919" s="373">
        <f t="shared" si="144"/>
        <v>910</v>
      </c>
      <c r="W919" s="90">
        <f t="shared" si="145"/>
        <v>3250.4830633338202</v>
      </c>
      <c r="X919" s="90">
        <f t="shared" si="146"/>
        <v>48588258.295043059</v>
      </c>
      <c r="Y919" s="141">
        <f t="shared" si="148"/>
        <v>910</v>
      </c>
      <c r="Z919" s="298">
        <v>182</v>
      </c>
      <c r="AA919" s="299">
        <v>999</v>
      </c>
      <c r="AB919" s="299">
        <v>910</v>
      </c>
      <c r="AC919" s="301">
        <v>3250.4830633338202</v>
      </c>
      <c r="AD919" s="301">
        <v>48588258.295043059</v>
      </c>
      <c r="AE919" s="126"/>
      <c r="AF919" s="298"/>
      <c r="AG919" s="299"/>
      <c r="AH919" s="299"/>
      <c r="AI919" s="301"/>
      <c r="AJ919" s="301"/>
      <c r="AK919" s="426"/>
      <c r="AL919" s="298"/>
      <c r="AM919" s="299"/>
      <c r="AN919" s="299"/>
      <c r="AO919" s="301"/>
      <c r="AP919" s="301"/>
      <c r="AQ919" s="426"/>
      <c r="AR919" s="298"/>
      <c r="AS919" s="299"/>
      <c r="AT919" s="299"/>
      <c r="AU919" s="301"/>
      <c r="AV919" s="301"/>
      <c r="AW919" s="91"/>
      <c r="AX919" s="298"/>
      <c r="AY919" s="299"/>
      <c r="AZ919" s="299"/>
      <c r="BA919" s="301"/>
      <c r="BB919" s="301"/>
      <c r="BC919" s="426"/>
      <c r="BD919" s="298"/>
      <c r="BE919" s="299"/>
      <c r="BF919" s="299"/>
      <c r="BG919" s="301"/>
      <c r="BH919" s="301"/>
      <c r="BI919" s="91"/>
      <c r="BJ919" s="298"/>
      <c r="BK919" s="299"/>
      <c r="BL919" s="299"/>
      <c r="BM919" s="301"/>
      <c r="BN919" s="301"/>
      <c r="BO919" s="91"/>
      <c r="BP919" s="9"/>
      <c r="BS919" s="81"/>
      <c r="BT919" s="81"/>
      <c r="BV919" s="9"/>
      <c r="BY919" s="81"/>
      <c r="BZ919" s="81"/>
      <c r="CB919" s="9"/>
      <c r="CE919" s="81"/>
      <c r="CF919" s="81"/>
      <c r="CH919" s="9"/>
      <c r="CK919" s="81"/>
      <c r="CL919" s="81"/>
      <c r="CR919" s="9"/>
      <c r="CS919" s="9"/>
      <c r="CT919" s="9"/>
      <c r="CU919" s="9"/>
      <c r="CV919" s="9"/>
      <c r="CW919" s="129"/>
      <c r="CX919" s="9"/>
    </row>
    <row r="920" spans="1:102">
      <c r="A920" s="6" t="str">
        <f t="shared" si="141"/>
        <v>01830183</v>
      </c>
      <c r="B920" s="6" t="s">
        <v>1833</v>
      </c>
      <c r="C920" s="6" t="s">
        <v>1833</v>
      </c>
      <c r="D920" s="6">
        <v>911</v>
      </c>
      <c r="E920" s="6">
        <v>183</v>
      </c>
      <c r="F920" s="6" t="s">
        <v>1301</v>
      </c>
      <c r="G920" s="6">
        <v>183</v>
      </c>
      <c r="H920" s="6" t="s">
        <v>864</v>
      </c>
      <c r="I920" s="33">
        <v>49472.28</v>
      </c>
      <c r="J920" s="88">
        <v>0.14914438746955561</v>
      </c>
      <c r="K920" s="89">
        <f>X920</f>
        <v>33720.660000000003</v>
      </c>
      <c r="L920" s="88">
        <f>IF(K924&gt;0, K920/K924, 0)</f>
        <v>7.9298773408193746E-2</v>
      </c>
      <c r="M920" s="58"/>
      <c r="N920" s="9">
        <f>ROUND(M924*L920,0)</f>
        <v>22929</v>
      </c>
      <c r="O920" s="9">
        <v>40815</v>
      </c>
      <c r="P920" s="9">
        <f>N920-O920</f>
        <v>-17886</v>
      </c>
      <c r="Q920" s="40">
        <f t="shared" si="149"/>
        <v>-43.822124219037121</v>
      </c>
      <c r="R920" s="9">
        <v>3</v>
      </c>
      <c r="S920" s="9">
        <f t="shared" si="147"/>
        <v>2</v>
      </c>
      <c r="T920" s="90">
        <f t="shared" si="142"/>
        <v>183</v>
      </c>
      <c r="U920" s="90">
        <f t="shared" si="143"/>
        <v>183</v>
      </c>
      <c r="V920" s="373">
        <f t="shared" si="144"/>
        <v>911</v>
      </c>
      <c r="W920" s="90">
        <f t="shared" si="145"/>
        <v>2</v>
      </c>
      <c r="X920" s="90">
        <f t="shared" si="146"/>
        <v>33720.660000000003</v>
      </c>
      <c r="Y920" s="141">
        <f t="shared" si="148"/>
        <v>911</v>
      </c>
      <c r="Z920" s="298">
        <v>183</v>
      </c>
      <c r="AA920" s="299">
        <v>183</v>
      </c>
      <c r="AB920" s="299">
        <v>911</v>
      </c>
      <c r="AC920" s="301">
        <v>2</v>
      </c>
      <c r="AD920" s="301">
        <v>33720.660000000003</v>
      </c>
      <c r="AE920" s="126"/>
      <c r="AF920" s="298"/>
      <c r="AG920" s="299"/>
      <c r="AH920" s="299"/>
      <c r="AI920" s="301"/>
      <c r="AJ920" s="301"/>
      <c r="AK920" s="426"/>
      <c r="AL920" s="298"/>
      <c r="AM920" s="299"/>
      <c r="AN920" s="299"/>
      <c r="AO920" s="301"/>
      <c r="AP920" s="301"/>
      <c r="AQ920" s="426"/>
      <c r="AR920" s="298"/>
      <c r="AS920" s="299"/>
      <c r="AT920" s="299"/>
      <c r="AU920" s="301"/>
      <c r="AV920" s="301"/>
      <c r="AW920" s="88"/>
      <c r="AX920" s="298"/>
      <c r="AY920" s="299"/>
      <c r="AZ920" s="299"/>
      <c r="BA920" s="301"/>
      <c r="BB920" s="301"/>
      <c r="BC920" s="426"/>
      <c r="BD920" s="298"/>
      <c r="BE920" s="299"/>
      <c r="BF920" s="299"/>
      <c r="BG920" s="301"/>
      <c r="BH920" s="301"/>
      <c r="BI920" s="88"/>
      <c r="BJ920" s="298"/>
      <c r="BK920" s="299"/>
      <c r="BL920" s="299"/>
      <c r="BM920" s="301"/>
      <c r="BN920" s="301"/>
      <c r="BO920" s="88"/>
      <c r="BP920" s="9"/>
      <c r="BS920" s="81"/>
      <c r="BT920" s="81"/>
      <c r="BV920" s="9"/>
      <c r="BY920" s="81"/>
      <c r="BZ920" s="81"/>
      <c r="CB920" s="9"/>
      <c r="CE920" s="81"/>
      <c r="CF920" s="81"/>
      <c r="CH920" s="9"/>
      <c r="CK920" s="81"/>
      <c r="CL920" s="81"/>
      <c r="CR920" s="9"/>
      <c r="CS920" s="9"/>
      <c r="CT920" s="9"/>
      <c r="CU920" s="9"/>
      <c r="CV920" s="9"/>
      <c r="CW920" s="129"/>
      <c r="CX920" s="9"/>
    </row>
    <row r="921" spans="1:102">
      <c r="A921" s="6" t="str">
        <f t="shared" si="141"/>
        <v>01830672</v>
      </c>
      <c r="B921" s="6" t="s">
        <v>1833</v>
      </c>
      <c r="C921" s="6" t="s">
        <v>2025</v>
      </c>
      <c r="D921" s="6">
        <v>912</v>
      </c>
      <c r="E921" s="6">
        <v>183</v>
      </c>
      <c r="F921" s="6" t="s">
        <v>1301</v>
      </c>
      <c r="G921" s="6">
        <v>672</v>
      </c>
      <c r="H921" s="6" t="s">
        <v>1055</v>
      </c>
      <c r="I921" s="33">
        <v>282235.00606933748</v>
      </c>
      <c r="J921" s="88">
        <v>0.85085561253044428</v>
      </c>
      <c r="K921" s="89">
        <f t="shared" si="140"/>
        <v>391514.92121664126</v>
      </c>
      <c r="L921" s="88">
        <f>IF(K924&gt;0, K921/K924, 0)</f>
        <v>0.92070122659180631</v>
      </c>
      <c r="M921" s="58"/>
      <c r="N921" s="9">
        <f>ROUND(M924*L921,0)</f>
        <v>266219</v>
      </c>
      <c r="O921" s="9">
        <v>232844</v>
      </c>
      <c r="P921" s="9">
        <f>N921-O921</f>
        <v>33375</v>
      </c>
      <c r="Q921" s="40">
        <f t="shared" si="149"/>
        <v>14.333631100651079</v>
      </c>
      <c r="R921" s="9">
        <v>19.170731705400001</v>
      </c>
      <c r="S921" s="9">
        <f t="shared" si="147"/>
        <v>25.031055903750001</v>
      </c>
      <c r="T921" s="90">
        <f t="shared" si="142"/>
        <v>183</v>
      </c>
      <c r="U921" s="90">
        <f t="shared" si="143"/>
        <v>672</v>
      </c>
      <c r="V921" s="373">
        <f t="shared" si="144"/>
        <v>912</v>
      </c>
      <c r="W921" s="90">
        <f t="shared" si="145"/>
        <v>25.031055903750001</v>
      </c>
      <c r="X921" s="90">
        <f t="shared" si="146"/>
        <v>391514.92121664126</v>
      </c>
      <c r="Y921" s="141">
        <f t="shared" si="148"/>
        <v>912</v>
      </c>
      <c r="Z921" s="298">
        <v>183</v>
      </c>
      <c r="AA921" s="299">
        <v>672</v>
      </c>
      <c r="AB921" s="299">
        <v>912</v>
      </c>
      <c r="AC921" s="301">
        <v>25.031055903750001</v>
      </c>
      <c r="AD921" s="301">
        <v>391514.92121664126</v>
      </c>
      <c r="AE921" s="126"/>
      <c r="AF921" s="298"/>
      <c r="AG921" s="299"/>
      <c r="AH921" s="299"/>
      <c r="AI921" s="301"/>
      <c r="AJ921" s="301"/>
      <c r="AK921" s="426"/>
      <c r="AL921" s="298"/>
      <c r="AM921" s="299"/>
      <c r="AN921" s="299"/>
      <c r="AO921" s="301"/>
      <c r="AP921" s="301"/>
      <c r="AQ921" s="426"/>
      <c r="AR921" s="298"/>
      <c r="AS921" s="299"/>
      <c r="AT921" s="299"/>
      <c r="AU921" s="301"/>
      <c r="AV921" s="301"/>
      <c r="AW921" s="88"/>
      <c r="AX921" s="298"/>
      <c r="AY921" s="299"/>
      <c r="AZ921" s="299"/>
      <c r="BA921" s="301"/>
      <c r="BB921" s="301"/>
      <c r="BC921" s="426"/>
      <c r="BD921" s="298"/>
      <c r="BE921" s="299"/>
      <c r="BF921" s="299"/>
      <c r="BG921" s="301"/>
      <c r="BH921" s="301"/>
      <c r="BI921" s="88"/>
      <c r="BJ921" s="298"/>
      <c r="BK921" s="299"/>
      <c r="BL921" s="299"/>
      <c r="BM921" s="301"/>
      <c r="BN921" s="301"/>
      <c r="BO921" s="88"/>
      <c r="BP921" s="9"/>
      <c r="BS921" s="81"/>
      <c r="BT921" s="81"/>
      <c r="BV921" s="9"/>
      <c r="BY921" s="81"/>
      <c r="BZ921" s="81"/>
      <c r="CB921" s="9"/>
      <c r="CE921" s="81"/>
      <c r="CF921" s="81"/>
      <c r="CH921" s="9"/>
      <c r="CK921" s="81"/>
      <c r="CL921" s="81"/>
      <c r="CR921" s="9"/>
      <c r="CS921" s="9"/>
      <c r="CT921" s="9"/>
      <c r="CU921" s="9"/>
      <c r="CV921" s="9"/>
      <c r="CW921" s="129"/>
      <c r="CX921" s="9"/>
    </row>
    <row r="922" spans="1:102">
      <c r="A922" s="6" t="str">
        <f t="shared" si="141"/>
        <v>01830998</v>
      </c>
      <c r="B922" s="6" t="s">
        <v>1833</v>
      </c>
      <c r="C922" s="6" t="s">
        <v>2091</v>
      </c>
      <c r="D922" s="6">
        <v>913</v>
      </c>
      <c r="E922" s="6">
        <v>183</v>
      </c>
      <c r="F922" s="6" t="s">
        <v>1547</v>
      </c>
      <c r="G922" s="6">
        <v>998</v>
      </c>
      <c r="H922" s="6" t="s">
        <v>1547</v>
      </c>
      <c r="I922" s="33">
        <v>0</v>
      </c>
      <c r="J922" s="88">
        <v>0</v>
      </c>
      <c r="K922" s="89">
        <f t="shared" si="140"/>
        <v>0</v>
      </c>
      <c r="L922" s="88">
        <f>IF(K924&gt;0, K922/K924, 0)</f>
        <v>0</v>
      </c>
      <c r="M922" s="58"/>
      <c r="N922" s="9">
        <f>ROUND(M924*L922,0)</f>
        <v>0</v>
      </c>
      <c r="O922" s="9">
        <v>0</v>
      </c>
      <c r="P922" s="9">
        <f>N922-O922</f>
        <v>0</v>
      </c>
      <c r="Q922" s="40">
        <f t="shared" si="149"/>
        <v>0</v>
      </c>
      <c r="R922" s="9">
        <v>0</v>
      </c>
      <c r="S922" s="9">
        <f t="shared" si="147"/>
        <v>0</v>
      </c>
      <c r="T922" s="90">
        <f t="shared" si="142"/>
        <v>183</v>
      </c>
      <c r="U922" s="90">
        <f t="shared" si="143"/>
        <v>998</v>
      </c>
      <c r="V922" s="373">
        <f t="shared" si="144"/>
        <v>913</v>
      </c>
      <c r="W922" s="90">
        <f t="shared" si="145"/>
        <v>0</v>
      </c>
      <c r="X922" s="90">
        <f t="shared" si="146"/>
        <v>0</v>
      </c>
      <c r="Y922" s="141">
        <f t="shared" si="148"/>
        <v>913</v>
      </c>
      <c r="Z922" s="298">
        <v>183</v>
      </c>
      <c r="AA922" s="299">
        <v>998</v>
      </c>
      <c r="AB922" s="299">
        <v>913</v>
      </c>
      <c r="AC922" s="301">
        <v>0</v>
      </c>
      <c r="AD922" s="301">
        <v>0</v>
      </c>
      <c r="AE922" s="126"/>
      <c r="AF922" s="298"/>
      <c r="AG922" s="299"/>
      <c r="AH922" s="299"/>
      <c r="AI922" s="301"/>
      <c r="AJ922" s="301"/>
      <c r="AK922" s="426"/>
      <c r="AL922" s="298"/>
      <c r="AM922" s="299"/>
      <c r="AN922" s="299"/>
      <c r="AO922" s="301"/>
      <c r="AP922" s="301"/>
      <c r="AQ922" s="426"/>
      <c r="AR922" s="298"/>
      <c r="AS922" s="299"/>
      <c r="AT922" s="299"/>
      <c r="AU922" s="301"/>
      <c r="AV922" s="301"/>
      <c r="AW922" s="88"/>
      <c r="AX922" s="298"/>
      <c r="AY922" s="299"/>
      <c r="AZ922" s="299"/>
      <c r="BA922" s="301"/>
      <c r="BB922" s="301"/>
      <c r="BC922" s="426"/>
      <c r="BD922" s="298"/>
      <c r="BE922" s="299"/>
      <c r="BF922" s="299"/>
      <c r="BG922" s="301"/>
      <c r="BH922" s="301"/>
      <c r="BI922" s="88"/>
      <c r="BJ922" s="298"/>
      <c r="BK922" s="299"/>
      <c r="BL922" s="299"/>
      <c r="BM922" s="301"/>
      <c r="BN922" s="301"/>
      <c r="BO922" s="88"/>
      <c r="BP922" s="9"/>
      <c r="BS922" s="81"/>
      <c r="BT922" s="81"/>
      <c r="BV922" s="9"/>
      <c r="BY922" s="81"/>
      <c r="BZ922" s="81"/>
      <c r="CB922" s="9"/>
      <c r="CE922" s="81"/>
      <c r="CF922" s="81"/>
      <c r="CH922" s="9"/>
      <c r="CK922" s="81"/>
      <c r="CL922" s="81"/>
      <c r="CR922" s="9"/>
      <c r="CS922" s="9"/>
      <c r="CT922" s="9"/>
      <c r="CU922" s="9"/>
      <c r="CV922" s="9"/>
      <c r="CW922" s="129"/>
      <c r="CX922" s="9"/>
    </row>
    <row r="923" spans="1:102">
      <c r="A923" s="6" t="str">
        <f t="shared" si="141"/>
        <v>01830998</v>
      </c>
      <c r="B923" s="6" t="s">
        <v>1833</v>
      </c>
      <c r="C923" s="6" t="s">
        <v>2091</v>
      </c>
      <c r="D923" s="6">
        <v>914</v>
      </c>
      <c r="E923" s="6">
        <v>183</v>
      </c>
      <c r="F923" s="6" t="s">
        <v>1547</v>
      </c>
      <c r="G923" s="6">
        <v>998</v>
      </c>
      <c r="H923" s="6" t="s">
        <v>1547</v>
      </c>
      <c r="I923" s="33">
        <v>0</v>
      </c>
      <c r="J923" s="88">
        <v>0</v>
      </c>
      <c r="K923" s="89">
        <f t="shared" si="140"/>
        <v>0</v>
      </c>
      <c r="L923" s="88">
        <f>IF(K924&gt;0, K923/K924, 0)</f>
        <v>0</v>
      </c>
      <c r="M923" s="58"/>
      <c r="N923" s="9">
        <f>ROUND(M924*L923,0)</f>
        <v>0</v>
      </c>
      <c r="O923" s="9">
        <v>0</v>
      </c>
      <c r="P923" s="9">
        <f>N923-O923</f>
        <v>0</v>
      </c>
      <c r="Q923" s="40">
        <f t="shared" si="149"/>
        <v>0</v>
      </c>
      <c r="R923" s="9">
        <v>0</v>
      </c>
      <c r="S923" s="9">
        <f t="shared" si="147"/>
        <v>0</v>
      </c>
      <c r="T923" s="90">
        <f t="shared" si="142"/>
        <v>183</v>
      </c>
      <c r="U923" s="90">
        <f t="shared" si="143"/>
        <v>998</v>
      </c>
      <c r="V923" s="373">
        <f t="shared" si="144"/>
        <v>914</v>
      </c>
      <c r="W923" s="90">
        <f t="shared" si="145"/>
        <v>0</v>
      </c>
      <c r="X923" s="90">
        <f t="shared" si="146"/>
        <v>0</v>
      </c>
      <c r="Y923" s="141">
        <f t="shared" si="148"/>
        <v>914</v>
      </c>
      <c r="Z923" s="298">
        <v>183</v>
      </c>
      <c r="AA923" s="299">
        <v>998</v>
      </c>
      <c r="AB923" s="299">
        <v>914</v>
      </c>
      <c r="AC923" s="301">
        <v>0</v>
      </c>
      <c r="AD923" s="301">
        <v>0</v>
      </c>
      <c r="AE923" s="126"/>
      <c r="AF923" s="298"/>
      <c r="AG923" s="299"/>
      <c r="AH923" s="299"/>
      <c r="AI923" s="301"/>
      <c r="AJ923" s="301"/>
      <c r="AK923" s="426"/>
      <c r="AL923" s="298"/>
      <c r="AM923" s="299"/>
      <c r="AN923" s="299"/>
      <c r="AO923" s="301"/>
      <c r="AP923" s="301"/>
      <c r="AQ923" s="426"/>
      <c r="AR923" s="298"/>
      <c r="AS923" s="299"/>
      <c r="AT923" s="299"/>
      <c r="AU923" s="301"/>
      <c r="AV923" s="301"/>
      <c r="AW923" s="88"/>
      <c r="AX923" s="298"/>
      <c r="AY923" s="299"/>
      <c r="AZ923" s="299"/>
      <c r="BA923" s="301"/>
      <c r="BB923" s="301"/>
      <c r="BC923" s="426"/>
      <c r="BD923" s="298"/>
      <c r="BE923" s="299"/>
      <c r="BF923" s="299"/>
      <c r="BG923" s="301"/>
      <c r="BH923" s="301"/>
      <c r="BI923" s="88"/>
      <c r="BJ923" s="298"/>
      <c r="BK923" s="299"/>
      <c r="BL923" s="299"/>
      <c r="BM923" s="301"/>
      <c r="BN923" s="301"/>
      <c r="BO923" s="88"/>
      <c r="BP923" s="9"/>
      <c r="BS923" s="81"/>
      <c r="BT923" s="81"/>
      <c r="BV923" s="9"/>
      <c r="BY923" s="81"/>
      <c r="BZ923" s="81"/>
      <c r="CB923" s="9"/>
      <c r="CE923" s="81"/>
      <c r="CF923" s="81"/>
      <c r="CH923" s="9"/>
      <c r="CK923" s="81"/>
      <c r="CL923" s="81"/>
      <c r="CR923" s="9"/>
      <c r="CS923" s="9"/>
      <c r="CT923" s="9"/>
      <c r="CU923" s="9"/>
      <c r="CV923" s="9"/>
      <c r="CW923" s="129"/>
      <c r="CX923" s="9"/>
    </row>
    <row r="924" spans="1:102">
      <c r="A924" s="6" t="str">
        <f t="shared" si="141"/>
        <v>01830999</v>
      </c>
      <c r="B924" s="6" t="s">
        <v>1833</v>
      </c>
      <c r="C924" s="6" t="s">
        <v>2092</v>
      </c>
      <c r="D924" s="6">
        <v>915</v>
      </c>
      <c r="E924" s="10">
        <v>183</v>
      </c>
      <c r="F924" s="10" t="s">
        <v>1301</v>
      </c>
      <c r="G924" s="10">
        <v>999</v>
      </c>
      <c r="H924" s="10" t="s">
        <v>593</v>
      </c>
      <c r="I924" s="92">
        <v>331707.28606933751</v>
      </c>
      <c r="J924" s="472">
        <v>0.99999999999999989</v>
      </c>
      <c r="K924" s="53">
        <f>SUM(K920:K923)</f>
        <v>425235.58121664124</v>
      </c>
      <c r="L924" s="91">
        <f>SUM(L920:L923)</f>
        <v>1</v>
      </c>
      <c r="M924" s="79">
        <f>VLOOKUP(E924,town351,24)</f>
        <v>289148</v>
      </c>
      <c r="N924" s="79">
        <f>SUM(N920:N923)</f>
        <v>289148</v>
      </c>
      <c r="O924" s="79">
        <v>273659</v>
      </c>
      <c r="P924" s="79">
        <f>SUM(P920:P923)</f>
        <v>15489</v>
      </c>
      <c r="Q924" s="39">
        <f t="shared" si="149"/>
        <v>5.659963677423363</v>
      </c>
      <c r="R924" s="9">
        <v>22.170731705400001</v>
      </c>
      <c r="S924" s="9">
        <f t="shared" si="147"/>
        <v>27.031055903750001</v>
      </c>
      <c r="T924" s="90">
        <f t="shared" si="142"/>
        <v>183</v>
      </c>
      <c r="U924" s="90">
        <f t="shared" si="143"/>
        <v>999</v>
      </c>
      <c r="V924" s="373">
        <f t="shared" si="144"/>
        <v>915</v>
      </c>
      <c r="W924" s="90">
        <f t="shared" si="145"/>
        <v>27.031055903750001</v>
      </c>
      <c r="X924" s="90">
        <f t="shared" si="146"/>
        <v>425235.58121664124</v>
      </c>
      <c r="Y924" s="141">
        <f t="shared" si="148"/>
        <v>915</v>
      </c>
      <c r="Z924" s="298">
        <v>183</v>
      </c>
      <c r="AA924" s="299">
        <v>999</v>
      </c>
      <c r="AB924" s="299">
        <v>915</v>
      </c>
      <c r="AC924" s="301">
        <v>27.031055903750001</v>
      </c>
      <c r="AD924" s="301">
        <v>425235.58121664124</v>
      </c>
      <c r="AE924" s="126"/>
      <c r="AF924" s="298"/>
      <c r="AG924" s="299"/>
      <c r="AH924" s="299"/>
      <c r="AI924" s="301"/>
      <c r="AJ924" s="301"/>
      <c r="AK924" s="426"/>
      <c r="AL924" s="298"/>
      <c r="AM924" s="299"/>
      <c r="AN924" s="299"/>
      <c r="AO924" s="301"/>
      <c r="AP924" s="301"/>
      <c r="AQ924" s="426"/>
      <c r="AR924" s="298"/>
      <c r="AS924" s="299"/>
      <c r="AT924" s="299"/>
      <c r="AU924" s="301"/>
      <c r="AV924" s="301"/>
      <c r="AW924" s="91"/>
      <c r="AX924" s="298"/>
      <c r="AY924" s="299"/>
      <c r="AZ924" s="299"/>
      <c r="BA924" s="301"/>
      <c r="BB924" s="301"/>
      <c r="BC924" s="426"/>
      <c r="BD924" s="298"/>
      <c r="BE924" s="299"/>
      <c r="BF924" s="299"/>
      <c r="BG924" s="301"/>
      <c r="BH924" s="301"/>
      <c r="BI924" s="91"/>
      <c r="BJ924" s="298"/>
      <c r="BK924" s="299"/>
      <c r="BL924" s="299"/>
      <c r="BM924" s="301"/>
      <c r="BN924" s="301"/>
      <c r="BO924" s="91"/>
      <c r="BP924" s="9"/>
      <c r="BS924" s="81"/>
      <c r="BT924" s="81"/>
      <c r="BV924" s="9"/>
      <c r="BY924" s="81"/>
      <c r="BZ924" s="81"/>
      <c r="CB924" s="9"/>
      <c r="CE924" s="81"/>
      <c r="CF924" s="81"/>
      <c r="CH924" s="9"/>
      <c r="CK924" s="81"/>
      <c r="CL924" s="81"/>
      <c r="CR924" s="9"/>
      <c r="CS924" s="9"/>
      <c r="CT924" s="9"/>
      <c r="CU924" s="9"/>
      <c r="CV924" s="9"/>
      <c r="CW924" s="129"/>
      <c r="CX924" s="9"/>
    </row>
    <row r="925" spans="1:102">
      <c r="A925" s="6" t="str">
        <f t="shared" si="141"/>
        <v>01840184</v>
      </c>
      <c r="B925" s="6" t="s">
        <v>1834</v>
      </c>
      <c r="C925" s="6" t="s">
        <v>1834</v>
      </c>
      <c r="D925" s="6">
        <v>916</v>
      </c>
      <c r="E925" s="6">
        <v>184</v>
      </c>
      <c r="F925" s="6" t="s">
        <v>1302</v>
      </c>
      <c r="G925" s="6">
        <v>184</v>
      </c>
      <c r="H925" s="6" t="s">
        <v>865</v>
      </c>
      <c r="I925" s="33">
        <v>8542770.1967999991</v>
      </c>
      <c r="J925" s="88">
        <v>0.51934102878122923</v>
      </c>
      <c r="K925" s="89">
        <f t="shared" ref="K925:K988" si="150">X925</f>
        <v>8701795.6002499983</v>
      </c>
      <c r="L925" s="88">
        <f>IF(K929&gt;0, K925/K929, 0)</f>
        <v>0.52521494917249667</v>
      </c>
      <c r="M925" s="58"/>
      <c r="N925" s="9">
        <f>ROUND(M929*L925,0)</f>
        <v>7178981</v>
      </c>
      <c r="O925" s="9">
        <v>6914393</v>
      </c>
      <c r="P925" s="9">
        <f>N925-O925</f>
        <v>264588</v>
      </c>
      <c r="Q925" s="40">
        <f t="shared" si="149"/>
        <v>3.8266265744512933</v>
      </c>
      <c r="R925" s="9">
        <v>703</v>
      </c>
      <c r="S925" s="9">
        <f t="shared" si="147"/>
        <v>702</v>
      </c>
      <c r="T925" s="90">
        <f t="shared" si="142"/>
        <v>184</v>
      </c>
      <c r="U925" s="90">
        <f t="shared" si="143"/>
        <v>184</v>
      </c>
      <c r="V925" s="373">
        <f t="shared" si="144"/>
        <v>916</v>
      </c>
      <c r="W925" s="90">
        <f t="shared" si="145"/>
        <v>702</v>
      </c>
      <c r="X925" s="90">
        <f t="shared" si="146"/>
        <v>8701795.6002499983</v>
      </c>
      <c r="Y925" s="141">
        <f t="shared" si="148"/>
        <v>916</v>
      </c>
      <c r="Z925" s="298">
        <v>184</v>
      </c>
      <c r="AA925" s="299">
        <v>184</v>
      </c>
      <c r="AB925" s="299">
        <v>916</v>
      </c>
      <c r="AC925" s="301">
        <v>702</v>
      </c>
      <c r="AD925" s="301">
        <v>8701795.6002499983</v>
      </c>
      <c r="AE925" s="126"/>
      <c r="AF925" s="298"/>
      <c r="AG925" s="299"/>
      <c r="AH925" s="299"/>
      <c r="AI925" s="301"/>
      <c r="AJ925" s="301"/>
      <c r="AK925" s="426"/>
      <c r="AL925" s="298"/>
      <c r="AM925" s="299"/>
      <c r="AN925" s="299"/>
      <c r="AO925" s="301"/>
      <c r="AP925" s="301"/>
      <c r="AQ925" s="426"/>
      <c r="AR925" s="298"/>
      <c r="AS925" s="299"/>
      <c r="AT925" s="299"/>
      <c r="AU925" s="301"/>
      <c r="AV925" s="301"/>
      <c r="AW925" s="88"/>
      <c r="AX925" s="298"/>
      <c r="AY925" s="299"/>
      <c r="AZ925" s="299"/>
      <c r="BA925" s="301"/>
      <c r="BB925" s="301"/>
      <c r="BC925" s="426"/>
      <c r="BD925" s="298"/>
      <c r="BE925" s="299"/>
      <c r="BF925" s="299"/>
      <c r="BG925" s="301"/>
      <c r="BH925" s="301"/>
      <c r="BI925" s="88"/>
      <c r="BJ925" s="298"/>
      <c r="BK925" s="299"/>
      <c r="BL925" s="299"/>
      <c r="BM925" s="301"/>
      <c r="BN925" s="301"/>
      <c r="BO925" s="88"/>
      <c r="BP925" s="9"/>
      <c r="BS925" s="81"/>
      <c r="BT925" s="81"/>
      <c r="BV925" s="9"/>
      <c r="BY925" s="81"/>
      <c r="BZ925" s="81"/>
      <c r="CB925" s="9"/>
      <c r="CE925" s="81"/>
      <c r="CF925" s="81"/>
      <c r="CH925" s="9"/>
      <c r="CK925" s="81"/>
      <c r="CL925" s="81"/>
      <c r="CR925" s="9"/>
      <c r="CS925" s="9"/>
      <c r="CT925" s="9"/>
      <c r="CU925" s="9"/>
      <c r="CV925" s="9"/>
      <c r="CW925" s="129"/>
      <c r="CX925" s="9"/>
    </row>
    <row r="926" spans="1:102">
      <c r="A926" s="6" t="str">
        <f t="shared" si="141"/>
        <v>01840705</v>
      </c>
      <c r="B926" s="6" t="s">
        <v>1834</v>
      </c>
      <c r="C926" s="6" t="s">
        <v>2036</v>
      </c>
      <c r="D926" s="6">
        <v>917</v>
      </c>
      <c r="E926" s="6">
        <v>184</v>
      </c>
      <c r="F926" s="6" t="s">
        <v>1302</v>
      </c>
      <c r="G926" s="6">
        <v>705</v>
      </c>
      <c r="H926" s="6" t="s">
        <v>1066</v>
      </c>
      <c r="I926" s="33">
        <v>6920489.2346745217</v>
      </c>
      <c r="J926" s="88">
        <v>0.42071762625097708</v>
      </c>
      <c r="K926" s="89">
        <f t="shared" si="150"/>
        <v>6776750.0965488404</v>
      </c>
      <c r="L926" s="88">
        <f>IF(K929&gt;0, K926/K929, 0)</f>
        <v>0.4090248290147559</v>
      </c>
      <c r="M926" s="58"/>
      <c r="N926" s="9">
        <f>ROUND(M929*L926,0)</f>
        <v>5590819</v>
      </c>
      <c r="O926" s="9">
        <v>5601343</v>
      </c>
      <c r="P926" s="9">
        <f>N926-O926</f>
        <v>-10524</v>
      </c>
      <c r="Q926" s="40">
        <f t="shared" si="149"/>
        <v>-0.18788351293609407</v>
      </c>
      <c r="R926" s="9">
        <v>536.66542520330995</v>
      </c>
      <c r="S926" s="9">
        <f t="shared" si="147"/>
        <v>507.96694215383997</v>
      </c>
      <c r="T926" s="90">
        <f t="shared" si="142"/>
        <v>184</v>
      </c>
      <c r="U926" s="90">
        <f t="shared" si="143"/>
        <v>705</v>
      </c>
      <c r="V926" s="373">
        <f t="shared" si="144"/>
        <v>917</v>
      </c>
      <c r="W926" s="90">
        <f t="shared" si="145"/>
        <v>507.96694215383997</v>
      </c>
      <c r="X926" s="90">
        <f t="shared" si="146"/>
        <v>6776750.0965488404</v>
      </c>
      <c r="Y926" s="141">
        <f t="shared" si="148"/>
        <v>917</v>
      </c>
      <c r="Z926" s="298">
        <v>184</v>
      </c>
      <c r="AA926" s="299">
        <v>705</v>
      </c>
      <c r="AB926" s="299">
        <v>917</v>
      </c>
      <c r="AC926" s="301">
        <v>507.96694215383997</v>
      </c>
      <c r="AD926" s="301">
        <v>6776750.0965488404</v>
      </c>
      <c r="AE926" s="126"/>
      <c r="AF926" s="298"/>
      <c r="AG926" s="299"/>
      <c r="AH926" s="299"/>
      <c r="AI926" s="301"/>
      <c r="AJ926" s="301"/>
      <c r="AK926" s="426"/>
      <c r="AL926" s="298"/>
      <c r="AM926" s="299"/>
      <c r="AN926" s="299"/>
      <c r="AO926" s="301"/>
      <c r="AP926" s="301"/>
      <c r="AQ926" s="426"/>
      <c r="AR926" s="298"/>
      <c r="AS926" s="299"/>
      <c r="AT926" s="299"/>
      <c r="AU926" s="301"/>
      <c r="AV926" s="301"/>
      <c r="AW926" s="88"/>
      <c r="AX926" s="298"/>
      <c r="AY926" s="299"/>
      <c r="AZ926" s="299"/>
      <c r="BA926" s="301"/>
      <c r="BB926" s="301"/>
      <c r="BC926" s="426"/>
      <c r="BD926" s="298"/>
      <c r="BE926" s="299"/>
      <c r="BF926" s="299"/>
      <c r="BG926" s="301"/>
      <c r="BH926" s="301"/>
      <c r="BI926" s="88"/>
      <c r="BJ926" s="298"/>
      <c r="BK926" s="299"/>
      <c r="BL926" s="299"/>
      <c r="BM926" s="301"/>
      <c r="BN926" s="301"/>
      <c r="BO926" s="88"/>
      <c r="BP926" s="9"/>
      <c r="BS926" s="81"/>
      <c r="BT926" s="81"/>
      <c r="BV926" s="9"/>
      <c r="BY926" s="81"/>
      <c r="BZ926" s="81"/>
      <c r="CB926" s="9"/>
      <c r="CE926" s="81"/>
      <c r="CF926" s="81"/>
      <c r="CH926" s="9"/>
      <c r="CK926" s="81"/>
      <c r="CL926" s="81"/>
      <c r="CR926" s="9"/>
      <c r="CS926" s="9"/>
      <c r="CT926" s="9"/>
      <c r="CU926" s="9"/>
      <c r="CV926" s="9"/>
      <c r="CW926" s="129"/>
      <c r="CX926" s="9"/>
    </row>
    <row r="927" spans="1:102">
      <c r="A927" s="6" t="str">
        <f t="shared" si="141"/>
        <v>01840817</v>
      </c>
      <c r="B927" s="6" t="s">
        <v>1834</v>
      </c>
      <c r="C927" s="6" t="s">
        <v>2067</v>
      </c>
      <c r="D927" s="6">
        <v>918</v>
      </c>
      <c r="E927" s="6">
        <v>184</v>
      </c>
      <c r="F927" s="6" t="s">
        <v>1302</v>
      </c>
      <c r="G927" s="6">
        <v>817</v>
      </c>
      <c r="H927" s="6" t="s">
        <v>1097</v>
      </c>
      <c r="I927" s="33">
        <v>985990.14321797481</v>
      </c>
      <c r="J927" s="88">
        <v>5.9941344967793582E-2</v>
      </c>
      <c r="K927" s="89">
        <f t="shared" si="150"/>
        <v>1089519.6523693989</v>
      </c>
      <c r="L927" s="88">
        <f>IF(K929&gt;0, K927/K929, 0)</f>
        <v>6.5760221812747488E-2</v>
      </c>
      <c r="M927" s="58"/>
      <c r="N927" s="9">
        <f>ROUND(M929*L927,0)</f>
        <v>898854</v>
      </c>
      <c r="O927" s="9">
        <v>798046</v>
      </c>
      <c r="P927" s="9">
        <f>N927-O927</f>
        <v>100808</v>
      </c>
      <c r="Q927" s="40">
        <f t="shared" si="149"/>
        <v>12.631853301689377</v>
      </c>
      <c r="R927" s="9">
        <v>49.999999994520003</v>
      </c>
      <c r="S927" s="9">
        <f t="shared" si="147"/>
        <v>54.000000000629996</v>
      </c>
      <c r="T927" s="90">
        <f t="shared" si="142"/>
        <v>184</v>
      </c>
      <c r="U927" s="90">
        <f t="shared" si="143"/>
        <v>817</v>
      </c>
      <c r="V927" s="373">
        <f t="shared" si="144"/>
        <v>918</v>
      </c>
      <c r="W927" s="90">
        <f t="shared" si="145"/>
        <v>54.000000000629996</v>
      </c>
      <c r="X927" s="90">
        <f t="shared" si="146"/>
        <v>1089519.6523693989</v>
      </c>
      <c r="Y927" s="141">
        <f t="shared" si="148"/>
        <v>918</v>
      </c>
      <c r="Z927" s="298">
        <v>184</v>
      </c>
      <c r="AA927" s="299">
        <v>817</v>
      </c>
      <c r="AB927" s="299">
        <v>918</v>
      </c>
      <c r="AC927" s="301">
        <v>54.000000000629996</v>
      </c>
      <c r="AD927" s="301">
        <v>1089519.6523693989</v>
      </c>
      <c r="AE927" s="126"/>
      <c r="AF927" s="298"/>
      <c r="AG927" s="299"/>
      <c r="AH927" s="299"/>
      <c r="AI927" s="301"/>
      <c r="AJ927" s="301"/>
      <c r="AK927" s="426"/>
      <c r="AL927" s="298"/>
      <c r="AM927" s="299"/>
      <c r="AN927" s="299"/>
      <c r="AO927" s="301"/>
      <c r="AP927" s="301"/>
      <c r="AQ927" s="426"/>
      <c r="AR927" s="298"/>
      <c r="AS927" s="299"/>
      <c r="AT927" s="299"/>
      <c r="AU927" s="301"/>
      <c r="AV927" s="301"/>
      <c r="AW927" s="88"/>
      <c r="AX927" s="298"/>
      <c r="AY927" s="299"/>
      <c r="AZ927" s="299"/>
      <c r="BA927" s="301"/>
      <c r="BB927" s="301"/>
      <c r="BC927" s="426"/>
      <c r="BD927" s="298"/>
      <c r="BE927" s="299"/>
      <c r="BF927" s="299"/>
      <c r="BG927" s="301"/>
      <c r="BH927" s="301"/>
      <c r="BI927" s="88"/>
      <c r="BJ927" s="298"/>
      <c r="BK927" s="299"/>
      <c r="BL927" s="299"/>
      <c r="BM927" s="301"/>
      <c r="BN927" s="301"/>
      <c r="BO927" s="88"/>
      <c r="BP927" s="9"/>
      <c r="BS927" s="81"/>
      <c r="BT927" s="81"/>
      <c r="BV927" s="9"/>
      <c r="BY927" s="81"/>
      <c r="BZ927" s="81"/>
      <c r="CB927" s="9"/>
      <c r="CE927" s="81"/>
      <c r="CF927" s="81"/>
      <c r="CH927" s="9"/>
      <c r="CK927" s="81"/>
      <c r="CL927" s="81"/>
      <c r="CR927" s="9"/>
      <c r="CS927" s="9"/>
      <c r="CT927" s="9"/>
      <c r="CU927" s="9"/>
      <c r="CV927" s="9"/>
      <c r="CW927" s="129"/>
      <c r="CX927" s="9"/>
    </row>
    <row r="928" spans="1:102">
      <c r="A928" s="6" t="str">
        <f t="shared" si="141"/>
        <v>01840998</v>
      </c>
      <c r="B928" s="6" t="s">
        <v>1834</v>
      </c>
      <c r="C928" s="6" t="s">
        <v>2091</v>
      </c>
      <c r="D928" s="6">
        <v>919</v>
      </c>
      <c r="E928" s="6">
        <v>184</v>
      </c>
      <c r="F928" s="6" t="s">
        <v>1547</v>
      </c>
      <c r="G928" s="6">
        <v>998</v>
      </c>
      <c r="H928" s="6" t="s">
        <v>1547</v>
      </c>
      <c r="I928" s="33">
        <v>0</v>
      </c>
      <c r="J928" s="88">
        <v>0</v>
      </c>
      <c r="K928" s="89">
        <f t="shared" si="150"/>
        <v>0</v>
      </c>
      <c r="L928" s="88">
        <f>IF(K929&gt;0, K928/K929, 0)</f>
        <v>0</v>
      </c>
      <c r="M928" s="58"/>
      <c r="N928" s="9">
        <f>ROUND(M929*L928,0)</f>
        <v>0</v>
      </c>
      <c r="O928" s="9">
        <v>0</v>
      </c>
      <c r="P928" s="9">
        <f>N928-O928</f>
        <v>0</v>
      </c>
      <c r="Q928" s="40">
        <f t="shared" si="149"/>
        <v>0</v>
      </c>
      <c r="R928" s="9">
        <v>0</v>
      </c>
      <c r="S928" s="9">
        <f t="shared" si="147"/>
        <v>0</v>
      </c>
      <c r="T928" s="90">
        <f t="shared" si="142"/>
        <v>184</v>
      </c>
      <c r="U928" s="90">
        <f t="shared" si="143"/>
        <v>998</v>
      </c>
      <c r="V928" s="373">
        <f t="shared" si="144"/>
        <v>919</v>
      </c>
      <c r="W928" s="90">
        <f t="shared" si="145"/>
        <v>0</v>
      </c>
      <c r="X928" s="90">
        <f t="shared" si="146"/>
        <v>0</v>
      </c>
      <c r="Y928" s="141">
        <f t="shared" si="148"/>
        <v>919</v>
      </c>
      <c r="Z928" s="298">
        <v>184</v>
      </c>
      <c r="AA928" s="299">
        <v>998</v>
      </c>
      <c r="AB928" s="299">
        <v>919</v>
      </c>
      <c r="AC928" s="301">
        <v>0</v>
      </c>
      <c r="AD928" s="301">
        <v>0</v>
      </c>
      <c r="AE928" s="126"/>
      <c r="AF928" s="298"/>
      <c r="AG928" s="299"/>
      <c r="AH928" s="299"/>
      <c r="AI928" s="301"/>
      <c r="AJ928" s="301"/>
      <c r="AK928" s="426"/>
      <c r="AL928" s="298"/>
      <c r="AM928" s="299"/>
      <c r="AN928" s="299"/>
      <c r="AO928" s="301"/>
      <c r="AP928" s="301"/>
      <c r="AQ928" s="426"/>
      <c r="AR928" s="298"/>
      <c r="AS928" s="299"/>
      <c r="AT928" s="299"/>
      <c r="AU928" s="301"/>
      <c r="AV928" s="301"/>
      <c r="AW928" s="88"/>
      <c r="AX928" s="298"/>
      <c r="AY928" s="299"/>
      <c r="AZ928" s="299"/>
      <c r="BA928" s="301"/>
      <c r="BB928" s="301"/>
      <c r="BC928" s="426"/>
      <c r="BD928" s="298"/>
      <c r="BE928" s="299"/>
      <c r="BF928" s="299"/>
      <c r="BG928" s="301"/>
      <c r="BH928" s="301"/>
      <c r="BI928" s="88"/>
      <c r="BJ928" s="298"/>
      <c r="BK928" s="299"/>
      <c r="BL928" s="299"/>
      <c r="BM928" s="301"/>
      <c r="BN928" s="301"/>
      <c r="BO928" s="88"/>
      <c r="BP928" s="9"/>
      <c r="BS928" s="81"/>
      <c r="BT928" s="81"/>
      <c r="BV928" s="9"/>
      <c r="BY928" s="81"/>
      <c r="BZ928" s="81"/>
      <c r="CB928" s="9"/>
      <c r="CE928" s="81"/>
      <c r="CF928" s="81"/>
      <c r="CH928" s="9"/>
      <c r="CK928" s="81"/>
      <c r="CL928" s="81"/>
      <c r="CR928" s="9"/>
      <c r="CS928" s="9"/>
      <c r="CT928" s="9"/>
      <c r="CU928" s="9"/>
      <c r="CV928" s="9"/>
      <c r="CW928" s="129"/>
      <c r="CX928" s="9"/>
    </row>
    <row r="929" spans="1:102">
      <c r="A929" s="6" t="str">
        <f t="shared" si="141"/>
        <v>01840999</v>
      </c>
      <c r="B929" s="6" t="s">
        <v>1834</v>
      </c>
      <c r="C929" s="6" t="s">
        <v>2092</v>
      </c>
      <c r="D929" s="6">
        <v>920</v>
      </c>
      <c r="E929" s="10">
        <v>184</v>
      </c>
      <c r="F929" s="10" t="s">
        <v>1302</v>
      </c>
      <c r="G929" s="10">
        <v>999</v>
      </c>
      <c r="H929" s="10" t="s">
        <v>593</v>
      </c>
      <c r="I929" s="92">
        <v>16449249.574692497</v>
      </c>
      <c r="J929" s="472">
        <v>0.99999999999999989</v>
      </c>
      <c r="K929" s="53">
        <f>SUM(K925:K928)</f>
        <v>16568065.349168237</v>
      </c>
      <c r="L929" s="91">
        <f>SUM(L925:L928)</f>
        <v>1</v>
      </c>
      <c r="M929" s="79">
        <f>VLOOKUP(E929,town351,24)</f>
        <v>13668654</v>
      </c>
      <c r="N929" s="79">
        <f>SUM(N925:N928)</f>
        <v>13668654</v>
      </c>
      <c r="O929" s="79">
        <v>13313782</v>
      </c>
      <c r="P929" s="79">
        <f>SUM(P925:P928)</f>
        <v>354872</v>
      </c>
      <c r="Q929" s="39">
        <f t="shared" si="149"/>
        <v>2.665448480379204</v>
      </c>
      <c r="R929" s="9">
        <v>1289.66542519783</v>
      </c>
      <c r="S929" s="9">
        <f t="shared" si="147"/>
        <v>1263.96694215447</v>
      </c>
      <c r="T929" s="90">
        <f t="shared" si="142"/>
        <v>184</v>
      </c>
      <c r="U929" s="90">
        <f t="shared" si="143"/>
        <v>999</v>
      </c>
      <c r="V929" s="373">
        <f t="shared" si="144"/>
        <v>920</v>
      </c>
      <c r="W929" s="90">
        <f t="shared" si="145"/>
        <v>1263.96694215447</v>
      </c>
      <c r="X929" s="90">
        <f t="shared" si="146"/>
        <v>16568065.349168237</v>
      </c>
      <c r="Y929" s="141">
        <f t="shared" si="148"/>
        <v>920</v>
      </c>
      <c r="Z929" s="298">
        <v>184</v>
      </c>
      <c r="AA929" s="299">
        <v>999</v>
      </c>
      <c r="AB929" s="299">
        <v>920</v>
      </c>
      <c r="AC929" s="301">
        <v>1263.96694215447</v>
      </c>
      <c r="AD929" s="301">
        <v>16568065.349168237</v>
      </c>
      <c r="AE929" s="126"/>
      <c r="AF929" s="298"/>
      <c r="AG929" s="299"/>
      <c r="AH929" s="299"/>
      <c r="AI929" s="301"/>
      <c r="AJ929" s="301"/>
      <c r="AK929" s="426"/>
      <c r="AL929" s="298"/>
      <c r="AM929" s="299"/>
      <c r="AN929" s="299"/>
      <c r="AO929" s="301"/>
      <c r="AP929" s="301"/>
      <c r="AQ929" s="426"/>
      <c r="AR929" s="298"/>
      <c r="AS929" s="299"/>
      <c r="AT929" s="299"/>
      <c r="AU929" s="301"/>
      <c r="AV929" s="301"/>
      <c r="AW929" s="91"/>
      <c r="AX929" s="298"/>
      <c r="AY929" s="299"/>
      <c r="AZ929" s="299"/>
      <c r="BA929" s="301"/>
      <c r="BB929" s="301"/>
      <c r="BC929" s="426"/>
      <c r="BD929" s="298"/>
      <c r="BE929" s="299"/>
      <c r="BF929" s="299"/>
      <c r="BG929" s="301"/>
      <c r="BH929" s="301"/>
      <c r="BI929" s="91"/>
      <c r="BJ929" s="298"/>
      <c r="BK929" s="299"/>
      <c r="BL929" s="299"/>
      <c r="BM929" s="301"/>
      <c r="BN929" s="301"/>
      <c r="BO929" s="91"/>
      <c r="BP929" s="9"/>
      <c r="BS929" s="81"/>
      <c r="BT929" s="81"/>
      <c r="BV929" s="9"/>
      <c r="BY929" s="81"/>
      <c r="BZ929" s="81"/>
      <c r="CB929" s="9"/>
      <c r="CE929" s="81"/>
      <c r="CF929" s="81"/>
      <c r="CH929" s="9"/>
      <c r="CK929" s="81"/>
      <c r="CL929" s="81"/>
      <c r="CR929" s="9"/>
      <c r="CS929" s="9"/>
      <c r="CT929" s="9"/>
      <c r="CU929" s="9"/>
      <c r="CV929" s="9"/>
      <c r="CW929" s="129"/>
      <c r="CX929" s="9"/>
    </row>
    <row r="930" spans="1:102">
      <c r="A930" s="6" t="str">
        <f t="shared" si="141"/>
        <v>01850185</v>
      </c>
      <c r="B930" s="6" t="s">
        <v>1835</v>
      </c>
      <c r="C930" s="6" t="s">
        <v>1835</v>
      </c>
      <c r="D930" s="6">
        <v>921</v>
      </c>
      <c r="E930" s="6">
        <v>185</v>
      </c>
      <c r="F930" s="6" t="s">
        <v>1303</v>
      </c>
      <c r="G930" s="6">
        <v>185</v>
      </c>
      <c r="H930" s="6" t="s">
        <v>866</v>
      </c>
      <c r="I930" s="33">
        <v>75437511.279999986</v>
      </c>
      <c r="J930" s="88">
        <v>0.96172474359698923</v>
      </c>
      <c r="K930" s="89">
        <f>X930</f>
        <v>79260184.288840011</v>
      </c>
      <c r="L930" s="88">
        <f>IF(K934&gt;0, K930/K934, 0)</f>
        <v>0.9625941521141641</v>
      </c>
      <c r="M930" s="58"/>
      <c r="N930" s="9">
        <f>ROUND(M934*L930,0)</f>
        <v>30457781</v>
      </c>
      <c r="O930" s="9">
        <v>28632172</v>
      </c>
      <c r="P930" s="9">
        <f>N930-O930</f>
        <v>1825609</v>
      </c>
      <c r="Q930" s="40">
        <f t="shared" si="149"/>
        <v>6.3760758352527356</v>
      </c>
      <c r="R930" s="9">
        <v>4704</v>
      </c>
      <c r="S930" s="9">
        <f t="shared" si="147"/>
        <v>4680</v>
      </c>
      <c r="T930" s="90">
        <f t="shared" si="142"/>
        <v>185</v>
      </c>
      <c r="U930" s="90">
        <f t="shared" si="143"/>
        <v>185</v>
      </c>
      <c r="V930" s="373">
        <f t="shared" si="144"/>
        <v>921</v>
      </c>
      <c r="W930" s="90">
        <f t="shared" si="145"/>
        <v>4680</v>
      </c>
      <c r="X930" s="90">
        <f t="shared" si="146"/>
        <v>79260184.288840011</v>
      </c>
      <c r="Y930" s="141">
        <f t="shared" si="148"/>
        <v>921</v>
      </c>
      <c r="Z930" s="298">
        <v>185</v>
      </c>
      <c r="AA930" s="299">
        <v>185</v>
      </c>
      <c r="AB930" s="299">
        <v>921</v>
      </c>
      <c r="AC930" s="301">
        <v>4680</v>
      </c>
      <c r="AD930" s="301">
        <v>79260184.288840011</v>
      </c>
      <c r="AE930" s="126"/>
      <c r="AF930" s="298"/>
      <c r="AG930" s="299"/>
      <c r="AH930" s="299"/>
      <c r="AI930" s="301"/>
      <c r="AJ930" s="301"/>
      <c r="AK930" s="426"/>
      <c r="AL930" s="298"/>
      <c r="AM930" s="299"/>
      <c r="AN930" s="299"/>
      <c r="AO930" s="301"/>
      <c r="AP930" s="301"/>
      <c r="AQ930" s="426"/>
      <c r="AR930" s="298"/>
      <c r="AS930" s="299"/>
      <c r="AT930" s="299"/>
      <c r="AU930" s="301"/>
      <c r="AV930" s="301"/>
      <c r="AW930" s="88"/>
      <c r="AX930" s="298"/>
      <c r="AY930" s="299"/>
      <c r="AZ930" s="299"/>
      <c r="BA930" s="301"/>
      <c r="BB930" s="301"/>
      <c r="BC930" s="426"/>
      <c r="BD930" s="298"/>
      <c r="BE930" s="299"/>
      <c r="BF930" s="299"/>
      <c r="BG930" s="301"/>
      <c r="BH930" s="301"/>
      <c r="BI930" s="88"/>
      <c r="BJ930" s="298"/>
      <c r="BK930" s="299"/>
      <c r="BL930" s="299"/>
      <c r="BM930" s="301"/>
      <c r="BN930" s="301"/>
      <c r="BO930" s="88"/>
      <c r="BP930" s="9"/>
      <c r="BS930" s="81"/>
      <c r="BT930" s="81"/>
      <c r="BV930" s="9"/>
      <c r="BY930" s="81"/>
      <c r="BZ930" s="81"/>
      <c r="CB930" s="9"/>
      <c r="CE930" s="81"/>
      <c r="CF930" s="81"/>
      <c r="CH930" s="9"/>
      <c r="CK930" s="81"/>
      <c r="CL930" s="81"/>
      <c r="CR930" s="9"/>
      <c r="CS930" s="9"/>
      <c r="CT930" s="9"/>
      <c r="CU930" s="9"/>
      <c r="CV930" s="9"/>
      <c r="CW930" s="129"/>
      <c r="CX930" s="9"/>
    </row>
    <row r="931" spans="1:102">
      <c r="A931" s="6" t="str">
        <f t="shared" si="141"/>
        <v>01850805</v>
      </c>
      <c r="B931" s="6" t="s">
        <v>1835</v>
      </c>
      <c r="C931" s="6" t="s">
        <v>2063</v>
      </c>
      <c r="D931" s="6">
        <v>922</v>
      </c>
      <c r="E931" s="6">
        <v>185</v>
      </c>
      <c r="F931" s="6" t="s">
        <v>1303</v>
      </c>
      <c r="G931" s="6">
        <v>805</v>
      </c>
      <c r="H931" s="6" t="s">
        <v>1093</v>
      </c>
      <c r="I931" s="33">
        <v>3002304.0437201937</v>
      </c>
      <c r="J931" s="88">
        <v>3.8275256403010646E-2</v>
      </c>
      <c r="K931" s="89">
        <f t="shared" si="150"/>
        <v>3080004.5797079019</v>
      </c>
      <c r="L931" s="88">
        <f>IF(K934&gt;0, K931/K934, 0)</f>
        <v>3.7405847885835904E-2</v>
      </c>
      <c r="M931" s="58"/>
      <c r="N931" s="9">
        <f>ROUND(M934*L931,0)</f>
        <v>1183572</v>
      </c>
      <c r="O931" s="9">
        <v>1139519</v>
      </c>
      <c r="P931" s="9">
        <f>N931-O931</f>
        <v>44053</v>
      </c>
      <c r="Q931" s="40">
        <f t="shared" si="149"/>
        <v>3.8659293965260781</v>
      </c>
      <c r="R931" s="9">
        <v>158.99999999608002</v>
      </c>
      <c r="S931" s="9">
        <f t="shared" si="147"/>
        <v>158.99999999884</v>
      </c>
      <c r="T931" s="90">
        <f t="shared" si="142"/>
        <v>185</v>
      </c>
      <c r="U931" s="90">
        <f t="shared" si="143"/>
        <v>805</v>
      </c>
      <c r="V931" s="373">
        <f t="shared" si="144"/>
        <v>922</v>
      </c>
      <c r="W931" s="90">
        <f t="shared" si="145"/>
        <v>158.99999999884</v>
      </c>
      <c r="X931" s="90">
        <f t="shared" si="146"/>
        <v>3080004.5797079019</v>
      </c>
      <c r="Y931" s="141">
        <f t="shared" si="148"/>
        <v>922</v>
      </c>
      <c r="Z931" s="298">
        <v>185</v>
      </c>
      <c r="AA931" s="299">
        <v>805</v>
      </c>
      <c r="AB931" s="299">
        <v>922</v>
      </c>
      <c r="AC931" s="301">
        <v>158.99999999884</v>
      </c>
      <c r="AD931" s="301">
        <v>3080004.5797079019</v>
      </c>
      <c r="AE931" s="126"/>
      <c r="AF931" s="298"/>
      <c r="AG931" s="299"/>
      <c r="AH931" s="299"/>
      <c r="AI931" s="301"/>
      <c r="AJ931" s="301"/>
      <c r="AK931" s="426"/>
      <c r="AL931" s="298"/>
      <c r="AM931" s="299"/>
      <c r="AN931" s="299"/>
      <c r="AO931" s="301"/>
      <c r="AP931" s="301"/>
      <c r="AQ931" s="426"/>
      <c r="AR931" s="298"/>
      <c r="AS931" s="299"/>
      <c r="AT931" s="299"/>
      <c r="AU931" s="301"/>
      <c r="AV931" s="301"/>
      <c r="AW931" s="88"/>
      <c r="AX931" s="298"/>
      <c r="AY931" s="299"/>
      <c r="AZ931" s="299"/>
      <c r="BA931" s="301"/>
      <c r="BB931" s="301"/>
      <c r="BC931" s="426"/>
      <c r="BD931" s="298"/>
      <c r="BE931" s="299"/>
      <c r="BF931" s="299"/>
      <c r="BG931" s="301"/>
      <c r="BH931" s="301"/>
      <c r="BI931" s="88"/>
      <c r="BJ931" s="298"/>
      <c r="BK931" s="299"/>
      <c r="BL931" s="299"/>
      <c r="BM931" s="301"/>
      <c r="BN931" s="301"/>
      <c r="BO931" s="88"/>
      <c r="BP931" s="9"/>
      <c r="BS931" s="81"/>
      <c r="BT931" s="81"/>
      <c r="BV931" s="9"/>
      <c r="BY931" s="81"/>
      <c r="BZ931" s="81"/>
      <c r="CB931" s="9"/>
      <c r="CE931" s="81"/>
      <c r="CF931" s="81"/>
      <c r="CH931" s="9"/>
      <c r="CK931" s="81"/>
      <c r="CL931" s="81"/>
      <c r="CR931" s="9"/>
      <c r="CS931" s="9"/>
      <c r="CT931" s="9"/>
      <c r="CU931" s="9"/>
      <c r="CV931" s="9"/>
      <c r="CW931" s="129"/>
      <c r="CX931" s="9"/>
    </row>
    <row r="932" spans="1:102">
      <c r="A932" s="6" t="str">
        <f t="shared" si="141"/>
        <v>01850998</v>
      </c>
      <c r="B932" s="6" t="s">
        <v>1835</v>
      </c>
      <c r="C932" s="6" t="s">
        <v>2091</v>
      </c>
      <c r="D932" s="6">
        <v>923</v>
      </c>
      <c r="E932" s="6">
        <v>185</v>
      </c>
      <c r="F932" s="6" t="s">
        <v>1547</v>
      </c>
      <c r="G932" s="6">
        <v>998</v>
      </c>
      <c r="H932" s="6" t="s">
        <v>1547</v>
      </c>
      <c r="I932" s="33">
        <v>0</v>
      </c>
      <c r="J932" s="88">
        <v>0</v>
      </c>
      <c r="K932" s="89">
        <f t="shared" si="150"/>
        <v>0</v>
      </c>
      <c r="L932" s="88">
        <f>IF(K934&gt;0, K932/K934, 0)</f>
        <v>0</v>
      </c>
      <c r="M932" s="58"/>
      <c r="N932" s="9">
        <f>ROUND(M934*L932,0)</f>
        <v>0</v>
      </c>
      <c r="O932" s="9">
        <v>0</v>
      </c>
      <c r="P932" s="9">
        <f>N932-O932</f>
        <v>0</v>
      </c>
      <c r="Q932" s="40">
        <f t="shared" si="149"/>
        <v>0</v>
      </c>
      <c r="R932" s="9">
        <v>0</v>
      </c>
      <c r="S932" s="9">
        <f t="shared" si="147"/>
        <v>0</v>
      </c>
      <c r="T932" s="90">
        <f t="shared" si="142"/>
        <v>185</v>
      </c>
      <c r="U932" s="90">
        <f t="shared" si="143"/>
        <v>998</v>
      </c>
      <c r="V932" s="373">
        <f t="shared" si="144"/>
        <v>923</v>
      </c>
      <c r="W932" s="90">
        <f t="shared" si="145"/>
        <v>0</v>
      </c>
      <c r="X932" s="90">
        <f t="shared" si="146"/>
        <v>0</v>
      </c>
      <c r="Y932" s="141">
        <f t="shared" si="148"/>
        <v>923</v>
      </c>
      <c r="Z932" s="298">
        <v>185</v>
      </c>
      <c r="AA932" s="299">
        <v>998</v>
      </c>
      <c r="AB932" s="299">
        <v>923</v>
      </c>
      <c r="AC932" s="301">
        <v>0</v>
      </c>
      <c r="AD932" s="301">
        <v>0</v>
      </c>
      <c r="AE932" s="126"/>
      <c r="AF932" s="298"/>
      <c r="AG932" s="299"/>
      <c r="AH932" s="299"/>
      <c r="AI932" s="301"/>
      <c r="AJ932" s="301"/>
      <c r="AK932" s="426"/>
      <c r="AL932" s="298"/>
      <c r="AM932" s="299"/>
      <c r="AN932" s="299"/>
      <c r="AO932" s="301"/>
      <c r="AP932" s="301"/>
      <c r="AQ932" s="426"/>
      <c r="AR932" s="298"/>
      <c r="AS932" s="299"/>
      <c r="AT932" s="299"/>
      <c r="AU932" s="301"/>
      <c r="AV932" s="301"/>
      <c r="AW932" s="88"/>
      <c r="AX932" s="298"/>
      <c r="AY932" s="299"/>
      <c r="AZ932" s="299"/>
      <c r="BA932" s="301"/>
      <c r="BB932" s="301"/>
      <c r="BC932" s="426"/>
      <c r="BD932" s="298"/>
      <c r="BE932" s="299"/>
      <c r="BF932" s="299"/>
      <c r="BG932" s="301"/>
      <c r="BH932" s="301"/>
      <c r="BI932" s="88"/>
      <c r="BJ932" s="298"/>
      <c r="BK932" s="299"/>
      <c r="BL932" s="299"/>
      <c r="BM932" s="301"/>
      <c r="BN932" s="301"/>
      <c r="BO932" s="88"/>
      <c r="BP932" s="9"/>
      <c r="BS932" s="81"/>
      <c r="BT932" s="81"/>
      <c r="BV932" s="9"/>
      <c r="BY932" s="81"/>
      <c r="BZ932" s="81"/>
      <c r="CB932" s="9"/>
      <c r="CE932" s="81"/>
      <c r="CF932" s="81"/>
      <c r="CH932" s="9"/>
      <c r="CK932" s="81"/>
      <c r="CL932" s="81"/>
      <c r="CR932" s="9"/>
      <c r="CS932" s="9"/>
      <c r="CT932" s="9"/>
      <c r="CU932" s="9"/>
      <c r="CV932" s="9"/>
      <c r="CW932" s="129"/>
      <c r="CX932" s="9"/>
    </row>
    <row r="933" spans="1:102">
      <c r="A933" s="6" t="str">
        <f t="shared" si="141"/>
        <v>01850998</v>
      </c>
      <c r="B933" s="6" t="s">
        <v>1835</v>
      </c>
      <c r="C933" s="6" t="s">
        <v>2091</v>
      </c>
      <c r="D933" s="6">
        <v>924</v>
      </c>
      <c r="E933" s="6">
        <v>185</v>
      </c>
      <c r="F933" s="6" t="s">
        <v>1547</v>
      </c>
      <c r="G933" s="6">
        <v>998</v>
      </c>
      <c r="H933" s="6" t="s">
        <v>1547</v>
      </c>
      <c r="I933" s="33">
        <v>0</v>
      </c>
      <c r="J933" s="88">
        <v>0</v>
      </c>
      <c r="K933" s="89">
        <f t="shared" si="150"/>
        <v>0</v>
      </c>
      <c r="L933" s="88">
        <f>IF(K934&gt;0, K933/K934, 0)</f>
        <v>0</v>
      </c>
      <c r="M933" s="58"/>
      <c r="N933" s="9">
        <f>ROUND(M934*L933,0)</f>
        <v>0</v>
      </c>
      <c r="O933" s="9">
        <v>0</v>
      </c>
      <c r="P933" s="9">
        <f>N933-O933</f>
        <v>0</v>
      </c>
      <c r="Q933" s="40">
        <f t="shared" si="149"/>
        <v>0</v>
      </c>
      <c r="R933" s="9">
        <v>0</v>
      </c>
      <c r="S933" s="9">
        <f t="shared" si="147"/>
        <v>0</v>
      </c>
      <c r="T933" s="90">
        <f t="shared" si="142"/>
        <v>185</v>
      </c>
      <c r="U933" s="90">
        <f t="shared" si="143"/>
        <v>998</v>
      </c>
      <c r="V933" s="373">
        <f t="shared" si="144"/>
        <v>924</v>
      </c>
      <c r="W933" s="90">
        <f t="shared" si="145"/>
        <v>0</v>
      </c>
      <c r="X933" s="90">
        <f t="shared" si="146"/>
        <v>0</v>
      </c>
      <c r="Y933" s="141">
        <f t="shared" si="148"/>
        <v>924</v>
      </c>
      <c r="Z933" s="298">
        <v>185</v>
      </c>
      <c r="AA933" s="299">
        <v>998</v>
      </c>
      <c r="AB933" s="299">
        <v>924</v>
      </c>
      <c r="AC933" s="301">
        <v>0</v>
      </c>
      <c r="AD933" s="301">
        <v>0</v>
      </c>
      <c r="AE933" s="126"/>
      <c r="AF933" s="298"/>
      <c r="AG933" s="299"/>
      <c r="AH933" s="299"/>
      <c r="AI933" s="301"/>
      <c r="AJ933" s="301"/>
      <c r="AK933" s="426"/>
      <c r="AL933" s="298"/>
      <c r="AM933" s="299"/>
      <c r="AN933" s="299"/>
      <c r="AO933" s="301"/>
      <c r="AP933" s="301"/>
      <c r="AQ933" s="426"/>
      <c r="AR933" s="298"/>
      <c r="AS933" s="299"/>
      <c r="AT933" s="299"/>
      <c r="AU933" s="301"/>
      <c r="AV933" s="301"/>
      <c r="AW933" s="88"/>
      <c r="AX933" s="298"/>
      <c r="AY933" s="299"/>
      <c r="AZ933" s="299"/>
      <c r="BA933" s="301"/>
      <c r="BB933" s="301"/>
      <c r="BC933" s="426"/>
      <c r="BD933" s="298"/>
      <c r="BE933" s="299"/>
      <c r="BF933" s="299"/>
      <c r="BG933" s="301"/>
      <c r="BH933" s="301"/>
      <c r="BI933" s="88"/>
      <c r="BJ933" s="298"/>
      <c r="BK933" s="299"/>
      <c r="BL933" s="299"/>
      <c r="BM933" s="301"/>
      <c r="BN933" s="301"/>
      <c r="BO933" s="88"/>
      <c r="BP933" s="9"/>
      <c r="BS933" s="81"/>
      <c r="BT933" s="81"/>
      <c r="BV933" s="9"/>
      <c r="BY933" s="81"/>
      <c r="BZ933" s="81"/>
      <c r="CB933" s="9"/>
      <c r="CE933" s="81"/>
      <c r="CF933" s="81"/>
      <c r="CH933" s="9"/>
      <c r="CK933" s="81"/>
      <c r="CL933" s="81"/>
      <c r="CR933" s="9"/>
      <c r="CS933" s="9"/>
      <c r="CT933" s="9"/>
      <c r="CU933" s="9"/>
      <c r="CV933" s="9"/>
      <c r="CW933" s="129"/>
      <c r="CX933" s="9"/>
    </row>
    <row r="934" spans="1:102">
      <c r="A934" s="6" t="str">
        <f t="shared" si="141"/>
        <v>01850999</v>
      </c>
      <c r="B934" s="6" t="s">
        <v>1835</v>
      </c>
      <c r="C934" s="6" t="s">
        <v>2092</v>
      </c>
      <c r="D934" s="6">
        <v>925</v>
      </c>
      <c r="E934" s="10">
        <v>185</v>
      </c>
      <c r="F934" s="10" t="s">
        <v>1303</v>
      </c>
      <c r="G934" s="10">
        <v>999</v>
      </c>
      <c r="H934" s="10" t="s">
        <v>593</v>
      </c>
      <c r="I934" s="92">
        <v>78439815.323720187</v>
      </c>
      <c r="J934" s="472">
        <v>0.99999999999999989</v>
      </c>
      <c r="K934" s="53">
        <f>SUM(K930:K933)</f>
        <v>82340188.868547916</v>
      </c>
      <c r="L934" s="91">
        <f>SUM(L930:L933)</f>
        <v>1</v>
      </c>
      <c r="M934" s="79">
        <f>VLOOKUP(E934,town351,24)</f>
        <v>31641353</v>
      </c>
      <c r="N934" s="79">
        <f>SUM(N930:N933)</f>
        <v>31641353</v>
      </c>
      <c r="O934" s="79">
        <v>29771691</v>
      </c>
      <c r="P934" s="79">
        <f>SUM(P930:P933)</f>
        <v>1869662</v>
      </c>
      <c r="Q934" s="39">
        <f t="shared" si="149"/>
        <v>6.2799993456871492</v>
      </c>
      <c r="R934" s="9">
        <v>4862.9999999960801</v>
      </c>
      <c r="S934" s="9">
        <f t="shared" si="147"/>
        <v>4838.9999999988404</v>
      </c>
      <c r="T934" s="90">
        <f t="shared" si="142"/>
        <v>185</v>
      </c>
      <c r="U934" s="90">
        <f t="shared" si="143"/>
        <v>999</v>
      </c>
      <c r="V934" s="373">
        <f t="shared" si="144"/>
        <v>925</v>
      </c>
      <c r="W934" s="90">
        <f t="shared" si="145"/>
        <v>4838.9999999988404</v>
      </c>
      <c r="X934" s="90">
        <f t="shared" si="146"/>
        <v>82340188.868547916</v>
      </c>
      <c r="Y934" s="141">
        <f t="shared" si="148"/>
        <v>925</v>
      </c>
      <c r="Z934" s="298">
        <v>185</v>
      </c>
      <c r="AA934" s="299">
        <v>999</v>
      </c>
      <c r="AB934" s="299">
        <v>925</v>
      </c>
      <c r="AC934" s="301">
        <v>4838.9999999988404</v>
      </c>
      <c r="AD934" s="301">
        <v>82340188.868547916</v>
      </c>
      <c r="AE934" s="126"/>
      <c r="AF934" s="298"/>
      <c r="AG934" s="299"/>
      <c r="AH934" s="299"/>
      <c r="AI934" s="301"/>
      <c r="AJ934" s="301"/>
      <c r="AK934" s="426"/>
      <c r="AL934" s="298"/>
      <c r="AM934" s="299"/>
      <c r="AN934" s="299"/>
      <c r="AO934" s="301"/>
      <c r="AP934" s="301"/>
      <c r="AQ934" s="426"/>
      <c r="AR934" s="298"/>
      <c r="AS934" s="299"/>
      <c r="AT934" s="299"/>
      <c r="AU934" s="301"/>
      <c r="AV934" s="301"/>
      <c r="AW934" s="91"/>
      <c r="AX934" s="298"/>
      <c r="AY934" s="299"/>
      <c r="AZ934" s="299"/>
      <c r="BA934" s="301"/>
      <c r="BB934" s="301"/>
      <c r="BC934" s="426"/>
      <c r="BD934" s="298"/>
      <c r="BE934" s="299"/>
      <c r="BF934" s="299"/>
      <c r="BG934" s="301"/>
      <c r="BH934" s="301"/>
      <c r="BI934" s="91"/>
      <c r="BJ934" s="298"/>
      <c r="BK934" s="299"/>
      <c r="BL934" s="299"/>
      <c r="BM934" s="301"/>
      <c r="BN934" s="301"/>
      <c r="BO934" s="91"/>
      <c r="BP934" s="9"/>
      <c r="BS934" s="81"/>
      <c r="BT934" s="81"/>
      <c r="BV934" s="9"/>
      <c r="BY934" s="81"/>
      <c r="BZ934" s="81"/>
      <c r="CB934" s="9"/>
      <c r="CE934" s="81"/>
      <c r="CF934" s="81"/>
      <c r="CH934" s="9"/>
      <c r="CK934" s="81"/>
      <c r="CL934" s="81"/>
      <c r="CR934" s="9"/>
      <c r="CS934" s="9"/>
      <c r="CT934" s="9"/>
      <c r="CU934" s="9"/>
      <c r="CV934" s="9"/>
      <c r="CW934" s="129"/>
      <c r="CX934" s="9"/>
    </row>
    <row r="935" spans="1:102">
      <c r="A935" s="6" t="str">
        <f t="shared" si="141"/>
        <v>01860186</v>
      </c>
      <c r="B935" s="6" t="s">
        <v>1836</v>
      </c>
      <c r="C935" s="6" t="s">
        <v>1836</v>
      </c>
      <c r="D935" s="6">
        <v>926</v>
      </c>
      <c r="E935" s="6">
        <v>186</v>
      </c>
      <c r="F935" s="6" t="s">
        <v>1304</v>
      </c>
      <c r="G935" s="6">
        <v>186</v>
      </c>
      <c r="H935" s="6" t="s">
        <v>867</v>
      </c>
      <c r="I935" s="33">
        <v>22434599.240000002</v>
      </c>
      <c r="J935" s="88">
        <v>0.92740734033637073</v>
      </c>
      <c r="K935" s="89">
        <f>X935</f>
        <v>23341579.899999999</v>
      </c>
      <c r="L935" s="88">
        <f>IF(K939&gt;0, K935/K939, 0)</f>
        <v>0.92978229153553404</v>
      </c>
      <c r="M935" s="58"/>
      <c r="N935" s="9">
        <f>ROUND(M939*L935,0)</f>
        <v>14332855</v>
      </c>
      <c r="O935" s="9">
        <v>13581840</v>
      </c>
      <c r="P935" s="9">
        <f>N935-O935</f>
        <v>751015</v>
      </c>
      <c r="Q935" s="40">
        <f t="shared" si="149"/>
        <v>5.5295526968363635</v>
      </c>
      <c r="R935" s="9">
        <v>1638</v>
      </c>
      <c r="S935" s="9">
        <f t="shared" si="147"/>
        <v>1646</v>
      </c>
      <c r="T935" s="90">
        <f t="shared" si="142"/>
        <v>186</v>
      </c>
      <c r="U935" s="90">
        <f t="shared" si="143"/>
        <v>186</v>
      </c>
      <c r="V935" s="373">
        <f t="shared" si="144"/>
        <v>926</v>
      </c>
      <c r="W935" s="90">
        <f t="shared" si="145"/>
        <v>1646</v>
      </c>
      <c r="X935" s="90">
        <f t="shared" si="146"/>
        <v>23341579.899999999</v>
      </c>
      <c r="Y935" s="141">
        <f t="shared" si="148"/>
        <v>926</v>
      </c>
      <c r="Z935" s="298">
        <v>186</v>
      </c>
      <c r="AA935" s="299">
        <v>186</v>
      </c>
      <c r="AB935" s="299">
        <v>926</v>
      </c>
      <c r="AC935" s="301">
        <v>1646</v>
      </c>
      <c r="AD935" s="301">
        <v>23341579.899999999</v>
      </c>
      <c r="AE935" s="126"/>
      <c r="AF935" s="298"/>
      <c r="AG935" s="299"/>
      <c r="AH935" s="299"/>
      <c r="AI935" s="301"/>
      <c r="AJ935" s="301"/>
      <c r="AK935" s="426"/>
      <c r="AL935" s="298"/>
      <c r="AM935" s="299"/>
      <c r="AN935" s="299"/>
      <c r="AO935" s="301"/>
      <c r="AP935" s="301"/>
      <c r="AQ935" s="426"/>
      <c r="AR935" s="298"/>
      <c r="AS935" s="299"/>
      <c r="AT935" s="299"/>
      <c r="AU935" s="301"/>
      <c r="AV935" s="301"/>
      <c r="AW935" s="88"/>
      <c r="AX935" s="298"/>
      <c r="AY935" s="299"/>
      <c r="AZ935" s="299"/>
      <c r="BA935" s="301"/>
      <c r="BB935" s="301"/>
      <c r="BC935" s="426"/>
      <c r="BD935" s="298"/>
      <c r="BE935" s="299"/>
      <c r="BF935" s="299"/>
      <c r="BG935" s="301"/>
      <c r="BH935" s="301"/>
      <c r="BI935" s="88"/>
      <c r="BJ935" s="298"/>
      <c r="BK935" s="299"/>
      <c r="BL935" s="299"/>
      <c r="BM935" s="301"/>
      <c r="BN935" s="301"/>
      <c r="BO935" s="88"/>
      <c r="BP935" s="9"/>
      <c r="BS935" s="81"/>
      <c r="BT935" s="81"/>
      <c r="BV935" s="9"/>
      <c r="BY935" s="81"/>
      <c r="BZ935" s="81"/>
      <c r="CB935" s="9"/>
      <c r="CE935" s="81"/>
      <c r="CF935" s="81"/>
      <c r="CH935" s="9"/>
      <c r="CK935" s="81"/>
      <c r="CL935" s="81"/>
      <c r="CR935" s="9"/>
      <c r="CS935" s="9"/>
      <c r="CT935" s="9"/>
      <c r="CU935" s="9"/>
      <c r="CV935" s="9"/>
      <c r="CW935" s="129"/>
      <c r="CX935" s="9"/>
    </row>
    <row r="936" spans="1:102">
      <c r="A936" s="6" t="str">
        <f t="shared" si="141"/>
        <v>01860805</v>
      </c>
      <c r="B936" s="6" t="s">
        <v>1836</v>
      </c>
      <c r="C936" s="6" t="s">
        <v>2063</v>
      </c>
      <c r="D936" s="6">
        <v>927</v>
      </c>
      <c r="E936" s="6">
        <v>186</v>
      </c>
      <c r="F936" s="6" t="s">
        <v>1304</v>
      </c>
      <c r="G936" s="6">
        <v>805</v>
      </c>
      <c r="H936" s="6" t="s">
        <v>1093</v>
      </c>
      <c r="I936" s="33">
        <v>1756064.6293014532</v>
      </c>
      <c r="J936" s="88">
        <v>7.2592659663629239E-2</v>
      </c>
      <c r="K936" s="89">
        <f t="shared" si="150"/>
        <v>1762769.9166128924</v>
      </c>
      <c r="L936" s="88">
        <f>IF(K939&gt;0, K936/K939, 0)</f>
        <v>7.0217708464465914E-2</v>
      </c>
      <c r="M936" s="58"/>
      <c r="N936" s="9">
        <f>ROUND(M939*L936,0)</f>
        <v>1082426</v>
      </c>
      <c r="O936" s="9">
        <v>1063116</v>
      </c>
      <c r="P936" s="9">
        <f>N936-O936</f>
        <v>19310</v>
      </c>
      <c r="Q936" s="40">
        <f t="shared" si="149"/>
        <v>1.81635870403606</v>
      </c>
      <c r="R936" s="9">
        <v>92.99999999536</v>
      </c>
      <c r="S936" s="9">
        <f t="shared" si="147"/>
        <v>90.999999995449997</v>
      </c>
      <c r="T936" s="90">
        <f t="shared" si="142"/>
        <v>186</v>
      </c>
      <c r="U936" s="90">
        <f t="shared" si="143"/>
        <v>805</v>
      </c>
      <c r="V936" s="373">
        <f t="shared" si="144"/>
        <v>927</v>
      </c>
      <c r="W936" s="90">
        <f t="shared" si="145"/>
        <v>90.999999995449997</v>
      </c>
      <c r="X936" s="90">
        <f t="shared" si="146"/>
        <v>1762769.9166128924</v>
      </c>
      <c r="Y936" s="141">
        <f t="shared" si="148"/>
        <v>927</v>
      </c>
      <c r="Z936" s="298">
        <v>186</v>
      </c>
      <c r="AA936" s="299">
        <v>805</v>
      </c>
      <c r="AB936" s="299">
        <v>927</v>
      </c>
      <c r="AC936" s="301">
        <v>90.999999995449997</v>
      </c>
      <c r="AD936" s="301">
        <v>1762769.9166128924</v>
      </c>
      <c r="AE936" s="126"/>
      <c r="AF936" s="298"/>
      <c r="AG936" s="299"/>
      <c r="AH936" s="299"/>
      <c r="AI936" s="301"/>
      <c r="AJ936" s="301"/>
      <c r="AK936" s="426"/>
      <c r="AL936" s="298"/>
      <c r="AM936" s="299"/>
      <c r="AN936" s="299"/>
      <c r="AO936" s="301"/>
      <c r="AP936" s="301"/>
      <c r="AQ936" s="426"/>
      <c r="AR936" s="298"/>
      <c r="AS936" s="299"/>
      <c r="AT936" s="299"/>
      <c r="AU936" s="301"/>
      <c r="AV936" s="301"/>
      <c r="AW936" s="88"/>
      <c r="AX936" s="298"/>
      <c r="AY936" s="299"/>
      <c r="AZ936" s="299"/>
      <c r="BA936" s="301"/>
      <c r="BB936" s="301"/>
      <c r="BC936" s="426"/>
      <c r="BD936" s="298"/>
      <c r="BE936" s="299"/>
      <c r="BF936" s="299"/>
      <c r="BG936" s="301"/>
      <c r="BH936" s="301"/>
      <c r="BI936" s="88"/>
      <c r="BJ936" s="298"/>
      <c r="BK936" s="299"/>
      <c r="BL936" s="299"/>
      <c r="BM936" s="301"/>
      <c r="BN936" s="301"/>
      <c r="BO936" s="88"/>
      <c r="BP936" s="9"/>
      <c r="BS936" s="81"/>
      <c r="BT936" s="81"/>
      <c r="BV936" s="9"/>
      <c r="BY936" s="81"/>
      <c r="BZ936" s="81"/>
      <c r="CB936" s="9"/>
      <c r="CE936" s="81"/>
      <c r="CF936" s="81"/>
      <c r="CH936" s="9"/>
      <c r="CK936" s="81"/>
      <c r="CL936" s="81"/>
      <c r="CR936" s="9"/>
      <c r="CS936" s="9"/>
      <c r="CT936" s="9"/>
      <c r="CU936" s="9"/>
      <c r="CV936" s="9"/>
      <c r="CW936" s="129"/>
      <c r="CX936" s="9"/>
    </row>
    <row r="937" spans="1:102">
      <c r="A937" s="6" t="str">
        <f t="shared" si="141"/>
        <v>01860998</v>
      </c>
      <c r="B937" s="6" t="s">
        <v>1836</v>
      </c>
      <c r="C937" s="6" t="s">
        <v>2091</v>
      </c>
      <c r="D937" s="6">
        <v>928</v>
      </c>
      <c r="E937" s="6">
        <v>186</v>
      </c>
      <c r="F937" s="6" t="s">
        <v>1547</v>
      </c>
      <c r="G937" s="6">
        <v>998</v>
      </c>
      <c r="H937" s="6" t="s">
        <v>1547</v>
      </c>
      <c r="I937" s="33">
        <v>0</v>
      </c>
      <c r="J937" s="88">
        <v>0</v>
      </c>
      <c r="K937" s="89">
        <f t="shared" si="150"/>
        <v>0</v>
      </c>
      <c r="L937" s="88">
        <f>IF(K939&gt;0, K937/K939, 0)</f>
        <v>0</v>
      </c>
      <c r="M937" s="58"/>
      <c r="N937" s="9">
        <f>ROUND(M939*L937,0)</f>
        <v>0</v>
      </c>
      <c r="O937" s="9">
        <v>0</v>
      </c>
      <c r="P937" s="9">
        <f>N937-O937</f>
        <v>0</v>
      </c>
      <c r="Q937" s="40">
        <f t="shared" si="149"/>
        <v>0</v>
      </c>
      <c r="R937" s="9">
        <v>0</v>
      </c>
      <c r="S937" s="9">
        <f t="shared" si="147"/>
        <v>0</v>
      </c>
      <c r="T937" s="90">
        <f t="shared" si="142"/>
        <v>186</v>
      </c>
      <c r="U937" s="90">
        <f t="shared" si="143"/>
        <v>998</v>
      </c>
      <c r="V937" s="373">
        <f t="shared" si="144"/>
        <v>928</v>
      </c>
      <c r="W937" s="90">
        <f t="shared" si="145"/>
        <v>0</v>
      </c>
      <c r="X937" s="90">
        <f t="shared" si="146"/>
        <v>0</v>
      </c>
      <c r="Y937" s="141">
        <f t="shared" si="148"/>
        <v>928</v>
      </c>
      <c r="Z937" s="298">
        <v>186</v>
      </c>
      <c r="AA937" s="299">
        <v>998</v>
      </c>
      <c r="AB937" s="299">
        <v>928</v>
      </c>
      <c r="AC937" s="301">
        <v>0</v>
      </c>
      <c r="AD937" s="301">
        <v>0</v>
      </c>
      <c r="AE937" s="126"/>
      <c r="AF937" s="298"/>
      <c r="AG937" s="299"/>
      <c r="AH937" s="299"/>
      <c r="AI937" s="301"/>
      <c r="AJ937" s="301"/>
      <c r="AK937" s="426"/>
      <c r="AL937" s="298"/>
      <c r="AM937" s="299"/>
      <c r="AN937" s="299"/>
      <c r="AO937" s="301"/>
      <c r="AP937" s="301"/>
      <c r="AQ937" s="426"/>
      <c r="AR937" s="298"/>
      <c r="AS937" s="299"/>
      <c r="AT937" s="299"/>
      <c r="AU937" s="301"/>
      <c r="AV937" s="301"/>
      <c r="AW937" s="88"/>
      <c r="AX937" s="298"/>
      <c r="AY937" s="299"/>
      <c r="AZ937" s="299"/>
      <c r="BA937" s="301"/>
      <c r="BB937" s="301"/>
      <c r="BC937" s="426"/>
      <c r="BD937" s="298"/>
      <c r="BE937" s="299"/>
      <c r="BF937" s="299"/>
      <c r="BG937" s="301"/>
      <c r="BH937" s="301"/>
      <c r="BI937" s="88"/>
      <c r="BJ937" s="298"/>
      <c r="BK937" s="299"/>
      <c r="BL937" s="299"/>
      <c r="BM937" s="301"/>
      <c r="BN937" s="301"/>
      <c r="BO937" s="88"/>
      <c r="BP937" s="9"/>
      <c r="BS937" s="81"/>
      <c r="BT937" s="81"/>
      <c r="BV937" s="9"/>
      <c r="BY937" s="81"/>
      <c r="BZ937" s="81"/>
      <c r="CB937" s="9"/>
      <c r="CE937" s="81"/>
      <c r="CF937" s="81"/>
      <c r="CH937" s="9"/>
      <c r="CK937" s="81"/>
      <c r="CL937" s="81"/>
      <c r="CR937" s="9"/>
      <c r="CS937" s="9"/>
      <c r="CT937" s="9"/>
      <c r="CU937" s="9"/>
      <c r="CV937" s="9"/>
      <c r="CW937" s="129"/>
      <c r="CX937" s="9"/>
    </row>
    <row r="938" spans="1:102">
      <c r="A938" s="6" t="str">
        <f t="shared" si="141"/>
        <v>01860998</v>
      </c>
      <c r="B938" s="6" t="s">
        <v>1836</v>
      </c>
      <c r="C938" s="6" t="s">
        <v>2091</v>
      </c>
      <c r="D938" s="6">
        <v>929</v>
      </c>
      <c r="E938" s="6">
        <v>186</v>
      </c>
      <c r="F938" s="6" t="s">
        <v>1547</v>
      </c>
      <c r="G938" s="6">
        <v>998</v>
      </c>
      <c r="H938" s="6" t="s">
        <v>1547</v>
      </c>
      <c r="I938" s="33">
        <v>0</v>
      </c>
      <c r="J938" s="88">
        <v>0</v>
      </c>
      <c r="K938" s="89">
        <f t="shared" si="150"/>
        <v>0</v>
      </c>
      <c r="L938" s="88">
        <f>IF(K939&gt;0, K938/K939, 0)</f>
        <v>0</v>
      </c>
      <c r="M938" s="58"/>
      <c r="N938" s="9">
        <f>ROUND(M939*L938,0)</f>
        <v>0</v>
      </c>
      <c r="O938" s="9">
        <v>0</v>
      </c>
      <c r="P938" s="9">
        <f>N938-O938</f>
        <v>0</v>
      </c>
      <c r="Q938" s="40">
        <f t="shared" si="149"/>
        <v>0</v>
      </c>
      <c r="R938" s="9">
        <v>0</v>
      </c>
      <c r="S938" s="9">
        <f t="shared" si="147"/>
        <v>0</v>
      </c>
      <c r="T938" s="90">
        <f t="shared" si="142"/>
        <v>186</v>
      </c>
      <c r="U938" s="90">
        <f t="shared" si="143"/>
        <v>998</v>
      </c>
      <c r="V938" s="373">
        <f t="shared" si="144"/>
        <v>929</v>
      </c>
      <c r="W938" s="90">
        <f t="shared" si="145"/>
        <v>0</v>
      </c>
      <c r="X938" s="90">
        <f t="shared" si="146"/>
        <v>0</v>
      </c>
      <c r="Y938" s="141">
        <f t="shared" si="148"/>
        <v>929</v>
      </c>
      <c r="Z938" s="298">
        <v>186</v>
      </c>
      <c r="AA938" s="299">
        <v>998</v>
      </c>
      <c r="AB938" s="299">
        <v>929</v>
      </c>
      <c r="AC938" s="301">
        <v>0</v>
      </c>
      <c r="AD938" s="301">
        <v>0</v>
      </c>
      <c r="AE938" s="126"/>
      <c r="AF938" s="298"/>
      <c r="AG938" s="299"/>
      <c r="AH938" s="299"/>
      <c r="AI938" s="301"/>
      <c r="AJ938" s="301"/>
      <c r="AK938" s="426"/>
      <c r="AL938" s="298"/>
      <c r="AM938" s="299"/>
      <c r="AN938" s="299"/>
      <c r="AO938" s="301"/>
      <c r="AP938" s="301"/>
      <c r="AQ938" s="426"/>
      <c r="AR938" s="298"/>
      <c r="AS938" s="299"/>
      <c r="AT938" s="299"/>
      <c r="AU938" s="301"/>
      <c r="AV938" s="301"/>
      <c r="AW938" s="88"/>
      <c r="AX938" s="298"/>
      <c r="AY938" s="299"/>
      <c r="AZ938" s="299"/>
      <c r="BA938" s="301"/>
      <c r="BB938" s="301"/>
      <c r="BC938" s="426"/>
      <c r="BD938" s="298"/>
      <c r="BE938" s="299"/>
      <c r="BF938" s="299"/>
      <c r="BG938" s="301"/>
      <c r="BH938" s="301"/>
      <c r="BI938" s="88"/>
      <c r="BJ938" s="298"/>
      <c r="BK938" s="299"/>
      <c r="BL938" s="299"/>
      <c r="BM938" s="301"/>
      <c r="BN938" s="301"/>
      <c r="BO938" s="88"/>
      <c r="BP938" s="9"/>
      <c r="BS938" s="81"/>
      <c r="BT938" s="81"/>
      <c r="BV938" s="9"/>
      <c r="BY938" s="81"/>
      <c r="BZ938" s="81"/>
      <c r="CB938" s="9"/>
      <c r="CE938" s="81"/>
      <c r="CF938" s="81"/>
      <c r="CH938" s="9"/>
      <c r="CK938" s="81"/>
      <c r="CL938" s="81"/>
      <c r="CR938" s="9"/>
      <c r="CS938" s="9"/>
      <c r="CT938" s="9"/>
      <c r="CU938" s="9"/>
      <c r="CV938" s="9"/>
      <c r="CW938" s="129"/>
      <c r="CX938" s="9"/>
    </row>
    <row r="939" spans="1:102">
      <c r="A939" s="6" t="str">
        <f t="shared" si="141"/>
        <v>01860999</v>
      </c>
      <c r="B939" s="6" t="s">
        <v>1836</v>
      </c>
      <c r="C939" s="6" t="s">
        <v>2092</v>
      </c>
      <c r="D939" s="6">
        <v>930</v>
      </c>
      <c r="E939" s="10">
        <v>186</v>
      </c>
      <c r="F939" s="10" t="s">
        <v>1304</v>
      </c>
      <c r="G939" s="10">
        <v>999</v>
      </c>
      <c r="H939" s="10" t="s">
        <v>593</v>
      </c>
      <c r="I939" s="92">
        <v>24190663.869301457</v>
      </c>
      <c r="J939" s="472">
        <v>1</v>
      </c>
      <c r="K939" s="53">
        <f>SUM(K935:K938)</f>
        <v>25104349.816612892</v>
      </c>
      <c r="L939" s="91">
        <f>SUM(L935:L938)</f>
        <v>1</v>
      </c>
      <c r="M939" s="79">
        <f>VLOOKUP(E939,town351,24)</f>
        <v>15415281</v>
      </c>
      <c r="N939" s="79">
        <f>SUM(N935:N938)</f>
        <v>15415281</v>
      </c>
      <c r="O939" s="79">
        <v>14644956</v>
      </c>
      <c r="P939" s="79">
        <f>SUM(P935:P938)</f>
        <v>770325</v>
      </c>
      <c r="Q939" s="39">
        <f t="shared" si="149"/>
        <v>5.2600021468142346</v>
      </c>
      <c r="R939" s="9">
        <v>1730.99999999536</v>
      </c>
      <c r="S939" s="9">
        <f t="shared" si="147"/>
        <v>1736.99999999545</v>
      </c>
      <c r="T939" s="90">
        <f t="shared" si="142"/>
        <v>186</v>
      </c>
      <c r="U939" s="90">
        <f t="shared" si="143"/>
        <v>999</v>
      </c>
      <c r="V939" s="373">
        <f t="shared" si="144"/>
        <v>930</v>
      </c>
      <c r="W939" s="90">
        <f t="shared" si="145"/>
        <v>1736.99999999545</v>
      </c>
      <c r="X939" s="90">
        <f t="shared" si="146"/>
        <v>25104349.816612892</v>
      </c>
      <c r="Y939" s="141">
        <f t="shared" si="148"/>
        <v>930</v>
      </c>
      <c r="Z939" s="298">
        <v>186</v>
      </c>
      <c r="AA939" s="299">
        <v>999</v>
      </c>
      <c r="AB939" s="299">
        <v>930</v>
      </c>
      <c r="AC939" s="301">
        <v>1736.99999999545</v>
      </c>
      <c r="AD939" s="301">
        <v>25104349.816612892</v>
      </c>
      <c r="AE939" s="126"/>
      <c r="AF939" s="298"/>
      <c r="AG939" s="299"/>
      <c r="AH939" s="299"/>
      <c r="AI939" s="301"/>
      <c r="AJ939" s="301"/>
      <c r="AK939" s="426"/>
      <c r="AL939" s="298"/>
      <c r="AM939" s="299"/>
      <c r="AN939" s="299"/>
      <c r="AO939" s="301"/>
      <c r="AP939" s="301"/>
      <c r="AQ939" s="426"/>
      <c r="AR939" s="298"/>
      <c r="AS939" s="299"/>
      <c r="AT939" s="299"/>
      <c r="AU939" s="301"/>
      <c r="AV939" s="301"/>
      <c r="AW939" s="91"/>
      <c r="AX939" s="298"/>
      <c r="AY939" s="299"/>
      <c r="AZ939" s="299"/>
      <c r="BA939" s="301"/>
      <c r="BB939" s="301"/>
      <c r="BC939" s="426"/>
      <c r="BD939" s="298"/>
      <c r="BE939" s="299"/>
      <c r="BF939" s="299"/>
      <c r="BG939" s="301"/>
      <c r="BH939" s="301"/>
      <c r="BI939" s="91"/>
      <c r="BJ939" s="298"/>
      <c r="BK939" s="299"/>
      <c r="BL939" s="299"/>
      <c r="BM939" s="301"/>
      <c r="BN939" s="301"/>
      <c r="BO939" s="91"/>
      <c r="BP939" s="9"/>
      <c r="BS939" s="81"/>
      <c r="BT939" s="81"/>
      <c r="BV939" s="9"/>
      <c r="BY939" s="81"/>
      <c r="BZ939" s="81"/>
      <c r="CB939" s="9"/>
      <c r="CE939" s="81"/>
      <c r="CF939" s="81"/>
      <c r="CH939" s="9"/>
      <c r="CK939" s="81"/>
      <c r="CL939" s="81"/>
      <c r="CR939" s="9"/>
      <c r="CS939" s="9"/>
      <c r="CT939" s="9"/>
      <c r="CU939" s="9"/>
      <c r="CV939" s="9"/>
      <c r="CW939" s="129"/>
      <c r="CX939" s="9"/>
    </row>
    <row r="940" spans="1:102">
      <c r="A940" s="6" t="str">
        <f t="shared" si="141"/>
        <v>01870187</v>
      </c>
      <c r="B940" s="6" t="s">
        <v>1837</v>
      </c>
      <c r="C940" s="6" t="s">
        <v>1837</v>
      </c>
      <c r="D940" s="6">
        <v>931</v>
      </c>
      <c r="E940" s="6">
        <v>187</v>
      </c>
      <c r="F940" s="6" t="s">
        <v>1305</v>
      </c>
      <c r="G940" s="6">
        <v>187</v>
      </c>
      <c r="H940" s="6" t="s">
        <v>868</v>
      </c>
      <c r="I940" s="33">
        <v>14054851.192480003</v>
      </c>
      <c r="J940" s="88">
        <v>0.93794278208466708</v>
      </c>
      <c r="K940" s="89">
        <f>X940</f>
        <v>14399304.707199998</v>
      </c>
      <c r="L940" s="88">
        <f>IF(K944&gt;0, K940/K944, 0)</f>
        <v>0.9419635504465772</v>
      </c>
      <c r="M940" s="58"/>
      <c r="N940" s="9">
        <f>ROUND(M944*L940,0)</f>
        <v>11879426</v>
      </c>
      <c r="O940" s="9">
        <v>11047181</v>
      </c>
      <c r="P940" s="9">
        <f>N940-O940</f>
        <v>832245</v>
      </c>
      <c r="Q940" s="40">
        <f t="shared" si="149"/>
        <v>7.5335508669587288</v>
      </c>
      <c r="R940" s="9">
        <v>1089</v>
      </c>
      <c r="S940" s="9">
        <f t="shared" si="147"/>
        <v>1086</v>
      </c>
      <c r="T940" s="90">
        <f t="shared" si="142"/>
        <v>187</v>
      </c>
      <c r="U940" s="90">
        <f t="shared" si="143"/>
        <v>187</v>
      </c>
      <c r="V940" s="373">
        <f t="shared" si="144"/>
        <v>931</v>
      </c>
      <c r="W940" s="90">
        <f t="shared" si="145"/>
        <v>1086</v>
      </c>
      <c r="X940" s="90">
        <f t="shared" si="146"/>
        <v>14399304.707199998</v>
      </c>
      <c r="Y940" s="141">
        <f t="shared" si="148"/>
        <v>931</v>
      </c>
      <c r="Z940" s="298">
        <v>187</v>
      </c>
      <c r="AA940" s="299">
        <v>187</v>
      </c>
      <c r="AB940" s="299">
        <v>931</v>
      </c>
      <c r="AC940" s="301">
        <v>1086</v>
      </c>
      <c r="AD940" s="301">
        <v>14399304.707199998</v>
      </c>
      <c r="AE940" s="126"/>
      <c r="AF940" s="298"/>
      <c r="AG940" s="299"/>
      <c r="AH940" s="299"/>
      <c r="AI940" s="301"/>
      <c r="AJ940" s="301"/>
      <c r="AK940" s="426"/>
      <c r="AL940" s="298"/>
      <c r="AM940" s="299"/>
      <c r="AN940" s="299"/>
      <c r="AO940" s="301"/>
      <c r="AP940" s="301"/>
      <c r="AQ940" s="426"/>
      <c r="AR940" s="298"/>
      <c r="AS940" s="299"/>
      <c r="AT940" s="299"/>
      <c r="AU940" s="301"/>
      <c r="AV940" s="301"/>
      <c r="AW940" s="88"/>
      <c r="AX940" s="298"/>
      <c r="AY940" s="299"/>
      <c r="AZ940" s="299"/>
      <c r="BA940" s="301"/>
      <c r="BB940" s="301"/>
      <c r="BC940" s="426"/>
      <c r="BD940" s="298"/>
      <c r="BE940" s="299"/>
      <c r="BF940" s="299"/>
      <c r="BG940" s="301"/>
      <c r="BH940" s="301"/>
      <c r="BI940" s="88"/>
      <c r="BJ940" s="298"/>
      <c r="BK940" s="299"/>
      <c r="BL940" s="299"/>
      <c r="BM940" s="301"/>
      <c r="BN940" s="301"/>
      <c r="BO940" s="88"/>
      <c r="BP940" s="9"/>
      <c r="BS940" s="81"/>
      <c r="BT940" s="81"/>
      <c r="BV940" s="9"/>
      <c r="BY940" s="81"/>
      <c r="BZ940" s="81"/>
      <c r="CB940" s="9"/>
      <c r="CE940" s="81"/>
      <c r="CF940" s="81"/>
      <c r="CH940" s="9"/>
      <c r="CK940" s="81"/>
      <c r="CL940" s="81"/>
      <c r="CR940" s="9"/>
      <c r="CS940" s="9"/>
      <c r="CT940" s="9"/>
      <c r="CU940" s="9"/>
      <c r="CV940" s="9"/>
      <c r="CW940" s="129"/>
      <c r="CX940" s="9"/>
    </row>
    <row r="941" spans="1:102">
      <c r="A941" s="6" t="str">
        <f t="shared" si="141"/>
        <v>01870878</v>
      </c>
      <c r="B941" s="6" t="s">
        <v>1837</v>
      </c>
      <c r="C941" s="6" t="s">
        <v>2085</v>
      </c>
      <c r="D941" s="6">
        <v>932</v>
      </c>
      <c r="E941" s="6">
        <v>187</v>
      </c>
      <c r="F941" s="6" t="s">
        <v>1305</v>
      </c>
      <c r="G941" s="6">
        <v>878</v>
      </c>
      <c r="H941" s="6" t="s">
        <v>1115</v>
      </c>
      <c r="I941" s="33">
        <v>779225.98146012693</v>
      </c>
      <c r="J941" s="88">
        <v>5.2001218292116506E-2</v>
      </c>
      <c r="K941" s="89">
        <f t="shared" si="150"/>
        <v>710981.11059299647</v>
      </c>
      <c r="L941" s="88">
        <f>IF(K944&gt;0, K941/K944, 0)</f>
        <v>4.6510460390476654E-2</v>
      </c>
      <c r="M941" s="58"/>
      <c r="N941" s="9">
        <f>ROUND(M944*L941,0)</f>
        <v>586559</v>
      </c>
      <c r="O941" s="9">
        <v>612475</v>
      </c>
      <c r="P941" s="9">
        <f>N941-O941</f>
        <v>-25916</v>
      </c>
      <c r="Q941" s="40">
        <f t="shared" si="149"/>
        <v>-4.2313563818931383</v>
      </c>
      <c r="R941" s="9">
        <v>38.000000000050001</v>
      </c>
      <c r="S941" s="9">
        <f t="shared" si="147"/>
        <v>34.000000000920004</v>
      </c>
      <c r="T941" s="90">
        <f t="shared" si="142"/>
        <v>187</v>
      </c>
      <c r="U941" s="90">
        <f t="shared" si="143"/>
        <v>878</v>
      </c>
      <c r="V941" s="373">
        <f t="shared" si="144"/>
        <v>932</v>
      </c>
      <c r="W941" s="90">
        <f t="shared" si="145"/>
        <v>34.000000000920004</v>
      </c>
      <c r="X941" s="90">
        <f t="shared" si="146"/>
        <v>710981.11059299647</v>
      </c>
      <c r="Y941" s="141">
        <f t="shared" si="148"/>
        <v>932</v>
      </c>
      <c r="Z941" s="298">
        <v>187</v>
      </c>
      <c r="AA941" s="299">
        <v>878</v>
      </c>
      <c r="AB941" s="299">
        <v>932</v>
      </c>
      <c r="AC941" s="301">
        <v>34.000000000920004</v>
      </c>
      <c r="AD941" s="301">
        <v>710981.11059299647</v>
      </c>
      <c r="AE941" s="126"/>
      <c r="AF941" s="298"/>
      <c r="AG941" s="299"/>
      <c r="AH941" s="299"/>
      <c r="AI941" s="301"/>
      <c r="AJ941" s="301"/>
      <c r="AK941" s="426"/>
      <c r="AL941" s="298"/>
      <c r="AM941" s="299"/>
      <c r="AN941" s="299"/>
      <c r="AO941" s="301"/>
      <c r="AP941" s="301"/>
      <c r="AQ941" s="426"/>
      <c r="AR941" s="298"/>
      <c r="AS941" s="299"/>
      <c r="AT941" s="299"/>
      <c r="AU941" s="301"/>
      <c r="AV941" s="301"/>
      <c r="AW941" s="88"/>
      <c r="AX941" s="298"/>
      <c r="AY941" s="299"/>
      <c r="AZ941" s="299"/>
      <c r="BA941" s="301"/>
      <c r="BB941" s="301"/>
      <c r="BC941" s="426"/>
      <c r="BD941" s="298"/>
      <c r="BE941" s="299"/>
      <c r="BF941" s="299"/>
      <c r="BG941" s="301"/>
      <c r="BH941" s="301"/>
      <c r="BI941" s="88"/>
      <c r="BJ941" s="298"/>
      <c r="BK941" s="299"/>
      <c r="BL941" s="299"/>
      <c r="BM941" s="301"/>
      <c r="BN941" s="301"/>
      <c r="BO941" s="88"/>
      <c r="BP941" s="9"/>
      <c r="BS941" s="81"/>
      <c r="BT941" s="81"/>
      <c r="BV941" s="9"/>
      <c r="BY941" s="81"/>
      <c r="BZ941" s="81"/>
      <c r="CB941" s="9"/>
      <c r="CE941" s="81"/>
      <c r="CF941" s="81"/>
      <c r="CH941" s="9"/>
      <c r="CK941" s="81"/>
      <c r="CL941" s="81"/>
      <c r="CR941" s="9"/>
      <c r="CS941" s="9"/>
      <c r="CT941" s="9"/>
      <c r="CU941" s="9"/>
      <c r="CV941" s="9"/>
      <c r="CW941" s="129"/>
      <c r="CX941" s="9"/>
    </row>
    <row r="942" spans="1:102">
      <c r="A942" s="6" t="str">
        <f t="shared" si="141"/>
        <v>01870915</v>
      </c>
      <c r="B942" s="6" t="s">
        <v>1837</v>
      </c>
      <c r="C942" s="6" t="s">
        <v>2089</v>
      </c>
      <c r="D942" s="6">
        <v>933</v>
      </c>
      <c r="E942" s="6">
        <v>187</v>
      </c>
      <c r="F942" s="6" t="s">
        <v>1305</v>
      </c>
      <c r="G942" s="6">
        <v>915</v>
      </c>
      <c r="H942" s="6" t="s">
        <v>1119</v>
      </c>
      <c r="I942" s="33">
        <v>150686.780681665</v>
      </c>
      <c r="J942" s="88">
        <v>1.0055999623216504E-2</v>
      </c>
      <c r="K942" s="89">
        <f t="shared" si="150"/>
        <v>176191.77507501398</v>
      </c>
      <c r="L942" s="88">
        <f>IF(K944&gt;0, K942/K944, 0)</f>
        <v>1.1525989162946029E-2</v>
      </c>
      <c r="M942" s="58"/>
      <c r="N942" s="9">
        <f>ROUND(M944*L942,0)</f>
        <v>145358</v>
      </c>
      <c r="O942" s="9">
        <v>118441</v>
      </c>
      <c r="P942" s="9">
        <f>N942-O942</f>
        <v>26917</v>
      </c>
      <c r="Q942" s="40">
        <f t="shared" si="149"/>
        <v>22.726083028680947</v>
      </c>
      <c r="R942" s="9">
        <v>7.00000000007</v>
      </c>
      <c r="S942" s="9">
        <f t="shared" si="147"/>
        <v>8.0000000009600001</v>
      </c>
      <c r="T942" s="90">
        <f t="shared" si="142"/>
        <v>187</v>
      </c>
      <c r="U942" s="90">
        <f t="shared" si="143"/>
        <v>915</v>
      </c>
      <c r="V942" s="373">
        <f t="shared" si="144"/>
        <v>933</v>
      </c>
      <c r="W942" s="90">
        <f t="shared" si="145"/>
        <v>8.0000000009600001</v>
      </c>
      <c r="X942" s="90">
        <f t="shared" si="146"/>
        <v>176191.77507501398</v>
      </c>
      <c r="Y942" s="141">
        <f t="shared" si="148"/>
        <v>933</v>
      </c>
      <c r="Z942" s="298">
        <v>187</v>
      </c>
      <c r="AA942" s="299">
        <v>915</v>
      </c>
      <c r="AB942" s="299">
        <v>933</v>
      </c>
      <c r="AC942" s="301">
        <v>8.0000000009600001</v>
      </c>
      <c r="AD942" s="301">
        <v>176191.77507501398</v>
      </c>
      <c r="AE942" s="126"/>
      <c r="AF942" s="298"/>
      <c r="AG942" s="299"/>
      <c r="AH942" s="299"/>
      <c r="AI942" s="301"/>
      <c r="AJ942" s="301"/>
      <c r="AK942" s="426"/>
      <c r="AL942" s="298"/>
      <c r="AM942" s="299"/>
      <c r="AN942" s="299"/>
      <c r="AO942" s="301"/>
      <c r="AP942" s="301"/>
      <c r="AQ942" s="426"/>
      <c r="AR942" s="298"/>
      <c r="AS942" s="299"/>
      <c r="AT942" s="299"/>
      <c r="AU942" s="301"/>
      <c r="AV942" s="301"/>
      <c r="AW942" s="88"/>
      <c r="AX942" s="298"/>
      <c r="AY942" s="299"/>
      <c r="AZ942" s="299"/>
      <c r="BA942" s="301"/>
      <c r="BB942" s="301"/>
      <c r="BC942" s="426"/>
      <c r="BD942" s="298"/>
      <c r="BE942" s="299"/>
      <c r="BF942" s="299"/>
      <c r="BG942" s="301"/>
      <c r="BH942" s="301"/>
      <c r="BI942" s="88"/>
      <c r="BJ942" s="298"/>
      <c r="BK942" s="299"/>
      <c r="BL942" s="299"/>
      <c r="BM942" s="301"/>
      <c r="BN942" s="301"/>
      <c r="BO942" s="88"/>
      <c r="BP942" s="9"/>
      <c r="BS942" s="81"/>
      <c r="BT942" s="81"/>
      <c r="BV942" s="9"/>
      <c r="BY942" s="81"/>
      <c r="BZ942" s="81"/>
      <c r="CB942" s="9"/>
      <c r="CE942" s="81"/>
      <c r="CF942" s="81"/>
      <c r="CH942" s="9"/>
      <c r="CK942" s="81"/>
      <c r="CL942" s="81"/>
      <c r="CR942" s="9"/>
      <c r="CS942" s="9"/>
      <c r="CT942" s="9"/>
      <c r="CU942" s="9"/>
      <c r="CV942" s="9"/>
      <c r="CW942" s="129"/>
      <c r="CX942" s="9"/>
    </row>
    <row r="943" spans="1:102">
      <c r="A943" s="6" t="str">
        <f t="shared" si="141"/>
        <v>01870998</v>
      </c>
      <c r="B943" s="6" t="s">
        <v>1837</v>
      </c>
      <c r="C943" s="6" t="s">
        <v>2091</v>
      </c>
      <c r="D943" s="6">
        <v>934</v>
      </c>
      <c r="E943" s="6">
        <v>187</v>
      </c>
      <c r="F943" s="6" t="s">
        <v>1547</v>
      </c>
      <c r="G943" s="6">
        <v>998</v>
      </c>
      <c r="H943" s="6" t="s">
        <v>1547</v>
      </c>
      <c r="I943" s="33">
        <v>0</v>
      </c>
      <c r="J943" s="88">
        <v>0</v>
      </c>
      <c r="K943" s="89">
        <f t="shared" si="150"/>
        <v>0</v>
      </c>
      <c r="L943" s="88">
        <f>IF(K944&gt;0, K943/K944, 0)</f>
        <v>0</v>
      </c>
      <c r="M943" s="58"/>
      <c r="N943" s="9">
        <f>ROUND(M944*L943,0)</f>
        <v>0</v>
      </c>
      <c r="O943" s="9">
        <v>0</v>
      </c>
      <c r="P943" s="9">
        <f>N943-O943</f>
        <v>0</v>
      </c>
      <c r="Q943" s="40">
        <f t="shared" si="149"/>
        <v>0</v>
      </c>
      <c r="R943" s="9">
        <v>0</v>
      </c>
      <c r="S943" s="9">
        <f t="shared" si="147"/>
        <v>0</v>
      </c>
      <c r="T943" s="90">
        <f t="shared" si="142"/>
        <v>187</v>
      </c>
      <c r="U943" s="90">
        <f t="shared" si="143"/>
        <v>998</v>
      </c>
      <c r="V943" s="373">
        <f t="shared" si="144"/>
        <v>934</v>
      </c>
      <c r="W943" s="90">
        <f t="shared" si="145"/>
        <v>0</v>
      </c>
      <c r="X943" s="90">
        <f t="shared" si="146"/>
        <v>0</v>
      </c>
      <c r="Y943" s="141">
        <f t="shared" si="148"/>
        <v>934</v>
      </c>
      <c r="Z943" s="298">
        <v>187</v>
      </c>
      <c r="AA943" s="299">
        <v>998</v>
      </c>
      <c r="AB943" s="299">
        <v>934</v>
      </c>
      <c r="AC943" s="301">
        <v>0</v>
      </c>
      <c r="AD943" s="301">
        <v>0</v>
      </c>
      <c r="AE943" s="126"/>
      <c r="AF943" s="298"/>
      <c r="AG943" s="299"/>
      <c r="AH943" s="299"/>
      <c r="AI943" s="301"/>
      <c r="AJ943" s="301"/>
      <c r="AK943" s="426"/>
      <c r="AL943" s="298"/>
      <c r="AM943" s="299"/>
      <c r="AN943" s="299"/>
      <c r="AO943" s="301"/>
      <c r="AP943" s="301"/>
      <c r="AQ943" s="426"/>
      <c r="AR943" s="298"/>
      <c r="AS943" s="299"/>
      <c r="AT943" s="299"/>
      <c r="AU943" s="301"/>
      <c r="AV943" s="301"/>
      <c r="AW943" s="88"/>
      <c r="AX943" s="298"/>
      <c r="AY943" s="299"/>
      <c r="AZ943" s="299"/>
      <c r="BA943" s="301"/>
      <c r="BB943" s="301"/>
      <c r="BC943" s="426"/>
      <c r="BD943" s="298"/>
      <c r="BE943" s="299"/>
      <c r="BF943" s="299"/>
      <c r="BG943" s="301"/>
      <c r="BH943" s="301"/>
      <c r="BI943" s="88"/>
      <c r="BJ943" s="298"/>
      <c r="BK943" s="299"/>
      <c r="BL943" s="299"/>
      <c r="BM943" s="301"/>
      <c r="BN943" s="301"/>
      <c r="BO943" s="88"/>
      <c r="BP943" s="9"/>
      <c r="BS943" s="81"/>
      <c r="BT943" s="81"/>
      <c r="BV943" s="9"/>
      <c r="BY943" s="81"/>
      <c r="BZ943" s="81"/>
      <c r="CB943" s="9"/>
      <c r="CE943" s="81"/>
      <c r="CF943" s="81"/>
      <c r="CH943" s="9"/>
      <c r="CK943" s="81"/>
      <c r="CL943" s="81"/>
      <c r="CR943" s="9"/>
      <c r="CS943" s="9"/>
      <c r="CT943" s="9"/>
      <c r="CU943" s="9"/>
      <c r="CV943" s="9"/>
      <c r="CW943" s="129"/>
      <c r="CX943" s="9"/>
    </row>
    <row r="944" spans="1:102">
      <c r="A944" s="6" t="str">
        <f t="shared" si="141"/>
        <v>01870999</v>
      </c>
      <c r="B944" s="6" t="s">
        <v>1837</v>
      </c>
      <c r="C944" s="6" t="s">
        <v>2092</v>
      </c>
      <c r="D944" s="6">
        <v>935</v>
      </c>
      <c r="E944" s="10">
        <v>187</v>
      </c>
      <c r="F944" s="10" t="s">
        <v>1305</v>
      </c>
      <c r="G944" s="10">
        <v>999</v>
      </c>
      <c r="H944" s="10" t="s">
        <v>593</v>
      </c>
      <c r="I944" s="92">
        <v>14984763.954621794</v>
      </c>
      <c r="J944" s="472">
        <v>1</v>
      </c>
      <c r="K944" s="53">
        <f>SUM(K940:K943)</f>
        <v>15286477.59286801</v>
      </c>
      <c r="L944" s="91">
        <f>SUM(L940:L943)</f>
        <v>0.99999999999999989</v>
      </c>
      <c r="M944" s="79">
        <f>VLOOKUP(E944,town351,24)</f>
        <v>12611344</v>
      </c>
      <c r="N944" s="79">
        <f>SUM(N940:N943)</f>
        <v>12611343</v>
      </c>
      <c r="O944" s="79">
        <v>11778097</v>
      </c>
      <c r="P944" s="79">
        <f>SUM(P940:P943)</f>
        <v>833246</v>
      </c>
      <c r="Q944" s="39">
        <f t="shared" si="149"/>
        <v>7.0745384419910957</v>
      </c>
      <c r="R944" s="9">
        <v>1134.0000000001201</v>
      </c>
      <c r="S944" s="9">
        <f t="shared" si="147"/>
        <v>1128.0000000018799</v>
      </c>
      <c r="T944" s="90">
        <f t="shared" si="142"/>
        <v>187</v>
      </c>
      <c r="U944" s="90">
        <f t="shared" si="143"/>
        <v>999</v>
      </c>
      <c r="V944" s="373">
        <f t="shared" si="144"/>
        <v>935</v>
      </c>
      <c r="W944" s="90">
        <f t="shared" si="145"/>
        <v>1128.0000000018799</v>
      </c>
      <c r="X944" s="90">
        <f t="shared" si="146"/>
        <v>15286477.59286801</v>
      </c>
      <c r="Y944" s="141">
        <f t="shared" si="148"/>
        <v>935</v>
      </c>
      <c r="Z944" s="298">
        <v>187</v>
      </c>
      <c r="AA944" s="299">
        <v>999</v>
      </c>
      <c r="AB944" s="299">
        <v>935</v>
      </c>
      <c r="AC944" s="301">
        <v>1128.0000000018799</v>
      </c>
      <c r="AD944" s="301">
        <v>15286477.59286801</v>
      </c>
      <c r="AE944" s="126"/>
      <c r="AF944" s="298"/>
      <c r="AG944" s="299"/>
      <c r="AH944" s="299"/>
      <c r="AI944" s="301"/>
      <c r="AJ944" s="301"/>
      <c r="AK944" s="426"/>
      <c r="AL944" s="298"/>
      <c r="AM944" s="299"/>
      <c r="AN944" s="299"/>
      <c r="AO944" s="301"/>
      <c r="AP944" s="301"/>
      <c r="AQ944" s="426"/>
      <c r="AR944" s="298"/>
      <c r="AS944" s="299"/>
      <c r="AT944" s="299"/>
      <c r="AU944" s="301"/>
      <c r="AV944" s="301"/>
      <c r="AW944" s="91"/>
      <c r="AX944" s="298"/>
      <c r="AY944" s="299"/>
      <c r="AZ944" s="299"/>
      <c r="BA944" s="301"/>
      <c r="BB944" s="301"/>
      <c r="BC944" s="426"/>
      <c r="BD944" s="298"/>
      <c r="BE944" s="299"/>
      <c r="BF944" s="299"/>
      <c r="BG944" s="301"/>
      <c r="BH944" s="301"/>
      <c r="BI944" s="91"/>
      <c r="BJ944" s="298"/>
      <c r="BK944" s="299"/>
      <c r="BL944" s="299"/>
      <c r="BM944" s="301"/>
      <c r="BN944" s="301"/>
      <c r="BO944" s="91"/>
      <c r="BP944" s="9"/>
      <c r="BS944" s="81"/>
      <c r="BT944" s="81"/>
      <c r="BV944" s="9"/>
      <c r="BY944" s="81"/>
      <c r="BZ944" s="81"/>
      <c r="CB944" s="9"/>
      <c r="CE944" s="81"/>
      <c r="CF944" s="81"/>
      <c r="CH944" s="9"/>
      <c r="CK944" s="81"/>
      <c r="CL944" s="81"/>
      <c r="CR944" s="9"/>
      <c r="CS944" s="9"/>
      <c r="CT944" s="9"/>
      <c r="CU944" s="9"/>
      <c r="CV944" s="9"/>
      <c r="CW944" s="129"/>
      <c r="CX944" s="9"/>
    </row>
    <row r="945" spans="1:102">
      <c r="A945" s="6" t="str">
        <f t="shared" si="141"/>
        <v>01880188</v>
      </c>
      <c r="B945" s="6" t="s">
        <v>1838</v>
      </c>
      <c r="C945" s="6" t="s">
        <v>1838</v>
      </c>
      <c r="D945" s="6">
        <v>936</v>
      </c>
      <c r="E945" s="6">
        <v>188</v>
      </c>
      <c r="F945" s="6" t="s">
        <v>1306</v>
      </c>
      <c r="G945" s="6">
        <v>188</v>
      </c>
      <c r="H945" s="6" t="s">
        <v>869</v>
      </c>
      <c r="I945" s="33">
        <v>98944.56</v>
      </c>
      <c r="J945" s="88">
        <v>1.6538994410030258E-2</v>
      </c>
      <c r="K945" s="89">
        <f>X945</f>
        <v>84301.650000000009</v>
      </c>
      <c r="L945" s="88">
        <f>IF(K949&gt;0, K945/K949, 0)</f>
        <v>1.3648829402445932E-2</v>
      </c>
      <c r="M945" s="58"/>
      <c r="N945" s="9">
        <f>ROUND(M949*L945,0)</f>
        <v>40692</v>
      </c>
      <c r="O945" s="9">
        <v>47019</v>
      </c>
      <c r="P945" s="9">
        <f>N945-O945</f>
        <v>-6327</v>
      </c>
      <c r="Q945" s="40">
        <f t="shared" si="149"/>
        <v>-13.456262362023862</v>
      </c>
      <c r="R945" s="9">
        <v>6</v>
      </c>
      <c r="S945" s="9">
        <f t="shared" si="147"/>
        <v>5</v>
      </c>
      <c r="T945" s="90">
        <f t="shared" si="142"/>
        <v>188</v>
      </c>
      <c r="U945" s="90">
        <f t="shared" si="143"/>
        <v>188</v>
      </c>
      <c r="V945" s="373">
        <f t="shared" si="144"/>
        <v>936</v>
      </c>
      <c r="W945" s="90">
        <f t="shared" si="145"/>
        <v>5</v>
      </c>
      <c r="X945" s="90">
        <f t="shared" si="146"/>
        <v>84301.650000000009</v>
      </c>
      <c r="Y945" s="141">
        <f t="shared" si="148"/>
        <v>936</v>
      </c>
      <c r="Z945" s="298">
        <v>188</v>
      </c>
      <c r="AA945" s="299">
        <v>188</v>
      </c>
      <c r="AB945" s="299">
        <v>936</v>
      </c>
      <c r="AC945" s="301">
        <v>5</v>
      </c>
      <c r="AD945" s="301">
        <v>84301.650000000009</v>
      </c>
      <c r="AE945" s="126"/>
      <c r="AF945" s="298"/>
      <c r="AG945" s="299"/>
      <c r="AH945" s="299"/>
      <c r="AI945" s="301"/>
      <c r="AJ945" s="301"/>
      <c r="AK945" s="426"/>
      <c r="AL945" s="298"/>
      <c r="AM945" s="299"/>
      <c r="AN945" s="299"/>
      <c r="AO945" s="301"/>
      <c r="AP945" s="301"/>
      <c r="AQ945" s="426"/>
      <c r="AR945" s="298"/>
      <c r="AS945" s="299"/>
      <c r="AT945" s="299"/>
      <c r="AU945" s="301"/>
      <c r="AV945" s="301"/>
      <c r="AW945" s="88"/>
      <c r="AX945" s="298"/>
      <c r="AY945" s="299"/>
      <c r="AZ945" s="299"/>
      <c r="BA945" s="301"/>
      <c r="BB945" s="301"/>
      <c r="BC945" s="426"/>
      <c r="BD945" s="298"/>
      <c r="BE945" s="299"/>
      <c r="BF945" s="299"/>
      <c r="BG945" s="301"/>
      <c r="BH945" s="301"/>
      <c r="BI945" s="88"/>
      <c r="BJ945" s="298"/>
      <c r="BK945" s="299"/>
      <c r="BL945" s="299"/>
      <c r="BM945" s="301"/>
      <c r="BN945" s="301"/>
      <c r="BO945" s="88"/>
      <c r="BP945" s="9"/>
      <c r="BS945" s="81"/>
      <c r="BT945" s="81"/>
      <c r="BV945" s="9"/>
      <c r="BY945" s="81"/>
      <c r="BZ945" s="81"/>
      <c r="CB945" s="9"/>
      <c r="CE945" s="81"/>
      <c r="CF945" s="81"/>
      <c r="CH945" s="9"/>
      <c r="CK945" s="81"/>
      <c r="CL945" s="81"/>
      <c r="CR945" s="9"/>
      <c r="CS945" s="9"/>
      <c r="CT945" s="9"/>
      <c r="CU945" s="9"/>
      <c r="CV945" s="9"/>
      <c r="CW945" s="129"/>
      <c r="CX945" s="9"/>
    </row>
    <row r="946" spans="1:102">
      <c r="A946" s="6" t="str">
        <f t="shared" si="141"/>
        <v>01880622</v>
      </c>
      <c r="B946" s="6" t="s">
        <v>1838</v>
      </c>
      <c r="C946" s="6" t="s">
        <v>2012</v>
      </c>
      <c r="D946" s="6">
        <v>937</v>
      </c>
      <c r="E946" s="6">
        <v>188</v>
      </c>
      <c r="F946" s="6" t="s">
        <v>1306</v>
      </c>
      <c r="G946" s="6">
        <v>622</v>
      </c>
      <c r="H946" s="6" t="s">
        <v>1042</v>
      </c>
      <c r="I946" s="33">
        <v>5392614.2090010587</v>
      </c>
      <c r="J946" s="88">
        <v>0.90139787632708912</v>
      </c>
      <c r="K946" s="89">
        <f t="shared" si="150"/>
        <v>5588524.5398483621</v>
      </c>
      <c r="L946" s="88">
        <f>IF(K949&gt;0, K946/K949, 0)</f>
        <v>0.90480812719291903</v>
      </c>
      <c r="M946" s="58"/>
      <c r="N946" s="9">
        <f>ROUND(M949*L946,0)</f>
        <v>2697544</v>
      </c>
      <c r="O946" s="9">
        <v>2562580</v>
      </c>
      <c r="P946" s="9">
        <f>N946-O946</f>
        <v>134964</v>
      </c>
      <c r="Q946" s="40">
        <f t="shared" si="149"/>
        <v>5.2667233803432474</v>
      </c>
      <c r="R946" s="9">
        <v>401.35330451046002</v>
      </c>
      <c r="S946" s="9">
        <f t="shared" si="147"/>
        <v>402.92633517065997</v>
      </c>
      <c r="T946" s="90">
        <f t="shared" si="142"/>
        <v>188</v>
      </c>
      <c r="U946" s="90">
        <f t="shared" si="143"/>
        <v>622</v>
      </c>
      <c r="V946" s="373">
        <f t="shared" si="144"/>
        <v>937</v>
      </c>
      <c r="W946" s="90">
        <f t="shared" si="145"/>
        <v>402.92633517065997</v>
      </c>
      <c r="X946" s="90">
        <f t="shared" si="146"/>
        <v>5588524.5398483621</v>
      </c>
      <c r="Y946" s="141">
        <f t="shared" si="148"/>
        <v>937</v>
      </c>
      <c r="Z946" s="298">
        <v>188</v>
      </c>
      <c r="AA946" s="299">
        <v>622</v>
      </c>
      <c r="AB946" s="299">
        <v>937</v>
      </c>
      <c r="AC946" s="301">
        <v>402.92633517065997</v>
      </c>
      <c r="AD946" s="301">
        <v>5588524.5398483621</v>
      </c>
      <c r="AE946" s="126"/>
      <c r="AF946" s="298"/>
      <c r="AG946" s="299"/>
      <c r="AH946" s="299"/>
      <c r="AI946" s="301"/>
      <c r="AJ946" s="301"/>
      <c r="AK946" s="426"/>
      <c r="AL946" s="298"/>
      <c r="AM946" s="299"/>
      <c r="AN946" s="299"/>
      <c r="AO946" s="301"/>
      <c r="AP946" s="301"/>
      <c r="AQ946" s="426"/>
      <c r="AR946" s="298"/>
      <c r="AS946" s="299"/>
      <c r="AT946" s="299"/>
      <c r="AU946" s="301"/>
      <c r="AV946" s="301"/>
      <c r="AW946" s="88"/>
      <c r="AX946" s="298"/>
      <c r="AY946" s="299"/>
      <c r="AZ946" s="299"/>
      <c r="BA946" s="301"/>
      <c r="BB946" s="301"/>
      <c r="BC946" s="426"/>
      <c r="BD946" s="298"/>
      <c r="BE946" s="299"/>
      <c r="BF946" s="299"/>
      <c r="BG946" s="301"/>
      <c r="BH946" s="301"/>
      <c r="BI946" s="88"/>
      <c r="BJ946" s="298"/>
      <c r="BK946" s="299"/>
      <c r="BL946" s="299"/>
      <c r="BM946" s="301"/>
      <c r="BN946" s="301"/>
      <c r="BO946" s="88"/>
      <c r="BP946" s="9"/>
      <c r="BS946" s="81"/>
      <c r="BT946" s="81"/>
      <c r="BV946" s="9"/>
      <c r="BY946" s="81"/>
      <c r="BZ946" s="81"/>
      <c r="CB946" s="9"/>
      <c r="CE946" s="81"/>
      <c r="CF946" s="81"/>
      <c r="CH946" s="9"/>
      <c r="CK946" s="81"/>
      <c r="CL946" s="81"/>
      <c r="CR946" s="9"/>
      <c r="CS946" s="9"/>
      <c r="CT946" s="9"/>
      <c r="CU946" s="9"/>
      <c r="CV946" s="9"/>
      <c r="CW946" s="129"/>
      <c r="CX946" s="9"/>
    </row>
    <row r="947" spans="1:102">
      <c r="A947" s="6" t="str">
        <f t="shared" si="141"/>
        <v>01880805</v>
      </c>
      <c r="B947" s="6" t="s">
        <v>1838</v>
      </c>
      <c r="C947" s="6" t="s">
        <v>2063</v>
      </c>
      <c r="D947" s="6">
        <v>938</v>
      </c>
      <c r="E947" s="6">
        <v>188</v>
      </c>
      <c r="F947" s="6" t="s">
        <v>1306</v>
      </c>
      <c r="G947" s="6">
        <v>805</v>
      </c>
      <c r="H947" s="6" t="s">
        <v>1093</v>
      </c>
      <c r="I947" s="33">
        <v>490942.79953408649</v>
      </c>
      <c r="J947" s="88">
        <v>8.2063129262880771E-2</v>
      </c>
      <c r="K947" s="89">
        <f t="shared" si="150"/>
        <v>503648.54760368349</v>
      </c>
      <c r="L947" s="88">
        <f>IF(K949&gt;0, K947/K949, 0)</f>
        <v>8.154304340463496E-2</v>
      </c>
      <c r="M947" s="58"/>
      <c r="N947" s="9">
        <f>ROUND(M949*L947,0)</f>
        <v>243108</v>
      </c>
      <c r="O947" s="9">
        <v>233297</v>
      </c>
      <c r="P947" s="9">
        <f>N947-O947</f>
        <v>9811</v>
      </c>
      <c r="Q947" s="40">
        <f t="shared" si="149"/>
        <v>4.2053691217632458</v>
      </c>
      <c r="R947" s="9">
        <v>25.99999999576</v>
      </c>
      <c r="S947" s="9">
        <f t="shared" si="147"/>
        <v>25.999999998699998</v>
      </c>
      <c r="T947" s="90">
        <f t="shared" si="142"/>
        <v>188</v>
      </c>
      <c r="U947" s="90">
        <f t="shared" si="143"/>
        <v>805</v>
      </c>
      <c r="V947" s="373">
        <f t="shared" si="144"/>
        <v>938</v>
      </c>
      <c r="W947" s="90">
        <f t="shared" si="145"/>
        <v>25.999999998699998</v>
      </c>
      <c r="X947" s="90">
        <f t="shared" si="146"/>
        <v>503648.54760368349</v>
      </c>
      <c r="Y947" s="141">
        <f t="shared" si="148"/>
        <v>938</v>
      </c>
      <c r="Z947" s="298">
        <v>188</v>
      </c>
      <c r="AA947" s="299">
        <v>805</v>
      </c>
      <c r="AB947" s="299">
        <v>938</v>
      </c>
      <c r="AC947" s="301">
        <v>25.999999998699998</v>
      </c>
      <c r="AD947" s="301">
        <v>503648.54760368349</v>
      </c>
      <c r="AE947" s="126"/>
      <c r="AF947" s="298"/>
      <c r="AG947" s="299"/>
      <c r="AH947" s="299"/>
      <c r="AI947" s="301"/>
      <c r="AJ947" s="301"/>
      <c r="AK947" s="426"/>
      <c r="AL947" s="298"/>
      <c r="AM947" s="299"/>
      <c r="AN947" s="299"/>
      <c r="AO947" s="301"/>
      <c r="AP947" s="301"/>
      <c r="AQ947" s="426"/>
      <c r="AR947" s="298"/>
      <c r="AS947" s="299"/>
      <c r="AT947" s="299"/>
      <c r="AU947" s="301"/>
      <c r="AV947" s="301"/>
      <c r="AW947" s="88"/>
      <c r="AX947" s="298"/>
      <c r="AY947" s="299"/>
      <c r="AZ947" s="299"/>
      <c r="BA947" s="301"/>
      <c r="BB947" s="301"/>
      <c r="BC947" s="426"/>
      <c r="BD947" s="298"/>
      <c r="BE947" s="299"/>
      <c r="BF947" s="299"/>
      <c r="BG947" s="301"/>
      <c r="BH947" s="301"/>
      <c r="BI947" s="88"/>
      <c r="BJ947" s="298"/>
      <c r="BK947" s="299"/>
      <c r="BL947" s="299"/>
      <c r="BM947" s="301"/>
      <c r="BN947" s="301"/>
      <c r="BO947" s="88"/>
      <c r="BP947" s="9"/>
      <c r="BS947" s="81"/>
      <c r="BT947" s="81"/>
      <c r="BV947" s="9"/>
      <c r="BY947" s="81"/>
      <c r="BZ947" s="81"/>
      <c r="CB947" s="9"/>
      <c r="CE947" s="81"/>
      <c r="CF947" s="81"/>
      <c r="CH947" s="9"/>
      <c r="CK947" s="81"/>
      <c r="CL947" s="81"/>
      <c r="CR947" s="9"/>
      <c r="CS947" s="9"/>
      <c r="CT947" s="9"/>
      <c r="CU947" s="9"/>
      <c r="CV947" s="9"/>
      <c r="CW947" s="129"/>
      <c r="CX947" s="9"/>
    </row>
    <row r="948" spans="1:102">
      <c r="A948" s="6" t="str">
        <f t="shared" si="141"/>
        <v>01880998</v>
      </c>
      <c r="B948" s="6" t="s">
        <v>1838</v>
      </c>
      <c r="C948" s="6" t="s">
        <v>2091</v>
      </c>
      <c r="D948" s="6">
        <v>939</v>
      </c>
      <c r="E948" s="6">
        <v>188</v>
      </c>
      <c r="F948" s="6" t="s">
        <v>1547</v>
      </c>
      <c r="G948" s="6">
        <v>998</v>
      </c>
      <c r="H948" s="6" t="s">
        <v>1547</v>
      </c>
      <c r="I948" s="33">
        <v>0</v>
      </c>
      <c r="J948" s="88">
        <v>0</v>
      </c>
      <c r="K948" s="89">
        <f t="shared" si="150"/>
        <v>0</v>
      </c>
      <c r="L948" s="88">
        <f>IF(K949&gt;0, K948/K949, 0)</f>
        <v>0</v>
      </c>
      <c r="M948" s="58"/>
      <c r="N948" s="9">
        <f>ROUND(M949*L948,0)</f>
        <v>0</v>
      </c>
      <c r="O948" s="9">
        <v>0</v>
      </c>
      <c r="P948" s="9">
        <f>N948-O948</f>
        <v>0</v>
      </c>
      <c r="Q948" s="40">
        <f t="shared" si="149"/>
        <v>0</v>
      </c>
      <c r="R948" s="9">
        <v>0</v>
      </c>
      <c r="S948" s="9">
        <f t="shared" si="147"/>
        <v>0</v>
      </c>
      <c r="T948" s="90">
        <f t="shared" si="142"/>
        <v>188</v>
      </c>
      <c r="U948" s="90">
        <f t="shared" si="143"/>
        <v>998</v>
      </c>
      <c r="V948" s="373">
        <f t="shared" si="144"/>
        <v>939</v>
      </c>
      <c r="W948" s="90">
        <f t="shared" si="145"/>
        <v>0</v>
      </c>
      <c r="X948" s="90">
        <f t="shared" si="146"/>
        <v>0</v>
      </c>
      <c r="Y948" s="141">
        <f t="shared" si="148"/>
        <v>939</v>
      </c>
      <c r="Z948" s="298">
        <v>188</v>
      </c>
      <c r="AA948" s="299">
        <v>998</v>
      </c>
      <c r="AB948" s="299">
        <v>939</v>
      </c>
      <c r="AC948" s="301">
        <v>0</v>
      </c>
      <c r="AD948" s="301">
        <v>0</v>
      </c>
      <c r="AE948" s="126"/>
      <c r="AF948" s="298"/>
      <c r="AG948" s="299"/>
      <c r="AH948" s="299"/>
      <c r="AI948" s="301"/>
      <c r="AJ948" s="301"/>
      <c r="AK948" s="426"/>
      <c r="AL948" s="298"/>
      <c r="AM948" s="299"/>
      <c r="AN948" s="299"/>
      <c r="AO948" s="301"/>
      <c r="AP948" s="301"/>
      <c r="AQ948" s="426"/>
      <c r="AR948" s="298"/>
      <c r="AS948" s="299"/>
      <c r="AT948" s="299"/>
      <c r="AU948" s="301"/>
      <c r="AV948" s="301"/>
      <c r="AW948" s="88"/>
      <c r="AX948" s="298"/>
      <c r="AY948" s="299"/>
      <c r="AZ948" s="299"/>
      <c r="BA948" s="301"/>
      <c r="BB948" s="301"/>
      <c r="BC948" s="426"/>
      <c r="BD948" s="298"/>
      <c r="BE948" s="299"/>
      <c r="BF948" s="299"/>
      <c r="BG948" s="301"/>
      <c r="BH948" s="301"/>
      <c r="BI948" s="88"/>
      <c r="BJ948" s="298"/>
      <c r="BK948" s="299"/>
      <c r="BL948" s="299"/>
      <c r="BM948" s="301"/>
      <c r="BN948" s="301"/>
      <c r="BO948" s="88"/>
      <c r="BP948" s="9"/>
      <c r="BS948" s="81"/>
      <c r="BT948" s="81"/>
      <c r="BV948" s="9"/>
      <c r="BY948" s="81"/>
      <c r="BZ948" s="81"/>
      <c r="CB948" s="9"/>
      <c r="CE948" s="81"/>
      <c r="CF948" s="81"/>
      <c r="CH948" s="9"/>
      <c r="CK948" s="81"/>
      <c r="CL948" s="81"/>
      <c r="CR948" s="9"/>
      <c r="CS948" s="9"/>
      <c r="CT948" s="9"/>
      <c r="CU948" s="9"/>
      <c r="CV948" s="9"/>
      <c r="CW948" s="129"/>
      <c r="CX948" s="9"/>
    </row>
    <row r="949" spans="1:102">
      <c r="A949" s="6" t="str">
        <f t="shared" si="141"/>
        <v>01880999</v>
      </c>
      <c r="B949" s="6" t="s">
        <v>1838</v>
      </c>
      <c r="C949" s="6" t="s">
        <v>2092</v>
      </c>
      <c r="D949" s="6">
        <v>940</v>
      </c>
      <c r="E949" s="10">
        <v>188</v>
      </c>
      <c r="F949" s="10" t="s">
        <v>1306</v>
      </c>
      <c r="G949" s="10">
        <v>999</v>
      </c>
      <c r="H949" s="10" t="s">
        <v>593</v>
      </c>
      <c r="I949" s="92">
        <v>5982501.5685351444</v>
      </c>
      <c r="J949" s="472">
        <v>1.0000000000000002</v>
      </c>
      <c r="K949" s="53">
        <f>SUM(K945:K948)</f>
        <v>6176474.737452046</v>
      </c>
      <c r="L949" s="91">
        <f>SUM(L945:L948)</f>
        <v>0.99999999999999989</v>
      </c>
      <c r="M949" s="79">
        <f>VLOOKUP(E949,town351,24)</f>
        <v>2981344</v>
      </c>
      <c r="N949" s="79">
        <f>SUM(N945:N948)</f>
        <v>2981344</v>
      </c>
      <c r="O949" s="79">
        <v>2842896</v>
      </c>
      <c r="P949" s="79">
        <f>SUM(P945:P948)</f>
        <v>138448</v>
      </c>
      <c r="Q949" s="39">
        <f t="shared" si="149"/>
        <v>4.8699635864273612</v>
      </c>
      <c r="R949" s="9">
        <v>433.35330450622001</v>
      </c>
      <c r="S949" s="9">
        <f t="shared" si="147"/>
        <v>433.92633516935996</v>
      </c>
      <c r="T949" s="90">
        <f t="shared" si="142"/>
        <v>188</v>
      </c>
      <c r="U949" s="90">
        <f t="shared" si="143"/>
        <v>999</v>
      </c>
      <c r="V949" s="373">
        <f t="shared" si="144"/>
        <v>940</v>
      </c>
      <c r="W949" s="90">
        <f t="shared" si="145"/>
        <v>433.92633516935996</v>
      </c>
      <c r="X949" s="90">
        <f t="shared" si="146"/>
        <v>6176474.737452046</v>
      </c>
      <c r="Y949" s="141">
        <f t="shared" si="148"/>
        <v>940</v>
      </c>
      <c r="Z949" s="298">
        <v>188</v>
      </c>
      <c r="AA949" s="299">
        <v>999</v>
      </c>
      <c r="AB949" s="299">
        <v>940</v>
      </c>
      <c r="AC949" s="301">
        <v>433.92633516935996</v>
      </c>
      <c r="AD949" s="301">
        <v>6176474.737452046</v>
      </c>
      <c r="AE949" s="126"/>
      <c r="AF949" s="298"/>
      <c r="AG949" s="299"/>
      <c r="AH949" s="299"/>
      <c r="AI949" s="301"/>
      <c r="AJ949" s="301"/>
      <c r="AK949" s="426"/>
      <c r="AL949" s="298"/>
      <c r="AM949" s="299"/>
      <c r="AN949" s="299"/>
      <c r="AO949" s="301"/>
      <c r="AP949" s="301"/>
      <c r="AQ949" s="426"/>
      <c r="AR949" s="298"/>
      <c r="AS949" s="299"/>
      <c r="AT949" s="299"/>
      <c r="AU949" s="301"/>
      <c r="AV949" s="301"/>
      <c r="AW949" s="91"/>
      <c r="AX949" s="298"/>
      <c r="AY949" s="299"/>
      <c r="AZ949" s="299"/>
      <c r="BA949" s="301"/>
      <c r="BB949" s="301"/>
      <c r="BC949" s="426"/>
      <c r="BD949" s="298"/>
      <c r="BE949" s="299"/>
      <c r="BF949" s="299"/>
      <c r="BG949" s="301"/>
      <c r="BH949" s="301"/>
      <c r="BI949" s="91"/>
      <c r="BJ949" s="298"/>
      <c r="BK949" s="299"/>
      <c r="BL949" s="299"/>
      <c r="BM949" s="301"/>
      <c r="BN949" s="301"/>
      <c r="BO949" s="91"/>
      <c r="BP949" s="9"/>
      <c r="BS949" s="81"/>
      <c r="BT949" s="81"/>
      <c r="BV949" s="9"/>
      <c r="BY949" s="81"/>
      <c r="BZ949" s="81"/>
      <c r="CB949" s="9"/>
      <c r="CE949" s="81"/>
      <c r="CF949" s="81"/>
      <c r="CH949" s="9"/>
      <c r="CK949" s="81"/>
      <c r="CL949" s="81"/>
      <c r="CR949" s="9"/>
      <c r="CS949" s="9"/>
      <c r="CT949" s="9"/>
      <c r="CU949" s="9"/>
      <c r="CV949" s="9"/>
      <c r="CW949" s="129"/>
      <c r="CX949" s="9"/>
    </row>
    <row r="950" spans="1:102">
      <c r="A950" s="6" t="str">
        <f t="shared" si="141"/>
        <v>01890189</v>
      </c>
      <c r="B950" s="6" t="s">
        <v>1839</v>
      </c>
      <c r="C950" s="6" t="s">
        <v>1839</v>
      </c>
      <c r="D950" s="6">
        <v>941</v>
      </c>
      <c r="E950" s="6">
        <v>189</v>
      </c>
      <c r="F950" s="6" t="s">
        <v>1307</v>
      </c>
      <c r="G950" s="6">
        <v>189</v>
      </c>
      <c r="H950" s="6" t="s">
        <v>870</v>
      </c>
      <c r="I950" s="33">
        <v>53957475.515560001</v>
      </c>
      <c r="J950" s="88">
        <v>0.97674112238927147</v>
      </c>
      <c r="K950" s="89">
        <f>X950</f>
        <v>55677434.427500002</v>
      </c>
      <c r="L950" s="88">
        <f>IF(K954&gt;0, K950/K954, 0)</f>
        <v>0.98314629365319728</v>
      </c>
      <c r="M950" s="58"/>
      <c r="N950" s="9">
        <f>ROUND(M954*L950,0)</f>
        <v>44754901</v>
      </c>
      <c r="O950" s="9">
        <v>42281594</v>
      </c>
      <c r="P950" s="9">
        <f>N950-O950</f>
        <v>2473307</v>
      </c>
      <c r="Q950" s="40">
        <f t="shared" si="149"/>
        <v>5.8496068052685048</v>
      </c>
      <c r="R950" s="9">
        <v>4294</v>
      </c>
      <c r="S950" s="9">
        <f t="shared" si="147"/>
        <v>4303</v>
      </c>
      <c r="T950" s="90">
        <f t="shared" si="142"/>
        <v>189</v>
      </c>
      <c r="U950" s="90">
        <f t="shared" si="143"/>
        <v>189</v>
      </c>
      <c r="V950" s="373">
        <f t="shared" si="144"/>
        <v>941</v>
      </c>
      <c r="W950" s="90">
        <f t="shared" si="145"/>
        <v>4303</v>
      </c>
      <c r="X950" s="90">
        <f t="shared" si="146"/>
        <v>55677434.427500002</v>
      </c>
      <c r="Y950" s="141">
        <f t="shared" si="148"/>
        <v>941</v>
      </c>
      <c r="Z950" s="298">
        <v>189</v>
      </c>
      <c r="AA950" s="299">
        <v>189</v>
      </c>
      <c r="AB950" s="299">
        <v>941</v>
      </c>
      <c r="AC950" s="301">
        <v>4303</v>
      </c>
      <c r="AD950" s="301">
        <v>55677434.427500002</v>
      </c>
      <c r="AE950" s="126"/>
      <c r="AF950" s="298"/>
      <c r="AG950" s="299"/>
      <c r="AH950" s="299"/>
      <c r="AI950" s="301"/>
      <c r="AJ950" s="301"/>
      <c r="AK950" s="426"/>
      <c r="AL950" s="298"/>
      <c r="AM950" s="299"/>
      <c r="AN950" s="299"/>
      <c r="AO950" s="301"/>
      <c r="AP950" s="301"/>
      <c r="AQ950" s="426"/>
      <c r="AR950" s="298"/>
      <c r="AS950" s="299"/>
      <c r="AT950" s="299"/>
      <c r="AU950" s="301"/>
      <c r="AV950" s="301"/>
      <c r="AW950" s="88"/>
      <c r="AX950" s="298"/>
      <c r="AY950" s="299"/>
      <c r="AZ950" s="299"/>
      <c r="BA950" s="301"/>
      <c r="BB950" s="301"/>
      <c r="BC950" s="426"/>
      <c r="BD950" s="298"/>
      <c r="BE950" s="299"/>
      <c r="BF950" s="299"/>
      <c r="BG950" s="301"/>
      <c r="BH950" s="301"/>
      <c r="BI950" s="88"/>
      <c r="BJ950" s="298"/>
      <c r="BK950" s="299"/>
      <c r="BL950" s="299"/>
      <c r="BM950" s="301"/>
      <c r="BN950" s="301"/>
      <c r="BO950" s="88"/>
      <c r="BP950" s="9"/>
      <c r="BS950" s="81"/>
      <c r="BT950" s="81"/>
      <c r="BV950" s="9"/>
      <c r="BY950" s="81"/>
      <c r="BZ950" s="81"/>
      <c r="CB950" s="9"/>
      <c r="CE950" s="81"/>
      <c r="CF950" s="81"/>
      <c r="CH950" s="9"/>
      <c r="CK950" s="81"/>
      <c r="CL950" s="81"/>
      <c r="CR950" s="9"/>
      <c r="CS950" s="9"/>
      <c r="CT950" s="9"/>
      <c r="CU950" s="9"/>
      <c r="CV950" s="9"/>
      <c r="CW950" s="129"/>
      <c r="CX950" s="9"/>
    </row>
    <row r="951" spans="1:102">
      <c r="A951" s="6" t="str">
        <f t="shared" si="141"/>
        <v>01890806</v>
      </c>
      <c r="B951" s="6" t="s">
        <v>1839</v>
      </c>
      <c r="C951" s="6" t="s">
        <v>2064</v>
      </c>
      <c r="D951" s="6">
        <v>942</v>
      </c>
      <c r="E951" s="6">
        <v>189</v>
      </c>
      <c r="F951" s="6" t="s">
        <v>1307</v>
      </c>
      <c r="G951" s="6">
        <v>806</v>
      </c>
      <c r="H951" s="6" t="s">
        <v>1094</v>
      </c>
      <c r="I951" s="33">
        <v>1112661.607590846</v>
      </c>
      <c r="J951" s="88">
        <v>2.0141460234260458E-2</v>
      </c>
      <c r="K951" s="89">
        <f t="shared" si="150"/>
        <v>756241.5256449501</v>
      </c>
      <c r="L951" s="88">
        <f>IF(K954&gt;0, K951/K954, 0)</f>
        <v>1.3353633490648898E-2</v>
      </c>
      <c r="M951" s="58"/>
      <c r="N951" s="9">
        <f>ROUND(M954*L951,0)</f>
        <v>607886</v>
      </c>
      <c r="O951" s="9">
        <v>871892</v>
      </c>
      <c r="P951" s="9">
        <f>N951-O951</f>
        <v>-264006</v>
      </c>
      <c r="Q951" s="40">
        <f t="shared" si="149"/>
        <v>-30.279667665261293</v>
      </c>
      <c r="R951" s="9">
        <v>51.000000004500002</v>
      </c>
      <c r="S951" s="9">
        <f t="shared" si="147"/>
        <v>33.99999999584</v>
      </c>
      <c r="T951" s="90">
        <f t="shared" si="142"/>
        <v>189</v>
      </c>
      <c r="U951" s="90">
        <f t="shared" si="143"/>
        <v>806</v>
      </c>
      <c r="V951" s="373">
        <f t="shared" si="144"/>
        <v>942</v>
      </c>
      <c r="W951" s="90">
        <f t="shared" si="145"/>
        <v>33.99999999584</v>
      </c>
      <c r="X951" s="90">
        <f t="shared" si="146"/>
        <v>756241.5256449501</v>
      </c>
      <c r="Y951" s="141">
        <f t="shared" si="148"/>
        <v>942</v>
      </c>
      <c r="Z951" s="298">
        <v>189</v>
      </c>
      <c r="AA951" s="299">
        <v>806</v>
      </c>
      <c r="AB951" s="299">
        <v>942</v>
      </c>
      <c r="AC951" s="301">
        <v>33.99999999584</v>
      </c>
      <c r="AD951" s="301">
        <v>756241.5256449501</v>
      </c>
      <c r="AE951" s="126"/>
      <c r="AF951" s="298"/>
      <c r="AG951" s="299"/>
      <c r="AH951" s="299"/>
      <c r="AI951" s="301"/>
      <c r="AJ951" s="301"/>
      <c r="AK951" s="426"/>
      <c r="AL951" s="298"/>
      <c r="AM951" s="299"/>
      <c r="AN951" s="299"/>
      <c r="AO951" s="301"/>
      <c r="AP951" s="301"/>
      <c r="AQ951" s="426"/>
      <c r="AR951" s="298"/>
      <c r="AS951" s="299"/>
      <c r="AT951" s="299"/>
      <c r="AU951" s="301"/>
      <c r="AV951" s="301"/>
      <c r="AW951" s="88"/>
      <c r="AX951" s="298"/>
      <c r="AY951" s="299"/>
      <c r="AZ951" s="299"/>
      <c r="BA951" s="301"/>
      <c r="BB951" s="301"/>
      <c r="BC951" s="426"/>
      <c r="BD951" s="298"/>
      <c r="BE951" s="299"/>
      <c r="BF951" s="299"/>
      <c r="BG951" s="301"/>
      <c r="BH951" s="301"/>
      <c r="BI951" s="88"/>
      <c r="BJ951" s="298"/>
      <c r="BK951" s="299"/>
      <c r="BL951" s="299"/>
      <c r="BM951" s="301"/>
      <c r="BN951" s="301"/>
      <c r="BO951" s="88"/>
      <c r="BP951" s="9"/>
      <c r="BS951" s="81"/>
      <c r="BT951" s="81"/>
      <c r="BV951" s="9"/>
      <c r="BY951" s="81"/>
      <c r="BZ951" s="81"/>
      <c r="CB951" s="9"/>
      <c r="CE951" s="81"/>
      <c r="CF951" s="81"/>
      <c r="CH951" s="9"/>
      <c r="CK951" s="81"/>
      <c r="CL951" s="81"/>
      <c r="CR951" s="9"/>
      <c r="CS951" s="9"/>
      <c r="CT951" s="9"/>
      <c r="CU951" s="9"/>
      <c r="CV951" s="9"/>
      <c r="CW951" s="129"/>
      <c r="CX951" s="9"/>
    </row>
    <row r="952" spans="1:102">
      <c r="A952" s="6" t="str">
        <f t="shared" si="141"/>
        <v>01890915</v>
      </c>
      <c r="B952" s="6" t="s">
        <v>1839</v>
      </c>
      <c r="C952" s="6" t="s">
        <v>2089</v>
      </c>
      <c r="D952" s="6">
        <v>943</v>
      </c>
      <c r="E952" s="6">
        <v>189</v>
      </c>
      <c r="F952" s="6" t="s">
        <v>1307</v>
      </c>
      <c r="G952" s="6">
        <v>915</v>
      </c>
      <c r="H952" s="6" t="s">
        <v>1119</v>
      </c>
      <c r="I952" s="33">
        <v>172213.46363618856</v>
      </c>
      <c r="J952" s="88">
        <v>3.117417376468026E-3</v>
      </c>
      <c r="K952" s="89">
        <f t="shared" si="150"/>
        <v>198215.74693208101</v>
      </c>
      <c r="L952" s="88">
        <f>IF(K954&gt;0, K952/K954, 0)</f>
        <v>3.5000728561537945E-3</v>
      </c>
      <c r="M952" s="58"/>
      <c r="N952" s="9">
        <f>ROUND(M954*L952,0)</f>
        <v>159331</v>
      </c>
      <c r="O952" s="9">
        <v>134948</v>
      </c>
      <c r="P952" s="9">
        <f>N952-O952</f>
        <v>24383</v>
      </c>
      <c r="Q952" s="40">
        <f t="shared" si="149"/>
        <v>18.068441177342383</v>
      </c>
      <c r="R952" s="9">
        <v>8.00000000008</v>
      </c>
      <c r="S952" s="9">
        <f t="shared" si="147"/>
        <v>8.99999999984</v>
      </c>
      <c r="T952" s="90">
        <f t="shared" si="142"/>
        <v>189</v>
      </c>
      <c r="U952" s="90">
        <f t="shared" si="143"/>
        <v>915</v>
      </c>
      <c r="V952" s="373">
        <f t="shared" si="144"/>
        <v>943</v>
      </c>
      <c r="W952" s="90">
        <f t="shared" si="145"/>
        <v>8.99999999984</v>
      </c>
      <c r="X952" s="90">
        <f t="shared" si="146"/>
        <v>198215.74693208101</v>
      </c>
      <c r="Y952" s="141">
        <f t="shared" si="148"/>
        <v>943</v>
      </c>
      <c r="Z952" s="298">
        <v>189</v>
      </c>
      <c r="AA952" s="299">
        <v>915</v>
      </c>
      <c r="AB952" s="299">
        <v>943</v>
      </c>
      <c r="AC952" s="301">
        <v>8.99999999984</v>
      </c>
      <c r="AD952" s="301">
        <v>198215.74693208101</v>
      </c>
      <c r="AE952" s="126"/>
      <c r="AF952" s="298"/>
      <c r="AG952" s="299"/>
      <c r="AH952" s="299"/>
      <c r="AI952" s="301"/>
      <c r="AJ952" s="301"/>
      <c r="AK952" s="426"/>
      <c r="AL952" s="298"/>
      <c r="AM952" s="299"/>
      <c r="AN952" s="299"/>
      <c r="AO952" s="301"/>
      <c r="AP952" s="301"/>
      <c r="AQ952" s="426"/>
      <c r="AR952" s="298"/>
      <c r="AS952" s="299"/>
      <c r="AT952" s="299"/>
      <c r="AU952" s="301"/>
      <c r="AV952" s="301"/>
      <c r="AW952" s="88"/>
      <c r="AX952" s="298"/>
      <c r="AY952" s="299"/>
      <c r="AZ952" s="299"/>
      <c r="BA952" s="301"/>
      <c r="BB952" s="301"/>
      <c r="BC952" s="426"/>
      <c r="BD952" s="298"/>
      <c r="BE952" s="299"/>
      <c r="BF952" s="299"/>
      <c r="BG952" s="301"/>
      <c r="BH952" s="301"/>
      <c r="BI952" s="88"/>
      <c r="BJ952" s="298"/>
      <c r="BK952" s="299"/>
      <c r="BL952" s="299"/>
      <c r="BM952" s="301"/>
      <c r="BN952" s="301"/>
      <c r="BO952" s="88"/>
      <c r="BP952" s="9"/>
      <c r="BS952" s="81"/>
      <c r="BT952" s="81"/>
      <c r="BV952" s="9"/>
      <c r="BY952" s="81"/>
      <c r="BZ952" s="81"/>
      <c r="CB952" s="9"/>
      <c r="CE952" s="81"/>
      <c r="CF952" s="81"/>
      <c r="CH952" s="9"/>
      <c r="CK952" s="81"/>
      <c r="CL952" s="81"/>
      <c r="CR952" s="9"/>
      <c r="CS952" s="9"/>
      <c r="CT952" s="9"/>
      <c r="CU952" s="9"/>
      <c r="CV952" s="9"/>
      <c r="CW952" s="129"/>
      <c r="CX952" s="9"/>
    </row>
    <row r="953" spans="1:102">
      <c r="A953" s="6" t="str">
        <f t="shared" si="141"/>
        <v>01890998</v>
      </c>
      <c r="B953" s="6" t="s">
        <v>1839</v>
      </c>
      <c r="C953" s="6" t="s">
        <v>2091</v>
      </c>
      <c r="D953" s="6">
        <v>944</v>
      </c>
      <c r="E953" s="6">
        <v>189</v>
      </c>
      <c r="F953" s="6" t="s">
        <v>1547</v>
      </c>
      <c r="G953" s="6">
        <v>998</v>
      </c>
      <c r="H953" s="6" t="s">
        <v>1547</v>
      </c>
      <c r="I953" s="33">
        <v>0</v>
      </c>
      <c r="J953" s="88">
        <v>0</v>
      </c>
      <c r="K953" s="89">
        <f t="shared" si="150"/>
        <v>0</v>
      </c>
      <c r="L953" s="88">
        <f>IF(K954&gt;0, K953/K954, 0)</f>
        <v>0</v>
      </c>
      <c r="M953" s="58"/>
      <c r="N953" s="9">
        <f>ROUND(M954*L953,0)</f>
        <v>0</v>
      </c>
      <c r="O953" s="9">
        <v>0</v>
      </c>
      <c r="P953" s="9">
        <f>N953-O953</f>
        <v>0</v>
      </c>
      <c r="Q953" s="40">
        <f t="shared" si="149"/>
        <v>0</v>
      </c>
      <c r="R953" s="9">
        <v>0</v>
      </c>
      <c r="S953" s="9">
        <f t="shared" si="147"/>
        <v>0</v>
      </c>
      <c r="T953" s="90">
        <f t="shared" si="142"/>
        <v>189</v>
      </c>
      <c r="U953" s="90">
        <f t="shared" si="143"/>
        <v>998</v>
      </c>
      <c r="V953" s="373">
        <f t="shared" si="144"/>
        <v>944</v>
      </c>
      <c r="W953" s="90">
        <f t="shared" si="145"/>
        <v>0</v>
      </c>
      <c r="X953" s="90">
        <f t="shared" si="146"/>
        <v>0</v>
      </c>
      <c r="Y953" s="141">
        <f t="shared" si="148"/>
        <v>944</v>
      </c>
      <c r="Z953" s="298">
        <v>189</v>
      </c>
      <c r="AA953" s="299">
        <v>998</v>
      </c>
      <c r="AB953" s="299">
        <v>944</v>
      </c>
      <c r="AC953" s="301">
        <v>0</v>
      </c>
      <c r="AD953" s="301">
        <v>0</v>
      </c>
      <c r="AE953" s="126"/>
      <c r="AF953" s="298"/>
      <c r="AG953" s="299"/>
      <c r="AH953" s="299"/>
      <c r="AI953" s="301"/>
      <c r="AJ953" s="301"/>
      <c r="AK953" s="426"/>
      <c r="AL953" s="298"/>
      <c r="AM953" s="299"/>
      <c r="AN953" s="299"/>
      <c r="AO953" s="301"/>
      <c r="AP953" s="301"/>
      <c r="AQ953" s="426"/>
      <c r="AR953" s="298"/>
      <c r="AS953" s="299"/>
      <c r="AT953" s="299"/>
      <c r="AU953" s="301"/>
      <c r="AV953" s="301"/>
      <c r="AW953" s="88"/>
      <c r="AX953" s="298"/>
      <c r="AY953" s="299"/>
      <c r="AZ953" s="299"/>
      <c r="BA953" s="301"/>
      <c r="BB953" s="301"/>
      <c r="BC953" s="426"/>
      <c r="BD953" s="298"/>
      <c r="BE953" s="299"/>
      <c r="BF953" s="299"/>
      <c r="BG953" s="301"/>
      <c r="BH953" s="301"/>
      <c r="BI953" s="88"/>
      <c r="BJ953" s="298"/>
      <c r="BK953" s="299"/>
      <c r="BL953" s="299"/>
      <c r="BM953" s="301"/>
      <c r="BN953" s="301"/>
      <c r="BO953" s="88"/>
      <c r="BP953" s="9"/>
      <c r="BS953" s="81"/>
      <c r="BT953" s="81"/>
      <c r="BV953" s="9"/>
      <c r="BY953" s="81"/>
      <c r="BZ953" s="81"/>
      <c r="CB953" s="9"/>
      <c r="CE953" s="81"/>
      <c r="CF953" s="81"/>
      <c r="CH953" s="9"/>
      <c r="CK953" s="81"/>
      <c r="CL953" s="81"/>
      <c r="CR953" s="9"/>
      <c r="CS953" s="9"/>
      <c r="CT953" s="9"/>
      <c r="CU953" s="9"/>
      <c r="CV953" s="9"/>
      <c r="CW953" s="129"/>
      <c r="CX953" s="9"/>
    </row>
    <row r="954" spans="1:102">
      <c r="A954" s="6" t="str">
        <f t="shared" si="141"/>
        <v>01890999</v>
      </c>
      <c r="B954" s="6" t="s">
        <v>1839</v>
      </c>
      <c r="C954" s="6" t="s">
        <v>2092</v>
      </c>
      <c r="D954" s="6">
        <v>945</v>
      </c>
      <c r="E954" s="10">
        <v>189</v>
      </c>
      <c r="F954" s="10" t="s">
        <v>1307</v>
      </c>
      <c r="G954" s="10">
        <v>999</v>
      </c>
      <c r="H954" s="10" t="s">
        <v>593</v>
      </c>
      <c r="I954" s="92">
        <v>55242350.586787038</v>
      </c>
      <c r="J954" s="472">
        <v>0.99999999999999989</v>
      </c>
      <c r="K954" s="53">
        <f>SUM(K950:K953)</f>
        <v>56631891.700077035</v>
      </c>
      <c r="L954" s="91">
        <f>SUM(L950:L953)</f>
        <v>1</v>
      </c>
      <c r="M954" s="79">
        <f>VLOOKUP(E954,town351,24)</f>
        <v>45522117</v>
      </c>
      <c r="N954" s="79">
        <f>SUM(N950:N953)</f>
        <v>45522118</v>
      </c>
      <c r="O954" s="79">
        <v>43288434</v>
      </c>
      <c r="P954" s="79">
        <f>SUM(P950:P953)</f>
        <v>2233684</v>
      </c>
      <c r="Q954" s="39">
        <f t="shared" si="149"/>
        <v>5.1600018610051821</v>
      </c>
      <c r="R954" s="9">
        <v>4353.0000000045802</v>
      </c>
      <c r="S954" s="9">
        <f t="shared" si="147"/>
        <v>4345.9999999956799</v>
      </c>
      <c r="T954" s="90">
        <f t="shared" si="142"/>
        <v>189</v>
      </c>
      <c r="U954" s="90">
        <f t="shared" si="143"/>
        <v>999</v>
      </c>
      <c r="V954" s="373">
        <f t="shared" si="144"/>
        <v>945</v>
      </c>
      <c r="W954" s="90">
        <f t="shared" si="145"/>
        <v>4345.9999999956799</v>
      </c>
      <c r="X954" s="90">
        <f t="shared" si="146"/>
        <v>56631891.700077035</v>
      </c>
      <c r="Y954" s="141">
        <f t="shared" si="148"/>
        <v>945</v>
      </c>
      <c r="Z954" s="298">
        <v>189</v>
      </c>
      <c r="AA954" s="299">
        <v>999</v>
      </c>
      <c r="AB954" s="299">
        <v>945</v>
      </c>
      <c r="AC954" s="301">
        <v>4345.9999999956799</v>
      </c>
      <c r="AD954" s="301">
        <v>56631891.700077035</v>
      </c>
      <c r="AE954" s="126"/>
      <c r="AF954" s="298"/>
      <c r="AG954" s="299"/>
      <c r="AH954" s="299"/>
      <c r="AI954" s="301"/>
      <c r="AJ954" s="301"/>
      <c r="AK954" s="426"/>
      <c r="AL954" s="298"/>
      <c r="AM954" s="299"/>
      <c r="AN954" s="299"/>
      <c r="AO954" s="301"/>
      <c r="AP954" s="301"/>
      <c r="AQ954" s="426"/>
      <c r="AR954" s="298"/>
      <c r="AS954" s="299"/>
      <c r="AT954" s="299"/>
      <c r="AU954" s="301"/>
      <c r="AV954" s="301"/>
      <c r="AW954" s="91"/>
      <c r="AX954" s="298"/>
      <c r="AY954" s="299"/>
      <c r="AZ954" s="299"/>
      <c r="BA954" s="301"/>
      <c r="BB954" s="301"/>
      <c r="BC954" s="426"/>
      <c r="BD954" s="298"/>
      <c r="BE954" s="299"/>
      <c r="BF954" s="299"/>
      <c r="BG954" s="301"/>
      <c r="BH954" s="301"/>
      <c r="BI954" s="91"/>
      <c r="BJ954" s="298"/>
      <c r="BK954" s="299"/>
      <c r="BL954" s="299"/>
      <c r="BM954" s="301"/>
      <c r="BN954" s="301"/>
      <c r="BO954" s="91"/>
      <c r="BP954" s="9"/>
      <c r="BS954" s="81"/>
      <c r="BT954" s="81"/>
      <c r="BV954" s="9"/>
      <c r="BY954" s="81"/>
      <c r="BZ954" s="81"/>
      <c r="CB954" s="9"/>
      <c r="CE954" s="81"/>
      <c r="CF954" s="81"/>
      <c r="CH954" s="9"/>
      <c r="CK954" s="81"/>
      <c r="CL954" s="81"/>
      <c r="CR954" s="9"/>
      <c r="CS954" s="9"/>
      <c r="CT954" s="9"/>
      <c r="CU954" s="9"/>
      <c r="CV954" s="9"/>
      <c r="CW954" s="129"/>
      <c r="CX954" s="9"/>
    </row>
    <row r="955" spans="1:102">
      <c r="A955" s="6" t="str">
        <f t="shared" si="141"/>
        <v>01900190</v>
      </c>
      <c r="B955" s="6" t="s">
        <v>1840</v>
      </c>
      <c r="C955" s="6" t="s">
        <v>1840</v>
      </c>
      <c r="D955" s="6">
        <v>946</v>
      </c>
      <c r="E955" s="6">
        <v>190</v>
      </c>
      <c r="F955" s="6" t="s">
        <v>1308</v>
      </c>
      <c r="G955" s="6">
        <v>190</v>
      </c>
      <c r="H955" s="6" t="s">
        <v>871</v>
      </c>
      <c r="I955" s="33">
        <v>203019.31000000003</v>
      </c>
      <c r="J955" s="88">
        <v>0.65743436153445745</v>
      </c>
      <c r="K955" s="89">
        <f>X955</f>
        <v>215323.09999999998</v>
      </c>
      <c r="L955" s="88">
        <f>IF(K959&gt;0, K955/K959, 0)</f>
        <v>0.83081413632704904</v>
      </c>
      <c r="M955" s="58"/>
      <c r="N955" s="9">
        <f>ROUND(M959*L955,0)</f>
        <v>98797</v>
      </c>
      <c r="O955" s="9">
        <v>74223</v>
      </c>
      <c r="P955" s="9">
        <f>N955-O955</f>
        <v>24574</v>
      </c>
      <c r="Q955" s="40">
        <f t="shared" si="149"/>
        <v>33.10833569109306</v>
      </c>
      <c r="R955" s="9">
        <v>18</v>
      </c>
      <c r="S955" s="9">
        <f t="shared" si="147"/>
        <v>19</v>
      </c>
      <c r="T955" s="90">
        <f t="shared" si="142"/>
        <v>190</v>
      </c>
      <c r="U955" s="90">
        <f t="shared" si="143"/>
        <v>190</v>
      </c>
      <c r="V955" s="373">
        <f t="shared" si="144"/>
        <v>946</v>
      </c>
      <c r="W955" s="90">
        <f t="shared" si="145"/>
        <v>19</v>
      </c>
      <c r="X955" s="90">
        <f t="shared" si="146"/>
        <v>215323.09999999998</v>
      </c>
      <c r="Y955" s="141">
        <f t="shared" si="148"/>
        <v>946</v>
      </c>
      <c r="Z955" s="298">
        <v>190</v>
      </c>
      <c r="AA955" s="299">
        <v>190</v>
      </c>
      <c r="AB955" s="299">
        <v>946</v>
      </c>
      <c r="AC955" s="301">
        <v>19</v>
      </c>
      <c r="AD955" s="301">
        <v>215323.09999999998</v>
      </c>
      <c r="AE955" s="126"/>
      <c r="AF955" s="298"/>
      <c r="AG955" s="299"/>
      <c r="AH955" s="299"/>
      <c r="AI955" s="301"/>
      <c r="AJ955" s="301"/>
      <c r="AK955" s="426"/>
      <c r="AL955" s="298"/>
      <c r="AM955" s="299"/>
      <c r="AN955" s="299"/>
      <c r="AO955" s="301"/>
      <c r="AP955" s="301"/>
      <c r="AQ955" s="426"/>
      <c r="AR955" s="298"/>
      <c r="AS955" s="299"/>
      <c r="AT955" s="299"/>
      <c r="AU955" s="301"/>
      <c r="AV955" s="301"/>
      <c r="AW955" s="88"/>
      <c r="AX955" s="298"/>
      <c r="AY955" s="299"/>
      <c r="AZ955" s="299"/>
      <c r="BA955" s="301"/>
      <c r="BB955" s="301"/>
      <c r="BC955" s="426"/>
      <c r="BD955" s="298"/>
      <c r="BE955" s="299"/>
      <c r="BF955" s="299"/>
      <c r="BG955" s="301"/>
      <c r="BH955" s="301"/>
      <c r="BI955" s="88"/>
      <c r="BJ955" s="298"/>
      <c r="BK955" s="299"/>
      <c r="BL955" s="299"/>
      <c r="BM955" s="301"/>
      <c r="BN955" s="301"/>
      <c r="BO955" s="88"/>
      <c r="BP955" s="9"/>
      <c r="BS955" s="81"/>
      <c r="BT955" s="81"/>
      <c r="BV955" s="9"/>
      <c r="BY955" s="81"/>
      <c r="BZ955" s="81"/>
      <c r="CB955" s="9"/>
      <c r="CE955" s="81"/>
      <c r="CF955" s="81"/>
      <c r="CH955" s="9"/>
      <c r="CK955" s="81"/>
      <c r="CL955" s="81"/>
      <c r="CR955" s="9"/>
      <c r="CS955" s="9"/>
      <c r="CT955" s="9"/>
      <c r="CU955" s="9"/>
      <c r="CV955" s="9"/>
      <c r="CW955" s="129"/>
      <c r="CX955" s="9"/>
    </row>
    <row r="956" spans="1:102">
      <c r="A956" s="6" t="str">
        <f t="shared" si="141"/>
        <v>01900851</v>
      </c>
      <c r="B956" s="6" t="s">
        <v>1840</v>
      </c>
      <c r="C956" s="6" t="s">
        <v>2076</v>
      </c>
      <c r="D956" s="6">
        <v>947</v>
      </c>
      <c r="E956" s="6">
        <v>190</v>
      </c>
      <c r="F956" s="6" t="s">
        <v>1308</v>
      </c>
      <c r="G956" s="6">
        <v>851</v>
      </c>
      <c r="H956" s="6" t="s">
        <v>1106</v>
      </c>
      <c r="I956" s="33">
        <v>105786.13413004395</v>
      </c>
      <c r="J956" s="88">
        <v>0.34256563846554261</v>
      </c>
      <c r="K956" s="89">
        <f t="shared" si="150"/>
        <v>43848.10398543426</v>
      </c>
      <c r="L956" s="88">
        <f>IF(K959&gt;0, K956/K959, 0)</f>
        <v>0.16918586367295105</v>
      </c>
      <c r="M956" s="58"/>
      <c r="N956" s="9">
        <f>ROUND(M959*L956,0)</f>
        <v>20119</v>
      </c>
      <c r="O956" s="9">
        <v>38675</v>
      </c>
      <c r="P956" s="9">
        <f>N956-O956</f>
        <v>-18556</v>
      </c>
      <c r="Q956" s="40">
        <f t="shared" si="149"/>
        <v>-47.979314802844215</v>
      </c>
      <c r="R956" s="9">
        <v>4.99999999992</v>
      </c>
      <c r="S956" s="9">
        <f t="shared" si="147"/>
        <v>1.9999999989700001</v>
      </c>
      <c r="T956" s="90">
        <f t="shared" si="142"/>
        <v>190</v>
      </c>
      <c r="U956" s="90">
        <f t="shared" si="143"/>
        <v>851</v>
      </c>
      <c r="V956" s="373">
        <f t="shared" si="144"/>
        <v>947</v>
      </c>
      <c r="W956" s="90">
        <f t="shared" si="145"/>
        <v>1.9999999989700001</v>
      </c>
      <c r="X956" s="90">
        <f t="shared" si="146"/>
        <v>43848.10398543426</v>
      </c>
      <c r="Y956" s="141">
        <f t="shared" si="148"/>
        <v>947</v>
      </c>
      <c r="Z956" s="298">
        <v>190</v>
      </c>
      <c r="AA956" s="299">
        <v>851</v>
      </c>
      <c r="AB956" s="299">
        <v>947</v>
      </c>
      <c r="AC956" s="301">
        <v>1.9999999989700001</v>
      </c>
      <c r="AD956" s="301">
        <v>43848.10398543426</v>
      </c>
      <c r="AE956" s="126"/>
      <c r="AF956" s="298"/>
      <c r="AG956" s="299"/>
      <c r="AH956" s="299"/>
      <c r="AI956" s="301"/>
      <c r="AJ956" s="301"/>
      <c r="AK956" s="426"/>
      <c r="AL956" s="298"/>
      <c r="AM956" s="299"/>
      <c r="AN956" s="299"/>
      <c r="AO956" s="301"/>
      <c r="AP956" s="301"/>
      <c r="AQ956" s="426"/>
      <c r="AR956" s="298"/>
      <c r="AS956" s="299"/>
      <c r="AT956" s="299"/>
      <c r="AU956" s="301"/>
      <c r="AV956" s="301"/>
      <c r="AW956" s="88"/>
      <c r="AX956" s="298"/>
      <c r="AY956" s="299"/>
      <c r="AZ956" s="299"/>
      <c r="BA956" s="301"/>
      <c r="BB956" s="301"/>
      <c r="BC956" s="426"/>
      <c r="BD956" s="298"/>
      <c r="BE956" s="299"/>
      <c r="BF956" s="299"/>
      <c r="BG956" s="301"/>
      <c r="BH956" s="301"/>
      <c r="BI956" s="88"/>
      <c r="BJ956" s="298"/>
      <c r="BK956" s="299"/>
      <c r="BL956" s="299"/>
      <c r="BM956" s="301"/>
      <c r="BN956" s="301"/>
      <c r="BO956" s="88"/>
      <c r="BP956" s="9"/>
      <c r="BS956" s="81"/>
      <c r="BT956" s="81"/>
      <c r="BV956" s="9"/>
      <c r="BY956" s="81"/>
      <c r="BZ956" s="81"/>
      <c r="CB956" s="9"/>
      <c r="CE956" s="81"/>
      <c r="CF956" s="81"/>
      <c r="CH956" s="9"/>
      <c r="CK956" s="81"/>
      <c r="CL956" s="81"/>
      <c r="CR956" s="9"/>
      <c r="CS956" s="9"/>
      <c r="CT956" s="9"/>
      <c r="CU956" s="9"/>
      <c r="CV956" s="9"/>
      <c r="CW956" s="129"/>
      <c r="CX956" s="9"/>
    </row>
    <row r="957" spans="1:102">
      <c r="A957" s="6" t="str">
        <f t="shared" si="141"/>
        <v>01900998</v>
      </c>
      <c r="B957" s="6" t="s">
        <v>1840</v>
      </c>
      <c r="C957" s="6" t="s">
        <v>2091</v>
      </c>
      <c r="D957" s="6">
        <v>948</v>
      </c>
      <c r="E957" s="6">
        <v>190</v>
      </c>
      <c r="F957" s="6" t="s">
        <v>1547</v>
      </c>
      <c r="G957" s="6">
        <v>998</v>
      </c>
      <c r="H957" s="6" t="s">
        <v>1547</v>
      </c>
      <c r="I957" s="33">
        <v>0</v>
      </c>
      <c r="J957" s="88">
        <v>0</v>
      </c>
      <c r="K957" s="89">
        <f t="shared" si="150"/>
        <v>0</v>
      </c>
      <c r="L957" s="88">
        <f>IF(K959&gt;0, K957/K959, 0)</f>
        <v>0</v>
      </c>
      <c r="M957" s="58"/>
      <c r="N957" s="9">
        <f>ROUND(M959*L957,0)</f>
        <v>0</v>
      </c>
      <c r="O957" s="9">
        <v>0</v>
      </c>
      <c r="P957" s="9">
        <f>N957-O957</f>
        <v>0</v>
      </c>
      <c r="Q957" s="40">
        <f t="shared" si="149"/>
        <v>0</v>
      </c>
      <c r="R957" s="9">
        <v>0</v>
      </c>
      <c r="S957" s="9">
        <f t="shared" si="147"/>
        <v>0</v>
      </c>
      <c r="T957" s="90">
        <f t="shared" si="142"/>
        <v>190</v>
      </c>
      <c r="U957" s="90">
        <f t="shared" si="143"/>
        <v>998</v>
      </c>
      <c r="V957" s="373">
        <f t="shared" si="144"/>
        <v>948</v>
      </c>
      <c r="W957" s="90">
        <f t="shared" si="145"/>
        <v>0</v>
      </c>
      <c r="X957" s="90">
        <f t="shared" si="146"/>
        <v>0</v>
      </c>
      <c r="Y957" s="141">
        <f t="shared" si="148"/>
        <v>948</v>
      </c>
      <c r="Z957" s="298">
        <v>190</v>
      </c>
      <c r="AA957" s="299">
        <v>998</v>
      </c>
      <c r="AB957" s="299">
        <v>948</v>
      </c>
      <c r="AC957" s="301">
        <v>0</v>
      </c>
      <c r="AD957" s="301">
        <v>0</v>
      </c>
      <c r="AE957" s="126"/>
      <c r="AF957" s="298"/>
      <c r="AG957" s="299"/>
      <c r="AH957" s="299"/>
      <c r="AI957" s="301"/>
      <c r="AJ957" s="301"/>
      <c r="AK957" s="426"/>
      <c r="AL957" s="298"/>
      <c r="AM957" s="299"/>
      <c r="AN957" s="299"/>
      <c r="AO957" s="301"/>
      <c r="AP957" s="301"/>
      <c r="AQ957" s="426"/>
      <c r="AR957" s="298"/>
      <c r="AS957" s="299"/>
      <c r="AT957" s="299"/>
      <c r="AU957" s="301"/>
      <c r="AV957" s="301"/>
      <c r="AW957" s="88"/>
      <c r="AX957" s="298"/>
      <c r="AY957" s="299"/>
      <c r="AZ957" s="299"/>
      <c r="BA957" s="301"/>
      <c r="BB957" s="301"/>
      <c r="BC957" s="426"/>
      <c r="BD957" s="298"/>
      <c r="BE957" s="299"/>
      <c r="BF957" s="299"/>
      <c r="BG957" s="301"/>
      <c r="BH957" s="301"/>
      <c r="BI957" s="88"/>
      <c r="BJ957" s="298"/>
      <c r="BK957" s="299"/>
      <c r="BL957" s="299"/>
      <c r="BM957" s="301"/>
      <c r="BN957" s="301"/>
      <c r="BO957" s="88"/>
      <c r="BP957" s="9"/>
      <c r="BS957" s="81"/>
      <c r="BT957" s="81"/>
      <c r="BV957" s="9"/>
      <c r="BY957" s="81"/>
      <c r="BZ957" s="81"/>
      <c r="CB957" s="9"/>
      <c r="CE957" s="81"/>
      <c r="CF957" s="81"/>
      <c r="CH957" s="9"/>
      <c r="CK957" s="81"/>
      <c r="CL957" s="81"/>
      <c r="CR957" s="9"/>
      <c r="CS957" s="9"/>
      <c r="CT957" s="9"/>
      <c r="CU957" s="9"/>
      <c r="CV957" s="9"/>
      <c r="CW957" s="129"/>
      <c r="CX957" s="9"/>
    </row>
    <row r="958" spans="1:102">
      <c r="A958" s="6" t="str">
        <f t="shared" si="141"/>
        <v>01900998</v>
      </c>
      <c r="B958" s="6" t="s">
        <v>1840</v>
      </c>
      <c r="C958" s="6" t="s">
        <v>2091</v>
      </c>
      <c r="D958" s="6">
        <v>949</v>
      </c>
      <c r="E958" s="6">
        <v>190</v>
      </c>
      <c r="F958" s="6" t="s">
        <v>1547</v>
      </c>
      <c r="G958" s="6">
        <v>998</v>
      </c>
      <c r="H958" s="6" t="s">
        <v>1547</v>
      </c>
      <c r="I958" s="33">
        <v>0</v>
      </c>
      <c r="J958" s="88">
        <v>0</v>
      </c>
      <c r="K958" s="89">
        <f t="shared" si="150"/>
        <v>0</v>
      </c>
      <c r="L958" s="88">
        <f>IF(K959&gt;0, K958/K959, 0)</f>
        <v>0</v>
      </c>
      <c r="M958" s="58"/>
      <c r="N958" s="9">
        <f>ROUND(M959*L958,0)</f>
        <v>0</v>
      </c>
      <c r="O958" s="9">
        <v>0</v>
      </c>
      <c r="P958" s="9">
        <f>N958-O958</f>
        <v>0</v>
      </c>
      <c r="Q958" s="40">
        <f t="shared" si="149"/>
        <v>0</v>
      </c>
      <c r="R958" s="9">
        <v>0</v>
      </c>
      <c r="S958" s="9">
        <f t="shared" si="147"/>
        <v>0</v>
      </c>
      <c r="T958" s="90">
        <f t="shared" si="142"/>
        <v>190</v>
      </c>
      <c r="U958" s="90">
        <f t="shared" si="143"/>
        <v>998</v>
      </c>
      <c r="V958" s="373">
        <f t="shared" si="144"/>
        <v>949</v>
      </c>
      <c r="W958" s="90">
        <f t="shared" si="145"/>
        <v>0</v>
      </c>
      <c r="X958" s="90">
        <f t="shared" si="146"/>
        <v>0</v>
      </c>
      <c r="Y958" s="141">
        <f t="shared" si="148"/>
        <v>949</v>
      </c>
      <c r="Z958" s="298">
        <v>190</v>
      </c>
      <c r="AA958" s="299">
        <v>998</v>
      </c>
      <c r="AB958" s="299">
        <v>949</v>
      </c>
      <c r="AC958" s="301">
        <v>0</v>
      </c>
      <c r="AD958" s="301">
        <v>0</v>
      </c>
      <c r="AE958" s="126"/>
      <c r="AF958" s="298"/>
      <c r="AG958" s="299"/>
      <c r="AH958" s="299"/>
      <c r="AI958" s="301"/>
      <c r="AJ958" s="301"/>
      <c r="AK958" s="426"/>
      <c r="AL958" s="298"/>
      <c r="AM958" s="299"/>
      <c r="AN958" s="299"/>
      <c r="AO958" s="301"/>
      <c r="AP958" s="301"/>
      <c r="AQ958" s="426"/>
      <c r="AR958" s="298"/>
      <c r="AS958" s="299"/>
      <c r="AT958" s="299"/>
      <c r="AU958" s="301"/>
      <c r="AV958" s="301"/>
      <c r="AW958" s="88"/>
      <c r="AX958" s="298"/>
      <c r="AY958" s="299"/>
      <c r="AZ958" s="299"/>
      <c r="BA958" s="301"/>
      <c r="BB958" s="301"/>
      <c r="BC958" s="426"/>
      <c r="BD958" s="298"/>
      <c r="BE958" s="299"/>
      <c r="BF958" s="299"/>
      <c r="BG958" s="301"/>
      <c r="BH958" s="301"/>
      <c r="BI958" s="88"/>
      <c r="BJ958" s="298"/>
      <c r="BK958" s="299"/>
      <c r="BL958" s="299"/>
      <c r="BM958" s="301"/>
      <c r="BN958" s="301"/>
      <c r="BO958" s="88"/>
      <c r="BP958" s="9"/>
      <c r="BS958" s="81"/>
      <c r="BT958" s="81"/>
      <c r="BV958" s="9"/>
      <c r="BY958" s="81"/>
      <c r="BZ958" s="81"/>
      <c r="CB958" s="9"/>
      <c r="CE958" s="81"/>
      <c r="CF958" s="81"/>
      <c r="CH958" s="9"/>
      <c r="CK958" s="81"/>
      <c r="CL958" s="81"/>
      <c r="CR958" s="9"/>
      <c r="CS958" s="9"/>
      <c r="CT958" s="9"/>
      <c r="CU958" s="9"/>
      <c r="CV958" s="9"/>
      <c r="CW958" s="129"/>
      <c r="CX958" s="9"/>
    </row>
    <row r="959" spans="1:102">
      <c r="A959" s="6" t="str">
        <f t="shared" si="141"/>
        <v>01900999</v>
      </c>
      <c r="B959" s="6" t="s">
        <v>1840</v>
      </c>
      <c r="C959" s="6" t="s">
        <v>2092</v>
      </c>
      <c r="D959" s="6">
        <v>950</v>
      </c>
      <c r="E959" s="10">
        <v>190</v>
      </c>
      <c r="F959" s="10" t="s">
        <v>1308</v>
      </c>
      <c r="G959" s="10">
        <v>999</v>
      </c>
      <c r="H959" s="10" t="s">
        <v>593</v>
      </c>
      <c r="I959" s="92">
        <v>308805.44413004396</v>
      </c>
      <c r="J959" s="472">
        <v>1</v>
      </c>
      <c r="K959" s="53">
        <f>SUM(K955:K958)</f>
        <v>259171.20398543423</v>
      </c>
      <c r="L959" s="91">
        <f>SUM(L955:L958)</f>
        <v>1</v>
      </c>
      <c r="M959" s="79">
        <f>VLOOKUP(E959,town351,24)</f>
        <v>118916</v>
      </c>
      <c r="N959" s="79">
        <f>SUM(N955:N958)</f>
        <v>118916</v>
      </c>
      <c r="O959" s="79">
        <v>112898</v>
      </c>
      <c r="P959" s="79">
        <f>SUM(P955:P958)</f>
        <v>6018</v>
      </c>
      <c r="Q959" s="39">
        <f t="shared" si="149"/>
        <v>5.3304752962851421</v>
      </c>
      <c r="R959" s="9">
        <v>22.99999999992</v>
      </c>
      <c r="S959" s="9">
        <f t="shared" si="147"/>
        <v>20.999999998970001</v>
      </c>
      <c r="T959" s="90">
        <f t="shared" si="142"/>
        <v>190</v>
      </c>
      <c r="U959" s="90">
        <f t="shared" si="143"/>
        <v>999</v>
      </c>
      <c r="V959" s="373">
        <f t="shared" si="144"/>
        <v>950</v>
      </c>
      <c r="W959" s="90">
        <f t="shared" si="145"/>
        <v>20.999999998970001</v>
      </c>
      <c r="X959" s="90">
        <f t="shared" si="146"/>
        <v>259171.20398543423</v>
      </c>
      <c r="Y959" s="141">
        <f t="shared" si="148"/>
        <v>950</v>
      </c>
      <c r="Z959" s="298">
        <v>190</v>
      </c>
      <c r="AA959" s="299">
        <v>999</v>
      </c>
      <c r="AB959" s="299">
        <v>950</v>
      </c>
      <c r="AC959" s="301">
        <v>20.999999998970001</v>
      </c>
      <c r="AD959" s="301">
        <v>259171.20398543423</v>
      </c>
      <c r="AE959" s="126"/>
      <c r="AF959" s="298"/>
      <c r="AG959" s="299"/>
      <c r="AH959" s="299"/>
      <c r="AI959" s="301"/>
      <c r="AJ959" s="301"/>
      <c r="AK959" s="426"/>
      <c r="AL959" s="298"/>
      <c r="AM959" s="299"/>
      <c r="AN959" s="299"/>
      <c r="AO959" s="301"/>
      <c r="AP959" s="301"/>
      <c r="AQ959" s="426"/>
      <c r="AR959" s="298"/>
      <c r="AS959" s="299"/>
      <c r="AT959" s="299"/>
      <c r="AU959" s="301"/>
      <c r="AV959" s="301"/>
      <c r="AW959" s="91"/>
      <c r="AX959" s="298"/>
      <c r="AY959" s="299"/>
      <c r="AZ959" s="299"/>
      <c r="BA959" s="301"/>
      <c r="BB959" s="301"/>
      <c r="BC959" s="426"/>
      <c r="BD959" s="298"/>
      <c r="BE959" s="299"/>
      <c r="BF959" s="299"/>
      <c r="BG959" s="301"/>
      <c r="BH959" s="301"/>
      <c r="BI959" s="91"/>
      <c r="BJ959" s="298"/>
      <c r="BK959" s="299"/>
      <c r="BL959" s="299"/>
      <c r="BM959" s="301"/>
      <c r="BN959" s="301"/>
      <c r="BO959" s="91"/>
      <c r="BP959" s="9"/>
      <c r="BS959" s="81"/>
      <c r="BT959" s="81"/>
      <c r="BV959" s="9"/>
      <c r="BY959" s="81"/>
      <c r="BZ959" s="81"/>
      <c r="CB959" s="9"/>
      <c r="CE959" s="81"/>
      <c r="CF959" s="81"/>
      <c r="CH959" s="9"/>
      <c r="CK959" s="81"/>
      <c r="CL959" s="81"/>
      <c r="CR959" s="9"/>
      <c r="CS959" s="9"/>
      <c r="CT959" s="9"/>
      <c r="CU959" s="9"/>
      <c r="CV959" s="9"/>
      <c r="CW959" s="129"/>
      <c r="CX959" s="9"/>
    </row>
    <row r="960" spans="1:102">
      <c r="A960" s="6" t="str">
        <f t="shared" si="141"/>
        <v>01910191</v>
      </c>
      <c r="B960" s="6" t="s">
        <v>1841</v>
      </c>
      <c r="C960" s="6" t="s">
        <v>1841</v>
      </c>
      <c r="D960" s="6">
        <v>951</v>
      </c>
      <c r="E960" s="6">
        <v>191</v>
      </c>
      <c r="F960" s="6" t="s">
        <v>1309</v>
      </c>
      <c r="G960" s="6">
        <v>191</v>
      </c>
      <c r="H960" s="6" t="s">
        <v>872</v>
      </c>
      <c r="I960" s="33">
        <v>11361547.17</v>
      </c>
      <c r="J960" s="88">
        <v>0.86563021396658124</v>
      </c>
      <c r="K960" s="89">
        <f>X960</f>
        <v>11739604.360000001</v>
      </c>
      <c r="L960" s="88">
        <f>IF(K964&gt;0, K960/K964, 0)</f>
        <v>0.85279447657535334</v>
      </c>
      <c r="M960" s="58"/>
      <c r="N960" s="9">
        <f>ROUND(M964*L960,0)</f>
        <v>6544648</v>
      </c>
      <c r="O960" s="9">
        <v>6395027</v>
      </c>
      <c r="P960" s="9">
        <f>N960-O960</f>
        <v>149621</v>
      </c>
      <c r="Q960" s="40">
        <f t="shared" si="149"/>
        <v>2.3396461031360776</v>
      </c>
      <c r="R960" s="9">
        <v>810</v>
      </c>
      <c r="S960" s="9">
        <f t="shared" si="147"/>
        <v>811</v>
      </c>
      <c r="T960" s="90">
        <f t="shared" si="142"/>
        <v>191</v>
      </c>
      <c r="U960" s="90">
        <f t="shared" si="143"/>
        <v>191</v>
      </c>
      <c r="V960" s="373">
        <f t="shared" si="144"/>
        <v>951</v>
      </c>
      <c r="W960" s="90">
        <f t="shared" si="145"/>
        <v>811</v>
      </c>
      <c r="X960" s="90">
        <f t="shared" si="146"/>
        <v>11739604.360000001</v>
      </c>
      <c r="Y960" s="141">
        <f t="shared" si="148"/>
        <v>951</v>
      </c>
      <c r="Z960" s="298">
        <v>191</v>
      </c>
      <c r="AA960" s="299">
        <v>191</v>
      </c>
      <c r="AB960" s="299">
        <v>951</v>
      </c>
      <c r="AC960" s="301">
        <v>811</v>
      </c>
      <c r="AD960" s="301">
        <v>11739604.360000001</v>
      </c>
      <c r="AE960" s="126"/>
      <c r="AF960" s="298"/>
      <c r="AG960" s="299"/>
      <c r="AH960" s="299"/>
      <c r="AI960" s="301"/>
      <c r="AJ960" s="301"/>
      <c r="AK960" s="426"/>
      <c r="AL960" s="298"/>
      <c r="AM960" s="299"/>
      <c r="AN960" s="299"/>
      <c r="AO960" s="301"/>
      <c r="AP960" s="301"/>
      <c r="AQ960" s="426"/>
      <c r="AR960" s="298"/>
      <c r="AS960" s="299"/>
      <c r="AT960" s="299"/>
      <c r="AU960" s="301"/>
      <c r="AV960" s="301"/>
      <c r="AW960" s="88"/>
      <c r="AX960" s="298"/>
      <c r="AY960" s="299"/>
      <c r="AZ960" s="299"/>
      <c r="BA960" s="301"/>
      <c r="BB960" s="301"/>
      <c r="BC960" s="426"/>
      <c r="BD960" s="298"/>
      <c r="BE960" s="299"/>
      <c r="BF960" s="299"/>
      <c r="BG960" s="301"/>
      <c r="BH960" s="301"/>
      <c r="BI960" s="88"/>
      <c r="BJ960" s="298"/>
      <c r="BK960" s="299"/>
      <c r="BL960" s="299"/>
      <c r="BM960" s="301"/>
      <c r="BN960" s="301"/>
      <c r="BO960" s="88"/>
      <c r="BP960" s="9"/>
      <c r="BS960" s="81"/>
      <c r="BT960" s="81"/>
      <c r="BV960" s="9"/>
      <c r="BY960" s="81"/>
      <c r="BZ960" s="81"/>
      <c r="CB960" s="9"/>
      <c r="CE960" s="81"/>
      <c r="CF960" s="81"/>
      <c r="CH960" s="9"/>
      <c r="CK960" s="81"/>
      <c r="CL960" s="81"/>
      <c r="CR960" s="9"/>
      <c r="CS960" s="9"/>
      <c r="CT960" s="9"/>
      <c r="CU960" s="9"/>
      <c r="CV960" s="9"/>
      <c r="CW960" s="129"/>
      <c r="CX960" s="9"/>
    </row>
    <row r="961" spans="1:102">
      <c r="A961" s="6" t="str">
        <f t="shared" si="141"/>
        <v>01910860</v>
      </c>
      <c r="B961" s="6" t="s">
        <v>1841</v>
      </c>
      <c r="C961" s="6" t="s">
        <v>2080</v>
      </c>
      <c r="D961" s="6">
        <v>952</v>
      </c>
      <c r="E961" s="6">
        <v>191</v>
      </c>
      <c r="F961" s="6" t="s">
        <v>1309</v>
      </c>
      <c r="G961" s="6">
        <v>860</v>
      </c>
      <c r="H961" s="6" t="s">
        <v>1110</v>
      </c>
      <c r="I961" s="33">
        <v>1763626.8207944422</v>
      </c>
      <c r="J961" s="88">
        <v>0.13436978603341876</v>
      </c>
      <c r="K961" s="89">
        <f t="shared" si="150"/>
        <v>2026437.3797915494</v>
      </c>
      <c r="L961" s="88">
        <f>IF(K964&gt;0, K961/K964, 0)</f>
        <v>0.14720552342464671</v>
      </c>
      <c r="M961" s="58"/>
      <c r="N961" s="9">
        <f>ROUND(M964*L961,0)</f>
        <v>1129707</v>
      </c>
      <c r="O961" s="9">
        <v>992685</v>
      </c>
      <c r="P961" s="9">
        <f>N961-O961</f>
        <v>137022</v>
      </c>
      <c r="Q961" s="40">
        <f t="shared" si="149"/>
        <v>13.803170189939406</v>
      </c>
      <c r="R961" s="9">
        <v>82.999999998299998</v>
      </c>
      <c r="S961" s="9">
        <f t="shared" si="147"/>
        <v>92.999999997800003</v>
      </c>
      <c r="T961" s="90">
        <f t="shared" si="142"/>
        <v>191</v>
      </c>
      <c r="U961" s="90">
        <f t="shared" si="143"/>
        <v>860</v>
      </c>
      <c r="V961" s="373">
        <f t="shared" si="144"/>
        <v>952</v>
      </c>
      <c r="W961" s="90">
        <f t="shared" si="145"/>
        <v>92.999999997800003</v>
      </c>
      <c r="X961" s="90">
        <f t="shared" si="146"/>
        <v>2026437.3797915494</v>
      </c>
      <c r="Y961" s="141">
        <f t="shared" si="148"/>
        <v>952</v>
      </c>
      <c r="Z961" s="298">
        <v>191</v>
      </c>
      <c r="AA961" s="299">
        <v>860</v>
      </c>
      <c r="AB961" s="299">
        <v>952</v>
      </c>
      <c r="AC961" s="301">
        <v>92.999999997800003</v>
      </c>
      <c r="AD961" s="301">
        <v>2026437.3797915494</v>
      </c>
      <c r="AE961" s="126"/>
      <c r="AF961" s="298"/>
      <c r="AG961" s="299"/>
      <c r="AH961" s="299"/>
      <c r="AI961" s="301"/>
      <c r="AJ961" s="301"/>
      <c r="AK961" s="426"/>
      <c r="AL961" s="298"/>
      <c r="AM961" s="299"/>
      <c r="AN961" s="299"/>
      <c r="AO961" s="301"/>
      <c r="AP961" s="301"/>
      <c r="AQ961" s="426"/>
      <c r="AR961" s="298"/>
      <c r="AS961" s="299"/>
      <c r="AT961" s="299"/>
      <c r="AU961" s="301"/>
      <c r="AV961" s="301"/>
      <c r="AW961" s="88"/>
      <c r="AX961" s="298"/>
      <c r="AY961" s="299"/>
      <c r="AZ961" s="299"/>
      <c r="BA961" s="301"/>
      <c r="BB961" s="301"/>
      <c r="BC961" s="426"/>
      <c r="BD961" s="298"/>
      <c r="BE961" s="299"/>
      <c r="BF961" s="299"/>
      <c r="BG961" s="301"/>
      <c r="BH961" s="301"/>
      <c r="BI961" s="88"/>
      <c r="BJ961" s="298"/>
      <c r="BK961" s="299"/>
      <c r="BL961" s="299"/>
      <c r="BM961" s="301"/>
      <c r="BN961" s="301"/>
      <c r="BO961" s="88"/>
      <c r="BP961" s="9"/>
      <c r="BS961" s="81"/>
      <c r="BT961" s="81"/>
      <c r="BV961" s="9"/>
      <c r="BY961" s="81"/>
      <c r="BZ961" s="81"/>
      <c r="CB961" s="9"/>
      <c r="CE961" s="81"/>
      <c r="CF961" s="81"/>
      <c r="CH961" s="9"/>
      <c r="CK961" s="81"/>
      <c r="CL961" s="81"/>
      <c r="CR961" s="9"/>
      <c r="CS961" s="9"/>
      <c r="CT961" s="9"/>
      <c r="CU961" s="9"/>
      <c r="CV961" s="9"/>
      <c r="CW961" s="129"/>
      <c r="CX961" s="9"/>
    </row>
    <row r="962" spans="1:102">
      <c r="A962" s="6" t="str">
        <f t="shared" si="141"/>
        <v>01910998</v>
      </c>
      <c r="B962" s="6" t="s">
        <v>1841</v>
      </c>
      <c r="C962" s="6" t="s">
        <v>2091</v>
      </c>
      <c r="D962" s="6">
        <v>953</v>
      </c>
      <c r="E962" s="6">
        <v>191</v>
      </c>
      <c r="F962" s="6" t="s">
        <v>1547</v>
      </c>
      <c r="G962" s="6">
        <v>998</v>
      </c>
      <c r="H962" s="6" t="s">
        <v>1547</v>
      </c>
      <c r="I962" s="33">
        <v>0</v>
      </c>
      <c r="J962" s="88">
        <v>0</v>
      </c>
      <c r="K962" s="89">
        <f t="shared" si="150"/>
        <v>0</v>
      </c>
      <c r="L962" s="88">
        <f>IF(K964&gt;0, K962/K964, 0)</f>
        <v>0</v>
      </c>
      <c r="M962" s="58"/>
      <c r="N962" s="9">
        <f>ROUND(M964*L962,0)</f>
        <v>0</v>
      </c>
      <c r="O962" s="9">
        <v>0</v>
      </c>
      <c r="P962" s="9">
        <f>N962-O962</f>
        <v>0</v>
      </c>
      <c r="Q962" s="40">
        <f t="shared" si="149"/>
        <v>0</v>
      </c>
      <c r="R962" s="9">
        <v>0</v>
      </c>
      <c r="S962" s="9">
        <f t="shared" si="147"/>
        <v>0</v>
      </c>
      <c r="T962" s="90">
        <f t="shared" si="142"/>
        <v>191</v>
      </c>
      <c r="U962" s="90">
        <f t="shared" si="143"/>
        <v>998</v>
      </c>
      <c r="V962" s="373">
        <f t="shared" si="144"/>
        <v>953</v>
      </c>
      <c r="W962" s="90">
        <f t="shared" si="145"/>
        <v>0</v>
      </c>
      <c r="X962" s="90">
        <f t="shared" si="146"/>
        <v>0</v>
      </c>
      <c r="Y962" s="141">
        <f t="shared" si="148"/>
        <v>953</v>
      </c>
      <c r="Z962" s="298">
        <v>191</v>
      </c>
      <c r="AA962" s="299">
        <v>998</v>
      </c>
      <c r="AB962" s="299">
        <v>953</v>
      </c>
      <c r="AC962" s="301">
        <v>0</v>
      </c>
      <c r="AD962" s="301">
        <v>0</v>
      </c>
      <c r="AE962" s="126"/>
      <c r="AF962" s="298"/>
      <c r="AG962" s="299"/>
      <c r="AH962" s="299"/>
      <c r="AI962" s="301"/>
      <c r="AJ962" s="301"/>
      <c r="AK962" s="426"/>
      <c r="AL962" s="298"/>
      <c r="AM962" s="299"/>
      <c r="AN962" s="299"/>
      <c r="AO962" s="301"/>
      <c r="AP962" s="301"/>
      <c r="AQ962" s="426"/>
      <c r="AR962" s="298"/>
      <c r="AS962" s="299"/>
      <c r="AT962" s="299"/>
      <c r="AU962" s="301"/>
      <c r="AV962" s="301"/>
      <c r="AW962" s="88"/>
      <c r="AX962" s="298"/>
      <c r="AY962" s="299"/>
      <c r="AZ962" s="299"/>
      <c r="BA962" s="301"/>
      <c r="BB962" s="301"/>
      <c r="BC962" s="426"/>
      <c r="BD962" s="298"/>
      <c r="BE962" s="299"/>
      <c r="BF962" s="299"/>
      <c r="BG962" s="301"/>
      <c r="BH962" s="301"/>
      <c r="BI962" s="88"/>
      <c r="BJ962" s="298"/>
      <c r="BK962" s="299"/>
      <c r="BL962" s="299"/>
      <c r="BM962" s="301"/>
      <c r="BN962" s="301"/>
      <c r="BO962" s="88"/>
      <c r="BP962" s="9"/>
      <c r="BS962" s="81"/>
      <c r="BT962" s="81"/>
      <c r="BV962" s="9"/>
      <c r="BY962" s="81"/>
      <c r="BZ962" s="81"/>
      <c r="CB962" s="9"/>
      <c r="CE962" s="81"/>
      <c r="CF962" s="81"/>
      <c r="CH962" s="9"/>
      <c r="CK962" s="81"/>
      <c r="CL962" s="81"/>
      <c r="CR962" s="9"/>
      <c r="CS962" s="9"/>
      <c r="CT962" s="9"/>
      <c r="CU962" s="9"/>
      <c r="CV962" s="9"/>
      <c r="CW962" s="129"/>
      <c r="CX962" s="9"/>
    </row>
    <row r="963" spans="1:102">
      <c r="A963" s="6" t="str">
        <f t="shared" si="141"/>
        <v>01910998</v>
      </c>
      <c r="B963" s="6" t="s">
        <v>1841</v>
      </c>
      <c r="C963" s="6" t="s">
        <v>2091</v>
      </c>
      <c r="D963" s="6">
        <v>954</v>
      </c>
      <c r="E963" s="6">
        <v>191</v>
      </c>
      <c r="F963" s="6" t="s">
        <v>1547</v>
      </c>
      <c r="G963" s="6">
        <v>998</v>
      </c>
      <c r="H963" s="6" t="s">
        <v>1547</v>
      </c>
      <c r="I963" s="33">
        <v>0</v>
      </c>
      <c r="J963" s="88">
        <v>0</v>
      </c>
      <c r="K963" s="89">
        <f t="shared" si="150"/>
        <v>0</v>
      </c>
      <c r="L963" s="88">
        <f>IF(K964&gt;0, K963/K964, 0)</f>
        <v>0</v>
      </c>
      <c r="M963" s="58"/>
      <c r="N963" s="9">
        <f>ROUND(M964*L963,0)</f>
        <v>0</v>
      </c>
      <c r="O963" s="9">
        <v>0</v>
      </c>
      <c r="P963" s="9">
        <f>N963-O963</f>
        <v>0</v>
      </c>
      <c r="Q963" s="40">
        <f t="shared" si="149"/>
        <v>0</v>
      </c>
      <c r="R963" s="9">
        <v>0</v>
      </c>
      <c r="S963" s="9">
        <f t="shared" si="147"/>
        <v>0</v>
      </c>
      <c r="T963" s="90">
        <f t="shared" si="142"/>
        <v>191</v>
      </c>
      <c r="U963" s="90">
        <f t="shared" si="143"/>
        <v>998</v>
      </c>
      <c r="V963" s="373">
        <f t="shared" si="144"/>
        <v>954</v>
      </c>
      <c r="W963" s="90">
        <f t="shared" si="145"/>
        <v>0</v>
      </c>
      <c r="X963" s="90">
        <f t="shared" si="146"/>
        <v>0</v>
      </c>
      <c r="Y963" s="141">
        <f t="shared" si="148"/>
        <v>954</v>
      </c>
      <c r="Z963" s="298">
        <v>191</v>
      </c>
      <c r="AA963" s="299">
        <v>998</v>
      </c>
      <c r="AB963" s="299">
        <v>954</v>
      </c>
      <c r="AC963" s="301">
        <v>0</v>
      </c>
      <c r="AD963" s="301">
        <v>0</v>
      </c>
      <c r="AE963" s="126"/>
      <c r="AF963" s="298"/>
      <c r="AG963" s="299"/>
      <c r="AH963" s="299"/>
      <c r="AI963" s="301"/>
      <c r="AJ963" s="301"/>
      <c r="AK963" s="426"/>
      <c r="AL963" s="298"/>
      <c r="AM963" s="299"/>
      <c r="AN963" s="299"/>
      <c r="AO963" s="301"/>
      <c r="AP963" s="301"/>
      <c r="AQ963" s="426"/>
      <c r="AR963" s="298"/>
      <c r="AS963" s="299"/>
      <c r="AT963" s="299"/>
      <c r="AU963" s="301"/>
      <c r="AV963" s="301"/>
      <c r="AW963" s="88"/>
      <c r="AX963" s="298"/>
      <c r="AY963" s="299"/>
      <c r="AZ963" s="299"/>
      <c r="BA963" s="301"/>
      <c r="BB963" s="301"/>
      <c r="BC963" s="426"/>
      <c r="BD963" s="298"/>
      <c r="BE963" s="299"/>
      <c r="BF963" s="299"/>
      <c r="BG963" s="301"/>
      <c r="BH963" s="301"/>
      <c r="BI963" s="88"/>
      <c r="BJ963" s="298"/>
      <c r="BK963" s="299"/>
      <c r="BL963" s="299"/>
      <c r="BM963" s="301"/>
      <c r="BN963" s="301"/>
      <c r="BO963" s="88"/>
      <c r="BP963" s="9"/>
      <c r="BS963" s="81"/>
      <c r="BT963" s="81"/>
      <c r="BV963" s="9"/>
      <c r="BY963" s="81"/>
      <c r="BZ963" s="81"/>
      <c r="CB963" s="9"/>
      <c r="CE963" s="81"/>
      <c r="CF963" s="81"/>
      <c r="CH963" s="9"/>
      <c r="CK963" s="81"/>
      <c r="CL963" s="81"/>
      <c r="CR963" s="9"/>
      <c r="CS963" s="9"/>
      <c r="CT963" s="9"/>
      <c r="CU963" s="9"/>
      <c r="CV963" s="9"/>
      <c r="CW963" s="129"/>
      <c r="CX963" s="9"/>
    </row>
    <row r="964" spans="1:102">
      <c r="A964" s="6" t="str">
        <f t="shared" si="141"/>
        <v>01910999</v>
      </c>
      <c r="B964" s="6" t="s">
        <v>1841</v>
      </c>
      <c r="C964" s="6" t="s">
        <v>2092</v>
      </c>
      <c r="D964" s="6">
        <v>955</v>
      </c>
      <c r="E964" s="10">
        <v>191</v>
      </c>
      <c r="F964" s="10" t="s">
        <v>1309</v>
      </c>
      <c r="G964" s="10">
        <v>999</v>
      </c>
      <c r="H964" s="10" t="s">
        <v>593</v>
      </c>
      <c r="I964" s="92">
        <v>13125173.990794443</v>
      </c>
      <c r="J964" s="472">
        <v>1</v>
      </c>
      <c r="K964" s="53">
        <f>SUM(K960:K963)</f>
        <v>13766041.73979155</v>
      </c>
      <c r="L964" s="91">
        <f>SUM(L960:L963)</f>
        <v>1</v>
      </c>
      <c r="M964" s="79">
        <f>VLOOKUP(E964,town351,24)</f>
        <v>7674355</v>
      </c>
      <c r="N964" s="79">
        <f>SUM(N960:N963)</f>
        <v>7674355</v>
      </c>
      <c r="O964" s="79">
        <v>7387712</v>
      </c>
      <c r="P964" s="79">
        <f>SUM(P960:P963)</f>
        <v>286643</v>
      </c>
      <c r="Q964" s="39">
        <f t="shared" si="149"/>
        <v>3.8799969462805262</v>
      </c>
      <c r="R964" s="9">
        <v>892.99999999830004</v>
      </c>
      <c r="S964" s="9">
        <f t="shared" si="147"/>
        <v>903.99999999780005</v>
      </c>
      <c r="T964" s="90">
        <f t="shared" si="142"/>
        <v>191</v>
      </c>
      <c r="U964" s="90">
        <f t="shared" si="143"/>
        <v>999</v>
      </c>
      <c r="V964" s="373">
        <f t="shared" si="144"/>
        <v>955</v>
      </c>
      <c r="W964" s="90">
        <f t="shared" si="145"/>
        <v>903.99999999780005</v>
      </c>
      <c r="X964" s="90">
        <f t="shared" si="146"/>
        <v>13766041.73979155</v>
      </c>
      <c r="Y964" s="141">
        <f t="shared" si="148"/>
        <v>955</v>
      </c>
      <c r="Z964" s="298">
        <v>191</v>
      </c>
      <c r="AA964" s="299">
        <v>999</v>
      </c>
      <c r="AB964" s="299">
        <v>955</v>
      </c>
      <c r="AC964" s="301">
        <v>903.99999999780005</v>
      </c>
      <c r="AD964" s="301">
        <v>13766041.73979155</v>
      </c>
      <c r="AE964" s="126"/>
      <c r="AF964" s="298"/>
      <c r="AG964" s="299"/>
      <c r="AH964" s="299"/>
      <c r="AI964" s="301"/>
      <c r="AJ964" s="301"/>
      <c r="AK964" s="426"/>
      <c r="AL964" s="298"/>
      <c r="AM964" s="299"/>
      <c r="AN964" s="299"/>
      <c r="AO964" s="301"/>
      <c r="AP964" s="301"/>
      <c r="AQ964" s="426"/>
      <c r="AR964" s="298"/>
      <c r="AS964" s="299"/>
      <c r="AT964" s="299"/>
      <c r="AU964" s="301"/>
      <c r="AV964" s="301"/>
      <c r="AW964" s="91"/>
      <c r="AX964" s="298"/>
      <c r="AY964" s="299"/>
      <c r="AZ964" s="299"/>
      <c r="BA964" s="301"/>
      <c r="BB964" s="301"/>
      <c r="BC964" s="426"/>
      <c r="BD964" s="298"/>
      <c r="BE964" s="299"/>
      <c r="BF964" s="299"/>
      <c r="BG964" s="301"/>
      <c r="BH964" s="301"/>
      <c r="BI964" s="91"/>
      <c r="BJ964" s="298"/>
      <c r="BK964" s="299"/>
      <c r="BL964" s="299"/>
      <c r="BM964" s="301"/>
      <c r="BN964" s="301"/>
      <c r="BO964" s="91"/>
      <c r="BP964" s="9"/>
      <c r="BS964" s="81"/>
      <c r="BT964" s="81"/>
      <c r="BV964" s="9"/>
      <c r="BY964" s="81"/>
      <c r="BZ964" s="81"/>
      <c r="CB964" s="9"/>
      <c r="CE964" s="81"/>
      <c r="CF964" s="81"/>
      <c r="CH964" s="9"/>
      <c r="CK964" s="81"/>
      <c r="CL964" s="81"/>
      <c r="CR964" s="9"/>
      <c r="CS964" s="9"/>
      <c r="CT964" s="9"/>
      <c r="CU964" s="9"/>
      <c r="CV964" s="9"/>
      <c r="CW964" s="129"/>
      <c r="CX964" s="9"/>
    </row>
    <row r="965" spans="1:102">
      <c r="A965" s="6" t="str">
        <f t="shared" si="141"/>
        <v>01920192</v>
      </c>
      <c r="B965" s="6" t="s">
        <v>1842</v>
      </c>
      <c r="C965" s="6" t="s">
        <v>1842</v>
      </c>
      <c r="D965" s="6">
        <v>956</v>
      </c>
      <c r="E965" s="6">
        <v>192</v>
      </c>
      <c r="F965" s="6" t="s">
        <v>1310</v>
      </c>
      <c r="G965" s="6">
        <v>192</v>
      </c>
      <c r="H965" s="6" t="s">
        <v>873</v>
      </c>
      <c r="I965" s="33">
        <v>16490.760000000002</v>
      </c>
      <c r="J965" s="88">
        <v>1.1053031578592482E-3</v>
      </c>
      <c r="K965" s="89">
        <f>X965</f>
        <v>16860.330000000002</v>
      </c>
      <c r="L965" s="88">
        <f>IF(K969&gt;0, K965/K969, 0)</f>
        <v>1.110039109231584E-3</v>
      </c>
      <c r="M965" s="58"/>
      <c r="N965" s="9">
        <f>ROUND(M969*L965,0)</f>
        <v>7814</v>
      </c>
      <c r="O965" s="9">
        <v>7445</v>
      </c>
      <c r="P965" s="9">
        <f>N965-O965</f>
        <v>369</v>
      </c>
      <c r="Q965" s="40">
        <f t="shared" si="149"/>
        <v>4.9563465413028878</v>
      </c>
      <c r="R965" s="9">
        <v>1</v>
      </c>
      <c r="S965" s="9">
        <f t="shared" si="147"/>
        <v>1</v>
      </c>
      <c r="T965" s="90">
        <f t="shared" si="142"/>
        <v>192</v>
      </c>
      <c r="U965" s="90">
        <f t="shared" si="143"/>
        <v>192</v>
      </c>
      <c r="V965" s="373">
        <f t="shared" si="144"/>
        <v>956</v>
      </c>
      <c r="W965" s="90">
        <f t="shared" si="145"/>
        <v>1</v>
      </c>
      <c r="X965" s="90">
        <f t="shared" si="146"/>
        <v>16860.330000000002</v>
      </c>
      <c r="Y965" s="141">
        <f t="shared" si="148"/>
        <v>956</v>
      </c>
      <c r="Z965" s="298">
        <v>192</v>
      </c>
      <c r="AA965" s="299">
        <v>192</v>
      </c>
      <c r="AB965" s="299">
        <v>956</v>
      </c>
      <c r="AC965" s="301">
        <v>1</v>
      </c>
      <c r="AD965" s="301">
        <v>16860.330000000002</v>
      </c>
      <c r="AE965" s="126"/>
      <c r="AF965" s="298"/>
      <c r="AG965" s="299"/>
      <c r="AH965" s="299"/>
      <c r="AI965" s="301"/>
      <c r="AJ965" s="301"/>
      <c r="AK965" s="426"/>
      <c r="AL965" s="298"/>
      <c r="AM965" s="299"/>
      <c r="AN965" s="299"/>
      <c r="AO965" s="301"/>
      <c r="AP965" s="301"/>
      <c r="AQ965" s="426"/>
      <c r="AR965" s="298"/>
      <c r="AS965" s="299"/>
      <c r="AT965" s="299"/>
      <c r="AU965" s="301"/>
      <c r="AV965" s="301"/>
      <c r="AW965" s="88"/>
      <c r="AX965" s="298"/>
      <c r="AY965" s="299"/>
      <c r="AZ965" s="299"/>
      <c r="BA965" s="301"/>
      <c r="BB965" s="301"/>
      <c r="BC965" s="426"/>
      <c r="BD965" s="298"/>
      <c r="BE965" s="299"/>
      <c r="BF965" s="299"/>
      <c r="BG965" s="301"/>
      <c r="BH965" s="301"/>
      <c r="BI965" s="88"/>
      <c r="BJ965" s="298"/>
      <c r="BK965" s="299"/>
      <c r="BL965" s="299"/>
      <c r="BM965" s="301"/>
      <c r="BN965" s="301"/>
      <c r="BO965" s="88"/>
      <c r="BP965" s="9"/>
      <c r="BS965" s="81"/>
      <c r="BT965" s="81"/>
      <c r="BV965" s="9"/>
      <c r="BY965" s="81"/>
      <c r="BZ965" s="81"/>
      <c r="CB965" s="9"/>
      <c r="CE965" s="81"/>
      <c r="CF965" s="81"/>
      <c r="CH965" s="9"/>
      <c r="CK965" s="81"/>
      <c r="CL965" s="81"/>
      <c r="CR965" s="9"/>
      <c r="CS965" s="9"/>
      <c r="CT965" s="9"/>
      <c r="CU965" s="9"/>
      <c r="CV965" s="9"/>
      <c r="CW965" s="129"/>
      <c r="CX965" s="9"/>
    </row>
    <row r="966" spans="1:102">
      <c r="A966" s="6" t="str">
        <f t="shared" si="141"/>
        <v>01920674</v>
      </c>
      <c r="B966" s="6" t="s">
        <v>1842</v>
      </c>
      <c r="C966" s="6" t="s">
        <v>2027</v>
      </c>
      <c r="D966" s="6">
        <v>957</v>
      </c>
      <c r="E966" s="6">
        <v>192</v>
      </c>
      <c r="F966" s="6" t="s">
        <v>1310</v>
      </c>
      <c r="G966" s="6">
        <v>674</v>
      </c>
      <c r="H966" s="6" t="s">
        <v>1057</v>
      </c>
      <c r="I966" s="33">
        <v>12916825.025177138</v>
      </c>
      <c r="J966" s="88">
        <v>0.86575800568582961</v>
      </c>
      <c r="K966" s="89">
        <f t="shared" si="150"/>
        <v>13554678.048907578</v>
      </c>
      <c r="L966" s="88">
        <f>IF(K969&gt;0, K966/K969, 0)</f>
        <v>0.89240381103633626</v>
      </c>
      <c r="M966" s="58"/>
      <c r="N966" s="9">
        <f>ROUND(M969*L966,0)</f>
        <v>6282094</v>
      </c>
      <c r="O966" s="9">
        <v>5831520</v>
      </c>
      <c r="P966" s="9">
        <f>N966-O966</f>
        <v>450574</v>
      </c>
      <c r="Q966" s="40">
        <f t="shared" si="149"/>
        <v>7.7265275605673995</v>
      </c>
      <c r="R966" s="9">
        <v>842.10455486415003</v>
      </c>
      <c r="S966" s="9">
        <f t="shared" si="147"/>
        <v>838.02507837020005</v>
      </c>
      <c r="T966" s="90">
        <f t="shared" si="142"/>
        <v>192</v>
      </c>
      <c r="U966" s="90">
        <f t="shared" si="143"/>
        <v>674</v>
      </c>
      <c r="V966" s="373">
        <f t="shared" si="144"/>
        <v>957</v>
      </c>
      <c r="W966" s="90">
        <f t="shared" si="145"/>
        <v>838.02507837020005</v>
      </c>
      <c r="X966" s="90">
        <f t="shared" si="146"/>
        <v>13554678.048907578</v>
      </c>
      <c r="Y966" s="141">
        <f t="shared" si="148"/>
        <v>957</v>
      </c>
      <c r="Z966" s="298">
        <v>192</v>
      </c>
      <c r="AA966" s="299">
        <v>674</v>
      </c>
      <c r="AB966" s="299">
        <v>957</v>
      </c>
      <c r="AC966" s="301">
        <v>838.02507837020005</v>
      </c>
      <c r="AD966" s="301">
        <v>13554678.048907578</v>
      </c>
      <c r="AE966" s="126"/>
      <c r="AF966" s="298"/>
      <c r="AG966" s="299"/>
      <c r="AH966" s="299"/>
      <c r="AI966" s="301"/>
      <c r="AJ966" s="301"/>
      <c r="AK966" s="426"/>
      <c r="AL966" s="298"/>
      <c r="AM966" s="299"/>
      <c r="AN966" s="299"/>
      <c r="AO966" s="301"/>
      <c r="AP966" s="301"/>
      <c r="AQ966" s="426"/>
      <c r="AR966" s="298"/>
      <c r="AS966" s="299"/>
      <c r="AT966" s="299"/>
      <c r="AU966" s="301"/>
      <c r="AV966" s="301"/>
      <c r="AW966" s="88"/>
      <c r="AX966" s="298"/>
      <c r="AY966" s="299"/>
      <c r="AZ966" s="299"/>
      <c r="BA966" s="301"/>
      <c r="BB966" s="301"/>
      <c r="BC966" s="426"/>
      <c r="BD966" s="298"/>
      <c r="BE966" s="299"/>
      <c r="BF966" s="299"/>
      <c r="BG966" s="301"/>
      <c r="BH966" s="301"/>
      <c r="BI966" s="88"/>
      <c r="BJ966" s="298"/>
      <c r="BK966" s="299"/>
      <c r="BL966" s="299"/>
      <c r="BM966" s="301"/>
      <c r="BN966" s="301"/>
      <c r="BO966" s="88"/>
      <c r="BP966" s="9"/>
      <c r="BS966" s="81"/>
      <c r="BT966" s="81"/>
      <c r="BV966" s="9"/>
      <c r="BY966" s="81"/>
      <c r="BZ966" s="81"/>
      <c r="CB966" s="9"/>
      <c r="CE966" s="81"/>
      <c r="CF966" s="81"/>
      <c r="CH966" s="9"/>
      <c r="CK966" s="81"/>
      <c r="CL966" s="81"/>
      <c r="CR966" s="9"/>
      <c r="CS966" s="9"/>
      <c r="CT966" s="9"/>
      <c r="CU966" s="9"/>
      <c r="CV966" s="9"/>
      <c r="CW966" s="129"/>
      <c r="CX966" s="9"/>
    </row>
    <row r="967" spans="1:102">
      <c r="A967" s="6" t="str">
        <f t="shared" si="141"/>
        <v>01920818</v>
      </c>
      <c r="B967" s="6" t="s">
        <v>1842</v>
      </c>
      <c r="C967" s="6" t="s">
        <v>2068</v>
      </c>
      <c r="D967" s="6">
        <v>958</v>
      </c>
      <c r="E967" s="6">
        <v>192</v>
      </c>
      <c r="F967" s="6" t="s">
        <v>1310</v>
      </c>
      <c r="G967" s="6">
        <v>818</v>
      </c>
      <c r="H967" s="6" t="s">
        <v>1098</v>
      </c>
      <c r="I967" s="33">
        <v>1986355.6938579136</v>
      </c>
      <c r="J967" s="88">
        <v>0.13313669115631116</v>
      </c>
      <c r="K967" s="89">
        <f t="shared" si="150"/>
        <v>1617412.9470249249</v>
      </c>
      <c r="L967" s="88">
        <f>IF(K969&gt;0, K967/K969, 0)</f>
        <v>0.10648614985443218</v>
      </c>
      <c r="M967" s="58"/>
      <c r="N967" s="9">
        <f>ROUND(M969*L967,0)</f>
        <v>749611</v>
      </c>
      <c r="O967" s="9">
        <v>896774</v>
      </c>
      <c r="P967" s="9">
        <f>N967-O967</f>
        <v>-147163</v>
      </c>
      <c r="Q967" s="40">
        <f t="shared" si="149"/>
        <v>-16.410266131712113</v>
      </c>
      <c r="R967" s="9">
        <v>92.999999999200014</v>
      </c>
      <c r="S967" s="9">
        <f t="shared" si="147"/>
        <v>74.000000000899988</v>
      </c>
      <c r="T967" s="90">
        <f t="shared" si="142"/>
        <v>192</v>
      </c>
      <c r="U967" s="90">
        <f t="shared" si="143"/>
        <v>818</v>
      </c>
      <c r="V967" s="373">
        <f t="shared" si="144"/>
        <v>958</v>
      </c>
      <c r="W967" s="90">
        <f t="shared" si="145"/>
        <v>74.000000000899988</v>
      </c>
      <c r="X967" s="90">
        <f t="shared" si="146"/>
        <v>1617412.9470249249</v>
      </c>
      <c r="Y967" s="141">
        <f t="shared" si="148"/>
        <v>958</v>
      </c>
      <c r="Z967" s="298">
        <v>192</v>
      </c>
      <c r="AA967" s="299">
        <v>818</v>
      </c>
      <c r="AB967" s="299">
        <v>958</v>
      </c>
      <c r="AC967" s="301">
        <v>74.000000000899988</v>
      </c>
      <c r="AD967" s="301">
        <v>1617412.9470249249</v>
      </c>
      <c r="AE967" s="126"/>
      <c r="AF967" s="298"/>
      <c r="AG967" s="299"/>
      <c r="AH967" s="299"/>
      <c r="AI967" s="301"/>
      <c r="AJ967" s="301"/>
      <c r="AK967" s="426"/>
      <c r="AL967" s="298"/>
      <c r="AM967" s="299"/>
      <c r="AN967" s="299"/>
      <c r="AO967" s="301"/>
      <c r="AP967" s="301"/>
      <c r="AQ967" s="426"/>
      <c r="AR967" s="298"/>
      <c r="AS967" s="299"/>
      <c r="AT967" s="299"/>
      <c r="AU967" s="301"/>
      <c r="AV967" s="301"/>
      <c r="AW967" s="88"/>
      <c r="AX967" s="298"/>
      <c r="AY967" s="299"/>
      <c r="AZ967" s="299"/>
      <c r="BA967" s="301"/>
      <c r="BB967" s="301"/>
      <c r="BC967" s="426"/>
      <c r="BD967" s="298"/>
      <c r="BE967" s="299"/>
      <c r="BF967" s="299"/>
      <c r="BG967" s="301"/>
      <c r="BH967" s="301"/>
      <c r="BI967" s="88"/>
      <c r="BJ967" s="298"/>
      <c r="BK967" s="299"/>
      <c r="BL967" s="299"/>
      <c r="BM967" s="301"/>
      <c r="BN967" s="301"/>
      <c r="BO967" s="88"/>
      <c r="BP967" s="9"/>
      <c r="BS967" s="81"/>
      <c r="BT967" s="81"/>
      <c r="BV967" s="9"/>
      <c r="BY967" s="81"/>
      <c r="BZ967" s="81"/>
      <c r="CB967" s="9"/>
      <c r="CE967" s="81"/>
      <c r="CF967" s="81"/>
      <c r="CH967" s="9"/>
      <c r="CK967" s="81"/>
      <c r="CL967" s="81"/>
      <c r="CR967" s="9"/>
      <c r="CS967" s="9"/>
      <c r="CT967" s="9"/>
      <c r="CU967" s="9"/>
      <c r="CV967" s="9"/>
      <c r="CW967" s="129"/>
      <c r="CX967" s="9"/>
    </row>
    <row r="968" spans="1:102">
      <c r="A968" s="6" t="str">
        <f t="shared" si="141"/>
        <v>01920998</v>
      </c>
      <c r="B968" s="6" t="s">
        <v>1842</v>
      </c>
      <c r="C968" s="6" t="s">
        <v>2091</v>
      </c>
      <c r="D968" s="6">
        <v>959</v>
      </c>
      <c r="E968" s="6">
        <v>192</v>
      </c>
      <c r="F968" s="6" t="s">
        <v>1547</v>
      </c>
      <c r="G968" s="6">
        <v>998</v>
      </c>
      <c r="H968" s="6" t="s">
        <v>1547</v>
      </c>
      <c r="I968" s="33">
        <v>0</v>
      </c>
      <c r="J968" s="88">
        <v>0</v>
      </c>
      <c r="K968" s="89">
        <f t="shared" si="150"/>
        <v>0</v>
      </c>
      <c r="L968" s="88">
        <f>IF(K969&gt;0, K968/K969, 0)</f>
        <v>0</v>
      </c>
      <c r="M968" s="58"/>
      <c r="N968" s="9">
        <f>ROUND(M969*L968,0)</f>
        <v>0</v>
      </c>
      <c r="O968" s="9">
        <v>0</v>
      </c>
      <c r="P968" s="9">
        <f>N968-O968</f>
        <v>0</v>
      </c>
      <c r="Q968" s="40">
        <f t="shared" si="149"/>
        <v>0</v>
      </c>
      <c r="R968" s="9">
        <v>0</v>
      </c>
      <c r="S968" s="9">
        <f t="shared" si="147"/>
        <v>0</v>
      </c>
      <c r="T968" s="90">
        <f t="shared" si="142"/>
        <v>192</v>
      </c>
      <c r="U968" s="90">
        <f t="shared" si="143"/>
        <v>998</v>
      </c>
      <c r="V968" s="373">
        <f t="shared" si="144"/>
        <v>959</v>
      </c>
      <c r="W968" s="90">
        <f t="shared" si="145"/>
        <v>0</v>
      </c>
      <c r="X968" s="90">
        <f t="shared" si="146"/>
        <v>0</v>
      </c>
      <c r="Y968" s="141">
        <f t="shared" si="148"/>
        <v>959</v>
      </c>
      <c r="Z968" s="298">
        <v>192</v>
      </c>
      <c r="AA968" s="299">
        <v>998</v>
      </c>
      <c r="AB968" s="299">
        <v>959</v>
      </c>
      <c r="AC968" s="301">
        <v>0</v>
      </c>
      <c r="AD968" s="301">
        <v>0</v>
      </c>
      <c r="AE968" s="126"/>
      <c r="AF968" s="298"/>
      <c r="AG968" s="299"/>
      <c r="AH968" s="299"/>
      <c r="AI968" s="301"/>
      <c r="AJ968" s="301"/>
      <c r="AK968" s="426"/>
      <c r="AL968" s="298"/>
      <c r="AM968" s="299"/>
      <c r="AN968" s="299"/>
      <c r="AO968" s="301"/>
      <c r="AP968" s="301"/>
      <c r="AQ968" s="426"/>
      <c r="AR968" s="298"/>
      <c r="AS968" s="299"/>
      <c r="AT968" s="299"/>
      <c r="AU968" s="301"/>
      <c r="AV968" s="301"/>
      <c r="AW968" s="88"/>
      <c r="AX968" s="298"/>
      <c r="AY968" s="299"/>
      <c r="AZ968" s="299"/>
      <c r="BA968" s="301"/>
      <c r="BB968" s="301"/>
      <c r="BC968" s="426"/>
      <c r="BD968" s="298"/>
      <c r="BE968" s="299"/>
      <c r="BF968" s="299"/>
      <c r="BG968" s="301"/>
      <c r="BH968" s="301"/>
      <c r="BI968" s="88"/>
      <c r="BJ968" s="298"/>
      <c r="BK968" s="299"/>
      <c r="BL968" s="299"/>
      <c r="BM968" s="301"/>
      <c r="BN968" s="301"/>
      <c r="BO968" s="88"/>
      <c r="BP968" s="9"/>
      <c r="BS968" s="81"/>
      <c r="BT968" s="81"/>
      <c r="BV968" s="9"/>
      <c r="BY968" s="81"/>
      <c r="BZ968" s="81"/>
      <c r="CB968" s="9"/>
      <c r="CE968" s="81"/>
      <c r="CF968" s="81"/>
      <c r="CH968" s="9"/>
      <c r="CK968" s="81"/>
      <c r="CL968" s="81"/>
      <c r="CR968" s="9"/>
      <c r="CS968" s="9"/>
      <c r="CT968" s="9"/>
      <c r="CU968" s="9"/>
      <c r="CV968" s="9"/>
      <c r="CW968" s="129"/>
      <c r="CX968" s="9"/>
    </row>
    <row r="969" spans="1:102">
      <c r="A969" s="6" t="str">
        <f t="shared" si="141"/>
        <v>01920999</v>
      </c>
      <c r="B969" s="6" t="s">
        <v>1842</v>
      </c>
      <c r="C969" s="6" t="s">
        <v>2092</v>
      </c>
      <c r="D969" s="6">
        <v>960</v>
      </c>
      <c r="E969" s="10">
        <v>192</v>
      </c>
      <c r="F969" s="10" t="s">
        <v>1310</v>
      </c>
      <c r="G969" s="10">
        <v>999</v>
      </c>
      <c r="H969" s="10" t="s">
        <v>593</v>
      </c>
      <c r="I969" s="92">
        <v>14919671.479035052</v>
      </c>
      <c r="J969" s="472">
        <v>1</v>
      </c>
      <c r="K969" s="53">
        <f>SUM(K965:K968)</f>
        <v>15188951.325932503</v>
      </c>
      <c r="L969" s="91">
        <f>SUM(L965:L968)</f>
        <v>1</v>
      </c>
      <c r="M969" s="79">
        <f>VLOOKUP(E969,town351,24)</f>
        <v>7039520</v>
      </c>
      <c r="N969" s="79">
        <f>SUM(N965:N968)</f>
        <v>7039519</v>
      </c>
      <c r="O969" s="79">
        <v>6735739</v>
      </c>
      <c r="P969" s="79">
        <f>SUM(P965:P968)</f>
        <v>303780</v>
      </c>
      <c r="Q969" s="39">
        <f t="shared" si="149"/>
        <v>4.5099728478196672</v>
      </c>
      <c r="R969" s="9">
        <v>936.10455486335002</v>
      </c>
      <c r="S969" s="9">
        <f t="shared" si="147"/>
        <v>913.02507837109999</v>
      </c>
      <c r="T969" s="90">
        <f t="shared" si="142"/>
        <v>192</v>
      </c>
      <c r="U969" s="90">
        <f t="shared" si="143"/>
        <v>999</v>
      </c>
      <c r="V969" s="373">
        <f t="shared" si="144"/>
        <v>960</v>
      </c>
      <c r="W969" s="90">
        <f t="shared" si="145"/>
        <v>913.02507837109999</v>
      </c>
      <c r="X969" s="90">
        <f t="shared" si="146"/>
        <v>15188951.325932503</v>
      </c>
      <c r="Y969" s="141">
        <f t="shared" si="148"/>
        <v>960</v>
      </c>
      <c r="Z969" s="298">
        <v>192</v>
      </c>
      <c r="AA969" s="299">
        <v>999</v>
      </c>
      <c r="AB969" s="299">
        <v>960</v>
      </c>
      <c r="AC969" s="301">
        <v>913.02507837109999</v>
      </c>
      <c r="AD969" s="301">
        <v>15188951.325932503</v>
      </c>
      <c r="AE969" s="126"/>
      <c r="AF969" s="298"/>
      <c r="AG969" s="299"/>
      <c r="AH969" s="299"/>
      <c r="AI969" s="301"/>
      <c r="AJ969" s="301"/>
      <c r="AK969" s="426"/>
      <c r="AL969" s="298"/>
      <c r="AM969" s="299"/>
      <c r="AN969" s="299"/>
      <c r="AO969" s="301"/>
      <c r="AP969" s="301"/>
      <c r="AQ969" s="426"/>
      <c r="AR969" s="298"/>
      <c r="AS969" s="299"/>
      <c r="AT969" s="299"/>
      <c r="AU969" s="301"/>
      <c r="AV969" s="301"/>
      <c r="AW969" s="91"/>
      <c r="AX969" s="298"/>
      <c r="AY969" s="299"/>
      <c r="AZ969" s="299"/>
      <c r="BA969" s="301"/>
      <c r="BB969" s="301"/>
      <c r="BC969" s="426"/>
      <c r="BD969" s="298"/>
      <c r="BE969" s="299"/>
      <c r="BF969" s="299"/>
      <c r="BG969" s="301"/>
      <c r="BH969" s="301"/>
      <c r="BI969" s="91"/>
      <c r="BJ969" s="298"/>
      <c r="BK969" s="299"/>
      <c r="BL969" s="299"/>
      <c r="BM969" s="301"/>
      <c r="BN969" s="301"/>
      <c r="BO969" s="91"/>
      <c r="BP969" s="9"/>
      <c r="BS969" s="81"/>
      <c r="BT969" s="81"/>
      <c r="BV969" s="9"/>
      <c r="BY969" s="81"/>
      <c r="BZ969" s="81"/>
      <c r="CB969" s="9"/>
      <c r="CE969" s="81"/>
      <c r="CF969" s="81"/>
      <c r="CH969" s="9"/>
      <c r="CK969" s="81"/>
      <c r="CL969" s="81"/>
      <c r="CR969" s="9"/>
      <c r="CS969" s="9"/>
      <c r="CT969" s="9"/>
      <c r="CU969" s="9"/>
      <c r="CV969" s="9"/>
      <c r="CW969" s="129"/>
      <c r="CX969" s="9"/>
    </row>
    <row r="970" spans="1:102">
      <c r="A970" s="6" t="str">
        <f t="shared" ref="A970:A1033" si="151">B970&amp;C970</f>
        <v>01930193</v>
      </c>
      <c r="B970" s="6" t="s">
        <v>1843</v>
      </c>
      <c r="C970" s="6" t="s">
        <v>1843</v>
      </c>
      <c r="D970" s="6">
        <v>961</v>
      </c>
      <c r="E970" s="6">
        <v>193</v>
      </c>
      <c r="F970" s="6" t="s">
        <v>1311</v>
      </c>
      <c r="G970" s="6">
        <v>193</v>
      </c>
      <c r="H970" s="6" t="s">
        <v>874</v>
      </c>
      <c r="I970" s="33">
        <v>0</v>
      </c>
      <c r="J970" s="88">
        <v>0</v>
      </c>
      <c r="K970" s="89">
        <f>X970</f>
        <v>0</v>
      </c>
      <c r="L970" s="88">
        <f>IF(K974&gt;0, K970/K974, 0)</f>
        <v>0</v>
      </c>
      <c r="M970" s="58"/>
      <c r="N970" s="9">
        <f>ROUND(M974*L970,0)</f>
        <v>0</v>
      </c>
      <c r="O970" s="9">
        <v>0</v>
      </c>
      <c r="P970" s="9">
        <f>N970-O970</f>
        <v>0</v>
      </c>
      <c r="Q970" s="40">
        <f t="shared" si="149"/>
        <v>0</v>
      </c>
      <c r="R970" s="9">
        <v>0</v>
      </c>
      <c r="S970" s="9">
        <f t="shared" si="147"/>
        <v>0</v>
      </c>
      <c r="T970" s="90">
        <f t="shared" ref="T970:T1033" si="152">VLOOKUP($D970, foundoptions, VLOOKUP($T$6, foundoptcell, 2, FALSE), FALSE)</f>
        <v>193</v>
      </c>
      <c r="U970" s="90">
        <f t="shared" ref="U970:U1033" si="153">VLOOKUP($D970, foundoptions, VLOOKUP($T$6, foundoptcell, 2, FALSE)+1, FALSE)</f>
        <v>193</v>
      </c>
      <c r="V970" s="373">
        <f t="shared" ref="V970:V1033" si="154">VLOOKUP($D970, foundoptions, VLOOKUP($T$6, foundoptcell, 2, FALSE)+2, FALSE)</f>
        <v>961</v>
      </c>
      <c r="W970" s="90">
        <f t="shared" ref="W970:W1033" si="155">VLOOKUP($D970, foundoptions, VLOOKUP($T$6, foundoptcell, 2, FALSE)+3, FALSE)</f>
        <v>0</v>
      </c>
      <c r="X970" s="90">
        <f t="shared" ref="X970:X1033" si="156">VLOOKUP($D970, foundoptions, VLOOKUP($T$6, foundoptcell, 2, FALSE)+4, FALSE)</f>
        <v>0</v>
      </c>
      <c r="Y970" s="141">
        <f t="shared" si="148"/>
        <v>961</v>
      </c>
      <c r="Z970" s="298">
        <v>193</v>
      </c>
      <c r="AA970" s="299">
        <v>193</v>
      </c>
      <c r="AB970" s="299">
        <v>961</v>
      </c>
      <c r="AC970" s="301">
        <v>0</v>
      </c>
      <c r="AD970" s="301">
        <v>0</v>
      </c>
      <c r="AE970" s="126"/>
      <c r="AF970" s="298"/>
      <c r="AG970" s="299"/>
      <c r="AH970" s="299"/>
      <c r="AI970" s="301"/>
      <c r="AJ970" s="301"/>
      <c r="AK970" s="426"/>
      <c r="AL970" s="298"/>
      <c r="AM970" s="299"/>
      <c r="AN970" s="299"/>
      <c r="AO970" s="301"/>
      <c r="AP970" s="301"/>
      <c r="AQ970" s="426"/>
      <c r="AR970" s="298"/>
      <c r="AS970" s="299"/>
      <c r="AT970" s="299"/>
      <c r="AU970" s="301"/>
      <c r="AV970" s="301"/>
      <c r="AW970" s="88"/>
      <c r="AX970" s="298"/>
      <c r="AY970" s="299"/>
      <c r="AZ970" s="299"/>
      <c r="BA970" s="301"/>
      <c r="BB970" s="301"/>
      <c r="BC970" s="426"/>
      <c r="BD970" s="298"/>
      <c r="BE970" s="299"/>
      <c r="BF970" s="299"/>
      <c r="BG970" s="301"/>
      <c r="BH970" s="301"/>
      <c r="BI970" s="88"/>
      <c r="BJ970" s="298"/>
      <c r="BK970" s="299"/>
      <c r="BL970" s="299"/>
      <c r="BM970" s="301"/>
      <c r="BN970" s="301"/>
      <c r="BO970" s="88"/>
      <c r="BP970" s="9"/>
      <c r="BS970" s="81"/>
      <c r="BT970" s="81"/>
      <c r="BV970" s="9"/>
      <c r="BY970" s="81"/>
      <c r="BZ970" s="81"/>
      <c r="CB970" s="9"/>
      <c r="CE970" s="81"/>
      <c r="CF970" s="81"/>
      <c r="CH970" s="9"/>
      <c r="CK970" s="81"/>
      <c r="CL970" s="81"/>
      <c r="CR970" s="9"/>
      <c r="CS970" s="9"/>
      <c r="CT970" s="9"/>
      <c r="CU970" s="9"/>
      <c r="CV970" s="9"/>
      <c r="CW970" s="129"/>
      <c r="CX970" s="9"/>
    </row>
    <row r="971" spans="1:102">
      <c r="A971" s="6" t="str">
        <f t="shared" si="151"/>
        <v>01930765</v>
      </c>
      <c r="B971" s="6" t="s">
        <v>1843</v>
      </c>
      <c r="C971" s="6" t="s">
        <v>2053</v>
      </c>
      <c r="D971" s="6">
        <v>962</v>
      </c>
      <c r="E971" s="6">
        <v>193</v>
      </c>
      <c r="F971" s="6" t="s">
        <v>1311</v>
      </c>
      <c r="G971" s="6">
        <v>765</v>
      </c>
      <c r="H971" s="6" t="s">
        <v>1083</v>
      </c>
      <c r="I971" s="33">
        <v>1071299.8930136755</v>
      </c>
      <c r="J971" s="88">
        <v>1</v>
      </c>
      <c r="K971" s="89">
        <f t="shared" si="150"/>
        <v>1213819.9337935641</v>
      </c>
      <c r="L971" s="88">
        <f>IF(K974&gt;0, K971/K974, 0)</f>
        <v>1</v>
      </c>
      <c r="M971" s="58"/>
      <c r="N971" s="9">
        <f>ROUND(M974*L971,0)</f>
        <v>1001401</v>
      </c>
      <c r="O971" s="9">
        <v>883822</v>
      </c>
      <c r="P971" s="9">
        <f>N971-O971</f>
        <v>117579</v>
      </c>
      <c r="Q971" s="40">
        <f t="shared" si="149"/>
        <v>13.303470608335163</v>
      </c>
      <c r="R971" s="9">
        <v>74.684210523600001</v>
      </c>
      <c r="S971" s="9">
        <f t="shared" ref="S971:S1034" si="157">W971</f>
        <v>83.402756509180008</v>
      </c>
      <c r="T971" s="90">
        <f t="shared" si="152"/>
        <v>193</v>
      </c>
      <c r="U971" s="90">
        <f t="shared" si="153"/>
        <v>765</v>
      </c>
      <c r="V971" s="373">
        <f t="shared" si="154"/>
        <v>962</v>
      </c>
      <c r="W971" s="90">
        <f t="shared" si="155"/>
        <v>83.402756509180008</v>
      </c>
      <c r="X971" s="90">
        <f t="shared" si="156"/>
        <v>1213819.9337935641</v>
      </c>
      <c r="Y971" s="141">
        <f t="shared" ref="Y971:Y1034" si="158">D971</f>
        <v>962</v>
      </c>
      <c r="Z971" s="298">
        <v>193</v>
      </c>
      <c r="AA971" s="299">
        <v>765</v>
      </c>
      <c r="AB971" s="299">
        <v>962</v>
      </c>
      <c r="AC971" s="301">
        <v>83.402756509180008</v>
      </c>
      <c r="AD971" s="301">
        <v>1213819.9337935641</v>
      </c>
      <c r="AE971" s="126"/>
      <c r="AF971" s="298"/>
      <c r="AG971" s="299"/>
      <c r="AH971" s="299"/>
      <c r="AI971" s="301"/>
      <c r="AJ971" s="301"/>
      <c r="AK971" s="426"/>
      <c r="AL971" s="298"/>
      <c r="AM971" s="299"/>
      <c r="AN971" s="299"/>
      <c r="AO971" s="301"/>
      <c r="AP971" s="301"/>
      <c r="AQ971" s="426"/>
      <c r="AR971" s="298"/>
      <c r="AS971" s="299"/>
      <c r="AT971" s="299"/>
      <c r="AU971" s="301"/>
      <c r="AV971" s="301"/>
      <c r="AW971" s="88"/>
      <c r="AX971" s="298"/>
      <c r="AY971" s="299"/>
      <c r="AZ971" s="299"/>
      <c r="BA971" s="301"/>
      <c r="BB971" s="301"/>
      <c r="BC971" s="426"/>
      <c r="BD971" s="298"/>
      <c r="BE971" s="299"/>
      <c r="BF971" s="299"/>
      <c r="BG971" s="301"/>
      <c r="BH971" s="301"/>
      <c r="BI971" s="88"/>
      <c r="BJ971" s="298"/>
      <c r="BK971" s="299"/>
      <c r="BL971" s="299"/>
      <c r="BM971" s="301"/>
      <c r="BN971" s="301"/>
      <c r="BO971" s="88"/>
      <c r="BP971" s="9"/>
      <c r="BS971" s="81"/>
      <c r="BT971" s="81"/>
      <c r="BV971" s="9"/>
      <c r="BY971" s="81"/>
      <c r="BZ971" s="81"/>
      <c r="CB971" s="9"/>
      <c r="CE971" s="81"/>
      <c r="CF971" s="81"/>
      <c r="CH971" s="9"/>
      <c r="CK971" s="81"/>
      <c r="CL971" s="81"/>
      <c r="CR971" s="9"/>
      <c r="CS971" s="9"/>
      <c r="CT971" s="9"/>
      <c r="CU971" s="9"/>
      <c r="CV971" s="9"/>
      <c r="CW971" s="129"/>
      <c r="CX971" s="9"/>
    </row>
    <row r="972" spans="1:102">
      <c r="A972" s="6" t="str">
        <f t="shared" si="151"/>
        <v>01930998</v>
      </c>
      <c r="B972" s="6" t="s">
        <v>1843</v>
      </c>
      <c r="C972" s="6" t="s">
        <v>2091</v>
      </c>
      <c r="D972" s="6">
        <v>963</v>
      </c>
      <c r="E972" s="6">
        <v>193</v>
      </c>
      <c r="F972" s="6" t="s">
        <v>1547</v>
      </c>
      <c r="G972" s="6">
        <v>998</v>
      </c>
      <c r="H972" s="6" t="s">
        <v>1547</v>
      </c>
      <c r="I972" s="33">
        <v>0</v>
      </c>
      <c r="J972" s="88">
        <v>0</v>
      </c>
      <c r="K972" s="89">
        <f t="shared" si="150"/>
        <v>0</v>
      </c>
      <c r="L972" s="88">
        <f>IF(K974&gt;0, K972/K974, 0)</f>
        <v>0</v>
      </c>
      <c r="M972" s="58"/>
      <c r="N972" s="9">
        <f>ROUND(M974*L972,0)</f>
        <v>0</v>
      </c>
      <c r="O972" s="9">
        <v>0</v>
      </c>
      <c r="P972" s="9">
        <f>N972-O972</f>
        <v>0</v>
      </c>
      <c r="Q972" s="40">
        <f t="shared" si="149"/>
        <v>0</v>
      </c>
      <c r="R972" s="9">
        <v>0</v>
      </c>
      <c r="S972" s="9">
        <f t="shared" si="157"/>
        <v>0</v>
      </c>
      <c r="T972" s="90">
        <f t="shared" si="152"/>
        <v>193</v>
      </c>
      <c r="U972" s="90">
        <f t="shared" si="153"/>
        <v>998</v>
      </c>
      <c r="V972" s="373">
        <f t="shared" si="154"/>
        <v>963</v>
      </c>
      <c r="W972" s="90">
        <f t="shared" si="155"/>
        <v>0</v>
      </c>
      <c r="X972" s="90">
        <f t="shared" si="156"/>
        <v>0</v>
      </c>
      <c r="Y972" s="141">
        <f t="shared" si="158"/>
        <v>963</v>
      </c>
      <c r="Z972" s="298">
        <v>193</v>
      </c>
      <c r="AA972" s="299">
        <v>998</v>
      </c>
      <c r="AB972" s="299">
        <v>963</v>
      </c>
      <c r="AC972" s="301">
        <v>0</v>
      </c>
      <c r="AD972" s="301">
        <v>0</v>
      </c>
      <c r="AE972" s="126"/>
      <c r="AF972" s="298"/>
      <c r="AG972" s="299"/>
      <c r="AH972" s="299"/>
      <c r="AI972" s="301"/>
      <c r="AJ972" s="301"/>
      <c r="AK972" s="426"/>
      <c r="AL972" s="298"/>
      <c r="AM972" s="299"/>
      <c r="AN972" s="299"/>
      <c r="AO972" s="301"/>
      <c r="AP972" s="301"/>
      <c r="AQ972" s="426"/>
      <c r="AR972" s="298"/>
      <c r="AS972" s="299"/>
      <c r="AT972" s="299"/>
      <c r="AU972" s="301"/>
      <c r="AV972" s="301"/>
      <c r="AW972" s="88"/>
      <c r="AX972" s="298"/>
      <c r="AY972" s="299"/>
      <c r="AZ972" s="299"/>
      <c r="BA972" s="301"/>
      <c r="BB972" s="301"/>
      <c r="BC972" s="426"/>
      <c r="BD972" s="298"/>
      <c r="BE972" s="299"/>
      <c r="BF972" s="299"/>
      <c r="BG972" s="301"/>
      <c r="BH972" s="301"/>
      <c r="BI972" s="88"/>
      <c r="BJ972" s="298"/>
      <c r="BK972" s="299"/>
      <c r="BL972" s="299"/>
      <c r="BM972" s="301"/>
      <c r="BN972" s="301"/>
      <c r="BO972" s="88"/>
      <c r="BP972" s="9"/>
      <c r="BS972" s="81"/>
      <c r="BT972" s="81"/>
      <c r="BV972" s="9"/>
      <c r="BY972" s="81"/>
      <c r="BZ972" s="81"/>
      <c r="CB972" s="9"/>
      <c r="CE972" s="81"/>
      <c r="CF972" s="81"/>
      <c r="CH972" s="9"/>
      <c r="CK972" s="81"/>
      <c r="CL972" s="81"/>
      <c r="CR972" s="9"/>
      <c r="CS972" s="9"/>
      <c r="CT972" s="9"/>
      <c r="CU972" s="9"/>
      <c r="CV972" s="9"/>
      <c r="CW972" s="129"/>
      <c r="CX972" s="9"/>
    </row>
    <row r="973" spans="1:102">
      <c r="A973" s="6" t="str">
        <f t="shared" si="151"/>
        <v>01930998</v>
      </c>
      <c r="B973" s="6" t="s">
        <v>1843</v>
      </c>
      <c r="C973" s="6" t="s">
        <v>2091</v>
      </c>
      <c r="D973" s="6">
        <v>964</v>
      </c>
      <c r="E973" s="6">
        <v>193</v>
      </c>
      <c r="F973" s="6" t="s">
        <v>1547</v>
      </c>
      <c r="G973" s="6">
        <v>998</v>
      </c>
      <c r="H973" s="6" t="s">
        <v>1547</v>
      </c>
      <c r="I973" s="33">
        <v>0</v>
      </c>
      <c r="J973" s="88">
        <v>0</v>
      </c>
      <c r="K973" s="89">
        <f t="shared" si="150"/>
        <v>0</v>
      </c>
      <c r="L973" s="88">
        <f>IF(K974&gt;0, K973/K974, 0)</f>
        <v>0</v>
      </c>
      <c r="M973" s="58"/>
      <c r="N973" s="9">
        <f>ROUND(M974*L973,0)</f>
        <v>0</v>
      </c>
      <c r="O973" s="9">
        <v>0</v>
      </c>
      <c r="P973" s="9">
        <f>N973-O973</f>
        <v>0</v>
      </c>
      <c r="Q973" s="40">
        <f t="shared" si="149"/>
        <v>0</v>
      </c>
      <c r="R973" s="9">
        <v>0</v>
      </c>
      <c r="S973" s="9">
        <f t="shared" si="157"/>
        <v>0</v>
      </c>
      <c r="T973" s="90">
        <f t="shared" si="152"/>
        <v>193</v>
      </c>
      <c r="U973" s="90">
        <f t="shared" si="153"/>
        <v>998</v>
      </c>
      <c r="V973" s="373">
        <f t="shared" si="154"/>
        <v>964</v>
      </c>
      <c r="W973" s="90">
        <f t="shared" si="155"/>
        <v>0</v>
      </c>
      <c r="X973" s="90">
        <f t="shared" si="156"/>
        <v>0</v>
      </c>
      <c r="Y973" s="141">
        <f t="shared" si="158"/>
        <v>964</v>
      </c>
      <c r="Z973" s="298">
        <v>193</v>
      </c>
      <c r="AA973" s="299">
        <v>998</v>
      </c>
      <c r="AB973" s="299">
        <v>964</v>
      </c>
      <c r="AC973" s="301">
        <v>0</v>
      </c>
      <c r="AD973" s="301">
        <v>0</v>
      </c>
      <c r="AE973" s="126"/>
      <c r="AF973" s="298"/>
      <c r="AG973" s="299"/>
      <c r="AH973" s="299"/>
      <c r="AI973" s="301"/>
      <c r="AJ973" s="301"/>
      <c r="AK973" s="426"/>
      <c r="AL973" s="298"/>
      <c r="AM973" s="299"/>
      <c r="AN973" s="299"/>
      <c r="AO973" s="301"/>
      <c r="AP973" s="301"/>
      <c r="AQ973" s="426"/>
      <c r="AR973" s="298"/>
      <c r="AS973" s="299"/>
      <c r="AT973" s="299"/>
      <c r="AU973" s="301"/>
      <c r="AV973" s="301"/>
      <c r="AW973" s="88"/>
      <c r="AX973" s="298"/>
      <c r="AY973" s="299"/>
      <c r="AZ973" s="299"/>
      <c r="BA973" s="301"/>
      <c r="BB973" s="301"/>
      <c r="BC973" s="426"/>
      <c r="BD973" s="298"/>
      <c r="BE973" s="299"/>
      <c r="BF973" s="299"/>
      <c r="BG973" s="301"/>
      <c r="BH973" s="301"/>
      <c r="BI973" s="88"/>
      <c r="BJ973" s="298"/>
      <c r="BK973" s="299"/>
      <c r="BL973" s="299"/>
      <c r="BM973" s="301"/>
      <c r="BN973" s="301"/>
      <c r="BO973" s="88"/>
      <c r="BP973" s="9"/>
      <c r="BS973" s="81"/>
      <c r="BT973" s="81"/>
      <c r="BV973" s="9"/>
      <c r="BY973" s="81"/>
      <c r="BZ973" s="81"/>
      <c r="CB973" s="9"/>
      <c r="CE973" s="81"/>
      <c r="CF973" s="81"/>
      <c r="CH973" s="9"/>
      <c r="CK973" s="81"/>
      <c r="CL973" s="81"/>
      <c r="CR973" s="9"/>
      <c r="CS973" s="9"/>
      <c r="CT973" s="9"/>
      <c r="CU973" s="9"/>
      <c r="CV973" s="9"/>
      <c r="CW973" s="129"/>
      <c r="CX973" s="9"/>
    </row>
    <row r="974" spans="1:102">
      <c r="A974" s="6" t="str">
        <f t="shared" si="151"/>
        <v>01930999</v>
      </c>
      <c r="B974" s="6" t="s">
        <v>1843</v>
      </c>
      <c r="C974" s="6" t="s">
        <v>2092</v>
      </c>
      <c r="D974" s="6">
        <v>965</v>
      </c>
      <c r="E974" s="10">
        <v>193</v>
      </c>
      <c r="F974" s="10" t="s">
        <v>1311</v>
      </c>
      <c r="G974" s="10">
        <v>999</v>
      </c>
      <c r="H974" s="10" t="s">
        <v>593</v>
      </c>
      <c r="I974" s="92">
        <v>1071299.8930136755</v>
      </c>
      <c r="J974" s="472">
        <v>1</v>
      </c>
      <c r="K974" s="53">
        <f>SUM(K970:K973)</f>
        <v>1213819.9337935641</v>
      </c>
      <c r="L974" s="91">
        <f>SUM(L970:L973)</f>
        <v>1</v>
      </c>
      <c r="M974" s="79">
        <f>VLOOKUP(E974,town351,24)</f>
        <v>1001401</v>
      </c>
      <c r="N974" s="79">
        <f>SUM(N970:N973)</f>
        <v>1001401</v>
      </c>
      <c r="O974" s="79">
        <v>883822</v>
      </c>
      <c r="P974" s="79">
        <f>SUM(P970:P973)</f>
        <v>117579</v>
      </c>
      <c r="Q974" s="39">
        <f t="shared" si="149"/>
        <v>13.303470608335163</v>
      </c>
      <c r="R974" s="9">
        <v>74.684210523600001</v>
      </c>
      <c r="S974" s="9">
        <f t="shared" si="157"/>
        <v>83.402756509180008</v>
      </c>
      <c r="T974" s="90">
        <f t="shared" si="152"/>
        <v>193</v>
      </c>
      <c r="U974" s="90">
        <f t="shared" si="153"/>
        <v>999</v>
      </c>
      <c r="V974" s="373">
        <f t="shared" si="154"/>
        <v>965</v>
      </c>
      <c r="W974" s="90">
        <f t="shared" si="155"/>
        <v>83.402756509180008</v>
      </c>
      <c r="X974" s="90">
        <f t="shared" si="156"/>
        <v>1213819.9337935641</v>
      </c>
      <c r="Y974" s="141">
        <f t="shared" si="158"/>
        <v>965</v>
      </c>
      <c r="Z974" s="298">
        <v>193</v>
      </c>
      <c r="AA974" s="299">
        <v>999</v>
      </c>
      <c r="AB974" s="299">
        <v>965</v>
      </c>
      <c r="AC974" s="301">
        <v>83.402756509180008</v>
      </c>
      <c r="AD974" s="301">
        <v>1213819.9337935641</v>
      </c>
      <c r="AE974" s="126"/>
      <c r="AF974" s="298"/>
      <c r="AG974" s="299"/>
      <c r="AH974" s="299"/>
      <c r="AI974" s="301"/>
      <c r="AJ974" s="301"/>
      <c r="AK974" s="426"/>
      <c r="AL974" s="298"/>
      <c r="AM974" s="299"/>
      <c r="AN974" s="299"/>
      <c r="AO974" s="301"/>
      <c r="AP974" s="301"/>
      <c r="AQ974" s="426"/>
      <c r="AR974" s="298"/>
      <c r="AS974" s="299"/>
      <c r="AT974" s="299"/>
      <c r="AU974" s="301"/>
      <c r="AV974" s="301"/>
      <c r="AW974" s="91"/>
      <c r="AX974" s="298"/>
      <c r="AY974" s="299"/>
      <c r="AZ974" s="299"/>
      <c r="BA974" s="301"/>
      <c r="BB974" s="301"/>
      <c r="BC974" s="426"/>
      <c r="BD974" s="298"/>
      <c r="BE974" s="299"/>
      <c r="BF974" s="299"/>
      <c r="BG974" s="301"/>
      <c r="BH974" s="301"/>
      <c r="BI974" s="91"/>
      <c r="BJ974" s="298"/>
      <c r="BK974" s="299"/>
      <c r="BL974" s="299"/>
      <c r="BM974" s="301"/>
      <c r="BN974" s="301"/>
      <c r="BO974" s="91"/>
      <c r="BP974" s="9"/>
      <c r="BS974" s="81"/>
      <c r="BT974" s="81"/>
      <c r="BV974" s="9"/>
      <c r="BY974" s="81"/>
      <c r="BZ974" s="81"/>
      <c r="CB974" s="9"/>
      <c r="CE974" s="81"/>
      <c r="CF974" s="81"/>
      <c r="CH974" s="9"/>
      <c r="CK974" s="81"/>
      <c r="CL974" s="81"/>
      <c r="CR974" s="9"/>
      <c r="CS974" s="9"/>
      <c r="CT974" s="9"/>
      <c r="CU974" s="9"/>
      <c r="CV974" s="9"/>
      <c r="CW974" s="129"/>
      <c r="CX974" s="9"/>
    </row>
    <row r="975" spans="1:102">
      <c r="A975" s="6" t="str">
        <f t="shared" si="151"/>
        <v>01940194</v>
      </c>
      <c r="B975" s="6" t="s">
        <v>1844</v>
      </c>
      <c r="C975" s="6" t="s">
        <v>1844</v>
      </c>
      <c r="D975" s="6">
        <v>966</v>
      </c>
      <c r="E975" s="6">
        <v>194</v>
      </c>
      <c r="F975" s="6" t="s">
        <v>1312</v>
      </c>
      <c r="G975" s="6">
        <v>194</v>
      </c>
      <c r="H975" s="6" t="s">
        <v>875</v>
      </c>
      <c r="I975" s="33">
        <v>49472.28</v>
      </c>
      <c r="J975" s="88">
        <v>4.5823363196205301E-2</v>
      </c>
      <c r="K975" s="89">
        <f>X975</f>
        <v>84301.650000000009</v>
      </c>
      <c r="L975" s="88">
        <f>IF(K979&gt;0, K975/K979, 0)</f>
        <v>7.7114184969414967E-2</v>
      </c>
      <c r="M975" s="58"/>
      <c r="N975" s="9">
        <f>ROUND(M979*L975,0)</f>
        <v>65350</v>
      </c>
      <c r="O975" s="9">
        <v>37079</v>
      </c>
      <c r="P975" s="9">
        <f>N975-O975</f>
        <v>28271</v>
      </c>
      <c r="Q975" s="40">
        <f t="shared" si="149"/>
        <v>76.245314059170965</v>
      </c>
      <c r="R975" s="9">
        <v>3</v>
      </c>
      <c r="S975" s="9">
        <f t="shared" si="157"/>
        <v>5</v>
      </c>
      <c r="T975" s="90">
        <f t="shared" si="152"/>
        <v>194</v>
      </c>
      <c r="U975" s="90">
        <f t="shared" si="153"/>
        <v>194</v>
      </c>
      <c r="V975" s="373">
        <f t="shared" si="154"/>
        <v>966</v>
      </c>
      <c r="W975" s="90">
        <f t="shared" si="155"/>
        <v>5</v>
      </c>
      <c r="X975" s="90">
        <f t="shared" si="156"/>
        <v>84301.650000000009</v>
      </c>
      <c r="Y975" s="141">
        <f t="shared" si="158"/>
        <v>966</v>
      </c>
      <c r="Z975" s="298">
        <v>194</v>
      </c>
      <c r="AA975" s="299">
        <v>194</v>
      </c>
      <c r="AB975" s="299">
        <v>966</v>
      </c>
      <c r="AC975" s="301">
        <v>5</v>
      </c>
      <c r="AD975" s="301">
        <v>84301.650000000009</v>
      </c>
      <c r="AE975" s="126"/>
      <c r="AF975" s="298"/>
      <c r="AG975" s="299"/>
      <c r="AH975" s="299"/>
      <c r="AI975" s="301"/>
      <c r="AJ975" s="301"/>
      <c r="AK975" s="426"/>
      <c r="AL975" s="298"/>
      <c r="AM975" s="299"/>
      <c r="AN975" s="299"/>
      <c r="AO975" s="301"/>
      <c r="AP975" s="301"/>
      <c r="AQ975" s="426"/>
      <c r="AR975" s="298"/>
      <c r="AS975" s="299"/>
      <c r="AT975" s="299"/>
      <c r="AU975" s="301"/>
      <c r="AV975" s="301"/>
      <c r="AW975" s="88"/>
      <c r="AX975" s="298"/>
      <c r="AY975" s="299"/>
      <c r="AZ975" s="299"/>
      <c r="BA975" s="301"/>
      <c r="BB975" s="301"/>
      <c r="BC975" s="426"/>
      <c r="BD975" s="298"/>
      <c r="BE975" s="299"/>
      <c r="BF975" s="299"/>
      <c r="BG975" s="301"/>
      <c r="BH975" s="301"/>
      <c r="BI975" s="88"/>
      <c r="BJ975" s="298"/>
      <c r="BK975" s="299"/>
      <c r="BL975" s="299"/>
      <c r="BM975" s="301"/>
      <c r="BN975" s="301"/>
      <c r="BO975" s="88"/>
      <c r="BP975" s="9"/>
      <c r="BS975" s="81"/>
      <c r="BT975" s="81"/>
      <c r="BV975" s="9"/>
      <c r="BY975" s="81"/>
      <c r="BZ975" s="81"/>
      <c r="CB975" s="9"/>
      <c r="CE975" s="81"/>
      <c r="CF975" s="81"/>
      <c r="CH975" s="9"/>
      <c r="CK975" s="81"/>
      <c r="CL975" s="81"/>
      <c r="CR975" s="9"/>
      <c r="CS975" s="9"/>
      <c r="CT975" s="9"/>
      <c r="CU975" s="9"/>
      <c r="CV975" s="9"/>
      <c r="CW975" s="129"/>
      <c r="CX975" s="9"/>
    </row>
    <row r="976" spans="1:102">
      <c r="A976" s="6" t="str">
        <f t="shared" si="151"/>
        <v>01940672</v>
      </c>
      <c r="B976" s="6" t="s">
        <v>1844</v>
      </c>
      <c r="C976" s="6" t="s">
        <v>2025</v>
      </c>
      <c r="D976" s="6">
        <v>967</v>
      </c>
      <c r="E976" s="6">
        <v>194</v>
      </c>
      <c r="F976" s="6" t="s">
        <v>1312</v>
      </c>
      <c r="G976" s="6">
        <v>672</v>
      </c>
      <c r="H976" s="6" t="s">
        <v>1055</v>
      </c>
      <c r="I976" s="33">
        <v>1030157.77221094</v>
      </c>
      <c r="J976" s="88">
        <v>0.95417663680379472</v>
      </c>
      <c r="K976" s="89">
        <f t="shared" si="150"/>
        <v>1008903.8352610546</v>
      </c>
      <c r="L976" s="88">
        <f>IF(K979&gt;0, K976/K979, 0)</f>
        <v>0.92288581503058509</v>
      </c>
      <c r="M976" s="58"/>
      <c r="N976" s="9">
        <f>ROUND(M979*L976,0)</f>
        <v>782099</v>
      </c>
      <c r="O976" s="9">
        <v>772096</v>
      </c>
      <c r="P976" s="9">
        <f>N976-O976</f>
        <v>10003</v>
      </c>
      <c r="Q976" s="40">
        <f>IF(O976&gt;0,P976*100/O976,IF(P976&gt;0,100,0))</f>
        <v>1.2955642821618036</v>
      </c>
      <c r="R976" s="9">
        <v>69.97317072864</v>
      </c>
      <c r="S976" s="9">
        <f t="shared" si="157"/>
        <v>64.503105586499998</v>
      </c>
      <c r="T976" s="90">
        <f t="shared" si="152"/>
        <v>194</v>
      </c>
      <c r="U976" s="90">
        <f t="shared" si="153"/>
        <v>672</v>
      </c>
      <c r="V976" s="373">
        <f t="shared" si="154"/>
        <v>967</v>
      </c>
      <c r="W976" s="90">
        <f t="shared" si="155"/>
        <v>64.503105586499998</v>
      </c>
      <c r="X976" s="90">
        <f t="shared" si="156"/>
        <v>1008903.8352610546</v>
      </c>
      <c r="Y976" s="141">
        <f t="shared" si="158"/>
        <v>967</v>
      </c>
      <c r="Z976" s="298">
        <v>194</v>
      </c>
      <c r="AA976" s="299">
        <v>672</v>
      </c>
      <c r="AB976" s="299">
        <v>967</v>
      </c>
      <c r="AC976" s="301">
        <v>64.503105586499998</v>
      </c>
      <c r="AD976" s="301">
        <v>1008903.8352610546</v>
      </c>
      <c r="AE976" s="126"/>
      <c r="AF976" s="298"/>
      <c r="AG976" s="299"/>
      <c r="AH976" s="299"/>
      <c r="AI976" s="301"/>
      <c r="AJ976" s="301"/>
      <c r="AK976" s="426"/>
      <c r="AL976" s="298"/>
      <c r="AM976" s="299"/>
      <c r="AN976" s="299"/>
      <c r="AO976" s="301"/>
      <c r="AP976" s="301"/>
      <c r="AQ976" s="426"/>
      <c r="AR976" s="298"/>
      <c r="AS976" s="299"/>
      <c r="AT976" s="299"/>
      <c r="AU976" s="301"/>
      <c r="AV976" s="301"/>
      <c r="AW976" s="88"/>
      <c r="AX976" s="298"/>
      <c r="AY976" s="299"/>
      <c r="AZ976" s="299"/>
      <c r="BA976" s="301"/>
      <c r="BB976" s="301"/>
      <c r="BC976" s="426"/>
      <c r="BD976" s="298"/>
      <c r="BE976" s="299"/>
      <c r="BF976" s="299"/>
      <c r="BG976" s="301"/>
      <c r="BH976" s="301"/>
      <c r="BI976" s="88"/>
      <c r="BJ976" s="298"/>
      <c r="BK976" s="299"/>
      <c r="BL976" s="299"/>
      <c r="BM976" s="301"/>
      <c r="BN976" s="301"/>
      <c r="BO976" s="88"/>
      <c r="BP976" s="9"/>
      <c r="BS976" s="81"/>
      <c r="BT976" s="81"/>
      <c r="BV976" s="9"/>
      <c r="BY976" s="81"/>
      <c r="BZ976" s="81"/>
      <c r="CB976" s="9"/>
      <c r="CE976" s="81"/>
      <c r="CF976" s="81"/>
      <c r="CH976" s="9"/>
      <c r="CK976" s="81"/>
      <c r="CL976" s="81"/>
      <c r="CR976" s="9"/>
      <c r="CS976" s="9"/>
      <c r="CT976" s="9"/>
      <c r="CU976" s="9"/>
      <c r="CV976" s="9"/>
      <c r="CW976" s="129"/>
      <c r="CX976" s="9"/>
    </row>
    <row r="977" spans="1:102">
      <c r="A977" s="6" t="str">
        <f t="shared" si="151"/>
        <v>01940998</v>
      </c>
      <c r="B977" s="6" t="s">
        <v>1844</v>
      </c>
      <c r="C977" s="6" t="s">
        <v>2091</v>
      </c>
      <c r="D977" s="6">
        <v>968</v>
      </c>
      <c r="E977" s="6">
        <v>194</v>
      </c>
      <c r="F977" s="6" t="s">
        <v>1547</v>
      </c>
      <c r="G977" s="6">
        <v>998</v>
      </c>
      <c r="H977" s="6" t="s">
        <v>1547</v>
      </c>
      <c r="I977" s="33">
        <v>0</v>
      </c>
      <c r="J977" s="88">
        <v>0</v>
      </c>
      <c r="K977" s="89">
        <f t="shared" si="150"/>
        <v>0</v>
      </c>
      <c r="L977" s="88">
        <f>IF(K979&gt;0, K977/K979, 0)</f>
        <v>0</v>
      </c>
      <c r="M977" s="58"/>
      <c r="N977" s="9">
        <f>ROUND(M979*L977,0)</f>
        <v>0</v>
      </c>
      <c r="O977" s="9">
        <v>0</v>
      </c>
      <c r="P977" s="9">
        <f>N977-O977</f>
        <v>0</v>
      </c>
      <c r="Q977" s="40">
        <f>IF(O977&gt;0,P977*100/O977,IF(P977&gt;0,100,0))</f>
        <v>0</v>
      </c>
      <c r="R977" s="9">
        <v>0</v>
      </c>
      <c r="S977" s="9">
        <f t="shared" si="157"/>
        <v>0</v>
      </c>
      <c r="T977" s="90">
        <f t="shared" si="152"/>
        <v>194</v>
      </c>
      <c r="U977" s="90">
        <f t="shared" si="153"/>
        <v>998</v>
      </c>
      <c r="V977" s="373">
        <f t="shared" si="154"/>
        <v>968</v>
      </c>
      <c r="W977" s="90">
        <f t="shared" si="155"/>
        <v>0</v>
      </c>
      <c r="X977" s="90">
        <f t="shared" si="156"/>
        <v>0</v>
      </c>
      <c r="Y977" s="141">
        <f t="shared" si="158"/>
        <v>968</v>
      </c>
      <c r="Z977" s="298">
        <v>194</v>
      </c>
      <c r="AA977" s="299">
        <v>998</v>
      </c>
      <c r="AB977" s="299">
        <v>968</v>
      </c>
      <c r="AC977" s="301">
        <v>0</v>
      </c>
      <c r="AD977" s="301">
        <v>0</v>
      </c>
      <c r="AE977" s="126"/>
      <c r="AF977" s="298"/>
      <c r="AG977" s="299"/>
      <c r="AH977" s="299"/>
      <c r="AI977" s="301"/>
      <c r="AJ977" s="301"/>
      <c r="AK977" s="426"/>
      <c r="AL977" s="298"/>
      <c r="AM977" s="299"/>
      <c r="AN977" s="299"/>
      <c r="AO977" s="301"/>
      <c r="AP977" s="301"/>
      <c r="AQ977" s="426"/>
      <c r="AR977" s="298"/>
      <c r="AS977" s="299"/>
      <c r="AT977" s="299"/>
      <c r="AU977" s="301"/>
      <c r="AV977" s="301"/>
      <c r="AW977" s="88"/>
      <c r="AX977" s="298"/>
      <c r="AY977" s="299"/>
      <c r="AZ977" s="299"/>
      <c r="BA977" s="301"/>
      <c r="BB977" s="301"/>
      <c r="BC977" s="426"/>
      <c r="BD977" s="298"/>
      <c r="BE977" s="299"/>
      <c r="BF977" s="299"/>
      <c r="BG977" s="301"/>
      <c r="BH977" s="301"/>
      <c r="BI977" s="88"/>
      <c r="BJ977" s="298"/>
      <c r="BK977" s="299"/>
      <c r="BL977" s="299"/>
      <c r="BM977" s="301"/>
      <c r="BN977" s="301"/>
      <c r="BO977" s="88"/>
      <c r="BP977" s="9"/>
      <c r="BS977" s="81"/>
      <c r="BT977" s="81"/>
      <c r="BV977" s="9"/>
      <c r="BY977" s="81"/>
      <c r="BZ977" s="81"/>
      <c r="CB977" s="9"/>
      <c r="CE977" s="81"/>
      <c r="CF977" s="81"/>
      <c r="CH977" s="9"/>
      <c r="CK977" s="81"/>
      <c r="CL977" s="81"/>
      <c r="CR977" s="9"/>
      <c r="CS977" s="9"/>
      <c r="CT977" s="9"/>
      <c r="CU977" s="9"/>
      <c r="CV977" s="9"/>
      <c r="CW977" s="129"/>
      <c r="CX977" s="9"/>
    </row>
    <row r="978" spans="1:102">
      <c r="A978" s="6" t="str">
        <f t="shared" si="151"/>
        <v>01940998</v>
      </c>
      <c r="B978" s="6" t="s">
        <v>1844</v>
      </c>
      <c r="C978" s="6" t="s">
        <v>2091</v>
      </c>
      <c r="D978" s="6">
        <v>969</v>
      </c>
      <c r="E978" s="6">
        <v>194</v>
      </c>
      <c r="F978" s="6" t="s">
        <v>1547</v>
      </c>
      <c r="G978" s="6">
        <v>998</v>
      </c>
      <c r="H978" s="6" t="s">
        <v>1547</v>
      </c>
      <c r="I978" s="33">
        <v>0</v>
      </c>
      <c r="J978" s="88">
        <v>0</v>
      </c>
      <c r="K978" s="89">
        <f t="shared" si="150"/>
        <v>0</v>
      </c>
      <c r="L978" s="88">
        <f>IF(K979&gt;0, K978/K979, 0)</f>
        <v>0</v>
      </c>
      <c r="M978" s="58"/>
      <c r="N978" s="9">
        <f>ROUND(M979*L978,0)</f>
        <v>0</v>
      </c>
      <c r="O978" s="9">
        <v>0</v>
      </c>
      <c r="P978" s="9">
        <f>N978-O978</f>
        <v>0</v>
      </c>
      <c r="Q978" s="40">
        <f>IF(O978&gt;0,P978*100/O978,IF(P978&gt;0,100,0))</f>
        <v>0</v>
      </c>
      <c r="R978" s="9">
        <v>0</v>
      </c>
      <c r="S978" s="9">
        <f t="shared" si="157"/>
        <v>0</v>
      </c>
      <c r="T978" s="90">
        <f t="shared" si="152"/>
        <v>194</v>
      </c>
      <c r="U978" s="90">
        <f t="shared" si="153"/>
        <v>998</v>
      </c>
      <c r="V978" s="373">
        <f t="shared" si="154"/>
        <v>969</v>
      </c>
      <c r="W978" s="90">
        <f t="shared" si="155"/>
        <v>0</v>
      </c>
      <c r="X978" s="90">
        <f t="shared" si="156"/>
        <v>0</v>
      </c>
      <c r="Y978" s="141">
        <f t="shared" si="158"/>
        <v>969</v>
      </c>
      <c r="Z978" s="298">
        <v>194</v>
      </c>
      <c r="AA978" s="299">
        <v>998</v>
      </c>
      <c r="AB978" s="299">
        <v>969</v>
      </c>
      <c r="AC978" s="301">
        <v>0</v>
      </c>
      <c r="AD978" s="301">
        <v>0</v>
      </c>
      <c r="AE978" s="126"/>
      <c r="AF978" s="298"/>
      <c r="AG978" s="299"/>
      <c r="AH978" s="299"/>
      <c r="AI978" s="301"/>
      <c r="AJ978" s="301"/>
      <c r="AK978" s="426"/>
      <c r="AL978" s="298"/>
      <c r="AM978" s="299"/>
      <c r="AN978" s="299"/>
      <c r="AO978" s="301"/>
      <c r="AP978" s="301"/>
      <c r="AQ978" s="426"/>
      <c r="AR978" s="298"/>
      <c r="AS978" s="299"/>
      <c r="AT978" s="299"/>
      <c r="AU978" s="301"/>
      <c r="AV978" s="301"/>
      <c r="AW978" s="88"/>
      <c r="AX978" s="298"/>
      <c r="AY978" s="299"/>
      <c r="AZ978" s="299"/>
      <c r="BA978" s="301"/>
      <c r="BB978" s="301"/>
      <c r="BC978" s="426"/>
      <c r="BD978" s="298"/>
      <c r="BE978" s="299"/>
      <c r="BF978" s="299"/>
      <c r="BG978" s="301"/>
      <c r="BH978" s="301"/>
      <c r="BI978" s="88"/>
      <c r="BJ978" s="298"/>
      <c r="BK978" s="299"/>
      <c r="BL978" s="299"/>
      <c r="BM978" s="301"/>
      <c r="BN978" s="301"/>
      <c r="BO978" s="88"/>
      <c r="BP978" s="9"/>
      <c r="BS978" s="81"/>
      <c r="BT978" s="81"/>
      <c r="BV978" s="9"/>
      <c r="BY978" s="81"/>
      <c r="BZ978" s="81"/>
      <c r="CB978" s="9"/>
      <c r="CE978" s="81"/>
      <c r="CF978" s="81"/>
      <c r="CH978" s="9"/>
      <c r="CK978" s="81"/>
      <c r="CL978" s="81"/>
      <c r="CR978" s="9"/>
      <c r="CS978" s="9"/>
      <c r="CT978" s="9"/>
      <c r="CU978" s="9"/>
      <c r="CV978" s="9"/>
      <c r="CW978" s="129"/>
      <c r="CX978" s="9"/>
    </row>
    <row r="979" spans="1:102">
      <c r="A979" s="6" t="str">
        <f t="shared" si="151"/>
        <v>01940999</v>
      </c>
      <c r="B979" s="6" t="s">
        <v>1844</v>
      </c>
      <c r="C979" s="6" t="s">
        <v>2092</v>
      </c>
      <c r="D979" s="6">
        <v>970</v>
      </c>
      <c r="E979" s="10">
        <v>194</v>
      </c>
      <c r="F979" s="10" t="s">
        <v>1312</v>
      </c>
      <c r="G979" s="10">
        <v>999</v>
      </c>
      <c r="H979" s="10" t="s">
        <v>593</v>
      </c>
      <c r="I979" s="92">
        <v>1079630.05221094</v>
      </c>
      <c r="J979" s="472">
        <v>1</v>
      </c>
      <c r="K979" s="53">
        <f>SUM(K975:K978)</f>
        <v>1093205.4852610545</v>
      </c>
      <c r="L979" s="91">
        <f>SUM(L975:L978)</f>
        <v>1</v>
      </c>
      <c r="M979" s="79">
        <f>VLOOKUP(E979,town351,24)</f>
        <v>847449</v>
      </c>
      <c r="N979" s="79">
        <f>SUM(N975:N978)</f>
        <v>847449</v>
      </c>
      <c r="O979" s="79">
        <v>809175</v>
      </c>
      <c r="P979" s="79">
        <f>SUM(P975:P978)</f>
        <v>38274</v>
      </c>
      <c r="Q979" s="39">
        <f t="shared" ref="Q979:Q1039" si="159">IF(O979&gt;0,P979*100/O979,IF(P979&gt;0,100,0))</f>
        <v>4.7300027806098806</v>
      </c>
      <c r="R979" s="9">
        <v>72.97317072864</v>
      </c>
      <c r="S979" s="9">
        <f t="shared" si="157"/>
        <v>69.503105586499998</v>
      </c>
      <c r="T979" s="90">
        <f t="shared" si="152"/>
        <v>194</v>
      </c>
      <c r="U979" s="90">
        <f t="shared" si="153"/>
        <v>999</v>
      </c>
      <c r="V979" s="373">
        <f t="shared" si="154"/>
        <v>970</v>
      </c>
      <c r="W979" s="90">
        <f t="shared" si="155"/>
        <v>69.503105586499998</v>
      </c>
      <c r="X979" s="90">
        <f t="shared" si="156"/>
        <v>1093205.4852610545</v>
      </c>
      <c r="Y979" s="141">
        <f t="shared" si="158"/>
        <v>970</v>
      </c>
      <c r="Z979" s="298">
        <v>194</v>
      </c>
      <c r="AA979" s="299">
        <v>999</v>
      </c>
      <c r="AB979" s="299">
        <v>970</v>
      </c>
      <c r="AC979" s="301">
        <v>69.503105586499998</v>
      </c>
      <c r="AD979" s="301">
        <v>1093205.4852610545</v>
      </c>
      <c r="AE979" s="126"/>
      <c r="AF979" s="298"/>
      <c r="AG979" s="299"/>
      <c r="AH979" s="299"/>
      <c r="AI979" s="301"/>
      <c r="AJ979" s="301"/>
      <c r="AK979" s="426"/>
      <c r="AL979" s="298"/>
      <c r="AM979" s="299"/>
      <c r="AN979" s="299"/>
      <c r="AO979" s="301"/>
      <c r="AP979" s="301"/>
      <c r="AQ979" s="426"/>
      <c r="AR979" s="298"/>
      <c r="AS979" s="299"/>
      <c r="AT979" s="299"/>
      <c r="AU979" s="301"/>
      <c r="AV979" s="301"/>
      <c r="AW979" s="91"/>
      <c r="AX979" s="298"/>
      <c r="AY979" s="299"/>
      <c r="AZ979" s="299"/>
      <c r="BA979" s="301"/>
      <c r="BB979" s="301"/>
      <c r="BC979" s="426"/>
      <c r="BD979" s="298"/>
      <c r="BE979" s="299"/>
      <c r="BF979" s="299"/>
      <c r="BG979" s="301"/>
      <c r="BH979" s="301"/>
      <c r="BI979" s="91"/>
      <c r="BJ979" s="298"/>
      <c r="BK979" s="299"/>
      <c r="BL979" s="299"/>
      <c r="BM979" s="301"/>
      <c r="BN979" s="301"/>
      <c r="BO979" s="91"/>
      <c r="BP979" s="9"/>
      <c r="BS979" s="81"/>
      <c r="BT979" s="81"/>
      <c r="BV979" s="9"/>
      <c r="BY979" s="81"/>
      <c r="BZ979" s="81"/>
      <c r="CB979" s="9"/>
      <c r="CE979" s="81"/>
      <c r="CF979" s="81"/>
      <c r="CH979" s="9"/>
      <c r="CK979" s="81"/>
      <c r="CL979" s="81"/>
      <c r="CR979" s="9"/>
      <c r="CS979" s="9"/>
      <c r="CT979" s="9"/>
      <c r="CU979" s="9"/>
      <c r="CV979" s="9"/>
      <c r="CW979" s="129"/>
      <c r="CX979" s="9"/>
    </row>
    <row r="980" spans="1:102">
      <c r="A980" s="6" t="str">
        <f t="shared" si="151"/>
        <v>01950195</v>
      </c>
      <c r="B980" s="6" t="s">
        <v>1845</v>
      </c>
      <c r="C980" s="6" t="s">
        <v>1845</v>
      </c>
      <c r="D980" s="6">
        <v>971</v>
      </c>
      <c r="E980" s="6">
        <v>195</v>
      </c>
      <c r="F980" s="6" t="s">
        <v>1313</v>
      </c>
      <c r="G980" s="6">
        <v>195</v>
      </c>
      <c r="H980" s="6" t="s">
        <v>876</v>
      </c>
      <c r="I980" s="33">
        <v>78957.830000000016</v>
      </c>
      <c r="J980" s="88">
        <v>1</v>
      </c>
      <c r="K980" s="89">
        <f>X980</f>
        <v>71641.610000000015</v>
      </c>
      <c r="L980" s="88">
        <f>IF(K984&gt;0, K980/K984, 0)</f>
        <v>1</v>
      </c>
      <c r="M980" s="58"/>
      <c r="N980" s="9">
        <f>ROUND(M984*L980,0)</f>
        <v>59104</v>
      </c>
      <c r="O980" s="9">
        <v>65140</v>
      </c>
      <c r="P980" s="9">
        <f>N980-O980</f>
        <v>-6036</v>
      </c>
      <c r="Q980" s="40">
        <f t="shared" si="159"/>
        <v>-9.2661958857844642</v>
      </c>
      <c r="R980" s="9">
        <v>8</v>
      </c>
      <c r="S980" s="9">
        <f t="shared" si="157"/>
        <v>7</v>
      </c>
      <c r="T980" s="90">
        <f t="shared" si="152"/>
        <v>195</v>
      </c>
      <c r="U980" s="90">
        <f t="shared" si="153"/>
        <v>195</v>
      </c>
      <c r="V980" s="373">
        <f t="shared" si="154"/>
        <v>971</v>
      </c>
      <c r="W980" s="90">
        <f t="shared" si="155"/>
        <v>7</v>
      </c>
      <c r="X980" s="90">
        <f t="shared" si="156"/>
        <v>71641.610000000015</v>
      </c>
      <c r="Y980" s="141">
        <f t="shared" si="158"/>
        <v>971</v>
      </c>
      <c r="Z980" s="298">
        <v>195</v>
      </c>
      <c r="AA980" s="299">
        <v>195</v>
      </c>
      <c r="AB980" s="299">
        <v>971</v>
      </c>
      <c r="AC980" s="301">
        <v>7</v>
      </c>
      <c r="AD980" s="301">
        <v>71641.610000000015</v>
      </c>
      <c r="AE980" s="126"/>
      <c r="AF980" s="298"/>
      <c r="AG980" s="299"/>
      <c r="AH980" s="299"/>
      <c r="AI980" s="301"/>
      <c r="AJ980" s="301"/>
      <c r="AK980" s="426"/>
      <c r="AL980" s="298"/>
      <c r="AM980" s="299"/>
      <c r="AN980" s="299"/>
      <c r="AO980" s="301"/>
      <c r="AP980" s="301"/>
      <c r="AQ980" s="426"/>
      <c r="AR980" s="298"/>
      <c r="AS980" s="299"/>
      <c r="AT980" s="299"/>
      <c r="AU980" s="301"/>
      <c r="AV980" s="301"/>
      <c r="AW980" s="88"/>
      <c r="AX980" s="298"/>
      <c r="AY980" s="299"/>
      <c r="AZ980" s="299"/>
      <c r="BA980" s="301"/>
      <c r="BB980" s="301"/>
      <c r="BC980" s="426"/>
      <c r="BD980" s="298"/>
      <c r="BE980" s="299"/>
      <c r="BF980" s="299"/>
      <c r="BG980" s="301"/>
      <c r="BH980" s="301"/>
      <c r="BI980" s="88"/>
      <c r="BJ980" s="298"/>
      <c r="BK980" s="299"/>
      <c r="BL980" s="299"/>
      <c r="BM980" s="301"/>
      <c r="BN980" s="301"/>
      <c r="BO980" s="88"/>
      <c r="BP980" s="9"/>
      <c r="BS980" s="81"/>
      <c r="BT980" s="81"/>
      <c r="BV980" s="9"/>
      <c r="BY980" s="81"/>
      <c r="BZ980" s="81"/>
      <c r="CB980" s="9"/>
      <c r="CE980" s="81"/>
      <c r="CF980" s="81"/>
      <c r="CH980" s="9"/>
      <c r="CK980" s="81"/>
      <c r="CL980" s="81"/>
      <c r="CR980" s="9"/>
      <c r="CS980" s="9"/>
      <c r="CT980" s="9"/>
      <c r="CU980" s="9"/>
      <c r="CV980" s="9"/>
      <c r="CW980" s="129"/>
      <c r="CX980" s="9"/>
    </row>
    <row r="981" spans="1:102">
      <c r="A981" s="6" t="str">
        <f t="shared" si="151"/>
        <v>01950998</v>
      </c>
      <c r="B981" s="6" t="s">
        <v>1845</v>
      </c>
      <c r="C981" s="6" t="s">
        <v>2091</v>
      </c>
      <c r="D981" s="6">
        <v>972</v>
      </c>
      <c r="E981" s="6">
        <v>195</v>
      </c>
      <c r="F981" s="6" t="s">
        <v>1547</v>
      </c>
      <c r="G981" s="6">
        <v>998</v>
      </c>
      <c r="H981" s="6" t="s">
        <v>1547</v>
      </c>
      <c r="I981" s="33">
        <v>0</v>
      </c>
      <c r="J981" s="88">
        <v>0</v>
      </c>
      <c r="K981" s="89">
        <f t="shared" si="150"/>
        <v>0</v>
      </c>
      <c r="L981" s="88">
        <f>IF(K984&gt;0, K981/K984, 0)</f>
        <v>0</v>
      </c>
      <c r="M981" s="58"/>
      <c r="N981" s="9">
        <f>ROUND(M984*L981,0)</f>
        <v>0</v>
      </c>
      <c r="O981" s="9">
        <v>0</v>
      </c>
      <c r="P981" s="9">
        <f>N981-O981</f>
        <v>0</v>
      </c>
      <c r="Q981" s="40">
        <f t="shared" si="159"/>
        <v>0</v>
      </c>
      <c r="R981" s="9">
        <v>0</v>
      </c>
      <c r="S981" s="9">
        <f t="shared" si="157"/>
        <v>0</v>
      </c>
      <c r="T981" s="90">
        <f t="shared" si="152"/>
        <v>195</v>
      </c>
      <c r="U981" s="90">
        <f t="shared" si="153"/>
        <v>998</v>
      </c>
      <c r="V981" s="373">
        <f t="shared" si="154"/>
        <v>972</v>
      </c>
      <c r="W981" s="90">
        <f t="shared" si="155"/>
        <v>0</v>
      </c>
      <c r="X981" s="90">
        <f t="shared" si="156"/>
        <v>0</v>
      </c>
      <c r="Y981" s="141">
        <f t="shared" si="158"/>
        <v>972</v>
      </c>
      <c r="Z981" s="298">
        <v>195</v>
      </c>
      <c r="AA981" s="299">
        <v>998</v>
      </c>
      <c r="AB981" s="299">
        <v>972</v>
      </c>
      <c r="AC981" s="301">
        <v>0</v>
      </c>
      <c r="AD981" s="301">
        <v>0</v>
      </c>
      <c r="AE981" s="126"/>
      <c r="AF981" s="298"/>
      <c r="AG981" s="299"/>
      <c r="AH981" s="299"/>
      <c r="AI981" s="301"/>
      <c r="AJ981" s="301"/>
      <c r="AK981" s="426"/>
      <c r="AL981" s="298"/>
      <c r="AM981" s="299"/>
      <c r="AN981" s="299"/>
      <c r="AO981" s="301"/>
      <c r="AP981" s="301"/>
      <c r="AQ981" s="426"/>
      <c r="AR981" s="298"/>
      <c r="AS981" s="299"/>
      <c r="AT981" s="299"/>
      <c r="AU981" s="301"/>
      <c r="AV981" s="301"/>
      <c r="AW981" s="88"/>
      <c r="AX981" s="298"/>
      <c r="AY981" s="299"/>
      <c r="AZ981" s="299"/>
      <c r="BA981" s="301"/>
      <c r="BB981" s="301"/>
      <c r="BC981" s="426"/>
      <c r="BD981" s="298"/>
      <c r="BE981" s="299"/>
      <c r="BF981" s="299"/>
      <c r="BG981" s="301"/>
      <c r="BH981" s="301"/>
      <c r="BI981" s="88"/>
      <c r="BJ981" s="298"/>
      <c r="BK981" s="299"/>
      <c r="BL981" s="299"/>
      <c r="BM981" s="301"/>
      <c r="BN981" s="301"/>
      <c r="BO981" s="88"/>
      <c r="BP981" s="9"/>
      <c r="BS981" s="81"/>
      <c r="BT981" s="81"/>
      <c r="BV981" s="9"/>
      <c r="BY981" s="81"/>
      <c r="BZ981" s="81"/>
      <c r="CB981" s="9"/>
      <c r="CE981" s="81"/>
      <c r="CF981" s="81"/>
      <c r="CH981" s="9"/>
      <c r="CK981" s="81"/>
      <c r="CL981" s="81"/>
      <c r="CR981" s="9"/>
      <c r="CS981" s="9"/>
      <c r="CT981" s="9"/>
      <c r="CU981" s="9"/>
      <c r="CV981" s="9"/>
      <c r="CW981" s="129"/>
      <c r="CX981" s="9"/>
    </row>
    <row r="982" spans="1:102">
      <c r="A982" s="6" t="str">
        <f t="shared" si="151"/>
        <v>01950998</v>
      </c>
      <c r="B982" s="6" t="s">
        <v>1845</v>
      </c>
      <c r="C982" s="6" t="s">
        <v>2091</v>
      </c>
      <c r="D982" s="6">
        <v>973</v>
      </c>
      <c r="E982" s="6">
        <v>195</v>
      </c>
      <c r="F982" s="6" t="s">
        <v>1547</v>
      </c>
      <c r="G982" s="6">
        <v>998</v>
      </c>
      <c r="H982" s="6" t="s">
        <v>1547</v>
      </c>
      <c r="I982" s="33">
        <v>0</v>
      </c>
      <c r="J982" s="88">
        <v>0</v>
      </c>
      <c r="K982" s="89">
        <f t="shared" si="150"/>
        <v>0</v>
      </c>
      <c r="L982" s="88">
        <f>IF(K984&gt;0, K982/K984, 0)</f>
        <v>0</v>
      </c>
      <c r="M982" s="58"/>
      <c r="N982" s="9">
        <f>ROUND(M984*L982,0)</f>
        <v>0</v>
      </c>
      <c r="O982" s="9">
        <v>0</v>
      </c>
      <c r="P982" s="9">
        <f>N982-O982</f>
        <v>0</v>
      </c>
      <c r="Q982" s="40">
        <f t="shared" si="159"/>
        <v>0</v>
      </c>
      <c r="R982" s="9">
        <v>0</v>
      </c>
      <c r="S982" s="9">
        <f t="shared" si="157"/>
        <v>0</v>
      </c>
      <c r="T982" s="90">
        <f t="shared" si="152"/>
        <v>195</v>
      </c>
      <c r="U982" s="90">
        <f t="shared" si="153"/>
        <v>998</v>
      </c>
      <c r="V982" s="373">
        <f t="shared" si="154"/>
        <v>973</v>
      </c>
      <c r="W982" s="90">
        <f t="shared" si="155"/>
        <v>0</v>
      </c>
      <c r="X982" s="90">
        <f t="shared" si="156"/>
        <v>0</v>
      </c>
      <c r="Y982" s="141">
        <f t="shared" si="158"/>
        <v>973</v>
      </c>
      <c r="Z982" s="298">
        <v>195</v>
      </c>
      <c r="AA982" s="299">
        <v>998</v>
      </c>
      <c r="AB982" s="299">
        <v>973</v>
      </c>
      <c r="AC982" s="301">
        <v>0</v>
      </c>
      <c r="AD982" s="301">
        <v>0</v>
      </c>
      <c r="AE982" s="126"/>
      <c r="AF982" s="298"/>
      <c r="AG982" s="299"/>
      <c r="AH982" s="299"/>
      <c r="AI982" s="301"/>
      <c r="AJ982" s="301"/>
      <c r="AK982" s="426"/>
      <c r="AL982" s="298"/>
      <c r="AM982" s="299"/>
      <c r="AN982" s="299"/>
      <c r="AO982" s="301"/>
      <c r="AP982" s="301"/>
      <c r="AQ982" s="426"/>
      <c r="AR982" s="298"/>
      <c r="AS982" s="299"/>
      <c r="AT982" s="299"/>
      <c r="AU982" s="301"/>
      <c r="AV982" s="301"/>
      <c r="AW982" s="88"/>
      <c r="AX982" s="298"/>
      <c r="AY982" s="299"/>
      <c r="AZ982" s="299"/>
      <c r="BA982" s="301"/>
      <c r="BB982" s="301"/>
      <c r="BC982" s="426"/>
      <c r="BD982" s="298"/>
      <c r="BE982" s="299"/>
      <c r="BF982" s="299"/>
      <c r="BG982" s="301"/>
      <c r="BH982" s="301"/>
      <c r="BI982" s="88"/>
      <c r="BJ982" s="298"/>
      <c r="BK982" s="299"/>
      <c r="BL982" s="299"/>
      <c r="BM982" s="301"/>
      <c r="BN982" s="301"/>
      <c r="BO982" s="88"/>
      <c r="BP982" s="9"/>
      <c r="BS982" s="81"/>
      <c r="BT982" s="81"/>
      <c r="BV982" s="9"/>
      <c r="BY982" s="81"/>
      <c r="BZ982" s="81"/>
      <c r="CB982" s="9"/>
      <c r="CE982" s="81"/>
      <c r="CF982" s="81"/>
      <c r="CH982" s="9"/>
      <c r="CK982" s="81"/>
      <c r="CL982" s="81"/>
      <c r="CR982" s="9"/>
      <c r="CS982" s="9"/>
      <c r="CT982" s="9"/>
      <c r="CU982" s="9"/>
      <c r="CV982" s="9"/>
      <c r="CW982" s="129"/>
      <c r="CX982" s="9"/>
    </row>
    <row r="983" spans="1:102">
      <c r="A983" s="6" t="str">
        <f t="shared" si="151"/>
        <v>01950998</v>
      </c>
      <c r="B983" s="6" t="s">
        <v>1845</v>
      </c>
      <c r="C983" s="6" t="s">
        <v>2091</v>
      </c>
      <c r="D983" s="6">
        <v>974</v>
      </c>
      <c r="E983" s="6">
        <v>195</v>
      </c>
      <c r="F983" s="6" t="s">
        <v>1547</v>
      </c>
      <c r="G983" s="6">
        <v>998</v>
      </c>
      <c r="H983" s="6" t="s">
        <v>1547</v>
      </c>
      <c r="I983" s="33">
        <v>0</v>
      </c>
      <c r="J983" s="88">
        <v>0</v>
      </c>
      <c r="K983" s="89">
        <f t="shared" si="150"/>
        <v>0</v>
      </c>
      <c r="L983" s="88">
        <f>IF(K984&gt;0, K983/K984, 0)</f>
        <v>0</v>
      </c>
      <c r="M983" s="58"/>
      <c r="N983" s="9">
        <f>ROUND(M984*L983,0)</f>
        <v>0</v>
      </c>
      <c r="O983" s="9">
        <v>0</v>
      </c>
      <c r="P983" s="9">
        <f>N983-O983</f>
        <v>0</v>
      </c>
      <c r="Q983" s="40">
        <f t="shared" si="159"/>
        <v>0</v>
      </c>
      <c r="R983" s="9">
        <v>0</v>
      </c>
      <c r="S983" s="9">
        <f t="shared" si="157"/>
        <v>0</v>
      </c>
      <c r="T983" s="90">
        <f t="shared" si="152"/>
        <v>195</v>
      </c>
      <c r="U983" s="90">
        <f t="shared" si="153"/>
        <v>998</v>
      </c>
      <c r="V983" s="373">
        <f t="shared" si="154"/>
        <v>974</v>
      </c>
      <c r="W983" s="90">
        <f t="shared" si="155"/>
        <v>0</v>
      </c>
      <c r="X983" s="90">
        <f t="shared" si="156"/>
        <v>0</v>
      </c>
      <c r="Y983" s="141">
        <f t="shared" si="158"/>
        <v>974</v>
      </c>
      <c r="Z983" s="298">
        <v>195</v>
      </c>
      <c r="AA983" s="299">
        <v>998</v>
      </c>
      <c r="AB983" s="299">
        <v>974</v>
      </c>
      <c r="AC983" s="301">
        <v>0</v>
      </c>
      <c r="AD983" s="301">
        <v>0</v>
      </c>
      <c r="AE983" s="126"/>
      <c r="AF983" s="298"/>
      <c r="AG983" s="299"/>
      <c r="AH983" s="299"/>
      <c r="AI983" s="301"/>
      <c r="AJ983" s="301"/>
      <c r="AK983" s="426"/>
      <c r="AL983" s="298"/>
      <c r="AM983" s="299"/>
      <c r="AN983" s="299"/>
      <c r="AO983" s="301"/>
      <c r="AP983" s="301"/>
      <c r="AQ983" s="426"/>
      <c r="AR983" s="298"/>
      <c r="AS983" s="299"/>
      <c r="AT983" s="299"/>
      <c r="AU983" s="301"/>
      <c r="AV983" s="301"/>
      <c r="AW983" s="88"/>
      <c r="AX983" s="298"/>
      <c r="AY983" s="299"/>
      <c r="AZ983" s="299"/>
      <c r="BA983" s="301"/>
      <c r="BB983" s="301"/>
      <c r="BC983" s="426"/>
      <c r="BD983" s="298"/>
      <c r="BE983" s="299"/>
      <c r="BF983" s="299"/>
      <c r="BG983" s="301"/>
      <c r="BH983" s="301"/>
      <c r="BI983" s="88"/>
      <c r="BJ983" s="298"/>
      <c r="BK983" s="299"/>
      <c r="BL983" s="299"/>
      <c r="BM983" s="301"/>
      <c r="BN983" s="301"/>
      <c r="BO983" s="88"/>
      <c r="BP983" s="9"/>
      <c r="BS983" s="81"/>
      <c r="BT983" s="81"/>
      <c r="BV983" s="9"/>
      <c r="BY983" s="81"/>
      <c r="BZ983" s="81"/>
      <c r="CB983" s="9"/>
      <c r="CE983" s="81"/>
      <c r="CF983" s="81"/>
      <c r="CH983" s="9"/>
      <c r="CK983" s="81"/>
      <c r="CL983" s="81"/>
      <c r="CR983" s="9"/>
      <c r="CS983" s="9"/>
      <c r="CT983" s="9"/>
      <c r="CU983" s="9"/>
      <c r="CV983" s="9"/>
      <c r="CW983" s="129"/>
      <c r="CX983" s="9"/>
    </row>
    <row r="984" spans="1:102">
      <c r="A984" s="6" t="str">
        <f t="shared" si="151"/>
        <v>01950999</v>
      </c>
      <c r="B984" s="6" t="s">
        <v>1845</v>
      </c>
      <c r="C984" s="6" t="s">
        <v>2092</v>
      </c>
      <c r="D984" s="6">
        <v>975</v>
      </c>
      <c r="E984" s="10">
        <v>195</v>
      </c>
      <c r="F984" s="10" t="s">
        <v>1313</v>
      </c>
      <c r="G984" s="10">
        <v>999</v>
      </c>
      <c r="H984" s="10" t="s">
        <v>593</v>
      </c>
      <c r="I984" s="92">
        <v>78957.830000000016</v>
      </c>
      <c r="J984" s="472">
        <v>1</v>
      </c>
      <c r="K984" s="53">
        <f>SUM(K980:K983)</f>
        <v>71641.610000000015</v>
      </c>
      <c r="L984" s="91">
        <f>SUM(L980:L983)</f>
        <v>1</v>
      </c>
      <c r="M984" s="79">
        <f>VLOOKUP(E984,town351,24)</f>
        <v>59104</v>
      </c>
      <c r="N984" s="79">
        <f>SUM(N980:N983)</f>
        <v>59104</v>
      </c>
      <c r="O984" s="79">
        <v>65140</v>
      </c>
      <c r="P984" s="79">
        <f>SUM(P980:P983)</f>
        <v>-6036</v>
      </c>
      <c r="Q984" s="39">
        <f t="shared" si="159"/>
        <v>-9.2661958857844642</v>
      </c>
      <c r="R984" s="9">
        <v>8</v>
      </c>
      <c r="S984" s="9">
        <f t="shared" si="157"/>
        <v>7</v>
      </c>
      <c r="T984" s="90">
        <f t="shared" si="152"/>
        <v>195</v>
      </c>
      <c r="U984" s="90">
        <f t="shared" si="153"/>
        <v>999</v>
      </c>
      <c r="V984" s="373">
        <f t="shared" si="154"/>
        <v>975</v>
      </c>
      <c r="W984" s="90">
        <f t="shared" si="155"/>
        <v>7</v>
      </c>
      <c r="X984" s="90">
        <f t="shared" si="156"/>
        <v>71641.610000000015</v>
      </c>
      <c r="Y984" s="141">
        <f t="shared" si="158"/>
        <v>975</v>
      </c>
      <c r="Z984" s="298">
        <v>195</v>
      </c>
      <c r="AA984" s="299">
        <v>999</v>
      </c>
      <c r="AB984" s="299">
        <v>975</v>
      </c>
      <c r="AC984" s="301">
        <v>7</v>
      </c>
      <c r="AD984" s="301">
        <v>71641.610000000015</v>
      </c>
      <c r="AE984" s="126"/>
      <c r="AF984" s="298"/>
      <c r="AG984" s="299"/>
      <c r="AH984" s="299"/>
      <c r="AI984" s="301"/>
      <c r="AJ984" s="301"/>
      <c r="AK984" s="426"/>
      <c r="AL984" s="298"/>
      <c r="AM984" s="299"/>
      <c r="AN984" s="299"/>
      <c r="AO984" s="301"/>
      <c r="AP984" s="301"/>
      <c r="AQ984" s="426"/>
      <c r="AR984" s="298"/>
      <c r="AS984" s="299"/>
      <c r="AT984" s="299"/>
      <c r="AU984" s="301"/>
      <c r="AV984" s="301"/>
      <c r="AW984" s="91"/>
      <c r="AX984" s="298"/>
      <c r="AY984" s="299"/>
      <c r="AZ984" s="299"/>
      <c r="BA984" s="301"/>
      <c r="BB984" s="301"/>
      <c r="BC984" s="426"/>
      <c r="BD984" s="298"/>
      <c r="BE984" s="299"/>
      <c r="BF984" s="299"/>
      <c r="BG984" s="301"/>
      <c r="BH984" s="301"/>
      <c r="BI984" s="91"/>
      <c r="BJ984" s="298"/>
      <c r="BK984" s="299"/>
      <c r="BL984" s="299"/>
      <c r="BM984" s="301"/>
      <c r="BN984" s="301"/>
      <c r="BO984" s="91"/>
      <c r="BP984" s="9"/>
      <c r="BS984" s="81"/>
      <c r="BT984" s="81"/>
      <c r="BV984" s="9"/>
      <c r="BY984" s="81"/>
      <c r="BZ984" s="81"/>
      <c r="CB984" s="9"/>
      <c r="CE984" s="81"/>
      <c r="CF984" s="81"/>
      <c r="CH984" s="9"/>
      <c r="CK984" s="81"/>
      <c r="CL984" s="81"/>
      <c r="CR984" s="9"/>
      <c r="CS984" s="9"/>
      <c r="CT984" s="9"/>
      <c r="CU984" s="9"/>
      <c r="CV984" s="9"/>
      <c r="CW984" s="129"/>
      <c r="CX984" s="9"/>
    </row>
    <row r="985" spans="1:102">
      <c r="A985" s="6" t="str">
        <f t="shared" si="151"/>
        <v>01960196</v>
      </c>
      <c r="B985" s="6" t="s">
        <v>1846</v>
      </c>
      <c r="C985" s="6" t="s">
        <v>1846</v>
      </c>
      <c r="D985" s="6">
        <v>976</v>
      </c>
      <c r="E985" s="6">
        <v>196</v>
      </c>
      <c r="F985" s="6" t="s">
        <v>1314</v>
      </c>
      <c r="G985" s="6">
        <v>196</v>
      </c>
      <c r="H985" s="6" t="s">
        <v>877</v>
      </c>
      <c r="I985" s="33">
        <v>2954392.4200000004</v>
      </c>
      <c r="J985" s="88">
        <v>0.9374290436033369</v>
      </c>
      <c r="K985" s="89">
        <f>X985</f>
        <v>2904538.0700000003</v>
      </c>
      <c r="L985" s="88">
        <f>IF(K989&gt;0, K985/K989, 0)</f>
        <v>0.91136883749380126</v>
      </c>
      <c r="M985" s="58"/>
      <c r="N985" s="9">
        <f>ROUND(M989*L985,0)</f>
        <v>2396244</v>
      </c>
      <c r="O985" s="9">
        <v>2437374</v>
      </c>
      <c r="P985" s="9">
        <f>N985-O985</f>
        <v>-41130</v>
      </c>
      <c r="Q985" s="40">
        <f t="shared" si="159"/>
        <v>-1.6874718446984336</v>
      </c>
      <c r="R985" s="9">
        <v>248</v>
      </c>
      <c r="S985" s="9">
        <f t="shared" si="157"/>
        <v>238</v>
      </c>
      <c r="T985" s="90">
        <f t="shared" si="152"/>
        <v>196</v>
      </c>
      <c r="U985" s="90">
        <f t="shared" si="153"/>
        <v>196</v>
      </c>
      <c r="V985" s="373">
        <f t="shared" si="154"/>
        <v>976</v>
      </c>
      <c r="W985" s="90">
        <f t="shared" si="155"/>
        <v>238</v>
      </c>
      <c r="X985" s="90">
        <f t="shared" si="156"/>
        <v>2904538.0700000003</v>
      </c>
      <c r="Y985" s="141">
        <f t="shared" si="158"/>
        <v>976</v>
      </c>
      <c r="Z985" s="298">
        <v>196</v>
      </c>
      <c r="AA985" s="299">
        <v>196</v>
      </c>
      <c r="AB985" s="299">
        <v>976</v>
      </c>
      <c r="AC985" s="301">
        <v>238</v>
      </c>
      <c r="AD985" s="301">
        <v>2904538.0700000003</v>
      </c>
      <c r="AE985" s="126"/>
      <c r="AF985" s="298"/>
      <c r="AG985" s="299"/>
      <c r="AH985" s="299"/>
      <c r="AI985" s="301"/>
      <c r="AJ985" s="301"/>
      <c r="AK985" s="426"/>
      <c r="AL985" s="298"/>
      <c r="AM985" s="299"/>
      <c r="AN985" s="299"/>
      <c r="AO985" s="301"/>
      <c r="AP985" s="301"/>
      <c r="AQ985" s="426"/>
      <c r="AR985" s="298"/>
      <c r="AS985" s="299"/>
      <c r="AT985" s="299"/>
      <c r="AU985" s="301"/>
      <c r="AV985" s="301"/>
      <c r="AW985" s="88"/>
      <c r="AX985" s="298"/>
      <c r="AY985" s="299"/>
      <c r="AZ985" s="299"/>
      <c r="BA985" s="301"/>
      <c r="BB985" s="301"/>
      <c r="BC985" s="426"/>
      <c r="BD985" s="298"/>
      <c r="BE985" s="299"/>
      <c r="BF985" s="299"/>
      <c r="BG985" s="301"/>
      <c r="BH985" s="301"/>
      <c r="BI985" s="88"/>
      <c r="BJ985" s="298"/>
      <c r="BK985" s="299"/>
      <c r="BL985" s="299"/>
      <c r="BM985" s="301"/>
      <c r="BN985" s="301"/>
      <c r="BO985" s="88"/>
      <c r="BP985" s="9"/>
      <c r="BS985" s="81"/>
      <c r="BT985" s="81"/>
      <c r="BV985" s="9"/>
      <c r="BY985" s="81"/>
      <c r="BZ985" s="81"/>
      <c r="CB985" s="9"/>
      <c r="CE985" s="81"/>
      <c r="CF985" s="81"/>
      <c r="CH985" s="9"/>
      <c r="CK985" s="81"/>
      <c r="CL985" s="81"/>
      <c r="CR985" s="9"/>
      <c r="CS985" s="9"/>
      <c r="CT985" s="9"/>
      <c r="CU985" s="9"/>
      <c r="CV985" s="9"/>
      <c r="CW985" s="129"/>
      <c r="CX985" s="9"/>
    </row>
    <row r="986" spans="1:102">
      <c r="A986" s="6" t="str">
        <f t="shared" si="151"/>
        <v>01960817</v>
      </c>
      <c r="B986" s="6" t="s">
        <v>1846</v>
      </c>
      <c r="C986" s="6" t="s">
        <v>2067</v>
      </c>
      <c r="D986" s="6">
        <v>977</v>
      </c>
      <c r="E986" s="6">
        <v>196</v>
      </c>
      <c r="F986" s="6" t="s">
        <v>1314</v>
      </c>
      <c r="G986" s="6">
        <v>817</v>
      </c>
      <c r="H986" s="6" t="s">
        <v>1097</v>
      </c>
      <c r="I986" s="33">
        <v>197198.02853545154</v>
      </c>
      <c r="J986" s="88">
        <v>6.2570956396663061E-2</v>
      </c>
      <c r="K986" s="89">
        <f t="shared" si="150"/>
        <v>282468.05804281391</v>
      </c>
      <c r="L986" s="88">
        <f>IF(K989&gt;0, K986/K989, 0)</f>
        <v>8.8631162506198735E-2</v>
      </c>
      <c r="M986" s="58"/>
      <c r="N986" s="9">
        <f>ROUND(M989*L986,0)</f>
        <v>233036</v>
      </c>
      <c r="O986" s="9">
        <v>162688</v>
      </c>
      <c r="P986" s="9">
        <f>N986-O986</f>
        <v>70348</v>
      </c>
      <c r="Q986" s="40">
        <f t="shared" si="159"/>
        <v>43.241050354051929</v>
      </c>
      <c r="R986" s="9">
        <v>9.9999999934199995</v>
      </c>
      <c r="S986" s="9">
        <f t="shared" si="157"/>
        <v>14.000000001210001</v>
      </c>
      <c r="T986" s="90">
        <f t="shared" si="152"/>
        <v>196</v>
      </c>
      <c r="U986" s="90">
        <f t="shared" si="153"/>
        <v>817</v>
      </c>
      <c r="V986" s="373">
        <f t="shared" si="154"/>
        <v>977</v>
      </c>
      <c r="W986" s="90">
        <f t="shared" si="155"/>
        <v>14.000000001210001</v>
      </c>
      <c r="X986" s="90">
        <f t="shared" si="156"/>
        <v>282468.05804281391</v>
      </c>
      <c r="Y986" s="141">
        <f t="shared" si="158"/>
        <v>977</v>
      </c>
      <c r="Z986" s="298">
        <v>196</v>
      </c>
      <c r="AA986" s="299">
        <v>817</v>
      </c>
      <c r="AB986" s="299">
        <v>977</v>
      </c>
      <c r="AC986" s="301">
        <v>14.000000001210001</v>
      </c>
      <c r="AD986" s="301">
        <v>282468.05804281391</v>
      </c>
      <c r="AE986" s="126"/>
      <c r="AF986" s="298"/>
      <c r="AG986" s="299"/>
      <c r="AH986" s="299"/>
      <c r="AI986" s="301"/>
      <c r="AJ986" s="301"/>
      <c r="AK986" s="426"/>
      <c r="AL986" s="298"/>
      <c r="AM986" s="299"/>
      <c r="AN986" s="299"/>
      <c r="AO986" s="301"/>
      <c r="AP986" s="301"/>
      <c r="AQ986" s="426"/>
      <c r="AR986" s="298"/>
      <c r="AS986" s="299"/>
      <c r="AT986" s="299"/>
      <c r="AU986" s="301"/>
      <c r="AV986" s="301"/>
      <c r="AW986" s="88"/>
      <c r="AX986" s="298"/>
      <c r="AY986" s="299"/>
      <c r="AZ986" s="299"/>
      <c r="BA986" s="301"/>
      <c r="BB986" s="301"/>
      <c r="BC986" s="426"/>
      <c r="BD986" s="298"/>
      <c r="BE986" s="299"/>
      <c r="BF986" s="299"/>
      <c r="BG986" s="301"/>
      <c r="BH986" s="301"/>
      <c r="BI986" s="88"/>
      <c r="BJ986" s="298"/>
      <c r="BK986" s="299"/>
      <c r="BL986" s="299"/>
      <c r="BM986" s="301"/>
      <c r="BN986" s="301"/>
      <c r="BO986" s="88"/>
      <c r="BP986" s="9"/>
      <c r="BS986" s="81"/>
      <c r="BT986" s="81"/>
      <c r="BV986" s="9"/>
      <c r="BY986" s="81"/>
      <c r="BZ986" s="81"/>
      <c r="CB986" s="9"/>
      <c r="CE986" s="81"/>
      <c r="CF986" s="81"/>
      <c r="CH986" s="9"/>
      <c r="CK986" s="81"/>
      <c r="CL986" s="81"/>
      <c r="CR986" s="9"/>
      <c r="CS986" s="9"/>
      <c r="CT986" s="9"/>
      <c r="CU986" s="9"/>
      <c r="CV986" s="9"/>
      <c r="CW986" s="129"/>
      <c r="CX986" s="9"/>
    </row>
    <row r="987" spans="1:102">
      <c r="A987" s="6" t="str">
        <f t="shared" si="151"/>
        <v>01960998</v>
      </c>
      <c r="B987" s="6" t="s">
        <v>1846</v>
      </c>
      <c r="C987" s="6" t="s">
        <v>2091</v>
      </c>
      <c r="D987" s="6">
        <v>978</v>
      </c>
      <c r="E987" s="6">
        <v>196</v>
      </c>
      <c r="F987" s="6" t="s">
        <v>1547</v>
      </c>
      <c r="G987" s="6">
        <v>998</v>
      </c>
      <c r="I987" s="33">
        <v>0</v>
      </c>
      <c r="J987" s="88">
        <v>0</v>
      </c>
      <c r="K987" s="89">
        <f t="shared" si="150"/>
        <v>0</v>
      </c>
      <c r="L987" s="88">
        <f>IF(K989&gt;0, K987/K989, 0)</f>
        <v>0</v>
      </c>
      <c r="M987" s="58"/>
      <c r="N987" s="9">
        <f>ROUND(M989*L987,0)</f>
        <v>0</v>
      </c>
      <c r="O987" s="9">
        <v>0</v>
      </c>
      <c r="P987" s="9">
        <f>N987-O987</f>
        <v>0</v>
      </c>
      <c r="Q987" s="40">
        <f t="shared" si="159"/>
        <v>0</v>
      </c>
      <c r="R987" s="9">
        <v>0</v>
      </c>
      <c r="S987" s="9">
        <f t="shared" si="157"/>
        <v>0</v>
      </c>
      <c r="T987" s="90">
        <f t="shared" si="152"/>
        <v>196</v>
      </c>
      <c r="U987" s="90">
        <f t="shared" si="153"/>
        <v>998</v>
      </c>
      <c r="V987" s="373">
        <f t="shared" si="154"/>
        <v>978</v>
      </c>
      <c r="W987" s="90">
        <f t="shared" si="155"/>
        <v>0</v>
      </c>
      <c r="X987" s="90">
        <f t="shared" si="156"/>
        <v>0</v>
      </c>
      <c r="Y987" s="141">
        <f t="shared" si="158"/>
        <v>978</v>
      </c>
      <c r="Z987" s="298">
        <v>196</v>
      </c>
      <c r="AA987" s="299">
        <v>998</v>
      </c>
      <c r="AB987" s="299">
        <v>978</v>
      </c>
      <c r="AC987" s="301">
        <v>0</v>
      </c>
      <c r="AD987" s="301">
        <v>0</v>
      </c>
      <c r="AE987" s="126"/>
      <c r="AF987" s="298"/>
      <c r="AG987" s="299"/>
      <c r="AH987" s="299"/>
      <c r="AI987" s="301"/>
      <c r="AJ987" s="301"/>
      <c r="AK987" s="426"/>
      <c r="AL987" s="298"/>
      <c r="AM987" s="299"/>
      <c r="AN987" s="299"/>
      <c r="AO987" s="301"/>
      <c r="AP987" s="301"/>
      <c r="AQ987" s="426"/>
      <c r="AR987" s="298"/>
      <c r="AS987" s="299"/>
      <c r="AT987" s="299"/>
      <c r="AU987" s="301"/>
      <c r="AV987" s="301"/>
      <c r="AW987" s="88"/>
      <c r="AX987" s="298"/>
      <c r="AY987" s="299"/>
      <c r="AZ987" s="299"/>
      <c r="BA987" s="301"/>
      <c r="BB987" s="301"/>
      <c r="BC987" s="426"/>
      <c r="BD987" s="298"/>
      <c r="BE987" s="299"/>
      <c r="BF987" s="299"/>
      <c r="BG987" s="301"/>
      <c r="BH987" s="301"/>
      <c r="BI987" s="88"/>
      <c r="BJ987" s="298"/>
      <c r="BK987" s="299"/>
      <c r="BL987" s="299"/>
      <c r="BM987" s="301"/>
      <c r="BN987" s="301"/>
      <c r="BO987" s="88"/>
      <c r="BP987" s="9"/>
      <c r="BS987" s="81"/>
      <c r="BT987" s="81"/>
      <c r="BV987" s="9"/>
      <c r="BY987" s="81"/>
      <c r="BZ987" s="81"/>
      <c r="CB987" s="9"/>
      <c r="CE987" s="81"/>
      <c r="CF987" s="81"/>
      <c r="CH987" s="9"/>
      <c r="CK987" s="81"/>
      <c r="CL987" s="81"/>
      <c r="CR987" s="9"/>
      <c r="CS987" s="9"/>
      <c r="CT987" s="9"/>
      <c r="CU987" s="9"/>
      <c r="CV987" s="9"/>
      <c r="CW987" s="129"/>
      <c r="CX987" s="9"/>
    </row>
    <row r="988" spans="1:102">
      <c r="A988" s="6" t="str">
        <f t="shared" si="151"/>
        <v>01960998</v>
      </c>
      <c r="B988" s="6" t="s">
        <v>1846</v>
      </c>
      <c r="C988" s="6" t="s">
        <v>2091</v>
      </c>
      <c r="D988" s="6">
        <v>979</v>
      </c>
      <c r="E988" s="6">
        <v>196</v>
      </c>
      <c r="F988" s="6" t="s">
        <v>1547</v>
      </c>
      <c r="G988" s="6">
        <v>998</v>
      </c>
      <c r="H988" s="6" t="s">
        <v>1547</v>
      </c>
      <c r="I988" s="33">
        <v>0</v>
      </c>
      <c r="J988" s="88">
        <v>0</v>
      </c>
      <c r="K988" s="89">
        <f t="shared" si="150"/>
        <v>0</v>
      </c>
      <c r="L988" s="88">
        <f>IF(K989&gt;0, K988/K989, 0)</f>
        <v>0</v>
      </c>
      <c r="M988" s="58"/>
      <c r="N988" s="9">
        <f>ROUND(M989*L988,0)</f>
        <v>0</v>
      </c>
      <c r="O988" s="9">
        <v>0</v>
      </c>
      <c r="P988" s="9">
        <f>N988-O988</f>
        <v>0</v>
      </c>
      <c r="Q988" s="40">
        <f t="shared" si="159"/>
        <v>0</v>
      </c>
      <c r="R988" s="9">
        <v>0</v>
      </c>
      <c r="S988" s="9">
        <f t="shared" si="157"/>
        <v>0</v>
      </c>
      <c r="T988" s="90">
        <f t="shared" si="152"/>
        <v>196</v>
      </c>
      <c r="U988" s="90">
        <f t="shared" si="153"/>
        <v>998</v>
      </c>
      <c r="V988" s="373">
        <f t="shared" si="154"/>
        <v>979</v>
      </c>
      <c r="W988" s="90">
        <f t="shared" si="155"/>
        <v>0</v>
      </c>
      <c r="X988" s="90">
        <f t="shared" si="156"/>
        <v>0</v>
      </c>
      <c r="Y988" s="141">
        <f t="shared" si="158"/>
        <v>979</v>
      </c>
      <c r="Z988" s="298">
        <v>196</v>
      </c>
      <c r="AA988" s="299">
        <v>998</v>
      </c>
      <c r="AB988" s="299">
        <v>979</v>
      </c>
      <c r="AC988" s="301">
        <v>0</v>
      </c>
      <c r="AD988" s="301">
        <v>0</v>
      </c>
      <c r="AE988" s="126"/>
      <c r="AF988" s="298"/>
      <c r="AG988" s="299"/>
      <c r="AH988" s="299"/>
      <c r="AI988" s="301"/>
      <c r="AJ988" s="301"/>
      <c r="AK988" s="426"/>
      <c r="AL988" s="298"/>
      <c r="AM988" s="299"/>
      <c r="AN988" s="299"/>
      <c r="AO988" s="301"/>
      <c r="AP988" s="301"/>
      <c r="AQ988" s="426"/>
      <c r="AR988" s="298"/>
      <c r="AS988" s="299"/>
      <c r="AT988" s="299"/>
      <c r="AU988" s="301"/>
      <c r="AV988" s="301"/>
      <c r="AW988" s="88"/>
      <c r="AX988" s="298"/>
      <c r="AY988" s="299"/>
      <c r="AZ988" s="299"/>
      <c r="BA988" s="301"/>
      <c r="BB988" s="301"/>
      <c r="BC988" s="426"/>
      <c r="BD988" s="298"/>
      <c r="BE988" s="299"/>
      <c r="BF988" s="299"/>
      <c r="BG988" s="301"/>
      <c r="BH988" s="301"/>
      <c r="BI988" s="88"/>
      <c r="BJ988" s="298"/>
      <c r="BK988" s="299"/>
      <c r="BL988" s="299"/>
      <c r="BM988" s="301"/>
      <c r="BN988" s="301"/>
      <c r="BO988" s="88"/>
      <c r="BP988" s="9"/>
      <c r="BS988" s="81"/>
      <c r="BT988" s="81"/>
      <c r="BV988" s="9"/>
      <c r="BY988" s="81"/>
      <c r="BZ988" s="81"/>
      <c r="CB988" s="9"/>
      <c r="CE988" s="81"/>
      <c r="CF988" s="81"/>
      <c r="CH988" s="9"/>
      <c r="CK988" s="81"/>
      <c r="CL988" s="81"/>
      <c r="CR988" s="9"/>
      <c r="CS988" s="9"/>
      <c r="CT988" s="9"/>
      <c r="CU988" s="9"/>
      <c r="CV988" s="9"/>
      <c r="CW988" s="129"/>
      <c r="CX988" s="9"/>
    </row>
    <row r="989" spans="1:102">
      <c r="A989" s="6" t="str">
        <f t="shared" si="151"/>
        <v>01960999</v>
      </c>
      <c r="B989" s="6" t="s">
        <v>1846</v>
      </c>
      <c r="C989" s="6" t="s">
        <v>2092</v>
      </c>
      <c r="D989" s="6">
        <v>980</v>
      </c>
      <c r="E989" s="10">
        <v>196</v>
      </c>
      <c r="F989" s="10" t="s">
        <v>1314</v>
      </c>
      <c r="G989" s="10">
        <v>999</v>
      </c>
      <c r="H989" s="10" t="s">
        <v>593</v>
      </c>
      <c r="I989" s="92">
        <v>3151590.4485354521</v>
      </c>
      <c r="J989" s="472">
        <v>1</v>
      </c>
      <c r="K989" s="53">
        <f>SUM(K985:K988)</f>
        <v>3187006.1280428143</v>
      </c>
      <c r="L989" s="91">
        <f>SUM(L985:L988)</f>
        <v>1</v>
      </c>
      <c r="M989" s="79">
        <f>VLOOKUP(E989,town351,24)</f>
        <v>2629280</v>
      </c>
      <c r="N989" s="79">
        <f>SUM(N985:N988)</f>
        <v>2629280</v>
      </c>
      <c r="O989" s="79">
        <v>2600062</v>
      </c>
      <c r="P989" s="79">
        <f>SUM(P985:P988)</f>
        <v>29218</v>
      </c>
      <c r="Q989" s="39">
        <f t="shared" si="159"/>
        <v>1.1237424338342701</v>
      </c>
      <c r="R989" s="9">
        <v>257.99999999341998</v>
      </c>
      <c r="S989" s="9">
        <f t="shared" si="157"/>
        <v>252.00000000121</v>
      </c>
      <c r="T989" s="90">
        <f t="shared" si="152"/>
        <v>196</v>
      </c>
      <c r="U989" s="90">
        <f t="shared" si="153"/>
        <v>999</v>
      </c>
      <c r="V989" s="373">
        <f t="shared" si="154"/>
        <v>980</v>
      </c>
      <c r="W989" s="90">
        <f t="shared" si="155"/>
        <v>252.00000000121</v>
      </c>
      <c r="X989" s="90">
        <f t="shared" si="156"/>
        <v>3187006.1280428143</v>
      </c>
      <c r="Y989" s="141">
        <f t="shared" si="158"/>
        <v>980</v>
      </c>
      <c r="Z989" s="298">
        <v>196</v>
      </c>
      <c r="AA989" s="299">
        <v>999</v>
      </c>
      <c r="AB989" s="299">
        <v>980</v>
      </c>
      <c r="AC989" s="301">
        <v>252.00000000121</v>
      </c>
      <c r="AD989" s="301">
        <v>3187006.1280428143</v>
      </c>
      <c r="AE989" s="126"/>
      <c r="AF989" s="298"/>
      <c r="AG989" s="299"/>
      <c r="AH989" s="299"/>
      <c r="AI989" s="301"/>
      <c r="AJ989" s="301"/>
      <c r="AK989" s="426"/>
      <c r="AL989" s="298"/>
      <c r="AM989" s="299"/>
      <c r="AN989" s="299"/>
      <c r="AO989" s="301"/>
      <c r="AP989" s="301"/>
      <c r="AQ989" s="426"/>
      <c r="AR989" s="298"/>
      <c r="AS989" s="299"/>
      <c r="AT989" s="299"/>
      <c r="AU989" s="301"/>
      <c r="AV989" s="301"/>
      <c r="AW989" s="91"/>
      <c r="AX989" s="298"/>
      <c r="AY989" s="299"/>
      <c r="AZ989" s="299"/>
      <c r="BA989" s="301"/>
      <c r="BB989" s="301"/>
      <c r="BC989" s="426"/>
      <c r="BD989" s="298"/>
      <c r="BE989" s="299"/>
      <c r="BF989" s="299"/>
      <c r="BG989" s="301"/>
      <c r="BH989" s="301"/>
      <c r="BI989" s="91"/>
      <c r="BJ989" s="298"/>
      <c r="BK989" s="299"/>
      <c r="BL989" s="299"/>
      <c r="BM989" s="301"/>
      <c r="BN989" s="301"/>
      <c r="BO989" s="91"/>
      <c r="BP989" s="9"/>
      <c r="BS989" s="81"/>
      <c r="BT989" s="81"/>
      <c r="BV989" s="9"/>
      <c r="BY989" s="81"/>
      <c r="BZ989" s="81"/>
      <c r="CB989" s="9"/>
      <c r="CE989" s="81"/>
      <c r="CF989" s="81"/>
      <c r="CH989" s="9"/>
      <c r="CK989" s="81"/>
      <c r="CL989" s="81"/>
      <c r="CR989" s="9"/>
      <c r="CS989" s="9"/>
      <c r="CT989" s="9"/>
      <c r="CU989" s="9"/>
      <c r="CV989" s="9"/>
      <c r="CW989" s="129"/>
      <c r="CX989" s="9"/>
    </row>
    <row r="990" spans="1:102">
      <c r="A990" s="6" t="str">
        <f t="shared" si="151"/>
        <v>01970197</v>
      </c>
      <c r="B990" s="6" t="s">
        <v>1847</v>
      </c>
      <c r="C990" s="6" t="s">
        <v>1847</v>
      </c>
      <c r="D990" s="6">
        <v>981</v>
      </c>
      <c r="E990" s="6">
        <v>197</v>
      </c>
      <c r="F990" s="6" t="s">
        <v>1315</v>
      </c>
      <c r="G990" s="6">
        <v>197</v>
      </c>
      <c r="H990" s="6" t="s">
        <v>878</v>
      </c>
      <c r="I990" s="33">
        <v>25201462.489999998</v>
      </c>
      <c r="J990" s="88">
        <v>1</v>
      </c>
      <c r="K990" s="89">
        <f t="shared" ref="K990:K1053" si="160">X990</f>
        <v>25535123.509999998</v>
      </c>
      <c r="L990" s="88">
        <f>IF(K994&gt;0, K990/K994, 0)</f>
        <v>1</v>
      </c>
      <c r="M990" s="58"/>
      <c r="N990" s="9">
        <f>ROUND(M994*L990,0)</f>
        <v>21066477</v>
      </c>
      <c r="O990" s="9">
        <v>20791207</v>
      </c>
      <c r="P990" s="9">
        <f>N990-O990</f>
        <v>275270</v>
      </c>
      <c r="Q990" s="40">
        <f t="shared" si="159"/>
        <v>1.3239731584606897</v>
      </c>
      <c r="R990" s="9">
        <v>1713</v>
      </c>
      <c r="S990" s="9">
        <f t="shared" si="157"/>
        <v>1668</v>
      </c>
      <c r="T990" s="90">
        <f t="shared" si="152"/>
        <v>197</v>
      </c>
      <c r="U990" s="90">
        <f t="shared" si="153"/>
        <v>197</v>
      </c>
      <c r="V990" s="373">
        <f t="shared" si="154"/>
        <v>981</v>
      </c>
      <c r="W990" s="90">
        <f t="shared" si="155"/>
        <v>1668</v>
      </c>
      <c r="X990" s="90">
        <f t="shared" si="156"/>
        <v>25535123.509999998</v>
      </c>
      <c r="Y990" s="141">
        <f t="shared" si="158"/>
        <v>981</v>
      </c>
      <c r="Z990" s="298">
        <v>197</v>
      </c>
      <c r="AA990" s="299">
        <v>197</v>
      </c>
      <c r="AB990" s="299">
        <v>981</v>
      </c>
      <c r="AC990" s="301">
        <v>1668</v>
      </c>
      <c r="AD990" s="301">
        <v>25535123.509999998</v>
      </c>
      <c r="AE990" s="126"/>
      <c r="AF990" s="298"/>
      <c r="AG990" s="299"/>
      <c r="AH990" s="299"/>
      <c r="AI990" s="301"/>
      <c r="AJ990" s="301"/>
      <c r="AK990" s="426"/>
      <c r="AL990" s="298"/>
      <c r="AM990" s="299"/>
      <c r="AN990" s="299"/>
      <c r="AO990" s="301"/>
      <c r="AP990" s="301"/>
      <c r="AQ990" s="426"/>
      <c r="AR990" s="298"/>
      <c r="AS990" s="299"/>
      <c r="AT990" s="299"/>
      <c r="AU990" s="301"/>
      <c r="AV990" s="301"/>
      <c r="AW990" s="88"/>
      <c r="AX990" s="298"/>
      <c r="AY990" s="299"/>
      <c r="AZ990" s="299"/>
      <c r="BA990" s="301"/>
      <c r="BB990" s="301"/>
      <c r="BC990" s="426"/>
      <c r="BD990" s="298"/>
      <c r="BE990" s="299"/>
      <c r="BF990" s="299"/>
      <c r="BG990" s="301"/>
      <c r="BH990" s="301"/>
      <c r="BI990" s="88"/>
      <c r="BJ990" s="298"/>
      <c r="BK990" s="299"/>
      <c r="BL990" s="299"/>
      <c r="BM990" s="301"/>
      <c r="BN990" s="301"/>
      <c r="BO990" s="88"/>
      <c r="BP990" s="9"/>
      <c r="BS990" s="81"/>
      <c r="BT990" s="81"/>
      <c r="BV990" s="9"/>
      <c r="BY990" s="81"/>
      <c r="BZ990" s="81"/>
      <c r="CB990" s="9"/>
      <c r="CE990" s="81"/>
      <c r="CF990" s="81"/>
      <c r="CH990" s="9"/>
      <c r="CK990" s="81"/>
      <c r="CL990" s="81"/>
      <c r="CR990" s="9"/>
      <c r="CS990" s="9"/>
      <c r="CT990" s="9"/>
      <c r="CU990" s="9"/>
      <c r="CV990" s="9"/>
      <c r="CW990" s="129"/>
      <c r="CX990" s="9"/>
    </row>
    <row r="991" spans="1:102">
      <c r="A991" s="6" t="str">
        <f t="shared" si="151"/>
        <v>01970998</v>
      </c>
      <c r="B991" s="6" t="s">
        <v>1847</v>
      </c>
      <c r="C991" s="6" t="s">
        <v>2091</v>
      </c>
      <c r="D991" s="6">
        <v>982</v>
      </c>
      <c r="E991" s="6">
        <v>197</v>
      </c>
      <c r="F991" s="6" t="s">
        <v>1547</v>
      </c>
      <c r="G991" s="6">
        <v>998</v>
      </c>
      <c r="H991" s="6" t="s">
        <v>1547</v>
      </c>
      <c r="I991" s="33">
        <v>0</v>
      </c>
      <c r="J991" s="88">
        <v>0</v>
      </c>
      <c r="K991" s="89">
        <f t="shared" si="160"/>
        <v>0</v>
      </c>
      <c r="L991" s="88">
        <f>IF(K994&gt;0, K991/K994, 0)</f>
        <v>0</v>
      </c>
      <c r="M991" s="58"/>
      <c r="N991" s="9">
        <f>ROUND(M994*L991,0)</f>
        <v>0</v>
      </c>
      <c r="O991" s="9">
        <v>0</v>
      </c>
      <c r="P991" s="9">
        <f>N991-O991</f>
        <v>0</v>
      </c>
      <c r="Q991" s="40">
        <f t="shared" si="159"/>
        <v>0</v>
      </c>
      <c r="R991" s="9">
        <v>0</v>
      </c>
      <c r="S991" s="9">
        <f t="shared" si="157"/>
        <v>0</v>
      </c>
      <c r="T991" s="90">
        <f t="shared" si="152"/>
        <v>197</v>
      </c>
      <c r="U991" s="90">
        <f t="shared" si="153"/>
        <v>998</v>
      </c>
      <c r="V991" s="373">
        <f t="shared" si="154"/>
        <v>982</v>
      </c>
      <c r="W991" s="90">
        <f t="shared" si="155"/>
        <v>0</v>
      </c>
      <c r="X991" s="90">
        <f t="shared" si="156"/>
        <v>0</v>
      </c>
      <c r="Y991" s="141">
        <f t="shared" si="158"/>
        <v>982</v>
      </c>
      <c r="Z991" s="298">
        <v>197</v>
      </c>
      <c r="AA991" s="299">
        <v>998</v>
      </c>
      <c r="AB991" s="299">
        <v>982</v>
      </c>
      <c r="AC991" s="301">
        <v>0</v>
      </c>
      <c r="AD991" s="301">
        <v>0</v>
      </c>
      <c r="AE991" s="126"/>
      <c r="AF991" s="298"/>
      <c r="AG991" s="299"/>
      <c r="AH991" s="299"/>
      <c r="AI991" s="301"/>
      <c r="AJ991" s="301"/>
      <c r="AK991" s="426"/>
      <c r="AL991" s="298"/>
      <c r="AM991" s="299"/>
      <c r="AN991" s="299"/>
      <c r="AO991" s="301"/>
      <c r="AP991" s="301"/>
      <c r="AQ991" s="426"/>
      <c r="AR991" s="298"/>
      <c r="AS991" s="299"/>
      <c r="AT991" s="299"/>
      <c r="AU991" s="301"/>
      <c r="AV991" s="301"/>
      <c r="AW991" s="88"/>
      <c r="AX991" s="298"/>
      <c r="AY991" s="299"/>
      <c r="AZ991" s="299"/>
      <c r="BA991" s="301"/>
      <c r="BB991" s="301"/>
      <c r="BC991" s="426"/>
      <c r="BD991" s="298"/>
      <c r="BE991" s="299"/>
      <c r="BF991" s="299"/>
      <c r="BG991" s="301"/>
      <c r="BH991" s="301"/>
      <c r="BI991" s="88"/>
      <c r="BJ991" s="298"/>
      <c r="BK991" s="299"/>
      <c r="BL991" s="299"/>
      <c r="BM991" s="301"/>
      <c r="BN991" s="301"/>
      <c r="BO991" s="88"/>
      <c r="BP991" s="9"/>
      <c r="BS991" s="81"/>
      <c r="BT991" s="81"/>
      <c r="BV991" s="9"/>
      <c r="BY991" s="81"/>
      <c r="BZ991" s="81"/>
      <c r="CB991" s="9"/>
      <c r="CE991" s="81"/>
      <c r="CF991" s="81"/>
      <c r="CH991" s="9"/>
      <c r="CK991" s="81"/>
      <c r="CL991" s="81"/>
      <c r="CR991" s="9"/>
      <c r="CS991" s="9"/>
      <c r="CT991" s="9"/>
      <c r="CU991" s="9"/>
      <c r="CV991" s="9"/>
      <c r="CW991" s="129"/>
      <c r="CX991" s="9"/>
    </row>
    <row r="992" spans="1:102">
      <c r="A992" s="6" t="str">
        <f t="shared" si="151"/>
        <v>01970998</v>
      </c>
      <c r="B992" s="6" t="s">
        <v>1847</v>
      </c>
      <c r="C992" s="6" t="s">
        <v>2091</v>
      </c>
      <c r="D992" s="6">
        <v>983</v>
      </c>
      <c r="E992" s="6">
        <v>197</v>
      </c>
      <c r="F992" s="6" t="s">
        <v>1547</v>
      </c>
      <c r="G992" s="6">
        <v>998</v>
      </c>
      <c r="H992" s="6" t="s">
        <v>1547</v>
      </c>
      <c r="I992" s="33">
        <v>0</v>
      </c>
      <c r="J992" s="88">
        <v>0</v>
      </c>
      <c r="K992" s="89">
        <f t="shared" si="160"/>
        <v>0</v>
      </c>
      <c r="L992" s="88">
        <f>IF(K994&gt;0, K992/K994, 0)</f>
        <v>0</v>
      </c>
      <c r="M992" s="58"/>
      <c r="N992" s="9">
        <f>ROUND(M994*L992,0)</f>
        <v>0</v>
      </c>
      <c r="O992" s="9">
        <v>0</v>
      </c>
      <c r="P992" s="9">
        <f>N992-O992</f>
        <v>0</v>
      </c>
      <c r="Q992" s="40">
        <f t="shared" si="159"/>
        <v>0</v>
      </c>
      <c r="R992" s="9">
        <v>0</v>
      </c>
      <c r="S992" s="9">
        <f t="shared" si="157"/>
        <v>0</v>
      </c>
      <c r="T992" s="90">
        <f t="shared" si="152"/>
        <v>197</v>
      </c>
      <c r="U992" s="90">
        <f t="shared" si="153"/>
        <v>998</v>
      </c>
      <c r="V992" s="373">
        <f t="shared" si="154"/>
        <v>983</v>
      </c>
      <c r="W992" s="90">
        <f t="shared" si="155"/>
        <v>0</v>
      </c>
      <c r="X992" s="90">
        <f t="shared" si="156"/>
        <v>0</v>
      </c>
      <c r="Y992" s="141">
        <f t="shared" si="158"/>
        <v>983</v>
      </c>
      <c r="Z992" s="298">
        <v>197</v>
      </c>
      <c r="AA992" s="299">
        <v>998</v>
      </c>
      <c r="AB992" s="299">
        <v>983</v>
      </c>
      <c r="AC992" s="301">
        <v>0</v>
      </c>
      <c r="AD992" s="301">
        <v>0</v>
      </c>
      <c r="AE992" s="126"/>
      <c r="AF992" s="298"/>
      <c r="AG992" s="299"/>
      <c r="AH992" s="299"/>
      <c r="AI992" s="301"/>
      <c r="AJ992" s="301"/>
      <c r="AK992" s="426"/>
      <c r="AL992" s="298"/>
      <c r="AM992" s="299"/>
      <c r="AN992" s="299"/>
      <c r="AO992" s="301"/>
      <c r="AP992" s="301"/>
      <c r="AQ992" s="426"/>
      <c r="AR992" s="298"/>
      <c r="AS992" s="299"/>
      <c r="AT992" s="299"/>
      <c r="AU992" s="301"/>
      <c r="AV992" s="301"/>
      <c r="AW992" s="88"/>
      <c r="AX992" s="298"/>
      <c r="AY992" s="299"/>
      <c r="AZ992" s="299"/>
      <c r="BA992" s="301"/>
      <c r="BB992" s="301"/>
      <c r="BC992" s="426"/>
      <c r="BD992" s="298"/>
      <c r="BE992" s="299"/>
      <c r="BF992" s="299"/>
      <c r="BG992" s="301"/>
      <c r="BH992" s="301"/>
      <c r="BI992" s="88"/>
      <c r="BJ992" s="298"/>
      <c r="BK992" s="299"/>
      <c r="BL992" s="299"/>
      <c r="BM992" s="301"/>
      <c r="BN992" s="301"/>
      <c r="BO992" s="88"/>
      <c r="BP992" s="9"/>
      <c r="BS992" s="81"/>
      <c r="BT992" s="81"/>
      <c r="BV992" s="9"/>
      <c r="BY992" s="81"/>
      <c r="BZ992" s="81"/>
      <c r="CB992" s="9"/>
      <c r="CE992" s="81"/>
      <c r="CF992" s="81"/>
      <c r="CH992" s="9"/>
      <c r="CK992" s="81"/>
      <c r="CL992" s="81"/>
      <c r="CR992" s="9"/>
      <c r="CS992" s="9"/>
      <c r="CT992" s="9"/>
      <c r="CU992" s="9"/>
      <c r="CV992" s="9"/>
      <c r="CW992" s="129"/>
      <c r="CX992" s="9"/>
    </row>
    <row r="993" spans="1:102">
      <c r="A993" s="6" t="str">
        <f t="shared" si="151"/>
        <v>01970998</v>
      </c>
      <c r="B993" s="6" t="s">
        <v>1847</v>
      </c>
      <c r="C993" s="6" t="s">
        <v>2091</v>
      </c>
      <c r="D993" s="6">
        <v>984</v>
      </c>
      <c r="E993" s="6">
        <v>197</v>
      </c>
      <c r="F993" s="6" t="s">
        <v>1547</v>
      </c>
      <c r="G993" s="6">
        <v>998</v>
      </c>
      <c r="H993" s="6" t="s">
        <v>1547</v>
      </c>
      <c r="I993" s="33">
        <v>0</v>
      </c>
      <c r="J993" s="88">
        <v>0</v>
      </c>
      <c r="K993" s="89">
        <f t="shared" si="160"/>
        <v>0</v>
      </c>
      <c r="L993" s="88">
        <f>IF(K994&gt;0, K993/K994, 0)</f>
        <v>0</v>
      </c>
      <c r="M993" s="58"/>
      <c r="N993" s="9">
        <f>ROUND(M994*L993,0)</f>
        <v>0</v>
      </c>
      <c r="O993" s="9">
        <v>0</v>
      </c>
      <c r="P993" s="9">
        <f>N993-O993</f>
        <v>0</v>
      </c>
      <c r="Q993" s="40">
        <f t="shared" si="159"/>
        <v>0</v>
      </c>
      <c r="R993" s="9">
        <v>0</v>
      </c>
      <c r="S993" s="9">
        <f t="shared" si="157"/>
        <v>0</v>
      </c>
      <c r="T993" s="90">
        <f t="shared" si="152"/>
        <v>197</v>
      </c>
      <c r="U993" s="90">
        <f t="shared" si="153"/>
        <v>998</v>
      </c>
      <c r="V993" s="373">
        <f t="shared" si="154"/>
        <v>984</v>
      </c>
      <c r="W993" s="90">
        <f t="shared" si="155"/>
        <v>0</v>
      </c>
      <c r="X993" s="90">
        <f t="shared" si="156"/>
        <v>0</v>
      </c>
      <c r="Y993" s="141">
        <f t="shared" si="158"/>
        <v>984</v>
      </c>
      <c r="Z993" s="298">
        <v>197</v>
      </c>
      <c r="AA993" s="299">
        <v>998</v>
      </c>
      <c r="AB993" s="299">
        <v>984</v>
      </c>
      <c r="AC993" s="301">
        <v>0</v>
      </c>
      <c r="AD993" s="301">
        <v>0</v>
      </c>
      <c r="AE993" s="126"/>
      <c r="AF993" s="298"/>
      <c r="AG993" s="299"/>
      <c r="AH993" s="299"/>
      <c r="AI993" s="301"/>
      <c r="AJ993" s="301"/>
      <c r="AK993" s="426"/>
      <c r="AL993" s="298"/>
      <c r="AM993" s="299"/>
      <c r="AN993" s="299"/>
      <c r="AO993" s="301"/>
      <c r="AP993" s="301"/>
      <c r="AQ993" s="426"/>
      <c r="AR993" s="298"/>
      <c r="AS993" s="299"/>
      <c r="AT993" s="299"/>
      <c r="AU993" s="301"/>
      <c r="AV993" s="301"/>
      <c r="AW993" s="88"/>
      <c r="AX993" s="298"/>
      <c r="AY993" s="299"/>
      <c r="AZ993" s="299"/>
      <c r="BA993" s="301"/>
      <c r="BB993" s="301"/>
      <c r="BC993" s="426"/>
      <c r="BD993" s="298"/>
      <c r="BE993" s="299"/>
      <c r="BF993" s="299"/>
      <c r="BG993" s="301"/>
      <c r="BH993" s="301"/>
      <c r="BI993" s="88"/>
      <c r="BJ993" s="298"/>
      <c r="BK993" s="299"/>
      <c r="BL993" s="299"/>
      <c r="BM993" s="301"/>
      <c r="BN993" s="301"/>
      <c r="BO993" s="88"/>
      <c r="BP993" s="9"/>
      <c r="BS993" s="81"/>
      <c r="BT993" s="81"/>
      <c r="BV993" s="9"/>
      <c r="BY993" s="81"/>
      <c r="BZ993" s="81"/>
      <c r="CB993" s="9"/>
      <c r="CE993" s="81"/>
      <c r="CF993" s="81"/>
      <c r="CH993" s="9"/>
      <c r="CK993" s="81"/>
      <c r="CL993" s="81"/>
      <c r="CR993" s="9"/>
      <c r="CS993" s="9"/>
      <c r="CT993" s="9"/>
      <c r="CU993" s="9"/>
      <c r="CV993" s="9"/>
      <c r="CW993" s="129"/>
      <c r="CX993" s="9"/>
    </row>
    <row r="994" spans="1:102">
      <c r="A994" s="6" t="str">
        <f t="shared" si="151"/>
        <v>01970999</v>
      </c>
      <c r="B994" s="6" t="s">
        <v>1847</v>
      </c>
      <c r="C994" s="6" t="s">
        <v>2092</v>
      </c>
      <c r="D994" s="6">
        <v>985</v>
      </c>
      <c r="E994" s="10">
        <v>197</v>
      </c>
      <c r="F994" s="10" t="s">
        <v>1315</v>
      </c>
      <c r="G994" s="10">
        <v>999</v>
      </c>
      <c r="H994" s="10" t="s">
        <v>593</v>
      </c>
      <c r="I994" s="92">
        <v>25201462.489999998</v>
      </c>
      <c r="J994" s="472">
        <v>1</v>
      </c>
      <c r="K994" s="53">
        <f>SUM(K990:K993)</f>
        <v>25535123.509999998</v>
      </c>
      <c r="L994" s="91">
        <f>SUM(L990:L993)</f>
        <v>1</v>
      </c>
      <c r="M994" s="79">
        <f>VLOOKUP(E994,town351,24)</f>
        <v>21066477</v>
      </c>
      <c r="N994" s="79">
        <f>SUM(N990:N993)</f>
        <v>21066477</v>
      </c>
      <c r="O994" s="79">
        <v>20791207</v>
      </c>
      <c r="P994" s="79">
        <f>SUM(P990:P993)</f>
        <v>275270</v>
      </c>
      <c r="Q994" s="39">
        <f t="shared" si="159"/>
        <v>1.3239731584606897</v>
      </c>
      <c r="R994" s="9">
        <v>1713</v>
      </c>
      <c r="S994" s="9">
        <f t="shared" si="157"/>
        <v>1668</v>
      </c>
      <c r="T994" s="90">
        <f t="shared" si="152"/>
        <v>197</v>
      </c>
      <c r="U994" s="90">
        <f t="shared" si="153"/>
        <v>999</v>
      </c>
      <c r="V994" s="373">
        <f t="shared" si="154"/>
        <v>985</v>
      </c>
      <c r="W994" s="90">
        <f t="shared" si="155"/>
        <v>1668</v>
      </c>
      <c r="X994" s="90">
        <f t="shared" si="156"/>
        <v>25535123.509999998</v>
      </c>
      <c r="Y994" s="141">
        <f t="shared" si="158"/>
        <v>985</v>
      </c>
      <c r="Z994" s="298">
        <v>197</v>
      </c>
      <c r="AA994" s="299">
        <v>999</v>
      </c>
      <c r="AB994" s="299">
        <v>985</v>
      </c>
      <c r="AC994" s="301">
        <v>1668</v>
      </c>
      <c r="AD994" s="301">
        <v>25535123.509999998</v>
      </c>
      <c r="AE994" s="126"/>
      <c r="AF994" s="298"/>
      <c r="AG994" s="299"/>
      <c r="AH994" s="299"/>
      <c r="AI994" s="301"/>
      <c r="AJ994" s="301"/>
      <c r="AK994" s="426"/>
      <c r="AL994" s="298"/>
      <c r="AM994" s="299"/>
      <c r="AN994" s="299"/>
      <c r="AO994" s="301"/>
      <c r="AP994" s="301"/>
      <c r="AQ994" s="426"/>
      <c r="AR994" s="298"/>
      <c r="AS994" s="299"/>
      <c r="AT994" s="299"/>
      <c r="AU994" s="301"/>
      <c r="AV994" s="301"/>
      <c r="AW994" s="91"/>
      <c r="AX994" s="298"/>
      <c r="AY994" s="299"/>
      <c r="AZ994" s="299"/>
      <c r="BA994" s="301"/>
      <c r="BB994" s="301"/>
      <c r="BC994" s="426"/>
      <c r="BD994" s="298"/>
      <c r="BE994" s="299"/>
      <c r="BF994" s="299"/>
      <c r="BG994" s="301"/>
      <c r="BH994" s="301"/>
      <c r="BI994" s="91"/>
      <c r="BJ994" s="298"/>
      <c r="BK994" s="299"/>
      <c r="BL994" s="299"/>
      <c r="BM994" s="301"/>
      <c r="BN994" s="301"/>
      <c r="BO994" s="91"/>
      <c r="BP994" s="9"/>
      <c r="BS994" s="81"/>
      <c r="BT994" s="81"/>
      <c r="BV994" s="9"/>
      <c r="BY994" s="81"/>
      <c r="BZ994" s="81"/>
      <c r="CB994" s="9"/>
      <c r="CE994" s="81"/>
      <c r="CF994" s="81"/>
      <c r="CH994" s="9"/>
      <c r="CK994" s="81"/>
      <c r="CL994" s="81"/>
      <c r="CR994" s="9"/>
      <c r="CS994" s="9"/>
      <c r="CT994" s="9"/>
      <c r="CU994" s="9"/>
      <c r="CV994" s="9"/>
      <c r="CW994" s="129"/>
      <c r="CX994" s="9"/>
    </row>
    <row r="995" spans="1:102">
      <c r="A995" s="6" t="str">
        <f t="shared" si="151"/>
        <v>01980198</v>
      </c>
      <c r="B995" s="6" t="s">
        <v>1848</v>
      </c>
      <c r="C995" s="6" t="s">
        <v>1848</v>
      </c>
      <c r="D995" s="6">
        <v>986</v>
      </c>
      <c r="E995" s="6">
        <v>198</v>
      </c>
      <c r="F995" s="6" t="s">
        <v>1316</v>
      </c>
      <c r="G995" s="6">
        <v>198</v>
      </c>
      <c r="H995" s="6" t="s">
        <v>879</v>
      </c>
      <c r="I995" s="33">
        <v>65231071.033819996</v>
      </c>
      <c r="J995" s="88">
        <v>0.98409513057614495</v>
      </c>
      <c r="K995" s="89">
        <f>X995</f>
        <v>67714131.173480004</v>
      </c>
      <c r="L995" s="88">
        <f>IF(K999&gt;0, K995/K999, 0)</f>
        <v>0.97920815614991985</v>
      </c>
      <c r="M995" s="58"/>
      <c r="N995" s="9">
        <f>ROUND(M999*L995,0)</f>
        <v>54650974</v>
      </c>
      <c r="O995" s="9">
        <v>52065336</v>
      </c>
      <c r="P995" s="9">
        <f>N995-O995</f>
        <v>2585638</v>
      </c>
      <c r="Q995" s="40">
        <f t="shared" si="159"/>
        <v>4.9661410040645855</v>
      </c>
      <c r="R995" s="9">
        <v>5309</v>
      </c>
      <c r="S995" s="9">
        <f t="shared" si="157"/>
        <v>5293</v>
      </c>
      <c r="T995" s="90">
        <f t="shared" si="152"/>
        <v>198</v>
      </c>
      <c r="U995" s="90">
        <f t="shared" si="153"/>
        <v>198</v>
      </c>
      <c r="V995" s="373">
        <f t="shared" si="154"/>
        <v>986</v>
      </c>
      <c r="W995" s="90">
        <f t="shared" si="155"/>
        <v>5293</v>
      </c>
      <c r="X995" s="90">
        <f t="shared" si="156"/>
        <v>67714131.173480004</v>
      </c>
      <c r="Y995" s="141">
        <f t="shared" si="158"/>
        <v>986</v>
      </c>
      <c r="Z995" s="298">
        <v>198</v>
      </c>
      <c r="AA995" s="299">
        <v>198</v>
      </c>
      <c r="AB995" s="299">
        <v>986</v>
      </c>
      <c r="AC995" s="301">
        <v>5293</v>
      </c>
      <c r="AD995" s="301">
        <v>67714131.173480004</v>
      </c>
      <c r="AE995" s="126"/>
      <c r="AF995" s="298"/>
      <c r="AG995" s="299"/>
      <c r="AH995" s="299"/>
      <c r="AI995" s="301"/>
      <c r="AJ995" s="301"/>
      <c r="AK995" s="426"/>
      <c r="AL995" s="298"/>
      <c r="AM995" s="299"/>
      <c r="AN995" s="299"/>
      <c r="AO995" s="301"/>
      <c r="AP995" s="301"/>
      <c r="AQ995" s="426"/>
      <c r="AR995" s="298"/>
      <c r="AS995" s="299"/>
      <c r="AT995" s="299"/>
      <c r="AU995" s="301"/>
      <c r="AV995" s="301"/>
      <c r="AW995" s="88"/>
      <c r="AX995" s="298"/>
      <c r="AY995" s="299"/>
      <c r="AZ995" s="299"/>
      <c r="BA995" s="301"/>
      <c r="BB995" s="301"/>
      <c r="BC995" s="426"/>
      <c r="BD995" s="298"/>
      <c r="BE995" s="299"/>
      <c r="BF995" s="299"/>
      <c r="BG995" s="301"/>
      <c r="BH995" s="301"/>
      <c r="BI995" s="88"/>
      <c r="BJ995" s="298"/>
      <c r="BK995" s="299"/>
      <c r="BL995" s="299"/>
      <c r="BM995" s="301"/>
      <c r="BN995" s="301"/>
      <c r="BO995" s="88"/>
      <c r="BP995" s="9"/>
      <c r="BS995" s="81"/>
      <c r="BT995" s="81"/>
      <c r="BV995" s="9"/>
      <c r="BY995" s="81"/>
      <c r="BZ995" s="81"/>
      <c r="CB995" s="9"/>
      <c r="CE995" s="81"/>
      <c r="CF995" s="81"/>
      <c r="CH995" s="9"/>
      <c r="CK995" s="81"/>
      <c r="CL995" s="81"/>
      <c r="CR995" s="9"/>
      <c r="CS995" s="9"/>
      <c r="CT995" s="9"/>
      <c r="CU995" s="9"/>
      <c r="CV995" s="9"/>
      <c r="CW995" s="129"/>
      <c r="CX995" s="9"/>
    </row>
    <row r="996" spans="1:102">
      <c r="A996" s="6" t="str">
        <f t="shared" si="151"/>
        <v>01980829</v>
      </c>
      <c r="B996" s="6" t="s">
        <v>1848</v>
      </c>
      <c r="C996" s="6" t="s">
        <v>2073</v>
      </c>
      <c r="D996" s="6">
        <v>987</v>
      </c>
      <c r="E996" s="6">
        <v>198</v>
      </c>
      <c r="F996" s="6" t="s">
        <v>1316</v>
      </c>
      <c r="G996" s="6">
        <v>829</v>
      </c>
      <c r="H996" s="6" t="s">
        <v>1103</v>
      </c>
      <c r="I996" s="33">
        <v>1054259.5272915491</v>
      </c>
      <c r="J996" s="88">
        <v>1.5904869423855071E-2</v>
      </c>
      <c r="K996" s="89">
        <f t="shared" si="160"/>
        <v>1437796.073246029</v>
      </c>
      <c r="L996" s="88">
        <f>IF(K999&gt;0, K996/K999, 0)</f>
        <v>2.0791843850080125E-2</v>
      </c>
      <c r="M996" s="58"/>
      <c r="N996" s="9">
        <f>ROUND(M999*L996,0)</f>
        <v>1160422</v>
      </c>
      <c r="O996" s="9">
        <v>841476</v>
      </c>
      <c r="P996" s="9">
        <f>N996-O996</f>
        <v>318946</v>
      </c>
      <c r="Q996" s="40">
        <f t="shared" si="159"/>
        <v>37.903160636785842</v>
      </c>
      <c r="R996" s="9">
        <v>46.164677802630003</v>
      </c>
      <c r="S996" s="9">
        <f t="shared" si="157"/>
        <v>61.211316400520005</v>
      </c>
      <c r="T996" s="90">
        <f t="shared" si="152"/>
        <v>198</v>
      </c>
      <c r="U996" s="90">
        <f t="shared" si="153"/>
        <v>829</v>
      </c>
      <c r="V996" s="373">
        <f t="shared" si="154"/>
        <v>987</v>
      </c>
      <c r="W996" s="90">
        <f t="shared" si="155"/>
        <v>61.211316400520005</v>
      </c>
      <c r="X996" s="90">
        <f t="shared" si="156"/>
        <v>1437796.073246029</v>
      </c>
      <c r="Y996" s="141">
        <f t="shared" si="158"/>
        <v>987</v>
      </c>
      <c r="Z996" s="298">
        <v>198</v>
      </c>
      <c r="AA996" s="299">
        <v>829</v>
      </c>
      <c r="AB996" s="299">
        <v>987</v>
      </c>
      <c r="AC996" s="301">
        <v>61.211316400520005</v>
      </c>
      <c r="AD996" s="301">
        <v>1437796.073246029</v>
      </c>
      <c r="AE996" s="126"/>
      <c r="AF996" s="298"/>
      <c r="AG996" s="299"/>
      <c r="AH996" s="299"/>
      <c r="AI996" s="301"/>
      <c r="AJ996" s="301"/>
      <c r="AK996" s="426"/>
      <c r="AL996" s="298"/>
      <c r="AM996" s="299"/>
      <c r="AN996" s="299"/>
      <c r="AO996" s="301"/>
      <c r="AP996" s="301"/>
      <c r="AQ996" s="426"/>
      <c r="AR996" s="298"/>
      <c r="AS996" s="299"/>
      <c r="AT996" s="299"/>
      <c r="AU996" s="301"/>
      <c r="AV996" s="301"/>
      <c r="AW996" s="88"/>
      <c r="AX996" s="298"/>
      <c r="AY996" s="299"/>
      <c r="AZ996" s="299"/>
      <c r="BA996" s="301"/>
      <c r="BB996" s="301"/>
      <c r="BC996" s="426"/>
      <c r="BD996" s="298"/>
      <c r="BE996" s="299"/>
      <c r="BF996" s="299"/>
      <c r="BG996" s="301"/>
      <c r="BH996" s="301"/>
      <c r="BI996" s="88"/>
      <c r="BJ996" s="298"/>
      <c r="BK996" s="299"/>
      <c r="BL996" s="299"/>
      <c r="BM996" s="301"/>
      <c r="BN996" s="301"/>
      <c r="BO996" s="88"/>
      <c r="BP996" s="9"/>
      <c r="BS996" s="81"/>
      <c r="BT996" s="81"/>
      <c r="BV996" s="9"/>
      <c r="BY996" s="81"/>
      <c r="BZ996" s="81"/>
      <c r="CB996" s="9"/>
      <c r="CE996" s="81"/>
      <c r="CF996" s="81"/>
      <c r="CH996" s="9"/>
      <c r="CK996" s="81"/>
      <c r="CL996" s="81"/>
      <c r="CR996" s="9"/>
      <c r="CS996" s="9"/>
      <c r="CT996" s="9"/>
      <c r="CU996" s="9"/>
      <c r="CV996" s="9"/>
      <c r="CW996" s="129"/>
      <c r="CX996" s="9"/>
    </row>
    <row r="997" spans="1:102">
      <c r="A997" s="6" t="str">
        <f t="shared" si="151"/>
        <v>01980998</v>
      </c>
      <c r="B997" s="6" t="s">
        <v>1848</v>
      </c>
      <c r="C997" s="6" t="s">
        <v>2091</v>
      </c>
      <c r="D997" s="6">
        <v>988</v>
      </c>
      <c r="E997" s="6">
        <v>198</v>
      </c>
      <c r="F997" s="6" t="s">
        <v>1547</v>
      </c>
      <c r="G997" s="6">
        <v>998</v>
      </c>
      <c r="H997" s="6" t="s">
        <v>1547</v>
      </c>
      <c r="I997" s="33">
        <v>0</v>
      </c>
      <c r="J997" s="88">
        <v>0</v>
      </c>
      <c r="K997" s="89">
        <f t="shared" si="160"/>
        <v>0</v>
      </c>
      <c r="L997" s="88">
        <f>IF(K999&gt;0, K997/K999, 0)</f>
        <v>0</v>
      </c>
      <c r="M997" s="58"/>
      <c r="N997" s="9">
        <f>ROUND(M999*L997,0)</f>
        <v>0</v>
      </c>
      <c r="O997" s="9">
        <v>0</v>
      </c>
      <c r="P997" s="9">
        <f>N997-O997</f>
        <v>0</v>
      </c>
      <c r="Q997" s="40">
        <f t="shared" si="159"/>
        <v>0</v>
      </c>
      <c r="R997" s="9">
        <v>0</v>
      </c>
      <c r="S997" s="9">
        <f t="shared" si="157"/>
        <v>0</v>
      </c>
      <c r="T997" s="90">
        <f t="shared" si="152"/>
        <v>198</v>
      </c>
      <c r="U997" s="90">
        <f t="shared" si="153"/>
        <v>998</v>
      </c>
      <c r="V997" s="373">
        <f t="shared" si="154"/>
        <v>988</v>
      </c>
      <c r="W997" s="90">
        <f t="shared" si="155"/>
        <v>0</v>
      </c>
      <c r="X997" s="90">
        <f t="shared" si="156"/>
        <v>0</v>
      </c>
      <c r="Y997" s="141">
        <f t="shared" si="158"/>
        <v>988</v>
      </c>
      <c r="Z997" s="298">
        <v>198</v>
      </c>
      <c r="AA997" s="299">
        <v>998</v>
      </c>
      <c r="AB997" s="299">
        <v>988</v>
      </c>
      <c r="AC997" s="301">
        <v>0</v>
      </c>
      <c r="AD997" s="301">
        <v>0</v>
      </c>
      <c r="AE997" s="126"/>
      <c r="AF997" s="298"/>
      <c r="AG997" s="299"/>
      <c r="AH997" s="299"/>
      <c r="AI997" s="301"/>
      <c r="AJ997" s="301"/>
      <c r="AK997" s="426"/>
      <c r="AL997" s="298"/>
      <c r="AM997" s="299"/>
      <c r="AN997" s="299"/>
      <c r="AO997" s="301"/>
      <c r="AP997" s="301"/>
      <c r="AQ997" s="426"/>
      <c r="AR997" s="298"/>
      <c r="AS997" s="299"/>
      <c r="AT997" s="299"/>
      <c r="AU997" s="301"/>
      <c r="AV997" s="301"/>
      <c r="AW997" s="88"/>
      <c r="AX997" s="298"/>
      <c r="AY997" s="299"/>
      <c r="AZ997" s="299"/>
      <c r="BA997" s="301"/>
      <c r="BB997" s="301"/>
      <c r="BC997" s="426"/>
      <c r="BD997" s="298"/>
      <c r="BE997" s="299"/>
      <c r="BF997" s="299"/>
      <c r="BG997" s="301"/>
      <c r="BH997" s="301"/>
      <c r="BI997" s="88"/>
      <c r="BJ997" s="298"/>
      <c r="BK997" s="299"/>
      <c r="BL997" s="299"/>
      <c r="BM997" s="301"/>
      <c r="BN997" s="301"/>
      <c r="BO997" s="88"/>
      <c r="BP997" s="9"/>
      <c r="BS997" s="81"/>
      <c r="BT997" s="81"/>
      <c r="BV997" s="9"/>
      <c r="BY997" s="81"/>
      <c r="BZ997" s="81"/>
      <c r="CB997" s="9"/>
      <c r="CE997" s="81"/>
      <c r="CF997" s="81"/>
      <c r="CH997" s="9"/>
      <c r="CK997" s="81"/>
      <c r="CL997" s="81"/>
      <c r="CR997" s="9"/>
      <c r="CS997" s="9"/>
      <c r="CT997" s="9"/>
      <c r="CU997" s="9"/>
      <c r="CV997" s="9"/>
      <c r="CW997" s="129"/>
      <c r="CX997" s="9"/>
    </row>
    <row r="998" spans="1:102">
      <c r="A998" s="6" t="str">
        <f t="shared" si="151"/>
        <v>01980998</v>
      </c>
      <c r="B998" s="6" t="s">
        <v>1848</v>
      </c>
      <c r="C998" s="6" t="s">
        <v>2091</v>
      </c>
      <c r="D998" s="6">
        <v>989</v>
      </c>
      <c r="E998" s="6">
        <v>198</v>
      </c>
      <c r="F998" s="6" t="s">
        <v>1547</v>
      </c>
      <c r="G998" s="6">
        <v>998</v>
      </c>
      <c r="H998" s="6" t="s">
        <v>1547</v>
      </c>
      <c r="I998" s="33">
        <v>0</v>
      </c>
      <c r="J998" s="88">
        <v>0</v>
      </c>
      <c r="K998" s="89">
        <f t="shared" si="160"/>
        <v>0</v>
      </c>
      <c r="L998" s="88">
        <f>IF(K999&gt;0, K998/K999, 0)</f>
        <v>0</v>
      </c>
      <c r="M998" s="58"/>
      <c r="N998" s="9">
        <f>ROUND(M999*L998,0)</f>
        <v>0</v>
      </c>
      <c r="O998" s="9">
        <v>0</v>
      </c>
      <c r="P998" s="9">
        <f>N998-O998</f>
        <v>0</v>
      </c>
      <c r="Q998" s="40">
        <f t="shared" si="159"/>
        <v>0</v>
      </c>
      <c r="R998" s="9">
        <v>0</v>
      </c>
      <c r="S998" s="9">
        <f t="shared" si="157"/>
        <v>0</v>
      </c>
      <c r="T998" s="90">
        <f t="shared" si="152"/>
        <v>198</v>
      </c>
      <c r="U998" s="90">
        <f t="shared" si="153"/>
        <v>998</v>
      </c>
      <c r="V998" s="373">
        <f t="shared" si="154"/>
        <v>989</v>
      </c>
      <c r="W998" s="90">
        <f t="shared" si="155"/>
        <v>0</v>
      </c>
      <c r="X998" s="90">
        <f t="shared" si="156"/>
        <v>0</v>
      </c>
      <c r="Y998" s="141">
        <f t="shared" si="158"/>
        <v>989</v>
      </c>
      <c r="Z998" s="298">
        <v>198</v>
      </c>
      <c r="AA998" s="299">
        <v>998</v>
      </c>
      <c r="AB998" s="299">
        <v>989</v>
      </c>
      <c r="AC998" s="301">
        <v>0</v>
      </c>
      <c r="AD998" s="301">
        <v>0</v>
      </c>
      <c r="AE998" s="126"/>
      <c r="AF998" s="298"/>
      <c r="AG998" s="299"/>
      <c r="AH998" s="299"/>
      <c r="AI998" s="301"/>
      <c r="AJ998" s="301"/>
      <c r="AK998" s="426"/>
      <c r="AL998" s="298"/>
      <c r="AM998" s="299"/>
      <c r="AN998" s="299"/>
      <c r="AO998" s="301"/>
      <c r="AP998" s="301"/>
      <c r="AQ998" s="426"/>
      <c r="AR998" s="298"/>
      <c r="AS998" s="299"/>
      <c r="AT998" s="299"/>
      <c r="AU998" s="301"/>
      <c r="AV998" s="301"/>
      <c r="AW998" s="88"/>
      <c r="AX998" s="298"/>
      <c r="AY998" s="299"/>
      <c r="AZ998" s="299"/>
      <c r="BA998" s="301"/>
      <c r="BB998" s="301"/>
      <c r="BC998" s="426"/>
      <c r="BD998" s="298"/>
      <c r="BE998" s="299"/>
      <c r="BF998" s="299"/>
      <c r="BG998" s="301"/>
      <c r="BH998" s="301"/>
      <c r="BI998" s="88"/>
      <c r="BJ998" s="298"/>
      <c r="BK998" s="299"/>
      <c r="BL998" s="299"/>
      <c r="BM998" s="301"/>
      <c r="BN998" s="301"/>
      <c r="BO998" s="88"/>
      <c r="BP998" s="9"/>
      <c r="BS998" s="81"/>
      <c r="BT998" s="81"/>
      <c r="BV998" s="9"/>
      <c r="BY998" s="81"/>
      <c r="BZ998" s="81"/>
      <c r="CB998" s="9"/>
      <c r="CE998" s="81"/>
      <c r="CF998" s="81"/>
      <c r="CH998" s="9"/>
      <c r="CK998" s="81"/>
      <c r="CL998" s="81"/>
      <c r="CR998" s="9"/>
      <c r="CS998" s="9"/>
      <c r="CT998" s="9"/>
      <c r="CU998" s="9"/>
      <c r="CV998" s="9"/>
      <c r="CW998" s="129"/>
      <c r="CX998" s="9"/>
    </row>
    <row r="999" spans="1:102">
      <c r="A999" s="6" t="str">
        <f t="shared" si="151"/>
        <v>01980999</v>
      </c>
      <c r="B999" s="6" t="s">
        <v>1848</v>
      </c>
      <c r="C999" s="6" t="s">
        <v>2092</v>
      </c>
      <c r="D999" s="6">
        <v>990</v>
      </c>
      <c r="E999" s="10">
        <v>198</v>
      </c>
      <c r="F999" s="10" t="s">
        <v>1316</v>
      </c>
      <c r="G999" s="10">
        <v>999</v>
      </c>
      <c r="H999" s="10" t="s">
        <v>593</v>
      </c>
      <c r="I999" s="92">
        <v>66285330.561111547</v>
      </c>
      <c r="J999" s="472">
        <v>1</v>
      </c>
      <c r="K999" s="53">
        <f>SUM(K995:K998)</f>
        <v>69151927.246726036</v>
      </c>
      <c r="L999" s="91">
        <f>SUM(L995:L998)</f>
        <v>1</v>
      </c>
      <c r="M999" s="79">
        <f>VLOOKUP(E999,town351,24)</f>
        <v>55811396</v>
      </c>
      <c r="N999" s="79">
        <f>SUM(N995:N998)</f>
        <v>55811396</v>
      </c>
      <c r="O999" s="79">
        <v>52906812</v>
      </c>
      <c r="P999" s="79">
        <f>SUM(P995:P998)</f>
        <v>2904584</v>
      </c>
      <c r="Q999" s="39">
        <f t="shared" si="159"/>
        <v>5.4900000400704547</v>
      </c>
      <c r="R999" s="9">
        <v>5355.1646778026297</v>
      </c>
      <c r="S999" s="9">
        <f t="shared" si="157"/>
        <v>5354.2113164005204</v>
      </c>
      <c r="T999" s="90">
        <f t="shared" si="152"/>
        <v>198</v>
      </c>
      <c r="U999" s="90">
        <f t="shared" si="153"/>
        <v>999</v>
      </c>
      <c r="V999" s="373">
        <f t="shared" si="154"/>
        <v>990</v>
      </c>
      <c r="W999" s="90">
        <f t="shared" si="155"/>
        <v>5354.2113164005204</v>
      </c>
      <c r="X999" s="90">
        <f t="shared" si="156"/>
        <v>69151927.246726036</v>
      </c>
      <c r="Y999" s="141">
        <f t="shared" si="158"/>
        <v>990</v>
      </c>
      <c r="Z999" s="298">
        <v>198</v>
      </c>
      <c r="AA999" s="299">
        <v>999</v>
      </c>
      <c r="AB999" s="299">
        <v>990</v>
      </c>
      <c r="AC999" s="301">
        <v>5354.2113164005204</v>
      </c>
      <c r="AD999" s="301">
        <v>69151927.246726036</v>
      </c>
      <c r="AE999" s="126"/>
      <c r="AF999" s="298"/>
      <c r="AG999" s="299"/>
      <c r="AH999" s="299"/>
      <c r="AI999" s="301"/>
      <c r="AJ999" s="301"/>
      <c r="AK999" s="426"/>
      <c r="AL999" s="298"/>
      <c r="AM999" s="299"/>
      <c r="AN999" s="299"/>
      <c r="AO999" s="301"/>
      <c r="AP999" s="301"/>
      <c r="AQ999" s="426"/>
      <c r="AR999" s="298"/>
      <c r="AS999" s="299"/>
      <c r="AT999" s="299"/>
      <c r="AU999" s="301"/>
      <c r="AV999" s="301"/>
      <c r="AW999" s="91"/>
      <c r="AX999" s="298"/>
      <c r="AY999" s="299"/>
      <c r="AZ999" s="299"/>
      <c r="BA999" s="301"/>
      <c r="BB999" s="301"/>
      <c r="BC999" s="426"/>
      <c r="BD999" s="298"/>
      <c r="BE999" s="299"/>
      <c r="BF999" s="299"/>
      <c r="BG999" s="301"/>
      <c r="BH999" s="301"/>
      <c r="BI999" s="91"/>
      <c r="BJ999" s="298"/>
      <c r="BK999" s="299"/>
      <c r="BL999" s="299"/>
      <c r="BM999" s="301"/>
      <c r="BN999" s="301"/>
      <c r="BO999" s="91"/>
      <c r="BP999" s="9"/>
      <c r="BS999" s="81"/>
      <c r="BT999" s="81"/>
      <c r="BV999" s="9"/>
      <c r="BY999" s="81"/>
      <c r="BZ999" s="81"/>
      <c r="CB999" s="9"/>
      <c r="CE999" s="81"/>
      <c r="CF999" s="81"/>
      <c r="CH999" s="9"/>
      <c r="CK999" s="81"/>
      <c r="CL999" s="81"/>
      <c r="CR999" s="9"/>
      <c r="CS999" s="9"/>
      <c r="CT999" s="9"/>
      <c r="CU999" s="9"/>
      <c r="CV999" s="9"/>
      <c r="CW999" s="129"/>
      <c r="CX999" s="9"/>
    </row>
    <row r="1000" spans="1:102">
      <c r="A1000" s="6" t="str">
        <f t="shared" si="151"/>
        <v>01990199</v>
      </c>
      <c r="B1000" s="6" t="s">
        <v>1849</v>
      </c>
      <c r="C1000" s="6" t="s">
        <v>1849</v>
      </c>
      <c r="D1000" s="6">
        <v>991</v>
      </c>
      <c r="E1000" s="6">
        <v>199</v>
      </c>
      <c r="F1000" s="6" t="s">
        <v>1317</v>
      </c>
      <c r="G1000" s="6">
        <v>199</v>
      </c>
      <c r="H1000" s="6" t="s">
        <v>880</v>
      </c>
      <c r="I1000" s="33">
        <v>70773642.887999997</v>
      </c>
      <c r="J1000" s="88">
        <v>0.98833630619020385</v>
      </c>
      <c r="K1000" s="89">
        <f>X1000</f>
        <v>72809517.784119993</v>
      </c>
      <c r="L1000" s="88">
        <f>IF(K1004&gt;0, K1000/K1004, 0)</f>
        <v>0.98640375500457955</v>
      </c>
      <c r="M1000" s="58"/>
      <c r="N1000" s="9">
        <f>ROUND(M1004*L1000,0)</f>
        <v>60067852</v>
      </c>
      <c r="O1000" s="9">
        <v>57461187</v>
      </c>
      <c r="P1000" s="9">
        <f>N1000-O1000</f>
        <v>2606665</v>
      </c>
      <c r="Q1000" s="40">
        <f t="shared" si="159"/>
        <v>4.5363925391934563</v>
      </c>
      <c r="R1000" s="9">
        <v>5558</v>
      </c>
      <c r="S1000" s="9">
        <f t="shared" si="157"/>
        <v>5582</v>
      </c>
      <c r="T1000" s="90">
        <f t="shared" si="152"/>
        <v>199</v>
      </c>
      <c r="U1000" s="90">
        <f t="shared" si="153"/>
        <v>199</v>
      </c>
      <c r="V1000" s="373">
        <f t="shared" si="154"/>
        <v>991</v>
      </c>
      <c r="W1000" s="90">
        <f t="shared" si="155"/>
        <v>5582</v>
      </c>
      <c r="X1000" s="90">
        <f t="shared" si="156"/>
        <v>72809517.784119993</v>
      </c>
      <c r="Y1000" s="141">
        <f t="shared" si="158"/>
        <v>991</v>
      </c>
      <c r="Z1000" s="298">
        <v>199</v>
      </c>
      <c r="AA1000" s="299">
        <v>199</v>
      </c>
      <c r="AB1000" s="299">
        <v>991</v>
      </c>
      <c r="AC1000" s="301">
        <v>5582</v>
      </c>
      <c r="AD1000" s="301">
        <v>72809517.784119993</v>
      </c>
      <c r="AE1000" s="126"/>
      <c r="AF1000" s="298"/>
      <c r="AG1000" s="299"/>
      <c r="AH1000" s="299"/>
      <c r="AI1000" s="301"/>
      <c r="AJ1000" s="301"/>
      <c r="AK1000" s="426"/>
      <c r="AL1000" s="298"/>
      <c r="AM1000" s="299"/>
      <c r="AN1000" s="299"/>
      <c r="AO1000" s="301"/>
      <c r="AP1000" s="301"/>
      <c r="AQ1000" s="426"/>
      <c r="AR1000" s="298"/>
      <c r="AS1000" s="299"/>
      <c r="AT1000" s="299"/>
      <c r="AU1000" s="301"/>
      <c r="AV1000" s="301"/>
      <c r="AW1000" s="88"/>
      <c r="AX1000" s="298"/>
      <c r="AY1000" s="299"/>
      <c r="AZ1000" s="299"/>
      <c r="BA1000" s="301"/>
      <c r="BB1000" s="301"/>
      <c r="BC1000" s="426"/>
      <c r="BD1000" s="298"/>
      <c r="BE1000" s="299"/>
      <c r="BF1000" s="299"/>
      <c r="BG1000" s="301"/>
      <c r="BH1000" s="301"/>
      <c r="BI1000" s="88"/>
      <c r="BJ1000" s="298"/>
      <c r="BK1000" s="299"/>
      <c r="BL1000" s="299"/>
      <c r="BM1000" s="301"/>
      <c r="BN1000" s="301"/>
      <c r="BO1000" s="88"/>
      <c r="BP1000" s="9"/>
      <c r="BS1000" s="81"/>
      <c r="BT1000" s="81"/>
      <c r="BV1000" s="9"/>
      <c r="BY1000" s="81"/>
      <c r="BZ1000" s="81"/>
      <c r="CB1000" s="9"/>
      <c r="CE1000" s="81"/>
      <c r="CF1000" s="81"/>
      <c r="CH1000" s="9"/>
      <c r="CK1000" s="81"/>
      <c r="CL1000" s="81"/>
      <c r="CR1000" s="9"/>
      <c r="CS1000" s="9"/>
      <c r="CT1000" s="9"/>
      <c r="CU1000" s="9"/>
      <c r="CV1000" s="9"/>
      <c r="CW1000" s="129"/>
      <c r="CX1000" s="9"/>
    </row>
    <row r="1001" spans="1:102">
      <c r="A1001" s="6" t="str">
        <f t="shared" si="151"/>
        <v>01990830</v>
      </c>
      <c r="B1001" s="6" t="s">
        <v>1849</v>
      </c>
      <c r="C1001" s="6" t="s">
        <v>2074</v>
      </c>
      <c r="D1001" s="6">
        <v>992</v>
      </c>
      <c r="E1001" s="6">
        <v>199</v>
      </c>
      <c r="F1001" s="6" t="s">
        <v>1317</v>
      </c>
      <c r="G1001" s="6">
        <v>830</v>
      </c>
      <c r="H1001" s="6" t="s">
        <v>1104</v>
      </c>
      <c r="I1001" s="33">
        <v>813697.21328331891</v>
      </c>
      <c r="J1001" s="88">
        <v>1.136307904068698E-2</v>
      </c>
      <c r="K1001" s="89">
        <f t="shared" si="160"/>
        <v>981557.00273758348</v>
      </c>
      <c r="L1001" s="88">
        <f>IF(K1004&gt;0, K1001/K1004, 0)</f>
        <v>1.3297870151017027E-2</v>
      </c>
      <c r="M1001" s="58"/>
      <c r="N1001" s="9">
        <f>ROUND(M1004*L1001,0)</f>
        <v>809785</v>
      </c>
      <c r="O1001" s="9">
        <v>660642</v>
      </c>
      <c r="P1001" s="9">
        <f>N1001-O1001</f>
        <v>149143</v>
      </c>
      <c r="Q1001" s="40">
        <f t="shared" si="159"/>
        <v>22.575464472437417</v>
      </c>
      <c r="R1001" s="9">
        <v>39.00000000216</v>
      </c>
      <c r="S1001" s="9">
        <f t="shared" si="157"/>
        <v>47.000000003219995</v>
      </c>
      <c r="T1001" s="90">
        <f t="shared" si="152"/>
        <v>199</v>
      </c>
      <c r="U1001" s="90">
        <f t="shared" si="153"/>
        <v>830</v>
      </c>
      <c r="V1001" s="373">
        <f t="shared" si="154"/>
        <v>992</v>
      </c>
      <c r="W1001" s="90">
        <f t="shared" si="155"/>
        <v>47.000000003219995</v>
      </c>
      <c r="X1001" s="90">
        <f t="shared" si="156"/>
        <v>981557.00273758348</v>
      </c>
      <c r="Y1001" s="141">
        <f t="shared" si="158"/>
        <v>992</v>
      </c>
      <c r="Z1001" s="298">
        <v>199</v>
      </c>
      <c r="AA1001" s="299">
        <v>830</v>
      </c>
      <c r="AB1001" s="299">
        <v>992</v>
      </c>
      <c r="AC1001" s="301">
        <v>47.000000003219995</v>
      </c>
      <c r="AD1001" s="301">
        <v>981557.00273758348</v>
      </c>
      <c r="AE1001" s="126"/>
      <c r="AF1001" s="298"/>
      <c r="AG1001" s="299"/>
      <c r="AH1001" s="299"/>
      <c r="AI1001" s="301"/>
      <c r="AJ1001" s="301"/>
      <c r="AK1001" s="426"/>
      <c r="AL1001" s="298"/>
      <c r="AM1001" s="299"/>
      <c r="AN1001" s="299"/>
      <c r="AO1001" s="301"/>
      <c r="AP1001" s="301"/>
      <c r="AQ1001" s="426"/>
      <c r="AR1001" s="298"/>
      <c r="AS1001" s="299"/>
      <c r="AT1001" s="299"/>
      <c r="AU1001" s="301"/>
      <c r="AV1001" s="301"/>
      <c r="AW1001" s="88"/>
      <c r="AX1001" s="298"/>
      <c r="AY1001" s="299"/>
      <c r="AZ1001" s="299"/>
      <c r="BA1001" s="301"/>
      <c r="BB1001" s="301"/>
      <c r="BC1001" s="426"/>
      <c r="BD1001" s="298"/>
      <c r="BE1001" s="299"/>
      <c r="BF1001" s="299"/>
      <c r="BG1001" s="301"/>
      <c r="BH1001" s="301"/>
      <c r="BI1001" s="88"/>
      <c r="BJ1001" s="298"/>
      <c r="BK1001" s="299"/>
      <c r="BL1001" s="299"/>
      <c r="BM1001" s="301"/>
      <c r="BN1001" s="301"/>
      <c r="BO1001" s="88"/>
      <c r="BP1001" s="9"/>
      <c r="BS1001" s="81"/>
      <c r="BT1001" s="81"/>
      <c r="BV1001" s="9"/>
      <c r="BY1001" s="81"/>
      <c r="BZ1001" s="81"/>
      <c r="CB1001" s="9"/>
      <c r="CE1001" s="81"/>
      <c r="CF1001" s="81"/>
      <c r="CH1001" s="9"/>
      <c r="CK1001" s="81"/>
      <c r="CL1001" s="81"/>
      <c r="CR1001" s="9"/>
      <c r="CS1001" s="9"/>
      <c r="CT1001" s="9"/>
      <c r="CU1001" s="9"/>
      <c r="CV1001" s="9"/>
      <c r="CW1001" s="129"/>
      <c r="CX1001" s="9"/>
    </row>
    <row r="1002" spans="1:102">
      <c r="A1002" s="6" t="str">
        <f t="shared" si="151"/>
        <v>01990915</v>
      </c>
      <c r="B1002" s="6" t="s">
        <v>1849</v>
      </c>
      <c r="C1002" s="6" t="s">
        <v>2089</v>
      </c>
      <c r="D1002" s="6">
        <v>993</v>
      </c>
      <c r="E1002" s="6">
        <v>199</v>
      </c>
      <c r="F1002" s="6" t="s">
        <v>1317</v>
      </c>
      <c r="G1002" s="6">
        <v>915</v>
      </c>
      <c r="H1002" s="6" t="s">
        <v>1119</v>
      </c>
      <c r="I1002" s="33">
        <v>21526.682954523571</v>
      </c>
      <c r="J1002" s="88">
        <v>3.0061476910931805E-4</v>
      </c>
      <c r="K1002" s="89">
        <f t="shared" si="160"/>
        <v>22023.971857067027</v>
      </c>
      <c r="L1002" s="88">
        <f>IF(K1004&gt;0, K1002/K1004, 0)</f>
        <v>2.9837484440343721E-4</v>
      </c>
      <c r="M1002" s="58"/>
      <c r="N1002" s="9">
        <f>ROUND(M1004*L1002,0)</f>
        <v>18170</v>
      </c>
      <c r="O1002" s="9">
        <v>17478</v>
      </c>
      <c r="P1002" s="9">
        <f>N1002-O1002</f>
        <v>692</v>
      </c>
      <c r="Q1002" s="40">
        <f t="shared" si="159"/>
        <v>3.9592630735782124</v>
      </c>
      <c r="R1002" s="9">
        <v>1.00000000001</v>
      </c>
      <c r="S1002" s="9">
        <f t="shared" si="157"/>
        <v>0.99999999888000002</v>
      </c>
      <c r="T1002" s="90">
        <f t="shared" si="152"/>
        <v>199</v>
      </c>
      <c r="U1002" s="90">
        <f t="shared" si="153"/>
        <v>915</v>
      </c>
      <c r="V1002" s="373">
        <f t="shared" si="154"/>
        <v>993</v>
      </c>
      <c r="W1002" s="90">
        <f t="shared" si="155"/>
        <v>0.99999999888000002</v>
      </c>
      <c r="X1002" s="90">
        <f t="shared" si="156"/>
        <v>22023.971857067027</v>
      </c>
      <c r="Y1002" s="141">
        <f t="shared" si="158"/>
        <v>993</v>
      </c>
      <c r="Z1002" s="298">
        <v>199</v>
      </c>
      <c r="AA1002" s="299">
        <v>915</v>
      </c>
      <c r="AB1002" s="299">
        <v>993</v>
      </c>
      <c r="AC1002" s="301">
        <v>0.99999999888000002</v>
      </c>
      <c r="AD1002" s="301">
        <v>22023.971857067027</v>
      </c>
      <c r="AE1002" s="126"/>
      <c r="AF1002" s="298"/>
      <c r="AG1002" s="299"/>
      <c r="AH1002" s="299"/>
      <c r="AI1002" s="301"/>
      <c r="AJ1002" s="301"/>
      <c r="AK1002" s="426"/>
      <c r="AL1002" s="298"/>
      <c r="AM1002" s="299"/>
      <c r="AN1002" s="299"/>
      <c r="AO1002" s="301"/>
      <c r="AP1002" s="301"/>
      <c r="AQ1002" s="426"/>
      <c r="AR1002" s="298"/>
      <c r="AS1002" s="299"/>
      <c r="AT1002" s="299"/>
      <c r="AU1002" s="301"/>
      <c r="AV1002" s="301"/>
      <c r="AW1002" s="88"/>
      <c r="AX1002" s="298"/>
      <c r="AY1002" s="299"/>
      <c r="AZ1002" s="299"/>
      <c r="BA1002" s="301"/>
      <c r="BB1002" s="301"/>
      <c r="BC1002" s="426"/>
      <c r="BD1002" s="298"/>
      <c r="BE1002" s="299"/>
      <c r="BF1002" s="299"/>
      <c r="BG1002" s="301"/>
      <c r="BH1002" s="301"/>
      <c r="BI1002" s="88"/>
      <c r="BJ1002" s="298"/>
      <c r="BK1002" s="299"/>
      <c r="BL1002" s="299"/>
      <c r="BM1002" s="301"/>
      <c r="BN1002" s="301"/>
      <c r="BO1002" s="88"/>
      <c r="BP1002" s="9"/>
      <c r="BS1002" s="81"/>
      <c r="BT1002" s="81"/>
      <c r="BV1002" s="9"/>
      <c r="BY1002" s="81"/>
      <c r="BZ1002" s="81"/>
      <c r="CB1002" s="9"/>
      <c r="CE1002" s="81"/>
      <c r="CF1002" s="81"/>
      <c r="CH1002" s="9"/>
      <c r="CK1002" s="81"/>
      <c r="CL1002" s="81"/>
      <c r="CR1002" s="9"/>
      <c r="CS1002" s="9"/>
      <c r="CT1002" s="9"/>
      <c r="CU1002" s="9"/>
      <c r="CV1002" s="9"/>
      <c r="CW1002" s="129"/>
      <c r="CX1002" s="9"/>
    </row>
    <row r="1003" spans="1:102">
      <c r="A1003" s="6" t="str">
        <f t="shared" si="151"/>
        <v>01990998</v>
      </c>
      <c r="B1003" s="6" t="s">
        <v>1849</v>
      </c>
      <c r="C1003" s="6" t="s">
        <v>2091</v>
      </c>
      <c r="D1003" s="6">
        <v>994</v>
      </c>
      <c r="E1003" s="6">
        <v>199</v>
      </c>
      <c r="F1003" s="6" t="s">
        <v>1547</v>
      </c>
      <c r="G1003" s="6">
        <v>998</v>
      </c>
      <c r="H1003" s="6" t="s">
        <v>1547</v>
      </c>
      <c r="I1003" s="33">
        <v>0</v>
      </c>
      <c r="J1003" s="88">
        <v>0</v>
      </c>
      <c r="K1003" s="89">
        <f t="shared" si="160"/>
        <v>0</v>
      </c>
      <c r="L1003" s="88">
        <f>IF(K1004&gt;0, K1003/K1004, 0)</f>
        <v>0</v>
      </c>
      <c r="M1003" s="58"/>
      <c r="N1003" s="9">
        <f>ROUND(M1004*L1003,0)</f>
        <v>0</v>
      </c>
      <c r="O1003" s="9">
        <v>0</v>
      </c>
      <c r="P1003" s="9">
        <f>N1003-O1003</f>
        <v>0</v>
      </c>
      <c r="Q1003" s="40">
        <f t="shared" si="159"/>
        <v>0</v>
      </c>
      <c r="R1003" s="9">
        <v>0</v>
      </c>
      <c r="S1003" s="9">
        <f t="shared" si="157"/>
        <v>0</v>
      </c>
      <c r="T1003" s="90">
        <f t="shared" si="152"/>
        <v>199</v>
      </c>
      <c r="U1003" s="90">
        <f t="shared" si="153"/>
        <v>998</v>
      </c>
      <c r="V1003" s="373">
        <f t="shared" si="154"/>
        <v>994</v>
      </c>
      <c r="W1003" s="90">
        <f t="shared" si="155"/>
        <v>0</v>
      </c>
      <c r="X1003" s="90">
        <f t="shared" si="156"/>
        <v>0</v>
      </c>
      <c r="Y1003" s="141">
        <f t="shared" si="158"/>
        <v>994</v>
      </c>
      <c r="Z1003" s="298">
        <v>199</v>
      </c>
      <c r="AA1003" s="299">
        <v>998</v>
      </c>
      <c r="AB1003" s="299">
        <v>994</v>
      </c>
      <c r="AC1003" s="301">
        <v>0</v>
      </c>
      <c r="AD1003" s="301">
        <v>0</v>
      </c>
      <c r="AE1003" s="126"/>
      <c r="AF1003" s="298"/>
      <c r="AG1003" s="299"/>
      <c r="AH1003" s="299"/>
      <c r="AI1003" s="301"/>
      <c r="AJ1003" s="301"/>
      <c r="AK1003" s="426"/>
      <c r="AL1003" s="298"/>
      <c r="AM1003" s="299"/>
      <c r="AN1003" s="299"/>
      <c r="AO1003" s="301"/>
      <c r="AP1003" s="301"/>
      <c r="AQ1003" s="426"/>
      <c r="AR1003" s="298"/>
      <c r="AS1003" s="299"/>
      <c r="AT1003" s="299"/>
      <c r="AU1003" s="301"/>
      <c r="AV1003" s="301"/>
      <c r="AW1003" s="88"/>
      <c r="AX1003" s="298"/>
      <c r="AY1003" s="299"/>
      <c r="AZ1003" s="299"/>
      <c r="BA1003" s="301"/>
      <c r="BB1003" s="301"/>
      <c r="BC1003" s="426"/>
      <c r="BD1003" s="298"/>
      <c r="BE1003" s="299"/>
      <c r="BF1003" s="299"/>
      <c r="BG1003" s="301"/>
      <c r="BH1003" s="301"/>
      <c r="BI1003" s="88"/>
      <c r="BJ1003" s="298"/>
      <c r="BK1003" s="299"/>
      <c r="BL1003" s="299"/>
      <c r="BM1003" s="301"/>
      <c r="BN1003" s="301"/>
      <c r="BO1003" s="88"/>
      <c r="BP1003" s="9"/>
      <c r="BS1003" s="81"/>
      <c r="BT1003" s="81"/>
      <c r="BV1003" s="9"/>
      <c r="BY1003" s="81"/>
      <c r="BZ1003" s="81"/>
      <c r="CB1003" s="9"/>
      <c r="CE1003" s="81"/>
      <c r="CF1003" s="81"/>
      <c r="CH1003" s="9"/>
      <c r="CK1003" s="81"/>
      <c r="CL1003" s="81"/>
      <c r="CR1003" s="9"/>
      <c r="CS1003" s="9"/>
      <c r="CT1003" s="9"/>
      <c r="CU1003" s="9"/>
      <c r="CV1003" s="9"/>
      <c r="CW1003" s="129"/>
      <c r="CX1003" s="9"/>
    </row>
    <row r="1004" spans="1:102">
      <c r="A1004" s="6" t="str">
        <f t="shared" si="151"/>
        <v>01990999</v>
      </c>
      <c r="B1004" s="6" t="s">
        <v>1849</v>
      </c>
      <c r="C1004" s="6" t="s">
        <v>2092</v>
      </c>
      <c r="D1004" s="6">
        <v>995</v>
      </c>
      <c r="E1004" s="10">
        <v>199</v>
      </c>
      <c r="F1004" s="10" t="s">
        <v>1317</v>
      </c>
      <c r="G1004" s="10">
        <v>999</v>
      </c>
      <c r="H1004" s="10" t="s">
        <v>593</v>
      </c>
      <c r="I1004" s="92">
        <v>71608866.784237832</v>
      </c>
      <c r="J1004" s="472">
        <v>1.0000000000000002</v>
      </c>
      <c r="K1004" s="53">
        <f>SUM(K1000:K1003)</f>
        <v>73813098.758714646</v>
      </c>
      <c r="L1004" s="91">
        <f>SUM(L1000:L1003)</f>
        <v>1</v>
      </c>
      <c r="M1004" s="79">
        <f>VLOOKUP(E1004,town351,24)</f>
        <v>60895806</v>
      </c>
      <c r="N1004" s="79">
        <f>SUM(N1000:N1003)</f>
        <v>60895807</v>
      </c>
      <c r="O1004" s="79">
        <v>58139307</v>
      </c>
      <c r="P1004" s="79">
        <f>SUM(P1000:P1003)</f>
        <v>2756500</v>
      </c>
      <c r="Q1004" s="39">
        <f t="shared" si="159"/>
        <v>4.7411985836019683</v>
      </c>
      <c r="R1004" s="9">
        <v>5598.0000000021701</v>
      </c>
      <c r="S1004" s="9">
        <f t="shared" si="157"/>
        <v>5630.0000000021</v>
      </c>
      <c r="T1004" s="90">
        <f t="shared" si="152"/>
        <v>199</v>
      </c>
      <c r="U1004" s="90">
        <f t="shared" si="153"/>
        <v>999</v>
      </c>
      <c r="V1004" s="373">
        <f t="shared" si="154"/>
        <v>995</v>
      </c>
      <c r="W1004" s="90">
        <f t="shared" si="155"/>
        <v>5630.0000000021</v>
      </c>
      <c r="X1004" s="90">
        <f t="shared" si="156"/>
        <v>73813098.758714646</v>
      </c>
      <c r="Y1004" s="141">
        <f t="shared" si="158"/>
        <v>995</v>
      </c>
      <c r="Z1004" s="298">
        <v>199</v>
      </c>
      <c r="AA1004" s="299">
        <v>999</v>
      </c>
      <c r="AB1004" s="299">
        <v>995</v>
      </c>
      <c r="AC1004" s="301">
        <v>5630.0000000021</v>
      </c>
      <c r="AD1004" s="301">
        <v>73813098.758714646</v>
      </c>
      <c r="AE1004" s="126"/>
      <c r="AF1004" s="298"/>
      <c r="AG1004" s="299"/>
      <c r="AH1004" s="299"/>
      <c r="AI1004" s="301"/>
      <c r="AJ1004" s="301"/>
      <c r="AK1004" s="426"/>
      <c r="AL1004" s="298"/>
      <c r="AM1004" s="299"/>
      <c r="AN1004" s="299"/>
      <c r="AO1004" s="301"/>
      <c r="AP1004" s="301"/>
      <c r="AQ1004" s="426"/>
      <c r="AR1004" s="298"/>
      <c r="AS1004" s="299"/>
      <c r="AT1004" s="299"/>
      <c r="AU1004" s="301"/>
      <c r="AV1004" s="301"/>
      <c r="AW1004" s="91"/>
      <c r="AX1004" s="298"/>
      <c r="AY1004" s="299"/>
      <c r="AZ1004" s="299"/>
      <c r="BA1004" s="301"/>
      <c r="BB1004" s="301"/>
      <c r="BC1004" s="426"/>
      <c r="BD1004" s="298"/>
      <c r="BE1004" s="299"/>
      <c r="BF1004" s="299"/>
      <c r="BG1004" s="301"/>
      <c r="BH1004" s="301"/>
      <c r="BI1004" s="91"/>
      <c r="BJ1004" s="298"/>
      <c r="BK1004" s="299"/>
      <c r="BL1004" s="299"/>
      <c r="BM1004" s="301"/>
      <c r="BN1004" s="301"/>
      <c r="BO1004" s="91"/>
      <c r="BP1004" s="9"/>
      <c r="BS1004" s="81"/>
      <c r="BT1004" s="81"/>
      <c r="BV1004" s="9"/>
      <c r="BY1004" s="81"/>
      <c r="BZ1004" s="81"/>
      <c r="CB1004" s="9"/>
      <c r="CE1004" s="81"/>
      <c r="CF1004" s="81"/>
      <c r="CH1004" s="9"/>
      <c r="CK1004" s="81"/>
      <c r="CL1004" s="81"/>
      <c r="CR1004" s="9"/>
      <c r="CS1004" s="9"/>
      <c r="CT1004" s="9"/>
      <c r="CU1004" s="9"/>
      <c r="CV1004" s="9"/>
      <c r="CW1004" s="129"/>
      <c r="CX1004" s="9"/>
    </row>
    <row r="1005" spans="1:102">
      <c r="A1005" s="6" t="str">
        <f t="shared" si="151"/>
        <v>02000200</v>
      </c>
      <c r="B1005" s="6" t="s">
        <v>1850</v>
      </c>
      <c r="C1005" s="6" t="s">
        <v>1850</v>
      </c>
      <c r="D1005" s="6">
        <v>996</v>
      </c>
      <c r="E1005" s="6">
        <v>200</v>
      </c>
      <c r="F1005" s="6" t="s">
        <v>1318</v>
      </c>
      <c r="G1005" s="6">
        <v>200</v>
      </c>
      <c r="H1005" s="6" t="s">
        <v>881</v>
      </c>
      <c r="I1005" s="33">
        <v>223427.56</v>
      </c>
      <c r="J1005" s="88">
        <v>1</v>
      </c>
      <c r="K1005" s="89">
        <f>X1005</f>
        <v>183449.93</v>
      </c>
      <c r="L1005" s="88">
        <f>IF(K1009&gt;0, K1005/K1009, 0)</f>
        <v>1</v>
      </c>
      <c r="M1005" s="58"/>
      <c r="N1005" s="9">
        <f>ROUND(M1009*L1005,0)</f>
        <v>151346</v>
      </c>
      <c r="O1005" s="9">
        <v>184328</v>
      </c>
      <c r="P1005" s="9">
        <f>N1005-O1005</f>
        <v>-32982</v>
      </c>
      <c r="Q1005" s="40">
        <f t="shared" si="159"/>
        <v>-17.893103597934118</v>
      </c>
      <c r="R1005" s="9">
        <v>19</v>
      </c>
      <c r="S1005" s="9">
        <f t="shared" si="157"/>
        <v>15</v>
      </c>
      <c r="T1005" s="90">
        <f t="shared" si="152"/>
        <v>200</v>
      </c>
      <c r="U1005" s="90">
        <f t="shared" si="153"/>
        <v>200</v>
      </c>
      <c r="V1005" s="373">
        <f t="shared" si="154"/>
        <v>996</v>
      </c>
      <c r="W1005" s="90">
        <f t="shared" si="155"/>
        <v>15</v>
      </c>
      <c r="X1005" s="90">
        <f t="shared" si="156"/>
        <v>183449.93</v>
      </c>
      <c r="Y1005" s="141">
        <f t="shared" si="158"/>
        <v>996</v>
      </c>
      <c r="Z1005" s="298">
        <v>200</v>
      </c>
      <c r="AA1005" s="299">
        <v>200</v>
      </c>
      <c r="AB1005" s="299">
        <v>996</v>
      </c>
      <c r="AC1005" s="301">
        <v>15</v>
      </c>
      <c r="AD1005" s="301">
        <v>183449.93</v>
      </c>
      <c r="AE1005" s="126"/>
      <c r="AF1005" s="298"/>
      <c r="AG1005" s="299"/>
      <c r="AH1005" s="299"/>
      <c r="AI1005" s="301"/>
      <c r="AJ1005" s="301"/>
      <c r="AK1005" s="426"/>
      <c r="AL1005" s="298"/>
      <c r="AM1005" s="299"/>
      <c r="AN1005" s="299"/>
      <c r="AO1005" s="301"/>
      <c r="AP1005" s="301"/>
      <c r="AQ1005" s="426"/>
      <c r="AR1005" s="298"/>
      <c r="AS1005" s="299"/>
      <c r="AT1005" s="299"/>
      <c r="AU1005" s="301"/>
      <c r="AV1005" s="301"/>
      <c r="AW1005" s="88"/>
      <c r="AX1005" s="298"/>
      <c r="AY1005" s="299"/>
      <c r="AZ1005" s="299"/>
      <c r="BA1005" s="301"/>
      <c r="BB1005" s="301"/>
      <c r="BC1005" s="426"/>
      <c r="BD1005" s="298"/>
      <c r="BE1005" s="299"/>
      <c r="BF1005" s="299"/>
      <c r="BG1005" s="301"/>
      <c r="BH1005" s="301"/>
      <c r="BI1005" s="88"/>
      <c r="BJ1005" s="298"/>
      <c r="BK1005" s="299"/>
      <c r="BL1005" s="299"/>
      <c r="BM1005" s="301"/>
      <c r="BN1005" s="301"/>
      <c r="BO1005" s="88"/>
      <c r="BP1005" s="9"/>
      <c r="BS1005" s="81"/>
      <c r="BT1005" s="81"/>
      <c r="BV1005" s="9"/>
      <c r="BY1005" s="81"/>
      <c r="BZ1005" s="81"/>
      <c r="CB1005" s="9"/>
      <c r="CE1005" s="81"/>
      <c r="CF1005" s="81"/>
      <c r="CH1005" s="9"/>
      <c r="CK1005" s="81"/>
      <c r="CL1005" s="81"/>
      <c r="CR1005" s="9"/>
      <c r="CS1005" s="9"/>
      <c r="CT1005" s="9"/>
      <c r="CU1005" s="9"/>
      <c r="CV1005" s="9"/>
      <c r="CW1005" s="129"/>
      <c r="CX1005" s="9"/>
    </row>
    <row r="1006" spans="1:102">
      <c r="A1006" s="6" t="str">
        <f t="shared" si="151"/>
        <v>02000998</v>
      </c>
      <c r="B1006" s="6" t="s">
        <v>1850</v>
      </c>
      <c r="C1006" s="6" t="s">
        <v>2091</v>
      </c>
      <c r="D1006" s="6">
        <v>997</v>
      </c>
      <c r="E1006" s="6">
        <v>200</v>
      </c>
      <c r="F1006" s="6" t="s">
        <v>1547</v>
      </c>
      <c r="G1006" s="6">
        <v>998</v>
      </c>
      <c r="H1006" s="6" t="s">
        <v>1547</v>
      </c>
      <c r="I1006" s="33">
        <v>0</v>
      </c>
      <c r="J1006" s="88">
        <v>0</v>
      </c>
      <c r="K1006" s="89">
        <f t="shared" si="160"/>
        <v>0</v>
      </c>
      <c r="L1006" s="88">
        <f>IF(K1009&gt;0, K1006/K1009, 0)</f>
        <v>0</v>
      </c>
      <c r="M1006" s="58"/>
      <c r="N1006" s="9">
        <f>ROUND(M1009*L1006,0)</f>
        <v>0</v>
      </c>
      <c r="O1006" s="9">
        <v>0</v>
      </c>
      <c r="P1006" s="9">
        <f>N1006-O1006</f>
        <v>0</v>
      </c>
      <c r="Q1006" s="40">
        <f t="shared" si="159"/>
        <v>0</v>
      </c>
      <c r="R1006" s="9">
        <v>0</v>
      </c>
      <c r="S1006" s="9">
        <f t="shared" si="157"/>
        <v>0</v>
      </c>
      <c r="T1006" s="90">
        <f t="shared" si="152"/>
        <v>200</v>
      </c>
      <c r="U1006" s="90">
        <f t="shared" si="153"/>
        <v>998</v>
      </c>
      <c r="V1006" s="373">
        <f t="shared" si="154"/>
        <v>997</v>
      </c>
      <c r="W1006" s="90">
        <f t="shared" si="155"/>
        <v>0</v>
      </c>
      <c r="X1006" s="90">
        <f t="shared" si="156"/>
        <v>0</v>
      </c>
      <c r="Y1006" s="141">
        <f t="shared" si="158"/>
        <v>997</v>
      </c>
      <c r="Z1006" s="298">
        <v>200</v>
      </c>
      <c r="AA1006" s="299">
        <v>998</v>
      </c>
      <c r="AB1006" s="299">
        <v>997</v>
      </c>
      <c r="AC1006" s="301">
        <v>0</v>
      </c>
      <c r="AD1006" s="301">
        <v>0</v>
      </c>
      <c r="AE1006" s="126"/>
      <c r="AF1006" s="298"/>
      <c r="AG1006" s="299"/>
      <c r="AH1006" s="299"/>
      <c r="AI1006" s="301"/>
      <c r="AJ1006" s="301"/>
      <c r="AK1006" s="426"/>
      <c r="AL1006" s="298"/>
      <c r="AM1006" s="299"/>
      <c r="AN1006" s="299"/>
      <c r="AO1006" s="301"/>
      <c r="AP1006" s="301"/>
      <c r="AQ1006" s="426"/>
      <c r="AR1006" s="298"/>
      <c r="AS1006" s="299"/>
      <c r="AT1006" s="299"/>
      <c r="AU1006" s="301"/>
      <c r="AV1006" s="301"/>
      <c r="AW1006" s="88"/>
      <c r="AX1006" s="298"/>
      <c r="AY1006" s="299"/>
      <c r="AZ1006" s="299"/>
      <c r="BA1006" s="301"/>
      <c r="BB1006" s="301"/>
      <c r="BC1006" s="426"/>
      <c r="BD1006" s="298"/>
      <c r="BE1006" s="299"/>
      <c r="BF1006" s="299"/>
      <c r="BG1006" s="301"/>
      <c r="BH1006" s="301"/>
      <c r="BI1006" s="88"/>
      <c r="BJ1006" s="298"/>
      <c r="BK1006" s="299"/>
      <c r="BL1006" s="299"/>
      <c r="BM1006" s="301"/>
      <c r="BN1006" s="301"/>
      <c r="BO1006" s="88"/>
      <c r="BP1006" s="9"/>
      <c r="BS1006" s="81"/>
      <c r="BT1006" s="81"/>
      <c r="BV1006" s="9"/>
      <c r="BY1006" s="81"/>
      <c r="BZ1006" s="81"/>
      <c r="CB1006" s="9"/>
      <c r="CE1006" s="81"/>
      <c r="CF1006" s="81"/>
      <c r="CH1006" s="9"/>
      <c r="CK1006" s="81"/>
      <c r="CL1006" s="81"/>
      <c r="CR1006" s="9"/>
      <c r="CS1006" s="9"/>
      <c r="CT1006" s="9"/>
      <c r="CU1006" s="9"/>
      <c r="CV1006" s="9"/>
      <c r="CW1006" s="129"/>
      <c r="CX1006" s="9"/>
    </row>
    <row r="1007" spans="1:102">
      <c r="A1007" s="6" t="str">
        <f t="shared" si="151"/>
        <v>02000998</v>
      </c>
      <c r="B1007" s="6" t="s">
        <v>1850</v>
      </c>
      <c r="C1007" s="6" t="s">
        <v>2091</v>
      </c>
      <c r="D1007" s="6">
        <v>998</v>
      </c>
      <c r="E1007" s="6">
        <v>200</v>
      </c>
      <c r="F1007" s="6" t="s">
        <v>1547</v>
      </c>
      <c r="G1007" s="6">
        <v>998</v>
      </c>
      <c r="H1007" s="6" t="s">
        <v>1547</v>
      </c>
      <c r="I1007" s="33">
        <v>0</v>
      </c>
      <c r="J1007" s="88">
        <v>0</v>
      </c>
      <c r="K1007" s="89">
        <f t="shared" si="160"/>
        <v>0</v>
      </c>
      <c r="L1007" s="88">
        <f>IF(K1009&gt;0, K1007/K1009, 0)</f>
        <v>0</v>
      </c>
      <c r="M1007" s="58"/>
      <c r="N1007" s="9">
        <f>ROUND(M1009*L1007,0)</f>
        <v>0</v>
      </c>
      <c r="O1007" s="9">
        <v>0</v>
      </c>
      <c r="P1007" s="9">
        <f>N1007-O1007</f>
        <v>0</v>
      </c>
      <c r="Q1007" s="40">
        <f t="shared" si="159"/>
        <v>0</v>
      </c>
      <c r="R1007" s="9">
        <v>0</v>
      </c>
      <c r="S1007" s="9">
        <f t="shared" si="157"/>
        <v>0</v>
      </c>
      <c r="T1007" s="90">
        <f t="shared" si="152"/>
        <v>200</v>
      </c>
      <c r="U1007" s="90">
        <f t="shared" si="153"/>
        <v>998</v>
      </c>
      <c r="V1007" s="373">
        <f t="shared" si="154"/>
        <v>998</v>
      </c>
      <c r="W1007" s="90">
        <f t="shared" si="155"/>
        <v>0</v>
      </c>
      <c r="X1007" s="90">
        <f t="shared" si="156"/>
        <v>0</v>
      </c>
      <c r="Y1007" s="141">
        <f t="shared" si="158"/>
        <v>998</v>
      </c>
      <c r="Z1007" s="298">
        <v>200</v>
      </c>
      <c r="AA1007" s="299">
        <v>998</v>
      </c>
      <c r="AB1007" s="299">
        <v>998</v>
      </c>
      <c r="AC1007" s="301">
        <v>0</v>
      </c>
      <c r="AD1007" s="301">
        <v>0</v>
      </c>
      <c r="AE1007" s="126"/>
      <c r="AF1007" s="298"/>
      <c r="AG1007" s="299"/>
      <c r="AH1007" s="299"/>
      <c r="AI1007" s="301"/>
      <c r="AJ1007" s="301"/>
      <c r="AK1007" s="426"/>
      <c r="AL1007" s="298"/>
      <c r="AM1007" s="299"/>
      <c r="AN1007" s="299"/>
      <c r="AO1007" s="301"/>
      <c r="AP1007" s="301"/>
      <c r="AQ1007" s="426"/>
      <c r="AR1007" s="298"/>
      <c r="AS1007" s="299"/>
      <c r="AT1007" s="299"/>
      <c r="AU1007" s="301"/>
      <c r="AV1007" s="301"/>
      <c r="AW1007" s="88"/>
      <c r="AX1007" s="298"/>
      <c r="AY1007" s="299"/>
      <c r="AZ1007" s="299"/>
      <c r="BA1007" s="301"/>
      <c r="BB1007" s="301"/>
      <c r="BC1007" s="426"/>
      <c r="BD1007" s="298"/>
      <c r="BE1007" s="299"/>
      <c r="BF1007" s="299"/>
      <c r="BG1007" s="301"/>
      <c r="BH1007" s="301"/>
      <c r="BI1007" s="88"/>
      <c r="BJ1007" s="298"/>
      <c r="BK1007" s="299"/>
      <c r="BL1007" s="299"/>
      <c r="BM1007" s="301"/>
      <c r="BN1007" s="301"/>
      <c r="BO1007" s="88"/>
      <c r="BP1007" s="9"/>
      <c r="BS1007" s="81"/>
      <c r="BT1007" s="81"/>
      <c r="BV1007" s="9"/>
      <c r="BY1007" s="81"/>
      <c r="BZ1007" s="81"/>
      <c r="CB1007" s="9"/>
      <c r="CE1007" s="81"/>
      <c r="CF1007" s="81"/>
      <c r="CH1007" s="9"/>
      <c r="CK1007" s="81"/>
      <c r="CL1007" s="81"/>
      <c r="CR1007" s="9"/>
      <c r="CS1007" s="9"/>
      <c r="CT1007" s="9"/>
      <c r="CU1007" s="9"/>
      <c r="CV1007" s="9"/>
      <c r="CW1007" s="129"/>
      <c r="CX1007" s="9"/>
    </row>
    <row r="1008" spans="1:102">
      <c r="A1008" s="6" t="str">
        <f t="shared" si="151"/>
        <v>02000998</v>
      </c>
      <c r="B1008" s="6" t="s">
        <v>1850</v>
      </c>
      <c r="C1008" s="6" t="s">
        <v>2091</v>
      </c>
      <c r="D1008" s="6">
        <v>999</v>
      </c>
      <c r="E1008" s="6">
        <v>200</v>
      </c>
      <c r="F1008" s="6" t="s">
        <v>1547</v>
      </c>
      <c r="G1008" s="6">
        <v>998</v>
      </c>
      <c r="H1008" s="6" t="s">
        <v>1547</v>
      </c>
      <c r="I1008" s="33">
        <v>0</v>
      </c>
      <c r="J1008" s="88">
        <v>0</v>
      </c>
      <c r="K1008" s="89">
        <f t="shared" si="160"/>
        <v>0</v>
      </c>
      <c r="L1008" s="88">
        <f>IF(K1009&gt;0, K1008/K1009, 0)</f>
        <v>0</v>
      </c>
      <c r="M1008" s="58"/>
      <c r="N1008" s="9">
        <f>ROUND(M1009*L1008,0)</f>
        <v>0</v>
      </c>
      <c r="O1008" s="9">
        <v>0</v>
      </c>
      <c r="P1008" s="9">
        <f>N1008-O1008</f>
        <v>0</v>
      </c>
      <c r="Q1008" s="40">
        <f t="shared" si="159"/>
        <v>0</v>
      </c>
      <c r="R1008" s="9">
        <v>0</v>
      </c>
      <c r="S1008" s="9">
        <f t="shared" si="157"/>
        <v>0</v>
      </c>
      <c r="T1008" s="90">
        <f t="shared" si="152"/>
        <v>200</v>
      </c>
      <c r="U1008" s="90">
        <f t="shared" si="153"/>
        <v>998</v>
      </c>
      <c r="V1008" s="373">
        <f t="shared" si="154"/>
        <v>999</v>
      </c>
      <c r="W1008" s="90">
        <f t="shared" si="155"/>
        <v>0</v>
      </c>
      <c r="X1008" s="90">
        <f t="shared" si="156"/>
        <v>0</v>
      </c>
      <c r="Y1008" s="141">
        <f t="shared" si="158"/>
        <v>999</v>
      </c>
      <c r="Z1008" s="298">
        <v>200</v>
      </c>
      <c r="AA1008" s="299">
        <v>998</v>
      </c>
      <c r="AB1008" s="299">
        <v>999</v>
      </c>
      <c r="AC1008" s="301">
        <v>0</v>
      </c>
      <c r="AD1008" s="301">
        <v>0</v>
      </c>
      <c r="AE1008" s="126"/>
      <c r="AF1008" s="298"/>
      <c r="AG1008" s="299"/>
      <c r="AH1008" s="299"/>
      <c r="AI1008" s="301"/>
      <c r="AJ1008" s="301"/>
      <c r="AK1008" s="426"/>
      <c r="AL1008" s="298"/>
      <c r="AM1008" s="299"/>
      <c r="AN1008" s="299"/>
      <c r="AO1008" s="301"/>
      <c r="AP1008" s="301"/>
      <c r="AQ1008" s="426"/>
      <c r="AR1008" s="298"/>
      <c r="AS1008" s="299"/>
      <c r="AT1008" s="299"/>
      <c r="AU1008" s="301"/>
      <c r="AV1008" s="301"/>
      <c r="AW1008" s="88"/>
      <c r="AX1008" s="298"/>
      <c r="AY1008" s="299"/>
      <c r="AZ1008" s="299"/>
      <c r="BA1008" s="301"/>
      <c r="BB1008" s="301"/>
      <c r="BC1008" s="426"/>
      <c r="BD1008" s="298"/>
      <c r="BE1008" s="299"/>
      <c r="BF1008" s="299"/>
      <c r="BG1008" s="301"/>
      <c r="BH1008" s="301"/>
      <c r="BI1008" s="88"/>
      <c r="BJ1008" s="298"/>
      <c r="BK1008" s="299"/>
      <c r="BL1008" s="299"/>
      <c r="BM1008" s="301"/>
      <c r="BN1008" s="301"/>
      <c r="BO1008" s="88"/>
      <c r="BP1008" s="9"/>
      <c r="BS1008" s="81"/>
      <c r="BT1008" s="81"/>
      <c r="BV1008" s="9"/>
      <c r="BY1008" s="81"/>
      <c r="BZ1008" s="81"/>
      <c r="CB1008" s="9"/>
      <c r="CE1008" s="81"/>
      <c r="CF1008" s="81"/>
      <c r="CH1008" s="9"/>
      <c r="CK1008" s="81"/>
      <c r="CL1008" s="81"/>
      <c r="CR1008" s="9"/>
      <c r="CS1008" s="9"/>
      <c r="CT1008" s="9"/>
      <c r="CU1008" s="9"/>
      <c r="CV1008" s="9"/>
      <c r="CW1008" s="129"/>
      <c r="CX1008" s="9"/>
    </row>
    <row r="1009" spans="1:102">
      <c r="A1009" s="6" t="str">
        <f t="shared" si="151"/>
        <v>02000999</v>
      </c>
      <c r="B1009" s="6" t="s">
        <v>1850</v>
      </c>
      <c r="C1009" s="6" t="s">
        <v>2092</v>
      </c>
      <c r="D1009" s="6">
        <v>1000</v>
      </c>
      <c r="E1009" s="10">
        <v>200</v>
      </c>
      <c r="F1009" s="10" t="s">
        <v>1318</v>
      </c>
      <c r="G1009" s="10">
        <v>999</v>
      </c>
      <c r="H1009" s="10" t="s">
        <v>593</v>
      </c>
      <c r="I1009" s="92">
        <v>223427.56</v>
      </c>
      <c r="J1009" s="472">
        <v>1</v>
      </c>
      <c r="K1009" s="53">
        <f>SUM(K1005:K1008)</f>
        <v>183449.93</v>
      </c>
      <c r="L1009" s="91">
        <f>SUM(L1005:L1008)</f>
        <v>1</v>
      </c>
      <c r="M1009" s="79">
        <f>VLOOKUP(E1009,town351,24)</f>
        <v>151346</v>
      </c>
      <c r="N1009" s="79">
        <f>SUM(N1005:N1008)</f>
        <v>151346</v>
      </c>
      <c r="O1009" s="79">
        <v>184328</v>
      </c>
      <c r="P1009" s="79">
        <f>SUM(P1005:P1008)</f>
        <v>-32982</v>
      </c>
      <c r="Q1009" s="39">
        <f t="shared" si="159"/>
        <v>-17.893103597934118</v>
      </c>
      <c r="R1009" s="9">
        <v>19</v>
      </c>
      <c r="S1009" s="9">
        <f t="shared" si="157"/>
        <v>15</v>
      </c>
      <c r="T1009" s="90">
        <f t="shared" si="152"/>
        <v>200</v>
      </c>
      <c r="U1009" s="90">
        <f t="shared" si="153"/>
        <v>999</v>
      </c>
      <c r="V1009" s="373">
        <f t="shared" si="154"/>
        <v>1000</v>
      </c>
      <c r="W1009" s="90">
        <f t="shared" si="155"/>
        <v>15</v>
      </c>
      <c r="X1009" s="90">
        <f t="shared" si="156"/>
        <v>183449.93</v>
      </c>
      <c r="Y1009" s="141">
        <f t="shared" si="158"/>
        <v>1000</v>
      </c>
      <c r="Z1009" s="298">
        <v>200</v>
      </c>
      <c r="AA1009" s="299">
        <v>999</v>
      </c>
      <c r="AB1009" s="299">
        <v>1000</v>
      </c>
      <c r="AC1009" s="301">
        <v>15</v>
      </c>
      <c r="AD1009" s="301">
        <v>183449.93</v>
      </c>
      <c r="AE1009" s="126"/>
      <c r="AF1009" s="298"/>
      <c r="AG1009" s="299"/>
      <c r="AH1009" s="299"/>
      <c r="AI1009" s="301"/>
      <c r="AJ1009" s="301"/>
      <c r="AK1009" s="426"/>
      <c r="AL1009" s="298"/>
      <c r="AM1009" s="299"/>
      <c r="AN1009" s="299"/>
      <c r="AO1009" s="301"/>
      <c r="AP1009" s="301"/>
      <c r="AQ1009" s="426"/>
      <c r="AR1009" s="298"/>
      <c r="AS1009" s="299"/>
      <c r="AT1009" s="299"/>
      <c r="AU1009" s="301"/>
      <c r="AV1009" s="301"/>
      <c r="AW1009" s="91"/>
      <c r="AX1009" s="298"/>
      <c r="AY1009" s="299"/>
      <c r="AZ1009" s="299"/>
      <c r="BA1009" s="301"/>
      <c r="BB1009" s="301"/>
      <c r="BC1009" s="426"/>
      <c r="BD1009" s="298"/>
      <c r="BE1009" s="299"/>
      <c r="BF1009" s="299"/>
      <c r="BG1009" s="301"/>
      <c r="BH1009" s="301"/>
      <c r="BI1009" s="91"/>
      <c r="BJ1009" s="298"/>
      <c r="BK1009" s="299"/>
      <c r="BL1009" s="299"/>
      <c r="BM1009" s="301"/>
      <c r="BN1009" s="301"/>
      <c r="BO1009" s="91"/>
      <c r="BP1009" s="9"/>
      <c r="BS1009" s="81"/>
      <c r="BT1009" s="81"/>
      <c r="BV1009" s="9"/>
      <c r="BY1009" s="81"/>
      <c r="BZ1009" s="81"/>
      <c r="CB1009" s="9"/>
      <c r="CE1009" s="81"/>
      <c r="CF1009" s="81"/>
      <c r="CH1009" s="9"/>
      <c r="CK1009" s="81"/>
      <c r="CL1009" s="81"/>
      <c r="CR1009" s="9"/>
      <c r="CS1009" s="9"/>
      <c r="CT1009" s="9"/>
      <c r="CU1009" s="9"/>
      <c r="CV1009" s="9"/>
      <c r="CW1009" s="129"/>
      <c r="CX1009" s="9"/>
    </row>
    <row r="1010" spans="1:102">
      <c r="A1010" s="6" t="str">
        <f t="shared" si="151"/>
        <v>02010201</v>
      </c>
      <c r="B1010" s="6" t="s">
        <v>1851</v>
      </c>
      <c r="C1010" s="6" t="s">
        <v>1851</v>
      </c>
      <c r="D1010" s="6">
        <v>1001</v>
      </c>
      <c r="E1010" s="6">
        <v>201</v>
      </c>
      <c r="F1010" s="6" t="s">
        <v>1319</v>
      </c>
      <c r="G1010" s="6">
        <v>201</v>
      </c>
      <c r="H1010" s="6" t="s">
        <v>882</v>
      </c>
      <c r="I1010" s="33">
        <v>259908138.25999999</v>
      </c>
      <c r="J1010" s="88">
        <v>0.87686156782804758</v>
      </c>
      <c r="K1010" s="89">
        <f>X1010</f>
        <v>274431862.38999999</v>
      </c>
      <c r="L1010" s="88">
        <f>IF(K1014&gt;0, K1010/K1014, 0)</f>
        <v>0.87537788987476073</v>
      </c>
      <c r="M1010" s="58"/>
      <c r="N1010" s="9">
        <f>ROUND(M1014*L1010,0)</f>
        <v>38100672</v>
      </c>
      <c r="O1010" s="9">
        <v>35809016</v>
      </c>
      <c r="P1010" s="9">
        <f>N1010-O1010</f>
        <v>2291656</v>
      </c>
      <c r="Q1010" s="40">
        <f t="shared" si="159"/>
        <v>6.3996620292498401</v>
      </c>
      <c r="R1010" s="9">
        <v>14148</v>
      </c>
      <c r="S1010" s="9">
        <f t="shared" si="157"/>
        <v>14110</v>
      </c>
      <c r="T1010" s="90">
        <f t="shared" si="152"/>
        <v>201</v>
      </c>
      <c r="U1010" s="90">
        <f t="shared" si="153"/>
        <v>201</v>
      </c>
      <c r="V1010" s="373">
        <f t="shared" si="154"/>
        <v>1001</v>
      </c>
      <c r="W1010" s="90">
        <f t="shared" si="155"/>
        <v>14110</v>
      </c>
      <c r="X1010" s="90">
        <f t="shared" si="156"/>
        <v>274431862.38999999</v>
      </c>
      <c r="Y1010" s="141">
        <f t="shared" si="158"/>
        <v>1001</v>
      </c>
      <c r="Z1010" s="298">
        <v>201</v>
      </c>
      <c r="AA1010" s="299">
        <v>201</v>
      </c>
      <c r="AB1010" s="299">
        <v>1001</v>
      </c>
      <c r="AC1010" s="301">
        <v>14110</v>
      </c>
      <c r="AD1010" s="301">
        <v>274431862.38999999</v>
      </c>
      <c r="AE1010" s="126"/>
      <c r="AF1010" s="298"/>
      <c r="AG1010" s="299"/>
      <c r="AH1010" s="299"/>
      <c r="AI1010" s="301"/>
      <c r="AJ1010" s="301"/>
      <c r="AK1010" s="426"/>
      <c r="AL1010" s="298"/>
      <c r="AM1010" s="299"/>
      <c r="AN1010" s="299"/>
      <c r="AO1010" s="301"/>
      <c r="AP1010" s="301"/>
      <c r="AQ1010" s="426"/>
      <c r="AR1010" s="298"/>
      <c r="AS1010" s="299"/>
      <c r="AT1010" s="299"/>
      <c r="AU1010" s="301"/>
      <c r="AV1010" s="301"/>
      <c r="AW1010" s="88"/>
      <c r="AX1010" s="298"/>
      <c r="AY1010" s="299"/>
      <c r="AZ1010" s="299"/>
      <c r="BA1010" s="301"/>
      <c r="BB1010" s="301"/>
      <c r="BC1010" s="426"/>
      <c r="BD1010" s="298"/>
      <c r="BE1010" s="299"/>
      <c r="BF1010" s="299"/>
      <c r="BG1010" s="301"/>
      <c r="BH1010" s="301"/>
      <c r="BI1010" s="88"/>
      <c r="BJ1010" s="298"/>
      <c r="BK1010" s="299"/>
      <c r="BL1010" s="299"/>
      <c r="BM1010" s="301"/>
      <c r="BN1010" s="301"/>
      <c r="BO1010" s="88"/>
      <c r="BP1010" s="9"/>
      <c r="BS1010" s="81"/>
      <c r="BT1010" s="81"/>
      <c r="BV1010" s="9"/>
      <c r="BY1010" s="81"/>
      <c r="BZ1010" s="81"/>
      <c r="CB1010" s="9"/>
      <c r="CE1010" s="81"/>
      <c r="CF1010" s="81"/>
      <c r="CH1010" s="9"/>
      <c r="CK1010" s="81"/>
      <c r="CL1010" s="81"/>
      <c r="CR1010" s="9"/>
      <c r="CS1010" s="9"/>
      <c r="CT1010" s="9"/>
      <c r="CU1010" s="9"/>
      <c r="CV1010" s="9"/>
      <c r="CW1010" s="129"/>
      <c r="CX1010" s="9"/>
    </row>
    <row r="1011" spans="1:102">
      <c r="A1011" s="6" t="str">
        <f t="shared" si="151"/>
        <v>02010825</v>
      </c>
      <c r="B1011" s="6" t="s">
        <v>1851</v>
      </c>
      <c r="C1011" s="6" t="s">
        <v>2071</v>
      </c>
      <c r="D1011" s="6">
        <v>1002</v>
      </c>
      <c r="E1011" s="6">
        <v>201</v>
      </c>
      <c r="F1011" s="6" t="s">
        <v>1319</v>
      </c>
      <c r="G1011" s="6">
        <v>825</v>
      </c>
      <c r="H1011" s="6" t="s">
        <v>1101</v>
      </c>
      <c r="I1011" s="33">
        <v>35379192.734479904</v>
      </c>
      <c r="J1011" s="88">
        <v>0.11936007320637687</v>
      </c>
      <c r="K1011" s="89">
        <f t="shared" si="160"/>
        <v>37839151.790461376</v>
      </c>
      <c r="L1011" s="88">
        <f>IF(K1014&gt;0, K1011/K1014, 0)</f>
        <v>0.12069865561715418</v>
      </c>
      <c r="M1011" s="58"/>
      <c r="N1011" s="9">
        <f>ROUND(M1014*L1011,0)</f>
        <v>5253388</v>
      </c>
      <c r="O1011" s="9">
        <v>4874392</v>
      </c>
      <c r="P1011" s="9">
        <f>N1011-O1011</f>
        <v>378996</v>
      </c>
      <c r="Q1011" s="40">
        <f t="shared" si="159"/>
        <v>7.7752466358881271</v>
      </c>
      <c r="R1011" s="9">
        <v>1602.0000000074401</v>
      </c>
      <c r="S1011" s="9">
        <f t="shared" si="157"/>
        <v>1664.9999999928</v>
      </c>
      <c r="T1011" s="90">
        <f t="shared" si="152"/>
        <v>201</v>
      </c>
      <c r="U1011" s="90">
        <f t="shared" si="153"/>
        <v>825</v>
      </c>
      <c r="V1011" s="373">
        <f t="shared" si="154"/>
        <v>1002</v>
      </c>
      <c r="W1011" s="90">
        <f t="shared" si="155"/>
        <v>1664.9999999928</v>
      </c>
      <c r="X1011" s="90">
        <f t="shared" si="156"/>
        <v>37839151.790461376</v>
      </c>
      <c r="Y1011" s="141">
        <f t="shared" si="158"/>
        <v>1002</v>
      </c>
      <c r="Z1011" s="298">
        <v>201</v>
      </c>
      <c r="AA1011" s="299">
        <v>825</v>
      </c>
      <c r="AB1011" s="299">
        <v>1002</v>
      </c>
      <c r="AC1011" s="301">
        <v>1664.9999999928</v>
      </c>
      <c r="AD1011" s="301">
        <v>37839151.790461376</v>
      </c>
      <c r="AE1011" s="126"/>
      <c r="AF1011" s="298"/>
      <c r="AG1011" s="299"/>
      <c r="AH1011" s="299"/>
      <c r="AI1011" s="301"/>
      <c r="AJ1011" s="301"/>
      <c r="AK1011" s="426"/>
      <c r="AL1011" s="298"/>
      <c r="AM1011" s="299"/>
      <c r="AN1011" s="299"/>
      <c r="AO1011" s="301"/>
      <c r="AP1011" s="301"/>
      <c r="AQ1011" s="426"/>
      <c r="AR1011" s="298"/>
      <c r="AS1011" s="299"/>
      <c r="AT1011" s="299"/>
      <c r="AU1011" s="301"/>
      <c r="AV1011" s="301"/>
      <c r="AW1011" s="88"/>
      <c r="AX1011" s="298"/>
      <c r="AY1011" s="299"/>
      <c r="AZ1011" s="299"/>
      <c r="BA1011" s="301"/>
      <c r="BB1011" s="301"/>
      <c r="BC1011" s="426"/>
      <c r="BD1011" s="298"/>
      <c r="BE1011" s="299"/>
      <c r="BF1011" s="299"/>
      <c r="BG1011" s="301"/>
      <c r="BH1011" s="301"/>
      <c r="BI1011" s="88"/>
      <c r="BJ1011" s="298"/>
      <c r="BK1011" s="299"/>
      <c r="BL1011" s="299"/>
      <c r="BM1011" s="301"/>
      <c r="BN1011" s="301"/>
      <c r="BO1011" s="88"/>
      <c r="BP1011" s="9"/>
      <c r="BS1011" s="81"/>
      <c r="BT1011" s="81"/>
      <c r="BV1011" s="9"/>
      <c r="BY1011" s="81"/>
      <c r="BZ1011" s="81"/>
      <c r="CB1011" s="9"/>
      <c r="CE1011" s="81"/>
      <c r="CF1011" s="81"/>
      <c r="CH1011" s="9"/>
      <c r="CK1011" s="81"/>
      <c r="CL1011" s="81"/>
      <c r="CR1011" s="9"/>
      <c r="CS1011" s="9"/>
      <c r="CT1011" s="9"/>
      <c r="CU1011" s="9"/>
      <c r="CV1011" s="9"/>
      <c r="CW1011" s="129"/>
      <c r="CX1011" s="9"/>
    </row>
    <row r="1012" spans="1:102">
      <c r="A1012" s="6" t="str">
        <f t="shared" si="151"/>
        <v>02010910</v>
      </c>
      <c r="B1012" s="6" t="s">
        <v>1851</v>
      </c>
      <c r="C1012" s="6" t="s">
        <v>2088</v>
      </c>
      <c r="D1012" s="6">
        <v>1003</v>
      </c>
      <c r="E1012" s="6">
        <v>201</v>
      </c>
      <c r="F1012" s="6" t="s">
        <v>1319</v>
      </c>
      <c r="G1012" s="6">
        <v>910</v>
      </c>
      <c r="H1012" s="6" t="s">
        <v>1118</v>
      </c>
      <c r="I1012" s="33">
        <v>1119933.043539769</v>
      </c>
      <c r="J1012" s="88">
        <v>3.7783589655755439E-3</v>
      </c>
      <c r="K1012" s="89">
        <f t="shared" si="160"/>
        <v>1230006.994819456</v>
      </c>
      <c r="L1012" s="88">
        <f>IF(K1014&gt;0, K1012/K1014, 0)</f>
        <v>3.923454508085158E-3</v>
      </c>
      <c r="M1012" s="58"/>
      <c r="N1012" s="9">
        <f>ROUND(M1014*L1012,0)</f>
        <v>170768</v>
      </c>
      <c r="O1012" s="9">
        <v>154300</v>
      </c>
      <c r="P1012" s="9">
        <f>N1012-O1012</f>
        <v>16468</v>
      </c>
      <c r="Q1012" s="40">
        <f t="shared" si="159"/>
        <v>10.672715489306546</v>
      </c>
      <c r="R1012" s="9">
        <v>55.000000000390003</v>
      </c>
      <c r="S1012" s="9">
        <f t="shared" si="157"/>
        <v>58.999999998380005</v>
      </c>
      <c r="T1012" s="90">
        <f t="shared" si="152"/>
        <v>201</v>
      </c>
      <c r="U1012" s="90">
        <f t="shared" si="153"/>
        <v>910</v>
      </c>
      <c r="V1012" s="373">
        <f t="shared" si="154"/>
        <v>1003</v>
      </c>
      <c r="W1012" s="90">
        <f t="shared" si="155"/>
        <v>58.999999998380005</v>
      </c>
      <c r="X1012" s="90">
        <f t="shared" si="156"/>
        <v>1230006.994819456</v>
      </c>
      <c r="Y1012" s="141">
        <f t="shared" si="158"/>
        <v>1003</v>
      </c>
      <c r="Z1012" s="298">
        <v>201</v>
      </c>
      <c r="AA1012" s="299">
        <v>910</v>
      </c>
      <c r="AB1012" s="299">
        <v>1003</v>
      </c>
      <c r="AC1012" s="301">
        <v>58.999999998380005</v>
      </c>
      <c r="AD1012" s="301">
        <v>1230006.994819456</v>
      </c>
      <c r="AE1012" s="126"/>
      <c r="AF1012" s="298"/>
      <c r="AG1012" s="299"/>
      <c r="AH1012" s="299"/>
      <c r="AI1012" s="301"/>
      <c r="AJ1012" s="301"/>
      <c r="AK1012" s="426"/>
      <c r="AL1012" s="298"/>
      <c r="AM1012" s="299"/>
      <c r="AN1012" s="299"/>
      <c r="AO1012" s="301"/>
      <c r="AP1012" s="301"/>
      <c r="AQ1012" s="426"/>
      <c r="AR1012" s="298"/>
      <c r="AS1012" s="299"/>
      <c r="AT1012" s="299"/>
      <c r="AU1012" s="301"/>
      <c r="AV1012" s="301"/>
      <c r="AW1012" s="88"/>
      <c r="AX1012" s="298"/>
      <c r="AY1012" s="299"/>
      <c r="AZ1012" s="299"/>
      <c r="BA1012" s="301"/>
      <c r="BB1012" s="301"/>
      <c r="BC1012" s="426"/>
      <c r="BD1012" s="298"/>
      <c r="BE1012" s="299"/>
      <c r="BF1012" s="299"/>
      <c r="BG1012" s="301"/>
      <c r="BH1012" s="301"/>
      <c r="BI1012" s="88"/>
      <c r="BJ1012" s="298"/>
      <c r="BK1012" s="299"/>
      <c r="BL1012" s="299"/>
      <c r="BM1012" s="301"/>
      <c r="BN1012" s="301"/>
      <c r="BO1012" s="88"/>
      <c r="BP1012" s="9"/>
      <c r="BS1012" s="81"/>
      <c r="BT1012" s="81"/>
      <c r="BV1012" s="9"/>
      <c r="BY1012" s="81"/>
      <c r="BZ1012" s="81"/>
      <c r="CB1012" s="9"/>
      <c r="CE1012" s="81"/>
      <c r="CF1012" s="81"/>
      <c r="CH1012" s="9"/>
      <c r="CK1012" s="81"/>
      <c r="CL1012" s="81"/>
      <c r="CR1012" s="9"/>
      <c r="CS1012" s="9"/>
      <c r="CT1012" s="9"/>
      <c r="CU1012" s="9"/>
      <c r="CV1012" s="9"/>
      <c r="CW1012" s="129"/>
      <c r="CX1012" s="9"/>
    </row>
    <row r="1013" spans="1:102">
      <c r="A1013" s="6" t="str">
        <f t="shared" si="151"/>
        <v>02010998</v>
      </c>
      <c r="B1013" s="6" t="s">
        <v>1851</v>
      </c>
      <c r="C1013" s="6" t="s">
        <v>2091</v>
      </c>
      <c r="D1013" s="6">
        <v>1004</v>
      </c>
      <c r="E1013" s="6">
        <v>201</v>
      </c>
      <c r="F1013" s="6" t="s">
        <v>1547</v>
      </c>
      <c r="G1013" s="6">
        <v>998</v>
      </c>
      <c r="H1013" s="6" t="s">
        <v>1547</v>
      </c>
      <c r="I1013" s="33">
        <v>0</v>
      </c>
      <c r="J1013" s="88">
        <v>0</v>
      </c>
      <c r="K1013" s="89">
        <f t="shared" si="160"/>
        <v>0</v>
      </c>
      <c r="L1013" s="88">
        <f>IF(K1014&gt;0, K1013/K1014, 0)</f>
        <v>0</v>
      </c>
      <c r="M1013" s="58"/>
      <c r="N1013" s="9">
        <f>ROUND(M1014*L1013,0)</f>
        <v>0</v>
      </c>
      <c r="O1013" s="9">
        <v>0</v>
      </c>
      <c r="P1013" s="9">
        <f>N1013-O1013</f>
        <v>0</v>
      </c>
      <c r="Q1013" s="40">
        <f t="shared" si="159"/>
        <v>0</v>
      </c>
      <c r="R1013" s="9">
        <v>0</v>
      </c>
      <c r="S1013" s="9">
        <f t="shared" si="157"/>
        <v>0</v>
      </c>
      <c r="T1013" s="90">
        <f t="shared" si="152"/>
        <v>201</v>
      </c>
      <c r="U1013" s="90">
        <f t="shared" si="153"/>
        <v>998</v>
      </c>
      <c r="V1013" s="373">
        <f t="shared" si="154"/>
        <v>1004</v>
      </c>
      <c r="W1013" s="90">
        <f t="shared" si="155"/>
        <v>0</v>
      </c>
      <c r="X1013" s="90">
        <f t="shared" si="156"/>
        <v>0</v>
      </c>
      <c r="Y1013" s="141">
        <f t="shared" si="158"/>
        <v>1004</v>
      </c>
      <c r="Z1013" s="298">
        <v>201</v>
      </c>
      <c r="AA1013" s="299">
        <v>998</v>
      </c>
      <c r="AB1013" s="299">
        <v>1004</v>
      </c>
      <c r="AC1013" s="301">
        <v>0</v>
      </c>
      <c r="AD1013" s="301">
        <v>0</v>
      </c>
      <c r="AE1013" s="126"/>
      <c r="AF1013" s="298"/>
      <c r="AG1013" s="299"/>
      <c r="AH1013" s="299"/>
      <c r="AI1013" s="301"/>
      <c r="AJ1013" s="301"/>
      <c r="AK1013" s="426"/>
      <c r="AL1013" s="298"/>
      <c r="AM1013" s="299"/>
      <c r="AN1013" s="299"/>
      <c r="AO1013" s="301"/>
      <c r="AP1013" s="301"/>
      <c r="AQ1013" s="426"/>
      <c r="AR1013" s="298"/>
      <c r="AS1013" s="299"/>
      <c r="AT1013" s="299"/>
      <c r="AU1013" s="301"/>
      <c r="AV1013" s="301"/>
      <c r="AW1013" s="88"/>
      <c r="AX1013" s="298"/>
      <c r="AY1013" s="299"/>
      <c r="AZ1013" s="299"/>
      <c r="BA1013" s="301"/>
      <c r="BB1013" s="301"/>
      <c r="BC1013" s="426"/>
      <c r="BD1013" s="298"/>
      <c r="BE1013" s="299"/>
      <c r="BF1013" s="299"/>
      <c r="BG1013" s="301"/>
      <c r="BH1013" s="301"/>
      <c r="BI1013" s="88"/>
      <c r="BJ1013" s="298"/>
      <c r="BK1013" s="299"/>
      <c r="BL1013" s="299"/>
      <c r="BM1013" s="301"/>
      <c r="BN1013" s="301"/>
      <c r="BO1013" s="88"/>
      <c r="BP1013" s="9"/>
      <c r="BS1013" s="81"/>
      <c r="BT1013" s="81"/>
      <c r="BV1013" s="9"/>
      <c r="BY1013" s="81"/>
      <c r="BZ1013" s="81"/>
      <c r="CB1013" s="9"/>
      <c r="CE1013" s="81"/>
      <c r="CF1013" s="81"/>
      <c r="CH1013" s="9"/>
      <c r="CK1013" s="81"/>
      <c r="CL1013" s="81"/>
      <c r="CR1013" s="9"/>
      <c r="CS1013" s="9"/>
      <c r="CT1013" s="9"/>
      <c r="CU1013" s="9"/>
      <c r="CV1013" s="9"/>
      <c r="CW1013" s="129"/>
      <c r="CX1013" s="9"/>
    </row>
    <row r="1014" spans="1:102">
      <c r="A1014" s="6" t="str">
        <f t="shared" si="151"/>
        <v>02010999</v>
      </c>
      <c r="B1014" s="6" t="s">
        <v>1851</v>
      </c>
      <c r="C1014" s="6" t="s">
        <v>2092</v>
      </c>
      <c r="D1014" s="6">
        <v>1005</v>
      </c>
      <c r="E1014" s="10">
        <v>201</v>
      </c>
      <c r="F1014" s="10" t="s">
        <v>1319</v>
      </c>
      <c r="G1014" s="10">
        <v>999</v>
      </c>
      <c r="H1014" s="10" t="s">
        <v>593</v>
      </c>
      <c r="I1014" s="92">
        <v>296407264.03801966</v>
      </c>
      <c r="J1014" s="472">
        <v>1</v>
      </c>
      <c r="K1014" s="53">
        <f>SUM(K1010:K1013)</f>
        <v>313501021.17528081</v>
      </c>
      <c r="L1014" s="91">
        <f>SUM(L1010:L1013)</f>
        <v>1</v>
      </c>
      <c r="M1014" s="79">
        <f>VLOOKUP(E1014,town351,24)</f>
        <v>43524828</v>
      </c>
      <c r="N1014" s="79">
        <f>SUM(N1010:N1013)</f>
        <v>43524828</v>
      </c>
      <c r="O1014" s="79">
        <v>40837708</v>
      </c>
      <c r="P1014" s="79">
        <f>SUM(P1010:P1013)</f>
        <v>2687120</v>
      </c>
      <c r="Q1014" s="39">
        <f t="shared" si="159"/>
        <v>6.5799970948418558</v>
      </c>
      <c r="R1014" s="9">
        <v>15805.000000007829</v>
      </c>
      <c r="S1014" s="9">
        <f t="shared" si="157"/>
        <v>15833.99999999118</v>
      </c>
      <c r="T1014" s="90">
        <f t="shared" si="152"/>
        <v>201</v>
      </c>
      <c r="U1014" s="90">
        <f t="shared" si="153"/>
        <v>999</v>
      </c>
      <c r="V1014" s="373">
        <f t="shared" si="154"/>
        <v>1005</v>
      </c>
      <c r="W1014" s="90">
        <f t="shared" si="155"/>
        <v>15833.99999999118</v>
      </c>
      <c r="X1014" s="90">
        <f t="shared" si="156"/>
        <v>313501021.17528081</v>
      </c>
      <c r="Y1014" s="141">
        <f t="shared" si="158"/>
        <v>1005</v>
      </c>
      <c r="Z1014" s="298">
        <v>201</v>
      </c>
      <c r="AA1014" s="299">
        <v>999</v>
      </c>
      <c r="AB1014" s="299">
        <v>1005</v>
      </c>
      <c r="AC1014" s="301">
        <v>15833.99999999118</v>
      </c>
      <c r="AD1014" s="301">
        <v>313501021.17528081</v>
      </c>
      <c r="AE1014" s="126"/>
      <c r="AF1014" s="298"/>
      <c r="AG1014" s="299"/>
      <c r="AH1014" s="299"/>
      <c r="AI1014" s="301"/>
      <c r="AJ1014" s="301"/>
      <c r="AK1014" s="426"/>
      <c r="AL1014" s="298"/>
      <c r="AM1014" s="299"/>
      <c r="AN1014" s="299"/>
      <c r="AO1014" s="301"/>
      <c r="AP1014" s="301"/>
      <c r="AQ1014" s="426"/>
      <c r="AR1014" s="298"/>
      <c r="AS1014" s="299"/>
      <c r="AT1014" s="299"/>
      <c r="AU1014" s="301"/>
      <c r="AV1014" s="301"/>
      <c r="AW1014" s="91"/>
      <c r="AX1014" s="298"/>
      <c r="AY1014" s="299"/>
      <c r="AZ1014" s="299"/>
      <c r="BA1014" s="301"/>
      <c r="BB1014" s="301"/>
      <c r="BC1014" s="426"/>
      <c r="BD1014" s="298"/>
      <c r="BE1014" s="299"/>
      <c r="BF1014" s="299"/>
      <c r="BG1014" s="301"/>
      <c r="BH1014" s="301"/>
      <c r="BI1014" s="91"/>
      <c r="BJ1014" s="298"/>
      <c r="BK1014" s="299"/>
      <c r="BL1014" s="299"/>
      <c r="BM1014" s="301"/>
      <c r="BN1014" s="301"/>
      <c r="BO1014" s="91"/>
      <c r="BP1014" s="9"/>
      <c r="BS1014" s="81"/>
      <c r="BT1014" s="81"/>
      <c r="BV1014" s="9"/>
      <c r="BY1014" s="81"/>
      <c r="BZ1014" s="81"/>
      <c r="CB1014" s="9"/>
      <c r="CE1014" s="81"/>
      <c r="CF1014" s="81"/>
      <c r="CH1014" s="9"/>
      <c r="CK1014" s="81"/>
      <c r="CL1014" s="81"/>
      <c r="CR1014" s="9"/>
      <c r="CS1014" s="9"/>
      <c r="CT1014" s="9"/>
      <c r="CU1014" s="9"/>
      <c r="CV1014" s="9"/>
      <c r="CW1014" s="129"/>
      <c r="CX1014" s="9"/>
    </row>
    <row r="1015" spans="1:102">
      <c r="A1015" s="6" t="str">
        <f t="shared" si="151"/>
        <v>02020202</v>
      </c>
      <c r="B1015" s="6" t="s">
        <v>1852</v>
      </c>
      <c r="C1015" s="6" t="s">
        <v>1852</v>
      </c>
      <c r="D1015" s="6">
        <v>1006</v>
      </c>
      <c r="E1015" s="6">
        <v>202</v>
      </c>
      <c r="F1015" s="6" t="s">
        <v>1320</v>
      </c>
      <c r="G1015" s="6">
        <v>202</v>
      </c>
      <c r="H1015" s="6" t="s">
        <v>883</v>
      </c>
      <c r="I1015" s="33">
        <v>32981.520000000004</v>
      </c>
      <c r="J1015" s="88">
        <v>1.8437372938231784E-2</v>
      </c>
      <c r="K1015" s="89">
        <f>X1015</f>
        <v>16860.330000000002</v>
      </c>
      <c r="L1015" s="88">
        <f>IF(K1019&gt;0, K1015/K1019, 0)</f>
        <v>9.8535195295767937E-3</v>
      </c>
      <c r="M1015" s="58"/>
      <c r="N1015" s="9">
        <f>ROUND(M1019*L1015,0)</f>
        <v>11115</v>
      </c>
      <c r="O1015" s="9">
        <v>19885</v>
      </c>
      <c r="P1015" s="9">
        <f>N1015-O1015</f>
        <v>-8770</v>
      </c>
      <c r="Q1015" s="40">
        <f t="shared" si="159"/>
        <v>-44.103595675132006</v>
      </c>
      <c r="R1015" s="9">
        <v>2</v>
      </c>
      <c r="S1015" s="9">
        <f t="shared" si="157"/>
        <v>1</v>
      </c>
      <c r="T1015" s="90">
        <f t="shared" si="152"/>
        <v>202</v>
      </c>
      <c r="U1015" s="90">
        <f t="shared" si="153"/>
        <v>202</v>
      </c>
      <c r="V1015" s="373">
        <f t="shared" si="154"/>
        <v>1006</v>
      </c>
      <c r="W1015" s="90">
        <f t="shared" si="155"/>
        <v>1</v>
      </c>
      <c r="X1015" s="90">
        <f t="shared" si="156"/>
        <v>16860.330000000002</v>
      </c>
      <c r="Y1015" s="141">
        <f t="shared" si="158"/>
        <v>1006</v>
      </c>
      <c r="Z1015" s="298">
        <v>202</v>
      </c>
      <c r="AA1015" s="299">
        <v>202</v>
      </c>
      <c r="AB1015" s="299">
        <v>1006</v>
      </c>
      <c r="AC1015" s="301">
        <v>1</v>
      </c>
      <c r="AD1015" s="301">
        <v>16860.330000000002</v>
      </c>
      <c r="AE1015" s="126"/>
      <c r="AF1015" s="298"/>
      <c r="AG1015" s="299"/>
      <c r="AH1015" s="299"/>
      <c r="AI1015" s="301"/>
      <c r="AJ1015" s="301"/>
      <c r="AK1015" s="426"/>
      <c r="AL1015" s="298"/>
      <c r="AM1015" s="299"/>
      <c r="AN1015" s="299"/>
      <c r="AO1015" s="301"/>
      <c r="AP1015" s="301"/>
      <c r="AQ1015" s="426"/>
      <c r="AR1015" s="298"/>
      <c r="AS1015" s="299"/>
      <c r="AT1015" s="299"/>
      <c r="AU1015" s="301"/>
      <c r="AV1015" s="301"/>
      <c r="AW1015" s="88"/>
      <c r="AX1015" s="298"/>
      <c r="AY1015" s="299"/>
      <c r="AZ1015" s="299"/>
      <c r="BA1015" s="301"/>
      <c r="BB1015" s="301"/>
      <c r="BC1015" s="426"/>
      <c r="BD1015" s="298"/>
      <c r="BE1015" s="299"/>
      <c r="BF1015" s="299"/>
      <c r="BG1015" s="301"/>
      <c r="BH1015" s="301"/>
      <c r="BI1015" s="88"/>
      <c r="BJ1015" s="298"/>
      <c r="BK1015" s="299"/>
      <c r="BL1015" s="299"/>
      <c r="BM1015" s="301"/>
      <c r="BN1015" s="301"/>
      <c r="BO1015" s="88"/>
      <c r="BP1015" s="9"/>
      <c r="BS1015" s="81"/>
      <c r="BT1015" s="81"/>
      <c r="BV1015" s="9"/>
      <c r="BY1015" s="81"/>
      <c r="BZ1015" s="81"/>
      <c r="CB1015" s="9"/>
      <c r="CE1015" s="81"/>
      <c r="CF1015" s="81"/>
      <c r="CH1015" s="9"/>
      <c r="CK1015" s="81"/>
      <c r="CL1015" s="81"/>
      <c r="CR1015" s="9"/>
      <c r="CS1015" s="9"/>
      <c r="CT1015" s="9"/>
      <c r="CU1015" s="9"/>
      <c r="CV1015" s="9"/>
      <c r="CW1015" s="129"/>
      <c r="CX1015" s="9"/>
    </row>
    <row r="1016" spans="1:102">
      <c r="A1016" s="6" t="str">
        <f t="shared" si="151"/>
        <v>02020753</v>
      </c>
      <c r="B1016" s="6" t="s">
        <v>1852</v>
      </c>
      <c r="C1016" s="6" t="s">
        <v>2049</v>
      </c>
      <c r="D1016" s="6">
        <v>1007</v>
      </c>
      <c r="E1016" s="6">
        <v>202</v>
      </c>
      <c r="F1016" s="6" t="s">
        <v>1320</v>
      </c>
      <c r="G1016" s="6">
        <v>753</v>
      </c>
      <c r="H1016" s="6" t="s">
        <v>1079</v>
      </c>
      <c r="I1016" s="33">
        <v>1585870.8839119067</v>
      </c>
      <c r="J1016" s="88">
        <v>0.88653563930853108</v>
      </c>
      <c r="K1016" s="89">
        <f t="shared" si="160"/>
        <v>1476340.4102488942</v>
      </c>
      <c r="L1016" s="88">
        <f>IF(K1019&gt;0, K1016/K1019, 0)</f>
        <v>0.86280334161258365</v>
      </c>
      <c r="M1016" s="58"/>
      <c r="N1016" s="9">
        <f>ROUND(M1019*L1016,0)</f>
        <v>973282</v>
      </c>
      <c r="O1016" s="9">
        <v>956165</v>
      </c>
      <c r="P1016" s="9">
        <f>N1016-O1016</f>
        <v>17117</v>
      </c>
      <c r="Q1016" s="40">
        <f t="shared" si="159"/>
        <v>1.7901721983130527</v>
      </c>
      <c r="R1016" s="9">
        <v>114.42246520483</v>
      </c>
      <c r="S1016" s="9">
        <f t="shared" si="157"/>
        <v>102.90899950372</v>
      </c>
      <c r="T1016" s="90">
        <f t="shared" si="152"/>
        <v>202</v>
      </c>
      <c r="U1016" s="90">
        <f t="shared" si="153"/>
        <v>753</v>
      </c>
      <c r="V1016" s="373">
        <f t="shared" si="154"/>
        <v>1007</v>
      </c>
      <c r="W1016" s="90">
        <f t="shared" si="155"/>
        <v>102.90899950372</v>
      </c>
      <c r="X1016" s="90">
        <f t="shared" si="156"/>
        <v>1476340.4102488942</v>
      </c>
      <c r="Y1016" s="141">
        <f t="shared" si="158"/>
        <v>1007</v>
      </c>
      <c r="Z1016" s="298">
        <v>202</v>
      </c>
      <c r="AA1016" s="299">
        <v>753</v>
      </c>
      <c r="AB1016" s="299">
        <v>1007</v>
      </c>
      <c r="AC1016" s="301">
        <v>102.90899950372</v>
      </c>
      <c r="AD1016" s="301">
        <v>1476340.4102488942</v>
      </c>
      <c r="AE1016" s="126"/>
      <c r="AF1016" s="298"/>
      <c r="AG1016" s="299"/>
      <c r="AH1016" s="299"/>
      <c r="AI1016" s="301"/>
      <c r="AJ1016" s="301"/>
      <c r="AK1016" s="426"/>
      <c r="AL1016" s="298"/>
      <c r="AM1016" s="299"/>
      <c r="AN1016" s="299"/>
      <c r="AO1016" s="301"/>
      <c r="AP1016" s="301"/>
      <c r="AQ1016" s="426"/>
      <c r="AR1016" s="298"/>
      <c r="AS1016" s="299"/>
      <c r="AT1016" s="299"/>
      <c r="AU1016" s="301"/>
      <c r="AV1016" s="301"/>
      <c r="AW1016" s="88"/>
      <c r="AX1016" s="298"/>
      <c r="AY1016" s="299"/>
      <c r="AZ1016" s="299"/>
      <c r="BA1016" s="301"/>
      <c r="BB1016" s="301"/>
      <c r="BC1016" s="426"/>
      <c r="BD1016" s="298"/>
      <c r="BE1016" s="299"/>
      <c r="BF1016" s="299"/>
      <c r="BG1016" s="301"/>
      <c r="BH1016" s="301"/>
      <c r="BI1016" s="88"/>
      <c r="BJ1016" s="298"/>
      <c r="BK1016" s="299"/>
      <c r="BL1016" s="299"/>
      <c r="BM1016" s="301"/>
      <c r="BN1016" s="301"/>
      <c r="BO1016" s="88"/>
      <c r="BP1016" s="9"/>
      <c r="BS1016" s="81"/>
      <c r="BT1016" s="81"/>
      <c r="BV1016" s="9"/>
      <c r="BY1016" s="81"/>
      <c r="BZ1016" s="81"/>
      <c r="CB1016" s="9"/>
      <c r="CE1016" s="81"/>
      <c r="CF1016" s="81"/>
      <c r="CH1016" s="9"/>
      <c r="CK1016" s="81"/>
      <c r="CL1016" s="81"/>
      <c r="CR1016" s="9"/>
      <c r="CS1016" s="9"/>
      <c r="CT1016" s="9"/>
      <c r="CU1016" s="9"/>
      <c r="CV1016" s="9"/>
      <c r="CW1016" s="129"/>
      <c r="CX1016" s="9"/>
    </row>
    <row r="1017" spans="1:102">
      <c r="A1017" s="6" t="str">
        <f t="shared" si="151"/>
        <v>02020860</v>
      </c>
      <c r="B1017" s="6" t="s">
        <v>1852</v>
      </c>
      <c r="C1017" s="6" t="s">
        <v>2080</v>
      </c>
      <c r="D1017" s="6">
        <v>1008</v>
      </c>
      <c r="E1017" s="6">
        <v>202</v>
      </c>
      <c r="F1017" s="6" t="s">
        <v>1320</v>
      </c>
      <c r="G1017" s="6">
        <v>860</v>
      </c>
      <c r="H1017" s="6" t="s">
        <v>1110</v>
      </c>
      <c r="I1017" s="33">
        <v>169988.12724692444</v>
      </c>
      <c r="J1017" s="88">
        <v>9.5026987753237119E-2</v>
      </c>
      <c r="K1017" s="89">
        <f t="shared" si="160"/>
        <v>217896.4925105508</v>
      </c>
      <c r="L1017" s="88">
        <f>IF(K1019&gt;0, K1017/K1019, 0)</f>
        <v>0.12734313885783941</v>
      </c>
      <c r="M1017" s="58"/>
      <c r="N1017" s="9">
        <f>ROUND(M1019*L1017,0)</f>
        <v>143649</v>
      </c>
      <c r="O1017" s="9">
        <v>102491</v>
      </c>
      <c r="P1017" s="9">
        <f>N1017-O1017</f>
        <v>41158</v>
      </c>
      <c r="Q1017" s="40">
        <f t="shared" si="159"/>
        <v>40.157672380989553</v>
      </c>
      <c r="R1017" s="9">
        <v>7.9999999970799998</v>
      </c>
      <c r="S1017" s="9">
        <f t="shared" si="157"/>
        <v>10.000000002510001</v>
      </c>
      <c r="T1017" s="90">
        <f t="shared" si="152"/>
        <v>202</v>
      </c>
      <c r="U1017" s="90">
        <f t="shared" si="153"/>
        <v>860</v>
      </c>
      <c r="V1017" s="373">
        <f t="shared" si="154"/>
        <v>1008</v>
      </c>
      <c r="W1017" s="90">
        <f t="shared" si="155"/>
        <v>10.000000002510001</v>
      </c>
      <c r="X1017" s="90">
        <f t="shared" si="156"/>
        <v>217896.4925105508</v>
      </c>
      <c r="Y1017" s="141">
        <f t="shared" si="158"/>
        <v>1008</v>
      </c>
      <c r="Z1017" s="298">
        <v>202</v>
      </c>
      <c r="AA1017" s="299">
        <v>860</v>
      </c>
      <c r="AB1017" s="299">
        <v>1008</v>
      </c>
      <c r="AC1017" s="301">
        <v>10.000000002510001</v>
      </c>
      <c r="AD1017" s="301">
        <v>217896.4925105508</v>
      </c>
      <c r="AE1017" s="126"/>
      <c r="AF1017" s="298"/>
      <c r="AG1017" s="299"/>
      <c r="AH1017" s="299"/>
      <c r="AI1017" s="301"/>
      <c r="AJ1017" s="301"/>
      <c r="AK1017" s="426"/>
      <c r="AL1017" s="298"/>
      <c r="AM1017" s="299"/>
      <c r="AN1017" s="299"/>
      <c r="AO1017" s="301"/>
      <c r="AP1017" s="301"/>
      <c r="AQ1017" s="426"/>
      <c r="AR1017" s="298"/>
      <c r="AS1017" s="299"/>
      <c r="AT1017" s="299"/>
      <c r="AU1017" s="301"/>
      <c r="AV1017" s="301"/>
      <c r="AW1017" s="88"/>
      <c r="AX1017" s="298"/>
      <c r="AY1017" s="299"/>
      <c r="AZ1017" s="299"/>
      <c r="BA1017" s="301"/>
      <c r="BB1017" s="301"/>
      <c r="BC1017" s="426"/>
      <c r="BD1017" s="298"/>
      <c r="BE1017" s="299"/>
      <c r="BF1017" s="299"/>
      <c r="BG1017" s="301"/>
      <c r="BH1017" s="301"/>
      <c r="BI1017" s="88"/>
      <c r="BJ1017" s="298"/>
      <c r="BK1017" s="299"/>
      <c r="BL1017" s="299"/>
      <c r="BM1017" s="301"/>
      <c r="BN1017" s="301"/>
      <c r="BO1017" s="88"/>
      <c r="BP1017" s="9"/>
      <c r="BS1017" s="81"/>
      <c r="BT1017" s="81"/>
      <c r="BV1017" s="9"/>
      <c r="BY1017" s="81"/>
      <c r="BZ1017" s="81"/>
      <c r="CB1017" s="9"/>
      <c r="CE1017" s="81"/>
      <c r="CF1017" s="81"/>
      <c r="CH1017" s="9"/>
      <c r="CK1017" s="81"/>
      <c r="CL1017" s="81"/>
      <c r="CR1017" s="9"/>
      <c r="CS1017" s="9"/>
      <c r="CT1017" s="9"/>
      <c r="CU1017" s="9"/>
      <c r="CV1017" s="9"/>
      <c r="CW1017" s="129"/>
      <c r="CX1017" s="9"/>
    </row>
    <row r="1018" spans="1:102">
      <c r="A1018" s="6" t="str">
        <f t="shared" si="151"/>
        <v>02020998</v>
      </c>
      <c r="B1018" s="6" t="s">
        <v>1852</v>
      </c>
      <c r="C1018" s="6" t="s">
        <v>2091</v>
      </c>
      <c r="D1018" s="6">
        <v>1009</v>
      </c>
      <c r="E1018" s="6">
        <v>202</v>
      </c>
      <c r="F1018" s="6" t="s">
        <v>1547</v>
      </c>
      <c r="G1018" s="6">
        <v>998</v>
      </c>
      <c r="H1018" s="6" t="s">
        <v>1547</v>
      </c>
      <c r="I1018" s="33">
        <v>0</v>
      </c>
      <c r="J1018" s="88">
        <v>0</v>
      </c>
      <c r="K1018" s="89">
        <f t="shared" si="160"/>
        <v>0</v>
      </c>
      <c r="L1018" s="88">
        <f>IF(K1019&gt;0, K1018/K1019, 0)</f>
        <v>0</v>
      </c>
      <c r="M1018" s="58"/>
      <c r="N1018" s="9">
        <f>ROUND(M1019*L1018,0)</f>
        <v>0</v>
      </c>
      <c r="O1018" s="9">
        <v>0</v>
      </c>
      <c r="P1018" s="9">
        <f>N1018-O1018</f>
        <v>0</v>
      </c>
      <c r="Q1018" s="40">
        <f t="shared" si="159"/>
        <v>0</v>
      </c>
      <c r="R1018" s="9">
        <v>0</v>
      </c>
      <c r="S1018" s="9">
        <f t="shared" si="157"/>
        <v>0</v>
      </c>
      <c r="T1018" s="90">
        <f t="shared" si="152"/>
        <v>202</v>
      </c>
      <c r="U1018" s="90">
        <f t="shared" si="153"/>
        <v>998</v>
      </c>
      <c r="V1018" s="373">
        <f t="shared" si="154"/>
        <v>1009</v>
      </c>
      <c r="W1018" s="90">
        <f t="shared" si="155"/>
        <v>0</v>
      </c>
      <c r="X1018" s="90">
        <f t="shared" si="156"/>
        <v>0</v>
      </c>
      <c r="Y1018" s="141">
        <f t="shared" si="158"/>
        <v>1009</v>
      </c>
      <c r="Z1018" s="298">
        <v>202</v>
      </c>
      <c r="AA1018" s="299">
        <v>998</v>
      </c>
      <c r="AB1018" s="299">
        <v>1009</v>
      </c>
      <c r="AC1018" s="301">
        <v>0</v>
      </c>
      <c r="AD1018" s="301">
        <v>0</v>
      </c>
      <c r="AE1018" s="126"/>
      <c r="AF1018" s="298"/>
      <c r="AG1018" s="299"/>
      <c r="AH1018" s="299"/>
      <c r="AI1018" s="301"/>
      <c r="AJ1018" s="301"/>
      <c r="AK1018" s="426"/>
      <c r="AL1018" s="298"/>
      <c r="AM1018" s="299"/>
      <c r="AN1018" s="299"/>
      <c r="AO1018" s="301"/>
      <c r="AP1018" s="301"/>
      <c r="AQ1018" s="426"/>
      <c r="AR1018" s="298"/>
      <c r="AS1018" s="299"/>
      <c r="AT1018" s="299"/>
      <c r="AU1018" s="301"/>
      <c r="AV1018" s="301"/>
      <c r="AW1018" s="88"/>
      <c r="AX1018" s="298"/>
      <c r="AY1018" s="299"/>
      <c r="AZ1018" s="299"/>
      <c r="BA1018" s="301"/>
      <c r="BB1018" s="301"/>
      <c r="BC1018" s="426"/>
      <c r="BD1018" s="298"/>
      <c r="BE1018" s="299"/>
      <c r="BF1018" s="299"/>
      <c r="BG1018" s="301"/>
      <c r="BH1018" s="301"/>
      <c r="BI1018" s="88"/>
      <c r="BJ1018" s="298"/>
      <c r="BK1018" s="299"/>
      <c r="BL1018" s="299"/>
      <c r="BM1018" s="301"/>
      <c r="BN1018" s="301"/>
      <c r="BO1018" s="88"/>
      <c r="BP1018" s="9"/>
      <c r="BS1018" s="81"/>
      <c r="BT1018" s="81"/>
      <c r="BV1018" s="9"/>
      <c r="BY1018" s="81"/>
      <c r="BZ1018" s="81"/>
      <c r="CB1018" s="9"/>
      <c r="CE1018" s="81"/>
      <c r="CF1018" s="81"/>
      <c r="CH1018" s="9"/>
      <c r="CK1018" s="81"/>
      <c r="CL1018" s="81"/>
      <c r="CR1018" s="9"/>
      <c r="CS1018" s="9"/>
      <c r="CT1018" s="9"/>
      <c r="CU1018" s="9"/>
      <c r="CV1018" s="9"/>
      <c r="CW1018" s="129"/>
      <c r="CX1018" s="9"/>
    </row>
    <row r="1019" spans="1:102">
      <c r="A1019" s="6" t="str">
        <f t="shared" si="151"/>
        <v>02020999</v>
      </c>
      <c r="B1019" s="6" t="s">
        <v>1852</v>
      </c>
      <c r="C1019" s="6" t="s">
        <v>2092</v>
      </c>
      <c r="D1019" s="6">
        <v>1010</v>
      </c>
      <c r="E1019" s="10">
        <v>202</v>
      </c>
      <c r="F1019" s="10" t="s">
        <v>1320</v>
      </c>
      <c r="G1019" s="10">
        <v>999</v>
      </c>
      <c r="H1019" s="10" t="s">
        <v>593</v>
      </c>
      <c r="I1019" s="92">
        <v>1788840.5311588312</v>
      </c>
      <c r="J1019" s="472">
        <v>1</v>
      </c>
      <c r="K1019" s="53">
        <f>SUM(K1015:K1018)</f>
        <v>1711097.2327594452</v>
      </c>
      <c r="L1019" s="91">
        <f>SUM(L1015:L1018)</f>
        <v>0.99999999999999989</v>
      </c>
      <c r="M1019" s="79">
        <f>VLOOKUP(E1019,town351,24)</f>
        <v>1128046</v>
      </c>
      <c r="N1019" s="79">
        <f>SUM(N1015:N1018)</f>
        <v>1128046</v>
      </c>
      <c r="O1019" s="79">
        <v>1078541</v>
      </c>
      <c r="P1019" s="79">
        <f>SUM(P1015:P1018)</f>
        <v>49505</v>
      </c>
      <c r="Q1019" s="39">
        <f t="shared" si="159"/>
        <v>4.5899970423006637</v>
      </c>
      <c r="R1019" s="9">
        <v>124.42246520191</v>
      </c>
      <c r="S1019" s="9">
        <f t="shared" si="157"/>
        <v>113.90899950623</v>
      </c>
      <c r="T1019" s="90">
        <f t="shared" si="152"/>
        <v>202</v>
      </c>
      <c r="U1019" s="90">
        <f t="shared" si="153"/>
        <v>999</v>
      </c>
      <c r="V1019" s="373">
        <f t="shared" si="154"/>
        <v>1010</v>
      </c>
      <c r="W1019" s="90">
        <f t="shared" si="155"/>
        <v>113.90899950623</v>
      </c>
      <c r="X1019" s="90">
        <f t="shared" si="156"/>
        <v>1711097.2327594452</v>
      </c>
      <c r="Y1019" s="141">
        <f t="shared" si="158"/>
        <v>1010</v>
      </c>
      <c r="Z1019" s="298">
        <v>202</v>
      </c>
      <c r="AA1019" s="299">
        <v>999</v>
      </c>
      <c r="AB1019" s="299">
        <v>1010</v>
      </c>
      <c r="AC1019" s="301">
        <v>113.90899950623</v>
      </c>
      <c r="AD1019" s="301">
        <v>1711097.2327594452</v>
      </c>
      <c r="AE1019" s="126"/>
      <c r="AF1019" s="298"/>
      <c r="AG1019" s="299"/>
      <c r="AH1019" s="299"/>
      <c r="AI1019" s="301"/>
      <c r="AJ1019" s="301"/>
      <c r="AK1019" s="426"/>
      <c r="AL1019" s="298"/>
      <c r="AM1019" s="299"/>
      <c r="AN1019" s="299"/>
      <c r="AO1019" s="301"/>
      <c r="AP1019" s="301"/>
      <c r="AQ1019" s="426"/>
      <c r="AR1019" s="298"/>
      <c r="AS1019" s="299"/>
      <c r="AT1019" s="299"/>
      <c r="AU1019" s="301"/>
      <c r="AV1019" s="301"/>
      <c r="AW1019" s="91"/>
      <c r="AX1019" s="298"/>
      <c r="AY1019" s="299"/>
      <c r="AZ1019" s="299"/>
      <c r="BA1019" s="301"/>
      <c r="BB1019" s="301"/>
      <c r="BC1019" s="426"/>
      <c r="BD1019" s="298"/>
      <c r="BE1019" s="299"/>
      <c r="BF1019" s="299"/>
      <c r="BG1019" s="301"/>
      <c r="BH1019" s="301"/>
      <c r="BI1019" s="91"/>
      <c r="BJ1019" s="298"/>
      <c r="BK1019" s="299"/>
      <c r="BL1019" s="299"/>
      <c r="BM1019" s="301"/>
      <c r="BN1019" s="301"/>
      <c r="BO1019" s="91"/>
      <c r="BP1019" s="9"/>
      <c r="BS1019" s="81"/>
      <c r="BT1019" s="81"/>
      <c r="BV1019" s="9"/>
      <c r="BY1019" s="81"/>
      <c r="BZ1019" s="81"/>
      <c r="CB1019" s="9"/>
      <c r="CE1019" s="81"/>
      <c r="CF1019" s="81"/>
      <c r="CH1019" s="9"/>
      <c r="CK1019" s="81"/>
      <c r="CL1019" s="81"/>
      <c r="CR1019" s="9"/>
      <c r="CS1019" s="9"/>
      <c r="CT1019" s="9"/>
      <c r="CU1019" s="9"/>
      <c r="CV1019" s="9"/>
      <c r="CW1019" s="129"/>
      <c r="CX1019" s="9"/>
    </row>
    <row r="1020" spans="1:102">
      <c r="A1020" s="6" t="str">
        <f t="shared" si="151"/>
        <v>02030203</v>
      </c>
      <c r="B1020" s="6" t="s">
        <v>1853</v>
      </c>
      <c r="C1020" s="6" t="s">
        <v>1853</v>
      </c>
      <c r="D1020" s="6">
        <v>1011</v>
      </c>
      <c r="E1020" s="6">
        <v>203</v>
      </c>
      <c r="F1020" s="6" t="s">
        <v>1321</v>
      </c>
      <c r="G1020" s="6">
        <v>203</v>
      </c>
      <c r="H1020" s="6" t="s">
        <v>884</v>
      </c>
      <c r="I1020" s="33">
        <v>17004.397409999998</v>
      </c>
      <c r="J1020" s="88">
        <v>1.885945393122471E-3</v>
      </c>
      <c r="K1020" s="89">
        <f>X1020</f>
        <v>52022.572920000006</v>
      </c>
      <c r="L1020" s="88">
        <f>IF(K1024&gt;0, K1020/K1024, 0)</f>
        <v>5.766851286764599E-3</v>
      </c>
      <c r="M1020" s="58"/>
      <c r="N1020" s="9">
        <f>ROUND(M1024*L1020,0)</f>
        <v>42919</v>
      </c>
      <c r="O1020" s="9">
        <v>12936</v>
      </c>
      <c r="P1020" s="9">
        <f>N1020-O1020</f>
        <v>29983</v>
      </c>
      <c r="Q1020" s="40">
        <f t="shared" si="159"/>
        <v>231.77952999381571</v>
      </c>
      <c r="R1020" s="9">
        <v>1</v>
      </c>
      <c r="S1020" s="9">
        <f t="shared" si="157"/>
        <v>3</v>
      </c>
      <c r="T1020" s="90">
        <f t="shared" si="152"/>
        <v>203</v>
      </c>
      <c r="U1020" s="90">
        <f t="shared" si="153"/>
        <v>203</v>
      </c>
      <c r="V1020" s="373">
        <f t="shared" si="154"/>
        <v>1011</v>
      </c>
      <c r="W1020" s="90">
        <f t="shared" si="155"/>
        <v>3</v>
      </c>
      <c r="X1020" s="90">
        <f t="shared" si="156"/>
        <v>52022.572920000006</v>
      </c>
      <c r="Y1020" s="141">
        <f t="shared" si="158"/>
        <v>1011</v>
      </c>
      <c r="Z1020" s="298">
        <v>203</v>
      </c>
      <c r="AA1020" s="299">
        <v>203</v>
      </c>
      <c r="AB1020" s="299">
        <v>1011</v>
      </c>
      <c r="AC1020" s="301">
        <v>3</v>
      </c>
      <c r="AD1020" s="301">
        <v>52022.572920000006</v>
      </c>
      <c r="AE1020" s="126"/>
      <c r="AF1020" s="298"/>
      <c r="AG1020" s="299"/>
      <c r="AH1020" s="299"/>
      <c r="AI1020" s="301"/>
      <c r="AJ1020" s="301"/>
      <c r="AK1020" s="426"/>
      <c r="AL1020" s="298"/>
      <c r="AM1020" s="299"/>
      <c r="AN1020" s="299"/>
      <c r="AO1020" s="301"/>
      <c r="AP1020" s="301"/>
      <c r="AQ1020" s="426"/>
      <c r="AR1020" s="298"/>
      <c r="AS1020" s="299"/>
      <c r="AT1020" s="299"/>
      <c r="AU1020" s="301"/>
      <c r="AV1020" s="301"/>
      <c r="AW1020" s="88"/>
      <c r="AX1020" s="298"/>
      <c r="AY1020" s="299"/>
      <c r="AZ1020" s="299"/>
      <c r="BA1020" s="301"/>
      <c r="BB1020" s="301"/>
      <c r="BC1020" s="426"/>
      <c r="BD1020" s="298"/>
      <c r="BE1020" s="299"/>
      <c r="BF1020" s="299"/>
      <c r="BG1020" s="301"/>
      <c r="BH1020" s="301"/>
      <c r="BI1020" s="88"/>
      <c r="BJ1020" s="298"/>
      <c r="BK1020" s="299"/>
      <c r="BL1020" s="299"/>
      <c r="BM1020" s="301"/>
      <c r="BN1020" s="301"/>
      <c r="BO1020" s="88"/>
      <c r="BP1020" s="9"/>
      <c r="BS1020" s="81"/>
      <c r="BT1020" s="81"/>
      <c r="BV1020" s="9"/>
      <c r="BY1020" s="81"/>
      <c r="BZ1020" s="81"/>
      <c r="CB1020" s="9"/>
      <c r="CE1020" s="81"/>
      <c r="CF1020" s="81"/>
      <c r="CH1020" s="9"/>
      <c r="CK1020" s="81"/>
      <c r="CL1020" s="81"/>
      <c r="CR1020" s="9"/>
      <c r="CS1020" s="9"/>
      <c r="CT1020" s="9"/>
      <c r="CU1020" s="9"/>
      <c r="CV1020" s="9"/>
      <c r="CW1020" s="129"/>
      <c r="CX1020" s="9"/>
    </row>
    <row r="1021" spans="1:102">
      <c r="A1021" s="6" t="str">
        <f t="shared" si="151"/>
        <v>02030773</v>
      </c>
      <c r="B1021" s="6" t="s">
        <v>1853</v>
      </c>
      <c r="C1021" s="6" t="s">
        <v>2057</v>
      </c>
      <c r="D1021" s="6">
        <v>1012</v>
      </c>
      <c r="E1021" s="6">
        <v>203</v>
      </c>
      <c r="F1021" s="6" t="s">
        <v>1321</v>
      </c>
      <c r="G1021" s="6">
        <v>773</v>
      </c>
      <c r="H1021" s="6" t="s">
        <v>1087</v>
      </c>
      <c r="I1021" s="33">
        <v>8666581.6018287875</v>
      </c>
      <c r="J1021" s="88">
        <v>0.96120428451507056</v>
      </c>
      <c r="K1021" s="89">
        <f t="shared" si="160"/>
        <v>8627410.4962582532</v>
      </c>
      <c r="L1021" s="88">
        <f>IF(K1024&gt;0, K1021/K1024, 0)</f>
        <v>0.95637317666512123</v>
      </c>
      <c r="M1021" s="58"/>
      <c r="N1021" s="9">
        <f>ROUND(M1024*L1021,0)</f>
        <v>7117613</v>
      </c>
      <c r="O1021" s="9">
        <v>6593143</v>
      </c>
      <c r="P1021" s="9">
        <f>N1021-O1021</f>
        <v>524470</v>
      </c>
      <c r="Q1021" s="40">
        <f t="shared" si="159"/>
        <v>7.9547796855005268</v>
      </c>
      <c r="R1021" s="9">
        <v>633.87461093328</v>
      </c>
      <c r="S1021" s="9">
        <f t="shared" si="157"/>
        <v>617.42263279619999</v>
      </c>
      <c r="T1021" s="90">
        <f t="shared" si="152"/>
        <v>203</v>
      </c>
      <c r="U1021" s="90">
        <f t="shared" si="153"/>
        <v>773</v>
      </c>
      <c r="V1021" s="373">
        <f t="shared" si="154"/>
        <v>1012</v>
      </c>
      <c r="W1021" s="90">
        <f t="shared" si="155"/>
        <v>617.42263279619999</v>
      </c>
      <c r="X1021" s="90">
        <f t="shared" si="156"/>
        <v>8627410.4962582532</v>
      </c>
      <c r="Y1021" s="141">
        <f t="shared" si="158"/>
        <v>1012</v>
      </c>
      <c r="Z1021" s="298">
        <v>203</v>
      </c>
      <c r="AA1021" s="299">
        <v>773</v>
      </c>
      <c r="AB1021" s="299">
        <v>1012</v>
      </c>
      <c r="AC1021" s="301">
        <v>617.42263279619999</v>
      </c>
      <c r="AD1021" s="301">
        <v>8627410.4962582532</v>
      </c>
      <c r="AE1021" s="126"/>
      <c r="AF1021" s="298"/>
      <c r="AG1021" s="299"/>
      <c r="AH1021" s="299"/>
      <c r="AI1021" s="301"/>
      <c r="AJ1021" s="301"/>
      <c r="AK1021" s="426"/>
      <c r="AL1021" s="298"/>
      <c r="AM1021" s="299"/>
      <c r="AN1021" s="299"/>
      <c r="AO1021" s="301"/>
      <c r="AP1021" s="301"/>
      <c r="AQ1021" s="426"/>
      <c r="AR1021" s="298"/>
      <c r="AS1021" s="299"/>
      <c r="AT1021" s="299"/>
      <c r="AU1021" s="301"/>
      <c r="AV1021" s="301"/>
      <c r="AW1021" s="88"/>
      <c r="AX1021" s="298"/>
      <c r="AY1021" s="299"/>
      <c r="AZ1021" s="299"/>
      <c r="BA1021" s="301"/>
      <c r="BB1021" s="301"/>
      <c r="BC1021" s="426"/>
      <c r="BD1021" s="298"/>
      <c r="BE1021" s="299"/>
      <c r="BF1021" s="299"/>
      <c r="BG1021" s="301"/>
      <c r="BH1021" s="301"/>
      <c r="BI1021" s="88"/>
      <c r="BJ1021" s="298"/>
      <c r="BK1021" s="299"/>
      <c r="BL1021" s="299"/>
      <c r="BM1021" s="301"/>
      <c r="BN1021" s="301"/>
      <c r="BO1021" s="88"/>
      <c r="BP1021" s="9"/>
      <c r="BS1021" s="81"/>
      <c r="BT1021" s="81"/>
      <c r="BV1021" s="9"/>
      <c r="BY1021" s="81"/>
      <c r="BZ1021" s="81"/>
      <c r="CB1021" s="9"/>
      <c r="CE1021" s="81"/>
      <c r="CF1021" s="81"/>
      <c r="CH1021" s="9"/>
      <c r="CK1021" s="81"/>
      <c r="CL1021" s="81"/>
      <c r="CR1021" s="9"/>
      <c r="CS1021" s="9"/>
      <c r="CT1021" s="9"/>
      <c r="CU1021" s="9"/>
      <c r="CV1021" s="9"/>
      <c r="CW1021" s="129"/>
      <c r="CX1021" s="9"/>
    </row>
    <row r="1022" spans="1:102">
      <c r="A1022" s="6" t="str">
        <f t="shared" si="151"/>
        <v>02030885</v>
      </c>
      <c r="B1022" s="6" t="s">
        <v>1853</v>
      </c>
      <c r="C1022" s="6" t="s">
        <v>2087</v>
      </c>
      <c r="D1022" s="6">
        <v>1013</v>
      </c>
      <c r="E1022" s="6">
        <v>203</v>
      </c>
      <c r="F1022" s="6" t="s">
        <v>1321</v>
      </c>
      <c r="G1022" s="6">
        <v>885</v>
      </c>
      <c r="H1022" s="6" t="s">
        <v>1117</v>
      </c>
      <c r="I1022" s="33">
        <v>332792.45583759085</v>
      </c>
      <c r="J1022" s="88">
        <v>3.6909770091806973E-2</v>
      </c>
      <c r="K1022" s="89">
        <f t="shared" si="160"/>
        <v>341533.54381489148</v>
      </c>
      <c r="L1022" s="88">
        <f>IF(K1024&gt;0, K1022/K1024, 0)</f>
        <v>3.785997204811415E-2</v>
      </c>
      <c r="M1022" s="58"/>
      <c r="N1022" s="9">
        <f>ROUND(M1024*L1022,0)</f>
        <v>281765</v>
      </c>
      <c r="O1022" s="9">
        <v>253173</v>
      </c>
      <c r="P1022" s="9">
        <f>N1022-O1022</f>
        <v>28592</v>
      </c>
      <c r="Q1022" s="40">
        <f t="shared" si="159"/>
        <v>11.293463362996844</v>
      </c>
      <c r="R1022" s="9">
        <v>16.000000002749999</v>
      </c>
      <c r="S1022" s="9">
        <f t="shared" si="157"/>
        <v>16.0376766069</v>
      </c>
      <c r="T1022" s="90">
        <f t="shared" si="152"/>
        <v>203</v>
      </c>
      <c r="U1022" s="90">
        <f t="shared" si="153"/>
        <v>885</v>
      </c>
      <c r="V1022" s="373">
        <f t="shared" si="154"/>
        <v>1013</v>
      </c>
      <c r="W1022" s="90">
        <f t="shared" si="155"/>
        <v>16.0376766069</v>
      </c>
      <c r="X1022" s="90">
        <f t="shared" si="156"/>
        <v>341533.54381489148</v>
      </c>
      <c r="Y1022" s="141">
        <f t="shared" si="158"/>
        <v>1013</v>
      </c>
      <c r="Z1022" s="298">
        <v>203</v>
      </c>
      <c r="AA1022" s="299">
        <v>885</v>
      </c>
      <c r="AB1022" s="299">
        <v>1013</v>
      </c>
      <c r="AC1022" s="301">
        <v>16.0376766069</v>
      </c>
      <c r="AD1022" s="301">
        <v>341533.54381489148</v>
      </c>
      <c r="AE1022" s="126"/>
      <c r="AF1022" s="298"/>
      <c r="AG1022" s="299"/>
      <c r="AH1022" s="299"/>
      <c r="AI1022" s="301"/>
      <c r="AJ1022" s="301"/>
      <c r="AK1022" s="426"/>
      <c r="AL1022" s="298"/>
      <c r="AM1022" s="299"/>
      <c r="AN1022" s="299"/>
      <c r="AO1022" s="301"/>
      <c r="AP1022" s="301"/>
      <c r="AQ1022" s="426"/>
      <c r="AR1022" s="298"/>
      <c r="AS1022" s="299"/>
      <c r="AT1022" s="299"/>
      <c r="AU1022" s="301"/>
      <c r="AV1022" s="301"/>
      <c r="AW1022" s="88"/>
      <c r="AX1022" s="298"/>
      <c r="AY1022" s="299"/>
      <c r="AZ1022" s="299"/>
      <c r="BA1022" s="301"/>
      <c r="BB1022" s="301"/>
      <c r="BC1022" s="426"/>
      <c r="BD1022" s="298"/>
      <c r="BE1022" s="299"/>
      <c r="BF1022" s="299"/>
      <c r="BG1022" s="301"/>
      <c r="BH1022" s="301"/>
      <c r="BI1022" s="88"/>
      <c r="BJ1022" s="298"/>
      <c r="BK1022" s="299"/>
      <c r="BL1022" s="299"/>
      <c r="BM1022" s="301"/>
      <c r="BN1022" s="301"/>
      <c r="BO1022" s="88"/>
      <c r="BP1022" s="9"/>
      <c r="BS1022" s="81"/>
      <c r="BT1022" s="81"/>
      <c r="BV1022" s="9"/>
      <c r="BY1022" s="81"/>
      <c r="BZ1022" s="81"/>
      <c r="CB1022" s="9"/>
      <c r="CE1022" s="81"/>
      <c r="CF1022" s="81"/>
      <c r="CH1022" s="9"/>
      <c r="CK1022" s="81"/>
      <c r="CL1022" s="81"/>
      <c r="CR1022" s="9"/>
      <c r="CS1022" s="9"/>
      <c r="CT1022" s="9"/>
      <c r="CU1022" s="9"/>
      <c r="CV1022" s="9"/>
      <c r="CW1022" s="129"/>
      <c r="CX1022" s="9"/>
    </row>
    <row r="1023" spans="1:102">
      <c r="A1023" s="6" t="str">
        <f t="shared" si="151"/>
        <v>02030998</v>
      </c>
      <c r="B1023" s="6" t="s">
        <v>1853</v>
      </c>
      <c r="C1023" s="6" t="s">
        <v>2091</v>
      </c>
      <c r="D1023" s="6">
        <v>1014</v>
      </c>
      <c r="E1023" s="6">
        <v>203</v>
      </c>
      <c r="F1023" s="6" t="s">
        <v>1547</v>
      </c>
      <c r="G1023" s="6">
        <v>998</v>
      </c>
      <c r="I1023" s="33">
        <v>0</v>
      </c>
      <c r="J1023" s="88">
        <v>0</v>
      </c>
      <c r="K1023" s="89">
        <f t="shared" si="160"/>
        <v>0</v>
      </c>
      <c r="L1023" s="88">
        <f>IF(K1024&gt;0, K1023/K1024, 0)</f>
        <v>0</v>
      </c>
      <c r="M1023" s="58"/>
      <c r="N1023" s="9">
        <f>ROUND(M1024*L1023,0)</f>
        <v>0</v>
      </c>
      <c r="O1023" s="9">
        <v>0</v>
      </c>
      <c r="P1023" s="9">
        <f>N1023-O1023</f>
        <v>0</v>
      </c>
      <c r="Q1023" s="40">
        <f t="shared" si="159"/>
        <v>0</v>
      </c>
      <c r="R1023" s="9">
        <v>0</v>
      </c>
      <c r="S1023" s="9">
        <f t="shared" si="157"/>
        <v>0</v>
      </c>
      <c r="T1023" s="90">
        <f t="shared" si="152"/>
        <v>203</v>
      </c>
      <c r="U1023" s="90">
        <f t="shared" si="153"/>
        <v>998</v>
      </c>
      <c r="V1023" s="373">
        <f t="shared" si="154"/>
        <v>1014</v>
      </c>
      <c r="W1023" s="90">
        <f t="shared" si="155"/>
        <v>0</v>
      </c>
      <c r="X1023" s="90">
        <f t="shared" si="156"/>
        <v>0</v>
      </c>
      <c r="Y1023" s="141">
        <f t="shared" si="158"/>
        <v>1014</v>
      </c>
      <c r="Z1023" s="298">
        <v>203</v>
      </c>
      <c r="AA1023" s="299">
        <v>998</v>
      </c>
      <c r="AB1023" s="299">
        <v>1014</v>
      </c>
      <c r="AC1023" s="301">
        <v>0</v>
      </c>
      <c r="AD1023" s="301">
        <v>0</v>
      </c>
      <c r="AE1023" s="126"/>
      <c r="AF1023" s="298"/>
      <c r="AG1023" s="299"/>
      <c r="AH1023" s="299"/>
      <c r="AI1023" s="301"/>
      <c r="AJ1023" s="301"/>
      <c r="AK1023" s="426"/>
      <c r="AL1023" s="298"/>
      <c r="AM1023" s="299"/>
      <c r="AN1023" s="299"/>
      <c r="AO1023" s="301"/>
      <c r="AP1023" s="301"/>
      <c r="AQ1023" s="426"/>
      <c r="AR1023" s="298"/>
      <c r="AS1023" s="299"/>
      <c r="AT1023" s="299"/>
      <c r="AU1023" s="301"/>
      <c r="AV1023" s="301"/>
      <c r="AW1023" s="88"/>
      <c r="AX1023" s="298"/>
      <c r="AY1023" s="299"/>
      <c r="AZ1023" s="299"/>
      <c r="BA1023" s="301"/>
      <c r="BB1023" s="301"/>
      <c r="BC1023" s="426"/>
      <c r="BD1023" s="298"/>
      <c r="BE1023" s="299"/>
      <c r="BF1023" s="299"/>
      <c r="BG1023" s="301"/>
      <c r="BH1023" s="301"/>
      <c r="BI1023" s="88"/>
      <c r="BJ1023" s="298"/>
      <c r="BK1023" s="299"/>
      <c r="BL1023" s="299"/>
      <c r="BM1023" s="301"/>
      <c r="BN1023" s="301"/>
      <c r="BO1023" s="88"/>
      <c r="BP1023" s="9"/>
      <c r="BS1023" s="81"/>
      <c r="BT1023" s="81"/>
      <c r="BV1023" s="9"/>
      <c r="BY1023" s="81"/>
      <c r="BZ1023" s="81"/>
      <c r="CB1023" s="9"/>
      <c r="CE1023" s="81"/>
      <c r="CF1023" s="81"/>
      <c r="CH1023" s="9"/>
      <c r="CK1023" s="81"/>
      <c r="CL1023" s="81"/>
      <c r="CR1023" s="9"/>
      <c r="CS1023" s="9"/>
      <c r="CT1023" s="9"/>
      <c r="CU1023" s="9"/>
      <c r="CV1023" s="9"/>
      <c r="CW1023" s="129"/>
      <c r="CX1023" s="9"/>
    </row>
    <row r="1024" spans="1:102">
      <c r="A1024" s="6" t="str">
        <f t="shared" si="151"/>
        <v>02030999</v>
      </c>
      <c r="B1024" s="6" t="s">
        <v>1853</v>
      </c>
      <c r="C1024" s="6" t="s">
        <v>2092</v>
      </c>
      <c r="D1024" s="6">
        <v>1015</v>
      </c>
      <c r="E1024" s="10">
        <v>203</v>
      </c>
      <c r="F1024" s="10" t="s">
        <v>1321</v>
      </c>
      <c r="G1024" s="10">
        <v>999</v>
      </c>
      <c r="H1024" s="10" t="s">
        <v>593</v>
      </c>
      <c r="I1024" s="92">
        <v>9016378.4550763778</v>
      </c>
      <c r="J1024" s="472">
        <v>1</v>
      </c>
      <c r="K1024" s="53">
        <f>SUM(K1020:K1023)</f>
        <v>9020966.6129931454</v>
      </c>
      <c r="L1024" s="91">
        <f>SUM(L1020:L1023)</f>
        <v>1</v>
      </c>
      <c r="M1024" s="79">
        <f>VLOOKUP(E1024,town351,24)</f>
        <v>7442297</v>
      </c>
      <c r="N1024" s="79">
        <f>SUM(N1020:N1023)</f>
        <v>7442297</v>
      </c>
      <c r="O1024" s="79">
        <v>6859252</v>
      </c>
      <c r="P1024" s="79">
        <f>SUM(P1020:P1023)</f>
        <v>583045</v>
      </c>
      <c r="Q1024" s="39">
        <f t="shared" si="159"/>
        <v>8.5001250865254701</v>
      </c>
      <c r="R1024" s="9">
        <v>650.87461093602997</v>
      </c>
      <c r="S1024" s="9">
        <f t="shared" si="157"/>
        <v>636.46030940310004</v>
      </c>
      <c r="T1024" s="90">
        <f t="shared" si="152"/>
        <v>203</v>
      </c>
      <c r="U1024" s="90">
        <f t="shared" si="153"/>
        <v>999</v>
      </c>
      <c r="V1024" s="373">
        <f t="shared" si="154"/>
        <v>1015</v>
      </c>
      <c r="W1024" s="90">
        <f t="shared" si="155"/>
        <v>636.46030940310004</v>
      </c>
      <c r="X1024" s="90">
        <f t="shared" si="156"/>
        <v>9020966.6129931454</v>
      </c>
      <c r="Y1024" s="141">
        <f t="shared" si="158"/>
        <v>1015</v>
      </c>
      <c r="Z1024" s="298">
        <v>203</v>
      </c>
      <c r="AA1024" s="299">
        <v>999</v>
      </c>
      <c r="AB1024" s="299">
        <v>1015</v>
      </c>
      <c r="AC1024" s="301">
        <v>636.46030940310004</v>
      </c>
      <c r="AD1024" s="301">
        <v>9020966.6129931454</v>
      </c>
      <c r="AE1024" s="126"/>
      <c r="AF1024" s="298"/>
      <c r="AG1024" s="299"/>
      <c r="AH1024" s="299"/>
      <c r="AI1024" s="301"/>
      <c r="AJ1024" s="301"/>
      <c r="AK1024" s="426"/>
      <c r="AL1024" s="298"/>
      <c r="AM1024" s="299"/>
      <c r="AN1024" s="299"/>
      <c r="AO1024" s="301"/>
      <c r="AP1024" s="301"/>
      <c r="AQ1024" s="426"/>
      <c r="AR1024" s="298"/>
      <c r="AS1024" s="299"/>
      <c r="AT1024" s="299"/>
      <c r="AU1024" s="301"/>
      <c r="AV1024" s="301"/>
      <c r="AW1024" s="91"/>
      <c r="AX1024" s="298"/>
      <c r="AY1024" s="299"/>
      <c r="AZ1024" s="299"/>
      <c r="BA1024" s="301"/>
      <c r="BB1024" s="301"/>
      <c r="BC1024" s="426"/>
      <c r="BD1024" s="298"/>
      <c r="BE1024" s="299"/>
      <c r="BF1024" s="299"/>
      <c r="BG1024" s="301"/>
      <c r="BH1024" s="301"/>
      <c r="BI1024" s="91"/>
      <c r="BJ1024" s="298"/>
      <c r="BK1024" s="299"/>
      <c r="BL1024" s="299"/>
      <c r="BM1024" s="301"/>
      <c r="BN1024" s="301"/>
      <c r="BO1024" s="91"/>
      <c r="BP1024" s="9"/>
      <c r="BS1024" s="81"/>
      <c r="BT1024" s="81"/>
      <c r="BV1024" s="9"/>
      <c r="BY1024" s="81"/>
      <c r="BZ1024" s="81"/>
      <c r="CB1024" s="9"/>
      <c r="CE1024" s="81"/>
      <c r="CF1024" s="81"/>
      <c r="CH1024" s="9"/>
      <c r="CK1024" s="81"/>
      <c r="CL1024" s="81"/>
      <c r="CR1024" s="9"/>
      <c r="CS1024" s="9"/>
      <c r="CT1024" s="9"/>
      <c r="CU1024" s="9"/>
      <c r="CV1024" s="9"/>
      <c r="CW1024" s="129"/>
      <c r="CX1024" s="9"/>
    </row>
    <row r="1025" spans="1:102">
      <c r="A1025" s="6" t="str">
        <f t="shared" si="151"/>
        <v>02040204</v>
      </c>
      <c r="B1025" s="6" t="s">
        <v>1854</v>
      </c>
      <c r="C1025" s="6" t="s">
        <v>1854</v>
      </c>
      <c r="D1025" s="6">
        <v>1016</v>
      </c>
      <c r="E1025" s="6">
        <v>204</v>
      </c>
      <c r="F1025" s="6" t="s">
        <v>1322</v>
      </c>
      <c r="G1025" s="6">
        <v>204</v>
      </c>
      <c r="H1025" s="6" t="s">
        <v>885</v>
      </c>
      <c r="I1025" s="33">
        <v>27448207.989999998</v>
      </c>
      <c r="J1025" s="88">
        <v>0.97849710002557433</v>
      </c>
      <c r="K1025" s="89">
        <f>X1025</f>
        <v>27513365.690000001</v>
      </c>
      <c r="L1025" s="88">
        <f>IF(K1029&gt;0, K1025/K1029, 0)</f>
        <v>0.97577469841604536</v>
      </c>
      <c r="M1025" s="58"/>
      <c r="N1025" s="9">
        <f>ROUND(M1029*L1025,0)</f>
        <v>22663896</v>
      </c>
      <c r="O1025" s="9">
        <v>21788063</v>
      </c>
      <c r="P1025" s="9">
        <f>N1025-O1025</f>
        <v>875833</v>
      </c>
      <c r="Q1025" s="40">
        <f t="shared" si="159"/>
        <v>4.0197836769610955</v>
      </c>
      <c r="R1025" s="9">
        <v>2232</v>
      </c>
      <c r="S1025" s="9">
        <f t="shared" si="157"/>
        <v>2185</v>
      </c>
      <c r="T1025" s="90">
        <f t="shared" si="152"/>
        <v>204</v>
      </c>
      <c r="U1025" s="90">
        <f t="shared" si="153"/>
        <v>204</v>
      </c>
      <c r="V1025" s="373">
        <f t="shared" si="154"/>
        <v>1016</v>
      </c>
      <c r="W1025" s="90">
        <f t="shared" si="155"/>
        <v>2185</v>
      </c>
      <c r="X1025" s="90">
        <f t="shared" si="156"/>
        <v>27513365.690000001</v>
      </c>
      <c r="Y1025" s="141">
        <f t="shared" si="158"/>
        <v>1016</v>
      </c>
      <c r="Z1025" s="298">
        <v>204</v>
      </c>
      <c r="AA1025" s="299">
        <v>204</v>
      </c>
      <c r="AB1025" s="299">
        <v>1016</v>
      </c>
      <c r="AC1025" s="301">
        <v>2185</v>
      </c>
      <c r="AD1025" s="301">
        <v>27513365.690000001</v>
      </c>
      <c r="AE1025" s="126"/>
      <c r="AF1025" s="298"/>
      <c r="AG1025" s="299"/>
      <c r="AH1025" s="299"/>
      <c r="AI1025" s="301"/>
      <c r="AJ1025" s="301"/>
      <c r="AK1025" s="426"/>
      <c r="AL1025" s="298"/>
      <c r="AM1025" s="299"/>
      <c r="AN1025" s="299"/>
      <c r="AO1025" s="301"/>
      <c r="AP1025" s="301"/>
      <c r="AQ1025" s="426"/>
      <c r="AR1025" s="298"/>
      <c r="AS1025" s="299"/>
      <c r="AT1025" s="299"/>
      <c r="AU1025" s="301"/>
      <c r="AV1025" s="301"/>
      <c r="AW1025" s="88"/>
      <c r="AX1025" s="298"/>
      <c r="AY1025" s="299"/>
      <c r="AZ1025" s="299"/>
      <c r="BA1025" s="301"/>
      <c r="BB1025" s="301"/>
      <c r="BC1025" s="426"/>
      <c r="BD1025" s="298"/>
      <c r="BE1025" s="299"/>
      <c r="BF1025" s="299"/>
      <c r="BG1025" s="301"/>
      <c r="BH1025" s="301"/>
      <c r="BI1025" s="88"/>
      <c r="BJ1025" s="298"/>
      <c r="BK1025" s="299"/>
      <c r="BL1025" s="299"/>
      <c r="BM1025" s="301"/>
      <c r="BN1025" s="301"/>
      <c r="BO1025" s="88"/>
      <c r="BP1025" s="9"/>
      <c r="BS1025" s="81"/>
      <c r="BT1025" s="81"/>
      <c r="BV1025" s="9"/>
      <c r="BY1025" s="81"/>
      <c r="BZ1025" s="81"/>
      <c r="CB1025" s="9"/>
      <c r="CE1025" s="81"/>
      <c r="CF1025" s="81"/>
      <c r="CH1025" s="9"/>
      <c r="CK1025" s="81"/>
      <c r="CL1025" s="81"/>
      <c r="CR1025" s="9"/>
      <c r="CS1025" s="9"/>
      <c r="CT1025" s="9"/>
      <c r="CU1025" s="9"/>
      <c r="CV1025" s="9"/>
      <c r="CW1025" s="129"/>
      <c r="CX1025" s="9"/>
    </row>
    <row r="1026" spans="1:102">
      <c r="A1026" s="6" t="str">
        <f t="shared" si="151"/>
        <v>02040885</v>
      </c>
      <c r="B1026" s="6" t="s">
        <v>1854</v>
      </c>
      <c r="C1026" s="6" t="s">
        <v>2087</v>
      </c>
      <c r="D1026" s="6">
        <v>1017</v>
      </c>
      <c r="E1026" s="6">
        <v>204</v>
      </c>
      <c r="F1026" s="6" t="s">
        <v>1322</v>
      </c>
      <c r="G1026" s="6">
        <v>885</v>
      </c>
      <c r="H1026" s="6" t="s">
        <v>1117</v>
      </c>
      <c r="I1026" s="33">
        <v>603186.32612276031</v>
      </c>
      <c r="J1026" s="88">
        <v>2.1502899974425664E-2</v>
      </c>
      <c r="K1026" s="89">
        <f t="shared" si="160"/>
        <v>683067.08762978297</v>
      </c>
      <c r="L1026" s="88">
        <f>IF(K1029&gt;0, K1026/K1029, 0)</f>
        <v>2.4225301583954556E-2</v>
      </c>
      <c r="M1026" s="58"/>
      <c r="N1026" s="9">
        <f>ROUND(M1029*L1026,0)</f>
        <v>562671</v>
      </c>
      <c r="O1026" s="9">
        <v>478802</v>
      </c>
      <c r="P1026" s="9">
        <f>N1026-O1026</f>
        <v>83869</v>
      </c>
      <c r="Q1026" s="40">
        <f t="shared" si="159"/>
        <v>17.51642641425892</v>
      </c>
      <c r="R1026" s="9">
        <v>29.000000001000004</v>
      </c>
      <c r="S1026" s="9">
        <f t="shared" si="157"/>
        <v>32.0753532138</v>
      </c>
      <c r="T1026" s="90">
        <f t="shared" si="152"/>
        <v>204</v>
      </c>
      <c r="U1026" s="90">
        <f t="shared" si="153"/>
        <v>885</v>
      </c>
      <c r="V1026" s="373">
        <f t="shared" si="154"/>
        <v>1017</v>
      </c>
      <c r="W1026" s="90">
        <f t="shared" si="155"/>
        <v>32.0753532138</v>
      </c>
      <c r="X1026" s="90">
        <f t="shared" si="156"/>
        <v>683067.08762978297</v>
      </c>
      <c r="Y1026" s="141">
        <f t="shared" si="158"/>
        <v>1017</v>
      </c>
      <c r="Z1026" s="298">
        <v>204</v>
      </c>
      <c r="AA1026" s="299">
        <v>885</v>
      </c>
      <c r="AB1026" s="299">
        <v>1017</v>
      </c>
      <c r="AC1026" s="301">
        <v>32.0753532138</v>
      </c>
      <c r="AD1026" s="301">
        <v>683067.08762978297</v>
      </c>
      <c r="AE1026" s="126"/>
      <c r="AF1026" s="298"/>
      <c r="AG1026" s="299"/>
      <c r="AH1026" s="299"/>
      <c r="AI1026" s="301"/>
      <c r="AJ1026" s="301"/>
      <c r="AK1026" s="426"/>
      <c r="AL1026" s="298"/>
      <c r="AM1026" s="299"/>
      <c r="AN1026" s="299"/>
      <c r="AO1026" s="301"/>
      <c r="AP1026" s="301"/>
      <c r="AQ1026" s="426"/>
      <c r="AR1026" s="298"/>
      <c r="AS1026" s="299"/>
      <c r="AT1026" s="299"/>
      <c r="AU1026" s="301"/>
      <c r="AV1026" s="301"/>
      <c r="AW1026" s="88"/>
      <c r="AX1026" s="298"/>
      <c r="AY1026" s="299"/>
      <c r="AZ1026" s="299"/>
      <c r="BA1026" s="301"/>
      <c r="BB1026" s="301"/>
      <c r="BC1026" s="426"/>
      <c r="BD1026" s="298"/>
      <c r="BE1026" s="299"/>
      <c r="BF1026" s="299"/>
      <c r="BG1026" s="301"/>
      <c r="BH1026" s="301"/>
      <c r="BI1026" s="88"/>
      <c r="BJ1026" s="298"/>
      <c r="BK1026" s="299"/>
      <c r="BL1026" s="299"/>
      <c r="BM1026" s="301"/>
      <c r="BN1026" s="301"/>
      <c r="BO1026" s="88"/>
      <c r="BP1026" s="9"/>
      <c r="BS1026" s="81"/>
      <c r="BT1026" s="81"/>
      <c r="BV1026" s="9"/>
      <c r="BY1026" s="81"/>
      <c r="BZ1026" s="81"/>
      <c r="CB1026" s="9"/>
      <c r="CE1026" s="81"/>
      <c r="CF1026" s="81"/>
      <c r="CH1026" s="9"/>
      <c r="CK1026" s="81"/>
      <c r="CL1026" s="81"/>
      <c r="CR1026" s="9"/>
      <c r="CS1026" s="9"/>
      <c r="CT1026" s="9"/>
      <c r="CU1026" s="9"/>
      <c r="CV1026" s="9"/>
      <c r="CW1026" s="129"/>
      <c r="CX1026" s="9"/>
    </row>
    <row r="1027" spans="1:102">
      <c r="A1027" s="6" t="str">
        <f t="shared" si="151"/>
        <v>02040998</v>
      </c>
      <c r="B1027" s="6" t="s">
        <v>1854</v>
      </c>
      <c r="C1027" s="6" t="s">
        <v>2091</v>
      </c>
      <c r="D1027" s="6">
        <v>1018</v>
      </c>
      <c r="E1027" s="6">
        <v>204</v>
      </c>
      <c r="F1027" s="6" t="s">
        <v>1547</v>
      </c>
      <c r="G1027" s="6">
        <v>998</v>
      </c>
      <c r="I1027" s="33">
        <v>0</v>
      </c>
      <c r="J1027" s="88">
        <v>0</v>
      </c>
      <c r="K1027" s="89">
        <f t="shared" si="160"/>
        <v>0</v>
      </c>
      <c r="L1027" s="88">
        <f>IF(K1029&gt;0, K1027/K1029, 0)</f>
        <v>0</v>
      </c>
      <c r="M1027" s="58"/>
      <c r="N1027" s="9">
        <f>ROUND(M1029*L1027,0)</f>
        <v>0</v>
      </c>
      <c r="O1027" s="9">
        <v>0</v>
      </c>
      <c r="P1027" s="9">
        <f>N1027-O1027</f>
        <v>0</v>
      </c>
      <c r="Q1027" s="40">
        <f t="shared" si="159"/>
        <v>0</v>
      </c>
      <c r="R1027" s="9">
        <v>0</v>
      </c>
      <c r="S1027" s="9">
        <f t="shared" si="157"/>
        <v>0</v>
      </c>
      <c r="T1027" s="90">
        <f t="shared" si="152"/>
        <v>204</v>
      </c>
      <c r="U1027" s="90">
        <f t="shared" si="153"/>
        <v>998</v>
      </c>
      <c r="V1027" s="373">
        <f t="shared" si="154"/>
        <v>1018</v>
      </c>
      <c r="W1027" s="90">
        <f t="shared" si="155"/>
        <v>0</v>
      </c>
      <c r="X1027" s="90">
        <f t="shared" si="156"/>
        <v>0</v>
      </c>
      <c r="Y1027" s="141">
        <f t="shared" si="158"/>
        <v>1018</v>
      </c>
      <c r="Z1027" s="298">
        <v>204</v>
      </c>
      <c r="AA1027" s="299">
        <v>998</v>
      </c>
      <c r="AB1027" s="299">
        <v>1018</v>
      </c>
      <c r="AC1027" s="301">
        <v>0</v>
      </c>
      <c r="AD1027" s="301">
        <v>0</v>
      </c>
      <c r="AE1027" s="126"/>
      <c r="AF1027" s="298"/>
      <c r="AG1027" s="299"/>
      <c r="AH1027" s="299"/>
      <c r="AI1027" s="301"/>
      <c r="AJ1027" s="301"/>
      <c r="AK1027" s="426"/>
      <c r="AL1027" s="298"/>
      <c r="AM1027" s="299"/>
      <c r="AN1027" s="299"/>
      <c r="AO1027" s="301"/>
      <c r="AP1027" s="301"/>
      <c r="AQ1027" s="426"/>
      <c r="AR1027" s="298"/>
      <c r="AS1027" s="299"/>
      <c r="AT1027" s="299"/>
      <c r="AU1027" s="301"/>
      <c r="AV1027" s="301"/>
      <c r="AW1027" s="88"/>
      <c r="AX1027" s="298"/>
      <c r="AY1027" s="299"/>
      <c r="AZ1027" s="299"/>
      <c r="BA1027" s="301"/>
      <c r="BB1027" s="301"/>
      <c r="BC1027" s="426"/>
      <c r="BD1027" s="298"/>
      <c r="BE1027" s="299"/>
      <c r="BF1027" s="299"/>
      <c r="BG1027" s="301"/>
      <c r="BH1027" s="301"/>
      <c r="BI1027" s="88"/>
      <c r="BJ1027" s="298"/>
      <c r="BK1027" s="299"/>
      <c r="BL1027" s="299"/>
      <c r="BM1027" s="301"/>
      <c r="BN1027" s="301"/>
      <c r="BO1027" s="88"/>
      <c r="BP1027" s="9"/>
      <c r="BS1027" s="81"/>
      <c r="BT1027" s="81"/>
      <c r="BV1027" s="9"/>
      <c r="BY1027" s="81"/>
      <c r="BZ1027" s="81"/>
      <c r="CB1027" s="9"/>
      <c r="CE1027" s="81"/>
      <c r="CF1027" s="81"/>
      <c r="CH1027" s="9"/>
      <c r="CK1027" s="81"/>
      <c r="CL1027" s="81"/>
      <c r="CR1027" s="9"/>
      <c r="CS1027" s="9"/>
      <c r="CT1027" s="9"/>
      <c r="CU1027" s="9"/>
      <c r="CV1027" s="9"/>
      <c r="CW1027" s="129"/>
      <c r="CX1027" s="9"/>
    </row>
    <row r="1028" spans="1:102">
      <c r="A1028" s="6" t="str">
        <f t="shared" si="151"/>
        <v>02040998</v>
      </c>
      <c r="B1028" s="6" t="s">
        <v>1854</v>
      </c>
      <c r="C1028" s="6" t="s">
        <v>2091</v>
      </c>
      <c r="D1028" s="6">
        <v>1019</v>
      </c>
      <c r="E1028" s="6">
        <v>204</v>
      </c>
      <c r="F1028" s="6" t="s">
        <v>1547</v>
      </c>
      <c r="G1028" s="6">
        <v>998</v>
      </c>
      <c r="H1028" s="6" t="s">
        <v>1547</v>
      </c>
      <c r="I1028" s="33">
        <v>0</v>
      </c>
      <c r="J1028" s="88">
        <v>0</v>
      </c>
      <c r="K1028" s="89">
        <f t="shared" si="160"/>
        <v>0</v>
      </c>
      <c r="L1028" s="88">
        <f>IF(K1029&gt;0, K1028/K1029, 0)</f>
        <v>0</v>
      </c>
      <c r="M1028" s="58"/>
      <c r="N1028" s="9">
        <f>ROUND(M1029*L1028,0)</f>
        <v>0</v>
      </c>
      <c r="O1028" s="9">
        <v>0</v>
      </c>
      <c r="P1028" s="9">
        <f>N1028-O1028</f>
        <v>0</v>
      </c>
      <c r="Q1028" s="40">
        <f t="shared" si="159"/>
        <v>0</v>
      </c>
      <c r="R1028" s="9">
        <v>0</v>
      </c>
      <c r="S1028" s="9">
        <f t="shared" si="157"/>
        <v>0</v>
      </c>
      <c r="T1028" s="90">
        <f t="shared" si="152"/>
        <v>204</v>
      </c>
      <c r="U1028" s="90">
        <f t="shared" si="153"/>
        <v>998</v>
      </c>
      <c r="V1028" s="373">
        <f t="shared" si="154"/>
        <v>1019</v>
      </c>
      <c r="W1028" s="90">
        <f t="shared" si="155"/>
        <v>0</v>
      </c>
      <c r="X1028" s="90">
        <f t="shared" si="156"/>
        <v>0</v>
      </c>
      <c r="Y1028" s="141">
        <f t="shared" si="158"/>
        <v>1019</v>
      </c>
      <c r="Z1028" s="298">
        <v>204</v>
      </c>
      <c r="AA1028" s="299">
        <v>998</v>
      </c>
      <c r="AB1028" s="299">
        <v>1019</v>
      </c>
      <c r="AC1028" s="301">
        <v>0</v>
      </c>
      <c r="AD1028" s="301">
        <v>0</v>
      </c>
      <c r="AE1028" s="126"/>
      <c r="AF1028" s="298"/>
      <c r="AG1028" s="299"/>
      <c r="AH1028" s="299"/>
      <c r="AI1028" s="301"/>
      <c r="AJ1028" s="301"/>
      <c r="AK1028" s="426"/>
      <c r="AL1028" s="298"/>
      <c r="AM1028" s="299"/>
      <c r="AN1028" s="299"/>
      <c r="AO1028" s="301"/>
      <c r="AP1028" s="301"/>
      <c r="AQ1028" s="426"/>
      <c r="AR1028" s="298"/>
      <c r="AS1028" s="299"/>
      <c r="AT1028" s="299"/>
      <c r="AU1028" s="301"/>
      <c r="AV1028" s="301"/>
      <c r="AW1028" s="88"/>
      <c r="AX1028" s="298"/>
      <c r="AY1028" s="299"/>
      <c r="AZ1028" s="299"/>
      <c r="BA1028" s="301"/>
      <c r="BB1028" s="301"/>
      <c r="BC1028" s="426"/>
      <c r="BD1028" s="298"/>
      <c r="BE1028" s="299"/>
      <c r="BF1028" s="299"/>
      <c r="BG1028" s="301"/>
      <c r="BH1028" s="301"/>
      <c r="BI1028" s="88"/>
      <c r="BJ1028" s="298"/>
      <c r="BK1028" s="299"/>
      <c r="BL1028" s="299"/>
      <c r="BM1028" s="301"/>
      <c r="BN1028" s="301"/>
      <c r="BO1028" s="88"/>
      <c r="BP1028" s="9"/>
      <c r="BS1028" s="81"/>
      <c r="BT1028" s="81"/>
      <c r="BV1028" s="9"/>
      <c r="BY1028" s="81"/>
      <c r="BZ1028" s="81"/>
      <c r="CB1028" s="9"/>
      <c r="CE1028" s="81"/>
      <c r="CF1028" s="81"/>
      <c r="CH1028" s="9"/>
      <c r="CK1028" s="81"/>
      <c r="CL1028" s="81"/>
      <c r="CR1028" s="9"/>
      <c r="CS1028" s="9"/>
      <c r="CT1028" s="9"/>
      <c r="CU1028" s="9"/>
      <c r="CV1028" s="9"/>
      <c r="CW1028" s="129"/>
      <c r="CX1028" s="9"/>
    </row>
    <row r="1029" spans="1:102">
      <c r="A1029" s="6" t="str">
        <f t="shared" si="151"/>
        <v>02040999</v>
      </c>
      <c r="B1029" s="6" t="s">
        <v>1854</v>
      </c>
      <c r="C1029" s="6" t="s">
        <v>2092</v>
      </c>
      <c r="D1029" s="6">
        <v>1020</v>
      </c>
      <c r="E1029" s="10">
        <v>204</v>
      </c>
      <c r="F1029" s="10" t="s">
        <v>1322</v>
      </c>
      <c r="G1029" s="10">
        <v>999</v>
      </c>
      <c r="H1029" s="10" t="s">
        <v>593</v>
      </c>
      <c r="I1029" s="92">
        <v>28051394.316122759</v>
      </c>
      <c r="J1029" s="472">
        <v>1</v>
      </c>
      <c r="K1029" s="53">
        <f>SUM(K1025:K1028)</f>
        <v>28196432.777629785</v>
      </c>
      <c r="L1029" s="91">
        <f>SUM(L1025:L1028)</f>
        <v>0.99999999999999989</v>
      </c>
      <c r="M1029" s="79">
        <f>VLOOKUP(E1029,town351,24)</f>
        <v>23226567</v>
      </c>
      <c r="N1029" s="79">
        <f>SUM(N1025:N1028)</f>
        <v>23226567</v>
      </c>
      <c r="O1029" s="79">
        <v>22266865</v>
      </c>
      <c r="P1029" s="79">
        <f>SUM(P1025:P1028)</f>
        <v>959702</v>
      </c>
      <c r="Q1029" s="39">
        <f t="shared" si="159"/>
        <v>4.3100005321808883</v>
      </c>
      <c r="R1029" s="9">
        <v>2261.000000001</v>
      </c>
      <c r="S1029" s="9">
        <f t="shared" si="157"/>
        <v>2217.0753532138001</v>
      </c>
      <c r="T1029" s="90">
        <f t="shared" si="152"/>
        <v>204</v>
      </c>
      <c r="U1029" s="90">
        <f t="shared" si="153"/>
        <v>999</v>
      </c>
      <c r="V1029" s="373">
        <f t="shared" si="154"/>
        <v>1020</v>
      </c>
      <c r="W1029" s="90">
        <f t="shared" si="155"/>
        <v>2217.0753532138001</v>
      </c>
      <c r="X1029" s="90">
        <f t="shared" si="156"/>
        <v>28196432.777629785</v>
      </c>
      <c r="Y1029" s="141">
        <f t="shared" si="158"/>
        <v>1020</v>
      </c>
      <c r="Z1029" s="298">
        <v>204</v>
      </c>
      <c r="AA1029" s="299">
        <v>999</v>
      </c>
      <c r="AB1029" s="299">
        <v>1020</v>
      </c>
      <c r="AC1029" s="301">
        <v>2217.0753532138001</v>
      </c>
      <c r="AD1029" s="301">
        <v>28196432.777629785</v>
      </c>
      <c r="AE1029" s="126"/>
      <c r="AF1029" s="298"/>
      <c r="AG1029" s="299"/>
      <c r="AH1029" s="299"/>
      <c r="AI1029" s="301"/>
      <c r="AJ1029" s="301"/>
      <c r="AK1029" s="426"/>
      <c r="AL1029" s="298"/>
      <c r="AM1029" s="299"/>
      <c r="AN1029" s="299"/>
      <c r="AO1029" s="301"/>
      <c r="AP1029" s="301"/>
      <c r="AQ1029" s="426"/>
      <c r="AR1029" s="298"/>
      <c r="AS1029" s="299"/>
      <c r="AT1029" s="299"/>
      <c r="AU1029" s="301"/>
      <c r="AV1029" s="301"/>
      <c r="AW1029" s="91"/>
      <c r="AX1029" s="298"/>
      <c r="AY1029" s="299"/>
      <c r="AZ1029" s="299"/>
      <c r="BA1029" s="301"/>
      <c r="BB1029" s="301"/>
      <c r="BC1029" s="426"/>
      <c r="BD1029" s="298"/>
      <c r="BE1029" s="299"/>
      <c r="BF1029" s="299"/>
      <c r="BG1029" s="301"/>
      <c r="BH1029" s="301"/>
      <c r="BI1029" s="91"/>
      <c r="BJ1029" s="298"/>
      <c r="BK1029" s="299"/>
      <c r="BL1029" s="299"/>
      <c r="BM1029" s="301"/>
      <c r="BN1029" s="301"/>
      <c r="BO1029" s="91"/>
      <c r="BP1029" s="9"/>
      <c r="BS1029" s="81"/>
      <c r="BT1029" s="81"/>
      <c r="BV1029" s="9"/>
      <c r="BY1029" s="81"/>
      <c r="BZ1029" s="81"/>
      <c r="CB1029" s="9"/>
      <c r="CE1029" s="81"/>
      <c r="CF1029" s="81"/>
      <c r="CH1029" s="9"/>
      <c r="CK1029" s="81"/>
      <c r="CL1029" s="81"/>
      <c r="CR1029" s="9"/>
      <c r="CS1029" s="9"/>
      <c r="CT1029" s="9"/>
      <c r="CU1029" s="9"/>
      <c r="CV1029" s="9"/>
      <c r="CW1029" s="129"/>
      <c r="CX1029" s="9"/>
    </row>
    <row r="1030" spans="1:102">
      <c r="A1030" s="6" t="str">
        <f t="shared" si="151"/>
        <v>02050205</v>
      </c>
      <c r="B1030" s="6" t="s">
        <v>1855</v>
      </c>
      <c r="C1030" s="6" t="s">
        <v>1855</v>
      </c>
      <c r="D1030" s="6">
        <v>1021</v>
      </c>
      <c r="E1030" s="6">
        <v>205</v>
      </c>
      <c r="F1030" s="6" t="s">
        <v>1323</v>
      </c>
      <c r="G1030" s="6">
        <v>205</v>
      </c>
      <c r="H1030" s="6" t="s">
        <v>886</v>
      </c>
      <c r="I1030" s="33">
        <v>0</v>
      </c>
      <c r="J1030" s="88">
        <v>0</v>
      </c>
      <c r="K1030" s="89">
        <f>X1030</f>
        <v>0</v>
      </c>
      <c r="L1030" s="88">
        <f>IF(K1034&gt;0, K1030/K1034, 0)</f>
        <v>0</v>
      </c>
      <c r="M1030" s="58"/>
      <c r="N1030" s="9">
        <f>ROUND(M1034*L1030,0)</f>
        <v>0</v>
      </c>
      <c r="O1030" s="9">
        <v>0</v>
      </c>
      <c r="P1030" s="9">
        <f>N1030-O1030</f>
        <v>0</v>
      </c>
      <c r="Q1030" s="40">
        <f t="shared" si="159"/>
        <v>0</v>
      </c>
      <c r="R1030" s="9">
        <v>0</v>
      </c>
      <c r="S1030" s="9">
        <f t="shared" si="157"/>
        <v>0</v>
      </c>
      <c r="T1030" s="90">
        <f t="shared" si="152"/>
        <v>205</v>
      </c>
      <c r="U1030" s="90">
        <f t="shared" si="153"/>
        <v>205</v>
      </c>
      <c r="V1030" s="373">
        <f t="shared" si="154"/>
        <v>1021</v>
      </c>
      <c r="W1030" s="90">
        <f t="shared" si="155"/>
        <v>0</v>
      </c>
      <c r="X1030" s="90">
        <f t="shared" si="156"/>
        <v>0</v>
      </c>
      <c r="Y1030" s="141">
        <f t="shared" si="158"/>
        <v>1021</v>
      </c>
      <c r="Z1030" s="298">
        <v>205</v>
      </c>
      <c r="AA1030" s="299">
        <v>205</v>
      </c>
      <c r="AB1030" s="299">
        <v>1021</v>
      </c>
      <c r="AC1030" s="301">
        <v>0</v>
      </c>
      <c r="AD1030" s="301">
        <v>0</v>
      </c>
      <c r="AE1030" s="126"/>
      <c r="AF1030" s="298"/>
      <c r="AG1030" s="299"/>
      <c r="AH1030" s="299"/>
      <c r="AI1030" s="301"/>
      <c r="AJ1030" s="301"/>
      <c r="AK1030" s="426"/>
      <c r="AL1030" s="298"/>
      <c r="AM1030" s="299"/>
      <c r="AN1030" s="299"/>
      <c r="AO1030" s="301"/>
      <c r="AP1030" s="301"/>
      <c r="AQ1030" s="426"/>
      <c r="AR1030" s="298"/>
      <c r="AS1030" s="299"/>
      <c r="AT1030" s="299"/>
      <c r="AU1030" s="301"/>
      <c r="AV1030" s="301"/>
      <c r="AW1030" s="88"/>
      <c r="AX1030" s="298"/>
      <c r="AY1030" s="299"/>
      <c r="AZ1030" s="299"/>
      <c r="BA1030" s="301"/>
      <c r="BB1030" s="301"/>
      <c r="BC1030" s="426"/>
      <c r="BD1030" s="298"/>
      <c r="BE1030" s="299"/>
      <c r="BF1030" s="299"/>
      <c r="BG1030" s="301"/>
      <c r="BH1030" s="301"/>
      <c r="BI1030" s="88"/>
      <c r="BJ1030" s="298"/>
      <c r="BK1030" s="299"/>
      <c r="BL1030" s="299"/>
      <c r="BM1030" s="301"/>
      <c r="BN1030" s="301"/>
      <c r="BO1030" s="88"/>
      <c r="BP1030" s="9"/>
      <c r="BS1030" s="81"/>
      <c r="BT1030" s="81"/>
      <c r="BV1030" s="9"/>
      <c r="BY1030" s="81"/>
      <c r="BZ1030" s="81"/>
      <c r="CB1030" s="9"/>
      <c r="CE1030" s="81"/>
      <c r="CF1030" s="81"/>
      <c r="CH1030" s="9"/>
      <c r="CK1030" s="81"/>
      <c r="CL1030" s="81"/>
      <c r="CR1030" s="9"/>
      <c r="CS1030" s="9"/>
      <c r="CT1030" s="9"/>
      <c r="CU1030" s="9"/>
      <c r="CV1030" s="9"/>
      <c r="CW1030" s="129"/>
      <c r="CX1030" s="9"/>
    </row>
    <row r="1031" spans="1:102">
      <c r="A1031" s="6" t="str">
        <f t="shared" si="151"/>
        <v>02050765</v>
      </c>
      <c r="B1031" s="6" t="s">
        <v>1855</v>
      </c>
      <c r="C1031" s="6" t="s">
        <v>2053</v>
      </c>
      <c r="D1031" s="6">
        <v>1022</v>
      </c>
      <c r="E1031" s="6">
        <v>205</v>
      </c>
      <c r="F1031" s="6" t="s">
        <v>1323</v>
      </c>
      <c r="G1031" s="6">
        <v>765</v>
      </c>
      <c r="H1031" s="6" t="s">
        <v>1083</v>
      </c>
      <c r="I1031" s="33">
        <v>1627819.3179774729</v>
      </c>
      <c r="J1031" s="88">
        <v>1</v>
      </c>
      <c r="K1031" s="89">
        <f t="shared" si="160"/>
        <v>1562618.7653067869</v>
      </c>
      <c r="L1031" s="88">
        <f>IF(K1034&gt;0, K1031/K1034, 0)</f>
        <v>1</v>
      </c>
      <c r="M1031" s="58"/>
      <c r="N1031" s="9">
        <f>ROUND(M1034*L1031,0)</f>
        <v>1289160</v>
      </c>
      <c r="O1031" s="9">
        <v>1342951</v>
      </c>
      <c r="P1031" s="9">
        <f>N1031-O1031</f>
        <v>-53791</v>
      </c>
      <c r="Q1031" s="40">
        <f t="shared" si="159"/>
        <v>-4.005432811770496</v>
      </c>
      <c r="R1031" s="9">
        <v>113.48120300490001</v>
      </c>
      <c r="S1031" s="9">
        <f t="shared" si="157"/>
        <v>107.36906584838</v>
      </c>
      <c r="T1031" s="90">
        <f t="shared" si="152"/>
        <v>205</v>
      </c>
      <c r="U1031" s="90">
        <f t="shared" si="153"/>
        <v>765</v>
      </c>
      <c r="V1031" s="373">
        <f t="shared" si="154"/>
        <v>1022</v>
      </c>
      <c r="W1031" s="90">
        <f t="shared" si="155"/>
        <v>107.36906584838</v>
      </c>
      <c r="X1031" s="90">
        <f t="shared" si="156"/>
        <v>1562618.7653067869</v>
      </c>
      <c r="Y1031" s="141">
        <f t="shared" si="158"/>
        <v>1022</v>
      </c>
      <c r="Z1031" s="298">
        <v>205</v>
      </c>
      <c r="AA1031" s="299">
        <v>765</v>
      </c>
      <c r="AB1031" s="299">
        <v>1022</v>
      </c>
      <c r="AC1031" s="301">
        <v>107.36906584838</v>
      </c>
      <c r="AD1031" s="301">
        <v>1562618.7653067869</v>
      </c>
      <c r="AE1031" s="126"/>
      <c r="AF1031" s="298"/>
      <c r="AG1031" s="299"/>
      <c r="AH1031" s="299"/>
      <c r="AI1031" s="301"/>
      <c r="AJ1031" s="301"/>
      <c r="AK1031" s="426"/>
      <c r="AL1031" s="298"/>
      <c r="AM1031" s="299"/>
      <c r="AN1031" s="299"/>
      <c r="AO1031" s="301"/>
      <c r="AP1031" s="301"/>
      <c r="AQ1031" s="426"/>
      <c r="AR1031" s="298"/>
      <c r="AS1031" s="299"/>
      <c r="AT1031" s="299"/>
      <c r="AU1031" s="301"/>
      <c r="AV1031" s="301"/>
      <c r="AW1031" s="88"/>
      <c r="AX1031" s="298"/>
      <c r="AY1031" s="299"/>
      <c r="AZ1031" s="299"/>
      <c r="BA1031" s="301"/>
      <c r="BB1031" s="301"/>
      <c r="BC1031" s="426"/>
      <c r="BD1031" s="298"/>
      <c r="BE1031" s="299"/>
      <c r="BF1031" s="299"/>
      <c r="BG1031" s="301"/>
      <c r="BH1031" s="301"/>
      <c r="BI1031" s="88"/>
      <c r="BJ1031" s="298"/>
      <c r="BK1031" s="299"/>
      <c r="BL1031" s="299"/>
      <c r="BM1031" s="301"/>
      <c r="BN1031" s="301"/>
      <c r="BO1031" s="88"/>
      <c r="BP1031" s="9"/>
      <c r="BS1031" s="81"/>
      <c r="BT1031" s="81"/>
      <c r="BV1031" s="9"/>
      <c r="BY1031" s="81"/>
      <c r="BZ1031" s="81"/>
      <c r="CB1031" s="9"/>
      <c r="CE1031" s="81"/>
      <c r="CF1031" s="81"/>
      <c r="CH1031" s="9"/>
      <c r="CK1031" s="81"/>
      <c r="CL1031" s="81"/>
      <c r="CR1031" s="9"/>
      <c r="CS1031" s="9"/>
      <c r="CT1031" s="9"/>
      <c r="CU1031" s="9"/>
      <c r="CV1031" s="9"/>
      <c r="CW1031" s="129"/>
      <c r="CX1031" s="9"/>
    </row>
    <row r="1032" spans="1:102">
      <c r="A1032" s="6" t="str">
        <f t="shared" si="151"/>
        <v>02050998</v>
      </c>
      <c r="B1032" s="6" t="s">
        <v>1855</v>
      </c>
      <c r="C1032" s="6" t="s">
        <v>2091</v>
      </c>
      <c r="D1032" s="6">
        <v>1023</v>
      </c>
      <c r="E1032" s="6">
        <v>205</v>
      </c>
      <c r="F1032" s="6" t="s">
        <v>1547</v>
      </c>
      <c r="G1032" s="6">
        <v>998</v>
      </c>
      <c r="H1032" s="6" t="s">
        <v>1547</v>
      </c>
      <c r="I1032" s="33">
        <v>0</v>
      </c>
      <c r="J1032" s="88">
        <v>0</v>
      </c>
      <c r="K1032" s="89">
        <f t="shared" si="160"/>
        <v>0</v>
      </c>
      <c r="L1032" s="88">
        <f>IF(K1034&gt;0, K1032/K1034, 0)</f>
        <v>0</v>
      </c>
      <c r="M1032" s="58"/>
      <c r="N1032" s="9">
        <f>ROUND(M1034*L1032,0)</f>
        <v>0</v>
      </c>
      <c r="O1032" s="9">
        <v>0</v>
      </c>
      <c r="P1032" s="9">
        <f>N1032-O1032</f>
        <v>0</v>
      </c>
      <c r="Q1032" s="40">
        <f t="shared" si="159"/>
        <v>0</v>
      </c>
      <c r="R1032" s="9">
        <v>0</v>
      </c>
      <c r="S1032" s="9">
        <f t="shared" si="157"/>
        <v>0</v>
      </c>
      <c r="T1032" s="90">
        <f t="shared" si="152"/>
        <v>205</v>
      </c>
      <c r="U1032" s="90">
        <f t="shared" si="153"/>
        <v>998</v>
      </c>
      <c r="V1032" s="373">
        <f t="shared" si="154"/>
        <v>1023</v>
      </c>
      <c r="W1032" s="90">
        <f t="shared" si="155"/>
        <v>0</v>
      </c>
      <c r="X1032" s="90">
        <f t="shared" si="156"/>
        <v>0</v>
      </c>
      <c r="Y1032" s="141">
        <f t="shared" si="158"/>
        <v>1023</v>
      </c>
      <c r="Z1032" s="298">
        <v>205</v>
      </c>
      <c r="AA1032" s="299">
        <v>998</v>
      </c>
      <c r="AB1032" s="299">
        <v>1023</v>
      </c>
      <c r="AC1032" s="301">
        <v>0</v>
      </c>
      <c r="AD1032" s="301">
        <v>0</v>
      </c>
      <c r="AE1032" s="126"/>
      <c r="AF1032" s="298"/>
      <c r="AG1032" s="299"/>
      <c r="AH1032" s="299"/>
      <c r="AI1032" s="301"/>
      <c r="AJ1032" s="301"/>
      <c r="AK1032" s="426"/>
      <c r="AL1032" s="298"/>
      <c r="AM1032" s="299"/>
      <c r="AN1032" s="299"/>
      <c r="AO1032" s="301"/>
      <c r="AP1032" s="301"/>
      <c r="AQ1032" s="426"/>
      <c r="AR1032" s="298"/>
      <c r="AS1032" s="299"/>
      <c r="AT1032" s="299"/>
      <c r="AU1032" s="301"/>
      <c r="AV1032" s="301"/>
      <c r="AW1032" s="88"/>
      <c r="AX1032" s="298"/>
      <c r="AY1032" s="299"/>
      <c r="AZ1032" s="299"/>
      <c r="BA1032" s="301"/>
      <c r="BB1032" s="301"/>
      <c r="BC1032" s="426"/>
      <c r="BD1032" s="298"/>
      <c r="BE1032" s="299"/>
      <c r="BF1032" s="299"/>
      <c r="BG1032" s="301"/>
      <c r="BH1032" s="301"/>
      <c r="BI1032" s="88"/>
      <c r="BJ1032" s="298"/>
      <c r="BK1032" s="299"/>
      <c r="BL1032" s="299"/>
      <c r="BM1032" s="301"/>
      <c r="BN1032" s="301"/>
      <c r="BO1032" s="88"/>
      <c r="BP1032" s="9"/>
      <c r="BS1032" s="81"/>
      <c r="BT1032" s="81"/>
      <c r="BV1032" s="9"/>
      <c r="BY1032" s="81"/>
      <c r="BZ1032" s="81"/>
      <c r="CB1032" s="9"/>
      <c r="CE1032" s="81"/>
      <c r="CF1032" s="81"/>
      <c r="CH1032" s="9"/>
      <c r="CK1032" s="81"/>
      <c r="CL1032" s="81"/>
      <c r="CR1032" s="9"/>
      <c r="CS1032" s="9"/>
      <c r="CT1032" s="9"/>
      <c r="CU1032" s="9"/>
      <c r="CV1032" s="9"/>
      <c r="CW1032" s="129"/>
      <c r="CX1032" s="9"/>
    </row>
    <row r="1033" spans="1:102">
      <c r="A1033" s="6" t="str">
        <f t="shared" si="151"/>
        <v>02050998</v>
      </c>
      <c r="B1033" s="6" t="s">
        <v>1855</v>
      </c>
      <c r="C1033" s="6" t="s">
        <v>2091</v>
      </c>
      <c r="D1033" s="6">
        <v>1024</v>
      </c>
      <c r="E1033" s="6">
        <v>205</v>
      </c>
      <c r="F1033" s="6" t="s">
        <v>1547</v>
      </c>
      <c r="G1033" s="6">
        <v>998</v>
      </c>
      <c r="H1033" s="6" t="s">
        <v>1547</v>
      </c>
      <c r="I1033" s="33">
        <v>0</v>
      </c>
      <c r="J1033" s="88">
        <v>0</v>
      </c>
      <c r="K1033" s="89">
        <f t="shared" si="160"/>
        <v>0</v>
      </c>
      <c r="L1033" s="88">
        <f>IF(K1034&gt;0, K1033/K1034, 0)</f>
        <v>0</v>
      </c>
      <c r="M1033" s="58"/>
      <c r="N1033" s="9">
        <f>ROUND(M1034*L1033,0)</f>
        <v>0</v>
      </c>
      <c r="O1033" s="9">
        <v>0</v>
      </c>
      <c r="P1033" s="9">
        <f>N1033-O1033</f>
        <v>0</v>
      </c>
      <c r="Q1033" s="40">
        <f t="shared" si="159"/>
        <v>0</v>
      </c>
      <c r="R1033" s="9">
        <v>0</v>
      </c>
      <c r="S1033" s="9">
        <f t="shared" si="157"/>
        <v>0</v>
      </c>
      <c r="T1033" s="90">
        <f t="shared" si="152"/>
        <v>205</v>
      </c>
      <c r="U1033" s="90">
        <f t="shared" si="153"/>
        <v>998</v>
      </c>
      <c r="V1033" s="373">
        <f t="shared" si="154"/>
        <v>1024</v>
      </c>
      <c r="W1033" s="90">
        <f t="shared" si="155"/>
        <v>0</v>
      </c>
      <c r="X1033" s="90">
        <f t="shared" si="156"/>
        <v>0</v>
      </c>
      <c r="Y1033" s="141">
        <f t="shared" si="158"/>
        <v>1024</v>
      </c>
      <c r="Z1033" s="298">
        <v>205</v>
      </c>
      <c r="AA1033" s="299">
        <v>998</v>
      </c>
      <c r="AB1033" s="299">
        <v>1024</v>
      </c>
      <c r="AC1033" s="301">
        <v>0</v>
      </c>
      <c r="AD1033" s="301">
        <v>0</v>
      </c>
      <c r="AE1033" s="126"/>
      <c r="AF1033" s="298"/>
      <c r="AG1033" s="299"/>
      <c r="AH1033" s="299"/>
      <c r="AI1033" s="301"/>
      <c r="AJ1033" s="301"/>
      <c r="AK1033" s="426"/>
      <c r="AL1033" s="298"/>
      <c r="AM1033" s="299"/>
      <c r="AN1033" s="299"/>
      <c r="AO1033" s="301"/>
      <c r="AP1033" s="301"/>
      <c r="AQ1033" s="426"/>
      <c r="AR1033" s="298"/>
      <c r="AS1033" s="299"/>
      <c r="AT1033" s="299"/>
      <c r="AU1033" s="301"/>
      <c r="AV1033" s="301"/>
      <c r="AW1033" s="88"/>
      <c r="AX1033" s="298"/>
      <c r="AY1033" s="299"/>
      <c r="AZ1033" s="299"/>
      <c r="BA1033" s="301"/>
      <c r="BB1033" s="301"/>
      <c r="BC1033" s="426"/>
      <c r="BD1033" s="298"/>
      <c r="BE1033" s="299"/>
      <c r="BF1033" s="299"/>
      <c r="BG1033" s="301"/>
      <c r="BH1033" s="301"/>
      <c r="BI1033" s="88"/>
      <c r="BJ1033" s="298"/>
      <c r="BK1033" s="299"/>
      <c r="BL1033" s="299"/>
      <c r="BM1033" s="301"/>
      <c r="BN1033" s="301"/>
      <c r="BO1033" s="88"/>
      <c r="BP1033" s="9"/>
      <c r="BS1033" s="81"/>
      <c r="BT1033" s="81"/>
      <c r="BV1033" s="9"/>
      <c r="BY1033" s="81"/>
      <c r="BZ1033" s="81"/>
      <c r="CB1033" s="9"/>
      <c r="CE1033" s="81"/>
      <c r="CF1033" s="81"/>
      <c r="CH1033" s="9"/>
      <c r="CK1033" s="81"/>
      <c r="CL1033" s="81"/>
      <c r="CR1033" s="9"/>
      <c r="CS1033" s="9"/>
      <c r="CT1033" s="9"/>
      <c r="CU1033" s="9"/>
      <c r="CV1033" s="9"/>
      <c r="CW1033" s="129"/>
      <c r="CX1033" s="9"/>
    </row>
    <row r="1034" spans="1:102">
      <c r="A1034" s="6" t="str">
        <f t="shared" ref="A1034:A1097" si="161">B1034&amp;C1034</f>
        <v>02050999</v>
      </c>
      <c r="B1034" s="6" t="s">
        <v>1855</v>
      </c>
      <c r="C1034" s="6" t="s">
        <v>2092</v>
      </c>
      <c r="D1034" s="6">
        <v>1025</v>
      </c>
      <c r="E1034" s="10">
        <v>205</v>
      </c>
      <c r="F1034" s="10" t="s">
        <v>1323</v>
      </c>
      <c r="G1034" s="10">
        <v>999</v>
      </c>
      <c r="H1034" s="10" t="s">
        <v>593</v>
      </c>
      <c r="I1034" s="92">
        <v>1627819.3179774729</v>
      </c>
      <c r="J1034" s="472">
        <v>1</v>
      </c>
      <c r="K1034" s="53">
        <f>SUM(K1030:K1033)</f>
        <v>1562618.7653067869</v>
      </c>
      <c r="L1034" s="91">
        <f>SUM(L1030:L1033)</f>
        <v>1</v>
      </c>
      <c r="M1034" s="79">
        <f>VLOOKUP(E1034,town351,24)</f>
        <v>1289160</v>
      </c>
      <c r="N1034" s="79">
        <f>SUM(N1030:N1033)</f>
        <v>1289160</v>
      </c>
      <c r="O1034" s="79">
        <v>1342951</v>
      </c>
      <c r="P1034" s="79">
        <f>SUM(P1030:P1033)</f>
        <v>-53791</v>
      </c>
      <c r="Q1034" s="39">
        <f t="shared" si="159"/>
        <v>-4.005432811770496</v>
      </c>
      <c r="R1034" s="9">
        <v>113.48120300490001</v>
      </c>
      <c r="S1034" s="9">
        <f t="shared" si="157"/>
        <v>107.36906584838</v>
      </c>
      <c r="T1034" s="90">
        <f t="shared" ref="T1034:T1097" si="162">VLOOKUP($D1034, foundoptions, VLOOKUP($T$6, foundoptcell, 2, FALSE), FALSE)</f>
        <v>205</v>
      </c>
      <c r="U1034" s="90">
        <f t="shared" ref="U1034:U1097" si="163">VLOOKUP($D1034, foundoptions, VLOOKUP($T$6, foundoptcell, 2, FALSE)+1, FALSE)</f>
        <v>999</v>
      </c>
      <c r="V1034" s="373">
        <f t="shared" ref="V1034:V1097" si="164">VLOOKUP($D1034, foundoptions, VLOOKUP($T$6, foundoptcell, 2, FALSE)+2, FALSE)</f>
        <v>1025</v>
      </c>
      <c r="W1034" s="90">
        <f t="shared" ref="W1034:W1097" si="165">VLOOKUP($D1034, foundoptions, VLOOKUP($T$6, foundoptcell, 2, FALSE)+3, FALSE)</f>
        <v>107.36906584838</v>
      </c>
      <c r="X1034" s="90">
        <f t="shared" ref="X1034:X1097" si="166">VLOOKUP($D1034, foundoptions, VLOOKUP($T$6, foundoptcell, 2, FALSE)+4, FALSE)</f>
        <v>1562618.7653067869</v>
      </c>
      <c r="Y1034" s="141">
        <f t="shared" si="158"/>
        <v>1025</v>
      </c>
      <c r="Z1034" s="298">
        <v>205</v>
      </c>
      <c r="AA1034" s="299">
        <v>999</v>
      </c>
      <c r="AB1034" s="299">
        <v>1025</v>
      </c>
      <c r="AC1034" s="301">
        <v>107.36906584838</v>
      </c>
      <c r="AD1034" s="301">
        <v>1562618.7653067869</v>
      </c>
      <c r="AE1034" s="126"/>
      <c r="AF1034" s="298"/>
      <c r="AG1034" s="299"/>
      <c r="AH1034" s="299"/>
      <c r="AI1034" s="301"/>
      <c r="AJ1034" s="301"/>
      <c r="AK1034" s="426"/>
      <c r="AL1034" s="298"/>
      <c r="AM1034" s="299"/>
      <c r="AN1034" s="299"/>
      <c r="AO1034" s="301"/>
      <c r="AP1034" s="301"/>
      <c r="AQ1034" s="426"/>
      <c r="AR1034" s="298"/>
      <c r="AS1034" s="299"/>
      <c r="AT1034" s="299"/>
      <c r="AU1034" s="301"/>
      <c r="AV1034" s="301"/>
      <c r="AW1034" s="91"/>
      <c r="AX1034" s="298"/>
      <c r="AY1034" s="299"/>
      <c r="AZ1034" s="299"/>
      <c r="BA1034" s="301"/>
      <c r="BB1034" s="301"/>
      <c r="BC1034" s="426"/>
      <c r="BD1034" s="298"/>
      <c r="BE1034" s="299"/>
      <c r="BF1034" s="299"/>
      <c r="BG1034" s="301"/>
      <c r="BH1034" s="301"/>
      <c r="BI1034" s="91"/>
      <c r="BJ1034" s="298"/>
      <c r="BK1034" s="299"/>
      <c r="BL1034" s="299"/>
      <c r="BM1034" s="301"/>
      <c r="BN1034" s="301"/>
      <c r="BO1034" s="91"/>
      <c r="BP1034" s="9"/>
      <c r="BS1034" s="81"/>
      <c r="BT1034" s="81"/>
      <c r="BV1034" s="9"/>
      <c r="BY1034" s="81"/>
      <c r="BZ1034" s="81"/>
      <c r="CB1034" s="9"/>
      <c r="CE1034" s="81"/>
      <c r="CF1034" s="81"/>
      <c r="CH1034" s="9"/>
      <c r="CK1034" s="81"/>
      <c r="CL1034" s="81"/>
      <c r="CR1034" s="9"/>
      <c r="CS1034" s="9"/>
      <c r="CT1034" s="9"/>
      <c r="CU1034" s="9"/>
      <c r="CV1034" s="9"/>
      <c r="CW1034" s="129"/>
      <c r="CX1034" s="9"/>
    </row>
    <row r="1035" spans="1:102">
      <c r="A1035" s="6" t="str">
        <f t="shared" si="161"/>
        <v>02060206</v>
      </c>
      <c r="B1035" s="6" t="s">
        <v>1856</v>
      </c>
      <c r="C1035" s="6" t="s">
        <v>1856</v>
      </c>
      <c r="D1035" s="6">
        <v>1026</v>
      </c>
      <c r="E1035" s="6">
        <v>206</v>
      </c>
      <c r="F1035" s="6" t="s">
        <v>1324</v>
      </c>
      <c r="G1035" s="6">
        <v>206</v>
      </c>
      <c r="H1035" s="6" t="s">
        <v>887</v>
      </c>
      <c r="I1035" s="33">
        <v>0</v>
      </c>
      <c r="J1035" s="88">
        <v>0</v>
      </c>
      <c r="K1035" s="89">
        <f>X1035</f>
        <v>0</v>
      </c>
      <c r="L1035" s="88">
        <f>IF(K1039&gt;0, K1035/K1039, 0)</f>
        <v>0</v>
      </c>
      <c r="M1035" s="58"/>
      <c r="N1035" s="9">
        <f>ROUND(M1039*L1035,0)</f>
        <v>0</v>
      </c>
      <c r="O1035" s="9">
        <v>0</v>
      </c>
      <c r="P1035" s="9">
        <f>N1035-O1035</f>
        <v>0</v>
      </c>
      <c r="Q1035" s="40">
        <f t="shared" si="159"/>
        <v>0</v>
      </c>
      <c r="R1035" s="9">
        <v>0</v>
      </c>
      <c r="S1035" s="9">
        <f t="shared" ref="S1035:S1098" si="167">W1035</f>
        <v>0</v>
      </c>
      <c r="T1035" s="90">
        <f t="shared" si="162"/>
        <v>206</v>
      </c>
      <c r="U1035" s="90">
        <f t="shared" si="163"/>
        <v>206</v>
      </c>
      <c r="V1035" s="373">
        <f t="shared" si="164"/>
        <v>1026</v>
      </c>
      <c r="W1035" s="90">
        <f t="shared" si="165"/>
        <v>0</v>
      </c>
      <c r="X1035" s="90">
        <f t="shared" si="166"/>
        <v>0</v>
      </c>
      <c r="Y1035" s="141">
        <f t="shared" ref="Y1035:Y1098" si="168">D1035</f>
        <v>1026</v>
      </c>
      <c r="Z1035" s="298">
        <v>206</v>
      </c>
      <c r="AA1035" s="299">
        <v>206</v>
      </c>
      <c r="AB1035" s="299">
        <v>1026</v>
      </c>
      <c r="AC1035" s="301">
        <v>0</v>
      </c>
      <c r="AD1035" s="301">
        <v>0</v>
      </c>
      <c r="AE1035" s="126"/>
      <c r="AF1035" s="298"/>
      <c r="AG1035" s="299"/>
      <c r="AH1035" s="299"/>
      <c r="AI1035" s="301"/>
      <c r="AJ1035" s="301"/>
      <c r="AK1035" s="426"/>
      <c r="AL1035" s="298"/>
      <c r="AM1035" s="299"/>
      <c r="AN1035" s="299"/>
      <c r="AO1035" s="301"/>
      <c r="AP1035" s="301"/>
      <c r="AQ1035" s="426"/>
      <c r="AR1035" s="298"/>
      <c r="AS1035" s="299"/>
      <c r="AT1035" s="299"/>
      <c r="AU1035" s="301"/>
      <c r="AV1035" s="301"/>
      <c r="AW1035" s="88"/>
      <c r="AX1035" s="298"/>
      <c r="AY1035" s="299"/>
      <c r="AZ1035" s="299"/>
      <c r="BA1035" s="301"/>
      <c r="BB1035" s="301"/>
      <c r="BC1035" s="426"/>
      <c r="BD1035" s="298"/>
      <c r="BE1035" s="299"/>
      <c r="BF1035" s="299"/>
      <c r="BG1035" s="301"/>
      <c r="BH1035" s="301"/>
      <c r="BI1035" s="88"/>
      <c r="BJ1035" s="298"/>
      <c r="BK1035" s="299"/>
      <c r="BL1035" s="299"/>
      <c r="BM1035" s="301"/>
      <c r="BN1035" s="301"/>
      <c r="BO1035" s="88"/>
      <c r="BP1035" s="9"/>
      <c r="BS1035" s="81"/>
      <c r="BT1035" s="81"/>
      <c r="BV1035" s="9"/>
      <c r="BY1035" s="81"/>
      <c r="BZ1035" s="81"/>
      <c r="CB1035" s="9"/>
      <c r="CE1035" s="81"/>
      <c r="CF1035" s="81"/>
      <c r="CH1035" s="9"/>
      <c r="CK1035" s="81"/>
      <c r="CL1035" s="81"/>
      <c r="CR1035" s="9"/>
      <c r="CS1035" s="9"/>
      <c r="CT1035" s="9"/>
      <c r="CU1035" s="9"/>
      <c r="CV1035" s="9"/>
      <c r="CW1035" s="129"/>
      <c r="CX1035" s="9"/>
    </row>
    <row r="1036" spans="1:102">
      <c r="A1036" s="6" t="str">
        <f t="shared" si="161"/>
        <v>02060728</v>
      </c>
      <c r="B1036" s="6" t="s">
        <v>1856</v>
      </c>
      <c r="C1036" s="6" t="s">
        <v>2043</v>
      </c>
      <c r="D1036" s="6">
        <v>1027</v>
      </c>
      <c r="E1036" s="6">
        <v>206</v>
      </c>
      <c r="F1036" s="6" t="s">
        <v>1324</v>
      </c>
      <c r="G1036" s="6">
        <v>728</v>
      </c>
      <c r="H1036" s="6" t="s">
        <v>1073</v>
      </c>
      <c r="I1036" s="33">
        <v>640437.94399443094</v>
      </c>
      <c r="J1036" s="88">
        <v>0.44640276730012363</v>
      </c>
      <c r="K1036" s="89">
        <f t="shared" si="160"/>
        <v>663731.27273391013</v>
      </c>
      <c r="L1036" s="88">
        <f>IF(K1039&gt;0, K1036/K1039, 0)</f>
        <v>0.4736342435325866</v>
      </c>
      <c r="M1036" s="58"/>
      <c r="N1036" s="9">
        <f>ROUND(M1039*L1036,0)</f>
        <v>425038</v>
      </c>
      <c r="O1036" s="9">
        <v>386419</v>
      </c>
      <c r="P1036" s="9">
        <f>N1036-O1036</f>
        <v>38619</v>
      </c>
      <c r="Q1036" s="40">
        <f t="shared" si="159"/>
        <v>9.9940737903674517</v>
      </c>
      <c r="R1036" s="9">
        <v>43.316666666290004</v>
      </c>
      <c r="S1036" s="9">
        <f t="shared" si="167"/>
        <v>46.280991735999997</v>
      </c>
      <c r="T1036" s="90">
        <f t="shared" si="162"/>
        <v>206</v>
      </c>
      <c r="U1036" s="90">
        <f t="shared" si="163"/>
        <v>728</v>
      </c>
      <c r="V1036" s="373">
        <f t="shared" si="164"/>
        <v>1027</v>
      </c>
      <c r="W1036" s="90">
        <f t="shared" si="165"/>
        <v>46.280991735999997</v>
      </c>
      <c r="X1036" s="90">
        <f t="shared" si="166"/>
        <v>663731.27273391013</v>
      </c>
      <c r="Y1036" s="141">
        <f t="shared" si="168"/>
        <v>1027</v>
      </c>
      <c r="Z1036" s="298">
        <v>206</v>
      </c>
      <c r="AA1036" s="299">
        <v>728</v>
      </c>
      <c r="AB1036" s="299">
        <v>1027</v>
      </c>
      <c r="AC1036" s="301">
        <v>46.280991735999997</v>
      </c>
      <c r="AD1036" s="301">
        <v>663731.27273391013</v>
      </c>
      <c r="AE1036" s="126"/>
      <c r="AF1036" s="298"/>
      <c r="AG1036" s="299"/>
      <c r="AH1036" s="299"/>
      <c r="AI1036" s="301"/>
      <c r="AJ1036" s="301"/>
      <c r="AK1036" s="426"/>
      <c r="AL1036" s="298"/>
      <c r="AM1036" s="299"/>
      <c r="AN1036" s="299"/>
      <c r="AO1036" s="301"/>
      <c r="AP1036" s="301"/>
      <c r="AQ1036" s="426"/>
      <c r="AR1036" s="298"/>
      <c r="AS1036" s="299"/>
      <c r="AT1036" s="299"/>
      <c r="AU1036" s="301"/>
      <c r="AV1036" s="301"/>
      <c r="AW1036" s="88"/>
      <c r="AX1036" s="298"/>
      <c r="AY1036" s="299"/>
      <c r="AZ1036" s="299"/>
      <c r="BA1036" s="301"/>
      <c r="BB1036" s="301"/>
      <c r="BC1036" s="426"/>
      <c r="BD1036" s="298"/>
      <c r="BE1036" s="299"/>
      <c r="BF1036" s="299"/>
      <c r="BG1036" s="301"/>
      <c r="BH1036" s="301"/>
      <c r="BI1036" s="88"/>
      <c r="BJ1036" s="298"/>
      <c r="BK1036" s="299"/>
      <c r="BL1036" s="299"/>
      <c r="BM1036" s="301"/>
      <c r="BN1036" s="301"/>
      <c r="BO1036" s="88"/>
      <c r="BP1036" s="9"/>
      <c r="BS1036" s="81"/>
      <c r="BT1036" s="81"/>
      <c r="BV1036" s="9"/>
      <c r="BY1036" s="81"/>
      <c r="BZ1036" s="81"/>
      <c r="CB1036" s="9"/>
      <c r="CE1036" s="81"/>
      <c r="CF1036" s="81"/>
      <c r="CH1036" s="9"/>
      <c r="CK1036" s="81"/>
      <c r="CL1036" s="81"/>
      <c r="CR1036" s="9"/>
      <c r="CS1036" s="9"/>
      <c r="CT1036" s="9"/>
      <c r="CU1036" s="9"/>
      <c r="CV1036" s="9"/>
      <c r="CW1036" s="129"/>
      <c r="CX1036" s="9"/>
    </row>
    <row r="1037" spans="1:102">
      <c r="A1037" s="6" t="str">
        <f t="shared" si="161"/>
        <v>02060755</v>
      </c>
      <c r="B1037" s="6" t="s">
        <v>1856</v>
      </c>
      <c r="C1037" s="6" t="s">
        <v>2050</v>
      </c>
      <c r="D1037" s="6">
        <v>1028</v>
      </c>
      <c r="E1037" s="6">
        <v>206</v>
      </c>
      <c r="F1037" s="6" t="s">
        <v>1324</v>
      </c>
      <c r="G1037" s="6">
        <v>755</v>
      </c>
      <c r="H1037" s="6" t="s">
        <v>1080</v>
      </c>
      <c r="I1037" s="33">
        <v>559280.67882690253</v>
      </c>
      <c r="J1037" s="88">
        <v>0.38983393327487165</v>
      </c>
      <c r="K1037" s="89">
        <f t="shared" si="160"/>
        <v>431629.97142456303</v>
      </c>
      <c r="L1037" s="88">
        <f>IF(K1039&gt;0, K1037/K1039, 0)</f>
        <v>0.30800829100548166</v>
      </c>
      <c r="M1037" s="58"/>
      <c r="N1037" s="9">
        <f>ROUND(M1039*L1037,0)</f>
        <v>276406</v>
      </c>
      <c r="O1037" s="9">
        <v>337452</v>
      </c>
      <c r="P1037" s="9">
        <f>N1037-O1037</f>
        <v>-61046</v>
      </c>
      <c r="Q1037" s="40">
        <f t="shared" si="159"/>
        <v>-18.090276543034268</v>
      </c>
      <c r="R1037" s="9">
        <v>34.999999998140005</v>
      </c>
      <c r="S1037" s="9">
        <f t="shared" si="167"/>
        <v>25.999999997579998</v>
      </c>
      <c r="T1037" s="90">
        <f t="shared" si="162"/>
        <v>206</v>
      </c>
      <c r="U1037" s="90">
        <f t="shared" si="163"/>
        <v>755</v>
      </c>
      <c r="V1037" s="373">
        <f t="shared" si="164"/>
        <v>1028</v>
      </c>
      <c r="W1037" s="90">
        <f t="shared" si="165"/>
        <v>25.999999997579998</v>
      </c>
      <c r="X1037" s="90">
        <f t="shared" si="166"/>
        <v>431629.97142456303</v>
      </c>
      <c r="Y1037" s="141">
        <f t="shared" si="168"/>
        <v>1028</v>
      </c>
      <c r="Z1037" s="298">
        <v>206</v>
      </c>
      <c r="AA1037" s="299">
        <v>755</v>
      </c>
      <c r="AB1037" s="299">
        <v>1028</v>
      </c>
      <c r="AC1037" s="301">
        <v>25.999999997579998</v>
      </c>
      <c r="AD1037" s="301">
        <v>431629.97142456303</v>
      </c>
      <c r="AE1037" s="126"/>
      <c r="AF1037" s="298"/>
      <c r="AG1037" s="299"/>
      <c r="AH1037" s="299"/>
      <c r="AI1037" s="301"/>
      <c r="AJ1037" s="301"/>
      <c r="AK1037" s="426"/>
      <c r="AL1037" s="298"/>
      <c r="AM1037" s="299"/>
      <c r="AN1037" s="299"/>
      <c r="AO1037" s="301"/>
      <c r="AP1037" s="301"/>
      <c r="AQ1037" s="426"/>
      <c r="AR1037" s="298"/>
      <c r="AS1037" s="299"/>
      <c r="AT1037" s="299"/>
      <c r="AU1037" s="301"/>
      <c r="AV1037" s="301"/>
      <c r="AW1037" s="88"/>
      <c r="AX1037" s="298"/>
      <c r="AY1037" s="299"/>
      <c r="AZ1037" s="299"/>
      <c r="BA1037" s="301"/>
      <c r="BB1037" s="301"/>
      <c r="BC1037" s="426"/>
      <c r="BD1037" s="298"/>
      <c r="BE1037" s="299"/>
      <c r="BF1037" s="299"/>
      <c r="BG1037" s="301"/>
      <c r="BH1037" s="301"/>
      <c r="BI1037" s="88"/>
      <c r="BJ1037" s="298"/>
      <c r="BK1037" s="299"/>
      <c r="BL1037" s="299"/>
      <c r="BM1037" s="301"/>
      <c r="BN1037" s="301"/>
      <c r="BO1037" s="88"/>
      <c r="BP1037" s="9"/>
      <c r="BS1037" s="81"/>
      <c r="BT1037" s="81"/>
      <c r="BV1037" s="9"/>
      <c r="BY1037" s="81"/>
      <c r="BZ1037" s="81"/>
      <c r="CB1037" s="9"/>
      <c r="CE1037" s="81"/>
      <c r="CF1037" s="81"/>
      <c r="CH1037" s="9"/>
      <c r="CK1037" s="81"/>
      <c r="CL1037" s="81"/>
      <c r="CR1037" s="9"/>
      <c r="CS1037" s="9"/>
      <c r="CT1037" s="9"/>
      <c r="CU1037" s="9"/>
      <c r="CV1037" s="9"/>
      <c r="CW1037" s="129"/>
      <c r="CX1037" s="9"/>
    </row>
    <row r="1038" spans="1:102">
      <c r="A1038" s="6" t="str">
        <f t="shared" si="161"/>
        <v>02060818</v>
      </c>
      <c r="B1038" s="6" t="s">
        <v>1856</v>
      </c>
      <c r="C1038" s="6" t="s">
        <v>2068</v>
      </c>
      <c r="D1038" s="6">
        <v>1029</v>
      </c>
      <c r="E1038" s="6">
        <v>206</v>
      </c>
      <c r="F1038" s="6" t="s">
        <v>1324</v>
      </c>
      <c r="G1038" s="6">
        <v>818</v>
      </c>
      <c r="H1038" s="6" t="s">
        <v>1098</v>
      </c>
      <c r="I1038" s="33">
        <v>234945.29709082618</v>
      </c>
      <c r="J1038" s="88">
        <v>0.16376329942500487</v>
      </c>
      <c r="K1038" s="89">
        <f t="shared" si="160"/>
        <v>305997.0440081312</v>
      </c>
      <c r="L1038" s="88">
        <f>IF(K1039&gt;0, K1038/K1039, 0)</f>
        <v>0.21835746546193183</v>
      </c>
      <c r="M1038" s="58"/>
      <c r="N1038" s="9">
        <f>ROUND(M1039*L1038,0)</f>
        <v>195953</v>
      </c>
      <c r="O1038" s="9">
        <v>141758</v>
      </c>
      <c r="P1038" s="9">
        <f>N1038-O1038</f>
        <v>54195</v>
      </c>
      <c r="Q1038" s="40">
        <f t="shared" si="159"/>
        <v>38.230646594901167</v>
      </c>
      <c r="R1038" s="9">
        <v>10.9999999984</v>
      </c>
      <c r="S1038" s="9">
        <f t="shared" si="167"/>
        <v>13.999999999090001</v>
      </c>
      <c r="T1038" s="90">
        <f t="shared" si="162"/>
        <v>206</v>
      </c>
      <c r="U1038" s="90">
        <f t="shared" si="163"/>
        <v>818</v>
      </c>
      <c r="V1038" s="373">
        <f t="shared" si="164"/>
        <v>1029</v>
      </c>
      <c r="W1038" s="90">
        <f t="shared" si="165"/>
        <v>13.999999999090001</v>
      </c>
      <c r="X1038" s="90">
        <f t="shared" si="166"/>
        <v>305997.0440081312</v>
      </c>
      <c r="Y1038" s="141">
        <f t="shared" si="168"/>
        <v>1029</v>
      </c>
      <c r="Z1038" s="298">
        <v>206</v>
      </c>
      <c r="AA1038" s="299">
        <v>818</v>
      </c>
      <c r="AB1038" s="299">
        <v>1029</v>
      </c>
      <c r="AC1038" s="301">
        <v>13.999999999090001</v>
      </c>
      <c r="AD1038" s="301">
        <v>305997.0440081312</v>
      </c>
      <c r="AE1038" s="126"/>
      <c r="AF1038" s="298"/>
      <c r="AG1038" s="299"/>
      <c r="AH1038" s="299"/>
      <c r="AI1038" s="301"/>
      <c r="AJ1038" s="301"/>
      <c r="AK1038" s="426"/>
      <c r="AL1038" s="298"/>
      <c r="AM1038" s="299"/>
      <c r="AN1038" s="299"/>
      <c r="AO1038" s="301"/>
      <c r="AP1038" s="301"/>
      <c r="AQ1038" s="426"/>
      <c r="AR1038" s="298"/>
      <c r="AS1038" s="299"/>
      <c r="AT1038" s="299"/>
      <c r="AU1038" s="301"/>
      <c r="AV1038" s="301"/>
      <c r="AW1038" s="88"/>
      <c r="AX1038" s="298"/>
      <c r="AY1038" s="299"/>
      <c r="AZ1038" s="299"/>
      <c r="BA1038" s="301"/>
      <c r="BB1038" s="301"/>
      <c r="BC1038" s="426"/>
      <c r="BD1038" s="298"/>
      <c r="BE1038" s="299"/>
      <c r="BF1038" s="299"/>
      <c r="BG1038" s="301"/>
      <c r="BH1038" s="301"/>
      <c r="BI1038" s="88"/>
      <c r="BJ1038" s="298"/>
      <c r="BK1038" s="299"/>
      <c r="BL1038" s="299"/>
      <c r="BM1038" s="301"/>
      <c r="BN1038" s="301"/>
      <c r="BO1038" s="88"/>
      <c r="BP1038" s="9"/>
      <c r="BS1038" s="81"/>
      <c r="BT1038" s="81"/>
      <c r="BV1038" s="9"/>
      <c r="BY1038" s="81"/>
      <c r="BZ1038" s="81"/>
      <c r="CB1038" s="9"/>
      <c r="CE1038" s="81"/>
      <c r="CF1038" s="81"/>
      <c r="CH1038" s="9"/>
      <c r="CK1038" s="81"/>
      <c r="CL1038" s="81"/>
      <c r="CR1038" s="9"/>
      <c r="CS1038" s="9"/>
      <c r="CT1038" s="9"/>
      <c r="CU1038" s="9"/>
      <c r="CV1038" s="9"/>
      <c r="CW1038" s="129"/>
      <c r="CX1038" s="9"/>
    </row>
    <row r="1039" spans="1:102">
      <c r="A1039" s="6" t="str">
        <f t="shared" si="161"/>
        <v>02060999</v>
      </c>
      <c r="B1039" s="6" t="s">
        <v>1856</v>
      </c>
      <c r="C1039" s="6" t="s">
        <v>2092</v>
      </c>
      <c r="D1039" s="6">
        <v>1030</v>
      </c>
      <c r="E1039" s="10">
        <v>206</v>
      </c>
      <c r="F1039" s="10" t="s">
        <v>1324</v>
      </c>
      <c r="G1039" s="10">
        <v>999</v>
      </c>
      <c r="H1039" s="10" t="s">
        <v>593</v>
      </c>
      <c r="I1039" s="92">
        <v>1434663.9199121594</v>
      </c>
      <c r="J1039" s="472">
        <v>1.0000000000000002</v>
      </c>
      <c r="K1039" s="53">
        <f>SUM(K1035:K1038)</f>
        <v>1401358.2881666042</v>
      </c>
      <c r="L1039" s="91">
        <f>SUM(L1035:L1038)</f>
        <v>1</v>
      </c>
      <c r="M1039" s="79">
        <f>VLOOKUP(E1039,town351,24)</f>
        <v>897397</v>
      </c>
      <c r="N1039" s="79">
        <f>SUM(N1035:N1038)</f>
        <v>897397</v>
      </c>
      <c r="O1039" s="79">
        <v>865629</v>
      </c>
      <c r="P1039" s="79">
        <f>SUM(P1035:P1038)</f>
        <v>31768</v>
      </c>
      <c r="Q1039" s="39">
        <f t="shared" si="159"/>
        <v>3.6699324999509026</v>
      </c>
      <c r="R1039" s="9">
        <v>89.316666662830016</v>
      </c>
      <c r="S1039" s="9">
        <f t="shared" si="167"/>
        <v>86.280991732670003</v>
      </c>
      <c r="T1039" s="90">
        <f t="shared" si="162"/>
        <v>206</v>
      </c>
      <c r="U1039" s="90">
        <f t="shared" si="163"/>
        <v>999</v>
      </c>
      <c r="V1039" s="373">
        <f t="shared" si="164"/>
        <v>1030</v>
      </c>
      <c r="W1039" s="90">
        <f t="shared" si="165"/>
        <v>86.280991732670003</v>
      </c>
      <c r="X1039" s="90">
        <f t="shared" si="166"/>
        <v>1401358.2881666042</v>
      </c>
      <c r="Y1039" s="141">
        <f t="shared" si="168"/>
        <v>1030</v>
      </c>
      <c r="Z1039" s="298">
        <v>206</v>
      </c>
      <c r="AA1039" s="299">
        <v>999</v>
      </c>
      <c r="AB1039" s="299">
        <v>1030</v>
      </c>
      <c r="AC1039" s="301">
        <v>86.280991732670003</v>
      </c>
      <c r="AD1039" s="301">
        <v>1401358.2881666042</v>
      </c>
      <c r="AE1039" s="126"/>
      <c r="AF1039" s="298"/>
      <c r="AG1039" s="299"/>
      <c r="AH1039" s="299"/>
      <c r="AI1039" s="301"/>
      <c r="AJ1039" s="301"/>
      <c r="AK1039" s="426"/>
      <c r="AL1039" s="298"/>
      <c r="AM1039" s="299"/>
      <c r="AN1039" s="299"/>
      <c r="AO1039" s="301"/>
      <c r="AP1039" s="301"/>
      <c r="AQ1039" s="426"/>
      <c r="AR1039" s="298"/>
      <c r="AS1039" s="299"/>
      <c r="AT1039" s="299"/>
      <c r="AU1039" s="301"/>
      <c r="AV1039" s="301"/>
      <c r="AW1039" s="91"/>
      <c r="AX1039" s="298"/>
      <c r="AY1039" s="299"/>
      <c r="AZ1039" s="299"/>
      <c r="BA1039" s="301"/>
      <c r="BB1039" s="301"/>
      <c r="BC1039" s="426"/>
      <c r="BD1039" s="298"/>
      <c r="BE1039" s="299"/>
      <c r="BF1039" s="299"/>
      <c r="BG1039" s="301"/>
      <c r="BH1039" s="301"/>
      <c r="BI1039" s="91"/>
      <c r="BJ1039" s="298"/>
      <c r="BK1039" s="299"/>
      <c r="BL1039" s="299"/>
      <c r="BM1039" s="301"/>
      <c r="BN1039" s="301"/>
      <c r="BO1039" s="91"/>
      <c r="BP1039" s="9"/>
      <c r="BS1039" s="81"/>
      <c r="BT1039" s="81"/>
      <c r="BV1039" s="9"/>
      <c r="BY1039" s="81"/>
      <c r="BZ1039" s="81"/>
      <c r="CB1039" s="9"/>
      <c r="CE1039" s="81"/>
      <c r="CF1039" s="81"/>
      <c r="CH1039" s="9"/>
      <c r="CK1039" s="81"/>
      <c r="CL1039" s="81"/>
      <c r="CR1039" s="9"/>
      <c r="CS1039" s="9"/>
      <c r="CT1039" s="9"/>
      <c r="CU1039" s="9"/>
      <c r="CV1039" s="9"/>
      <c r="CW1039" s="129"/>
      <c r="CX1039" s="9"/>
    </row>
    <row r="1040" spans="1:102">
      <c r="A1040" s="6" t="str">
        <f t="shared" si="161"/>
        <v>02070207</v>
      </c>
      <c r="B1040" s="6" t="s">
        <v>1857</v>
      </c>
      <c r="C1040" s="6" t="s">
        <v>1857</v>
      </c>
      <c r="D1040" s="6">
        <v>1031</v>
      </c>
      <c r="E1040" s="6">
        <v>207</v>
      </c>
      <c r="F1040" s="6" t="s">
        <v>1325</v>
      </c>
      <c r="G1040" s="6">
        <v>207</v>
      </c>
      <c r="H1040" s="6" t="s">
        <v>888</v>
      </c>
      <c r="I1040" s="33">
        <v>156764603.61603001</v>
      </c>
      <c r="J1040" s="88">
        <v>1</v>
      </c>
      <c r="K1040" s="89">
        <f>X1040</f>
        <v>159609730.37020001</v>
      </c>
      <c r="L1040" s="88">
        <f>IF(K1044&gt;0, K1040/K1044, 0)</f>
        <v>1</v>
      </c>
      <c r="M1040" s="58"/>
      <c r="N1040" s="9">
        <f>ROUND(M1044*L1040,0)</f>
        <v>131678028</v>
      </c>
      <c r="O1040" s="9">
        <v>129330798</v>
      </c>
      <c r="P1040" s="9">
        <f>N1040-O1040</f>
        <v>2347230</v>
      </c>
      <c r="Q1040" s="40">
        <f>IF(O1040&gt;0,P1040*100/O1040,IF(P1040&gt;0,100,0))</f>
        <v>1.8149041344351715</v>
      </c>
      <c r="R1040" s="9">
        <v>11885</v>
      </c>
      <c r="S1040" s="9">
        <f t="shared" si="167"/>
        <v>11757</v>
      </c>
      <c r="T1040" s="90">
        <f t="shared" si="162"/>
        <v>207</v>
      </c>
      <c r="U1040" s="90">
        <f t="shared" si="163"/>
        <v>207</v>
      </c>
      <c r="V1040" s="373">
        <f t="shared" si="164"/>
        <v>1031</v>
      </c>
      <c r="W1040" s="90">
        <f t="shared" si="165"/>
        <v>11757</v>
      </c>
      <c r="X1040" s="90">
        <f t="shared" si="166"/>
        <v>159609730.37020001</v>
      </c>
      <c r="Y1040" s="141">
        <f t="shared" si="168"/>
        <v>1031</v>
      </c>
      <c r="Z1040" s="298">
        <v>207</v>
      </c>
      <c r="AA1040" s="299">
        <v>207</v>
      </c>
      <c r="AB1040" s="299">
        <v>1031</v>
      </c>
      <c r="AC1040" s="301">
        <v>11757</v>
      </c>
      <c r="AD1040" s="301">
        <v>159609730.37020001</v>
      </c>
      <c r="AE1040" s="126"/>
      <c r="AF1040" s="298"/>
      <c r="AG1040" s="299"/>
      <c r="AH1040" s="299"/>
      <c r="AI1040" s="301"/>
      <c r="AJ1040" s="301"/>
      <c r="AK1040" s="426"/>
      <c r="AL1040" s="298"/>
      <c r="AM1040" s="299"/>
      <c r="AN1040" s="299"/>
      <c r="AO1040" s="301"/>
      <c r="AP1040" s="301"/>
      <c r="AQ1040" s="426"/>
      <c r="AR1040" s="298"/>
      <c r="AS1040" s="299"/>
      <c r="AT1040" s="299"/>
      <c r="AU1040" s="301"/>
      <c r="AV1040" s="301"/>
      <c r="AW1040" s="88"/>
      <c r="AX1040" s="298"/>
      <c r="AY1040" s="299"/>
      <c r="AZ1040" s="299"/>
      <c r="BA1040" s="301"/>
      <c r="BB1040" s="301"/>
      <c r="BC1040" s="426"/>
      <c r="BD1040" s="298"/>
      <c r="BE1040" s="299"/>
      <c r="BF1040" s="299"/>
      <c r="BG1040" s="301"/>
      <c r="BH1040" s="301"/>
      <c r="BI1040" s="88"/>
      <c r="BJ1040" s="298"/>
      <c r="BK1040" s="299"/>
      <c r="BL1040" s="299"/>
      <c r="BM1040" s="301"/>
      <c r="BN1040" s="301"/>
      <c r="BO1040" s="88"/>
      <c r="BP1040" s="9"/>
      <c r="BS1040" s="81"/>
      <c r="BT1040" s="81"/>
      <c r="BV1040" s="9"/>
      <c r="BY1040" s="81"/>
      <c r="BZ1040" s="81"/>
      <c r="CB1040" s="9"/>
      <c r="CE1040" s="81"/>
      <c r="CF1040" s="81"/>
      <c r="CH1040" s="9"/>
      <c r="CK1040" s="81"/>
      <c r="CL1040" s="81"/>
      <c r="CR1040" s="9"/>
      <c r="CS1040" s="9"/>
      <c r="CT1040" s="9"/>
      <c r="CU1040" s="9"/>
      <c r="CV1040" s="9"/>
      <c r="CW1040" s="129"/>
      <c r="CX1040" s="9"/>
    </row>
    <row r="1041" spans="1:102">
      <c r="A1041" s="6" t="str">
        <f t="shared" si="161"/>
        <v>02070998</v>
      </c>
      <c r="B1041" s="6" t="s">
        <v>1857</v>
      </c>
      <c r="C1041" s="6" t="s">
        <v>2091</v>
      </c>
      <c r="D1041" s="6">
        <v>1032</v>
      </c>
      <c r="E1041" s="6">
        <v>207</v>
      </c>
      <c r="F1041" s="6" t="s">
        <v>1547</v>
      </c>
      <c r="G1041" s="6">
        <v>998</v>
      </c>
      <c r="H1041" s="6" t="s">
        <v>1547</v>
      </c>
      <c r="I1041" s="33">
        <v>0</v>
      </c>
      <c r="J1041" s="88">
        <v>0</v>
      </c>
      <c r="K1041" s="89">
        <f t="shared" si="160"/>
        <v>0</v>
      </c>
      <c r="L1041" s="88">
        <f>IF(K1044&gt;0, K1041/K1044, 0)</f>
        <v>0</v>
      </c>
      <c r="M1041" s="58"/>
      <c r="N1041" s="9">
        <f>ROUND(M1044*L1041,0)</f>
        <v>0</v>
      </c>
      <c r="O1041" s="9">
        <v>0</v>
      </c>
      <c r="P1041" s="9">
        <f>N1041-O1041</f>
        <v>0</v>
      </c>
      <c r="Q1041" s="40">
        <f>IF(O1041&gt;0,P1041*100/O1041,IF(P1041&gt;0,100,0))</f>
        <v>0</v>
      </c>
      <c r="R1041" s="9">
        <v>0</v>
      </c>
      <c r="S1041" s="9">
        <f t="shared" si="167"/>
        <v>0</v>
      </c>
      <c r="T1041" s="90">
        <f t="shared" si="162"/>
        <v>207</v>
      </c>
      <c r="U1041" s="90">
        <f t="shared" si="163"/>
        <v>998</v>
      </c>
      <c r="V1041" s="373">
        <f t="shared" si="164"/>
        <v>1032</v>
      </c>
      <c r="W1041" s="90">
        <f t="shared" si="165"/>
        <v>0</v>
      </c>
      <c r="X1041" s="90">
        <f t="shared" si="166"/>
        <v>0</v>
      </c>
      <c r="Y1041" s="141">
        <f t="shared" si="168"/>
        <v>1032</v>
      </c>
      <c r="Z1041" s="298">
        <v>207</v>
      </c>
      <c r="AA1041" s="299">
        <v>998</v>
      </c>
      <c r="AB1041" s="299">
        <v>1032</v>
      </c>
      <c r="AC1041" s="301">
        <v>0</v>
      </c>
      <c r="AD1041" s="301">
        <v>0</v>
      </c>
      <c r="AE1041" s="126"/>
      <c r="AF1041" s="298"/>
      <c r="AG1041" s="299"/>
      <c r="AH1041" s="299"/>
      <c r="AI1041" s="301"/>
      <c r="AJ1041" s="301"/>
      <c r="AK1041" s="426"/>
      <c r="AL1041" s="298"/>
      <c r="AM1041" s="299"/>
      <c r="AN1041" s="299"/>
      <c r="AO1041" s="301"/>
      <c r="AP1041" s="301"/>
      <c r="AQ1041" s="426"/>
      <c r="AR1041" s="298"/>
      <c r="AS1041" s="299"/>
      <c r="AT1041" s="299"/>
      <c r="AU1041" s="301"/>
      <c r="AV1041" s="301"/>
      <c r="AW1041" s="88"/>
      <c r="AX1041" s="298"/>
      <c r="AY1041" s="299"/>
      <c r="AZ1041" s="299"/>
      <c r="BA1041" s="301"/>
      <c r="BB1041" s="301"/>
      <c r="BC1041" s="426"/>
      <c r="BD1041" s="298"/>
      <c r="BE1041" s="299"/>
      <c r="BF1041" s="299"/>
      <c r="BG1041" s="301"/>
      <c r="BH1041" s="301"/>
      <c r="BI1041" s="88"/>
      <c r="BJ1041" s="298"/>
      <c r="BK1041" s="299"/>
      <c r="BL1041" s="299"/>
      <c r="BM1041" s="301"/>
      <c r="BN1041" s="301"/>
      <c r="BO1041" s="88"/>
      <c r="BP1041" s="9"/>
      <c r="BS1041" s="81"/>
      <c r="BT1041" s="81"/>
      <c r="BV1041" s="9"/>
      <c r="BY1041" s="81"/>
      <c r="BZ1041" s="81"/>
      <c r="CB1041" s="9"/>
      <c r="CE1041" s="81"/>
      <c r="CF1041" s="81"/>
      <c r="CH1041" s="9"/>
      <c r="CK1041" s="81"/>
      <c r="CL1041" s="81"/>
      <c r="CR1041" s="9"/>
      <c r="CS1041" s="9"/>
      <c r="CT1041" s="9"/>
      <c r="CU1041" s="9"/>
      <c r="CV1041" s="9"/>
      <c r="CW1041" s="129"/>
      <c r="CX1041" s="9"/>
    </row>
    <row r="1042" spans="1:102">
      <c r="A1042" s="6" t="str">
        <f t="shared" si="161"/>
        <v>02070998</v>
      </c>
      <c r="B1042" s="6" t="s">
        <v>1857</v>
      </c>
      <c r="C1042" s="6" t="s">
        <v>2091</v>
      </c>
      <c r="D1042" s="6">
        <v>1033</v>
      </c>
      <c r="E1042" s="6">
        <v>207</v>
      </c>
      <c r="F1042" s="6" t="s">
        <v>1547</v>
      </c>
      <c r="G1042" s="6">
        <v>998</v>
      </c>
      <c r="H1042" s="6" t="s">
        <v>1547</v>
      </c>
      <c r="I1042" s="33">
        <v>0</v>
      </c>
      <c r="J1042" s="88">
        <v>0</v>
      </c>
      <c r="K1042" s="89">
        <f t="shared" si="160"/>
        <v>0</v>
      </c>
      <c r="L1042" s="88">
        <f>IF(K1044&gt;0, K1042/K1044, 0)</f>
        <v>0</v>
      </c>
      <c r="M1042" s="58"/>
      <c r="N1042" s="9">
        <f>ROUND(M1044*L1042,0)</f>
        <v>0</v>
      </c>
      <c r="O1042" s="9">
        <v>0</v>
      </c>
      <c r="P1042" s="9">
        <f>N1042-O1042</f>
        <v>0</v>
      </c>
      <c r="Q1042" s="40">
        <f>IF(O1042&gt;0,P1042*100/O1042,IF(P1042&gt;0,100,0))</f>
        <v>0</v>
      </c>
      <c r="R1042" s="9">
        <v>0</v>
      </c>
      <c r="S1042" s="9">
        <f t="shared" si="167"/>
        <v>0</v>
      </c>
      <c r="T1042" s="90">
        <f t="shared" si="162"/>
        <v>207</v>
      </c>
      <c r="U1042" s="90">
        <f t="shared" si="163"/>
        <v>998</v>
      </c>
      <c r="V1042" s="373">
        <f t="shared" si="164"/>
        <v>1033</v>
      </c>
      <c r="W1042" s="90">
        <f t="shared" si="165"/>
        <v>0</v>
      </c>
      <c r="X1042" s="90">
        <f t="shared" si="166"/>
        <v>0</v>
      </c>
      <c r="Y1042" s="141">
        <f t="shared" si="168"/>
        <v>1033</v>
      </c>
      <c r="Z1042" s="298">
        <v>207</v>
      </c>
      <c r="AA1042" s="299">
        <v>998</v>
      </c>
      <c r="AB1042" s="299">
        <v>1033</v>
      </c>
      <c r="AC1042" s="301">
        <v>0</v>
      </c>
      <c r="AD1042" s="301">
        <v>0</v>
      </c>
      <c r="AE1042" s="126"/>
      <c r="AF1042" s="298"/>
      <c r="AG1042" s="299"/>
      <c r="AH1042" s="299"/>
      <c r="AI1042" s="301"/>
      <c r="AJ1042" s="301"/>
      <c r="AK1042" s="426"/>
      <c r="AL1042" s="298"/>
      <c r="AM1042" s="299"/>
      <c r="AN1042" s="299"/>
      <c r="AO1042" s="301"/>
      <c r="AP1042" s="301"/>
      <c r="AQ1042" s="426"/>
      <c r="AR1042" s="298"/>
      <c r="AS1042" s="299"/>
      <c r="AT1042" s="299"/>
      <c r="AU1042" s="301"/>
      <c r="AV1042" s="301"/>
      <c r="AW1042" s="88"/>
      <c r="AX1042" s="298"/>
      <c r="AY1042" s="299"/>
      <c r="AZ1042" s="299"/>
      <c r="BA1042" s="301"/>
      <c r="BB1042" s="301"/>
      <c r="BC1042" s="426"/>
      <c r="BD1042" s="298"/>
      <c r="BE1042" s="299"/>
      <c r="BF1042" s="299"/>
      <c r="BG1042" s="301"/>
      <c r="BH1042" s="301"/>
      <c r="BI1042" s="88"/>
      <c r="BJ1042" s="298"/>
      <c r="BK1042" s="299"/>
      <c r="BL1042" s="299"/>
      <c r="BM1042" s="301"/>
      <c r="BN1042" s="301"/>
      <c r="BO1042" s="88"/>
      <c r="BP1042" s="9"/>
      <c r="BS1042" s="81"/>
      <c r="BT1042" s="81"/>
      <c r="BV1042" s="9"/>
      <c r="BY1042" s="81"/>
      <c r="BZ1042" s="81"/>
      <c r="CB1042" s="9"/>
      <c r="CE1042" s="81"/>
      <c r="CF1042" s="81"/>
      <c r="CH1042" s="9"/>
      <c r="CK1042" s="81"/>
      <c r="CL1042" s="81"/>
      <c r="CR1042" s="9"/>
      <c r="CS1042" s="9"/>
      <c r="CT1042" s="9"/>
      <c r="CU1042" s="9"/>
      <c r="CV1042" s="9"/>
      <c r="CW1042" s="129"/>
      <c r="CX1042" s="9"/>
    </row>
    <row r="1043" spans="1:102">
      <c r="A1043" s="6" t="str">
        <f t="shared" si="161"/>
        <v>02070998</v>
      </c>
      <c r="B1043" s="6" t="s">
        <v>1857</v>
      </c>
      <c r="C1043" s="6" t="s">
        <v>2091</v>
      </c>
      <c r="D1043" s="6">
        <v>1034</v>
      </c>
      <c r="E1043" s="6">
        <v>207</v>
      </c>
      <c r="F1043" s="6" t="s">
        <v>1547</v>
      </c>
      <c r="G1043" s="6">
        <v>998</v>
      </c>
      <c r="H1043" s="6" t="s">
        <v>1547</v>
      </c>
      <c r="I1043" s="33">
        <v>0</v>
      </c>
      <c r="J1043" s="88">
        <v>0</v>
      </c>
      <c r="K1043" s="89">
        <f t="shared" si="160"/>
        <v>0</v>
      </c>
      <c r="L1043" s="88">
        <f>IF(K1044&gt;0, K1043/K1044, 0)</f>
        <v>0</v>
      </c>
      <c r="M1043" s="58"/>
      <c r="N1043" s="9">
        <f>ROUND(M1044*L1043,0)</f>
        <v>0</v>
      </c>
      <c r="O1043" s="9">
        <v>0</v>
      </c>
      <c r="P1043" s="9">
        <f>N1043-O1043</f>
        <v>0</v>
      </c>
      <c r="Q1043" s="40">
        <f>IF(O1043&gt;0,P1043*100/O1043,IF(P1043&gt;0,100,0))</f>
        <v>0</v>
      </c>
      <c r="R1043" s="9">
        <v>0</v>
      </c>
      <c r="S1043" s="9">
        <f t="shared" si="167"/>
        <v>0</v>
      </c>
      <c r="T1043" s="90">
        <f t="shared" si="162"/>
        <v>207</v>
      </c>
      <c r="U1043" s="90">
        <f t="shared" si="163"/>
        <v>998</v>
      </c>
      <c r="V1043" s="373">
        <f t="shared" si="164"/>
        <v>1034</v>
      </c>
      <c r="W1043" s="90">
        <f t="shared" si="165"/>
        <v>0</v>
      </c>
      <c r="X1043" s="90">
        <f t="shared" si="166"/>
        <v>0</v>
      </c>
      <c r="Y1043" s="141">
        <f t="shared" si="168"/>
        <v>1034</v>
      </c>
      <c r="Z1043" s="298">
        <v>207</v>
      </c>
      <c r="AA1043" s="299">
        <v>998</v>
      </c>
      <c r="AB1043" s="299">
        <v>1034</v>
      </c>
      <c r="AC1043" s="301">
        <v>0</v>
      </c>
      <c r="AD1043" s="301">
        <v>0</v>
      </c>
      <c r="AE1043" s="126"/>
      <c r="AF1043" s="298"/>
      <c r="AG1043" s="299"/>
      <c r="AH1043" s="299"/>
      <c r="AI1043" s="301"/>
      <c r="AJ1043" s="301"/>
      <c r="AK1043" s="426"/>
      <c r="AL1043" s="298"/>
      <c r="AM1043" s="299"/>
      <c r="AN1043" s="299"/>
      <c r="AO1043" s="301"/>
      <c r="AP1043" s="301"/>
      <c r="AQ1043" s="426"/>
      <c r="AR1043" s="298"/>
      <c r="AS1043" s="299"/>
      <c r="AT1043" s="299"/>
      <c r="AU1043" s="301"/>
      <c r="AV1043" s="301"/>
      <c r="AW1043" s="88"/>
      <c r="AX1043" s="298"/>
      <c r="AY1043" s="299"/>
      <c r="AZ1043" s="299"/>
      <c r="BA1043" s="301"/>
      <c r="BB1043" s="301"/>
      <c r="BC1043" s="426"/>
      <c r="BD1043" s="298"/>
      <c r="BE1043" s="299"/>
      <c r="BF1043" s="299"/>
      <c r="BG1043" s="301"/>
      <c r="BH1043" s="301"/>
      <c r="BI1043" s="88"/>
      <c r="BJ1043" s="298"/>
      <c r="BK1043" s="299"/>
      <c r="BL1043" s="299"/>
      <c r="BM1043" s="301"/>
      <c r="BN1043" s="301"/>
      <c r="BO1043" s="88"/>
      <c r="BP1043" s="9"/>
      <c r="BS1043" s="81"/>
      <c r="BT1043" s="81"/>
      <c r="BV1043" s="9"/>
      <c r="BY1043" s="81"/>
      <c r="BZ1043" s="81"/>
      <c r="CB1043" s="9"/>
      <c r="CE1043" s="81"/>
      <c r="CF1043" s="81"/>
      <c r="CH1043" s="9"/>
      <c r="CK1043" s="81"/>
      <c r="CL1043" s="81"/>
      <c r="CR1043" s="9"/>
      <c r="CS1043" s="9"/>
      <c r="CT1043" s="9"/>
      <c r="CU1043" s="9"/>
      <c r="CV1043" s="9"/>
      <c r="CW1043" s="129"/>
      <c r="CX1043" s="9"/>
    </row>
    <row r="1044" spans="1:102">
      <c r="A1044" s="6" t="str">
        <f t="shared" si="161"/>
        <v>02070999</v>
      </c>
      <c r="B1044" s="6" t="s">
        <v>1857</v>
      </c>
      <c r="C1044" s="6" t="s">
        <v>2092</v>
      </c>
      <c r="D1044" s="6">
        <v>1035</v>
      </c>
      <c r="E1044" s="10">
        <v>207</v>
      </c>
      <c r="F1044" s="10" t="s">
        <v>1325</v>
      </c>
      <c r="G1044" s="10">
        <v>999</v>
      </c>
      <c r="H1044" s="10" t="s">
        <v>593</v>
      </c>
      <c r="I1044" s="92">
        <v>156764603.61603001</v>
      </c>
      <c r="J1044" s="472">
        <v>1</v>
      </c>
      <c r="K1044" s="53">
        <f>SUM(K1040:K1043)</f>
        <v>159609730.37020001</v>
      </c>
      <c r="L1044" s="91">
        <f>SUM(L1040:L1043)</f>
        <v>1</v>
      </c>
      <c r="M1044" s="79">
        <f>VLOOKUP(E1044,town351,24)</f>
        <v>131678028</v>
      </c>
      <c r="N1044" s="79">
        <f>SUM(N1040:N1043)</f>
        <v>131678028</v>
      </c>
      <c r="O1044" s="79">
        <v>129330798</v>
      </c>
      <c r="P1044" s="79">
        <f>SUM(P1040:P1043)</f>
        <v>2347230</v>
      </c>
      <c r="Q1044" s="39">
        <f t="shared" ref="Q1044:Q1103" si="169">IF(O1044&gt;0,P1044*100/O1044,IF(P1044&gt;0,100,0))</f>
        <v>1.8149041344351715</v>
      </c>
      <c r="R1044" s="9">
        <v>11885</v>
      </c>
      <c r="S1044" s="9">
        <f t="shared" si="167"/>
        <v>11757</v>
      </c>
      <c r="T1044" s="90">
        <f t="shared" si="162"/>
        <v>207</v>
      </c>
      <c r="U1044" s="90">
        <f t="shared" si="163"/>
        <v>999</v>
      </c>
      <c r="V1044" s="373">
        <f t="shared" si="164"/>
        <v>1035</v>
      </c>
      <c r="W1044" s="90">
        <f t="shared" si="165"/>
        <v>11757</v>
      </c>
      <c r="X1044" s="90">
        <f t="shared" si="166"/>
        <v>159609730.37020001</v>
      </c>
      <c r="Y1044" s="141">
        <f t="shared" si="168"/>
        <v>1035</v>
      </c>
      <c r="Z1044" s="298">
        <v>207</v>
      </c>
      <c r="AA1044" s="299">
        <v>999</v>
      </c>
      <c r="AB1044" s="299">
        <v>1035</v>
      </c>
      <c r="AC1044" s="301">
        <v>11757</v>
      </c>
      <c r="AD1044" s="301">
        <v>159609730.37020001</v>
      </c>
      <c r="AE1044" s="126"/>
      <c r="AF1044" s="298"/>
      <c r="AG1044" s="299"/>
      <c r="AH1044" s="299"/>
      <c r="AI1044" s="301"/>
      <c r="AJ1044" s="301"/>
      <c r="AK1044" s="426"/>
      <c r="AL1044" s="298"/>
      <c r="AM1044" s="299"/>
      <c r="AN1044" s="299"/>
      <c r="AO1044" s="301"/>
      <c r="AP1044" s="301"/>
      <c r="AQ1044" s="426"/>
      <c r="AR1044" s="298"/>
      <c r="AS1044" s="299"/>
      <c r="AT1044" s="299"/>
      <c r="AU1044" s="301"/>
      <c r="AV1044" s="301"/>
      <c r="AW1044" s="91"/>
      <c r="AX1044" s="298"/>
      <c r="AY1044" s="299"/>
      <c r="AZ1044" s="299"/>
      <c r="BA1044" s="301"/>
      <c r="BB1044" s="301"/>
      <c r="BC1044" s="426"/>
      <c r="BD1044" s="298"/>
      <c r="BE1044" s="299"/>
      <c r="BF1044" s="299"/>
      <c r="BG1044" s="301"/>
      <c r="BH1044" s="301"/>
      <c r="BI1044" s="91"/>
      <c r="BJ1044" s="298"/>
      <c r="BK1044" s="299"/>
      <c r="BL1044" s="299"/>
      <c r="BM1044" s="301"/>
      <c r="BN1044" s="301"/>
      <c r="BO1044" s="91"/>
      <c r="BP1044" s="9"/>
      <c r="BS1044" s="81"/>
      <c r="BT1044" s="81"/>
      <c r="BV1044" s="9"/>
      <c r="BY1044" s="81"/>
      <c r="BZ1044" s="81"/>
      <c r="CB1044" s="9"/>
      <c r="CE1044" s="81"/>
      <c r="CF1044" s="81"/>
      <c r="CH1044" s="9"/>
      <c r="CK1044" s="81"/>
      <c r="CL1044" s="81"/>
      <c r="CR1044" s="9"/>
      <c r="CS1044" s="9"/>
      <c r="CT1044" s="9"/>
      <c r="CU1044" s="9"/>
      <c r="CV1044" s="9"/>
      <c r="CW1044" s="129"/>
      <c r="CX1044" s="9"/>
    </row>
    <row r="1045" spans="1:102">
      <c r="A1045" s="6" t="str">
        <f t="shared" si="161"/>
        <v>02080208</v>
      </c>
      <c r="B1045" s="6" t="s">
        <v>1858</v>
      </c>
      <c r="C1045" s="6" t="s">
        <v>1858</v>
      </c>
      <c r="D1045" s="6">
        <v>1036</v>
      </c>
      <c r="E1045" s="6">
        <v>208</v>
      </c>
      <c r="F1045" s="6" t="s">
        <v>1326</v>
      </c>
      <c r="G1045" s="6">
        <v>208</v>
      </c>
      <c r="H1045" s="6" t="s">
        <v>889</v>
      </c>
      <c r="I1045" s="33">
        <v>11993145.444000002</v>
      </c>
      <c r="J1045" s="88">
        <v>0.54977266605686514</v>
      </c>
      <c r="K1045" s="89">
        <f>X1045</f>
        <v>12579945.423040001</v>
      </c>
      <c r="L1045" s="88">
        <f>IF(K1049&gt;0, K1045/K1049, 0)</f>
        <v>0.54786783863553834</v>
      </c>
      <c r="M1045" s="58"/>
      <c r="N1045" s="9">
        <f>ROUND(M1049*L1045,0)</f>
        <v>9800477</v>
      </c>
      <c r="O1045" s="9">
        <v>9300692</v>
      </c>
      <c r="P1045" s="9">
        <f>N1045-O1045</f>
        <v>499785</v>
      </c>
      <c r="Q1045" s="40">
        <f t="shared" si="169"/>
        <v>5.3736324135881501</v>
      </c>
      <c r="R1045" s="9">
        <v>1010</v>
      </c>
      <c r="S1045" s="9">
        <f t="shared" si="167"/>
        <v>1031</v>
      </c>
      <c r="T1045" s="90">
        <f t="shared" si="162"/>
        <v>208</v>
      </c>
      <c r="U1045" s="90">
        <f t="shared" si="163"/>
        <v>208</v>
      </c>
      <c r="V1045" s="373">
        <f t="shared" si="164"/>
        <v>1036</v>
      </c>
      <c r="W1045" s="90">
        <f t="shared" si="165"/>
        <v>1031</v>
      </c>
      <c r="X1045" s="90">
        <f t="shared" si="166"/>
        <v>12579945.423040001</v>
      </c>
      <c r="Y1045" s="141">
        <f t="shared" si="168"/>
        <v>1036</v>
      </c>
      <c r="Z1045" s="298">
        <v>208</v>
      </c>
      <c r="AA1045" s="299">
        <v>208</v>
      </c>
      <c r="AB1045" s="299">
        <v>1036</v>
      </c>
      <c r="AC1045" s="301">
        <v>1031</v>
      </c>
      <c r="AD1045" s="301">
        <v>12579945.423040001</v>
      </c>
      <c r="AE1045" s="126"/>
      <c r="AF1045" s="298"/>
      <c r="AG1045" s="299"/>
      <c r="AH1045" s="299"/>
      <c r="AI1045" s="301"/>
      <c r="AJ1045" s="301"/>
      <c r="AK1045" s="426"/>
      <c r="AL1045" s="298"/>
      <c r="AM1045" s="299"/>
      <c r="AN1045" s="299"/>
      <c r="AO1045" s="301"/>
      <c r="AP1045" s="301"/>
      <c r="AQ1045" s="426"/>
      <c r="AR1045" s="298"/>
      <c r="AS1045" s="299"/>
      <c r="AT1045" s="299"/>
      <c r="AU1045" s="301"/>
      <c r="AV1045" s="301"/>
      <c r="AW1045" s="88"/>
      <c r="AX1045" s="298"/>
      <c r="AY1045" s="299"/>
      <c r="AZ1045" s="299"/>
      <c r="BA1045" s="301"/>
      <c r="BB1045" s="301"/>
      <c r="BC1045" s="426"/>
      <c r="BD1045" s="298"/>
      <c r="BE1045" s="299"/>
      <c r="BF1045" s="299"/>
      <c r="BG1045" s="301"/>
      <c r="BH1045" s="301"/>
      <c r="BI1045" s="88"/>
      <c r="BJ1045" s="298"/>
      <c r="BK1045" s="299"/>
      <c r="BL1045" s="299"/>
      <c r="BM1045" s="301"/>
      <c r="BN1045" s="301"/>
      <c r="BO1045" s="88"/>
      <c r="BP1045" s="9"/>
      <c r="BS1045" s="81"/>
      <c r="BT1045" s="81"/>
      <c r="BV1045" s="9"/>
      <c r="BY1045" s="81"/>
      <c r="BZ1045" s="81"/>
      <c r="CB1045" s="9"/>
      <c r="CE1045" s="81"/>
      <c r="CF1045" s="81"/>
      <c r="CH1045" s="9"/>
      <c r="CK1045" s="81"/>
      <c r="CL1045" s="81"/>
      <c r="CR1045" s="9"/>
      <c r="CS1045" s="9"/>
      <c r="CT1045" s="9"/>
      <c r="CU1045" s="9"/>
      <c r="CV1045" s="9"/>
      <c r="CW1045" s="129"/>
      <c r="CX1045" s="9"/>
    </row>
    <row r="1046" spans="1:102">
      <c r="A1046" s="6" t="str">
        <f t="shared" si="161"/>
        <v>02080690</v>
      </c>
      <c r="B1046" s="6" t="s">
        <v>1858</v>
      </c>
      <c r="C1046" s="6" t="s">
        <v>2032</v>
      </c>
      <c r="D1046" s="6">
        <v>1037</v>
      </c>
      <c r="E1046" s="6">
        <v>208</v>
      </c>
      <c r="F1046" s="6" t="s">
        <v>1326</v>
      </c>
      <c r="G1046" s="6">
        <v>690</v>
      </c>
      <c r="H1046" s="6" t="s">
        <v>1062</v>
      </c>
      <c r="I1046" s="33">
        <v>8700999.626213897</v>
      </c>
      <c r="J1046" s="88">
        <v>0.39885881349471614</v>
      </c>
      <c r="K1046" s="89">
        <f t="shared" si="160"/>
        <v>9173066.6695414931</v>
      </c>
      <c r="L1046" s="88">
        <f>IF(K1049&gt;0, K1046/K1049, 0)</f>
        <v>0.39949523156889249</v>
      </c>
      <c r="M1046" s="58"/>
      <c r="N1046" s="9">
        <f>ROUND(M1049*L1046,0)</f>
        <v>7146329</v>
      </c>
      <c r="O1046" s="9">
        <v>6747631</v>
      </c>
      <c r="P1046" s="9">
        <f>N1046-O1046</f>
        <v>398698</v>
      </c>
      <c r="Q1046" s="40">
        <f t="shared" si="169"/>
        <v>5.9087107756781601</v>
      </c>
      <c r="R1046" s="9">
        <v>663.34968353709996</v>
      </c>
      <c r="S1046" s="9">
        <f t="shared" si="167"/>
        <v>684.34880163084006</v>
      </c>
      <c r="T1046" s="90">
        <f t="shared" si="162"/>
        <v>208</v>
      </c>
      <c r="U1046" s="90">
        <f t="shared" si="163"/>
        <v>690</v>
      </c>
      <c r="V1046" s="373">
        <f t="shared" si="164"/>
        <v>1037</v>
      </c>
      <c r="W1046" s="90">
        <f t="shared" si="165"/>
        <v>684.34880163084006</v>
      </c>
      <c r="X1046" s="90">
        <f t="shared" si="166"/>
        <v>9173066.6695414931</v>
      </c>
      <c r="Y1046" s="141">
        <f t="shared" si="168"/>
        <v>1037</v>
      </c>
      <c r="Z1046" s="298">
        <v>208</v>
      </c>
      <c r="AA1046" s="299">
        <v>690</v>
      </c>
      <c r="AB1046" s="299">
        <v>1037</v>
      </c>
      <c r="AC1046" s="301">
        <v>684.34880163084006</v>
      </c>
      <c r="AD1046" s="301">
        <v>9173066.6695414931</v>
      </c>
      <c r="AE1046" s="126"/>
      <c r="AF1046" s="298"/>
      <c r="AG1046" s="299"/>
      <c r="AH1046" s="299"/>
      <c r="AI1046" s="301"/>
      <c r="AJ1046" s="301"/>
      <c r="AK1046" s="426"/>
      <c r="AL1046" s="298"/>
      <c r="AM1046" s="299"/>
      <c r="AN1046" s="299"/>
      <c r="AO1046" s="301"/>
      <c r="AP1046" s="301"/>
      <c r="AQ1046" s="426"/>
      <c r="AR1046" s="298"/>
      <c r="AS1046" s="299"/>
      <c r="AT1046" s="299"/>
      <c r="AU1046" s="301"/>
      <c r="AV1046" s="301"/>
      <c r="AW1046" s="88"/>
      <c r="AX1046" s="298"/>
      <c r="AY1046" s="299"/>
      <c r="AZ1046" s="299"/>
      <c r="BA1046" s="301"/>
      <c r="BB1046" s="301"/>
      <c r="BC1046" s="426"/>
      <c r="BD1046" s="298"/>
      <c r="BE1046" s="299"/>
      <c r="BF1046" s="299"/>
      <c r="BG1046" s="301"/>
      <c r="BH1046" s="301"/>
      <c r="BI1046" s="88"/>
      <c r="BJ1046" s="298"/>
      <c r="BK1046" s="299"/>
      <c r="BL1046" s="299"/>
      <c r="BM1046" s="301"/>
      <c r="BN1046" s="301"/>
      <c r="BO1046" s="88"/>
      <c r="BP1046" s="9"/>
      <c r="BS1046" s="81"/>
      <c r="BT1046" s="81"/>
      <c r="BV1046" s="9"/>
      <c r="BY1046" s="81"/>
      <c r="BZ1046" s="81"/>
      <c r="CB1046" s="9"/>
      <c r="CE1046" s="81"/>
      <c r="CF1046" s="81"/>
      <c r="CH1046" s="9"/>
      <c r="CK1046" s="81"/>
      <c r="CL1046" s="81"/>
      <c r="CR1046" s="9"/>
      <c r="CS1046" s="9"/>
      <c r="CT1046" s="9"/>
      <c r="CU1046" s="9"/>
      <c r="CV1046" s="9"/>
      <c r="CW1046" s="129"/>
      <c r="CX1046" s="9"/>
    </row>
    <row r="1047" spans="1:102">
      <c r="A1047" s="6" t="str">
        <f t="shared" si="161"/>
        <v>02080878</v>
      </c>
      <c r="B1047" s="6" t="s">
        <v>1858</v>
      </c>
      <c r="C1047" s="6" t="s">
        <v>2085</v>
      </c>
      <c r="D1047" s="6">
        <v>1038</v>
      </c>
      <c r="E1047" s="6">
        <v>208</v>
      </c>
      <c r="F1047" s="6" t="s">
        <v>1326</v>
      </c>
      <c r="G1047" s="6">
        <v>878</v>
      </c>
      <c r="H1047" s="6" t="s">
        <v>1115</v>
      </c>
      <c r="I1047" s="33">
        <v>840743.82210676139</v>
      </c>
      <c r="J1047" s="88">
        <v>3.8540179030490618E-2</v>
      </c>
      <c r="K1047" s="89">
        <f t="shared" si="160"/>
        <v>878270.78362735233</v>
      </c>
      <c r="L1047" s="88">
        <f>IF(K1049&gt;0, K1047/K1049, 0)</f>
        <v>3.8249475636149437E-2</v>
      </c>
      <c r="M1047" s="58"/>
      <c r="N1047" s="9">
        <f>ROUND(M1049*L1047,0)</f>
        <v>684222</v>
      </c>
      <c r="O1047" s="9">
        <v>651997</v>
      </c>
      <c r="P1047" s="9">
        <f>N1047-O1047</f>
        <v>32225</v>
      </c>
      <c r="Q1047" s="40">
        <f t="shared" si="169"/>
        <v>4.9425074041751724</v>
      </c>
      <c r="R1047" s="9">
        <v>41.000000000300005</v>
      </c>
      <c r="S1047" s="9">
        <f t="shared" si="167"/>
        <v>41.999999998920003</v>
      </c>
      <c r="T1047" s="90">
        <f t="shared" si="162"/>
        <v>208</v>
      </c>
      <c r="U1047" s="90">
        <f t="shared" si="163"/>
        <v>878</v>
      </c>
      <c r="V1047" s="373">
        <f t="shared" si="164"/>
        <v>1038</v>
      </c>
      <c r="W1047" s="90">
        <f t="shared" si="165"/>
        <v>41.999999998920003</v>
      </c>
      <c r="X1047" s="90">
        <f t="shared" si="166"/>
        <v>878270.78362735233</v>
      </c>
      <c r="Y1047" s="141">
        <f t="shared" si="168"/>
        <v>1038</v>
      </c>
      <c r="Z1047" s="298">
        <v>208</v>
      </c>
      <c r="AA1047" s="299">
        <v>878</v>
      </c>
      <c r="AB1047" s="299">
        <v>1038</v>
      </c>
      <c r="AC1047" s="301">
        <v>41.999999998920003</v>
      </c>
      <c r="AD1047" s="301">
        <v>878270.78362735233</v>
      </c>
      <c r="AE1047" s="126"/>
      <c r="AF1047" s="298"/>
      <c r="AG1047" s="299"/>
      <c r="AH1047" s="299"/>
      <c r="AI1047" s="301"/>
      <c r="AJ1047" s="301"/>
      <c r="AK1047" s="426"/>
      <c r="AL1047" s="298"/>
      <c r="AM1047" s="299"/>
      <c r="AN1047" s="299"/>
      <c r="AO1047" s="301"/>
      <c r="AP1047" s="301"/>
      <c r="AQ1047" s="426"/>
      <c r="AR1047" s="298"/>
      <c r="AS1047" s="299"/>
      <c r="AT1047" s="299"/>
      <c r="AU1047" s="301"/>
      <c r="AV1047" s="301"/>
      <c r="AW1047" s="88"/>
      <c r="AX1047" s="298"/>
      <c r="AY1047" s="299"/>
      <c r="AZ1047" s="299"/>
      <c r="BA1047" s="301"/>
      <c r="BB1047" s="301"/>
      <c r="BC1047" s="426"/>
      <c r="BD1047" s="298"/>
      <c r="BE1047" s="299"/>
      <c r="BF1047" s="299"/>
      <c r="BG1047" s="301"/>
      <c r="BH1047" s="301"/>
      <c r="BI1047" s="88"/>
      <c r="BJ1047" s="298"/>
      <c r="BK1047" s="299"/>
      <c r="BL1047" s="299"/>
      <c r="BM1047" s="301"/>
      <c r="BN1047" s="301"/>
      <c r="BO1047" s="88"/>
      <c r="BP1047" s="9"/>
      <c r="BS1047" s="81"/>
      <c r="BT1047" s="81"/>
      <c r="BV1047" s="9"/>
      <c r="BY1047" s="81"/>
      <c r="BZ1047" s="81"/>
      <c r="CB1047" s="9"/>
      <c r="CE1047" s="81"/>
      <c r="CF1047" s="81"/>
      <c r="CH1047" s="9"/>
      <c r="CK1047" s="81"/>
      <c r="CL1047" s="81"/>
      <c r="CR1047" s="9"/>
      <c r="CS1047" s="9"/>
      <c r="CT1047" s="9"/>
      <c r="CU1047" s="9"/>
      <c r="CV1047" s="9"/>
      <c r="CW1047" s="129"/>
      <c r="CX1047" s="9"/>
    </row>
    <row r="1048" spans="1:102">
      <c r="A1048" s="6" t="str">
        <f t="shared" si="161"/>
        <v>02080915</v>
      </c>
      <c r="B1048" s="6" t="s">
        <v>1858</v>
      </c>
      <c r="C1048" s="6" t="s">
        <v>2089</v>
      </c>
      <c r="D1048" s="6">
        <v>1039</v>
      </c>
      <c r="E1048" s="6">
        <v>208</v>
      </c>
      <c r="F1048" s="6" t="s">
        <v>1326</v>
      </c>
      <c r="G1048" s="6">
        <v>915</v>
      </c>
      <c r="H1048" s="6" t="s">
        <v>1119</v>
      </c>
      <c r="I1048" s="33">
        <v>279846.8784088064</v>
      </c>
      <c r="J1048" s="88">
        <v>1.2828341417928095E-2</v>
      </c>
      <c r="K1048" s="89">
        <f t="shared" si="160"/>
        <v>330359.57823834149</v>
      </c>
      <c r="L1048" s="88">
        <f>IF(K1049&gt;0, K1048/K1049, 0)</f>
        <v>1.4387454159419581E-2</v>
      </c>
      <c r="M1048" s="58"/>
      <c r="N1048" s="9">
        <f>ROUND(M1049*L1048,0)</f>
        <v>257368</v>
      </c>
      <c r="O1048" s="9">
        <v>217021</v>
      </c>
      <c r="P1048" s="9">
        <f>N1048-O1048</f>
        <v>40347</v>
      </c>
      <c r="Q1048" s="40">
        <f t="shared" si="169"/>
        <v>18.591288400661686</v>
      </c>
      <c r="R1048" s="9">
        <v>13.000000000129999</v>
      </c>
      <c r="S1048" s="9">
        <f t="shared" si="167"/>
        <v>15.00000000056</v>
      </c>
      <c r="T1048" s="90">
        <f t="shared" si="162"/>
        <v>208</v>
      </c>
      <c r="U1048" s="90">
        <f t="shared" si="163"/>
        <v>915</v>
      </c>
      <c r="V1048" s="373">
        <f t="shared" si="164"/>
        <v>1039</v>
      </c>
      <c r="W1048" s="90">
        <f t="shared" si="165"/>
        <v>15.00000000056</v>
      </c>
      <c r="X1048" s="90">
        <f t="shared" si="166"/>
        <v>330359.57823834149</v>
      </c>
      <c r="Y1048" s="141">
        <f t="shared" si="168"/>
        <v>1039</v>
      </c>
      <c r="Z1048" s="298">
        <v>208</v>
      </c>
      <c r="AA1048" s="299">
        <v>915</v>
      </c>
      <c r="AB1048" s="299">
        <v>1039</v>
      </c>
      <c r="AC1048" s="301">
        <v>15.00000000056</v>
      </c>
      <c r="AD1048" s="301">
        <v>330359.57823834149</v>
      </c>
      <c r="AE1048" s="126"/>
      <c r="AF1048" s="298"/>
      <c r="AG1048" s="299"/>
      <c r="AH1048" s="299"/>
      <c r="AI1048" s="301"/>
      <c r="AJ1048" s="301"/>
      <c r="AK1048" s="426"/>
      <c r="AL1048" s="298"/>
      <c r="AM1048" s="299"/>
      <c r="AN1048" s="299"/>
      <c r="AO1048" s="301"/>
      <c r="AP1048" s="301"/>
      <c r="AQ1048" s="426"/>
      <c r="AR1048" s="298"/>
      <c r="AS1048" s="299"/>
      <c r="AT1048" s="299"/>
      <c r="AU1048" s="301"/>
      <c r="AV1048" s="301"/>
      <c r="AW1048" s="88"/>
      <c r="AX1048" s="298"/>
      <c r="AY1048" s="299"/>
      <c r="AZ1048" s="299"/>
      <c r="BA1048" s="301"/>
      <c r="BB1048" s="301"/>
      <c r="BC1048" s="426"/>
      <c r="BD1048" s="298"/>
      <c r="BE1048" s="299"/>
      <c r="BF1048" s="299"/>
      <c r="BG1048" s="301"/>
      <c r="BH1048" s="301"/>
      <c r="BI1048" s="88"/>
      <c r="BJ1048" s="298"/>
      <c r="BK1048" s="299"/>
      <c r="BL1048" s="299"/>
      <c r="BM1048" s="301"/>
      <c r="BN1048" s="301"/>
      <c r="BO1048" s="88"/>
      <c r="BP1048" s="9"/>
      <c r="BS1048" s="81"/>
      <c r="BT1048" s="81"/>
      <c r="BV1048" s="9"/>
      <c r="BY1048" s="81"/>
      <c r="BZ1048" s="81"/>
      <c r="CB1048" s="9"/>
      <c r="CE1048" s="81"/>
      <c r="CF1048" s="81"/>
      <c r="CH1048" s="9"/>
      <c r="CK1048" s="81"/>
      <c r="CL1048" s="81"/>
      <c r="CR1048" s="9"/>
      <c r="CS1048" s="9"/>
      <c r="CT1048" s="9"/>
      <c r="CU1048" s="9"/>
      <c r="CV1048" s="9"/>
      <c r="CW1048" s="129"/>
      <c r="CX1048" s="9"/>
    </row>
    <row r="1049" spans="1:102">
      <c r="A1049" s="6" t="str">
        <f t="shared" si="161"/>
        <v>02080999</v>
      </c>
      <c r="B1049" s="6" t="s">
        <v>1858</v>
      </c>
      <c r="C1049" s="6" t="s">
        <v>2092</v>
      </c>
      <c r="D1049" s="6">
        <v>1040</v>
      </c>
      <c r="E1049" s="10">
        <v>208</v>
      </c>
      <c r="F1049" s="10" t="s">
        <v>1326</v>
      </c>
      <c r="G1049" s="10">
        <v>999</v>
      </c>
      <c r="H1049" s="10" t="s">
        <v>593</v>
      </c>
      <c r="I1049" s="92">
        <v>21814735.770729467</v>
      </c>
      <c r="J1049" s="472">
        <v>1</v>
      </c>
      <c r="K1049" s="53">
        <f>SUM(K1045:K1048)</f>
        <v>22961642.454447191</v>
      </c>
      <c r="L1049" s="91">
        <f>SUM(L1045:L1048)</f>
        <v>0.99999999999999989</v>
      </c>
      <c r="M1049" s="79">
        <f>VLOOKUP(E1049,town351,24)</f>
        <v>17888396</v>
      </c>
      <c r="N1049" s="79">
        <f>SUM(N1045:N1048)</f>
        <v>17888396</v>
      </c>
      <c r="O1049" s="79">
        <v>16917341</v>
      </c>
      <c r="P1049" s="79">
        <f>SUM(P1045:P1048)</f>
        <v>971055</v>
      </c>
      <c r="Q1049" s="39">
        <f t="shared" si="169"/>
        <v>5.7399977927973431</v>
      </c>
      <c r="R1049" s="9">
        <v>1727.3496835375299</v>
      </c>
      <c r="S1049" s="9">
        <f t="shared" si="167"/>
        <v>1772.3488016303202</v>
      </c>
      <c r="T1049" s="90">
        <f t="shared" si="162"/>
        <v>208</v>
      </c>
      <c r="U1049" s="90">
        <f t="shared" si="163"/>
        <v>999</v>
      </c>
      <c r="V1049" s="373">
        <f t="shared" si="164"/>
        <v>1040</v>
      </c>
      <c r="W1049" s="90">
        <f t="shared" si="165"/>
        <v>1772.3488016303202</v>
      </c>
      <c r="X1049" s="90">
        <f t="shared" si="166"/>
        <v>22961642.454447191</v>
      </c>
      <c r="Y1049" s="141">
        <f t="shared" si="168"/>
        <v>1040</v>
      </c>
      <c r="Z1049" s="298">
        <v>208</v>
      </c>
      <c r="AA1049" s="299">
        <v>999</v>
      </c>
      <c r="AB1049" s="299">
        <v>1040</v>
      </c>
      <c r="AC1049" s="301">
        <v>1772.3488016303202</v>
      </c>
      <c r="AD1049" s="301">
        <v>22961642.454447191</v>
      </c>
      <c r="AE1049" s="126"/>
      <c r="AF1049" s="298"/>
      <c r="AG1049" s="299"/>
      <c r="AH1049" s="299"/>
      <c r="AI1049" s="301"/>
      <c r="AJ1049" s="301"/>
      <c r="AK1049" s="426"/>
      <c r="AL1049" s="298"/>
      <c r="AM1049" s="299"/>
      <c r="AN1049" s="299"/>
      <c r="AO1049" s="301"/>
      <c r="AP1049" s="301"/>
      <c r="AQ1049" s="426"/>
      <c r="AR1049" s="298"/>
      <c r="AS1049" s="299"/>
      <c r="AT1049" s="299"/>
      <c r="AU1049" s="301"/>
      <c r="AV1049" s="301"/>
      <c r="AW1049" s="91"/>
      <c r="AX1049" s="298"/>
      <c r="AY1049" s="299"/>
      <c r="AZ1049" s="299"/>
      <c r="BA1049" s="301"/>
      <c r="BB1049" s="301"/>
      <c r="BC1049" s="426"/>
      <c r="BD1049" s="298"/>
      <c r="BE1049" s="299"/>
      <c r="BF1049" s="299"/>
      <c r="BG1049" s="301"/>
      <c r="BH1049" s="301"/>
      <c r="BI1049" s="91"/>
      <c r="BJ1049" s="298"/>
      <c r="BK1049" s="299"/>
      <c r="BL1049" s="299"/>
      <c r="BM1049" s="301"/>
      <c r="BN1049" s="301"/>
      <c r="BO1049" s="91"/>
      <c r="BP1049" s="9"/>
      <c r="BS1049" s="81"/>
      <c r="BT1049" s="81"/>
      <c r="BV1049" s="9"/>
      <c r="BY1049" s="81"/>
      <c r="BZ1049" s="81"/>
      <c r="CB1049" s="9"/>
      <c r="CE1049" s="81"/>
      <c r="CF1049" s="81"/>
      <c r="CH1049" s="9"/>
      <c r="CK1049" s="81"/>
      <c r="CL1049" s="81"/>
      <c r="CR1049" s="9"/>
      <c r="CS1049" s="9"/>
      <c r="CT1049" s="9"/>
      <c r="CU1049" s="9"/>
      <c r="CV1049" s="9"/>
      <c r="CW1049" s="129"/>
      <c r="CX1049" s="9"/>
    </row>
    <row r="1050" spans="1:102">
      <c r="A1050" s="6" t="str">
        <f t="shared" si="161"/>
        <v>02090209</v>
      </c>
      <c r="B1050" s="6" t="s">
        <v>1859</v>
      </c>
      <c r="C1050" s="6" t="s">
        <v>1859</v>
      </c>
      <c r="D1050" s="6">
        <v>1041</v>
      </c>
      <c r="E1050" s="6">
        <v>209</v>
      </c>
      <c r="F1050" s="6" t="s">
        <v>1327</v>
      </c>
      <c r="G1050" s="6">
        <v>209</v>
      </c>
      <c r="H1050" s="6" t="s">
        <v>890</v>
      </c>
      <c r="I1050" s="33">
        <v>21755055.919999998</v>
      </c>
      <c r="J1050" s="88">
        <v>0.86244570647366925</v>
      </c>
      <c r="K1050" s="89">
        <f>X1050</f>
        <v>22174984.270000003</v>
      </c>
      <c r="L1050" s="88">
        <f>IF(K1054&gt;0, K1050/K1054, 0)</f>
        <v>0.86121110204670825</v>
      </c>
      <c r="M1050" s="58"/>
      <c r="N1050" s="9">
        <f>ROUND(M1054*L1050,0)</f>
        <v>5756158</v>
      </c>
      <c r="O1050" s="9">
        <v>5538974</v>
      </c>
      <c r="P1050" s="9">
        <f>N1050-O1050</f>
        <v>217184</v>
      </c>
      <c r="Q1050" s="40">
        <f t="shared" si="169"/>
        <v>3.9210149749755101</v>
      </c>
      <c r="R1050" s="9">
        <v>1315</v>
      </c>
      <c r="S1050" s="9">
        <f t="shared" si="167"/>
        <v>1280</v>
      </c>
      <c r="T1050" s="90">
        <f t="shared" si="162"/>
        <v>209</v>
      </c>
      <c r="U1050" s="90">
        <f t="shared" si="163"/>
        <v>209</v>
      </c>
      <c r="V1050" s="373">
        <f t="shared" si="164"/>
        <v>1041</v>
      </c>
      <c r="W1050" s="90">
        <f t="shared" si="165"/>
        <v>1280</v>
      </c>
      <c r="X1050" s="90">
        <f t="shared" si="166"/>
        <v>22174984.270000003</v>
      </c>
      <c r="Y1050" s="141">
        <f t="shared" si="168"/>
        <v>1041</v>
      </c>
      <c r="Z1050" s="298">
        <v>209</v>
      </c>
      <c r="AA1050" s="299">
        <v>209</v>
      </c>
      <c r="AB1050" s="299">
        <v>1041</v>
      </c>
      <c r="AC1050" s="301">
        <v>1280</v>
      </c>
      <c r="AD1050" s="301">
        <v>22174984.270000003</v>
      </c>
      <c r="AE1050" s="126"/>
      <c r="AF1050" s="298"/>
      <c r="AG1050" s="299"/>
      <c r="AH1050" s="299"/>
      <c r="AI1050" s="301"/>
      <c r="AJ1050" s="301"/>
      <c r="AK1050" s="426"/>
      <c r="AL1050" s="298"/>
      <c r="AM1050" s="299"/>
      <c r="AN1050" s="299"/>
      <c r="AO1050" s="301"/>
      <c r="AP1050" s="301"/>
      <c r="AQ1050" s="426"/>
      <c r="AR1050" s="298"/>
      <c r="AS1050" s="299"/>
      <c r="AT1050" s="299"/>
      <c r="AU1050" s="301"/>
      <c r="AV1050" s="301"/>
      <c r="AW1050" s="88"/>
      <c r="AX1050" s="298"/>
      <c r="AY1050" s="299"/>
      <c r="AZ1050" s="299"/>
      <c r="BA1050" s="301"/>
      <c r="BB1050" s="301"/>
      <c r="BC1050" s="426"/>
      <c r="BD1050" s="298"/>
      <c r="BE1050" s="299"/>
      <c r="BF1050" s="299"/>
      <c r="BG1050" s="301"/>
      <c r="BH1050" s="301"/>
      <c r="BI1050" s="88"/>
      <c r="BJ1050" s="298"/>
      <c r="BK1050" s="299"/>
      <c r="BL1050" s="299"/>
      <c r="BM1050" s="301"/>
      <c r="BN1050" s="301"/>
      <c r="BO1050" s="88"/>
      <c r="BP1050" s="9"/>
      <c r="BS1050" s="81"/>
      <c r="BT1050" s="81"/>
      <c r="BV1050" s="9"/>
      <c r="BY1050" s="81"/>
      <c r="BZ1050" s="81"/>
      <c r="CB1050" s="9"/>
      <c r="CE1050" s="81"/>
      <c r="CF1050" s="81"/>
      <c r="CH1050" s="9"/>
      <c r="CK1050" s="81"/>
      <c r="CL1050" s="81"/>
      <c r="CR1050" s="9"/>
      <c r="CS1050" s="9"/>
      <c r="CT1050" s="9"/>
      <c r="CU1050" s="9"/>
      <c r="CV1050" s="9"/>
      <c r="CW1050" s="129"/>
      <c r="CX1050" s="9"/>
    </row>
    <row r="1051" spans="1:102">
      <c r="A1051" s="6" t="str">
        <f t="shared" si="161"/>
        <v>02090851</v>
      </c>
      <c r="B1051" s="6" t="s">
        <v>1859</v>
      </c>
      <c r="C1051" s="6" t="s">
        <v>2076</v>
      </c>
      <c r="D1051" s="6">
        <v>1042</v>
      </c>
      <c r="E1051" s="6">
        <v>209</v>
      </c>
      <c r="F1051" s="6" t="s">
        <v>1327</v>
      </c>
      <c r="G1051" s="6">
        <v>851</v>
      </c>
      <c r="H1051" s="6" t="s">
        <v>1106</v>
      </c>
      <c r="I1051" s="33">
        <v>3469785.1995078409</v>
      </c>
      <c r="J1051" s="88">
        <v>0.13755429352633083</v>
      </c>
      <c r="K1051" s="89">
        <f t="shared" si="160"/>
        <v>3573620.4766180092</v>
      </c>
      <c r="L1051" s="88">
        <f>IF(K1054&gt;0, K1051/K1054, 0)</f>
        <v>0.13878889795329166</v>
      </c>
      <c r="M1051" s="58"/>
      <c r="N1051" s="9">
        <f>ROUND(M1054*L1051,0)</f>
        <v>927637</v>
      </c>
      <c r="O1051" s="9">
        <v>883429</v>
      </c>
      <c r="P1051" s="9">
        <f>N1051-O1051</f>
        <v>44208</v>
      </c>
      <c r="Q1051" s="40">
        <f t="shared" si="169"/>
        <v>5.0041372877729842</v>
      </c>
      <c r="R1051" s="9">
        <v>163.99999999938001</v>
      </c>
      <c r="S1051" s="9">
        <f t="shared" si="167"/>
        <v>162.99999999839002</v>
      </c>
      <c r="T1051" s="90">
        <f t="shared" si="162"/>
        <v>209</v>
      </c>
      <c r="U1051" s="90">
        <f t="shared" si="163"/>
        <v>851</v>
      </c>
      <c r="V1051" s="373">
        <f t="shared" si="164"/>
        <v>1042</v>
      </c>
      <c r="W1051" s="90">
        <f t="shared" si="165"/>
        <v>162.99999999839002</v>
      </c>
      <c r="X1051" s="90">
        <f t="shared" si="166"/>
        <v>3573620.4766180092</v>
      </c>
      <c r="Y1051" s="141">
        <f t="shared" si="168"/>
        <v>1042</v>
      </c>
      <c r="Z1051" s="298">
        <v>209</v>
      </c>
      <c r="AA1051" s="299">
        <v>851</v>
      </c>
      <c r="AB1051" s="299">
        <v>1042</v>
      </c>
      <c r="AC1051" s="301">
        <v>162.99999999839002</v>
      </c>
      <c r="AD1051" s="301">
        <v>3573620.4766180092</v>
      </c>
      <c r="AE1051" s="126"/>
      <c r="AF1051" s="298"/>
      <c r="AG1051" s="299"/>
      <c r="AH1051" s="299"/>
      <c r="AI1051" s="301"/>
      <c r="AJ1051" s="301"/>
      <c r="AK1051" s="426"/>
      <c r="AL1051" s="298"/>
      <c r="AM1051" s="299"/>
      <c r="AN1051" s="299"/>
      <c r="AO1051" s="301"/>
      <c r="AP1051" s="301"/>
      <c r="AQ1051" s="426"/>
      <c r="AR1051" s="298"/>
      <c r="AS1051" s="299"/>
      <c r="AT1051" s="299"/>
      <c r="AU1051" s="301"/>
      <c r="AV1051" s="301"/>
      <c r="AW1051" s="88"/>
      <c r="AX1051" s="298"/>
      <c r="AY1051" s="299"/>
      <c r="AZ1051" s="299"/>
      <c r="BA1051" s="301"/>
      <c r="BB1051" s="301"/>
      <c r="BC1051" s="426"/>
      <c r="BD1051" s="298"/>
      <c r="BE1051" s="299"/>
      <c r="BF1051" s="299"/>
      <c r="BG1051" s="301"/>
      <c r="BH1051" s="301"/>
      <c r="BI1051" s="88"/>
      <c r="BJ1051" s="298"/>
      <c r="BK1051" s="299"/>
      <c r="BL1051" s="299"/>
      <c r="BM1051" s="301"/>
      <c r="BN1051" s="301"/>
      <c r="BO1051" s="88"/>
      <c r="BP1051" s="9"/>
      <c r="BS1051" s="81"/>
      <c r="BT1051" s="81"/>
      <c r="BV1051" s="9"/>
      <c r="BY1051" s="81"/>
      <c r="BZ1051" s="81"/>
      <c r="CB1051" s="9"/>
      <c r="CE1051" s="81"/>
      <c r="CF1051" s="81"/>
      <c r="CH1051" s="9"/>
      <c r="CK1051" s="81"/>
      <c r="CL1051" s="81"/>
      <c r="CR1051" s="9"/>
      <c r="CS1051" s="9"/>
      <c r="CT1051" s="9"/>
      <c r="CU1051" s="9"/>
      <c r="CV1051" s="9"/>
      <c r="CW1051" s="129"/>
      <c r="CX1051" s="9"/>
    </row>
    <row r="1052" spans="1:102">
      <c r="A1052" s="6" t="str">
        <f t="shared" si="161"/>
        <v>02090998</v>
      </c>
      <c r="B1052" s="6" t="s">
        <v>1859</v>
      </c>
      <c r="C1052" s="6" t="s">
        <v>2091</v>
      </c>
      <c r="D1052" s="6">
        <v>1043</v>
      </c>
      <c r="E1052" s="6">
        <v>209</v>
      </c>
      <c r="F1052" s="6" t="s">
        <v>1547</v>
      </c>
      <c r="G1052" s="6">
        <v>998</v>
      </c>
      <c r="H1052" s="6" t="s">
        <v>1547</v>
      </c>
      <c r="I1052" s="33">
        <v>0</v>
      </c>
      <c r="J1052" s="88">
        <v>0</v>
      </c>
      <c r="K1052" s="89">
        <f t="shared" si="160"/>
        <v>0</v>
      </c>
      <c r="L1052" s="88">
        <f>IF(K1054&gt;0, K1052/K1054, 0)</f>
        <v>0</v>
      </c>
      <c r="M1052" s="58"/>
      <c r="N1052" s="9">
        <f>ROUND(M1054*L1052,0)</f>
        <v>0</v>
      </c>
      <c r="O1052" s="9">
        <v>0</v>
      </c>
      <c r="P1052" s="9">
        <f>N1052-O1052</f>
        <v>0</v>
      </c>
      <c r="Q1052" s="40">
        <f t="shared" si="169"/>
        <v>0</v>
      </c>
      <c r="R1052" s="9">
        <v>0</v>
      </c>
      <c r="S1052" s="9">
        <f t="shared" si="167"/>
        <v>0</v>
      </c>
      <c r="T1052" s="90">
        <f t="shared" si="162"/>
        <v>209</v>
      </c>
      <c r="U1052" s="90">
        <f t="shared" si="163"/>
        <v>998</v>
      </c>
      <c r="V1052" s="373">
        <f t="shared" si="164"/>
        <v>1043</v>
      </c>
      <c r="W1052" s="90">
        <f t="shared" si="165"/>
        <v>0</v>
      </c>
      <c r="X1052" s="90">
        <f t="shared" si="166"/>
        <v>0</v>
      </c>
      <c r="Y1052" s="141">
        <f t="shared" si="168"/>
        <v>1043</v>
      </c>
      <c r="Z1052" s="298">
        <v>209</v>
      </c>
      <c r="AA1052" s="299">
        <v>998</v>
      </c>
      <c r="AB1052" s="299">
        <v>1043</v>
      </c>
      <c r="AC1052" s="301">
        <v>0</v>
      </c>
      <c r="AD1052" s="301">
        <v>0</v>
      </c>
      <c r="AE1052" s="126"/>
      <c r="AF1052" s="298"/>
      <c r="AG1052" s="299"/>
      <c r="AH1052" s="299"/>
      <c r="AI1052" s="301"/>
      <c r="AJ1052" s="301"/>
      <c r="AK1052" s="426"/>
      <c r="AL1052" s="298"/>
      <c r="AM1052" s="299"/>
      <c r="AN1052" s="299"/>
      <c r="AO1052" s="301"/>
      <c r="AP1052" s="301"/>
      <c r="AQ1052" s="426"/>
      <c r="AR1052" s="298"/>
      <c r="AS1052" s="299"/>
      <c r="AT1052" s="299"/>
      <c r="AU1052" s="301"/>
      <c r="AV1052" s="301"/>
      <c r="AW1052" s="88"/>
      <c r="AX1052" s="298"/>
      <c r="AY1052" s="299"/>
      <c r="AZ1052" s="299"/>
      <c r="BA1052" s="301"/>
      <c r="BB1052" s="301"/>
      <c r="BC1052" s="426"/>
      <c r="BD1052" s="298"/>
      <c r="BE1052" s="299"/>
      <c r="BF1052" s="299"/>
      <c r="BG1052" s="301"/>
      <c r="BH1052" s="301"/>
      <c r="BI1052" s="88"/>
      <c r="BJ1052" s="298"/>
      <c r="BK1052" s="299"/>
      <c r="BL1052" s="299"/>
      <c r="BM1052" s="301"/>
      <c r="BN1052" s="301"/>
      <c r="BO1052" s="88"/>
      <c r="BP1052" s="9"/>
      <c r="BS1052" s="81"/>
      <c r="BT1052" s="81"/>
      <c r="BV1052" s="9"/>
      <c r="BY1052" s="81"/>
      <c r="BZ1052" s="81"/>
      <c r="CB1052" s="9"/>
      <c r="CE1052" s="81"/>
      <c r="CF1052" s="81"/>
      <c r="CH1052" s="9"/>
      <c r="CK1052" s="81"/>
      <c r="CL1052" s="81"/>
      <c r="CR1052" s="9"/>
      <c r="CS1052" s="9"/>
      <c r="CT1052" s="9"/>
      <c r="CU1052" s="9"/>
      <c r="CV1052" s="9"/>
      <c r="CW1052" s="129"/>
      <c r="CX1052" s="9"/>
    </row>
    <row r="1053" spans="1:102">
      <c r="A1053" s="6" t="str">
        <f t="shared" si="161"/>
        <v>02090998</v>
      </c>
      <c r="B1053" s="6" t="s">
        <v>1859</v>
      </c>
      <c r="C1053" s="6" t="s">
        <v>2091</v>
      </c>
      <c r="D1053" s="6">
        <v>1044</v>
      </c>
      <c r="E1053" s="6">
        <v>209</v>
      </c>
      <c r="F1053" s="6" t="s">
        <v>1547</v>
      </c>
      <c r="G1053" s="6">
        <v>998</v>
      </c>
      <c r="H1053" s="6" t="s">
        <v>1547</v>
      </c>
      <c r="I1053" s="33">
        <v>0</v>
      </c>
      <c r="J1053" s="88">
        <v>0</v>
      </c>
      <c r="K1053" s="89">
        <f t="shared" si="160"/>
        <v>0</v>
      </c>
      <c r="L1053" s="88">
        <f>IF(K1054&gt;0, K1053/K1054, 0)</f>
        <v>0</v>
      </c>
      <c r="M1053" s="58"/>
      <c r="N1053" s="9">
        <f>ROUND(M1054*L1053,0)</f>
        <v>0</v>
      </c>
      <c r="O1053" s="9">
        <v>0</v>
      </c>
      <c r="P1053" s="9">
        <f>N1053-O1053</f>
        <v>0</v>
      </c>
      <c r="Q1053" s="40">
        <f t="shared" si="169"/>
        <v>0</v>
      </c>
      <c r="R1053" s="9">
        <v>0</v>
      </c>
      <c r="S1053" s="9">
        <f t="shared" si="167"/>
        <v>0</v>
      </c>
      <c r="T1053" s="90">
        <f t="shared" si="162"/>
        <v>209</v>
      </c>
      <c r="U1053" s="90">
        <f t="shared" si="163"/>
        <v>998</v>
      </c>
      <c r="V1053" s="373">
        <f t="shared" si="164"/>
        <v>1044</v>
      </c>
      <c r="W1053" s="90">
        <f t="shared" si="165"/>
        <v>0</v>
      </c>
      <c r="X1053" s="90">
        <f t="shared" si="166"/>
        <v>0</v>
      </c>
      <c r="Y1053" s="141">
        <f t="shared" si="168"/>
        <v>1044</v>
      </c>
      <c r="Z1053" s="298">
        <v>209</v>
      </c>
      <c r="AA1053" s="299">
        <v>998</v>
      </c>
      <c r="AB1053" s="299">
        <v>1044</v>
      </c>
      <c r="AC1053" s="301">
        <v>0</v>
      </c>
      <c r="AD1053" s="301">
        <v>0</v>
      </c>
      <c r="AE1053" s="126"/>
      <c r="AF1053" s="298"/>
      <c r="AG1053" s="299"/>
      <c r="AH1053" s="299"/>
      <c r="AI1053" s="301"/>
      <c r="AJ1053" s="301"/>
      <c r="AK1053" s="426"/>
      <c r="AL1053" s="298"/>
      <c r="AM1053" s="299"/>
      <c r="AN1053" s="299"/>
      <c r="AO1053" s="301"/>
      <c r="AP1053" s="301"/>
      <c r="AQ1053" s="426"/>
      <c r="AR1053" s="298"/>
      <c r="AS1053" s="299"/>
      <c r="AT1053" s="299"/>
      <c r="AU1053" s="301"/>
      <c r="AV1053" s="301"/>
      <c r="AW1053" s="88"/>
      <c r="AX1053" s="298"/>
      <c r="AY1053" s="299"/>
      <c r="AZ1053" s="299"/>
      <c r="BA1053" s="301"/>
      <c r="BB1053" s="301"/>
      <c r="BC1053" s="426"/>
      <c r="BD1053" s="298"/>
      <c r="BE1053" s="299"/>
      <c r="BF1053" s="299"/>
      <c r="BG1053" s="301"/>
      <c r="BH1053" s="301"/>
      <c r="BI1053" s="88"/>
      <c r="BJ1053" s="298"/>
      <c r="BK1053" s="299"/>
      <c r="BL1053" s="299"/>
      <c r="BM1053" s="301"/>
      <c r="BN1053" s="301"/>
      <c r="BO1053" s="88"/>
      <c r="BP1053" s="9"/>
      <c r="BS1053" s="81"/>
      <c r="BT1053" s="81"/>
      <c r="BV1053" s="9"/>
      <c r="BY1053" s="81"/>
      <c r="BZ1053" s="81"/>
      <c r="CB1053" s="9"/>
      <c r="CE1053" s="81"/>
      <c r="CF1053" s="81"/>
      <c r="CH1053" s="9"/>
      <c r="CK1053" s="81"/>
      <c r="CL1053" s="81"/>
      <c r="CR1053" s="9"/>
      <c r="CS1053" s="9"/>
      <c r="CT1053" s="9"/>
      <c r="CU1053" s="9"/>
      <c r="CV1053" s="9"/>
      <c r="CW1053" s="129"/>
      <c r="CX1053" s="9"/>
    </row>
    <row r="1054" spans="1:102">
      <c r="A1054" s="6" t="str">
        <f t="shared" si="161"/>
        <v>02090999</v>
      </c>
      <c r="B1054" s="6" t="s">
        <v>1859</v>
      </c>
      <c r="C1054" s="6" t="s">
        <v>2092</v>
      </c>
      <c r="D1054" s="6">
        <v>1045</v>
      </c>
      <c r="E1054" s="10">
        <v>209</v>
      </c>
      <c r="F1054" s="10" t="s">
        <v>1327</v>
      </c>
      <c r="G1054" s="10">
        <v>999</v>
      </c>
      <c r="H1054" s="10" t="s">
        <v>593</v>
      </c>
      <c r="I1054" s="92">
        <v>25224841.119507838</v>
      </c>
      <c r="J1054" s="472">
        <v>1</v>
      </c>
      <c r="K1054" s="53">
        <f>SUM(K1050:K1053)</f>
        <v>25748604.746618014</v>
      </c>
      <c r="L1054" s="91">
        <f>SUM(L1050:L1053)</f>
        <v>0.99999999999999989</v>
      </c>
      <c r="M1054" s="79">
        <f>VLOOKUP(E1054,town351,24)</f>
        <v>6683795</v>
      </c>
      <c r="N1054" s="79">
        <f>SUM(N1050:N1053)</f>
        <v>6683795</v>
      </c>
      <c r="O1054" s="79">
        <v>6422403</v>
      </c>
      <c r="P1054" s="79">
        <f>SUM(P1050:P1053)</f>
        <v>261392</v>
      </c>
      <c r="Q1054" s="39">
        <f t="shared" si="169"/>
        <v>4.0700030814011514</v>
      </c>
      <c r="R1054" s="9">
        <v>1478.99999999938</v>
      </c>
      <c r="S1054" s="9">
        <f t="shared" si="167"/>
        <v>1442.99999999839</v>
      </c>
      <c r="T1054" s="90">
        <f t="shared" si="162"/>
        <v>209</v>
      </c>
      <c r="U1054" s="90">
        <f t="shared" si="163"/>
        <v>999</v>
      </c>
      <c r="V1054" s="373">
        <f t="shared" si="164"/>
        <v>1045</v>
      </c>
      <c r="W1054" s="90">
        <f t="shared" si="165"/>
        <v>1442.99999999839</v>
      </c>
      <c r="X1054" s="90">
        <f t="shared" si="166"/>
        <v>25748604.746618014</v>
      </c>
      <c r="Y1054" s="141">
        <f t="shared" si="168"/>
        <v>1045</v>
      </c>
      <c r="Z1054" s="298">
        <v>209</v>
      </c>
      <c r="AA1054" s="299">
        <v>999</v>
      </c>
      <c r="AB1054" s="299">
        <v>1045</v>
      </c>
      <c r="AC1054" s="301">
        <v>1442.99999999839</v>
      </c>
      <c r="AD1054" s="301">
        <v>25748604.746618014</v>
      </c>
      <c r="AE1054" s="126"/>
      <c r="AF1054" s="298"/>
      <c r="AG1054" s="299"/>
      <c r="AH1054" s="299"/>
      <c r="AI1054" s="301"/>
      <c r="AJ1054" s="301"/>
      <c r="AK1054" s="426"/>
      <c r="AL1054" s="298"/>
      <c r="AM1054" s="299"/>
      <c r="AN1054" s="299"/>
      <c r="AO1054" s="301"/>
      <c r="AP1054" s="301"/>
      <c r="AQ1054" s="426"/>
      <c r="AR1054" s="298"/>
      <c r="AS1054" s="299"/>
      <c r="AT1054" s="299"/>
      <c r="AU1054" s="301"/>
      <c r="AV1054" s="301"/>
      <c r="AW1054" s="91"/>
      <c r="AX1054" s="298"/>
      <c r="AY1054" s="299"/>
      <c r="AZ1054" s="299"/>
      <c r="BA1054" s="301"/>
      <c r="BB1054" s="301"/>
      <c r="BC1054" s="426"/>
      <c r="BD1054" s="298"/>
      <c r="BE1054" s="299"/>
      <c r="BF1054" s="299"/>
      <c r="BG1054" s="301"/>
      <c r="BH1054" s="301"/>
      <c r="BI1054" s="91"/>
      <c r="BJ1054" s="298"/>
      <c r="BK1054" s="299"/>
      <c r="BL1054" s="299"/>
      <c r="BM1054" s="301"/>
      <c r="BN1054" s="301"/>
      <c r="BO1054" s="91"/>
      <c r="BP1054" s="9"/>
      <c r="BS1054" s="81"/>
      <c r="BT1054" s="81"/>
      <c r="BV1054" s="9"/>
      <c r="BY1054" s="81"/>
      <c r="BZ1054" s="81"/>
      <c r="CB1054" s="9"/>
      <c r="CE1054" s="81"/>
      <c r="CF1054" s="81"/>
      <c r="CH1054" s="9"/>
      <c r="CK1054" s="81"/>
      <c r="CL1054" s="81"/>
      <c r="CR1054" s="9"/>
      <c r="CS1054" s="9"/>
      <c r="CT1054" s="9"/>
      <c r="CU1054" s="9"/>
      <c r="CV1054" s="9"/>
      <c r="CW1054" s="129"/>
      <c r="CX1054" s="9"/>
    </row>
    <row r="1055" spans="1:102">
      <c r="A1055" s="6" t="str">
        <f t="shared" si="161"/>
        <v>02100210</v>
      </c>
      <c r="B1055" s="6" t="s">
        <v>1860</v>
      </c>
      <c r="C1055" s="6" t="s">
        <v>1860</v>
      </c>
      <c r="D1055" s="6">
        <v>1046</v>
      </c>
      <c r="E1055" s="6">
        <v>210</v>
      </c>
      <c r="F1055" s="6" t="s">
        <v>1328</v>
      </c>
      <c r="G1055" s="6">
        <v>210</v>
      </c>
      <c r="H1055" s="6" t="s">
        <v>891</v>
      </c>
      <c r="I1055" s="33">
        <v>35618666.020000003</v>
      </c>
      <c r="J1055" s="88">
        <v>0.9072463842181453</v>
      </c>
      <c r="K1055" s="89">
        <f t="shared" ref="K1055:K1118" si="170">X1055</f>
        <v>35941837.469999999</v>
      </c>
      <c r="L1055" s="88">
        <f>IF(K1059&gt;0, K1055/K1059, 0)</f>
        <v>0.903684860447177</v>
      </c>
      <c r="M1055" s="58"/>
      <c r="N1055" s="9">
        <f>ROUND(M1059*L1055,0)</f>
        <v>29043502</v>
      </c>
      <c r="O1055" s="9">
        <v>28077001</v>
      </c>
      <c r="P1055" s="9">
        <f>N1055-O1055</f>
        <v>966501</v>
      </c>
      <c r="Q1055" s="40">
        <f t="shared" si="169"/>
        <v>3.4423227751425447</v>
      </c>
      <c r="R1055" s="9">
        <v>2668</v>
      </c>
      <c r="S1055" s="9">
        <f t="shared" si="167"/>
        <v>2600</v>
      </c>
      <c r="T1055" s="90">
        <f t="shared" si="162"/>
        <v>210</v>
      </c>
      <c r="U1055" s="90">
        <f t="shared" si="163"/>
        <v>210</v>
      </c>
      <c r="V1055" s="373">
        <f t="shared" si="164"/>
        <v>1046</v>
      </c>
      <c r="W1055" s="90">
        <f t="shared" si="165"/>
        <v>2600</v>
      </c>
      <c r="X1055" s="90">
        <f t="shared" si="166"/>
        <v>35941837.469999999</v>
      </c>
      <c r="Y1055" s="141">
        <f t="shared" si="168"/>
        <v>1046</v>
      </c>
      <c r="Z1055" s="298">
        <v>210</v>
      </c>
      <c r="AA1055" s="299">
        <v>210</v>
      </c>
      <c r="AB1055" s="299">
        <v>1046</v>
      </c>
      <c r="AC1055" s="301">
        <v>2600</v>
      </c>
      <c r="AD1055" s="301">
        <v>35941837.469999999</v>
      </c>
      <c r="AE1055" s="126"/>
      <c r="AF1055" s="298"/>
      <c r="AG1055" s="299"/>
      <c r="AH1055" s="299"/>
      <c r="AI1055" s="301"/>
      <c r="AJ1055" s="301"/>
      <c r="AK1055" s="426"/>
      <c r="AL1055" s="298"/>
      <c r="AM1055" s="299"/>
      <c r="AN1055" s="299"/>
      <c r="AO1055" s="301"/>
      <c r="AP1055" s="301"/>
      <c r="AQ1055" s="426"/>
      <c r="AR1055" s="298"/>
      <c r="AS1055" s="299"/>
      <c r="AT1055" s="299"/>
      <c r="AU1055" s="301"/>
      <c r="AV1055" s="301"/>
      <c r="AW1055" s="88"/>
      <c r="AX1055" s="298"/>
      <c r="AY1055" s="299"/>
      <c r="AZ1055" s="299"/>
      <c r="BA1055" s="301"/>
      <c r="BB1055" s="301"/>
      <c r="BC1055" s="426"/>
      <c r="BD1055" s="298"/>
      <c r="BE1055" s="299"/>
      <c r="BF1055" s="299"/>
      <c r="BG1055" s="301"/>
      <c r="BH1055" s="301"/>
      <c r="BI1055" s="88"/>
      <c r="BJ1055" s="298"/>
      <c r="BK1055" s="299"/>
      <c r="BL1055" s="299"/>
      <c r="BM1055" s="301"/>
      <c r="BN1055" s="301"/>
      <c r="BO1055" s="88"/>
      <c r="BP1055" s="9"/>
      <c r="BS1055" s="81"/>
      <c r="BT1055" s="81"/>
      <c r="BV1055" s="9"/>
      <c r="BY1055" s="81"/>
      <c r="BZ1055" s="81"/>
      <c r="CB1055" s="9"/>
      <c r="CE1055" s="81"/>
      <c r="CF1055" s="81"/>
      <c r="CH1055" s="9"/>
      <c r="CK1055" s="81"/>
      <c r="CL1055" s="81"/>
      <c r="CR1055" s="9"/>
      <c r="CS1055" s="9"/>
      <c r="CT1055" s="9"/>
      <c r="CU1055" s="9"/>
      <c r="CV1055" s="9"/>
      <c r="CW1055" s="129"/>
      <c r="CX1055" s="9"/>
    </row>
    <row r="1056" spans="1:102">
      <c r="A1056" s="6" t="str">
        <f t="shared" si="161"/>
        <v>02100406</v>
      </c>
      <c r="B1056" s="6" t="s">
        <v>1860</v>
      </c>
      <c r="C1056" s="6" t="s">
        <v>2003</v>
      </c>
      <c r="D1056" s="6">
        <v>1047</v>
      </c>
      <c r="E1056" s="6">
        <v>210</v>
      </c>
      <c r="F1056" s="6" t="s">
        <v>1328</v>
      </c>
      <c r="G1056" s="6">
        <v>406</v>
      </c>
      <c r="H1056" s="6" t="s">
        <v>1034</v>
      </c>
      <c r="I1056" s="33">
        <v>3641524.6399999997</v>
      </c>
      <c r="J1056" s="88">
        <v>9.2753615781854676E-2</v>
      </c>
      <c r="K1056" s="89">
        <f t="shared" si="170"/>
        <v>3830697.23</v>
      </c>
      <c r="L1056" s="88">
        <f>IF(K1059&gt;0, K1056/K1059, 0)</f>
        <v>9.6315139552823129E-2</v>
      </c>
      <c r="M1056" s="58"/>
      <c r="N1056" s="9">
        <f>ROUND(M1059*L1056,0)</f>
        <v>3095469</v>
      </c>
      <c r="O1056" s="9">
        <v>2870492</v>
      </c>
      <c r="P1056" s="9">
        <f>N1056-O1056</f>
        <v>224977</v>
      </c>
      <c r="Q1056" s="40">
        <f t="shared" si="169"/>
        <v>7.8375762761226992</v>
      </c>
      <c r="R1056" s="9">
        <v>115</v>
      </c>
      <c r="S1056" s="9">
        <f t="shared" si="167"/>
        <v>119</v>
      </c>
      <c r="T1056" s="90">
        <f t="shared" si="162"/>
        <v>210</v>
      </c>
      <c r="U1056" s="90">
        <f t="shared" si="163"/>
        <v>406</v>
      </c>
      <c r="V1056" s="373">
        <f t="shared" si="164"/>
        <v>1047</v>
      </c>
      <c r="W1056" s="90">
        <f t="shared" si="165"/>
        <v>119</v>
      </c>
      <c r="X1056" s="90">
        <f t="shared" si="166"/>
        <v>3830697.23</v>
      </c>
      <c r="Y1056" s="141">
        <f t="shared" si="168"/>
        <v>1047</v>
      </c>
      <c r="Z1056" s="298">
        <v>210</v>
      </c>
      <c r="AA1056" s="299">
        <v>406</v>
      </c>
      <c r="AB1056" s="299">
        <v>1047</v>
      </c>
      <c r="AC1056" s="301">
        <v>119</v>
      </c>
      <c r="AD1056" s="301">
        <v>3830697.23</v>
      </c>
      <c r="AE1056" s="126"/>
      <c r="AF1056" s="298"/>
      <c r="AG1056" s="299"/>
      <c r="AH1056" s="299"/>
      <c r="AI1056" s="301"/>
      <c r="AJ1056" s="301"/>
      <c r="AK1056" s="426"/>
      <c r="AL1056" s="298"/>
      <c r="AM1056" s="299"/>
      <c r="AN1056" s="299"/>
      <c r="AO1056" s="301"/>
      <c r="AP1056" s="301"/>
      <c r="AQ1056" s="426"/>
      <c r="AR1056" s="298"/>
      <c r="AS1056" s="299"/>
      <c r="AT1056" s="299"/>
      <c r="AU1056" s="301"/>
      <c r="AV1056" s="301"/>
      <c r="AW1056" s="88"/>
      <c r="AX1056" s="298"/>
      <c r="AY1056" s="299"/>
      <c r="AZ1056" s="299"/>
      <c r="BA1056" s="301"/>
      <c r="BB1056" s="301"/>
      <c r="BC1056" s="426"/>
      <c r="BD1056" s="298"/>
      <c r="BE1056" s="299"/>
      <c r="BF1056" s="299"/>
      <c r="BG1056" s="301"/>
      <c r="BH1056" s="301"/>
      <c r="BI1056" s="88"/>
      <c r="BJ1056" s="298"/>
      <c r="BK1056" s="299"/>
      <c r="BL1056" s="299"/>
      <c r="BM1056" s="301"/>
      <c r="BN1056" s="301"/>
      <c r="BO1056" s="88"/>
      <c r="BP1056" s="9"/>
      <c r="BS1056" s="81"/>
      <c r="BT1056" s="81"/>
      <c r="BV1056" s="9"/>
      <c r="BY1056" s="81"/>
      <c r="BZ1056" s="81"/>
      <c r="CB1056" s="9"/>
      <c r="CE1056" s="81"/>
      <c r="CF1056" s="81"/>
      <c r="CH1056" s="9"/>
      <c r="CK1056" s="81"/>
      <c r="CL1056" s="81"/>
      <c r="CR1056" s="9"/>
      <c r="CS1056" s="9"/>
      <c r="CT1056" s="9"/>
      <c r="CU1056" s="9"/>
      <c r="CV1056" s="9"/>
      <c r="CW1056" s="129"/>
      <c r="CX1056" s="9"/>
    </row>
    <row r="1057" spans="1:102">
      <c r="A1057" s="6" t="str">
        <f t="shared" si="161"/>
        <v>02100998</v>
      </c>
      <c r="B1057" s="6" t="s">
        <v>1860</v>
      </c>
      <c r="C1057" s="6" t="s">
        <v>2091</v>
      </c>
      <c r="D1057" s="6">
        <v>1048</v>
      </c>
      <c r="E1057" s="6">
        <v>210</v>
      </c>
      <c r="F1057" s="6" t="s">
        <v>1547</v>
      </c>
      <c r="G1057" s="6">
        <v>998</v>
      </c>
      <c r="H1057" s="6" t="s">
        <v>1547</v>
      </c>
      <c r="I1057" s="33">
        <v>0</v>
      </c>
      <c r="J1057" s="88">
        <v>0</v>
      </c>
      <c r="K1057" s="89">
        <f t="shared" si="170"/>
        <v>0</v>
      </c>
      <c r="L1057" s="88">
        <f>IF(K1059&gt;0, K1057/K1059, 0)</f>
        <v>0</v>
      </c>
      <c r="M1057" s="58"/>
      <c r="N1057" s="9">
        <f>ROUND(M1059*L1057,0)</f>
        <v>0</v>
      </c>
      <c r="O1057" s="9">
        <v>0</v>
      </c>
      <c r="P1057" s="9">
        <f>N1057-O1057</f>
        <v>0</v>
      </c>
      <c r="Q1057" s="40">
        <f t="shared" si="169"/>
        <v>0</v>
      </c>
      <c r="R1057" s="9">
        <v>0</v>
      </c>
      <c r="S1057" s="9">
        <f t="shared" si="167"/>
        <v>0</v>
      </c>
      <c r="T1057" s="90">
        <f t="shared" si="162"/>
        <v>210</v>
      </c>
      <c r="U1057" s="90">
        <f t="shared" si="163"/>
        <v>998</v>
      </c>
      <c r="V1057" s="373">
        <f t="shared" si="164"/>
        <v>1048</v>
      </c>
      <c r="W1057" s="90">
        <f t="shared" si="165"/>
        <v>0</v>
      </c>
      <c r="X1057" s="90">
        <f t="shared" si="166"/>
        <v>0</v>
      </c>
      <c r="Y1057" s="141">
        <f t="shared" si="168"/>
        <v>1048</v>
      </c>
      <c r="Z1057" s="298">
        <v>210</v>
      </c>
      <c r="AA1057" s="299">
        <v>998</v>
      </c>
      <c r="AB1057" s="299">
        <v>1048</v>
      </c>
      <c r="AC1057" s="301">
        <v>0</v>
      </c>
      <c r="AD1057" s="301">
        <v>0</v>
      </c>
      <c r="AE1057" s="126"/>
      <c r="AF1057" s="298"/>
      <c r="AG1057" s="299"/>
      <c r="AH1057" s="299"/>
      <c r="AI1057" s="301"/>
      <c r="AJ1057" s="301"/>
      <c r="AK1057" s="426"/>
      <c r="AL1057" s="298"/>
      <c r="AM1057" s="299"/>
      <c r="AN1057" s="299"/>
      <c r="AO1057" s="301"/>
      <c r="AP1057" s="301"/>
      <c r="AQ1057" s="426"/>
      <c r="AR1057" s="298"/>
      <c r="AS1057" s="299"/>
      <c r="AT1057" s="299"/>
      <c r="AU1057" s="301"/>
      <c r="AV1057" s="301"/>
      <c r="AW1057" s="88"/>
      <c r="AX1057" s="298"/>
      <c r="AY1057" s="299"/>
      <c r="AZ1057" s="299"/>
      <c r="BA1057" s="301"/>
      <c r="BB1057" s="301"/>
      <c r="BC1057" s="426"/>
      <c r="BD1057" s="298"/>
      <c r="BE1057" s="299"/>
      <c r="BF1057" s="299"/>
      <c r="BG1057" s="301"/>
      <c r="BH1057" s="301"/>
      <c r="BI1057" s="88"/>
      <c r="BJ1057" s="298"/>
      <c r="BK1057" s="299"/>
      <c r="BL1057" s="299"/>
      <c r="BM1057" s="301"/>
      <c r="BN1057" s="301"/>
      <c r="BO1057" s="88"/>
      <c r="BP1057" s="9"/>
      <c r="BS1057" s="81"/>
      <c r="BT1057" s="81"/>
      <c r="BV1057" s="9"/>
      <c r="BY1057" s="81"/>
      <c r="BZ1057" s="81"/>
      <c r="CB1057" s="9"/>
      <c r="CE1057" s="81"/>
      <c r="CF1057" s="81"/>
      <c r="CH1057" s="9"/>
      <c r="CK1057" s="81"/>
      <c r="CL1057" s="81"/>
      <c r="CR1057" s="9"/>
      <c r="CS1057" s="9"/>
      <c r="CT1057" s="9"/>
      <c r="CU1057" s="9"/>
      <c r="CV1057" s="9"/>
      <c r="CW1057" s="129"/>
      <c r="CX1057" s="9"/>
    </row>
    <row r="1058" spans="1:102">
      <c r="A1058" s="6" t="str">
        <f t="shared" si="161"/>
        <v>02100998</v>
      </c>
      <c r="B1058" s="6" t="s">
        <v>1860</v>
      </c>
      <c r="C1058" s="6" t="s">
        <v>2091</v>
      </c>
      <c r="D1058" s="6">
        <v>1049</v>
      </c>
      <c r="E1058" s="6">
        <v>210</v>
      </c>
      <c r="F1058" s="6" t="s">
        <v>1547</v>
      </c>
      <c r="G1058" s="6">
        <v>998</v>
      </c>
      <c r="H1058" s="6" t="s">
        <v>1547</v>
      </c>
      <c r="I1058" s="33">
        <v>0</v>
      </c>
      <c r="J1058" s="88">
        <v>0</v>
      </c>
      <c r="K1058" s="89">
        <f t="shared" si="170"/>
        <v>0</v>
      </c>
      <c r="L1058" s="88">
        <f>IF(K1059&gt;0, K1058/K1059, 0)</f>
        <v>0</v>
      </c>
      <c r="M1058" s="58"/>
      <c r="N1058" s="9">
        <f>ROUND(M1059*L1058,0)</f>
        <v>0</v>
      </c>
      <c r="O1058" s="9">
        <v>0</v>
      </c>
      <c r="P1058" s="9">
        <f>N1058-O1058</f>
        <v>0</v>
      </c>
      <c r="Q1058" s="40">
        <f t="shared" si="169"/>
        <v>0</v>
      </c>
      <c r="R1058" s="9">
        <v>0</v>
      </c>
      <c r="S1058" s="9">
        <f t="shared" si="167"/>
        <v>0</v>
      </c>
      <c r="T1058" s="90">
        <f t="shared" si="162"/>
        <v>210</v>
      </c>
      <c r="U1058" s="90">
        <f t="shared" si="163"/>
        <v>998</v>
      </c>
      <c r="V1058" s="373">
        <f t="shared" si="164"/>
        <v>1049</v>
      </c>
      <c r="W1058" s="90">
        <f t="shared" si="165"/>
        <v>0</v>
      </c>
      <c r="X1058" s="90">
        <f t="shared" si="166"/>
        <v>0</v>
      </c>
      <c r="Y1058" s="141">
        <f t="shared" si="168"/>
        <v>1049</v>
      </c>
      <c r="Z1058" s="298">
        <v>210</v>
      </c>
      <c r="AA1058" s="299">
        <v>998</v>
      </c>
      <c r="AB1058" s="299">
        <v>1049</v>
      </c>
      <c r="AC1058" s="301">
        <v>0</v>
      </c>
      <c r="AD1058" s="301">
        <v>0</v>
      </c>
      <c r="AE1058" s="126"/>
      <c r="AF1058" s="298"/>
      <c r="AG1058" s="299"/>
      <c r="AH1058" s="299"/>
      <c r="AI1058" s="301"/>
      <c r="AJ1058" s="301"/>
      <c r="AK1058" s="426"/>
      <c r="AL1058" s="298"/>
      <c r="AM1058" s="299"/>
      <c r="AN1058" s="299"/>
      <c r="AO1058" s="301"/>
      <c r="AP1058" s="301"/>
      <c r="AQ1058" s="426"/>
      <c r="AR1058" s="298"/>
      <c r="AS1058" s="299"/>
      <c r="AT1058" s="299"/>
      <c r="AU1058" s="301"/>
      <c r="AV1058" s="301"/>
      <c r="AW1058" s="88"/>
      <c r="AX1058" s="298"/>
      <c r="AY1058" s="299"/>
      <c r="AZ1058" s="299"/>
      <c r="BA1058" s="301"/>
      <c r="BB1058" s="301"/>
      <c r="BC1058" s="426"/>
      <c r="BD1058" s="298"/>
      <c r="BE1058" s="299"/>
      <c r="BF1058" s="299"/>
      <c r="BG1058" s="301"/>
      <c r="BH1058" s="301"/>
      <c r="BI1058" s="88"/>
      <c r="BJ1058" s="298"/>
      <c r="BK1058" s="299"/>
      <c r="BL1058" s="299"/>
      <c r="BM1058" s="301"/>
      <c r="BN1058" s="301"/>
      <c r="BO1058" s="88"/>
      <c r="BP1058" s="9"/>
      <c r="BS1058" s="81"/>
      <c r="BT1058" s="81"/>
      <c r="BV1058" s="9"/>
      <c r="BY1058" s="81"/>
      <c r="BZ1058" s="81"/>
      <c r="CB1058" s="9"/>
      <c r="CE1058" s="81"/>
      <c r="CF1058" s="81"/>
      <c r="CH1058" s="9"/>
      <c r="CK1058" s="81"/>
      <c r="CL1058" s="81"/>
      <c r="CR1058" s="9"/>
      <c r="CS1058" s="9"/>
      <c r="CT1058" s="9"/>
      <c r="CU1058" s="9"/>
      <c r="CV1058" s="9"/>
      <c r="CW1058" s="129"/>
      <c r="CX1058" s="9"/>
    </row>
    <row r="1059" spans="1:102">
      <c r="A1059" s="6" t="str">
        <f t="shared" si="161"/>
        <v>02100999</v>
      </c>
      <c r="B1059" s="6" t="s">
        <v>1860</v>
      </c>
      <c r="C1059" s="6" t="s">
        <v>2092</v>
      </c>
      <c r="D1059" s="6">
        <v>1050</v>
      </c>
      <c r="E1059" s="10">
        <v>210</v>
      </c>
      <c r="F1059" s="10" t="s">
        <v>1328</v>
      </c>
      <c r="G1059" s="10">
        <v>999</v>
      </c>
      <c r="H1059" s="10" t="s">
        <v>593</v>
      </c>
      <c r="I1059" s="92">
        <v>39260190.660000004</v>
      </c>
      <c r="J1059" s="472">
        <v>1</v>
      </c>
      <c r="K1059" s="53">
        <f>SUM(K1055:K1058)</f>
        <v>39772534.699999996</v>
      </c>
      <c r="L1059" s="91">
        <f>SUM(L1055:L1058)</f>
        <v>1.0000000000000002</v>
      </c>
      <c r="M1059" s="79">
        <f>VLOOKUP(E1059,town351,24)</f>
        <v>32138971</v>
      </c>
      <c r="N1059" s="79">
        <f>SUM(N1055:N1058)</f>
        <v>32138971</v>
      </c>
      <c r="O1059" s="79">
        <v>30947493</v>
      </c>
      <c r="P1059" s="79">
        <f>SUM(P1055:P1058)</f>
        <v>1191478</v>
      </c>
      <c r="Q1059" s="39">
        <f t="shared" si="169"/>
        <v>3.8499984473701958</v>
      </c>
      <c r="R1059" s="9">
        <v>2783</v>
      </c>
      <c r="S1059" s="9">
        <f t="shared" si="167"/>
        <v>2719</v>
      </c>
      <c r="T1059" s="90">
        <f t="shared" si="162"/>
        <v>210</v>
      </c>
      <c r="U1059" s="90">
        <f t="shared" si="163"/>
        <v>999</v>
      </c>
      <c r="V1059" s="373">
        <f t="shared" si="164"/>
        <v>1050</v>
      </c>
      <c r="W1059" s="90">
        <f t="shared" si="165"/>
        <v>2719</v>
      </c>
      <c r="X1059" s="90">
        <f t="shared" si="166"/>
        <v>39772534.699999996</v>
      </c>
      <c r="Y1059" s="141">
        <f t="shared" si="168"/>
        <v>1050</v>
      </c>
      <c r="Z1059" s="298">
        <v>210</v>
      </c>
      <c r="AA1059" s="299">
        <v>999</v>
      </c>
      <c r="AB1059" s="299">
        <v>1050</v>
      </c>
      <c r="AC1059" s="301">
        <v>2719</v>
      </c>
      <c r="AD1059" s="301">
        <v>39772534.699999996</v>
      </c>
      <c r="AE1059" s="126"/>
      <c r="AF1059" s="298"/>
      <c r="AG1059" s="299"/>
      <c r="AH1059" s="299"/>
      <c r="AI1059" s="301"/>
      <c r="AJ1059" s="301"/>
      <c r="AK1059" s="426"/>
      <c r="AL1059" s="298"/>
      <c r="AM1059" s="299"/>
      <c r="AN1059" s="299"/>
      <c r="AO1059" s="301"/>
      <c r="AP1059" s="301"/>
      <c r="AQ1059" s="426"/>
      <c r="AR1059" s="298"/>
      <c r="AS1059" s="299"/>
      <c r="AT1059" s="299"/>
      <c r="AU1059" s="301"/>
      <c r="AV1059" s="301"/>
      <c r="AW1059" s="91"/>
      <c r="AX1059" s="298"/>
      <c r="AY1059" s="299"/>
      <c r="AZ1059" s="299"/>
      <c r="BA1059" s="301"/>
      <c r="BB1059" s="301"/>
      <c r="BC1059" s="426"/>
      <c r="BD1059" s="298"/>
      <c r="BE1059" s="299"/>
      <c r="BF1059" s="299"/>
      <c r="BG1059" s="301"/>
      <c r="BH1059" s="301"/>
      <c r="BI1059" s="91"/>
      <c r="BJ1059" s="298"/>
      <c r="BK1059" s="299"/>
      <c r="BL1059" s="299"/>
      <c r="BM1059" s="301"/>
      <c r="BN1059" s="301"/>
      <c r="BO1059" s="91"/>
      <c r="BP1059" s="9"/>
      <c r="BS1059" s="81"/>
      <c r="BT1059" s="81"/>
      <c r="BV1059" s="9"/>
      <c r="BY1059" s="81"/>
      <c r="BZ1059" s="81"/>
      <c r="CB1059" s="9"/>
      <c r="CE1059" s="81"/>
      <c r="CF1059" s="81"/>
      <c r="CH1059" s="9"/>
      <c r="CK1059" s="81"/>
      <c r="CL1059" s="81"/>
      <c r="CR1059" s="9"/>
      <c r="CS1059" s="9"/>
      <c r="CT1059" s="9"/>
      <c r="CU1059" s="9"/>
      <c r="CV1059" s="9"/>
      <c r="CW1059" s="129"/>
      <c r="CX1059" s="9"/>
    </row>
    <row r="1060" spans="1:102">
      <c r="A1060" s="6" t="str">
        <f t="shared" si="161"/>
        <v>02110211</v>
      </c>
      <c r="B1060" s="6" t="s">
        <v>1861</v>
      </c>
      <c r="C1060" s="6" t="s">
        <v>1861</v>
      </c>
      <c r="D1060" s="6">
        <v>1051</v>
      </c>
      <c r="E1060" s="6">
        <v>211</v>
      </c>
      <c r="F1060" s="6" t="s">
        <v>1329</v>
      </c>
      <c r="G1060" s="6">
        <v>211</v>
      </c>
      <c r="H1060" s="6" t="s">
        <v>892</v>
      </c>
      <c r="I1060" s="33">
        <v>57569717.300000004</v>
      </c>
      <c r="J1060" s="88">
        <v>0.98350504305517783</v>
      </c>
      <c r="K1060" s="89">
        <f>X1060</f>
        <v>58940201.540000007</v>
      </c>
      <c r="L1060" s="88">
        <f>IF(K1064&gt;0, K1060/K1064, 0)</f>
        <v>0.98308856802800304</v>
      </c>
      <c r="M1060" s="58"/>
      <c r="N1060" s="9">
        <f>ROUND(M1064*L1060,0)</f>
        <v>47473051</v>
      </c>
      <c r="O1060" s="9">
        <v>45627018</v>
      </c>
      <c r="P1060" s="9">
        <f>N1060-O1060</f>
        <v>1846033</v>
      </c>
      <c r="Q1060" s="40">
        <f t="shared" si="169"/>
        <v>4.0459207743973096</v>
      </c>
      <c r="R1060" s="9">
        <v>4505</v>
      </c>
      <c r="S1060" s="9">
        <f t="shared" si="167"/>
        <v>4460</v>
      </c>
      <c r="T1060" s="90">
        <f t="shared" si="162"/>
        <v>211</v>
      </c>
      <c r="U1060" s="90">
        <f t="shared" si="163"/>
        <v>211</v>
      </c>
      <c r="V1060" s="373">
        <f t="shared" si="164"/>
        <v>1051</v>
      </c>
      <c r="W1060" s="90">
        <f t="shared" si="165"/>
        <v>4460</v>
      </c>
      <c r="X1060" s="90">
        <f t="shared" si="166"/>
        <v>58940201.540000007</v>
      </c>
      <c r="Y1060" s="141">
        <f t="shared" si="168"/>
        <v>1051</v>
      </c>
      <c r="Z1060" s="298">
        <v>211</v>
      </c>
      <c r="AA1060" s="299">
        <v>211</v>
      </c>
      <c r="AB1060" s="299">
        <v>1051</v>
      </c>
      <c r="AC1060" s="301">
        <v>4460</v>
      </c>
      <c r="AD1060" s="301">
        <v>58940201.540000007</v>
      </c>
      <c r="AE1060" s="126"/>
      <c r="AF1060" s="298"/>
      <c r="AG1060" s="299"/>
      <c r="AH1060" s="299"/>
      <c r="AI1060" s="301"/>
      <c r="AJ1060" s="301"/>
      <c r="AK1060" s="426"/>
      <c r="AL1060" s="298"/>
      <c r="AM1060" s="299"/>
      <c r="AN1060" s="299"/>
      <c r="AO1060" s="301"/>
      <c r="AP1060" s="301"/>
      <c r="AQ1060" s="426"/>
      <c r="AR1060" s="298"/>
      <c r="AS1060" s="299"/>
      <c r="AT1060" s="299"/>
      <c r="AU1060" s="301"/>
      <c r="AV1060" s="301"/>
      <c r="AW1060" s="88"/>
      <c r="AX1060" s="298"/>
      <c r="AY1060" s="299"/>
      <c r="AZ1060" s="299"/>
      <c r="BA1060" s="301"/>
      <c r="BB1060" s="301"/>
      <c r="BC1060" s="426"/>
      <c r="BD1060" s="298"/>
      <c r="BE1060" s="299"/>
      <c r="BF1060" s="299"/>
      <c r="BG1060" s="301"/>
      <c r="BH1060" s="301"/>
      <c r="BI1060" s="88"/>
      <c r="BJ1060" s="298"/>
      <c r="BK1060" s="299"/>
      <c r="BL1060" s="299"/>
      <c r="BM1060" s="301"/>
      <c r="BN1060" s="301"/>
      <c r="BO1060" s="88"/>
      <c r="BP1060" s="9"/>
      <c r="BS1060" s="81"/>
      <c r="BT1060" s="81"/>
      <c r="BV1060" s="9"/>
      <c r="BY1060" s="81"/>
      <c r="BZ1060" s="81"/>
      <c r="CB1060" s="9"/>
      <c r="CE1060" s="81"/>
      <c r="CF1060" s="81"/>
      <c r="CH1060" s="9"/>
      <c r="CK1060" s="81"/>
      <c r="CL1060" s="81"/>
      <c r="CR1060" s="9"/>
      <c r="CS1060" s="9"/>
      <c r="CT1060" s="9"/>
      <c r="CU1060" s="9"/>
      <c r="CV1060" s="9"/>
      <c r="CW1060" s="129"/>
      <c r="CX1060" s="9"/>
    </row>
    <row r="1061" spans="1:102">
      <c r="A1061" s="6" t="str">
        <f t="shared" si="161"/>
        <v>02110823</v>
      </c>
      <c r="B1061" s="6" t="s">
        <v>1861</v>
      </c>
      <c r="C1061" s="6" t="s">
        <v>2070</v>
      </c>
      <c r="D1061" s="6">
        <v>1052</v>
      </c>
      <c r="E1061" s="6">
        <v>211</v>
      </c>
      <c r="F1061" s="6" t="s">
        <v>1329</v>
      </c>
      <c r="G1061" s="6">
        <v>823</v>
      </c>
      <c r="H1061" s="6" t="s">
        <v>1100</v>
      </c>
      <c r="I1061" s="33">
        <v>965536.49103740149</v>
      </c>
      <c r="J1061" s="88">
        <v>1.6494956944822184E-2</v>
      </c>
      <c r="K1061" s="89">
        <f t="shared" si="170"/>
        <v>1013909.8766644481</v>
      </c>
      <c r="L1061" s="88">
        <f>IF(K1064&gt;0, K1061/K1064, 0)</f>
        <v>1.6911431971996974E-2</v>
      </c>
      <c r="M1061" s="58"/>
      <c r="N1061" s="9">
        <f>ROUND(M1064*L1061,0)</f>
        <v>816648</v>
      </c>
      <c r="O1061" s="9">
        <v>765238</v>
      </c>
      <c r="P1061" s="9">
        <f>N1061-O1061</f>
        <v>51410</v>
      </c>
      <c r="Q1061" s="40">
        <f t="shared" si="169"/>
        <v>6.718171340158225</v>
      </c>
      <c r="R1061" s="9">
        <v>38.000000006699999</v>
      </c>
      <c r="S1061" s="9">
        <f t="shared" si="167"/>
        <v>39.000000008480001</v>
      </c>
      <c r="T1061" s="90">
        <f t="shared" si="162"/>
        <v>211</v>
      </c>
      <c r="U1061" s="90">
        <f t="shared" si="163"/>
        <v>823</v>
      </c>
      <c r="V1061" s="373">
        <f t="shared" si="164"/>
        <v>1052</v>
      </c>
      <c r="W1061" s="90">
        <f t="shared" si="165"/>
        <v>39.000000008480001</v>
      </c>
      <c r="X1061" s="90">
        <f t="shared" si="166"/>
        <v>1013909.8766644481</v>
      </c>
      <c r="Y1061" s="141">
        <f t="shared" si="168"/>
        <v>1052</v>
      </c>
      <c r="Z1061" s="298">
        <v>211</v>
      </c>
      <c r="AA1061" s="299">
        <v>823</v>
      </c>
      <c r="AB1061" s="299">
        <v>1052</v>
      </c>
      <c r="AC1061" s="301">
        <v>39.000000008480001</v>
      </c>
      <c r="AD1061" s="301">
        <v>1013909.8766644481</v>
      </c>
      <c r="AE1061" s="126"/>
      <c r="AF1061" s="298"/>
      <c r="AG1061" s="299"/>
      <c r="AH1061" s="299"/>
      <c r="AI1061" s="301"/>
      <c r="AJ1061" s="301"/>
      <c r="AK1061" s="426"/>
      <c r="AL1061" s="298"/>
      <c r="AM1061" s="299"/>
      <c r="AN1061" s="299"/>
      <c r="AO1061" s="301"/>
      <c r="AP1061" s="301"/>
      <c r="AQ1061" s="426"/>
      <c r="AR1061" s="298"/>
      <c r="AS1061" s="299"/>
      <c r="AT1061" s="299"/>
      <c r="AU1061" s="301"/>
      <c r="AV1061" s="301"/>
      <c r="AW1061" s="88"/>
      <c r="AX1061" s="298"/>
      <c r="AY1061" s="299"/>
      <c r="AZ1061" s="299"/>
      <c r="BA1061" s="301"/>
      <c r="BB1061" s="301"/>
      <c r="BC1061" s="426"/>
      <c r="BD1061" s="298"/>
      <c r="BE1061" s="299"/>
      <c r="BF1061" s="299"/>
      <c r="BG1061" s="301"/>
      <c r="BH1061" s="301"/>
      <c r="BI1061" s="88"/>
      <c r="BJ1061" s="298"/>
      <c r="BK1061" s="299"/>
      <c r="BL1061" s="299"/>
      <c r="BM1061" s="301"/>
      <c r="BN1061" s="301"/>
      <c r="BO1061" s="88"/>
      <c r="BP1061" s="9"/>
      <c r="BS1061" s="81"/>
      <c r="BT1061" s="81"/>
      <c r="BV1061" s="9"/>
      <c r="BY1061" s="81"/>
      <c r="BZ1061" s="81"/>
      <c r="CB1061" s="9"/>
      <c r="CE1061" s="81"/>
      <c r="CF1061" s="81"/>
      <c r="CH1061" s="9"/>
      <c r="CK1061" s="81"/>
      <c r="CL1061" s="81"/>
      <c r="CR1061" s="9"/>
      <c r="CS1061" s="9"/>
      <c r="CT1061" s="9"/>
      <c r="CU1061" s="9"/>
      <c r="CV1061" s="9"/>
      <c r="CW1061" s="129"/>
      <c r="CX1061" s="9"/>
    </row>
    <row r="1062" spans="1:102">
      <c r="A1062" s="6" t="str">
        <f t="shared" si="161"/>
        <v>02110998</v>
      </c>
      <c r="B1062" s="6" t="s">
        <v>1861</v>
      </c>
      <c r="C1062" s="6" t="s">
        <v>2091</v>
      </c>
      <c r="D1062" s="6">
        <v>1053</v>
      </c>
      <c r="E1062" s="6">
        <v>211</v>
      </c>
      <c r="F1062" s="6" t="s">
        <v>1547</v>
      </c>
      <c r="G1062" s="6">
        <v>998</v>
      </c>
      <c r="I1062" s="33">
        <v>0</v>
      </c>
      <c r="J1062" s="88">
        <v>0</v>
      </c>
      <c r="K1062" s="89">
        <f t="shared" si="170"/>
        <v>0</v>
      </c>
      <c r="L1062" s="88">
        <f>IF(K1064&gt;0, K1062/K1064, 0)</f>
        <v>0</v>
      </c>
      <c r="M1062" s="58"/>
      <c r="N1062" s="9">
        <f>ROUND(M1064*L1062,0)</f>
        <v>0</v>
      </c>
      <c r="O1062" s="9">
        <v>0</v>
      </c>
      <c r="P1062" s="9">
        <f>N1062-O1062</f>
        <v>0</v>
      </c>
      <c r="Q1062" s="40">
        <f t="shared" si="169"/>
        <v>0</v>
      </c>
      <c r="R1062" s="9">
        <v>0</v>
      </c>
      <c r="S1062" s="9">
        <f t="shared" si="167"/>
        <v>0</v>
      </c>
      <c r="T1062" s="90">
        <f t="shared" si="162"/>
        <v>211</v>
      </c>
      <c r="U1062" s="90">
        <f t="shared" si="163"/>
        <v>998</v>
      </c>
      <c r="V1062" s="373">
        <f t="shared" si="164"/>
        <v>1053</v>
      </c>
      <c r="W1062" s="90">
        <f t="shared" si="165"/>
        <v>0</v>
      </c>
      <c r="X1062" s="90">
        <f t="shared" si="166"/>
        <v>0</v>
      </c>
      <c r="Y1062" s="141">
        <f t="shared" si="168"/>
        <v>1053</v>
      </c>
      <c r="Z1062" s="298">
        <v>211</v>
      </c>
      <c r="AA1062" s="299">
        <v>998</v>
      </c>
      <c r="AB1062" s="299">
        <v>1053</v>
      </c>
      <c r="AC1062" s="301">
        <v>0</v>
      </c>
      <c r="AD1062" s="301">
        <v>0</v>
      </c>
      <c r="AE1062" s="126"/>
      <c r="AF1062" s="298"/>
      <c r="AG1062" s="299"/>
      <c r="AH1062" s="299"/>
      <c r="AI1062" s="301"/>
      <c r="AJ1062" s="301"/>
      <c r="AK1062" s="426"/>
      <c r="AL1062" s="298"/>
      <c r="AM1062" s="299"/>
      <c r="AN1062" s="299"/>
      <c r="AO1062" s="301"/>
      <c r="AP1062" s="301"/>
      <c r="AQ1062" s="426"/>
      <c r="AR1062" s="298"/>
      <c r="AS1062" s="299"/>
      <c r="AT1062" s="299"/>
      <c r="AU1062" s="301"/>
      <c r="AV1062" s="301"/>
      <c r="AW1062" s="88"/>
      <c r="AX1062" s="298"/>
      <c r="AY1062" s="299"/>
      <c r="AZ1062" s="299"/>
      <c r="BA1062" s="301"/>
      <c r="BB1062" s="301"/>
      <c r="BC1062" s="426"/>
      <c r="BD1062" s="298"/>
      <c r="BE1062" s="299"/>
      <c r="BF1062" s="299"/>
      <c r="BG1062" s="301"/>
      <c r="BH1062" s="301"/>
      <c r="BI1062" s="88"/>
      <c r="BJ1062" s="298"/>
      <c r="BK1062" s="299"/>
      <c r="BL1062" s="299"/>
      <c r="BM1062" s="301"/>
      <c r="BN1062" s="301"/>
      <c r="BO1062" s="88"/>
      <c r="BP1062" s="9"/>
      <c r="BS1062" s="81"/>
      <c r="BT1062" s="81"/>
      <c r="BV1062" s="9"/>
      <c r="BY1062" s="81"/>
      <c r="BZ1062" s="81"/>
      <c r="CB1062" s="9"/>
      <c r="CE1062" s="81"/>
      <c r="CF1062" s="81"/>
      <c r="CH1062" s="9"/>
      <c r="CK1062" s="81"/>
      <c r="CL1062" s="81"/>
      <c r="CR1062" s="9"/>
      <c r="CS1062" s="9"/>
      <c r="CT1062" s="9"/>
      <c r="CU1062" s="9"/>
      <c r="CV1062" s="9"/>
      <c r="CW1062" s="129"/>
      <c r="CX1062" s="9"/>
    </row>
    <row r="1063" spans="1:102">
      <c r="A1063" s="6" t="str">
        <f t="shared" si="161"/>
        <v>02110998</v>
      </c>
      <c r="B1063" s="6" t="s">
        <v>1861</v>
      </c>
      <c r="C1063" s="6" t="s">
        <v>2091</v>
      </c>
      <c r="D1063" s="6">
        <v>1054</v>
      </c>
      <c r="E1063" s="6">
        <v>211</v>
      </c>
      <c r="F1063" s="6" t="s">
        <v>1547</v>
      </c>
      <c r="G1063" s="6">
        <v>998</v>
      </c>
      <c r="H1063" s="6" t="s">
        <v>1547</v>
      </c>
      <c r="I1063" s="33">
        <v>0</v>
      </c>
      <c r="J1063" s="88">
        <v>0</v>
      </c>
      <c r="K1063" s="89">
        <f t="shared" si="170"/>
        <v>0</v>
      </c>
      <c r="L1063" s="88">
        <f>IF(K1064&gt;0, K1063/K1064, 0)</f>
        <v>0</v>
      </c>
      <c r="M1063" s="58"/>
      <c r="N1063" s="9">
        <f>ROUND(M1064*L1063,0)</f>
        <v>0</v>
      </c>
      <c r="O1063" s="9">
        <v>0</v>
      </c>
      <c r="P1063" s="9">
        <f>N1063-O1063</f>
        <v>0</v>
      </c>
      <c r="Q1063" s="40">
        <f t="shared" si="169"/>
        <v>0</v>
      </c>
      <c r="R1063" s="9">
        <v>0</v>
      </c>
      <c r="S1063" s="9">
        <f t="shared" si="167"/>
        <v>0</v>
      </c>
      <c r="T1063" s="90">
        <f t="shared" si="162"/>
        <v>211</v>
      </c>
      <c r="U1063" s="90">
        <f t="shared" si="163"/>
        <v>998</v>
      </c>
      <c r="V1063" s="373">
        <f t="shared" si="164"/>
        <v>1054</v>
      </c>
      <c r="W1063" s="90">
        <f t="shared" si="165"/>
        <v>0</v>
      </c>
      <c r="X1063" s="90">
        <f t="shared" si="166"/>
        <v>0</v>
      </c>
      <c r="Y1063" s="141">
        <f t="shared" si="168"/>
        <v>1054</v>
      </c>
      <c r="Z1063" s="298">
        <v>211</v>
      </c>
      <c r="AA1063" s="299">
        <v>998</v>
      </c>
      <c r="AB1063" s="299">
        <v>1054</v>
      </c>
      <c r="AC1063" s="301">
        <v>0</v>
      </c>
      <c r="AD1063" s="301">
        <v>0</v>
      </c>
      <c r="AE1063" s="126"/>
      <c r="AF1063" s="298"/>
      <c r="AG1063" s="299"/>
      <c r="AH1063" s="299"/>
      <c r="AI1063" s="301"/>
      <c r="AJ1063" s="301"/>
      <c r="AK1063" s="426"/>
      <c r="AL1063" s="298"/>
      <c r="AM1063" s="299"/>
      <c r="AN1063" s="299"/>
      <c r="AO1063" s="301"/>
      <c r="AP1063" s="301"/>
      <c r="AQ1063" s="426"/>
      <c r="AR1063" s="298"/>
      <c r="AS1063" s="299"/>
      <c r="AT1063" s="299"/>
      <c r="AU1063" s="301"/>
      <c r="AV1063" s="301"/>
      <c r="AW1063" s="88"/>
      <c r="AX1063" s="298"/>
      <c r="AY1063" s="299"/>
      <c r="AZ1063" s="299"/>
      <c r="BA1063" s="301"/>
      <c r="BB1063" s="301"/>
      <c r="BC1063" s="426"/>
      <c r="BD1063" s="298"/>
      <c r="BE1063" s="299"/>
      <c r="BF1063" s="299"/>
      <c r="BG1063" s="301"/>
      <c r="BH1063" s="301"/>
      <c r="BI1063" s="88"/>
      <c r="BJ1063" s="298"/>
      <c r="BK1063" s="299"/>
      <c r="BL1063" s="299"/>
      <c r="BM1063" s="301"/>
      <c r="BN1063" s="301"/>
      <c r="BO1063" s="88"/>
      <c r="BP1063" s="9"/>
      <c r="BS1063" s="81"/>
      <c r="BT1063" s="81"/>
      <c r="BV1063" s="9"/>
      <c r="BY1063" s="81"/>
      <c r="BZ1063" s="81"/>
      <c r="CB1063" s="9"/>
      <c r="CE1063" s="81"/>
      <c r="CF1063" s="81"/>
      <c r="CH1063" s="9"/>
      <c r="CK1063" s="81"/>
      <c r="CL1063" s="81"/>
      <c r="CR1063" s="9"/>
      <c r="CS1063" s="9"/>
      <c r="CT1063" s="9"/>
      <c r="CU1063" s="9"/>
      <c r="CV1063" s="9"/>
      <c r="CW1063" s="129"/>
      <c r="CX1063" s="9"/>
    </row>
    <row r="1064" spans="1:102">
      <c r="A1064" s="6" t="str">
        <f t="shared" si="161"/>
        <v>02110999</v>
      </c>
      <c r="B1064" s="6" t="s">
        <v>1861</v>
      </c>
      <c r="C1064" s="6" t="s">
        <v>2092</v>
      </c>
      <c r="D1064" s="6">
        <v>1055</v>
      </c>
      <c r="E1064" s="10">
        <v>211</v>
      </c>
      <c r="F1064" s="10" t="s">
        <v>1329</v>
      </c>
      <c r="G1064" s="10">
        <v>999</v>
      </c>
      <c r="H1064" s="10" t="s">
        <v>593</v>
      </c>
      <c r="I1064" s="92">
        <v>58535253.791037403</v>
      </c>
      <c r="J1064" s="472">
        <v>1</v>
      </c>
      <c r="K1064" s="53">
        <f>SUM(K1060:K1063)</f>
        <v>59954111.416664451</v>
      </c>
      <c r="L1064" s="91">
        <f>SUM(L1060:L1063)</f>
        <v>1</v>
      </c>
      <c r="M1064" s="79">
        <f>VLOOKUP(E1064,town351,24)</f>
        <v>48289699</v>
      </c>
      <c r="N1064" s="79">
        <f>SUM(N1060:N1063)</f>
        <v>48289699</v>
      </c>
      <c r="O1064" s="79">
        <v>46392256</v>
      </c>
      <c r="P1064" s="79">
        <f>SUM(P1060:P1063)</f>
        <v>1897443</v>
      </c>
      <c r="Q1064" s="39">
        <f t="shared" si="169"/>
        <v>4.089999417144103</v>
      </c>
      <c r="R1064" s="9">
        <v>4543.0000000067002</v>
      </c>
      <c r="S1064" s="9">
        <f t="shared" si="167"/>
        <v>4499.0000000084801</v>
      </c>
      <c r="T1064" s="90">
        <f t="shared" si="162"/>
        <v>211</v>
      </c>
      <c r="U1064" s="90">
        <f t="shared" si="163"/>
        <v>999</v>
      </c>
      <c r="V1064" s="373">
        <f t="shared" si="164"/>
        <v>1055</v>
      </c>
      <c r="W1064" s="90">
        <f t="shared" si="165"/>
        <v>4499.0000000084801</v>
      </c>
      <c r="X1064" s="90">
        <f t="shared" si="166"/>
        <v>59954111.416664451</v>
      </c>
      <c r="Y1064" s="141">
        <f t="shared" si="168"/>
        <v>1055</v>
      </c>
      <c r="Z1064" s="298">
        <v>211</v>
      </c>
      <c r="AA1064" s="299">
        <v>999</v>
      </c>
      <c r="AB1064" s="299">
        <v>1055</v>
      </c>
      <c r="AC1064" s="301">
        <v>4499.0000000084801</v>
      </c>
      <c r="AD1064" s="301">
        <v>59954111.416664451</v>
      </c>
      <c r="AE1064" s="126"/>
      <c r="AF1064" s="298"/>
      <c r="AG1064" s="299"/>
      <c r="AH1064" s="299"/>
      <c r="AI1064" s="301"/>
      <c r="AJ1064" s="301"/>
      <c r="AK1064" s="426"/>
      <c r="AL1064" s="298"/>
      <c r="AM1064" s="299"/>
      <c r="AN1064" s="299"/>
      <c r="AO1064" s="301"/>
      <c r="AP1064" s="301"/>
      <c r="AQ1064" s="426"/>
      <c r="AR1064" s="298"/>
      <c r="AS1064" s="299"/>
      <c r="AT1064" s="299"/>
      <c r="AU1064" s="301"/>
      <c r="AV1064" s="301"/>
      <c r="AW1064" s="91"/>
      <c r="AX1064" s="298"/>
      <c r="AY1064" s="299"/>
      <c r="AZ1064" s="299"/>
      <c r="BA1064" s="301"/>
      <c r="BB1064" s="301"/>
      <c r="BC1064" s="426"/>
      <c r="BD1064" s="298"/>
      <c r="BE1064" s="299"/>
      <c r="BF1064" s="299"/>
      <c r="BG1064" s="301"/>
      <c r="BH1064" s="301"/>
      <c r="BI1064" s="91"/>
      <c r="BJ1064" s="298"/>
      <c r="BK1064" s="299"/>
      <c r="BL1064" s="299"/>
      <c r="BM1064" s="301"/>
      <c r="BN1064" s="301"/>
      <c r="BO1064" s="91"/>
      <c r="BP1064" s="9"/>
      <c r="BS1064" s="81"/>
      <c r="BT1064" s="81"/>
      <c r="BV1064" s="9"/>
      <c r="BY1064" s="81"/>
      <c r="BZ1064" s="81"/>
      <c r="CB1064" s="9"/>
      <c r="CE1064" s="81"/>
      <c r="CF1064" s="81"/>
      <c r="CH1064" s="9"/>
      <c r="CK1064" s="81"/>
      <c r="CL1064" s="81"/>
      <c r="CR1064" s="9"/>
      <c r="CS1064" s="9"/>
      <c r="CT1064" s="9"/>
      <c r="CU1064" s="9"/>
      <c r="CV1064" s="9"/>
      <c r="CW1064" s="129"/>
      <c r="CX1064" s="9"/>
    </row>
    <row r="1065" spans="1:102">
      <c r="A1065" s="6" t="str">
        <f t="shared" si="161"/>
        <v>02120212</v>
      </c>
      <c r="B1065" s="6" t="s">
        <v>1862</v>
      </c>
      <c r="C1065" s="6" t="s">
        <v>1862</v>
      </c>
      <c r="D1065" s="6">
        <v>1056</v>
      </c>
      <c r="E1065" s="6">
        <v>212</v>
      </c>
      <c r="F1065" s="6" t="s">
        <v>1330</v>
      </c>
      <c r="G1065" s="6">
        <v>212</v>
      </c>
      <c r="H1065" s="6" t="s">
        <v>893</v>
      </c>
      <c r="I1065" s="33">
        <v>51608133.329999998</v>
      </c>
      <c r="J1065" s="88">
        <v>0.90966855930744739</v>
      </c>
      <c r="K1065" s="89">
        <f>X1065</f>
        <v>52550990.75</v>
      </c>
      <c r="L1065" s="88">
        <f>IF(K1069&gt;0, K1065/K1069, 0)</f>
        <v>0.90821460027843592</v>
      </c>
      <c r="M1065" s="58"/>
      <c r="N1065" s="9">
        <f>ROUND(M1069*L1065,0)</f>
        <v>34400627</v>
      </c>
      <c r="O1065" s="9">
        <v>32183541</v>
      </c>
      <c r="P1065" s="9">
        <f>N1065-O1065</f>
        <v>2217086</v>
      </c>
      <c r="Q1065" s="40">
        <f t="shared" si="169"/>
        <v>6.8888814938045506</v>
      </c>
      <c r="R1065" s="9">
        <v>4031</v>
      </c>
      <c r="S1065" s="9">
        <f t="shared" si="167"/>
        <v>3974</v>
      </c>
      <c r="T1065" s="90">
        <f t="shared" si="162"/>
        <v>212</v>
      </c>
      <c r="U1065" s="90">
        <f t="shared" si="163"/>
        <v>212</v>
      </c>
      <c r="V1065" s="373">
        <f t="shared" si="164"/>
        <v>1056</v>
      </c>
      <c r="W1065" s="90">
        <f t="shared" si="165"/>
        <v>3974</v>
      </c>
      <c r="X1065" s="90">
        <f t="shared" si="166"/>
        <v>52550990.75</v>
      </c>
      <c r="Y1065" s="141">
        <f t="shared" si="168"/>
        <v>1056</v>
      </c>
      <c r="Z1065" s="298">
        <v>212</v>
      </c>
      <c r="AA1065" s="299">
        <v>212</v>
      </c>
      <c r="AB1065" s="299">
        <v>1056</v>
      </c>
      <c r="AC1065" s="301">
        <v>3974</v>
      </c>
      <c r="AD1065" s="301">
        <v>52550990.75</v>
      </c>
      <c r="AE1065" s="126"/>
      <c r="AF1065" s="298"/>
      <c r="AG1065" s="299"/>
      <c r="AH1065" s="299"/>
      <c r="AI1065" s="301"/>
      <c r="AJ1065" s="301"/>
      <c r="AK1065" s="426"/>
      <c r="AL1065" s="298"/>
      <c r="AM1065" s="299"/>
      <c r="AN1065" s="299"/>
      <c r="AO1065" s="301"/>
      <c r="AP1065" s="301"/>
      <c r="AQ1065" s="426"/>
      <c r="AR1065" s="298"/>
      <c r="AS1065" s="299"/>
      <c r="AT1065" s="299"/>
      <c r="AU1065" s="301"/>
      <c r="AV1065" s="301"/>
      <c r="AW1065" s="88"/>
      <c r="AX1065" s="298"/>
      <c r="AY1065" s="299"/>
      <c r="AZ1065" s="299"/>
      <c r="BA1065" s="301"/>
      <c r="BB1065" s="301"/>
      <c r="BC1065" s="426"/>
      <c r="BD1065" s="298"/>
      <c r="BE1065" s="299"/>
      <c r="BF1065" s="299"/>
      <c r="BG1065" s="301"/>
      <c r="BH1065" s="301"/>
      <c r="BI1065" s="88"/>
      <c r="BJ1065" s="298"/>
      <c r="BK1065" s="299"/>
      <c r="BL1065" s="299"/>
      <c r="BM1065" s="301"/>
      <c r="BN1065" s="301"/>
      <c r="BO1065" s="88"/>
      <c r="BP1065" s="9"/>
      <c r="BS1065" s="81"/>
      <c r="BT1065" s="81"/>
      <c r="BV1065" s="9"/>
      <c r="BY1065" s="81"/>
      <c r="BZ1065" s="81"/>
      <c r="CB1065" s="9"/>
      <c r="CE1065" s="81"/>
      <c r="CF1065" s="81"/>
      <c r="CH1065" s="9"/>
      <c r="CK1065" s="81"/>
      <c r="CL1065" s="81"/>
      <c r="CR1065" s="9"/>
      <c r="CS1065" s="9"/>
      <c r="CT1065" s="9"/>
      <c r="CU1065" s="9"/>
      <c r="CV1065" s="9"/>
      <c r="CW1065" s="129"/>
      <c r="CX1065" s="9"/>
    </row>
    <row r="1066" spans="1:102">
      <c r="A1066" s="6" t="str">
        <f t="shared" si="161"/>
        <v>02120878</v>
      </c>
      <c r="B1066" s="6" t="s">
        <v>1862</v>
      </c>
      <c r="C1066" s="6" t="s">
        <v>2085</v>
      </c>
      <c r="D1066" s="6">
        <v>1057</v>
      </c>
      <c r="E1066" s="6">
        <v>212</v>
      </c>
      <c r="F1066" s="6" t="s">
        <v>1330</v>
      </c>
      <c r="G1066" s="6">
        <v>878</v>
      </c>
      <c r="H1066" s="6" t="s">
        <v>1115</v>
      </c>
      <c r="I1066" s="33">
        <v>4880415.3576467857</v>
      </c>
      <c r="J1066" s="88">
        <v>8.602443298664629E-2</v>
      </c>
      <c r="K1066" s="89">
        <f t="shared" si="170"/>
        <v>5123246.2379575446</v>
      </c>
      <c r="L1066" s="88">
        <f>IF(K1069&gt;0, K1066/K1069, 0)</f>
        <v>8.8542708096033609E-2</v>
      </c>
      <c r="M1066" s="58"/>
      <c r="N1066" s="9">
        <f>ROUND(M1069*L1066,0)</f>
        <v>3353750</v>
      </c>
      <c r="O1066" s="9">
        <v>3043494</v>
      </c>
      <c r="P1066" s="9">
        <f>N1066-O1066</f>
        <v>310256</v>
      </c>
      <c r="Q1066" s="40">
        <f t="shared" si="169"/>
        <v>10.194072996365362</v>
      </c>
      <c r="R1066" s="9">
        <v>238.00000000424998</v>
      </c>
      <c r="S1066" s="9">
        <f t="shared" si="167"/>
        <v>244.99999999998002</v>
      </c>
      <c r="T1066" s="90">
        <f t="shared" si="162"/>
        <v>212</v>
      </c>
      <c r="U1066" s="90">
        <f t="shared" si="163"/>
        <v>878</v>
      </c>
      <c r="V1066" s="373">
        <f t="shared" si="164"/>
        <v>1057</v>
      </c>
      <c r="W1066" s="90">
        <f t="shared" si="165"/>
        <v>244.99999999998002</v>
      </c>
      <c r="X1066" s="90">
        <f t="shared" si="166"/>
        <v>5123246.2379575446</v>
      </c>
      <c r="Y1066" s="141">
        <f t="shared" si="168"/>
        <v>1057</v>
      </c>
      <c r="Z1066" s="298">
        <v>212</v>
      </c>
      <c r="AA1066" s="299">
        <v>878</v>
      </c>
      <c r="AB1066" s="299">
        <v>1057</v>
      </c>
      <c r="AC1066" s="301">
        <v>244.99999999998002</v>
      </c>
      <c r="AD1066" s="301">
        <v>5123246.2379575446</v>
      </c>
      <c r="AE1066" s="126"/>
      <c r="AF1066" s="298"/>
      <c r="AG1066" s="299"/>
      <c r="AH1066" s="299"/>
      <c r="AI1066" s="301"/>
      <c r="AJ1066" s="301"/>
      <c r="AK1066" s="426"/>
      <c r="AL1066" s="298"/>
      <c r="AM1066" s="299"/>
      <c r="AN1066" s="299"/>
      <c r="AO1066" s="301"/>
      <c r="AP1066" s="301"/>
      <c r="AQ1066" s="426"/>
      <c r="AR1066" s="298"/>
      <c r="AS1066" s="299"/>
      <c r="AT1066" s="299"/>
      <c r="AU1066" s="301"/>
      <c r="AV1066" s="301"/>
      <c r="AW1066" s="88"/>
      <c r="AX1066" s="298"/>
      <c r="AY1066" s="299"/>
      <c r="AZ1066" s="299"/>
      <c r="BA1066" s="301"/>
      <c r="BB1066" s="301"/>
      <c r="BC1066" s="426"/>
      <c r="BD1066" s="298"/>
      <c r="BE1066" s="299"/>
      <c r="BF1066" s="299"/>
      <c r="BG1066" s="301"/>
      <c r="BH1066" s="301"/>
      <c r="BI1066" s="88"/>
      <c r="BJ1066" s="298"/>
      <c r="BK1066" s="299"/>
      <c r="BL1066" s="299"/>
      <c r="BM1066" s="301"/>
      <c r="BN1066" s="301"/>
      <c r="BO1066" s="88"/>
      <c r="BP1066" s="9"/>
      <c r="BS1066" s="81"/>
      <c r="BT1066" s="81"/>
      <c r="BV1066" s="9"/>
      <c r="BY1066" s="81"/>
      <c r="BZ1066" s="81"/>
      <c r="CB1066" s="9"/>
      <c r="CE1066" s="81"/>
      <c r="CF1066" s="81"/>
      <c r="CH1066" s="9"/>
      <c r="CK1066" s="81"/>
      <c r="CL1066" s="81"/>
      <c r="CR1066" s="9"/>
      <c r="CS1066" s="9"/>
      <c r="CT1066" s="9"/>
      <c r="CU1066" s="9"/>
      <c r="CV1066" s="9"/>
      <c r="CW1066" s="129"/>
      <c r="CX1066" s="9"/>
    </row>
    <row r="1067" spans="1:102">
      <c r="A1067" s="6" t="str">
        <f t="shared" si="161"/>
        <v>02120910</v>
      </c>
      <c r="B1067" s="6" t="s">
        <v>1862</v>
      </c>
      <c r="C1067" s="6" t="s">
        <v>2088</v>
      </c>
      <c r="D1067" s="6">
        <v>1058</v>
      </c>
      <c r="E1067" s="6">
        <v>212</v>
      </c>
      <c r="F1067" s="6" t="s">
        <v>1330</v>
      </c>
      <c r="G1067" s="6">
        <v>910</v>
      </c>
      <c r="H1067" s="6" t="s">
        <v>1118</v>
      </c>
      <c r="I1067" s="33">
        <v>244349.02763813213</v>
      </c>
      <c r="J1067" s="88">
        <v>4.307007705906407E-3</v>
      </c>
      <c r="K1067" s="89">
        <f t="shared" si="170"/>
        <v>187628.18563598057</v>
      </c>
      <c r="L1067" s="88">
        <f>IF(K1069&gt;0, K1067/K1069, 0)</f>
        <v>3.2426916255303955E-3</v>
      </c>
      <c r="M1067" s="58"/>
      <c r="N1067" s="9">
        <f>ROUND(M1069*L1067,0)</f>
        <v>122824</v>
      </c>
      <c r="O1067" s="9">
        <v>152379</v>
      </c>
      <c r="P1067" s="9">
        <f>N1067-O1067</f>
        <v>-29555</v>
      </c>
      <c r="Q1067" s="40">
        <f t="shared" si="169"/>
        <v>-19.395717257627364</v>
      </c>
      <c r="R1067" s="9">
        <v>11.99999999796</v>
      </c>
      <c r="S1067" s="9">
        <f t="shared" si="167"/>
        <v>8.9999999990599999</v>
      </c>
      <c r="T1067" s="90">
        <f t="shared" si="162"/>
        <v>212</v>
      </c>
      <c r="U1067" s="90">
        <f t="shared" si="163"/>
        <v>910</v>
      </c>
      <c r="V1067" s="373">
        <f t="shared" si="164"/>
        <v>1058</v>
      </c>
      <c r="W1067" s="90">
        <f t="shared" si="165"/>
        <v>8.9999999990599999</v>
      </c>
      <c r="X1067" s="90">
        <f t="shared" si="166"/>
        <v>187628.18563598057</v>
      </c>
      <c r="Y1067" s="141">
        <f t="shared" si="168"/>
        <v>1058</v>
      </c>
      <c r="Z1067" s="298">
        <v>212</v>
      </c>
      <c r="AA1067" s="299">
        <v>910</v>
      </c>
      <c r="AB1067" s="299">
        <v>1058</v>
      </c>
      <c r="AC1067" s="301">
        <v>8.9999999990599999</v>
      </c>
      <c r="AD1067" s="301">
        <v>187628.18563598057</v>
      </c>
      <c r="AE1067" s="126"/>
      <c r="AF1067" s="298"/>
      <c r="AG1067" s="299"/>
      <c r="AH1067" s="299"/>
      <c r="AI1067" s="301"/>
      <c r="AJ1067" s="301"/>
      <c r="AK1067" s="426"/>
      <c r="AL1067" s="298"/>
      <c r="AM1067" s="299"/>
      <c r="AN1067" s="299"/>
      <c r="AO1067" s="301"/>
      <c r="AP1067" s="301"/>
      <c r="AQ1067" s="426"/>
      <c r="AR1067" s="298"/>
      <c r="AS1067" s="299"/>
      <c r="AT1067" s="299"/>
      <c r="AU1067" s="301"/>
      <c r="AV1067" s="301"/>
      <c r="AW1067" s="88"/>
      <c r="AX1067" s="298"/>
      <c r="AY1067" s="299"/>
      <c r="AZ1067" s="299"/>
      <c r="BA1067" s="301"/>
      <c r="BB1067" s="301"/>
      <c r="BC1067" s="426"/>
      <c r="BD1067" s="298"/>
      <c r="BE1067" s="299"/>
      <c r="BF1067" s="299"/>
      <c r="BG1067" s="301"/>
      <c r="BH1067" s="301"/>
      <c r="BI1067" s="88"/>
      <c r="BJ1067" s="298"/>
      <c r="BK1067" s="299"/>
      <c r="BL1067" s="299"/>
      <c r="BM1067" s="301"/>
      <c r="BN1067" s="301"/>
      <c r="BO1067" s="88"/>
      <c r="BP1067" s="9"/>
      <c r="BS1067" s="81"/>
      <c r="BT1067" s="81"/>
      <c r="BV1067" s="9"/>
      <c r="BY1067" s="81"/>
      <c r="BZ1067" s="81"/>
      <c r="CB1067" s="9"/>
      <c r="CE1067" s="81"/>
      <c r="CF1067" s="81"/>
      <c r="CH1067" s="9"/>
      <c r="CK1067" s="81"/>
      <c r="CL1067" s="81"/>
      <c r="CR1067" s="9"/>
      <c r="CS1067" s="9"/>
      <c r="CT1067" s="9"/>
      <c r="CU1067" s="9"/>
      <c r="CV1067" s="9"/>
      <c r="CW1067" s="129"/>
      <c r="CX1067" s="9"/>
    </row>
    <row r="1068" spans="1:102">
      <c r="A1068" s="6" t="str">
        <f t="shared" si="161"/>
        <v>02120998</v>
      </c>
      <c r="B1068" s="6" t="s">
        <v>1862</v>
      </c>
      <c r="C1068" s="6" t="s">
        <v>2091</v>
      </c>
      <c r="D1068" s="6">
        <v>1059</v>
      </c>
      <c r="E1068" s="6">
        <v>212</v>
      </c>
      <c r="F1068" s="6" t="s">
        <v>1547</v>
      </c>
      <c r="G1068" s="6">
        <v>998</v>
      </c>
      <c r="H1068" s="6" t="s">
        <v>1547</v>
      </c>
      <c r="I1068" s="33">
        <v>0</v>
      </c>
      <c r="J1068" s="88">
        <v>0</v>
      </c>
      <c r="K1068" s="89">
        <f t="shared" si="170"/>
        <v>0</v>
      </c>
      <c r="L1068" s="88">
        <f>IF(K1069&gt;0, K1068/K1069, 0)</f>
        <v>0</v>
      </c>
      <c r="M1068" s="58"/>
      <c r="N1068" s="9">
        <f>ROUND(M1069*L1068,0)</f>
        <v>0</v>
      </c>
      <c r="O1068" s="9">
        <v>0</v>
      </c>
      <c r="P1068" s="9">
        <f>N1068-O1068</f>
        <v>0</v>
      </c>
      <c r="Q1068" s="40">
        <f t="shared" si="169"/>
        <v>0</v>
      </c>
      <c r="R1068" s="9">
        <v>0</v>
      </c>
      <c r="S1068" s="9">
        <f t="shared" si="167"/>
        <v>0</v>
      </c>
      <c r="T1068" s="90">
        <f t="shared" si="162"/>
        <v>212</v>
      </c>
      <c r="U1068" s="90">
        <f t="shared" si="163"/>
        <v>998</v>
      </c>
      <c r="V1068" s="373">
        <f t="shared" si="164"/>
        <v>1059</v>
      </c>
      <c r="W1068" s="90">
        <f t="shared" si="165"/>
        <v>0</v>
      </c>
      <c r="X1068" s="90">
        <f t="shared" si="166"/>
        <v>0</v>
      </c>
      <c r="Y1068" s="141">
        <f t="shared" si="168"/>
        <v>1059</v>
      </c>
      <c r="Z1068" s="298">
        <v>212</v>
      </c>
      <c r="AA1068" s="299">
        <v>998</v>
      </c>
      <c r="AB1068" s="299">
        <v>1059</v>
      </c>
      <c r="AC1068" s="301">
        <v>0</v>
      </c>
      <c r="AD1068" s="301">
        <v>0</v>
      </c>
      <c r="AE1068" s="126"/>
      <c r="AF1068" s="298"/>
      <c r="AG1068" s="299"/>
      <c r="AH1068" s="299"/>
      <c r="AI1068" s="301"/>
      <c r="AJ1068" s="301"/>
      <c r="AK1068" s="426"/>
      <c r="AL1068" s="298"/>
      <c r="AM1068" s="299"/>
      <c r="AN1068" s="299"/>
      <c r="AO1068" s="301"/>
      <c r="AP1068" s="301"/>
      <c r="AQ1068" s="426"/>
      <c r="AR1068" s="298"/>
      <c r="AS1068" s="299"/>
      <c r="AT1068" s="299"/>
      <c r="AU1068" s="301"/>
      <c r="AV1068" s="301"/>
      <c r="AW1068" s="88"/>
      <c r="AX1068" s="298"/>
      <c r="AY1068" s="299"/>
      <c r="AZ1068" s="299"/>
      <c r="BA1068" s="301"/>
      <c r="BB1068" s="301"/>
      <c r="BC1068" s="426"/>
      <c r="BD1068" s="298"/>
      <c r="BE1068" s="299"/>
      <c r="BF1068" s="299"/>
      <c r="BG1068" s="301"/>
      <c r="BH1068" s="301"/>
      <c r="BI1068" s="88"/>
      <c r="BJ1068" s="298"/>
      <c r="BK1068" s="299"/>
      <c r="BL1068" s="299"/>
      <c r="BM1068" s="301"/>
      <c r="BN1068" s="301"/>
      <c r="BO1068" s="88"/>
      <c r="BP1068" s="9"/>
      <c r="BS1068" s="81"/>
      <c r="BT1068" s="81"/>
      <c r="BV1068" s="9"/>
      <c r="BY1068" s="81"/>
      <c r="BZ1068" s="81"/>
      <c r="CB1068" s="9"/>
      <c r="CE1068" s="81"/>
      <c r="CF1068" s="81"/>
      <c r="CH1068" s="9"/>
      <c r="CK1068" s="81"/>
      <c r="CL1068" s="81"/>
      <c r="CR1068" s="9"/>
      <c r="CS1068" s="9"/>
      <c r="CT1068" s="9"/>
      <c r="CU1068" s="9"/>
      <c r="CV1068" s="9"/>
      <c r="CW1068" s="129"/>
      <c r="CX1068" s="9"/>
    </row>
    <row r="1069" spans="1:102">
      <c r="A1069" s="6" t="str">
        <f t="shared" si="161"/>
        <v>02120999</v>
      </c>
      <c r="B1069" s="6" t="s">
        <v>1862</v>
      </c>
      <c r="C1069" s="6" t="s">
        <v>2092</v>
      </c>
      <c r="D1069" s="6">
        <v>1060</v>
      </c>
      <c r="E1069" s="10">
        <v>212</v>
      </c>
      <c r="F1069" s="10" t="s">
        <v>1330</v>
      </c>
      <c r="G1069" s="10">
        <v>999</v>
      </c>
      <c r="H1069" s="10" t="s">
        <v>593</v>
      </c>
      <c r="I1069" s="92">
        <v>56732897.715284914</v>
      </c>
      <c r="J1069" s="472">
        <v>1</v>
      </c>
      <c r="K1069" s="53">
        <f>SUM(K1065:K1068)</f>
        <v>57861865.173593529</v>
      </c>
      <c r="L1069" s="91">
        <f>SUM(L1065:L1068)</f>
        <v>0.99999999999999989</v>
      </c>
      <c r="M1069" s="79">
        <f>VLOOKUP(E1069,town351,24)</f>
        <v>37877201</v>
      </c>
      <c r="N1069" s="79">
        <f>SUM(N1065:N1068)</f>
        <v>37877201</v>
      </c>
      <c r="O1069" s="79">
        <v>35379414</v>
      </c>
      <c r="P1069" s="79">
        <f>SUM(P1065:P1068)</f>
        <v>2497787</v>
      </c>
      <c r="Q1069" s="39">
        <f t="shared" si="169"/>
        <v>7.0600010503283066</v>
      </c>
      <c r="R1069" s="9">
        <v>4281.0000000022101</v>
      </c>
      <c r="S1069" s="9">
        <f t="shared" si="167"/>
        <v>4227.9999999990396</v>
      </c>
      <c r="T1069" s="90">
        <f t="shared" si="162"/>
        <v>212</v>
      </c>
      <c r="U1069" s="90">
        <f t="shared" si="163"/>
        <v>999</v>
      </c>
      <c r="V1069" s="373">
        <f t="shared" si="164"/>
        <v>1060</v>
      </c>
      <c r="W1069" s="90">
        <f t="shared" si="165"/>
        <v>4227.9999999990396</v>
      </c>
      <c r="X1069" s="90">
        <f t="shared" si="166"/>
        <v>57861865.173593529</v>
      </c>
      <c r="Y1069" s="141">
        <f t="shared" si="168"/>
        <v>1060</v>
      </c>
      <c r="Z1069" s="298">
        <v>212</v>
      </c>
      <c r="AA1069" s="299">
        <v>999</v>
      </c>
      <c r="AB1069" s="299">
        <v>1060</v>
      </c>
      <c r="AC1069" s="301">
        <v>4227.9999999990396</v>
      </c>
      <c r="AD1069" s="301">
        <v>57861865.173593529</v>
      </c>
      <c r="AE1069" s="126"/>
      <c r="AF1069" s="298"/>
      <c r="AG1069" s="299"/>
      <c r="AH1069" s="299"/>
      <c r="AI1069" s="301"/>
      <c r="AJ1069" s="301"/>
      <c r="AK1069" s="426"/>
      <c r="AL1069" s="298"/>
      <c r="AM1069" s="299"/>
      <c r="AN1069" s="299"/>
      <c r="AO1069" s="301"/>
      <c r="AP1069" s="301"/>
      <c r="AQ1069" s="426"/>
      <c r="AR1069" s="298"/>
      <c r="AS1069" s="299"/>
      <c r="AT1069" s="299"/>
      <c r="AU1069" s="301"/>
      <c r="AV1069" s="301"/>
      <c r="AW1069" s="91"/>
      <c r="AX1069" s="298"/>
      <c r="AY1069" s="299"/>
      <c r="AZ1069" s="299"/>
      <c r="BA1069" s="301"/>
      <c r="BB1069" s="301"/>
      <c r="BC1069" s="426"/>
      <c r="BD1069" s="298"/>
      <c r="BE1069" s="299"/>
      <c r="BF1069" s="299"/>
      <c r="BG1069" s="301"/>
      <c r="BH1069" s="301"/>
      <c r="BI1069" s="91"/>
      <c r="BJ1069" s="298"/>
      <c r="BK1069" s="299"/>
      <c r="BL1069" s="299"/>
      <c r="BM1069" s="301"/>
      <c r="BN1069" s="301"/>
      <c r="BO1069" s="91"/>
      <c r="BP1069" s="9"/>
      <c r="BS1069" s="81"/>
      <c r="BT1069" s="81"/>
      <c r="BV1069" s="9"/>
      <c r="BY1069" s="81"/>
      <c r="BZ1069" s="81"/>
      <c r="CB1069" s="9"/>
      <c r="CE1069" s="81"/>
      <c r="CF1069" s="81"/>
      <c r="CH1069" s="9"/>
      <c r="CK1069" s="81"/>
      <c r="CL1069" s="81"/>
      <c r="CR1069" s="9"/>
      <c r="CS1069" s="9"/>
      <c r="CT1069" s="9"/>
      <c r="CU1069" s="9"/>
      <c r="CV1069" s="9"/>
      <c r="CW1069" s="129"/>
      <c r="CX1069" s="9"/>
    </row>
    <row r="1070" spans="1:102">
      <c r="A1070" s="6" t="str">
        <f t="shared" si="161"/>
        <v>02130213</v>
      </c>
      <c r="B1070" s="6" t="s">
        <v>1863</v>
      </c>
      <c r="C1070" s="6" t="s">
        <v>1863</v>
      </c>
      <c r="D1070" s="6">
        <v>1061</v>
      </c>
      <c r="E1070" s="6">
        <v>213</v>
      </c>
      <c r="F1070" s="6" t="s">
        <v>1331</v>
      </c>
      <c r="G1070" s="6">
        <v>213</v>
      </c>
      <c r="H1070" s="6" t="s">
        <v>894</v>
      </c>
      <c r="I1070" s="33">
        <v>19538316.099999998</v>
      </c>
      <c r="J1070" s="88">
        <v>0.62834619551850468</v>
      </c>
      <c r="K1070" s="89">
        <f>X1070</f>
        <v>20846041.259999998</v>
      </c>
      <c r="L1070" s="88">
        <f>IF(K1074&gt;0, K1070/K1074, 0)</f>
        <v>0.63695170347596097</v>
      </c>
      <c r="M1070" s="58"/>
      <c r="N1070" s="9">
        <f>ROUND(M1074*L1070,0)</f>
        <v>16677517</v>
      </c>
      <c r="O1070" s="9">
        <v>15713655</v>
      </c>
      <c r="P1070" s="9">
        <f>N1070-O1070</f>
        <v>963862</v>
      </c>
      <c r="Q1070" s="40">
        <f t="shared" si="169"/>
        <v>6.1339134657086465</v>
      </c>
      <c r="R1070" s="9">
        <v>1618</v>
      </c>
      <c r="S1070" s="9">
        <f t="shared" si="167"/>
        <v>1667</v>
      </c>
      <c r="T1070" s="90">
        <f t="shared" si="162"/>
        <v>213</v>
      </c>
      <c r="U1070" s="90">
        <f t="shared" si="163"/>
        <v>213</v>
      </c>
      <c r="V1070" s="373">
        <f t="shared" si="164"/>
        <v>1061</v>
      </c>
      <c r="W1070" s="90">
        <f t="shared" si="165"/>
        <v>1667</v>
      </c>
      <c r="X1070" s="90">
        <f t="shared" si="166"/>
        <v>20846041.259999998</v>
      </c>
      <c r="Y1070" s="141">
        <f t="shared" si="168"/>
        <v>1061</v>
      </c>
      <c r="Z1070" s="298">
        <v>213</v>
      </c>
      <c r="AA1070" s="299">
        <v>213</v>
      </c>
      <c r="AB1070" s="299">
        <v>1061</v>
      </c>
      <c r="AC1070" s="301">
        <v>1667</v>
      </c>
      <c r="AD1070" s="301">
        <v>20846041.259999998</v>
      </c>
      <c r="AE1070" s="126"/>
      <c r="AF1070" s="298"/>
      <c r="AG1070" s="299"/>
      <c r="AH1070" s="299"/>
      <c r="AI1070" s="301"/>
      <c r="AJ1070" s="301"/>
      <c r="AK1070" s="426"/>
      <c r="AL1070" s="298"/>
      <c r="AM1070" s="299"/>
      <c r="AN1070" s="299"/>
      <c r="AO1070" s="301"/>
      <c r="AP1070" s="301"/>
      <c r="AQ1070" s="426"/>
      <c r="AR1070" s="298"/>
      <c r="AS1070" s="299"/>
      <c r="AT1070" s="299"/>
      <c r="AU1070" s="301"/>
      <c r="AV1070" s="301"/>
      <c r="AW1070" s="88"/>
      <c r="AX1070" s="298"/>
      <c r="AY1070" s="299"/>
      <c r="AZ1070" s="299"/>
      <c r="BA1070" s="301"/>
      <c r="BB1070" s="301"/>
      <c r="BC1070" s="426"/>
      <c r="BD1070" s="298"/>
      <c r="BE1070" s="299"/>
      <c r="BF1070" s="299"/>
      <c r="BG1070" s="301"/>
      <c r="BH1070" s="301"/>
      <c r="BI1070" s="88"/>
      <c r="BJ1070" s="298"/>
      <c r="BK1070" s="299"/>
      <c r="BL1070" s="299"/>
      <c r="BM1070" s="301"/>
      <c r="BN1070" s="301"/>
      <c r="BO1070" s="88"/>
      <c r="BP1070" s="9"/>
      <c r="BS1070" s="81"/>
      <c r="BT1070" s="81"/>
      <c r="BV1070" s="9"/>
      <c r="BY1070" s="81"/>
      <c r="BZ1070" s="81"/>
      <c r="CB1070" s="9"/>
      <c r="CE1070" s="81"/>
      <c r="CF1070" s="81"/>
      <c r="CH1070" s="9"/>
      <c r="CK1070" s="81"/>
      <c r="CL1070" s="81"/>
      <c r="CR1070" s="9"/>
      <c r="CS1070" s="9"/>
      <c r="CT1070" s="9"/>
      <c r="CU1070" s="9"/>
      <c r="CV1070" s="9"/>
      <c r="CW1070" s="129"/>
      <c r="CX1070" s="9"/>
    </row>
    <row r="1071" spans="1:102">
      <c r="A1071" s="6" t="str">
        <f t="shared" si="161"/>
        <v>02130730</v>
      </c>
      <c r="B1071" s="6" t="s">
        <v>1863</v>
      </c>
      <c r="C1071" s="6" t="s">
        <v>2044</v>
      </c>
      <c r="D1071" s="6">
        <v>1062</v>
      </c>
      <c r="E1071" s="6">
        <v>213</v>
      </c>
      <c r="F1071" s="6" t="s">
        <v>1331</v>
      </c>
      <c r="G1071" s="6">
        <v>730</v>
      </c>
      <c r="H1071" s="6" t="s">
        <v>1074</v>
      </c>
      <c r="I1071" s="33">
        <v>10143909.417489292</v>
      </c>
      <c r="J1071" s="88">
        <v>0.32622498569176739</v>
      </c>
      <c r="K1071" s="89">
        <f t="shared" si="170"/>
        <v>10347349.91850784</v>
      </c>
      <c r="L1071" s="88">
        <f>IF(K1074&gt;0, K1071/K1074, 0)</f>
        <v>0.31616372983497665</v>
      </c>
      <c r="M1071" s="58"/>
      <c r="N1071" s="9">
        <f>ROUND(M1074*L1071,0)</f>
        <v>8278220</v>
      </c>
      <c r="O1071" s="9">
        <v>8158220</v>
      </c>
      <c r="P1071" s="9">
        <f>N1071-O1071</f>
        <v>120000</v>
      </c>
      <c r="Q1071" s="40">
        <f t="shared" si="169"/>
        <v>1.4709090953663913</v>
      </c>
      <c r="R1071" s="9">
        <v>761.05645161210009</v>
      </c>
      <c r="S1071" s="9">
        <f t="shared" si="167"/>
        <v>753.84918032425992</v>
      </c>
      <c r="T1071" s="90">
        <f t="shared" si="162"/>
        <v>213</v>
      </c>
      <c r="U1071" s="90">
        <f t="shared" si="163"/>
        <v>730</v>
      </c>
      <c r="V1071" s="373">
        <f t="shared" si="164"/>
        <v>1062</v>
      </c>
      <c r="W1071" s="90">
        <f t="shared" si="165"/>
        <v>753.84918032425992</v>
      </c>
      <c r="X1071" s="90">
        <f t="shared" si="166"/>
        <v>10347349.91850784</v>
      </c>
      <c r="Y1071" s="141">
        <f t="shared" si="168"/>
        <v>1062</v>
      </c>
      <c r="Z1071" s="298">
        <v>213</v>
      </c>
      <c r="AA1071" s="299">
        <v>730</v>
      </c>
      <c r="AB1071" s="299">
        <v>1062</v>
      </c>
      <c r="AC1071" s="301">
        <v>753.84918032425992</v>
      </c>
      <c r="AD1071" s="301">
        <v>10347349.91850784</v>
      </c>
      <c r="AE1071" s="126"/>
      <c r="AF1071" s="298"/>
      <c r="AG1071" s="299"/>
      <c r="AH1071" s="299"/>
      <c r="AI1071" s="301"/>
      <c r="AJ1071" s="301"/>
      <c r="AK1071" s="426"/>
      <c r="AL1071" s="298"/>
      <c r="AM1071" s="299"/>
      <c r="AN1071" s="299"/>
      <c r="AO1071" s="301"/>
      <c r="AP1071" s="301"/>
      <c r="AQ1071" s="426"/>
      <c r="AR1071" s="298"/>
      <c r="AS1071" s="299"/>
      <c r="AT1071" s="299"/>
      <c r="AU1071" s="301"/>
      <c r="AV1071" s="301"/>
      <c r="AW1071" s="88"/>
      <c r="AX1071" s="298"/>
      <c r="AY1071" s="299"/>
      <c r="AZ1071" s="299"/>
      <c r="BA1071" s="301"/>
      <c r="BB1071" s="301"/>
      <c r="BC1071" s="426"/>
      <c r="BD1071" s="298"/>
      <c r="BE1071" s="299"/>
      <c r="BF1071" s="299"/>
      <c r="BG1071" s="301"/>
      <c r="BH1071" s="301"/>
      <c r="BI1071" s="88"/>
      <c r="BJ1071" s="298"/>
      <c r="BK1071" s="299"/>
      <c r="BL1071" s="299"/>
      <c r="BM1071" s="301"/>
      <c r="BN1071" s="301"/>
      <c r="BO1071" s="88"/>
      <c r="BP1071" s="9"/>
      <c r="BS1071" s="81"/>
      <c r="BT1071" s="81"/>
      <c r="BV1071" s="9"/>
      <c r="BY1071" s="81"/>
      <c r="BZ1071" s="81"/>
      <c r="CB1071" s="9"/>
      <c r="CE1071" s="81"/>
      <c r="CF1071" s="81"/>
      <c r="CH1071" s="9"/>
      <c r="CK1071" s="81"/>
      <c r="CL1071" s="81"/>
      <c r="CR1071" s="9"/>
      <c r="CS1071" s="9"/>
      <c r="CT1071" s="9"/>
      <c r="CU1071" s="9"/>
      <c r="CV1071" s="9"/>
      <c r="CW1071" s="129"/>
      <c r="CX1071" s="9"/>
    </row>
    <row r="1072" spans="1:102">
      <c r="A1072" s="6" t="str">
        <f t="shared" si="161"/>
        <v>02130801</v>
      </c>
      <c r="B1072" s="6" t="s">
        <v>1863</v>
      </c>
      <c r="C1072" s="6" t="s">
        <v>2062</v>
      </c>
      <c r="D1072" s="6">
        <v>1063</v>
      </c>
      <c r="E1072" s="6">
        <v>213</v>
      </c>
      <c r="F1072" s="6" t="s">
        <v>1331</v>
      </c>
      <c r="G1072" s="6">
        <v>801</v>
      </c>
      <c r="H1072" s="6" t="s">
        <v>1092</v>
      </c>
      <c r="I1072" s="33">
        <v>1412601.250542918</v>
      </c>
      <c r="J1072" s="88">
        <v>4.5428818789727973E-2</v>
      </c>
      <c r="K1072" s="89">
        <f t="shared" si="170"/>
        <v>1534429.7005939318</v>
      </c>
      <c r="L1072" s="88">
        <f>IF(K1074&gt;0, K1072/K1074, 0)</f>
        <v>4.6884566689062275E-2</v>
      </c>
      <c r="M1072" s="58"/>
      <c r="N1072" s="9">
        <f>ROUND(M1074*L1072,0)</f>
        <v>1227594</v>
      </c>
      <c r="O1072" s="9">
        <v>1136082</v>
      </c>
      <c r="P1072" s="9">
        <f>N1072-O1072</f>
        <v>91512</v>
      </c>
      <c r="Q1072" s="40">
        <f t="shared" si="169"/>
        <v>8.0550523641779375</v>
      </c>
      <c r="R1072" s="9">
        <v>63.999999996209993</v>
      </c>
      <c r="S1072" s="9">
        <f t="shared" si="167"/>
        <v>67.000000004380013</v>
      </c>
      <c r="T1072" s="90">
        <f t="shared" si="162"/>
        <v>213</v>
      </c>
      <c r="U1072" s="90">
        <f t="shared" si="163"/>
        <v>801</v>
      </c>
      <c r="V1072" s="373">
        <f t="shared" si="164"/>
        <v>1063</v>
      </c>
      <c r="W1072" s="90">
        <f t="shared" si="165"/>
        <v>67.000000004380013</v>
      </c>
      <c r="X1072" s="90">
        <f t="shared" si="166"/>
        <v>1534429.7005939318</v>
      </c>
      <c r="Y1072" s="141">
        <f t="shared" si="168"/>
        <v>1063</v>
      </c>
      <c r="Z1072" s="298">
        <v>213</v>
      </c>
      <c r="AA1072" s="299">
        <v>801</v>
      </c>
      <c r="AB1072" s="299">
        <v>1063</v>
      </c>
      <c r="AC1072" s="301">
        <v>67.000000004380013</v>
      </c>
      <c r="AD1072" s="301">
        <v>1534429.7005939318</v>
      </c>
      <c r="AE1072" s="126"/>
      <c r="AF1072" s="298"/>
      <c r="AG1072" s="299"/>
      <c r="AH1072" s="299"/>
      <c r="AI1072" s="301"/>
      <c r="AJ1072" s="301"/>
      <c r="AK1072" s="426"/>
      <c r="AL1072" s="298"/>
      <c r="AM1072" s="299"/>
      <c r="AN1072" s="299"/>
      <c r="AO1072" s="301"/>
      <c r="AP1072" s="301"/>
      <c r="AQ1072" s="426"/>
      <c r="AR1072" s="298"/>
      <c r="AS1072" s="299"/>
      <c r="AT1072" s="299"/>
      <c r="AU1072" s="301"/>
      <c r="AV1072" s="301"/>
      <c r="AW1072" s="88"/>
      <c r="AX1072" s="298"/>
      <c r="AY1072" s="299"/>
      <c r="AZ1072" s="299"/>
      <c r="BA1072" s="301"/>
      <c r="BB1072" s="301"/>
      <c r="BC1072" s="426"/>
      <c r="BD1072" s="298"/>
      <c r="BE1072" s="299"/>
      <c r="BF1072" s="299"/>
      <c r="BG1072" s="301"/>
      <c r="BH1072" s="301"/>
      <c r="BI1072" s="88"/>
      <c r="BJ1072" s="298"/>
      <c r="BK1072" s="299"/>
      <c r="BL1072" s="299"/>
      <c r="BM1072" s="301"/>
      <c r="BN1072" s="301"/>
      <c r="BO1072" s="88"/>
      <c r="BP1072" s="9"/>
      <c r="BS1072" s="81"/>
      <c r="BT1072" s="81"/>
      <c r="BV1072" s="9"/>
      <c r="BY1072" s="81"/>
      <c r="BZ1072" s="81"/>
      <c r="CB1072" s="9"/>
      <c r="CE1072" s="81"/>
      <c r="CF1072" s="81"/>
      <c r="CH1072" s="9"/>
      <c r="CK1072" s="81"/>
      <c r="CL1072" s="81"/>
      <c r="CR1072" s="9"/>
      <c r="CS1072" s="9"/>
      <c r="CT1072" s="9"/>
      <c r="CU1072" s="9"/>
      <c r="CV1072" s="9"/>
      <c r="CW1072" s="129"/>
      <c r="CX1072" s="9"/>
    </row>
    <row r="1073" spans="1:102">
      <c r="A1073" s="6" t="str">
        <f t="shared" si="161"/>
        <v>02130998</v>
      </c>
      <c r="B1073" s="6" t="s">
        <v>1863</v>
      </c>
      <c r="C1073" s="6" t="s">
        <v>2091</v>
      </c>
      <c r="D1073" s="6">
        <v>1064</v>
      </c>
      <c r="E1073" s="6">
        <v>213</v>
      </c>
      <c r="F1073" s="6" t="s">
        <v>1547</v>
      </c>
      <c r="G1073" s="6">
        <v>998</v>
      </c>
      <c r="H1073" s="6" t="s">
        <v>1547</v>
      </c>
      <c r="I1073" s="33">
        <v>0</v>
      </c>
      <c r="J1073" s="88">
        <v>0</v>
      </c>
      <c r="K1073" s="89">
        <f t="shared" si="170"/>
        <v>0</v>
      </c>
      <c r="L1073" s="88">
        <f>IF(K1074&gt;0, K1073/K1074, 0)</f>
        <v>0</v>
      </c>
      <c r="M1073" s="58"/>
      <c r="N1073" s="9">
        <f>ROUND(M1074*L1073,0)</f>
        <v>0</v>
      </c>
      <c r="O1073" s="9">
        <v>0</v>
      </c>
      <c r="P1073" s="9">
        <f>N1073-O1073</f>
        <v>0</v>
      </c>
      <c r="Q1073" s="40">
        <f t="shared" si="169"/>
        <v>0</v>
      </c>
      <c r="R1073" s="9">
        <v>0</v>
      </c>
      <c r="S1073" s="9">
        <f t="shared" si="167"/>
        <v>0</v>
      </c>
      <c r="T1073" s="90">
        <f t="shared" si="162"/>
        <v>213</v>
      </c>
      <c r="U1073" s="90">
        <f t="shared" si="163"/>
        <v>998</v>
      </c>
      <c r="V1073" s="373">
        <f t="shared" si="164"/>
        <v>1064</v>
      </c>
      <c r="W1073" s="90">
        <f t="shared" si="165"/>
        <v>0</v>
      </c>
      <c r="X1073" s="90">
        <f t="shared" si="166"/>
        <v>0</v>
      </c>
      <c r="Y1073" s="141">
        <f t="shared" si="168"/>
        <v>1064</v>
      </c>
      <c r="Z1073" s="298">
        <v>213</v>
      </c>
      <c r="AA1073" s="299">
        <v>998</v>
      </c>
      <c r="AB1073" s="299">
        <v>1064</v>
      </c>
      <c r="AC1073" s="301">
        <v>0</v>
      </c>
      <c r="AD1073" s="301">
        <v>0</v>
      </c>
      <c r="AE1073" s="126"/>
      <c r="AF1073" s="298"/>
      <c r="AG1073" s="299"/>
      <c r="AH1073" s="299"/>
      <c r="AI1073" s="301"/>
      <c r="AJ1073" s="301"/>
      <c r="AK1073" s="426"/>
      <c r="AL1073" s="298"/>
      <c r="AM1073" s="299"/>
      <c r="AN1073" s="299"/>
      <c r="AO1073" s="301"/>
      <c r="AP1073" s="301"/>
      <c r="AQ1073" s="426"/>
      <c r="AR1073" s="298"/>
      <c r="AS1073" s="299"/>
      <c r="AT1073" s="299"/>
      <c r="AU1073" s="301"/>
      <c r="AV1073" s="301"/>
      <c r="AW1073" s="88"/>
      <c r="AX1073" s="298"/>
      <c r="AY1073" s="299"/>
      <c r="AZ1073" s="299"/>
      <c r="BA1073" s="301"/>
      <c r="BB1073" s="301"/>
      <c r="BC1073" s="426"/>
      <c r="BD1073" s="298"/>
      <c r="BE1073" s="299"/>
      <c r="BF1073" s="299"/>
      <c r="BG1073" s="301"/>
      <c r="BH1073" s="301"/>
      <c r="BI1073" s="88"/>
      <c r="BJ1073" s="298"/>
      <c r="BK1073" s="299"/>
      <c r="BL1073" s="299"/>
      <c r="BM1073" s="301"/>
      <c r="BN1073" s="301"/>
      <c r="BO1073" s="88"/>
      <c r="BP1073" s="9"/>
      <c r="BS1073" s="81"/>
      <c r="BT1073" s="81"/>
      <c r="BV1073" s="9"/>
      <c r="BY1073" s="81"/>
      <c r="BZ1073" s="81"/>
      <c r="CB1073" s="9"/>
      <c r="CE1073" s="81"/>
      <c r="CF1073" s="81"/>
      <c r="CH1073" s="9"/>
      <c r="CK1073" s="81"/>
      <c r="CL1073" s="81"/>
      <c r="CR1073" s="9"/>
      <c r="CS1073" s="9"/>
      <c r="CT1073" s="9"/>
      <c r="CU1073" s="9"/>
      <c r="CV1073" s="9"/>
      <c r="CW1073" s="129"/>
      <c r="CX1073" s="9"/>
    </row>
    <row r="1074" spans="1:102">
      <c r="A1074" s="6" t="str">
        <f t="shared" si="161"/>
        <v>02130999</v>
      </c>
      <c r="B1074" s="6" t="s">
        <v>1863</v>
      </c>
      <c r="C1074" s="6" t="s">
        <v>2092</v>
      </c>
      <c r="D1074" s="6">
        <v>1065</v>
      </c>
      <c r="E1074" s="10">
        <v>213</v>
      </c>
      <c r="F1074" s="10" t="s">
        <v>1331</v>
      </c>
      <c r="G1074" s="10">
        <v>999</v>
      </c>
      <c r="H1074" s="10" t="s">
        <v>593</v>
      </c>
      <c r="I1074" s="92">
        <v>31094826.768032208</v>
      </c>
      <c r="J1074" s="472">
        <v>1</v>
      </c>
      <c r="K1074" s="53">
        <f>SUM(K1070:K1073)</f>
        <v>32727820.879101772</v>
      </c>
      <c r="L1074" s="91">
        <f>SUM(L1070:L1073)</f>
        <v>0.99999999999999989</v>
      </c>
      <c r="M1074" s="79">
        <f>VLOOKUP(E1074,town351,24)</f>
        <v>26183331</v>
      </c>
      <c r="N1074" s="79">
        <f>SUM(N1070:N1073)</f>
        <v>26183331</v>
      </c>
      <c r="O1074" s="79">
        <v>25007957</v>
      </c>
      <c r="P1074" s="79">
        <f>SUM(P1070:P1073)</f>
        <v>1175374</v>
      </c>
      <c r="Q1074" s="39">
        <f t="shared" si="169"/>
        <v>4.700000083973273</v>
      </c>
      <c r="R1074" s="9">
        <v>2443.0564516083105</v>
      </c>
      <c r="S1074" s="9">
        <f t="shared" si="167"/>
        <v>2487.8491803286402</v>
      </c>
      <c r="T1074" s="90">
        <f t="shared" si="162"/>
        <v>213</v>
      </c>
      <c r="U1074" s="90">
        <f t="shared" si="163"/>
        <v>999</v>
      </c>
      <c r="V1074" s="373">
        <f t="shared" si="164"/>
        <v>1065</v>
      </c>
      <c r="W1074" s="90">
        <f t="shared" si="165"/>
        <v>2487.8491803286402</v>
      </c>
      <c r="X1074" s="90">
        <f t="shared" si="166"/>
        <v>32727820.879101772</v>
      </c>
      <c r="Y1074" s="141">
        <f t="shared" si="168"/>
        <v>1065</v>
      </c>
      <c r="Z1074" s="298">
        <v>213</v>
      </c>
      <c r="AA1074" s="299">
        <v>999</v>
      </c>
      <c r="AB1074" s="299">
        <v>1065</v>
      </c>
      <c r="AC1074" s="301">
        <v>2487.8491803286402</v>
      </c>
      <c r="AD1074" s="301">
        <v>32727820.879101772</v>
      </c>
      <c r="AE1074" s="126"/>
      <c r="AF1074" s="298"/>
      <c r="AG1074" s="299"/>
      <c r="AH1074" s="299"/>
      <c r="AI1074" s="301"/>
      <c r="AJ1074" s="301"/>
      <c r="AK1074" s="426"/>
      <c r="AL1074" s="298"/>
      <c r="AM1074" s="299"/>
      <c r="AN1074" s="299"/>
      <c r="AO1074" s="301"/>
      <c r="AP1074" s="301"/>
      <c r="AQ1074" s="426"/>
      <c r="AR1074" s="298"/>
      <c r="AS1074" s="299"/>
      <c r="AT1074" s="299"/>
      <c r="AU1074" s="301"/>
      <c r="AV1074" s="301"/>
      <c r="AW1074" s="91"/>
      <c r="AX1074" s="298"/>
      <c r="AY1074" s="299"/>
      <c r="AZ1074" s="299"/>
      <c r="BA1074" s="301"/>
      <c r="BB1074" s="301"/>
      <c r="BC1074" s="426"/>
      <c r="BD1074" s="298"/>
      <c r="BE1074" s="299"/>
      <c r="BF1074" s="299"/>
      <c r="BG1074" s="301"/>
      <c r="BH1074" s="301"/>
      <c r="BI1074" s="91"/>
      <c r="BJ1074" s="298"/>
      <c r="BK1074" s="299"/>
      <c r="BL1074" s="299"/>
      <c r="BM1074" s="301"/>
      <c r="BN1074" s="301"/>
      <c r="BO1074" s="91"/>
      <c r="BP1074" s="9"/>
      <c r="BS1074" s="81"/>
      <c r="BT1074" s="81"/>
      <c r="BV1074" s="9"/>
      <c r="BY1074" s="81"/>
      <c r="BZ1074" s="81"/>
      <c r="CB1074" s="9"/>
      <c r="CE1074" s="81"/>
      <c r="CF1074" s="81"/>
      <c r="CH1074" s="9"/>
      <c r="CK1074" s="81"/>
      <c r="CL1074" s="81"/>
      <c r="CR1074" s="9"/>
      <c r="CS1074" s="9"/>
      <c r="CT1074" s="9"/>
      <c r="CU1074" s="9"/>
      <c r="CV1074" s="9"/>
      <c r="CW1074" s="129"/>
      <c r="CX1074" s="9"/>
    </row>
    <row r="1075" spans="1:102">
      <c r="A1075" s="6" t="str">
        <f t="shared" si="161"/>
        <v>02140214</v>
      </c>
      <c r="B1075" s="6" t="s">
        <v>1864</v>
      </c>
      <c r="C1075" s="6" t="s">
        <v>1864</v>
      </c>
      <c r="D1075" s="6">
        <v>1066</v>
      </c>
      <c r="E1075" s="6">
        <v>214</v>
      </c>
      <c r="F1075" s="6" t="s">
        <v>1332</v>
      </c>
      <c r="G1075" s="6">
        <v>214</v>
      </c>
      <c r="H1075" s="6" t="s">
        <v>895</v>
      </c>
      <c r="I1075" s="33">
        <v>28109617.770000007</v>
      </c>
      <c r="J1075" s="88">
        <v>0.91124259038092137</v>
      </c>
      <c r="K1075" s="89">
        <f>X1075</f>
        <v>27773856.899999991</v>
      </c>
      <c r="L1075" s="88">
        <f>IF(K1079&gt;0, K1075/K1079, 0)</f>
        <v>0.90073993622507997</v>
      </c>
      <c r="M1075" s="58"/>
      <c r="N1075" s="9">
        <f>ROUND(M1079*L1075,0)</f>
        <v>15208759</v>
      </c>
      <c r="O1075" s="9">
        <v>14472856</v>
      </c>
      <c r="P1075" s="9">
        <f>N1075-O1075</f>
        <v>735903</v>
      </c>
      <c r="Q1075" s="40">
        <f t="shared" si="169"/>
        <v>5.0847116837202</v>
      </c>
      <c r="R1075" s="9">
        <v>1997</v>
      </c>
      <c r="S1075" s="9">
        <f t="shared" si="167"/>
        <v>1918</v>
      </c>
      <c r="T1075" s="90">
        <f t="shared" si="162"/>
        <v>214</v>
      </c>
      <c r="U1075" s="90">
        <f t="shared" si="163"/>
        <v>214</v>
      </c>
      <c r="V1075" s="373">
        <f t="shared" si="164"/>
        <v>1066</v>
      </c>
      <c r="W1075" s="90">
        <f t="shared" si="165"/>
        <v>1918</v>
      </c>
      <c r="X1075" s="90">
        <f t="shared" si="166"/>
        <v>27773856.899999991</v>
      </c>
      <c r="Y1075" s="141">
        <f t="shared" si="168"/>
        <v>1066</v>
      </c>
      <c r="Z1075" s="298">
        <v>214</v>
      </c>
      <c r="AA1075" s="299">
        <v>214</v>
      </c>
      <c r="AB1075" s="299">
        <v>1066</v>
      </c>
      <c r="AC1075" s="301">
        <v>1918</v>
      </c>
      <c r="AD1075" s="301">
        <v>27773856.899999991</v>
      </c>
      <c r="AE1075" s="126"/>
      <c r="AF1075" s="298"/>
      <c r="AG1075" s="299"/>
      <c r="AH1075" s="299"/>
      <c r="AI1075" s="301"/>
      <c r="AJ1075" s="301"/>
      <c r="AK1075" s="426"/>
      <c r="AL1075" s="298"/>
      <c r="AM1075" s="299"/>
      <c r="AN1075" s="299"/>
      <c r="AO1075" s="301"/>
      <c r="AP1075" s="301"/>
      <c r="AQ1075" s="426"/>
      <c r="AR1075" s="298"/>
      <c r="AS1075" s="299"/>
      <c r="AT1075" s="299"/>
      <c r="AU1075" s="301"/>
      <c r="AV1075" s="301"/>
      <c r="AW1075" s="88"/>
      <c r="AX1075" s="298"/>
      <c r="AY1075" s="299"/>
      <c r="AZ1075" s="299"/>
      <c r="BA1075" s="301"/>
      <c r="BB1075" s="301"/>
      <c r="BC1075" s="426"/>
      <c r="BD1075" s="298"/>
      <c r="BE1075" s="299"/>
      <c r="BF1075" s="299"/>
      <c r="BG1075" s="301"/>
      <c r="BH1075" s="301"/>
      <c r="BI1075" s="88"/>
      <c r="BJ1075" s="298"/>
      <c r="BK1075" s="299"/>
      <c r="BL1075" s="299"/>
      <c r="BM1075" s="301"/>
      <c r="BN1075" s="301"/>
      <c r="BO1075" s="88"/>
      <c r="BP1075" s="9"/>
      <c r="BS1075" s="81"/>
      <c r="BT1075" s="81"/>
      <c r="BV1075" s="9"/>
      <c r="BY1075" s="81"/>
      <c r="BZ1075" s="81"/>
      <c r="CB1075" s="9"/>
      <c r="CE1075" s="81"/>
      <c r="CF1075" s="81"/>
      <c r="CH1075" s="9"/>
      <c r="CK1075" s="81"/>
      <c r="CL1075" s="81"/>
      <c r="CR1075" s="9"/>
      <c r="CS1075" s="9"/>
      <c r="CT1075" s="9"/>
      <c r="CU1075" s="9"/>
      <c r="CV1075" s="9"/>
      <c r="CW1075" s="129"/>
      <c r="CX1075" s="9"/>
    </row>
    <row r="1076" spans="1:102">
      <c r="A1076" s="6" t="str">
        <f t="shared" si="161"/>
        <v>02140805</v>
      </c>
      <c r="B1076" s="6" t="s">
        <v>1864</v>
      </c>
      <c r="C1076" s="6" t="s">
        <v>2063</v>
      </c>
      <c r="D1076" s="6">
        <v>1067</v>
      </c>
      <c r="E1076" s="6">
        <v>214</v>
      </c>
      <c r="F1076" s="6" t="s">
        <v>1332</v>
      </c>
      <c r="G1076" s="6">
        <v>805</v>
      </c>
      <c r="H1076" s="6" t="s">
        <v>1093</v>
      </c>
      <c r="I1076" s="33">
        <v>2737950.2286045239</v>
      </c>
      <c r="J1076" s="88">
        <v>8.8757409619078631E-2</v>
      </c>
      <c r="K1076" s="89">
        <f t="shared" si="170"/>
        <v>3060633.4817607244</v>
      </c>
      <c r="L1076" s="88">
        <f>IF(K1079&gt;0, K1076/K1079, 0)</f>
        <v>9.9260063774919943E-2</v>
      </c>
      <c r="M1076" s="58"/>
      <c r="N1076" s="9">
        <f>ROUND(M1079*L1076,0)</f>
        <v>1675980</v>
      </c>
      <c r="O1076" s="9">
        <v>1409694</v>
      </c>
      <c r="P1076" s="9">
        <f>N1076-O1076</f>
        <v>266286</v>
      </c>
      <c r="Q1076" s="40">
        <f t="shared" si="169"/>
        <v>18.889631366807265</v>
      </c>
      <c r="R1076" s="9">
        <v>144.99999999932001</v>
      </c>
      <c r="S1076" s="9">
        <f t="shared" si="167"/>
        <v>158.00000000082997</v>
      </c>
      <c r="T1076" s="90">
        <f t="shared" si="162"/>
        <v>214</v>
      </c>
      <c r="U1076" s="90">
        <f t="shared" si="163"/>
        <v>805</v>
      </c>
      <c r="V1076" s="373">
        <f t="shared" si="164"/>
        <v>1067</v>
      </c>
      <c r="W1076" s="90">
        <f t="shared" si="165"/>
        <v>158.00000000082997</v>
      </c>
      <c r="X1076" s="90">
        <f t="shared" si="166"/>
        <v>3060633.4817607244</v>
      </c>
      <c r="Y1076" s="141">
        <f t="shared" si="168"/>
        <v>1067</v>
      </c>
      <c r="Z1076" s="298">
        <v>214</v>
      </c>
      <c r="AA1076" s="299">
        <v>805</v>
      </c>
      <c r="AB1076" s="299">
        <v>1067</v>
      </c>
      <c r="AC1076" s="301">
        <v>158.00000000082997</v>
      </c>
      <c r="AD1076" s="301">
        <v>3060633.4817607244</v>
      </c>
      <c r="AE1076" s="126"/>
      <c r="AF1076" s="298"/>
      <c r="AG1076" s="299"/>
      <c r="AH1076" s="299"/>
      <c r="AI1076" s="301"/>
      <c r="AJ1076" s="301"/>
      <c r="AK1076" s="426"/>
      <c r="AL1076" s="298"/>
      <c r="AM1076" s="299"/>
      <c r="AN1076" s="299"/>
      <c r="AO1076" s="301"/>
      <c r="AP1076" s="301"/>
      <c r="AQ1076" s="426"/>
      <c r="AR1076" s="298"/>
      <c r="AS1076" s="299"/>
      <c r="AT1076" s="299"/>
      <c r="AU1076" s="301"/>
      <c r="AV1076" s="301"/>
      <c r="AW1076" s="88"/>
      <c r="AX1076" s="298"/>
      <c r="AY1076" s="299"/>
      <c r="AZ1076" s="299"/>
      <c r="BA1076" s="301"/>
      <c r="BB1076" s="301"/>
      <c r="BC1076" s="426"/>
      <c r="BD1076" s="298"/>
      <c r="BE1076" s="299"/>
      <c r="BF1076" s="299"/>
      <c r="BG1076" s="301"/>
      <c r="BH1076" s="301"/>
      <c r="BI1076" s="88"/>
      <c r="BJ1076" s="298"/>
      <c r="BK1076" s="299"/>
      <c r="BL1076" s="299"/>
      <c r="BM1076" s="301"/>
      <c r="BN1076" s="301"/>
      <c r="BO1076" s="88"/>
      <c r="BP1076" s="9"/>
      <c r="BS1076" s="81"/>
      <c r="BT1076" s="81"/>
      <c r="BV1076" s="9"/>
      <c r="BY1076" s="81"/>
      <c r="BZ1076" s="81"/>
      <c r="CB1076" s="9"/>
      <c r="CE1076" s="81"/>
      <c r="CF1076" s="81"/>
      <c r="CH1076" s="9"/>
      <c r="CK1076" s="81"/>
      <c r="CL1076" s="81"/>
      <c r="CR1076" s="9"/>
      <c r="CS1076" s="9"/>
      <c r="CT1076" s="9"/>
      <c r="CU1076" s="9"/>
      <c r="CV1076" s="9"/>
      <c r="CW1076" s="129"/>
      <c r="CX1076" s="9"/>
    </row>
    <row r="1077" spans="1:102">
      <c r="A1077" s="6" t="str">
        <f t="shared" si="161"/>
        <v>02140998</v>
      </c>
      <c r="B1077" s="6" t="s">
        <v>1864</v>
      </c>
      <c r="C1077" s="6" t="s">
        <v>2091</v>
      </c>
      <c r="D1077" s="6">
        <v>1068</v>
      </c>
      <c r="E1077" s="6">
        <v>214</v>
      </c>
      <c r="F1077" s="6" t="s">
        <v>1547</v>
      </c>
      <c r="G1077" s="6">
        <v>998</v>
      </c>
      <c r="H1077" s="6" t="s">
        <v>1547</v>
      </c>
      <c r="I1077" s="33">
        <v>0</v>
      </c>
      <c r="J1077" s="88">
        <v>0</v>
      </c>
      <c r="K1077" s="89">
        <f t="shared" si="170"/>
        <v>0</v>
      </c>
      <c r="L1077" s="88">
        <f>IF(K1079&gt;0, K1077/K1079, 0)</f>
        <v>0</v>
      </c>
      <c r="M1077" s="58"/>
      <c r="N1077" s="9">
        <f>ROUND(M1079*L1077,0)</f>
        <v>0</v>
      </c>
      <c r="O1077" s="9">
        <v>0</v>
      </c>
      <c r="P1077" s="9">
        <f>N1077-O1077</f>
        <v>0</v>
      </c>
      <c r="Q1077" s="40">
        <f t="shared" si="169"/>
        <v>0</v>
      </c>
      <c r="R1077" s="9">
        <v>0</v>
      </c>
      <c r="S1077" s="9">
        <f t="shared" si="167"/>
        <v>0</v>
      </c>
      <c r="T1077" s="90">
        <f t="shared" si="162"/>
        <v>214</v>
      </c>
      <c r="U1077" s="90">
        <f t="shared" si="163"/>
        <v>998</v>
      </c>
      <c r="V1077" s="373">
        <f t="shared" si="164"/>
        <v>1068</v>
      </c>
      <c r="W1077" s="90">
        <f t="shared" si="165"/>
        <v>0</v>
      </c>
      <c r="X1077" s="90">
        <f t="shared" si="166"/>
        <v>0</v>
      </c>
      <c r="Y1077" s="141">
        <f t="shared" si="168"/>
        <v>1068</v>
      </c>
      <c r="Z1077" s="298">
        <v>214</v>
      </c>
      <c r="AA1077" s="299">
        <v>998</v>
      </c>
      <c r="AB1077" s="299">
        <v>1068</v>
      </c>
      <c r="AC1077" s="301">
        <v>0</v>
      </c>
      <c r="AD1077" s="301">
        <v>0</v>
      </c>
      <c r="AE1077" s="126"/>
      <c r="AF1077" s="298"/>
      <c r="AG1077" s="299"/>
      <c r="AH1077" s="299"/>
      <c r="AI1077" s="301"/>
      <c r="AJ1077" s="301"/>
      <c r="AK1077" s="426"/>
      <c r="AL1077" s="298"/>
      <c r="AM1077" s="299"/>
      <c r="AN1077" s="299"/>
      <c r="AO1077" s="301"/>
      <c r="AP1077" s="301"/>
      <c r="AQ1077" s="426"/>
      <c r="AR1077" s="298"/>
      <c r="AS1077" s="299"/>
      <c r="AT1077" s="299"/>
      <c r="AU1077" s="301"/>
      <c r="AV1077" s="301"/>
      <c r="AW1077" s="88"/>
      <c r="AX1077" s="298"/>
      <c r="AY1077" s="299"/>
      <c r="AZ1077" s="299"/>
      <c r="BA1077" s="301"/>
      <c r="BB1077" s="301"/>
      <c r="BC1077" s="426"/>
      <c r="BD1077" s="298"/>
      <c r="BE1077" s="299"/>
      <c r="BF1077" s="299"/>
      <c r="BG1077" s="301"/>
      <c r="BH1077" s="301"/>
      <c r="BI1077" s="88"/>
      <c r="BJ1077" s="298"/>
      <c r="BK1077" s="299"/>
      <c r="BL1077" s="299"/>
      <c r="BM1077" s="301"/>
      <c r="BN1077" s="301"/>
      <c r="BO1077" s="88"/>
      <c r="BP1077" s="9"/>
      <c r="BS1077" s="81"/>
      <c r="BT1077" s="81"/>
      <c r="BV1077" s="9"/>
      <c r="BY1077" s="81"/>
      <c r="BZ1077" s="81"/>
      <c r="CB1077" s="9"/>
      <c r="CE1077" s="81"/>
      <c r="CF1077" s="81"/>
      <c r="CH1077" s="9"/>
      <c r="CK1077" s="81"/>
      <c r="CL1077" s="81"/>
      <c r="CR1077" s="9"/>
      <c r="CS1077" s="9"/>
      <c r="CT1077" s="9"/>
      <c r="CU1077" s="9"/>
      <c r="CV1077" s="9"/>
      <c r="CW1077" s="129"/>
      <c r="CX1077" s="9"/>
    </row>
    <row r="1078" spans="1:102">
      <c r="A1078" s="6" t="str">
        <f t="shared" si="161"/>
        <v>02140998</v>
      </c>
      <c r="B1078" s="6" t="s">
        <v>1864</v>
      </c>
      <c r="C1078" s="6" t="s">
        <v>2091</v>
      </c>
      <c r="D1078" s="6">
        <v>1069</v>
      </c>
      <c r="E1078" s="6">
        <v>214</v>
      </c>
      <c r="F1078" s="6" t="s">
        <v>1547</v>
      </c>
      <c r="G1078" s="6">
        <v>998</v>
      </c>
      <c r="H1078" s="6" t="s">
        <v>1547</v>
      </c>
      <c r="I1078" s="33">
        <v>0</v>
      </c>
      <c r="J1078" s="88">
        <v>0</v>
      </c>
      <c r="K1078" s="89">
        <f t="shared" si="170"/>
        <v>0</v>
      </c>
      <c r="L1078" s="88">
        <f>IF(K1079&gt;0, K1078/K1079, 0)</f>
        <v>0</v>
      </c>
      <c r="M1078" s="58"/>
      <c r="N1078" s="9">
        <f>ROUND(M1079*L1078,0)</f>
        <v>0</v>
      </c>
      <c r="O1078" s="9">
        <v>0</v>
      </c>
      <c r="P1078" s="9">
        <f>N1078-O1078</f>
        <v>0</v>
      </c>
      <c r="Q1078" s="40">
        <f t="shared" si="169"/>
        <v>0</v>
      </c>
      <c r="R1078" s="9">
        <v>0</v>
      </c>
      <c r="S1078" s="9">
        <f t="shared" si="167"/>
        <v>0</v>
      </c>
      <c r="T1078" s="90">
        <f t="shared" si="162"/>
        <v>214</v>
      </c>
      <c r="U1078" s="90">
        <f t="shared" si="163"/>
        <v>998</v>
      </c>
      <c r="V1078" s="373">
        <f t="shared" si="164"/>
        <v>1069</v>
      </c>
      <c r="W1078" s="90">
        <f t="shared" si="165"/>
        <v>0</v>
      </c>
      <c r="X1078" s="90">
        <f t="shared" si="166"/>
        <v>0</v>
      </c>
      <c r="Y1078" s="141">
        <f t="shared" si="168"/>
        <v>1069</v>
      </c>
      <c r="Z1078" s="298">
        <v>214</v>
      </c>
      <c r="AA1078" s="299">
        <v>998</v>
      </c>
      <c r="AB1078" s="299">
        <v>1069</v>
      </c>
      <c r="AC1078" s="301">
        <v>0</v>
      </c>
      <c r="AD1078" s="301">
        <v>0</v>
      </c>
      <c r="AE1078" s="126"/>
      <c r="AF1078" s="298"/>
      <c r="AG1078" s="299"/>
      <c r="AH1078" s="299"/>
      <c r="AI1078" s="301"/>
      <c r="AJ1078" s="301"/>
      <c r="AK1078" s="426"/>
      <c r="AL1078" s="298"/>
      <c r="AM1078" s="299"/>
      <c r="AN1078" s="299"/>
      <c r="AO1078" s="301"/>
      <c r="AP1078" s="301"/>
      <c r="AQ1078" s="426"/>
      <c r="AR1078" s="298"/>
      <c r="AS1078" s="299"/>
      <c r="AT1078" s="299"/>
      <c r="AU1078" s="301"/>
      <c r="AV1078" s="301"/>
      <c r="AW1078" s="88"/>
      <c r="AX1078" s="298"/>
      <c r="AY1078" s="299"/>
      <c r="AZ1078" s="299"/>
      <c r="BA1078" s="301"/>
      <c r="BB1078" s="301"/>
      <c r="BC1078" s="426"/>
      <c r="BD1078" s="298"/>
      <c r="BE1078" s="299"/>
      <c r="BF1078" s="299"/>
      <c r="BG1078" s="301"/>
      <c r="BH1078" s="301"/>
      <c r="BI1078" s="88"/>
      <c r="BJ1078" s="298"/>
      <c r="BK1078" s="299"/>
      <c r="BL1078" s="299"/>
      <c r="BM1078" s="301"/>
      <c r="BN1078" s="301"/>
      <c r="BO1078" s="88"/>
      <c r="BP1078" s="9"/>
      <c r="BS1078" s="81"/>
      <c r="BT1078" s="81"/>
      <c r="BV1078" s="9"/>
      <c r="BY1078" s="81"/>
      <c r="BZ1078" s="81"/>
      <c r="CB1078" s="9"/>
      <c r="CE1078" s="81"/>
      <c r="CF1078" s="81"/>
      <c r="CH1078" s="9"/>
      <c r="CK1078" s="81"/>
      <c r="CL1078" s="81"/>
      <c r="CR1078" s="9"/>
      <c r="CS1078" s="9"/>
      <c r="CT1078" s="9"/>
      <c r="CU1078" s="9"/>
      <c r="CV1078" s="9"/>
      <c r="CW1078" s="129"/>
      <c r="CX1078" s="9"/>
    </row>
    <row r="1079" spans="1:102">
      <c r="A1079" s="6" t="str">
        <f t="shared" si="161"/>
        <v>02140999</v>
      </c>
      <c r="B1079" s="6" t="s">
        <v>1864</v>
      </c>
      <c r="C1079" s="6" t="s">
        <v>2092</v>
      </c>
      <c r="D1079" s="6">
        <v>1070</v>
      </c>
      <c r="E1079" s="10">
        <v>214</v>
      </c>
      <c r="F1079" s="10" t="s">
        <v>1332</v>
      </c>
      <c r="G1079" s="10">
        <v>999</v>
      </c>
      <c r="H1079" s="10" t="s">
        <v>593</v>
      </c>
      <c r="I1079" s="92">
        <v>30847567.998604532</v>
      </c>
      <c r="J1079" s="472">
        <v>1</v>
      </c>
      <c r="K1079" s="53">
        <f>SUM(K1075:K1078)</f>
        <v>30834490.381760716</v>
      </c>
      <c r="L1079" s="91">
        <f>SUM(L1075:L1078)</f>
        <v>0.99999999999999989</v>
      </c>
      <c r="M1079" s="79">
        <f>VLOOKUP(E1079,town351,24)</f>
        <v>16884739</v>
      </c>
      <c r="N1079" s="79">
        <f>SUM(N1075:N1078)</f>
        <v>16884739</v>
      </c>
      <c r="O1079" s="79">
        <v>15882550</v>
      </c>
      <c r="P1079" s="79">
        <f>SUM(P1075:P1078)</f>
        <v>1002189</v>
      </c>
      <c r="Q1079" s="39">
        <f t="shared" si="169"/>
        <v>6.3100005981407268</v>
      </c>
      <c r="R1079" s="9">
        <v>2141.9999999993202</v>
      </c>
      <c r="S1079" s="9">
        <f t="shared" si="167"/>
        <v>2076.0000000008299</v>
      </c>
      <c r="T1079" s="90">
        <f t="shared" si="162"/>
        <v>214</v>
      </c>
      <c r="U1079" s="90">
        <f t="shared" si="163"/>
        <v>999</v>
      </c>
      <c r="V1079" s="373">
        <f t="shared" si="164"/>
        <v>1070</v>
      </c>
      <c r="W1079" s="90">
        <f t="shared" si="165"/>
        <v>2076.0000000008299</v>
      </c>
      <c r="X1079" s="90">
        <f t="shared" si="166"/>
        <v>30834490.381760716</v>
      </c>
      <c r="Y1079" s="141">
        <f t="shared" si="168"/>
        <v>1070</v>
      </c>
      <c r="Z1079" s="298">
        <v>214</v>
      </c>
      <c r="AA1079" s="299">
        <v>999</v>
      </c>
      <c r="AB1079" s="299">
        <v>1070</v>
      </c>
      <c r="AC1079" s="301">
        <v>2076.0000000008299</v>
      </c>
      <c r="AD1079" s="301">
        <v>30834490.381760716</v>
      </c>
      <c r="AE1079" s="126"/>
      <c r="AF1079" s="298"/>
      <c r="AG1079" s="299"/>
      <c r="AH1079" s="299"/>
      <c r="AI1079" s="301"/>
      <c r="AJ1079" s="301"/>
      <c r="AK1079" s="426"/>
      <c r="AL1079" s="298"/>
      <c r="AM1079" s="299"/>
      <c r="AN1079" s="299"/>
      <c r="AO1079" s="301"/>
      <c r="AP1079" s="301"/>
      <c r="AQ1079" s="426"/>
      <c r="AR1079" s="298"/>
      <c r="AS1079" s="299"/>
      <c r="AT1079" s="299"/>
      <c r="AU1079" s="301"/>
      <c r="AV1079" s="301"/>
      <c r="AW1079" s="91"/>
      <c r="AX1079" s="298"/>
      <c r="AY1079" s="299"/>
      <c r="AZ1079" s="299"/>
      <c r="BA1079" s="301"/>
      <c r="BB1079" s="301"/>
      <c r="BC1079" s="426"/>
      <c r="BD1079" s="298"/>
      <c r="BE1079" s="299"/>
      <c r="BF1079" s="299"/>
      <c r="BG1079" s="301"/>
      <c r="BH1079" s="301"/>
      <c r="BI1079" s="91"/>
      <c r="BJ1079" s="298"/>
      <c r="BK1079" s="299"/>
      <c r="BL1079" s="299"/>
      <c r="BM1079" s="301"/>
      <c r="BN1079" s="301"/>
      <c r="BO1079" s="91"/>
      <c r="BP1079" s="9"/>
      <c r="BS1079" s="81"/>
      <c r="BT1079" s="81"/>
      <c r="BV1079" s="9"/>
      <c r="BY1079" s="81"/>
      <c r="BZ1079" s="81"/>
      <c r="CB1079" s="9"/>
      <c r="CE1079" s="81"/>
      <c r="CF1079" s="81"/>
      <c r="CH1079" s="9"/>
      <c r="CK1079" s="81"/>
      <c r="CL1079" s="81"/>
      <c r="CR1079" s="9"/>
      <c r="CS1079" s="9"/>
      <c r="CT1079" s="9"/>
      <c r="CU1079" s="9"/>
      <c r="CV1079" s="9"/>
      <c r="CW1079" s="129"/>
      <c r="CX1079" s="9"/>
    </row>
    <row r="1080" spans="1:102">
      <c r="A1080" s="6" t="str">
        <f t="shared" si="161"/>
        <v>02150215</v>
      </c>
      <c r="B1080" s="6" t="s">
        <v>1865</v>
      </c>
      <c r="C1080" s="6" t="s">
        <v>1865</v>
      </c>
      <c r="D1080" s="6">
        <v>1071</v>
      </c>
      <c r="E1080" s="6">
        <v>215</v>
      </c>
      <c r="F1080" s="6" t="s">
        <v>1333</v>
      </c>
      <c r="G1080" s="6">
        <v>215</v>
      </c>
      <c r="H1080" s="6" t="s">
        <v>896</v>
      </c>
      <c r="I1080" s="33">
        <v>8281136.6699999999</v>
      </c>
      <c r="J1080" s="88">
        <v>0.89508074484008038</v>
      </c>
      <c r="K1080" s="89">
        <f>X1080</f>
        <v>8161429.120000002</v>
      </c>
      <c r="L1080" s="88">
        <f>IF(K1084&gt;0, K1080/K1084, 0)</f>
        <v>0.88765319895290173</v>
      </c>
      <c r="M1080" s="58"/>
      <c r="N1080" s="9">
        <f>ROUND(M1084*L1080,0)</f>
        <v>3523318</v>
      </c>
      <c r="O1080" s="9">
        <v>3375581</v>
      </c>
      <c r="P1080" s="9">
        <f>N1080-O1080</f>
        <v>147737</v>
      </c>
      <c r="Q1080" s="40">
        <f t="shared" si="169"/>
        <v>4.3766391622656959</v>
      </c>
      <c r="R1080" s="9">
        <v>574</v>
      </c>
      <c r="S1080" s="9">
        <f t="shared" si="167"/>
        <v>565</v>
      </c>
      <c r="T1080" s="90">
        <f t="shared" si="162"/>
        <v>215</v>
      </c>
      <c r="U1080" s="90">
        <f t="shared" si="163"/>
        <v>215</v>
      </c>
      <c r="V1080" s="373">
        <f t="shared" si="164"/>
        <v>1071</v>
      </c>
      <c r="W1080" s="90">
        <f t="shared" si="165"/>
        <v>565</v>
      </c>
      <c r="X1080" s="90">
        <f t="shared" si="166"/>
        <v>8161429.120000002</v>
      </c>
      <c r="Y1080" s="141">
        <f t="shared" si="168"/>
        <v>1071</v>
      </c>
      <c r="Z1080" s="298">
        <v>215</v>
      </c>
      <c r="AA1080" s="299">
        <v>215</v>
      </c>
      <c r="AB1080" s="299">
        <v>1071</v>
      </c>
      <c r="AC1080" s="301">
        <v>565</v>
      </c>
      <c r="AD1080" s="301">
        <v>8161429.120000002</v>
      </c>
      <c r="AE1080" s="126"/>
      <c r="AF1080" s="298"/>
      <c r="AG1080" s="299"/>
      <c r="AH1080" s="299"/>
      <c r="AI1080" s="301"/>
      <c r="AJ1080" s="301"/>
      <c r="AK1080" s="426"/>
      <c r="AL1080" s="298"/>
      <c r="AM1080" s="299"/>
      <c r="AN1080" s="299"/>
      <c r="AO1080" s="301"/>
      <c r="AP1080" s="301"/>
      <c r="AQ1080" s="426"/>
      <c r="AR1080" s="298"/>
      <c r="AS1080" s="299"/>
      <c r="AT1080" s="299"/>
      <c r="AU1080" s="301"/>
      <c r="AV1080" s="301"/>
      <c r="AW1080" s="88"/>
      <c r="AX1080" s="298"/>
      <c r="AY1080" s="299"/>
      <c r="AZ1080" s="299"/>
      <c r="BA1080" s="301"/>
      <c r="BB1080" s="301"/>
      <c r="BC1080" s="426"/>
      <c r="BD1080" s="298"/>
      <c r="BE1080" s="299"/>
      <c r="BF1080" s="299"/>
      <c r="BG1080" s="301"/>
      <c r="BH1080" s="301"/>
      <c r="BI1080" s="88"/>
      <c r="BJ1080" s="298"/>
      <c r="BK1080" s="299"/>
      <c r="BL1080" s="299"/>
      <c r="BM1080" s="301"/>
      <c r="BN1080" s="301"/>
      <c r="BO1080" s="88"/>
      <c r="BP1080" s="9"/>
      <c r="BS1080" s="81"/>
      <c r="BT1080" s="81"/>
      <c r="BV1080" s="9"/>
      <c r="BY1080" s="81"/>
      <c r="BZ1080" s="81"/>
      <c r="CB1080" s="9"/>
      <c r="CE1080" s="81"/>
      <c r="CF1080" s="81"/>
      <c r="CH1080" s="9"/>
      <c r="CK1080" s="81"/>
      <c r="CL1080" s="81"/>
      <c r="CR1080" s="9"/>
      <c r="CS1080" s="9"/>
      <c r="CT1080" s="9"/>
      <c r="CU1080" s="9"/>
      <c r="CV1080" s="9"/>
      <c r="CW1080" s="129"/>
      <c r="CX1080" s="9"/>
    </row>
    <row r="1081" spans="1:102">
      <c r="A1081" s="6" t="str">
        <f t="shared" si="161"/>
        <v>02150876</v>
      </c>
      <c r="B1081" s="6" t="s">
        <v>1865</v>
      </c>
      <c r="C1081" s="6" t="s">
        <v>2084</v>
      </c>
      <c r="D1081" s="6">
        <v>1072</v>
      </c>
      <c r="E1081" s="6">
        <v>215</v>
      </c>
      <c r="F1081" s="6" t="s">
        <v>1333</v>
      </c>
      <c r="G1081" s="6">
        <v>876</v>
      </c>
      <c r="H1081" s="6" t="s">
        <v>1114</v>
      </c>
      <c r="I1081" s="33">
        <v>970695.3214026863</v>
      </c>
      <c r="J1081" s="88">
        <v>0.10491925515991969</v>
      </c>
      <c r="K1081" s="89">
        <f t="shared" si="170"/>
        <v>1032960.2311874123</v>
      </c>
      <c r="L1081" s="88">
        <f>IF(K1084&gt;0, K1081/K1084, 0)</f>
        <v>0.11234680104709838</v>
      </c>
      <c r="M1081" s="58"/>
      <c r="N1081" s="9">
        <f>ROUND(M1084*L1081,0)</f>
        <v>445933</v>
      </c>
      <c r="O1081" s="9">
        <v>395678</v>
      </c>
      <c r="P1081" s="9">
        <f>N1081-O1081</f>
        <v>50255</v>
      </c>
      <c r="Q1081" s="40">
        <f t="shared" si="169"/>
        <v>12.70098413356315</v>
      </c>
      <c r="R1081" s="9">
        <v>47.99999999872</v>
      </c>
      <c r="S1081" s="9">
        <f t="shared" si="167"/>
        <v>49.999999994780005</v>
      </c>
      <c r="T1081" s="90">
        <f t="shared" si="162"/>
        <v>215</v>
      </c>
      <c r="U1081" s="90">
        <f t="shared" si="163"/>
        <v>876</v>
      </c>
      <c r="V1081" s="373">
        <f t="shared" si="164"/>
        <v>1072</v>
      </c>
      <c r="W1081" s="90">
        <f t="shared" si="165"/>
        <v>49.999999994780005</v>
      </c>
      <c r="X1081" s="90">
        <f t="shared" si="166"/>
        <v>1032960.2311874123</v>
      </c>
      <c r="Y1081" s="141">
        <f t="shared" si="168"/>
        <v>1072</v>
      </c>
      <c r="Z1081" s="298">
        <v>215</v>
      </c>
      <c r="AA1081" s="299">
        <v>876</v>
      </c>
      <c r="AB1081" s="299">
        <v>1072</v>
      </c>
      <c r="AC1081" s="301">
        <v>49.999999994780005</v>
      </c>
      <c r="AD1081" s="301">
        <v>1032960.2311874123</v>
      </c>
      <c r="AE1081" s="126"/>
      <c r="AF1081" s="298"/>
      <c r="AG1081" s="299"/>
      <c r="AH1081" s="299"/>
      <c r="AI1081" s="301"/>
      <c r="AJ1081" s="301"/>
      <c r="AK1081" s="426"/>
      <c r="AL1081" s="298"/>
      <c r="AM1081" s="299"/>
      <c r="AN1081" s="299"/>
      <c r="AO1081" s="301"/>
      <c r="AP1081" s="301"/>
      <c r="AQ1081" s="426"/>
      <c r="AR1081" s="298"/>
      <c r="AS1081" s="299"/>
      <c r="AT1081" s="299"/>
      <c r="AU1081" s="301"/>
      <c r="AV1081" s="301"/>
      <c r="AW1081" s="88"/>
      <c r="AX1081" s="298"/>
      <c r="AY1081" s="299"/>
      <c r="AZ1081" s="299"/>
      <c r="BA1081" s="301"/>
      <c r="BB1081" s="301"/>
      <c r="BC1081" s="426"/>
      <c r="BD1081" s="298"/>
      <c r="BE1081" s="299"/>
      <c r="BF1081" s="299"/>
      <c r="BG1081" s="301"/>
      <c r="BH1081" s="301"/>
      <c r="BI1081" s="88"/>
      <c r="BJ1081" s="298"/>
      <c r="BK1081" s="299"/>
      <c r="BL1081" s="299"/>
      <c r="BM1081" s="301"/>
      <c r="BN1081" s="301"/>
      <c r="BO1081" s="88"/>
      <c r="BP1081" s="9"/>
      <c r="BS1081" s="81"/>
      <c r="BT1081" s="81"/>
      <c r="BV1081" s="9"/>
      <c r="BY1081" s="81"/>
      <c r="BZ1081" s="81"/>
      <c r="CB1081" s="9"/>
      <c r="CE1081" s="81"/>
      <c r="CF1081" s="81"/>
      <c r="CH1081" s="9"/>
      <c r="CK1081" s="81"/>
      <c r="CL1081" s="81"/>
      <c r="CR1081" s="9"/>
      <c r="CS1081" s="9"/>
      <c r="CT1081" s="9"/>
      <c r="CU1081" s="9"/>
      <c r="CV1081" s="9"/>
      <c r="CW1081" s="129"/>
      <c r="CX1081" s="9"/>
    </row>
    <row r="1082" spans="1:102">
      <c r="A1082" s="6" t="str">
        <f t="shared" si="161"/>
        <v>02150998</v>
      </c>
      <c r="B1082" s="6" t="s">
        <v>1865</v>
      </c>
      <c r="C1082" s="6" t="s">
        <v>2091</v>
      </c>
      <c r="D1082" s="6">
        <v>1073</v>
      </c>
      <c r="E1082" s="6">
        <v>215</v>
      </c>
      <c r="F1082" s="6" t="s">
        <v>1547</v>
      </c>
      <c r="G1082" s="6">
        <v>998</v>
      </c>
      <c r="H1082" s="6" t="s">
        <v>1547</v>
      </c>
      <c r="I1082" s="33">
        <v>0</v>
      </c>
      <c r="J1082" s="88">
        <v>0</v>
      </c>
      <c r="K1082" s="89">
        <f t="shared" si="170"/>
        <v>0</v>
      </c>
      <c r="L1082" s="88">
        <f>IF(K1084&gt;0, K1082/K1084, 0)</f>
        <v>0</v>
      </c>
      <c r="M1082" s="58"/>
      <c r="N1082" s="9">
        <f>ROUND(M1084*L1082,0)</f>
        <v>0</v>
      </c>
      <c r="O1082" s="9">
        <v>0</v>
      </c>
      <c r="P1082" s="9">
        <f>N1082-O1082</f>
        <v>0</v>
      </c>
      <c r="Q1082" s="40">
        <f t="shared" si="169"/>
        <v>0</v>
      </c>
      <c r="R1082" s="9">
        <v>0</v>
      </c>
      <c r="S1082" s="9">
        <f t="shared" si="167"/>
        <v>0</v>
      </c>
      <c r="T1082" s="90">
        <f t="shared" si="162"/>
        <v>215</v>
      </c>
      <c r="U1082" s="90">
        <f t="shared" si="163"/>
        <v>998</v>
      </c>
      <c r="V1082" s="373">
        <f t="shared" si="164"/>
        <v>1073</v>
      </c>
      <c r="W1082" s="90">
        <f t="shared" si="165"/>
        <v>0</v>
      </c>
      <c r="X1082" s="90">
        <f t="shared" si="166"/>
        <v>0</v>
      </c>
      <c r="Y1082" s="141">
        <f t="shared" si="168"/>
        <v>1073</v>
      </c>
      <c r="Z1082" s="298">
        <v>215</v>
      </c>
      <c r="AA1082" s="299">
        <v>998</v>
      </c>
      <c r="AB1082" s="299">
        <v>1073</v>
      </c>
      <c r="AC1082" s="301">
        <v>0</v>
      </c>
      <c r="AD1082" s="301">
        <v>0</v>
      </c>
      <c r="AE1082" s="126"/>
      <c r="AF1082" s="298"/>
      <c r="AG1082" s="299"/>
      <c r="AH1082" s="299"/>
      <c r="AI1082" s="301"/>
      <c r="AJ1082" s="301"/>
      <c r="AK1082" s="426"/>
      <c r="AL1082" s="298"/>
      <c r="AM1082" s="299"/>
      <c r="AN1082" s="299"/>
      <c r="AO1082" s="301"/>
      <c r="AP1082" s="301"/>
      <c r="AQ1082" s="426"/>
      <c r="AR1082" s="298"/>
      <c r="AS1082" s="299"/>
      <c r="AT1082" s="299"/>
      <c r="AU1082" s="301"/>
      <c r="AV1082" s="301"/>
      <c r="AW1082" s="88"/>
      <c r="AX1082" s="298"/>
      <c r="AY1082" s="299"/>
      <c r="AZ1082" s="299"/>
      <c r="BA1082" s="301"/>
      <c r="BB1082" s="301"/>
      <c r="BC1082" s="426"/>
      <c r="BD1082" s="298"/>
      <c r="BE1082" s="299"/>
      <c r="BF1082" s="299"/>
      <c r="BG1082" s="301"/>
      <c r="BH1082" s="301"/>
      <c r="BI1082" s="88"/>
      <c r="BJ1082" s="298"/>
      <c r="BK1082" s="299"/>
      <c r="BL1082" s="299"/>
      <c r="BM1082" s="301"/>
      <c r="BN1082" s="301"/>
      <c r="BO1082" s="88"/>
      <c r="BP1082" s="9"/>
      <c r="BS1082" s="81"/>
      <c r="BT1082" s="81"/>
      <c r="BV1082" s="9"/>
      <c r="BY1082" s="81"/>
      <c r="BZ1082" s="81"/>
      <c r="CB1082" s="9"/>
      <c r="CE1082" s="81"/>
      <c r="CF1082" s="81"/>
      <c r="CH1082" s="9"/>
      <c r="CK1082" s="81"/>
      <c r="CL1082" s="81"/>
      <c r="CR1082" s="9"/>
      <c r="CS1082" s="9"/>
      <c r="CT1082" s="9"/>
      <c r="CU1082" s="9"/>
      <c r="CV1082" s="9"/>
      <c r="CW1082" s="129"/>
      <c r="CX1082" s="9"/>
    </row>
    <row r="1083" spans="1:102">
      <c r="A1083" s="6" t="str">
        <f t="shared" si="161"/>
        <v>02150998</v>
      </c>
      <c r="B1083" s="6" t="s">
        <v>1865</v>
      </c>
      <c r="C1083" s="6" t="s">
        <v>2091</v>
      </c>
      <c r="D1083" s="6">
        <v>1074</v>
      </c>
      <c r="E1083" s="6">
        <v>215</v>
      </c>
      <c r="F1083" s="6" t="s">
        <v>1547</v>
      </c>
      <c r="G1083" s="6">
        <v>998</v>
      </c>
      <c r="H1083" s="6" t="s">
        <v>1547</v>
      </c>
      <c r="I1083" s="33">
        <v>0</v>
      </c>
      <c r="J1083" s="88">
        <v>0</v>
      </c>
      <c r="K1083" s="89">
        <f t="shared" si="170"/>
        <v>0</v>
      </c>
      <c r="L1083" s="88">
        <f>IF(K1084&gt;0, K1083/K1084, 0)</f>
        <v>0</v>
      </c>
      <c r="M1083" s="58"/>
      <c r="N1083" s="9">
        <f>ROUND(M1084*L1083,0)</f>
        <v>0</v>
      </c>
      <c r="O1083" s="9">
        <v>0</v>
      </c>
      <c r="P1083" s="9">
        <f>N1083-O1083</f>
        <v>0</v>
      </c>
      <c r="Q1083" s="40">
        <f t="shared" si="169"/>
        <v>0</v>
      </c>
      <c r="R1083" s="9">
        <v>0</v>
      </c>
      <c r="S1083" s="9">
        <f t="shared" si="167"/>
        <v>0</v>
      </c>
      <c r="T1083" s="90">
        <f t="shared" si="162"/>
        <v>215</v>
      </c>
      <c r="U1083" s="90">
        <f t="shared" si="163"/>
        <v>998</v>
      </c>
      <c r="V1083" s="373">
        <f t="shared" si="164"/>
        <v>1074</v>
      </c>
      <c r="W1083" s="90">
        <f t="shared" si="165"/>
        <v>0</v>
      </c>
      <c r="X1083" s="90">
        <f t="shared" si="166"/>
        <v>0</v>
      </c>
      <c r="Y1083" s="141">
        <f t="shared" si="168"/>
        <v>1074</v>
      </c>
      <c r="Z1083" s="298">
        <v>215</v>
      </c>
      <c r="AA1083" s="299">
        <v>998</v>
      </c>
      <c r="AB1083" s="299">
        <v>1074</v>
      </c>
      <c r="AC1083" s="301">
        <v>0</v>
      </c>
      <c r="AD1083" s="301">
        <v>0</v>
      </c>
      <c r="AE1083" s="126"/>
      <c r="AF1083" s="298"/>
      <c r="AG1083" s="299"/>
      <c r="AH1083" s="299"/>
      <c r="AI1083" s="301"/>
      <c r="AJ1083" s="301"/>
      <c r="AK1083" s="426"/>
      <c r="AL1083" s="298"/>
      <c r="AM1083" s="299"/>
      <c r="AN1083" s="299"/>
      <c r="AO1083" s="301"/>
      <c r="AP1083" s="301"/>
      <c r="AQ1083" s="426"/>
      <c r="AR1083" s="298"/>
      <c r="AS1083" s="299"/>
      <c r="AT1083" s="299"/>
      <c r="AU1083" s="301"/>
      <c r="AV1083" s="301"/>
      <c r="AW1083" s="88"/>
      <c r="AX1083" s="298"/>
      <c r="AY1083" s="299"/>
      <c r="AZ1083" s="299"/>
      <c r="BA1083" s="301"/>
      <c r="BB1083" s="301"/>
      <c r="BC1083" s="426"/>
      <c r="BD1083" s="298"/>
      <c r="BE1083" s="299"/>
      <c r="BF1083" s="299"/>
      <c r="BG1083" s="301"/>
      <c r="BH1083" s="301"/>
      <c r="BI1083" s="88"/>
      <c r="BJ1083" s="298"/>
      <c r="BK1083" s="299"/>
      <c r="BL1083" s="299"/>
      <c r="BM1083" s="301"/>
      <c r="BN1083" s="301"/>
      <c r="BO1083" s="88"/>
      <c r="BP1083" s="9"/>
      <c r="BS1083" s="81"/>
      <c r="BT1083" s="81"/>
      <c r="BV1083" s="9"/>
      <c r="BY1083" s="81"/>
      <c r="BZ1083" s="81"/>
      <c r="CB1083" s="9"/>
      <c r="CE1083" s="81"/>
      <c r="CF1083" s="81"/>
      <c r="CH1083" s="9"/>
      <c r="CK1083" s="81"/>
      <c r="CL1083" s="81"/>
      <c r="CR1083" s="9"/>
      <c r="CS1083" s="9"/>
      <c r="CT1083" s="9"/>
      <c r="CU1083" s="9"/>
      <c r="CV1083" s="9"/>
      <c r="CW1083" s="129"/>
      <c r="CX1083" s="9"/>
    </row>
    <row r="1084" spans="1:102">
      <c r="A1084" s="6" t="str">
        <f t="shared" si="161"/>
        <v>02150999</v>
      </c>
      <c r="B1084" s="6" t="s">
        <v>1865</v>
      </c>
      <c r="C1084" s="6" t="s">
        <v>2092</v>
      </c>
      <c r="D1084" s="6">
        <v>1075</v>
      </c>
      <c r="E1084" s="10">
        <v>215</v>
      </c>
      <c r="F1084" s="10" t="s">
        <v>1333</v>
      </c>
      <c r="G1084" s="10">
        <v>999</v>
      </c>
      <c r="H1084" s="10" t="s">
        <v>593</v>
      </c>
      <c r="I1084" s="92">
        <v>9251831.9914026856</v>
      </c>
      <c r="J1084" s="472">
        <v>1</v>
      </c>
      <c r="K1084" s="53">
        <f>SUM(K1080:K1083)</f>
        <v>9194389.3511874136</v>
      </c>
      <c r="L1084" s="91">
        <f>SUM(L1080:L1083)</f>
        <v>1</v>
      </c>
      <c r="M1084" s="79">
        <f>VLOOKUP(E1084,town351,24)</f>
        <v>3969251</v>
      </c>
      <c r="N1084" s="79">
        <f>SUM(N1080:N1083)</f>
        <v>3969251</v>
      </c>
      <c r="O1084" s="79">
        <v>3771259</v>
      </c>
      <c r="P1084" s="79">
        <f>SUM(P1080:P1083)</f>
        <v>197992</v>
      </c>
      <c r="Q1084" s="39">
        <f t="shared" si="169"/>
        <v>5.2500239310002312</v>
      </c>
      <c r="R1084" s="9">
        <v>621.99999999872</v>
      </c>
      <c r="S1084" s="9">
        <f t="shared" si="167"/>
        <v>614.99999999477996</v>
      </c>
      <c r="T1084" s="90">
        <f t="shared" si="162"/>
        <v>215</v>
      </c>
      <c r="U1084" s="90">
        <f t="shared" si="163"/>
        <v>999</v>
      </c>
      <c r="V1084" s="373">
        <f t="shared" si="164"/>
        <v>1075</v>
      </c>
      <c r="W1084" s="90">
        <f t="shared" si="165"/>
        <v>614.99999999477996</v>
      </c>
      <c r="X1084" s="90">
        <f t="shared" si="166"/>
        <v>9194389.3511874136</v>
      </c>
      <c r="Y1084" s="141">
        <f t="shared" si="168"/>
        <v>1075</v>
      </c>
      <c r="Z1084" s="298">
        <v>215</v>
      </c>
      <c r="AA1084" s="299">
        <v>999</v>
      </c>
      <c r="AB1084" s="299">
        <v>1075</v>
      </c>
      <c r="AC1084" s="301">
        <v>614.99999999477996</v>
      </c>
      <c r="AD1084" s="301">
        <v>9194389.3511874136</v>
      </c>
      <c r="AE1084" s="126"/>
      <c r="AF1084" s="298"/>
      <c r="AG1084" s="299"/>
      <c r="AH1084" s="299"/>
      <c r="AI1084" s="301"/>
      <c r="AJ1084" s="301"/>
      <c r="AK1084" s="426"/>
      <c r="AL1084" s="298"/>
      <c r="AM1084" s="299"/>
      <c r="AN1084" s="299"/>
      <c r="AO1084" s="301"/>
      <c r="AP1084" s="301"/>
      <c r="AQ1084" s="426"/>
      <c r="AR1084" s="298"/>
      <c r="AS1084" s="299"/>
      <c r="AT1084" s="299"/>
      <c r="AU1084" s="301"/>
      <c r="AV1084" s="301"/>
      <c r="AW1084" s="91"/>
      <c r="AX1084" s="298"/>
      <c r="AY1084" s="299"/>
      <c r="AZ1084" s="299"/>
      <c r="BA1084" s="301"/>
      <c r="BB1084" s="301"/>
      <c r="BC1084" s="426"/>
      <c r="BD1084" s="298"/>
      <c r="BE1084" s="299"/>
      <c r="BF1084" s="299"/>
      <c r="BG1084" s="301"/>
      <c r="BH1084" s="301"/>
      <c r="BI1084" s="91"/>
      <c r="BJ1084" s="298"/>
      <c r="BK1084" s="299"/>
      <c r="BL1084" s="299"/>
      <c r="BM1084" s="301"/>
      <c r="BN1084" s="301"/>
      <c r="BO1084" s="91"/>
      <c r="BP1084" s="9"/>
      <c r="BS1084" s="81"/>
      <c r="BT1084" s="81"/>
      <c r="BV1084" s="9"/>
      <c r="BY1084" s="81"/>
      <c r="BZ1084" s="81"/>
      <c r="CB1084" s="9"/>
      <c r="CE1084" s="81"/>
      <c r="CF1084" s="81"/>
      <c r="CH1084" s="9"/>
      <c r="CK1084" s="81"/>
      <c r="CL1084" s="81"/>
      <c r="CR1084" s="9"/>
      <c r="CS1084" s="9"/>
      <c r="CT1084" s="9"/>
      <c r="CU1084" s="9"/>
      <c r="CV1084" s="9"/>
      <c r="CW1084" s="129"/>
      <c r="CX1084" s="9"/>
    </row>
    <row r="1085" spans="1:102">
      <c r="A1085" s="6" t="str">
        <f t="shared" si="161"/>
        <v>02160216</v>
      </c>
      <c r="B1085" s="6" t="s">
        <v>1866</v>
      </c>
      <c r="C1085" s="6" t="s">
        <v>1866</v>
      </c>
      <c r="D1085" s="6">
        <v>1076</v>
      </c>
      <c r="E1085" s="6">
        <v>216</v>
      </c>
      <c r="F1085" s="6" t="s">
        <v>1334</v>
      </c>
      <c r="G1085" s="6">
        <v>216</v>
      </c>
      <c r="H1085" s="6" t="s">
        <v>897</v>
      </c>
      <c r="I1085" s="33">
        <v>16490.760000000002</v>
      </c>
      <c r="J1085" s="88">
        <v>3.4356373997520423E-3</v>
      </c>
      <c r="K1085" s="89">
        <f>X1085</f>
        <v>0</v>
      </c>
      <c r="L1085" s="88">
        <f>IF(K1089&gt;0, K1085/K1089, 0)</f>
        <v>0</v>
      </c>
      <c r="M1085" s="58"/>
      <c r="N1085" s="9">
        <f>ROUND(M1089*L1085,0)</f>
        <v>0</v>
      </c>
      <c r="O1085" s="9">
        <v>11472</v>
      </c>
      <c r="P1085" s="9">
        <f>N1085-O1085</f>
        <v>-11472</v>
      </c>
      <c r="Q1085" s="40">
        <f t="shared" si="169"/>
        <v>-100</v>
      </c>
      <c r="R1085" s="9">
        <v>1</v>
      </c>
      <c r="S1085" s="9">
        <f t="shared" si="167"/>
        <v>0</v>
      </c>
      <c r="T1085" s="90">
        <f t="shared" si="162"/>
        <v>216</v>
      </c>
      <c r="U1085" s="90">
        <f t="shared" si="163"/>
        <v>216</v>
      </c>
      <c r="V1085" s="373">
        <f t="shared" si="164"/>
        <v>1076</v>
      </c>
      <c r="W1085" s="90">
        <f t="shared" si="165"/>
        <v>0</v>
      </c>
      <c r="X1085" s="90">
        <f t="shared" si="166"/>
        <v>0</v>
      </c>
      <c r="Y1085" s="141">
        <f t="shared" si="168"/>
        <v>1076</v>
      </c>
      <c r="Z1085" s="298">
        <v>216</v>
      </c>
      <c r="AA1085" s="299">
        <v>216</v>
      </c>
      <c r="AB1085" s="299">
        <v>1076</v>
      </c>
      <c r="AC1085" s="301">
        <v>0</v>
      </c>
      <c r="AD1085" s="301">
        <v>0</v>
      </c>
      <c r="AE1085" s="126"/>
      <c r="AF1085" s="298"/>
      <c r="AG1085" s="299"/>
      <c r="AH1085" s="299"/>
      <c r="AI1085" s="301"/>
      <c r="AJ1085" s="301"/>
      <c r="AK1085" s="426"/>
      <c r="AL1085" s="298"/>
      <c r="AM1085" s="299"/>
      <c r="AN1085" s="299"/>
      <c r="AO1085" s="301"/>
      <c r="AP1085" s="301"/>
      <c r="AQ1085" s="426"/>
      <c r="AR1085" s="298"/>
      <c r="AS1085" s="299"/>
      <c r="AT1085" s="299"/>
      <c r="AU1085" s="301"/>
      <c r="AV1085" s="301"/>
      <c r="AW1085" s="88"/>
      <c r="AX1085" s="298"/>
      <c r="AY1085" s="299"/>
      <c r="AZ1085" s="299"/>
      <c r="BA1085" s="301"/>
      <c r="BB1085" s="301"/>
      <c r="BC1085" s="426"/>
      <c r="BD1085" s="298"/>
      <c r="BE1085" s="299"/>
      <c r="BF1085" s="299"/>
      <c r="BG1085" s="301"/>
      <c r="BH1085" s="301"/>
      <c r="BI1085" s="88"/>
      <c r="BJ1085" s="298"/>
      <c r="BK1085" s="299"/>
      <c r="BL1085" s="299"/>
      <c r="BM1085" s="301"/>
      <c r="BN1085" s="301"/>
      <c r="BO1085" s="88"/>
      <c r="BP1085" s="9"/>
      <c r="BS1085" s="81"/>
      <c r="BT1085" s="81"/>
      <c r="BV1085" s="9"/>
      <c r="BY1085" s="81"/>
      <c r="BZ1085" s="81"/>
      <c r="CB1085" s="9"/>
      <c r="CE1085" s="81"/>
      <c r="CF1085" s="81"/>
      <c r="CH1085" s="9"/>
      <c r="CK1085" s="81"/>
      <c r="CL1085" s="81"/>
      <c r="CR1085" s="9"/>
      <c r="CS1085" s="9"/>
      <c r="CT1085" s="9"/>
      <c r="CU1085" s="9"/>
      <c r="CV1085" s="9"/>
      <c r="CW1085" s="129"/>
      <c r="CX1085" s="9"/>
    </row>
    <row r="1086" spans="1:102">
      <c r="A1086" s="6" t="str">
        <f t="shared" si="161"/>
        <v>02160750</v>
      </c>
      <c r="B1086" s="6" t="s">
        <v>1866</v>
      </c>
      <c r="C1086" s="6" t="s">
        <v>2048</v>
      </c>
      <c r="D1086" s="6">
        <v>1077</v>
      </c>
      <c r="E1086" s="6">
        <v>216</v>
      </c>
      <c r="F1086" s="6" t="s">
        <v>1334</v>
      </c>
      <c r="G1086" s="6">
        <v>750</v>
      </c>
      <c r="H1086" s="6" t="s">
        <v>1078</v>
      </c>
      <c r="I1086" s="33">
        <v>3929075.5250000008</v>
      </c>
      <c r="J1086" s="88">
        <v>0.81857226835757668</v>
      </c>
      <c r="K1086" s="89">
        <f t="shared" si="170"/>
        <v>3598952.1589709213</v>
      </c>
      <c r="L1086" s="88">
        <f>IF(K1089&gt;0, K1086/K1089, 0)</f>
        <v>0.80455344784976535</v>
      </c>
      <c r="M1086" s="58"/>
      <c r="N1086" s="9">
        <f>ROUND(M1089*L1086,0)</f>
        <v>2808685</v>
      </c>
      <c r="O1086" s="9">
        <v>2733260</v>
      </c>
      <c r="P1086" s="9">
        <f>N1086-O1086</f>
        <v>75425</v>
      </c>
      <c r="Q1086" s="40">
        <f t="shared" si="169"/>
        <v>2.7595252555556367</v>
      </c>
      <c r="R1086" s="9">
        <v>284.5</v>
      </c>
      <c r="S1086" s="9">
        <f t="shared" si="167"/>
        <v>256.411439116</v>
      </c>
      <c r="T1086" s="90">
        <f t="shared" si="162"/>
        <v>216</v>
      </c>
      <c r="U1086" s="90">
        <f t="shared" si="163"/>
        <v>750</v>
      </c>
      <c r="V1086" s="373">
        <f t="shared" si="164"/>
        <v>1077</v>
      </c>
      <c r="W1086" s="90">
        <f t="shared" si="165"/>
        <v>256.411439116</v>
      </c>
      <c r="X1086" s="90">
        <f t="shared" si="166"/>
        <v>3598952.1589709213</v>
      </c>
      <c r="Y1086" s="141">
        <f t="shared" si="168"/>
        <v>1077</v>
      </c>
      <c r="Z1086" s="298">
        <v>216</v>
      </c>
      <c r="AA1086" s="299">
        <v>750</v>
      </c>
      <c r="AB1086" s="299">
        <v>1077</v>
      </c>
      <c r="AC1086" s="301">
        <v>256.411439116</v>
      </c>
      <c r="AD1086" s="301">
        <v>3598952.1589709213</v>
      </c>
      <c r="AE1086" s="126"/>
      <c r="AF1086" s="298"/>
      <c r="AG1086" s="299"/>
      <c r="AH1086" s="299"/>
      <c r="AI1086" s="301"/>
      <c r="AJ1086" s="301"/>
      <c r="AK1086" s="426"/>
      <c r="AL1086" s="298"/>
      <c r="AM1086" s="299"/>
      <c r="AN1086" s="299"/>
      <c r="AO1086" s="301"/>
      <c r="AP1086" s="301"/>
      <c r="AQ1086" s="426"/>
      <c r="AR1086" s="298"/>
      <c r="AS1086" s="299"/>
      <c r="AT1086" s="299"/>
      <c r="AU1086" s="301"/>
      <c r="AV1086" s="301"/>
      <c r="AW1086" s="88"/>
      <c r="AX1086" s="298"/>
      <c r="AY1086" s="299"/>
      <c r="AZ1086" s="299"/>
      <c r="BA1086" s="301"/>
      <c r="BB1086" s="301"/>
      <c r="BC1086" s="426"/>
      <c r="BD1086" s="298"/>
      <c r="BE1086" s="299"/>
      <c r="BF1086" s="299"/>
      <c r="BG1086" s="301"/>
      <c r="BH1086" s="301"/>
      <c r="BI1086" s="88"/>
      <c r="BJ1086" s="298"/>
      <c r="BK1086" s="299"/>
      <c r="BL1086" s="299"/>
      <c r="BM1086" s="301"/>
      <c r="BN1086" s="301"/>
      <c r="BO1086" s="88"/>
      <c r="BP1086" s="9"/>
      <c r="BS1086" s="81"/>
      <c r="BT1086" s="81"/>
      <c r="BV1086" s="9"/>
      <c r="BY1086" s="81"/>
      <c r="BZ1086" s="81"/>
      <c r="CB1086" s="9"/>
      <c r="CE1086" s="81"/>
      <c r="CF1086" s="81"/>
      <c r="CH1086" s="9"/>
      <c r="CK1086" s="81"/>
      <c r="CL1086" s="81"/>
      <c r="CR1086" s="9"/>
      <c r="CS1086" s="9"/>
      <c r="CT1086" s="9"/>
      <c r="CU1086" s="9"/>
      <c r="CV1086" s="9"/>
      <c r="CW1086" s="129"/>
      <c r="CX1086" s="9"/>
    </row>
    <row r="1087" spans="1:102">
      <c r="A1087" s="6" t="str">
        <f t="shared" si="161"/>
        <v>02160818</v>
      </c>
      <c r="B1087" s="6" t="s">
        <v>1866</v>
      </c>
      <c r="C1087" s="6" t="s">
        <v>2068</v>
      </c>
      <c r="D1087" s="6">
        <v>1078</v>
      </c>
      <c r="E1087" s="6">
        <v>216</v>
      </c>
      <c r="F1087" s="6" t="s">
        <v>1334</v>
      </c>
      <c r="G1087" s="6">
        <v>818</v>
      </c>
      <c r="H1087" s="6" t="s">
        <v>1098</v>
      </c>
      <c r="I1087" s="33">
        <v>854346.53501708712</v>
      </c>
      <c r="J1087" s="88">
        <v>0.17799209424267118</v>
      </c>
      <c r="K1087" s="89">
        <f t="shared" si="170"/>
        <v>874277.26859466056</v>
      </c>
      <c r="L1087" s="88">
        <f>IF(K1089&gt;0, K1087/K1089, 0)</f>
        <v>0.1954465521502346</v>
      </c>
      <c r="M1087" s="58"/>
      <c r="N1087" s="9">
        <f>ROUND(M1089*L1087,0)</f>
        <v>682301</v>
      </c>
      <c r="O1087" s="9">
        <v>594326</v>
      </c>
      <c r="P1087" s="9">
        <f>N1087-O1087</f>
        <v>87975</v>
      </c>
      <c r="Q1087" s="40">
        <f t="shared" si="169"/>
        <v>14.802482139431895</v>
      </c>
      <c r="R1087" s="9">
        <v>40.0000000008</v>
      </c>
      <c r="S1087" s="9">
        <f t="shared" si="167"/>
        <v>39.999999997400003</v>
      </c>
      <c r="T1087" s="90">
        <f t="shared" si="162"/>
        <v>216</v>
      </c>
      <c r="U1087" s="90">
        <f t="shared" si="163"/>
        <v>818</v>
      </c>
      <c r="V1087" s="373">
        <f t="shared" si="164"/>
        <v>1078</v>
      </c>
      <c r="W1087" s="90">
        <f t="shared" si="165"/>
        <v>39.999999997400003</v>
      </c>
      <c r="X1087" s="90">
        <f t="shared" si="166"/>
        <v>874277.26859466056</v>
      </c>
      <c r="Y1087" s="141">
        <f t="shared" si="168"/>
        <v>1078</v>
      </c>
      <c r="Z1087" s="298">
        <v>216</v>
      </c>
      <c r="AA1087" s="299">
        <v>818</v>
      </c>
      <c r="AB1087" s="299">
        <v>1078</v>
      </c>
      <c r="AC1087" s="301">
        <v>39.999999997400003</v>
      </c>
      <c r="AD1087" s="301">
        <v>874277.26859466056</v>
      </c>
      <c r="AE1087" s="126"/>
      <c r="AF1087" s="298"/>
      <c r="AG1087" s="299"/>
      <c r="AH1087" s="299"/>
      <c r="AI1087" s="301"/>
      <c r="AJ1087" s="301"/>
      <c r="AK1087" s="426"/>
      <c r="AL1087" s="298"/>
      <c r="AM1087" s="299"/>
      <c r="AN1087" s="299"/>
      <c r="AO1087" s="301"/>
      <c r="AP1087" s="301"/>
      <c r="AQ1087" s="426"/>
      <c r="AR1087" s="298"/>
      <c r="AS1087" s="299"/>
      <c r="AT1087" s="299"/>
      <c r="AU1087" s="301"/>
      <c r="AV1087" s="301"/>
      <c r="AW1087" s="88"/>
      <c r="AX1087" s="298"/>
      <c r="AY1087" s="299"/>
      <c r="AZ1087" s="299"/>
      <c r="BA1087" s="301"/>
      <c r="BB1087" s="301"/>
      <c r="BC1087" s="426"/>
      <c r="BD1087" s="298"/>
      <c r="BE1087" s="299"/>
      <c r="BF1087" s="299"/>
      <c r="BG1087" s="301"/>
      <c r="BH1087" s="301"/>
      <c r="BI1087" s="88"/>
      <c r="BJ1087" s="298"/>
      <c r="BK1087" s="299"/>
      <c r="BL1087" s="299"/>
      <c r="BM1087" s="301"/>
      <c r="BN1087" s="301"/>
      <c r="BO1087" s="88"/>
      <c r="BP1087" s="9"/>
      <c r="BS1087" s="81"/>
      <c r="BT1087" s="81"/>
      <c r="BV1087" s="9"/>
      <c r="BY1087" s="81"/>
      <c r="BZ1087" s="81"/>
      <c r="CB1087" s="9"/>
      <c r="CE1087" s="81"/>
      <c r="CF1087" s="81"/>
      <c r="CH1087" s="9"/>
      <c r="CK1087" s="81"/>
      <c r="CL1087" s="81"/>
      <c r="CR1087" s="9"/>
      <c r="CS1087" s="9"/>
      <c r="CT1087" s="9"/>
      <c r="CU1087" s="9"/>
      <c r="CV1087" s="9"/>
      <c r="CW1087" s="129"/>
      <c r="CX1087" s="9"/>
    </row>
    <row r="1088" spans="1:102">
      <c r="A1088" s="6" t="str">
        <f t="shared" si="161"/>
        <v>02160998</v>
      </c>
      <c r="B1088" s="6" t="s">
        <v>1866</v>
      </c>
      <c r="C1088" s="6" t="s">
        <v>2091</v>
      </c>
      <c r="D1088" s="6">
        <v>1079</v>
      </c>
      <c r="E1088" s="6">
        <v>216</v>
      </c>
      <c r="F1088" s="6" t="s">
        <v>1547</v>
      </c>
      <c r="G1088" s="6">
        <v>998</v>
      </c>
      <c r="H1088" s="6" t="s">
        <v>1547</v>
      </c>
      <c r="I1088" s="33">
        <v>0</v>
      </c>
      <c r="J1088" s="88">
        <v>0</v>
      </c>
      <c r="K1088" s="89">
        <f t="shared" si="170"/>
        <v>0</v>
      </c>
      <c r="L1088" s="88">
        <f>IF(K1089&gt;0, K1088/K1089, 0)</f>
        <v>0</v>
      </c>
      <c r="M1088" s="58"/>
      <c r="N1088" s="9">
        <f>ROUND(M1089*L1088,0)</f>
        <v>0</v>
      </c>
      <c r="O1088" s="9">
        <v>0</v>
      </c>
      <c r="P1088" s="9">
        <f>N1088-O1088</f>
        <v>0</v>
      </c>
      <c r="Q1088" s="40">
        <f t="shared" si="169"/>
        <v>0</v>
      </c>
      <c r="R1088" s="9">
        <v>0</v>
      </c>
      <c r="S1088" s="9">
        <f t="shared" si="167"/>
        <v>0</v>
      </c>
      <c r="T1088" s="90">
        <f t="shared" si="162"/>
        <v>216</v>
      </c>
      <c r="U1088" s="90">
        <f t="shared" si="163"/>
        <v>998</v>
      </c>
      <c r="V1088" s="373">
        <f t="shared" si="164"/>
        <v>1079</v>
      </c>
      <c r="W1088" s="90">
        <f t="shared" si="165"/>
        <v>0</v>
      </c>
      <c r="X1088" s="90">
        <f t="shared" si="166"/>
        <v>0</v>
      </c>
      <c r="Y1088" s="141">
        <f t="shared" si="168"/>
        <v>1079</v>
      </c>
      <c r="Z1088" s="298">
        <v>216</v>
      </c>
      <c r="AA1088" s="299">
        <v>998</v>
      </c>
      <c r="AB1088" s="299">
        <v>1079</v>
      </c>
      <c r="AC1088" s="301">
        <v>0</v>
      </c>
      <c r="AD1088" s="301">
        <v>0</v>
      </c>
      <c r="AE1088" s="126"/>
      <c r="AF1088" s="298"/>
      <c r="AG1088" s="299"/>
      <c r="AH1088" s="299"/>
      <c r="AI1088" s="301"/>
      <c r="AJ1088" s="301"/>
      <c r="AK1088" s="426"/>
      <c r="AL1088" s="298"/>
      <c r="AM1088" s="299"/>
      <c r="AN1088" s="299"/>
      <c r="AO1088" s="301"/>
      <c r="AP1088" s="301"/>
      <c r="AQ1088" s="426"/>
      <c r="AR1088" s="298"/>
      <c r="AS1088" s="299"/>
      <c r="AT1088" s="299"/>
      <c r="AU1088" s="301"/>
      <c r="AV1088" s="301"/>
      <c r="AW1088" s="88"/>
      <c r="AX1088" s="298"/>
      <c r="AY1088" s="299"/>
      <c r="AZ1088" s="299"/>
      <c r="BA1088" s="301"/>
      <c r="BB1088" s="301"/>
      <c r="BC1088" s="426"/>
      <c r="BD1088" s="298"/>
      <c r="BE1088" s="299"/>
      <c r="BF1088" s="299"/>
      <c r="BG1088" s="301"/>
      <c r="BH1088" s="301"/>
      <c r="BI1088" s="88"/>
      <c r="BJ1088" s="298"/>
      <c r="BK1088" s="299"/>
      <c r="BL1088" s="299"/>
      <c r="BM1088" s="301"/>
      <c r="BN1088" s="301"/>
      <c r="BO1088" s="88"/>
      <c r="BP1088" s="9"/>
      <c r="BS1088" s="81"/>
      <c r="BT1088" s="81"/>
      <c r="BV1088" s="9"/>
      <c r="BY1088" s="81"/>
      <c r="BZ1088" s="81"/>
      <c r="CB1088" s="9"/>
      <c r="CE1088" s="81"/>
      <c r="CF1088" s="81"/>
      <c r="CH1088" s="9"/>
      <c r="CK1088" s="81"/>
      <c r="CL1088" s="81"/>
      <c r="CR1088" s="9"/>
      <c r="CS1088" s="9"/>
      <c r="CT1088" s="9"/>
      <c r="CU1088" s="9"/>
      <c r="CV1088" s="9"/>
      <c r="CW1088" s="129"/>
      <c r="CX1088" s="9"/>
    </row>
    <row r="1089" spans="1:102">
      <c r="A1089" s="6" t="str">
        <f t="shared" si="161"/>
        <v>02160999</v>
      </c>
      <c r="B1089" s="6" t="s">
        <v>1866</v>
      </c>
      <c r="C1089" s="6" t="s">
        <v>2092</v>
      </c>
      <c r="D1089" s="6">
        <v>1080</v>
      </c>
      <c r="E1089" s="10">
        <v>216</v>
      </c>
      <c r="F1089" s="10" t="s">
        <v>1334</v>
      </c>
      <c r="G1089" s="10">
        <v>999</v>
      </c>
      <c r="H1089" s="10" t="s">
        <v>593</v>
      </c>
      <c r="I1089" s="92">
        <v>4799912.8200170882</v>
      </c>
      <c r="J1089" s="472">
        <v>0.99999999999999989</v>
      </c>
      <c r="K1089" s="53">
        <f>SUM(K1085:K1088)</f>
        <v>4473229.4275655821</v>
      </c>
      <c r="L1089" s="91">
        <f>SUM(L1085:L1088)</f>
        <v>1</v>
      </c>
      <c r="M1089" s="79">
        <f>VLOOKUP(E1089,town351,24)</f>
        <v>3490986</v>
      </c>
      <c r="N1089" s="79">
        <f>SUM(N1085:N1088)</f>
        <v>3490986</v>
      </c>
      <c r="O1089" s="79">
        <v>3339058</v>
      </c>
      <c r="P1089" s="79">
        <f>SUM(P1085:P1088)</f>
        <v>151928</v>
      </c>
      <c r="Q1089" s="39">
        <f t="shared" si="169"/>
        <v>4.5500257857156123</v>
      </c>
      <c r="R1089" s="9">
        <v>325.50000000080001</v>
      </c>
      <c r="S1089" s="9">
        <f t="shared" si="167"/>
        <v>296.41143911339998</v>
      </c>
      <c r="T1089" s="90">
        <f t="shared" si="162"/>
        <v>216</v>
      </c>
      <c r="U1089" s="90">
        <f t="shared" si="163"/>
        <v>999</v>
      </c>
      <c r="V1089" s="373">
        <f t="shared" si="164"/>
        <v>1080</v>
      </c>
      <c r="W1089" s="90">
        <f t="shared" si="165"/>
        <v>296.41143911339998</v>
      </c>
      <c r="X1089" s="90">
        <f t="shared" si="166"/>
        <v>4473229.4275655821</v>
      </c>
      <c r="Y1089" s="141">
        <f t="shared" si="168"/>
        <v>1080</v>
      </c>
      <c r="Z1089" s="298">
        <v>216</v>
      </c>
      <c r="AA1089" s="299">
        <v>999</v>
      </c>
      <c r="AB1089" s="299">
        <v>1080</v>
      </c>
      <c r="AC1089" s="301">
        <v>296.41143911339998</v>
      </c>
      <c r="AD1089" s="301">
        <v>4473229.4275655821</v>
      </c>
      <c r="AE1089" s="126"/>
      <c r="AF1089" s="298"/>
      <c r="AG1089" s="299"/>
      <c r="AH1089" s="299"/>
      <c r="AI1089" s="301"/>
      <c r="AJ1089" s="301"/>
      <c r="AK1089" s="426"/>
      <c r="AL1089" s="298"/>
      <c r="AM1089" s="299"/>
      <c r="AN1089" s="299"/>
      <c r="AO1089" s="301"/>
      <c r="AP1089" s="301"/>
      <c r="AQ1089" s="426"/>
      <c r="AR1089" s="298"/>
      <c r="AS1089" s="299"/>
      <c r="AT1089" s="299"/>
      <c r="AU1089" s="301"/>
      <c r="AV1089" s="301"/>
      <c r="AW1089" s="91"/>
      <c r="AX1089" s="298"/>
      <c r="AY1089" s="299"/>
      <c r="AZ1089" s="299"/>
      <c r="BA1089" s="301"/>
      <c r="BB1089" s="301"/>
      <c r="BC1089" s="426"/>
      <c r="BD1089" s="298"/>
      <c r="BE1089" s="299"/>
      <c r="BF1089" s="299"/>
      <c r="BG1089" s="301"/>
      <c r="BH1089" s="301"/>
      <c r="BI1089" s="91"/>
      <c r="BJ1089" s="298"/>
      <c r="BK1089" s="299"/>
      <c r="BL1089" s="299"/>
      <c r="BM1089" s="301"/>
      <c r="BN1089" s="301"/>
      <c r="BO1089" s="91"/>
      <c r="BP1089" s="9"/>
      <c r="BS1089" s="81"/>
      <c r="BT1089" s="81"/>
      <c r="BV1089" s="9"/>
      <c r="BY1089" s="81"/>
      <c r="BZ1089" s="81"/>
      <c r="CB1089" s="9"/>
      <c r="CE1089" s="81"/>
      <c r="CF1089" s="81"/>
      <c r="CH1089" s="9"/>
      <c r="CK1089" s="81"/>
      <c r="CL1089" s="81"/>
      <c r="CR1089" s="9"/>
      <c r="CS1089" s="9"/>
      <c r="CT1089" s="9"/>
      <c r="CU1089" s="9"/>
      <c r="CV1089" s="9"/>
      <c r="CW1089" s="129"/>
      <c r="CX1089" s="9"/>
    </row>
    <row r="1090" spans="1:102">
      <c r="A1090" s="6" t="str">
        <f t="shared" si="161"/>
        <v>02170217</v>
      </c>
      <c r="B1090" s="6" t="s">
        <v>1867</v>
      </c>
      <c r="C1090" s="6" t="s">
        <v>1867</v>
      </c>
      <c r="D1090" s="6">
        <v>1081</v>
      </c>
      <c r="E1090" s="6">
        <v>217</v>
      </c>
      <c r="F1090" s="6" t="s">
        <v>1335</v>
      </c>
      <c r="G1090" s="6">
        <v>217</v>
      </c>
      <c r="H1090" s="6" t="s">
        <v>898</v>
      </c>
      <c r="I1090" s="33">
        <v>29062440.792260002</v>
      </c>
      <c r="J1090" s="88">
        <v>0.96931428715934076</v>
      </c>
      <c r="K1090" s="89">
        <f>X1090</f>
        <v>29675954.006980006</v>
      </c>
      <c r="L1090" s="88">
        <f>IF(K1094&gt;0, K1090/K1094, 0)</f>
        <v>0.96898082294879218</v>
      </c>
      <c r="M1090" s="58"/>
      <c r="N1090" s="9">
        <f>ROUND(M1094*L1090,0)</f>
        <v>24047692</v>
      </c>
      <c r="O1090" s="9">
        <v>23011257</v>
      </c>
      <c r="P1090" s="9">
        <f>N1090-O1090</f>
        <v>1036435</v>
      </c>
      <c r="Q1090" s="40">
        <f t="shared" si="169"/>
        <v>4.5040346991909219</v>
      </c>
      <c r="R1090" s="9">
        <v>2269</v>
      </c>
      <c r="S1090" s="9">
        <f t="shared" si="167"/>
        <v>2260</v>
      </c>
      <c r="T1090" s="90">
        <f t="shared" si="162"/>
        <v>217</v>
      </c>
      <c r="U1090" s="90">
        <f t="shared" si="163"/>
        <v>217</v>
      </c>
      <c r="V1090" s="373">
        <f t="shared" si="164"/>
        <v>1081</v>
      </c>
      <c r="W1090" s="90">
        <f t="shared" si="165"/>
        <v>2260</v>
      </c>
      <c r="X1090" s="90">
        <f t="shared" si="166"/>
        <v>29675954.006980006</v>
      </c>
      <c r="Y1090" s="141">
        <f t="shared" si="168"/>
        <v>1081</v>
      </c>
      <c r="Z1090" s="298">
        <v>217</v>
      </c>
      <c r="AA1090" s="299">
        <v>217</v>
      </c>
      <c r="AB1090" s="299">
        <v>1081</v>
      </c>
      <c r="AC1090" s="301">
        <v>2260</v>
      </c>
      <c r="AD1090" s="301">
        <v>29675954.006980006</v>
      </c>
      <c r="AE1090" s="126"/>
      <c r="AF1090" s="298"/>
      <c r="AG1090" s="299"/>
      <c r="AH1090" s="299"/>
      <c r="AI1090" s="301"/>
      <c r="AJ1090" s="301"/>
      <c r="AK1090" s="426"/>
      <c r="AL1090" s="298"/>
      <c r="AM1090" s="299"/>
      <c r="AN1090" s="299"/>
      <c r="AO1090" s="301"/>
      <c r="AP1090" s="301"/>
      <c r="AQ1090" s="426"/>
      <c r="AR1090" s="298"/>
      <c r="AS1090" s="299"/>
      <c r="AT1090" s="299"/>
      <c r="AU1090" s="301"/>
      <c r="AV1090" s="301"/>
      <c r="AW1090" s="88"/>
      <c r="AX1090" s="298"/>
      <c r="AY1090" s="299"/>
      <c r="AZ1090" s="299"/>
      <c r="BA1090" s="301"/>
      <c r="BB1090" s="301"/>
      <c r="BC1090" s="426"/>
      <c r="BD1090" s="298"/>
      <c r="BE1090" s="299"/>
      <c r="BF1090" s="299"/>
      <c r="BG1090" s="301"/>
      <c r="BH1090" s="301"/>
      <c r="BI1090" s="88"/>
      <c r="BJ1090" s="298"/>
      <c r="BK1090" s="299"/>
      <c r="BL1090" s="299"/>
      <c r="BM1090" s="301"/>
      <c r="BN1090" s="301"/>
      <c r="BO1090" s="88"/>
      <c r="BP1090" s="9"/>
      <c r="BS1090" s="81"/>
      <c r="BT1090" s="81"/>
      <c r="BV1090" s="9"/>
      <c r="BY1090" s="81"/>
      <c r="BZ1090" s="81"/>
      <c r="CB1090" s="9"/>
      <c r="CE1090" s="81"/>
      <c r="CF1090" s="81"/>
      <c r="CH1090" s="9"/>
      <c r="CK1090" s="81"/>
      <c r="CL1090" s="81"/>
      <c r="CR1090" s="9"/>
      <c r="CS1090" s="9"/>
      <c r="CT1090" s="9"/>
      <c r="CU1090" s="9"/>
      <c r="CV1090" s="9"/>
      <c r="CW1090" s="129"/>
      <c r="CX1090" s="9"/>
    </row>
    <row r="1091" spans="1:102">
      <c r="A1091" s="6" t="str">
        <f t="shared" si="161"/>
        <v>02170853</v>
      </c>
      <c r="B1091" s="6" t="s">
        <v>1867</v>
      </c>
      <c r="C1091" s="6" t="s">
        <v>2078</v>
      </c>
      <c r="D1091" s="6">
        <v>1082</v>
      </c>
      <c r="E1091" s="6">
        <v>217</v>
      </c>
      <c r="F1091" s="6" t="s">
        <v>1335</v>
      </c>
      <c r="G1091" s="6">
        <v>853</v>
      </c>
      <c r="H1091" s="6" t="s">
        <v>1108</v>
      </c>
      <c r="I1091" s="33">
        <v>920033.5994360029</v>
      </c>
      <c r="J1091" s="88">
        <v>3.0685712840659237E-2</v>
      </c>
      <c r="K1091" s="89">
        <f t="shared" si="170"/>
        <v>949991.6300765255</v>
      </c>
      <c r="L1091" s="88">
        <f>IF(K1094&gt;0, K1091/K1094, 0)</f>
        <v>3.1019177051207929E-2</v>
      </c>
      <c r="M1091" s="58"/>
      <c r="N1091" s="9">
        <f>ROUND(M1094*L1091,0)</f>
        <v>769819</v>
      </c>
      <c r="O1091" s="9">
        <v>728470</v>
      </c>
      <c r="P1091" s="9">
        <f>N1091-O1091</f>
        <v>41349</v>
      </c>
      <c r="Q1091" s="40">
        <f t="shared" si="169"/>
        <v>5.6761431493403984</v>
      </c>
      <c r="R1091" s="9">
        <v>39.99999999752</v>
      </c>
      <c r="S1091" s="9">
        <f t="shared" si="167"/>
        <v>39.999999997750002</v>
      </c>
      <c r="T1091" s="90">
        <f t="shared" si="162"/>
        <v>217</v>
      </c>
      <c r="U1091" s="90">
        <f t="shared" si="163"/>
        <v>853</v>
      </c>
      <c r="V1091" s="373">
        <f t="shared" si="164"/>
        <v>1082</v>
      </c>
      <c r="W1091" s="90">
        <f t="shared" si="165"/>
        <v>39.999999997750002</v>
      </c>
      <c r="X1091" s="90">
        <f t="shared" si="166"/>
        <v>949991.6300765255</v>
      </c>
      <c r="Y1091" s="141">
        <f t="shared" si="168"/>
        <v>1082</v>
      </c>
      <c r="Z1091" s="298">
        <v>217</v>
      </c>
      <c r="AA1091" s="299">
        <v>853</v>
      </c>
      <c r="AB1091" s="299">
        <v>1082</v>
      </c>
      <c r="AC1091" s="301">
        <v>39.999999997750002</v>
      </c>
      <c r="AD1091" s="301">
        <v>949991.6300765255</v>
      </c>
      <c r="AE1091" s="126"/>
      <c r="AF1091" s="298"/>
      <c r="AG1091" s="299"/>
      <c r="AH1091" s="299"/>
      <c r="AI1091" s="301"/>
      <c r="AJ1091" s="301"/>
      <c r="AK1091" s="426"/>
      <c r="AL1091" s="298"/>
      <c r="AM1091" s="299"/>
      <c r="AN1091" s="299"/>
      <c r="AO1091" s="301"/>
      <c r="AP1091" s="301"/>
      <c r="AQ1091" s="426"/>
      <c r="AR1091" s="298"/>
      <c r="AS1091" s="299"/>
      <c r="AT1091" s="299"/>
      <c r="AU1091" s="301"/>
      <c r="AV1091" s="301"/>
      <c r="AW1091" s="88"/>
      <c r="AX1091" s="298"/>
      <c r="AY1091" s="299"/>
      <c r="AZ1091" s="299"/>
      <c r="BA1091" s="301"/>
      <c r="BB1091" s="301"/>
      <c r="BC1091" s="426"/>
      <c r="BD1091" s="298"/>
      <c r="BE1091" s="299"/>
      <c r="BF1091" s="299"/>
      <c r="BG1091" s="301"/>
      <c r="BH1091" s="301"/>
      <c r="BI1091" s="88"/>
      <c r="BJ1091" s="298"/>
      <c r="BK1091" s="299"/>
      <c r="BL1091" s="299"/>
      <c r="BM1091" s="301"/>
      <c r="BN1091" s="301"/>
      <c r="BO1091" s="88"/>
      <c r="BP1091" s="9"/>
      <c r="BS1091" s="81"/>
      <c r="BT1091" s="81"/>
      <c r="BV1091" s="9"/>
      <c r="BY1091" s="81"/>
      <c r="BZ1091" s="81"/>
      <c r="CB1091" s="9"/>
      <c r="CE1091" s="81"/>
      <c r="CF1091" s="81"/>
      <c r="CH1091" s="9"/>
      <c r="CK1091" s="81"/>
      <c r="CL1091" s="81"/>
      <c r="CR1091" s="9"/>
      <c r="CS1091" s="9"/>
      <c r="CT1091" s="9"/>
      <c r="CU1091" s="9"/>
      <c r="CV1091" s="9"/>
      <c r="CW1091" s="129"/>
      <c r="CX1091" s="9"/>
    </row>
    <row r="1092" spans="1:102">
      <c r="A1092" s="6" t="str">
        <f t="shared" si="161"/>
        <v>02170998</v>
      </c>
      <c r="B1092" s="6" t="s">
        <v>1867</v>
      </c>
      <c r="C1092" s="6" t="s">
        <v>2091</v>
      </c>
      <c r="D1092" s="6">
        <v>1083</v>
      </c>
      <c r="E1092" s="6">
        <v>217</v>
      </c>
      <c r="F1092" s="6" t="s">
        <v>1547</v>
      </c>
      <c r="G1092" s="6">
        <v>998</v>
      </c>
      <c r="I1092" s="33">
        <v>0</v>
      </c>
      <c r="J1092" s="88">
        <v>0</v>
      </c>
      <c r="K1092" s="89">
        <f t="shared" si="170"/>
        <v>0</v>
      </c>
      <c r="L1092" s="88">
        <f>IF(K1094&gt;0, K1092/K1094, 0)</f>
        <v>0</v>
      </c>
      <c r="M1092" s="58"/>
      <c r="N1092" s="9">
        <f>ROUND(M1094*L1092,0)</f>
        <v>0</v>
      </c>
      <c r="O1092" s="9">
        <v>0</v>
      </c>
      <c r="P1092" s="9">
        <f>N1092-O1092</f>
        <v>0</v>
      </c>
      <c r="Q1092" s="40">
        <f t="shared" si="169"/>
        <v>0</v>
      </c>
      <c r="R1092" s="9">
        <v>0</v>
      </c>
      <c r="S1092" s="9">
        <f t="shared" si="167"/>
        <v>0</v>
      </c>
      <c r="T1092" s="90">
        <f t="shared" si="162"/>
        <v>217</v>
      </c>
      <c r="U1092" s="90">
        <f t="shared" si="163"/>
        <v>998</v>
      </c>
      <c r="V1092" s="373">
        <f t="shared" si="164"/>
        <v>1083</v>
      </c>
      <c r="W1092" s="90">
        <f t="shared" si="165"/>
        <v>0</v>
      </c>
      <c r="X1092" s="90">
        <f t="shared" si="166"/>
        <v>0</v>
      </c>
      <c r="Y1092" s="141">
        <f t="shared" si="168"/>
        <v>1083</v>
      </c>
      <c r="Z1092" s="298">
        <v>217</v>
      </c>
      <c r="AA1092" s="299">
        <v>998</v>
      </c>
      <c r="AB1092" s="299">
        <v>1083</v>
      </c>
      <c r="AC1092" s="301">
        <v>0</v>
      </c>
      <c r="AD1092" s="301">
        <v>0</v>
      </c>
      <c r="AE1092" s="126"/>
      <c r="AF1092" s="298"/>
      <c r="AG1092" s="299"/>
      <c r="AH1092" s="299"/>
      <c r="AI1092" s="301"/>
      <c r="AJ1092" s="301"/>
      <c r="AK1092" s="426"/>
      <c r="AL1092" s="298"/>
      <c r="AM1092" s="299"/>
      <c r="AN1092" s="299"/>
      <c r="AO1092" s="301"/>
      <c r="AP1092" s="301"/>
      <c r="AQ1092" s="426"/>
      <c r="AR1092" s="298"/>
      <c r="AS1092" s="299"/>
      <c r="AT1092" s="299"/>
      <c r="AU1092" s="301"/>
      <c r="AV1092" s="301"/>
      <c r="AW1092" s="88"/>
      <c r="AX1092" s="298"/>
      <c r="AY1092" s="299"/>
      <c r="AZ1092" s="299"/>
      <c r="BA1092" s="301"/>
      <c r="BB1092" s="301"/>
      <c r="BC1092" s="426"/>
      <c r="BD1092" s="298"/>
      <c r="BE1092" s="299"/>
      <c r="BF1092" s="299"/>
      <c r="BG1092" s="301"/>
      <c r="BH1092" s="301"/>
      <c r="BI1092" s="88"/>
      <c r="BJ1092" s="298"/>
      <c r="BK1092" s="299"/>
      <c r="BL1092" s="299"/>
      <c r="BM1092" s="301"/>
      <c r="BN1092" s="301"/>
      <c r="BO1092" s="88"/>
      <c r="BP1092" s="9"/>
      <c r="BS1092" s="81"/>
      <c r="BT1092" s="81"/>
      <c r="BV1092" s="9"/>
      <c r="BY1092" s="81"/>
      <c r="BZ1092" s="81"/>
      <c r="CB1092" s="9"/>
      <c r="CE1092" s="81"/>
      <c r="CF1092" s="81"/>
      <c r="CH1092" s="9"/>
      <c r="CK1092" s="81"/>
      <c r="CL1092" s="81"/>
      <c r="CR1092" s="9"/>
      <c r="CS1092" s="9"/>
      <c r="CT1092" s="9"/>
      <c r="CU1092" s="9"/>
      <c r="CV1092" s="9"/>
      <c r="CW1092" s="129"/>
      <c r="CX1092" s="9"/>
    </row>
    <row r="1093" spans="1:102">
      <c r="A1093" s="6" t="str">
        <f t="shared" si="161"/>
        <v>02170998</v>
      </c>
      <c r="B1093" s="6" t="s">
        <v>1867</v>
      </c>
      <c r="C1093" s="6" t="s">
        <v>2091</v>
      </c>
      <c r="D1093" s="6">
        <v>1084</v>
      </c>
      <c r="E1093" s="6">
        <v>217</v>
      </c>
      <c r="F1093" s="6" t="s">
        <v>1547</v>
      </c>
      <c r="G1093" s="6">
        <v>998</v>
      </c>
      <c r="H1093" s="6" t="s">
        <v>1547</v>
      </c>
      <c r="I1093" s="33">
        <v>0</v>
      </c>
      <c r="J1093" s="88">
        <v>0</v>
      </c>
      <c r="K1093" s="89">
        <f t="shared" si="170"/>
        <v>0</v>
      </c>
      <c r="L1093" s="88">
        <f>IF(K1094&gt;0, K1093/K1094, 0)</f>
        <v>0</v>
      </c>
      <c r="M1093" s="58"/>
      <c r="N1093" s="9">
        <f>ROUND(M1094*L1093,0)</f>
        <v>0</v>
      </c>
      <c r="O1093" s="9">
        <v>0</v>
      </c>
      <c r="P1093" s="9">
        <f>N1093-O1093</f>
        <v>0</v>
      </c>
      <c r="Q1093" s="40">
        <f t="shared" si="169"/>
        <v>0</v>
      </c>
      <c r="R1093" s="9">
        <v>0</v>
      </c>
      <c r="S1093" s="9">
        <f t="shared" si="167"/>
        <v>0</v>
      </c>
      <c r="T1093" s="90">
        <f t="shared" si="162"/>
        <v>217</v>
      </c>
      <c r="U1093" s="90">
        <f t="shared" si="163"/>
        <v>998</v>
      </c>
      <c r="V1093" s="373">
        <f t="shared" si="164"/>
        <v>1084</v>
      </c>
      <c r="W1093" s="90">
        <f t="shared" si="165"/>
        <v>0</v>
      </c>
      <c r="X1093" s="90">
        <f t="shared" si="166"/>
        <v>0</v>
      </c>
      <c r="Y1093" s="141">
        <f t="shared" si="168"/>
        <v>1084</v>
      </c>
      <c r="Z1093" s="298">
        <v>217</v>
      </c>
      <c r="AA1093" s="299">
        <v>998</v>
      </c>
      <c r="AB1093" s="299">
        <v>1084</v>
      </c>
      <c r="AC1093" s="301">
        <v>0</v>
      </c>
      <c r="AD1093" s="301">
        <v>0</v>
      </c>
      <c r="AE1093" s="126"/>
      <c r="AF1093" s="298"/>
      <c r="AG1093" s="299"/>
      <c r="AH1093" s="299"/>
      <c r="AI1093" s="301"/>
      <c r="AJ1093" s="301"/>
      <c r="AK1093" s="426"/>
      <c r="AL1093" s="298"/>
      <c r="AM1093" s="299"/>
      <c r="AN1093" s="299"/>
      <c r="AO1093" s="301"/>
      <c r="AP1093" s="301"/>
      <c r="AQ1093" s="426"/>
      <c r="AR1093" s="298"/>
      <c r="AS1093" s="299"/>
      <c r="AT1093" s="299"/>
      <c r="AU1093" s="301"/>
      <c r="AV1093" s="301"/>
      <c r="AW1093" s="88"/>
      <c r="AX1093" s="298"/>
      <c r="AY1093" s="299"/>
      <c r="AZ1093" s="299"/>
      <c r="BA1093" s="301"/>
      <c r="BB1093" s="301"/>
      <c r="BC1093" s="426"/>
      <c r="BD1093" s="298"/>
      <c r="BE1093" s="299"/>
      <c r="BF1093" s="299"/>
      <c r="BG1093" s="301"/>
      <c r="BH1093" s="301"/>
      <c r="BI1093" s="88"/>
      <c r="BJ1093" s="298"/>
      <c r="BK1093" s="299"/>
      <c r="BL1093" s="299"/>
      <c r="BM1093" s="301"/>
      <c r="BN1093" s="301"/>
      <c r="BO1093" s="88"/>
      <c r="BP1093" s="9"/>
      <c r="BS1093" s="81"/>
      <c r="BT1093" s="81"/>
      <c r="BV1093" s="9"/>
      <c r="BY1093" s="81"/>
      <c r="BZ1093" s="81"/>
      <c r="CB1093" s="9"/>
      <c r="CE1093" s="81"/>
      <c r="CF1093" s="81"/>
      <c r="CH1093" s="9"/>
      <c r="CK1093" s="81"/>
      <c r="CL1093" s="81"/>
      <c r="CR1093" s="9"/>
      <c r="CS1093" s="9"/>
      <c r="CT1093" s="9"/>
      <c r="CU1093" s="9"/>
      <c r="CV1093" s="9"/>
      <c r="CW1093" s="129"/>
      <c r="CX1093" s="9"/>
    </row>
    <row r="1094" spans="1:102">
      <c r="A1094" s="6" t="str">
        <f t="shared" si="161"/>
        <v>02170999</v>
      </c>
      <c r="B1094" s="6" t="s">
        <v>1867</v>
      </c>
      <c r="C1094" s="6" t="s">
        <v>2092</v>
      </c>
      <c r="D1094" s="6">
        <v>1085</v>
      </c>
      <c r="E1094" s="10">
        <v>217</v>
      </c>
      <c r="F1094" s="10" t="s">
        <v>1335</v>
      </c>
      <c r="G1094" s="10">
        <v>999</v>
      </c>
      <c r="H1094" s="10" t="s">
        <v>593</v>
      </c>
      <c r="I1094" s="92">
        <v>29982474.391696006</v>
      </c>
      <c r="J1094" s="472">
        <v>1</v>
      </c>
      <c r="K1094" s="53">
        <f>SUM(K1090:K1093)</f>
        <v>30625945.63705653</v>
      </c>
      <c r="L1094" s="91">
        <f>SUM(L1090:L1093)</f>
        <v>1</v>
      </c>
      <c r="M1094" s="79">
        <f>VLOOKUP(E1094,town351,24)</f>
        <v>24817511</v>
      </c>
      <c r="N1094" s="79">
        <f>SUM(N1090:N1093)</f>
        <v>24817511</v>
      </c>
      <c r="O1094" s="79">
        <v>23739727</v>
      </c>
      <c r="P1094" s="79">
        <f>SUM(P1090:P1093)</f>
        <v>1077784</v>
      </c>
      <c r="Q1094" s="39">
        <f t="shared" si="169"/>
        <v>4.5400016605077216</v>
      </c>
      <c r="R1094" s="9">
        <v>2308.9999999975198</v>
      </c>
      <c r="S1094" s="9">
        <f t="shared" si="167"/>
        <v>2299.9999999977499</v>
      </c>
      <c r="T1094" s="90">
        <f t="shared" si="162"/>
        <v>217</v>
      </c>
      <c r="U1094" s="90">
        <f t="shared" si="163"/>
        <v>999</v>
      </c>
      <c r="V1094" s="373">
        <f t="shared" si="164"/>
        <v>1085</v>
      </c>
      <c r="W1094" s="90">
        <f t="shared" si="165"/>
        <v>2299.9999999977499</v>
      </c>
      <c r="X1094" s="90">
        <f t="shared" si="166"/>
        <v>30625945.63705653</v>
      </c>
      <c r="Y1094" s="141">
        <f t="shared" si="168"/>
        <v>1085</v>
      </c>
      <c r="Z1094" s="298">
        <v>217</v>
      </c>
      <c r="AA1094" s="299">
        <v>999</v>
      </c>
      <c r="AB1094" s="299">
        <v>1085</v>
      </c>
      <c r="AC1094" s="301">
        <v>2299.9999999977499</v>
      </c>
      <c r="AD1094" s="301">
        <v>30625945.63705653</v>
      </c>
      <c r="AE1094" s="126"/>
      <c r="AF1094" s="298"/>
      <c r="AG1094" s="299"/>
      <c r="AH1094" s="299"/>
      <c r="AI1094" s="301"/>
      <c r="AJ1094" s="301"/>
      <c r="AK1094" s="426"/>
      <c r="AL1094" s="298"/>
      <c r="AM1094" s="299"/>
      <c r="AN1094" s="299"/>
      <c r="AO1094" s="301"/>
      <c r="AP1094" s="301"/>
      <c r="AQ1094" s="426"/>
      <c r="AR1094" s="298"/>
      <c r="AS1094" s="299"/>
      <c r="AT1094" s="299"/>
      <c r="AU1094" s="301"/>
      <c r="AV1094" s="301"/>
      <c r="AW1094" s="91"/>
      <c r="AX1094" s="298"/>
      <c r="AY1094" s="299"/>
      <c r="AZ1094" s="299"/>
      <c r="BA1094" s="301"/>
      <c r="BB1094" s="301"/>
      <c r="BC1094" s="426"/>
      <c r="BD1094" s="298"/>
      <c r="BE1094" s="299"/>
      <c r="BF1094" s="299"/>
      <c r="BG1094" s="301"/>
      <c r="BH1094" s="301"/>
      <c r="BI1094" s="91"/>
      <c r="BJ1094" s="298"/>
      <c r="BK1094" s="299"/>
      <c r="BL1094" s="299"/>
      <c r="BM1094" s="301"/>
      <c r="BN1094" s="301"/>
      <c r="BO1094" s="91"/>
      <c r="BP1094" s="9"/>
      <c r="BS1094" s="81"/>
      <c r="BT1094" s="81"/>
      <c r="BV1094" s="9"/>
      <c r="BY1094" s="81"/>
      <c r="BZ1094" s="81"/>
      <c r="CB1094" s="9"/>
      <c r="CE1094" s="81"/>
      <c r="CF1094" s="81"/>
      <c r="CH1094" s="9"/>
      <c r="CK1094" s="81"/>
      <c r="CL1094" s="81"/>
      <c r="CR1094" s="9"/>
      <c r="CS1094" s="9"/>
      <c r="CT1094" s="9"/>
      <c r="CU1094" s="9"/>
      <c r="CV1094" s="9"/>
      <c r="CW1094" s="129"/>
      <c r="CX1094" s="9"/>
    </row>
    <row r="1095" spans="1:102">
      <c r="A1095" s="6" t="str">
        <f t="shared" si="161"/>
        <v>02180218</v>
      </c>
      <c r="B1095" s="6" t="s">
        <v>1868</v>
      </c>
      <c r="C1095" s="6" t="s">
        <v>1868</v>
      </c>
      <c r="D1095" s="6">
        <v>1086</v>
      </c>
      <c r="E1095" s="6">
        <v>218</v>
      </c>
      <c r="F1095" s="6" t="s">
        <v>1336</v>
      </c>
      <c r="G1095" s="6">
        <v>218</v>
      </c>
      <c r="H1095" s="6" t="s">
        <v>899</v>
      </c>
      <c r="I1095" s="33">
        <v>29128867.219999995</v>
      </c>
      <c r="J1095" s="88">
        <v>0.92017536768335351</v>
      </c>
      <c r="K1095" s="89">
        <f>X1095</f>
        <v>29386897.029999994</v>
      </c>
      <c r="L1095" s="88">
        <f>IF(K1099&gt;0, K1095/K1099, 0)</f>
        <v>0.92407486700627206</v>
      </c>
      <c r="M1095" s="58"/>
      <c r="N1095" s="9">
        <f>ROUND(M1099*L1095,0)</f>
        <v>22278223</v>
      </c>
      <c r="O1095" s="9">
        <v>20948264</v>
      </c>
      <c r="P1095" s="9">
        <f>N1095-O1095</f>
        <v>1329959</v>
      </c>
      <c r="Q1095" s="40">
        <f t="shared" si="169"/>
        <v>6.3487790682798346</v>
      </c>
      <c r="R1095" s="9">
        <v>2189</v>
      </c>
      <c r="S1095" s="9">
        <f t="shared" si="167"/>
        <v>2173</v>
      </c>
      <c r="T1095" s="90">
        <f t="shared" si="162"/>
        <v>218</v>
      </c>
      <c r="U1095" s="90">
        <f t="shared" si="163"/>
        <v>218</v>
      </c>
      <c r="V1095" s="373">
        <f t="shared" si="164"/>
        <v>1086</v>
      </c>
      <c r="W1095" s="90">
        <f t="shared" si="165"/>
        <v>2173</v>
      </c>
      <c r="X1095" s="90">
        <f t="shared" si="166"/>
        <v>29386897.029999994</v>
      </c>
      <c r="Y1095" s="141">
        <f t="shared" si="168"/>
        <v>1086</v>
      </c>
      <c r="Z1095" s="298">
        <v>218</v>
      </c>
      <c r="AA1095" s="299">
        <v>218</v>
      </c>
      <c r="AB1095" s="299">
        <v>1086</v>
      </c>
      <c r="AC1095" s="301">
        <v>2173</v>
      </c>
      <c r="AD1095" s="301">
        <v>29386897.029999994</v>
      </c>
      <c r="AE1095" s="126"/>
      <c r="AF1095" s="298"/>
      <c r="AG1095" s="299"/>
      <c r="AH1095" s="299"/>
      <c r="AI1095" s="301"/>
      <c r="AJ1095" s="301"/>
      <c r="AK1095" s="426"/>
      <c r="AL1095" s="298"/>
      <c r="AM1095" s="299"/>
      <c r="AN1095" s="299"/>
      <c r="AO1095" s="301"/>
      <c r="AP1095" s="301"/>
      <c r="AQ1095" s="426"/>
      <c r="AR1095" s="298"/>
      <c r="AS1095" s="299"/>
      <c r="AT1095" s="299"/>
      <c r="AU1095" s="301"/>
      <c r="AV1095" s="301"/>
      <c r="AW1095" s="88"/>
      <c r="AX1095" s="298"/>
      <c r="AY1095" s="299"/>
      <c r="AZ1095" s="299"/>
      <c r="BA1095" s="301"/>
      <c r="BB1095" s="301"/>
      <c r="BC1095" s="426"/>
      <c r="BD1095" s="298"/>
      <c r="BE1095" s="299"/>
      <c r="BF1095" s="299"/>
      <c r="BG1095" s="301"/>
      <c r="BH1095" s="301"/>
      <c r="BI1095" s="88"/>
      <c r="BJ1095" s="298"/>
      <c r="BK1095" s="299"/>
      <c r="BL1095" s="299"/>
      <c r="BM1095" s="301"/>
      <c r="BN1095" s="301"/>
      <c r="BO1095" s="88"/>
      <c r="BP1095" s="9"/>
      <c r="BS1095" s="81"/>
      <c r="BT1095" s="81"/>
      <c r="BV1095" s="9"/>
      <c r="BY1095" s="81"/>
      <c r="BZ1095" s="81"/>
      <c r="CB1095" s="9"/>
      <c r="CE1095" s="81"/>
      <c r="CF1095" s="81"/>
      <c r="CH1095" s="9"/>
      <c r="CK1095" s="81"/>
      <c r="CL1095" s="81"/>
      <c r="CR1095" s="9"/>
      <c r="CS1095" s="9"/>
      <c r="CT1095" s="9"/>
      <c r="CU1095" s="9"/>
      <c r="CV1095" s="9"/>
      <c r="CW1095" s="129"/>
      <c r="CX1095" s="9"/>
    </row>
    <row r="1096" spans="1:102">
      <c r="A1096" s="6" t="str">
        <f t="shared" si="161"/>
        <v>02180872</v>
      </c>
      <c r="B1096" s="6" t="s">
        <v>1868</v>
      </c>
      <c r="C1096" s="6" t="s">
        <v>2082</v>
      </c>
      <c r="D1096" s="6">
        <v>1087</v>
      </c>
      <c r="E1096" s="6">
        <v>218</v>
      </c>
      <c r="F1096" s="6" t="s">
        <v>1336</v>
      </c>
      <c r="G1096" s="6">
        <v>872</v>
      </c>
      <c r="H1096" s="6" t="s">
        <v>1112</v>
      </c>
      <c r="I1096" s="33">
        <v>2262199.3981051086</v>
      </c>
      <c r="J1096" s="88">
        <v>7.1462448134446535E-2</v>
      </c>
      <c r="K1096" s="89">
        <f t="shared" si="170"/>
        <v>2101813.7347341846</v>
      </c>
      <c r="L1096" s="88">
        <f>IF(K1099&gt;0, K1096/K1099, 0)</f>
        <v>6.6091811102536396E-2</v>
      </c>
      <c r="M1096" s="58"/>
      <c r="N1096" s="9">
        <f>ROUND(M1099*L1096,0)</f>
        <v>1593386</v>
      </c>
      <c r="O1096" s="9">
        <v>1626879</v>
      </c>
      <c r="P1096" s="9">
        <f>N1096-O1096</f>
        <v>-33493</v>
      </c>
      <c r="Q1096" s="40">
        <f t="shared" si="169"/>
        <v>-2.0587271702443757</v>
      </c>
      <c r="R1096" s="9">
        <v>106.45521472944999</v>
      </c>
      <c r="S1096" s="9">
        <f t="shared" si="167"/>
        <v>96.172043009250004</v>
      </c>
      <c r="T1096" s="90">
        <f t="shared" si="162"/>
        <v>218</v>
      </c>
      <c r="U1096" s="90">
        <f t="shared" si="163"/>
        <v>872</v>
      </c>
      <c r="V1096" s="373">
        <f t="shared" si="164"/>
        <v>1087</v>
      </c>
      <c r="W1096" s="90">
        <f t="shared" si="165"/>
        <v>96.172043009250004</v>
      </c>
      <c r="X1096" s="90">
        <f t="shared" si="166"/>
        <v>2101813.7347341846</v>
      </c>
      <c r="Y1096" s="141">
        <f t="shared" si="168"/>
        <v>1087</v>
      </c>
      <c r="Z1096" s="298">
        <v>218</v>
      </c>
      <c r="AA1096" s="299">
        <v>872</v>
      </c>
      <c r="AB1096" s="299">
        <v>1087</v>
      </c>
      <c r="AC1096" s="301">
        <v>96.172043009250004</v>
      </c>
      <c r="AD1096" s="301">
        <v>2101813.7347341846</v>
      </c>
      <c r="AE1096" s="126"/>
      <c r="AF1096" s="298"/>
      <c r="AG1096" s="299"/>
      <c r="AH1096" s="299"/>
      <c r="AI1096" s="301"/>
      <c r="AJ1096" s="301"/>
      <c r="AK1096" s="426"/>
      <c r="AL1096" s="298"/>
      <c r="AM1096" s="299"/>
      <c r="AN1096" s="299"/>
      <c r="AO1096" s="301"/>
      <c r="AP1096" s="301"/>
      <c r="AQ1096" s="426"/>
      <c r="AR1096" s="298"/>
      <c r="AS1096" s="299"/>
      <c r="AT1096" s="299"/>
      <c r="AU1096" s="301"/>
      <c r="AV1096" s="301"/>
      <c r="AW1096" s="88"/>
      <c r="AX1096" s="298"/>
      <c r="AY1096" s="299"/>
      <c r="AZ1096" s="299"/>
      <c r="BA1096" s="301"/>
      <c r="BB1096" s="301"/>
      <c r="BC1096" s="426"/>
      <c r="BD1096" s="298"/>
      <c r="BE1096" s="299"/>
      <c r="BF1096" s="299"/>
      <c r="BG1096" s="301"/>
      <c r="BH1096" s="301"/>
      <c r="BI1096" s="88"/>
      <c r="BJ1096" s="298"/>
      <c r="BK1096" s="299"/>
      <c r="BL1096" s="299"/>
      <c r="BM1096" s="301"/>
      <c r="BN1096" s="301"/>
      <c r="BO1096" s="88"/>
      <c r="BP1096" s="9"/>
      <c r="BS1096" s="81"/>
      <c r="BT1096" s="81"/>
      <c r="BV1096" s="9"/>
      <c r="BY1096" s="81"/>
      <c r="BZ1096" s="81"/>
      <c r="CB1096" s="9"/>
      <c r="CE1096" s="81"/>
      <c r="CF1096" s="81"/>
      <c r="CH1096" s="9"/>
      <c r="CK1096" s="81"/>
      <c r="CL1096" s="81"/>
      <c r="CR1096" s="9"/>
      <c r="CS1096" s="9"/>
      <c r="CT1096" s="9"/>
      <c r="CU1096" s="9"/>
      <c r="CV1096" s="9"/>
      <c r="CW1096" s="129"/>
      <c r="CX1096" s="9"/>
    </row>
    <row r="1097" spans="1:102">
      <c r="A1097" s="6" t="str">
        <f t="shared" si="161"/>
        <v>02180910</v>
      </c>
      <c r="B1097" s="6" t="s">
        <v>1868</v>
      </c>
      <c r="C1097" s="6" t="s">
        <v>2088</v>
      </c>
      <c r="D1097" s="6">
        <v>1088</v>
      </c>
      <c r="E1097" s="6">
        <v>218</v>
      </c>
      <c r="F1097" s="6" t="s">
        <v>1336</v>
      </c>
      <c r="G1097" s="6">
        <v>910</v>
      </c>
      <c r="H1097" s="6" t="s">
        <v>1118</v>
      </c>
      <c r="I1097" s="33">
        <v>264711.44660797651</v>
      </c>
      <c r="J1097" s="88">
        <v>8.3621841821999703E-3</v>
      </c>
      <c r="K1097" s="89">
        <f t="shared" si="170"/>
        <v>312713.64279765502</v>
      </c>
      <c r="L1097" s="88">
        <f>IF(K1099&gt;0, K1097/K1099, 0)</f>
        <v>9.8333218911915172E-3</v>
      </c>
      <c r="M1097" s="58"/>
      <c r="N1097" s="9">
        <f>ROUND(M1099*L1097,0)</f>
        <v>237068</v>
      </c>
      <c r="O1097" s="9">
        <v>190369</v>
      </c>
      <c r="P1097" s="9">
        <f>N1097-O1097</f>
        <v>46699</v>
      </c>
      <c r="Q1097" s="40">
        <f t="shared" si="169"/>
        <v>24.530779696274077</v>
      </c>
      <c r="R1097" s="9">
        <v>12.999999997790001</v>
      </c>
      <c r="S1097" s="9">
        <f t="shared" si="167"/>
        <v>15.000000001839998</v>
      </c>
      <c r="T1097" s="90">
        <f t="shared" si="162"/>
        <v>218</v>
      </c>
      <c r="U1097" s="90">
        <f t="shared" si="163"/>
        <v>910</v>
      </c>
      <c r="V1097" s="373">
        <f t="shared" si="164"/>
        <v>1088</v>
      </c>
      <c r="W1097" s="90">
        <f t="shared" si="165"/>
        <v>15.000000001839998</v>
      </c>
      <c r="X1097" s="90">
        <f t="shared" si="166"/>
        <v>312713.64279765502</v>
      </c>
      <c r="Y1097" s="141">
        <f t="shared" si="168"/>
        <v>1088</v>
      </c>
      <c r="Z1097" s="298">
        <v>218</v>
      </c>
      <c r="AA1097" s="299">
        <v>910</v>
      </c>
      <c r="AB1097" s="299">
        <v>1088</v>
      </c>
      <c r="AC1097" s="301">
        <v>15.000000001839998</v>
      </c>
      <c r="AD1097" s="301">
        <v>312713.64279765502</v>
      </c>
      <c r="AE1097" s="126"/>
      <c r="AF1097" s="298"/>
      <c r="AG1097" s="299"/>
      <c r="AH1097" s="299"/>
      <c r="AI1097" s="301"/>
      <c r="AJ1097" s="301"/>
      <c r="AK1097" s="426"/>
      <c r="AL1097" s="298"/>
      <c r="AM1097" s="299"/>
      <c r="AN1097" s="299"/>
      <c r="AO1097" s="301"/>
      <c r="AP1097" s="301"/>
      <c r="AQ1097" s="426"/>
      <c r="AR1097" s="298"/>
      <c r="AS1097" s="299"/>
      <c r="AT1097" s="299"/>
      <c r="AU1097" s="301"/>
      <c r="AV1097" s="301"/>
      <c r="AW1097" s="88"/>
      <c r="AX1097" s="298"/>
      <c r="AY1097" s="299"/>
      <c r="AZ1097" s="299"/>
      <c r="BA1097" s="301"/>
      <c r="BB1097" s="301"/>
      <c r="BC1097" s="426"/>
      <c r="BD1097" s="298"/>
      <c r="BE1097" s="299"/>
      <c r="BF1097" s="299"/>
      <c r="BG1097" s="301"/>
      <c r="BH1097" s="301"/>
      <c r="BI1097" s="88"/>
      <c r="BJ1097" s="298"/>
      <c r="BK1097" s="299"/>
      <c r="BL1097" s="299"/>
      <c r="BM1097" s="301"/>
      <c r="BN1097" s="301"/>
      <c r="BO1097" s="88"/>
      <c r="BP1097" s="9"/>
      <c r="BS1097" s="81"/>
      <c r="BT1097" s="81"/>
      <c r="BV1097" s="9"/>
      <c r="BY1097" s="81"/>
      <c r="BZ1097" s="81"/>
      <c r="CB1097" s="9"/>
      <c r="CE1097" s="81"/>
      <c r="CF1097" s="81"/>
      <c r="CH1097" s="9"/>
      <c r="CK1097" s="81"/>
      <c r="CL1097" s="81"/>
      <c r="CR1097" s="9"/>
      <c r="CS1097" s="9"/>
      <c r="CT1097" s="9"/>
      <c r="CU1097" s="9"/>
      <c r="CV1097" s="9"/>
      <c r="CW1097" s="129"/>
      <c r="CX1097" s="9"/>
    </row>
    <row r="1098" spans="1:102">
      <c r="A1098" s="6" t="str">
        <f t="shared" ref="A1098:A1161" si="171">B1098&amp;C1098</f>
        <v>02180998</v>
      </c>
      <c r="B1098" s="6" t="s">
        <v>1868</v>
      </c>
      <c r="C1098" s="6" t="s">
        <v>2091</v>
      </c>
      <c r="D1098" s="6">
        <v>1089</v>
      </c>
      <c r="E1098" s="6">
        <v>218</v>
      </c>
      <c r="F1098" s="6" t="s">
        <v>1547</v>
      </c>
      <c r="G1098" s="6">
        <v>998</v>
      </c>
      <c r="H1098" s="6" t="s">
        <v>1547</v>
      </c>
      <c r="I1098" s="33">
        <v>0</v>
      </c>
      <c r="J1098" s="88">
        <v>0</v>
      </c>
      <c r="K1098" s="89">
        <f t="shared" si="170"/>
        <v>0</v>
      </c>
      <c r="L1098" s="88">
        <f>IF(K1099&gt;0, K1098/K1099, 0)</f>
        <v>0</v>
      </c>
      <c r="M1098" s="58"/>
      <c r="N1098" s="9">
        <f>ROUND(M1099*L1098,0)</f>
        <v>0</v>
      </c>
      <c r="O1098" s="9">
        <v>0</v>
      </c>
      <c r="P1098" s="9">
        <f>N1098-O1098</f>
        <v>0</v>
      </c>
      <c r="Q1098" s="40">
        <f t="shared" si="169"/>
        <v>0</v>
      </c>
      <c r="R1098" s="9">
        <v>0</v>
      </c>
      <c r="S1098" s="9">
        <f t="shared" si="167"/>
        <v>0</v>
      </c>
      <c r="T1098" s="90">
        <f t="shared" ref="T1098:T1161" si="172">VLOOKUP($D1098, foundoptions, VLOOKUP($T$6, foundoptcell, 2, FALSE), FALSE)</f>
        <v>218</v>
      </c>
      <c r="U1098" s="90">
        <f t="shared" ref="U1098:U1161" si="173">VLOOKUP($D1098, foundoptions, VLOOKUP($T$6, foundoptcell, 2, FALSE)+1, FALSE)</f>
        <v>998</v>
      </c>
      <c r="V1098" s="373">
        <f t="shared" ref="V1098:V1161" si="174">VLOOKUP($D1098, foundoptions, VLOOKUP($T$6, foundoptcell, 2, FALSE)+2, FALSE)</f>
        <v>1089</v>
      </c>
      <c r="W1098" s="90">
        <f t="shared" ref="W1098:W1161" si="175">VLOOKUP($D1098, foundoptions, VLOOKUP($T$6, foundoptcell, 2, FALSE)+3, FALSE)</f>
        <v>0</v>
      </c>
      <c r="X1098" s="90">
        <f t="shared" ref="X1098:X1161" si="176">VLOOKUP($D1098, foundoptions, VLOOKUP($T$6, foundoptcell, 2, FALSE)+4, FALSE)</f>
        <v>0</v>
      </c>
      <c r="Y1098" s="141">
        <f t="shared" si="168"/>
        <v>1089</v>
      </c>
      <c r="Z1098" s="298">
        <v>218</v>
      </c>
      <c r="AA1098" s="299">
        <v>998</v>
      </c>
      <c r="AB1098" s="299">
        <v>1089</v>
      </c>
      <c r="AC1098" s="301">
        <v>0</v>
      </c>
      <c r="AD1098" s="301">
        <v>0</v>
      </c>
      <c r="AE1098" s="126"/>
      <c r="AF1098" s="298"/>
      <c r="AG1098" s="299"/>
      <c r="AH1098" s="299"/>
      <c r="AI1098" s="301"/>
      <c r="AJ1098" s="301"/>
      <c r="AK1098" s="426"/>
      <c r="AL1098" s="298"/>
      <c r="AM1098" s="299"/>
      <c r="AN1098" s="299"/>
      <c r="AO1098" s="301"/>
      <c r="AP1098" s="301"/>
      <c r="AQ1098" s="426"/>
      <c r="AR1098" s="298"/>
      <c r="AS1098" s="299"/>
      <c r="AT1098" s="299"/>
      <c r="AU1098" s="301"/>
      <c r="AV1098" s="301"/>
      <c r="AW1098" s="88"/>
      <c r="AX1098" s="298"/>
      <c r="AY1098" s="299"/>
      <c r="AZ1098" s="299"/>
      <c r="BA1098" s="301"/>
      <c r="BB1098" s="301"/>
      <c r="BC1098" s="426"/>
      <c r="BD1098" s="298"/>
      <c r="BE1098" s="299"/>
      <c r="BF1098" s="299"/>
      <c r="BG1098" s="301"/>
      <c r="BH1098" s="301"/>
      <c r="BI1098" s="88"/>
      <c r="BJ1098" s="298"/>
      <c r="BK1098" s="299"/>
      <c r="BL1098" s="299"/>
      <c r="BM1098" s="301"/>
      <c r="BN1098" s="301"/>
      <c r="BO1098" s="88"/>
      <c r="BP1098" s="9"/>
      <c r="BS1098" s="81"/>
      <c r="BT1098" s="81"/>
      <c r="BV1098" s="9"/>
      <c r="BY1098" s="81"/>
      <c r="BZ1098" s="81"/>
      <c r="CB1098" s="9"/>
      <c r="CE1098" s="81"/>
      <c r="CF1098" s="81"/>
      <c r="CH1098" s="9"/>
      <c r="CK1098" s="81"/>
      <c r="CL1098" s="81"/>
      <c r="CR1098" s="9"/>
      <c r="CS1098" s="9"/>
      <c r="CT1098" s="9"/>
      <c r="CU1098" s="9"/>
      <c r="CV1098" s="9"/>
      <c r="CW1098" s="129"/>
      <c r="CX1098" s="9"/>
    </row>
    <row r="1099" spans="1:102">
      <c r="A1099" s="6" t="str">
        <f t="shared" si="171"/>
        <v>02180999</v>
      </c>
      <c r="B1099" s="6" t="s">
        <v>1868</v>
      </c>
      <c r="C1099" s="6" t="s">
        <v>2092</v>
      </c>
      <c r="D1099" s="6">
        <v>1090</v>
      </c>
      <c r="E1099" s="10">
        <v>218</v>
      </c>
      <c r="F1099" s="10" t="s">
        <v>1336</v>
      </c>
      <c r="G1099" s="10">
        <v>999</v>
      </c>
      <c r="H1099" s="10" t="s">
        <v>593</v>
      </c>
      <c r="I1099" s="92">
        <v>31655778.064713079</v>
      </c>
      <c r="J1099" s="472">
        <v>1</v>
      </c>
      <c r="K1099" s="53">
        <f>SUM(K1095:K1098)</f>
        <v>31801424.407531835</v>
      </c>
      <c r="L1099" s="91">
        <f>SUM(L1095:L1098)</f>
        <v>1</v>
      </c>
      <c r="M1099" s="79">
        <f>VLOOKUP(E1099,town351,24)</f>
        <v>24108678</v>
      </c>
      <c r="N1099" s="79">
        <f>SUM(N1095:N1098)</f>
        <v>24108677</v>
      </c>
      <c r="O1099" s="79">
        <v>22765512</v>
      </c>
      <c r="P1099" s="79">
        <f>SUM(P1095:P1098)</f>
        <v>1343165</v>
      </c>
      <c r="Q1099" s="39">
        <f t="shared" si="169"/>
        <v>5.8999990863372629</v>
      </c>
      <c r="R1099" s="9">
        <v>2308.4552147272398</v>
      </c>
      <c r="S1099" s="9">
        <f t="shared" ref="S1099:S1162" si="177">W1099</f>
        <v>2284.17204301109</v>
      </c>
      <c r="T1099" s="90">
        <f t="shared" si="172"/>
        <v>218</v>
      </c>
      <c r="U1099" s="90">
        <f t="shared" si="173"/>
        <v>999</v>
      </c>
      <c r="V1099" s="373">
        <f t="shared" si="174"/>
        <v>1090</v>
      </c>
      <c r="W1099" s="90">
        <f t="shared" si="175"/>
        <v>2284.17204301109</v>
      </c>
      <c r="X1099" s="90">
        <f t="shared" si="176"/>
        <v>31801424.407531835</v>
      </c>
      <c r="Y1099" s="141">
        <f t="shared" ref="Y1099:Y1162" si="178">D1099</f>
        <v>1090</v>
      </c>
      <c r="Z1099" s="298">
        <v>218</v>
      </c>
      <c r="AA1099" s="299">
        <v>999</v>
      </c>
      <c r="AB1099" s="299">
        <v>1090</v>
      </c>
      <c r="AC1099" s="301">
        <v>2284.17204301109</v>
      </c>
      <c r="AD1099" s="301">
        <v>31801424.407531835</v>
      </c>
      <c r="AE1099" s="126"/>
      <c r="AF1099" s="298"/>
      <c r="AG1099" s="299"/>
      <c r="AH1099" s="299"/>
      <c r="AI1099" s="301"/>
      <c r="AJ1099" s="301"/>
      <c r="AK1099" s="426"/>
      <c r="AL1099" s="298"/>
      <c r="AM1099" s="299"/>
      <c r="AN1099" s="299"/>
      <c r="AO1099" s="301"/>
      <c r="AP1099" s="301"/>
      <c r="AQ1099" s="426"/>
      <c r="AR1099" s="298"/>
      <c r="AS1099" s="299"/>
      <c r="AT1099" s="299"/>
      <c r="AU1099" s="301"/>
      <c r="AV1099" s="301"/>
      <c r="AW1099" s="91"/>
      <c r="AX1099" s="298"/>
      <c r="AY1099" s="299"/>
      <c r="AZ1099" s="299"/>
      <c r="BA1099" s="301"/>
      <c r="BB1099" s="301"/>
      <c r="BC1099" s="426"/>
      <c r="BD1099" s="298"/>
      <c r="BE1099" s="299"/>
      <c r="BF1099" s="299"/>
      <c r="BG1099" s="301"/>
      <c r="BH1099" s="301"/>
      <c r="BI1099" s="91"/>
      <c r="BJ1099" s="298"/>
      <c r="BK1099" s="299"/>
      <c r="BL1099" s="299"/>
      <c r="BM1099" s="301"/>
      <c r="BN1099" s="301"/>
      <c r="BO1099" s="91"/>
      <c r="BP1099" s="9"/>
      <c r="BS1099" s="81"/>
      <c r="BT1099" s="81"/>
      <c r="BV1099" s="9"/>
      <c r="BY1099" s="81"/>
      <c r="BZ1099" s="81"/>
      <c r="CB1099" s="9"/>
      <c r="CE1099" s="81"/>
      <c r="CF1099" s="81"/>
      <c r="CH1099" s="9"/>
      <c r="CK1099" s="81"/>
      <c r="CL1099" s="81"/>
      <c r="CR1099" s="9"/>
      <c r="CS1099" s="9"/>
      <c r="CT1099" s="9"/>
      <c r="CU1099" s="9"/>
      <c r="CV1099" s="9"/>
      <c r="CW1099" s="129"/>
      <c r="CX1099" s="9"/>
    </row>
    <row r="1100" spans="1:102">
      <c r="A1100" s="6" t="str">
        <f t="shared" si="171"/>
        <v>02190219</v>
      </c>
      <c r="B1100" s="6" t="s">
        <v>1869</v>
      </c>
      <c r="C1100" s="6" t="s">
        <v>1869</v>
      </c>
      <c r="D1100" s="6">
        <v>1091</v>
      </c>
      <c r="E1100" s="6">
        <v>219</v>
      </c>
      <c r="F1100" s="6" t="s">
        <v>1337</v>
      </c>
      <c r="G1100" s="6">
        <v>219</v>
      </c>
      <c r="H1100" s="6" t="s">
        <v>900</v>
      </c>
      <c r="I1100" s="33">
        <v>25956168.805050001</v>
      </c>
      <c r="J1100" s="88">
        <v>0.97957349833212759</v>
      </c>
      <c r="K1100" s="89">
        <f>X1100</f>
        <v>26697645.459049996</v>
      </c>
      <c r="L1100" s="88">
        <f>IF(K1104&gt;0, K1100/K1104, 0)</f>
        <v>0.98309373768165564</v>
      </c>
      <c r="M1100" s="58"/>
      <c r="N1100" s="9">
        <f>ROUND(M1104*L1100,0)</f>
        <v>22025558</v>
      </c>
      <c r="O1100" s="9">
        <v>20944041</v>
      </c>
      <c r="P1100" s="9">
        <f>N1100-O1100</f>
        <v>1081517</v>
      </c>
      <c r="Q1100" s="40">
        <f t="shared" si="169"/>
        <v>5.1638411135654287</v>
      </c>
      <c r="R1100" s="9">
        <v>2100</v>
      </c>
      <c r="S1100" s="9">
        <f t="shared" si="177"/>
        <v>2115</v>
      </c>
      <c r="T1100" s="90">
        <f t="shared" si="172"/>
        <v>219</v>
      </c>
      <c r="U1100" s="90">
        <f t="shared" si="173"/>
        <v>219</v>
      </c>
      <c r="V1100" s="373">
        <f t="shared" si="174"/>
        <v>1091</v>
      </c>
      <c r="W1100" s="90">
        <f t="shared" si="175"/>
        <v>2115</v>
      </c>
      <c r="X1100" s="90">
        <f t="shared" si="176"/>
        <v>26697645.459049996</v>
      </c>
      <c r="Y1100" s="141">
        <f t="shared" si="178"/>
        <v>1091</v>
      </c>
      <c r="Z1100" s="298">
        <v>219</v>
      </c>
      <c r="AA1100" s="299">
        <v>219</v>
      </c>
      <c r="AB1100" s="299">
        <v>1091</v>
      </c>
      <c r="AC1100" s="301">
        <v>2115</v>
      </c>
      <c r="AD1100" s="301">
        <v>26697645.459049996</v>
      </c>
      <c r="AE1100" s="126"/>
      <c r="AF1100" s="298"/>
      <c r="AG1100" s="299"/>
      <c r="AH1100" s="299"/>
      <c r="AI1100" s="301"/>
      <c r="AJ1100" s="301"/>
      <c r="AK1100" s="426"/>
      <c r="AL1100" s="298"/>
      <c r="AM1100" s="299"/>
      <c r="AN1100" s="299"/>
      <c r="AO1100" s="301"/>
      <c r="AP1100" s="301"/>
      <c r="AQ1100" s="426"/>
      <c r="AR1100" s="298"/>
      <c r="AS1100" s="299"/>
      <c r="AT1100" s="299"/>
      <c r="AU1100" s="301"/>
      <c r="AV1100" s="301"/>
      <c r="AW1100" s="88"/>
      <c r="AX1100" s="298"/>
      <c r="AY1100" s="299"/>
      <c r="AZ1100" s="299"/>
      <c r="BA1100" s="301"/>
      <c r="BB1100" s="301"/>
      <c r="BC1100" s="426"/>
      <c r="BD1100" s="298"/>
      <c r="BE1100" s="299"/>
      <c r="BF1100" s="299"/>
      <c r="BG1100" s="301"/>
      <c r="BH1100" s="301"/>
      <c r="BI1100" s="88"/>
      <c r="BJ1100" s="298"/>
      <c r="BK1100" s="299"/>
      <c r="BL1100" s="299"/>
      <c r="BM1100" s="301"/>
      <c r="BN1100" s="301"/>
      <c r="BO1100" s="88"/>
      <c r="BP1100" s="9"/>
      <c r="BS1100" s="81"/>
      <c r="BT1100" s="81"/>
      <c r="BV1100" s="9"/>
      <c r="BY1100" s="81"/>
      <c r="BZ1100" s="81"/>
      <c r="CB1100" s="9"/>
      <c r="CE1100" s="81"/>
      <c r="CF1100" s="81"/>
      <c r="CH1100" s="9"/>
      <c r="CK1100" s="81"/>
      <c r="CL1100" s="81"/>
      <c r="CR1100" s="9"/>
      <c r="CS1100" s="9"/>
      <c r="CT1100" s="9"/>
      <c r="CU1100" s="9"/>
      <c r="CV1100" s="9"/>
      <c r="CW1100" s="129"/>
      <c r="CX1100" s="9"/>
    </row>
    <row r="1101" spans="1:102">
      <c r="A1101" s="6" t="str">
        <f t="shared" si="171"/>
        <v>02190873</v>
      </c>
      <c r="B1101" s="6" t="s">
        <v>1869</v>
      </c>
      <c r="C1101" s="6" t="s">
        <v>2083</v>
      </c>
      <c r="D1101" s="6">
        <v>1092</v>
      </c>
      <c r="E1101" s="6">
        <v>219</v>
      </c>
      <c r="F1101" s="6" t="s">
        <v>1337</v>
      </c>
      <c r="G1101" s="6">
        <v>873</v>
      </c>
      <c r="H1101" s="6" t="s">
        <v>1113</v>
      </c>
      <c r="I1101" s="33">
        <v>541249.56043692899</v>
      </c>
      <c r="J1101" s="88">
        <v>2.0426501667872302E-2</v>
      </c>
      <c r="K1101" s="89">
        <f t="shared" si="170"/>
        <v>459119.39026003063</v>
      </c>
      <c r="L1101" s="88">
        <f>IF(K1104&gt;0, K1101/K1104, 0)</f>
        <v>1.6906262318344429E-2</v>
      </c>
      <c r="M1101" s="58"/>
      <c r="N1101" s="9">
        <f>ROUND(M1104*L1101,0)</f>
        <v>378773</v>
      </c>
      <c r="O1101" s="9">
        <v>436734</v>
      </c>
      <c r="P1101" s="9">
        <f>N1101-O1101</f>
        <v>-57961</v>
      </c>
      <c r="Q1101" s="40">
        <f t="shared" si="169"/>
        <v>-13.271465010738803</v>
      </c>
      <c r="R1101" s="9">
        <v>25.9999999994</v>
      </c>
      <c r="S1101" s="9">
        <f t="shared" si="177"/>
        <v>21.999999999510003</v>
      </c>
      <c r="T1101" s="90">
        <f t="shared" si="172"/>
        <v>219</v>
      </c>
      <c r="U1101" s="90">
        <f t="shared" si="173"/>
        <v>873</v>
      </c>
      <c r="V1101" s="373">
        <f t="shared" si="174"/>
        <v>1092</v>
      </c>
      <c r="W1101" s="90">
        <f t="shared" si="175"/>
        <v>21.999999999510003</v>
      </c>
      <c r="X1101" s="90">
        <f t="shared" si="176"/>
        <v>459119.39026003063</v>
      </c>
      <c r="Y1101" s="141">
        <f t="shared" si="178"/>
        <v>1092</v>
      </c>
      <c r="Z1101" s="298">
        <v>219</v>
      </c>
      <c r="AA1101" s="299">
        <v>873</v>
      </c>
      <c r="AB1101" s="299">
        <v>1092</v>
      </c>
      <c r="AC1101" s="301">
        <v>21.999999999510003</v>
      </c>
      <c r="AD1101" s="301">
        <v>459119.39026003063</v>
      </c>
      <c r="AE1101" s="126"/>
      <c r="AF1101" s="298"/>
      <c r="AG1101" s="299"/>
      <c r="AH1101" s="299"/>
      <c r="AI1101" s="301"/>
      <c r="AJ1101" s="301"/>
      <c r="AK1101" s="426"/>
      <c r="AL1101" s="298"/>
      <c r="AM1101" s="299"/>
      <c r="AN1101" s="299"/>
      <c r="AO1101" s="301"/>
      <c r="AP1101" s="301"/>
      <c r="AQ1101" s="426"/>
      <c r="AR1101" s="298"/>
      <c r="AS1101" s="299"/>
      <c r="AT1101" s="299"/>
      <c r="AU1101" s="301"/>
      <c r="AV1101" s="301"/>
      <c r="AW1101" s="88"/>
      <c r="AX1101" s="298"/>
      <c r="AY1101" s="299"/>
      <c r="AZ1101" s="299"/>
      <c r="BA1101" s="301"/>
      <c r="BB1101" s="301"/>
      <c r="BC1101" s="426"/>
      <c r="BD1101" s="298"/>
      <c r="BE1101" s="299"/>
      <c r="BF1101" s="299"/>
      <c r="BG1101" s="301"/>
      <c r="BH1101" s="301"/>
      <c r="BI1101" s="88"/>
      <c r="BJ1101" s="298"/>
      <c r="BK1101" s="299"/>
      <c r="BL1101" s="299"/>
      <c r="BM1101" s="301"/>
      <c r="BN1101" s="301"/>
      <c r="BO1101" s="88"/>
      <c r="BP1101" s="9"/>
      <c r="BS1101" s="81"/>
      <c r="BT1101" s="81"/>
      <c r="BV1101" s="9"/>
      <c r="BY1101" s="81"/>
      <c r="BZ1101" s="81"/>
      <c r="CB1101" s="9"/>
      <c r="CE1101" s="81"/>
      <c r="CF1101" s="81"/>
      <c r="CH1101" s="9"/>
      <c r="CK1101" s="81"/>
      <c r="CL1101" s="81"/>
      <c r="CR1101" s="9"/>
      <c r="CS1101" s="9"/>
      <c r="CT1101" s="9"/>
      <c r="CU1101" s="9"/>
      <c r="CV1101" s="9"/>
      <c r="CW1101" s="129"/>
      <c r="CX1101" s="9"/>
    </row>
    <row r="1102" spans="1:102">
      <c r="A1102" s="6" t="str">
        <f t="shared" si="171"/>
        <v>02190998</v>
      </c>
      <c r="B1102" s="6" t="s">
        <v>1869</v>
      </c>
      <c r="C1102" s="6" t="s">
        <v>2091</v>
      </c>
      <c r="D1102" s="6">
        <v>1093</v>
      </c>
      <c r="E1102" s="6">
        <v>219</v>
      </c>
      <c r="F1102" s="6" t="s">
        <v>1547</v>
      </c>
      <c r="G1102" s="6">
        <v>998</v>
      </c>
      <c r="H1102" s="6" t="s">
        <v>1547</v>
      </c>
      <c r="I1102" s="33">
        <v>0</v>
      </c>
      <c r="J1102" s="88">
        <v>0</v>
      </c>
      <c r="K1102" s="89">
        <f t="shared" si="170"/>
        <v>0</v>
      </c>
      <c r="L1102" s="88">
        <f>IF(K1104&gt;0, K1102/K1104, 0)</f>
        <v>0</v>
      </c>
      <c r="M1102" s="58"/>
      <c r="N1102" s="9">
        <f>ROUND(M1104*L1102,0)</f>
        <v>0</v>
      </c>
      <c r="O1102" s="9">
        <v>0</v>
      </c>
      <c r="P1102" s="9">
        <f>N1102-O1102</f>
        <v>0</v>
      </c>
      <c r="Q1102" s="40">
        <f t="shared" si="169"/>
        <v>0</v>
      </c>
      <c r="R1102" s="9">
        <v>0</v>
      </c>
      <c r="S1102" s="9">
        <f t="shared" si="177"/>
        <v>0</v>
      </c>
      <c r="T1102" s="90">
        <f t="shared" si="172"/>
        <v>219</v>
      </c>
      <c r="U1102" s="90">
        <f t="shared" si="173"/>
        <v>998</v>
      </c>
      <c r="V1102" s="373">
        <f t="shared" si="174"/>
        <v>1093</v>
      </c>
      <c r="W1102" s="90">
        <f t="shared" si="175"/>
        <v>0</v>
      </c>
      <c r="X1102" s="90">
        <f t="shared" si="176"/>
        <v>0</v>
      </c>
      <c r="Y1102" s="141">
        <f t="shared" si="178"/>
        <v>1093</v>
      </c>
      <c r="Z1102" s="298">
        <v>219</v>
      </c>
      <c r="AA1102" s="299">
        <v>998</v>
      </c>
      <c r="AB1102" s="299">
        <v>1093</v>
      </c>
      <c r="AC1102" s="301">
        <v>0</v>
      </c>
      <c r="AD1102" s="301">
        <v>0</v>
      </c>
      <c r="AE1102" s="126"/>
      <c r="AF1102" s="298"/>
      <c r="AG1102" s="299"/>
      <c r="AH1102" s="299"/>
      <c r="AI1102" s="301"/>
      <c r="AJ1102" s="301"/>
      <c r="AK1102" s="426"/>
      <c r="AL1102" s="298"/>
      <c r="AM1102" s="299"/>
      <c r="AN1102" s="299"/>
      <c r="AO1102" s="301"/>
      <c r="AP1102" s="301"/>
      <c r="AQ1102" s="426"/>
      <c r="AR1102" s="298"/>
      <c r="AS1102" s="299"/>
      <c r="AT1102" s="299"/>
      <c r="AU1102" s="301"/>
      <c r="AV1102" s="301"/>
      <c r="AW1102" s="88"/>
      <c r="AX1102" s="298"/>
      <c r="AY1102" s="299"/>
      <c r="AZ1102" s="299"/>
      <c r="BA1102" s="301"/>
      <c r="BB1102" s="301"/>
      <c r="BC1102" s="426"/>
      <c r="BD1102" s="298"/>
      <c r="BE1102" s="299"/>
      <c r="BF1102" s="299"/>
      <c r="BG1102" s="301"/>
      <c r="BH1102" s="301"/>
      <c r="BI1102" s="88"/>
      <c r="BJ1102" s="298"/>
      <c r="BK1102" s="299"/>
      <c r="BL1102" s="299"/>
      <c r="BM1102" s="301"/>
      <c r="BN1102" s="301"/>
      <c r="BO1102" s="88"/>
      <c r="BP1102" s="9"/>
      <c r="BS1102" s="81"/>
      <c r="BT1102" s="81"/>
      <c r="BV1102" s="9"/>
      <c r="BY1102" s="81"/>
      <c r="BZ1102" s="81"/>
      <c r="CB1102" s="9"/>
      <c r="CE1102" s="81"/>
      <c r="CF1102" s="81"/>
      <c r="CH1102" s="9"/>
      <c r="CK1102" s="81"/>
      <c r="CL1102" s="81"/>
      <c r="CR1102" s="9"/>
      <c r="CS1102" s="9"/>
      <c r="CT1102" s="9"/>
      <c r="CU1102" s="9"/>
      <c r="CV1102" s="9"/>
      <c r="CW1102" s="129"/>
      <c r="CX1102" s="9"/>
    </row>
    <row r="1103" spans="1:102">
      <c r="A1103" s="6" t="str">
        <f t="shared" si="171"/>
        <v>02190998</v>
      </c>
      <c r="B1103" s="6" t="s">
        <v>1869</v>
      </c>
      <c r="C1103" s="6" t="s">
        <v>2091</v>
      </c>
      <c r="D1103" s="6">
        <v>1094</v>
      </c>
      <c r="E1103" s="6">
        <v>219</v>
      </c>
      <c r="F1103" s="6" t="s">
        <v>1547</v>
      </c>
      <c r="G1103" s="6">
        <v>998</v>
      </c>
      <c r="H1103" s="6" t="s">
        <v>1547</v>
      </c>
      <c r="I1103" s="33">
        <v>0</v>
      </c>
      <c r="J1103" s="88">
        <v>0</v>
      </c>
      <c r="K1103" s="89">
        <f t="shared" si="170"/>
        <v>0</v>
      </c>
      <c r="L1103" s="88">
        <f>IF(K1104&gt;0, K1103/K1104, 0)</f>
        <v>0</v>
      </c>
      <c r="M1103" s="58"/>
      <c r="N1103" s="9">
        <f>ROUND(M1104*L1103,0)</f>
        <v>0</v>
      </c>
      <c r="O1103" s="9">
        <v>0</v>
      </c>
      <c r="P1103" s="9">
        <f>N1103-O1103</f>
        <v>0</v>
      </c>
      <c r="Q1103" s="40">
        <f t="shared" si="169"/>
        <v>0</v>
      </c>
      <c r="R1103" s="9">
        <v>0</v>
      </c>
      <c r="S1103" s="9">
        <f t="shared" si="177"/>
        <v>0</v>
      </c>
      <c r="T1103" s="90">
        <f t="shared" si="172"/>
        <v>219</v>
      </c>
      <c r="U1103" s="90">
        <f t="shared" si="173"/>
        <v>998</v>
      </c>
      <c r="V1103" s="373">
        <f t="shared" si="174"/>
        <v>1094</v>
      </c>
      <c r="W1103" s="90">
        <f t="shared" si="175"/>
        <v>0</v>
      </c>
      <c r="X1103" s="90">
        <f t="shared" si="176"/>
        <v>0</v>
      </c>
      <c r="Y1103" s="141">
        <f t="shared" si="178"/>
        <v>1094</v>
      </c>
      <c r="Z1103" s="298">
        <v>219</v>
      </c>
      <c r="AA1103" s="299">
        <v>998</v>
      </c>
      <c r="AB1103" s="299">
        <v>1094</v>
      </c>
      <c r="AC1103" s="301">
        <v>0</v>
      </c>
      <c r="AD1103" s="301">
        <v>0</v>
      </c>
      <c r="AE1103" s="126"/>
      <c r="AF1103" s="298"/>
      <c r="AG1103" s="299"/>
      <c r="AH1103" s="299"/>
      <c r="AI1103" s="301"/>
      <c r="AJ1103" s="301"/>
      <c r="AK1103" s="426"/>
      <c r="AL1103" s="298"/>
      <c r="AM1103" s="299"/>
      <c r="AN1103" s="299"/>
      <c r="AO1103" s="301"/>
      <c r="AP1103" s="301"/>
      <c r="AQ1103" s="426"/>
      <c r="AR1103" s="298"/>
      <c r="AS1103" s="299"/>
      <c r="AT1103" s="299"/>
      <c r="AU1103" s="301"/>
      <c r="AV1103" s="301"/>
      <c r="AW1103" s="88"/>
      <c r="AX1103" s="298"/>
      <c r="AY1103" s="299"/>
      <c r="AZ1103" s="299"/>
      <c r="BA1103" s="301"/>
      <c r="BB1103" s="301"/>
      <c r="BC1103" s="426"/>
      <c r="BD1103" s="298"/>
      <c r="BE1103" s="299"/>
      <c r="BF1103" s="299"/>
      <c r="BG1103" s="301"/>
      <c r="BH1103" s="301"/>
      <c r="BI1103" s="88"/>
      <c r="BJ1103" s="298"/>
      <c r="BK1103" s="299"/>
      <c r="BL1103" s="299"/>
      <c r="BM1103" s="301"/>
      <c r="BN1103" s="301"/>
      <c r="BO1103" s="88"/>
      <c r="BP1103" s="9"/>
      <c r="BS1103" s="81"/>
      <c r="BT1103" s="81"/>
      <c r="BV1103" s="9"/>
      <c r="BY1103" s="81"/>
      <c r="BZ1103" s="81"/>
      <c r="CB1103" s="9"/>
      <c r="CE1103" s="81"/>
      <c r="CF1103" s="81"/>
      <c r="CH1103" s="9"/>
      <c r="CK1103" s="81"/>
      <c r="CL1103" s="81"/>
      <c r="CR1103" s="9"/>
      <c r="CS1103" s="9"/>
      <c r="CT1103" s="9"/>
      <c r="CU1103" s="9"/>
      <c r="CV1103" s="9"/>
      <c r="CW1103" s="129"/>
      <c r="CX1103" s="9"/>
    </row>
    <row r="1104" spans="1:102">
      <c r="A1104" s="6" t="str">
        <f t="shared" si="171"/>
        <v>02190999</v>
      </c>
      <c r="B1104" s="6" t="s">
        <v>1869</v>
      </c>
      <c r="C1104" s="6" t="s">
        <v>2092</v>
      </c>
      <c r="D1104" s="6">
        <v>1095</v>
      </c>
      <c r="E1104" s="10">
        <v>219</v>
      </c>
      <c r="F1104" s="10" t="s">
        <v>1337</v>
      </c>
      <c r="G1104" s="10">
        <v>999</v>
      </c>
      <c r="H1104" s="10" t="s">
        <v>593</v>
      </c>
      <c r="I1104" s="92">
        <v>26497418.365486931</v>
      </c>
      <c r="J1104" s="472">
        <v>0.99999999999999989</v>
      </c>
      <c r="K1104" s="53">
        <f>SUM(K1100:K1103)</f>
        <v>27156764.849310026</v>
      </c>
      <c r="L1104" s="91">
        <f>SUM(L1100:L1103)</f>
        <v>1</v>
      </c>
      <c r="M1104" s="79">
        <f>VLOOKUP(E1104,town351,24)</f>
        <v>22404331</v>
      </c>
      <c r="N1104" s="79">
        <f>SUM(N1100:N1103)</f>
        <v>22404331</v>
      </c>
      <c r="O1104" s="79">
        <v>21380775</v>
      </c>
      <c r="P1104" s="79">
        <f>SUM(P1100:P1103)</f>
        <v>1023556</v>
      </c>
      <c r="Q1104" s="39">
        <f t="shared" ref="Q1104:Q1167" si="179">IF(O1104&gt;0,P1104*100/O1104,IF(P1104&gt;0,100,0))</f>
        <v>4.7872726783757837</v>
      </c>
      <c r="R1104" s="9">
        <v>2125.9999999994002</v>
      </c>
      <c r="S1104" s="9">
        <f t="shared" si="177"/>
        <v>2136.9999999995098</v>
      </c>
      <c r="T1104" s="90">
        <f t="shared" si="172"/>
        <v>219</v>
      </c>
      <c r="U1104" s="90">
        <f t="shared" si="173"/>
        <v>999</v>
      </c>
      <c r="V1104" s="373">
        <f t="shared" si="174"/>
        <v>1095</v>
      </c>
      <c r="W1104" s="90">
        <f t="shared" si="175"/>
        <v>2136.9999999995098</v>
      </c>
      <c r="X1104" s="90">
        <f t="shared" si="176"/>
        <v>27156764.849310026</v>
      </c>
      <c r="Y1104" s="141">
        <f t="shared" si="178"/>
        <v>1095</v>
      </c>
      <c r="Z1104" s="298">
        <v>219</v>
      </c>
      <c r="AA1104" s="299">
        <v>999</v>
      </c>
      <c r="AB1104" s="299">
        <v>1095</v>
      </c>
      <c r="AC1104" s="301">
        <v>2136.9999999995098</v>
      </c>
      <c r="AD1104" s="301">
        <v>27156764.849310026</v>
      </c>
      <c r="AE1104" s="126"/>
      <c r="AF1104" s="298"/>
      <c r="AG1104" s="299"/>
      <c r="AH1104" s="299"/>
      <c r="AI1104" s="301"/>
      <c r="AJ1104" s="301"/>
      <c r="AK1104" s="426"/>
      <c r="AL1104" s="298"/>
      <c r="AM1104" s="299"/>
      <c r="AN1104" s="299"/>
      <c r="AO1104" s="301"/>
      <c r="AP1104" s="301"/>
      <c r="AQ1104" s="426"/>
      <c r="AR1104" s="298"/>
      <c r="AS1104" s="299"/>
      <c r="AT1104" s="299"/>
      <c r="AU1104" s="301"/>
      <c r="AV1104" s="301"/>
      <c r="AW1104" s="91"/>
      <c r="AX1104" s="298"/>
      <c r="AY1104" s="299"/>
      <c r="AZ1104" s="299"/>
      <c r="BA1104" s="301"/>
      <c r="BB1104" s="301"/>
      <c r="BC1104" s="426"/>
      <c r="BD1104" s="298"/>
      <c r="BE1104" s="299"/>
      <c r="BF1104" s="299"/>
      <c r="BG1104" s="301"/>
      <c r="BH1104" s="301"/>
      <c r="BI1104" s="91"/>
      <c r="BJ1104" s="298"/>
      <c r="BK1104" s="299"/>
      <c r="BL1104" s="299"/>
      <c r="BM1104" s="301"/>
      <c r="BN1104" s="301"/>
      <c r="BO1104" s="91"/>
      <c r="BP1104" s="9"/>
      <c r="BS1104" s="81"/>
      <c r="BT1104" s="81"/>
      <c r="BV1104" s="9"/>
      <c r="BY1104" s="81"/>
      <c r="BZ1104" s="81"/>
      <c r="CB1104" s="9"/>
      <c r="CE1104" s="81"/>
      <c r="CF1104" s="81"/>
      <c r="CH1104" s="9"/>
      <c r="CK1104" s="81"/>
      <c r="CL1104" s="81"/>
      <c r="CR1104" s="9"/>
      <c r="CS1104" s="9"/>
      <c r="CT1104" s="9"/>
      <c r="CU1104" s="9"/>
      <c r="CV1104" s="9"/>
      <c r="CW1104" s="129"/>
      <c r="CX1104" s="9"/>
    </row>
    <row r="1105" spans="1:102">
      <c r="A1105" s="6" t="str">
        <f t="shared" si="171"/>
        <v>02200220</v>
      </c>
      <c r="B1105" s="6" t="s">
        <v>1870</v>
      </c>
      <c r="C1105" s="6" t="s">
        <v>1870</v>
      </c>
      <c r="D1105" s="6">
        <v>1096</v>
      </c>
      <c r="E1105" s="6">
        <v>220</v>
      </c>
      <c r="F1105" s="6" t="s">
        <v>1338</v>
      </c>
      <c r="G1105" s="6">
        <v>220</v>
      </c>
      <c r="H1105" s="6" t="s">
        <v>901</v>
      </c>
      <c r="I1105" s="33">
        <v>53483623.868720002</v>
      </c>
      <c r="J1105" s="88">
        <v>0.95449221099122628</v>
      </c>
      <c r="K1105" s="89">
        <f>X1105</f>
        <v>56535316.259999998</v>
      </c>
      <c r="L1105" s="88">
        <f>IF(K1109&gt;0, K1105/K1109, 0)</f>
        <v>0.95495969045941298</v>
      </c>
      <c r="M1105" s="58"/>
      <c r="N1105" s="9">
        <f>ROUND(M1109*L1105,0)</f>
        <v>39118730</v>
      </c>
      <c r="O1105" s="9">
        <v>37142187</v>
      </c>
      <c r="P1105" s="9">
        <f>N1105-O1105</f>
        <v>1976543</v>
      </c>
      <c r="Q1105" s="40">
        <f t="shared" si="179"/>
        <v>5.3215579362626118</v>
      </c>
      <c r="R1105" s="9">
        <v>3547</v>
      </c>
      <c r="S1105" s="9">
        <f t="shared" si="177"/>
        <v>3596</v>
      </c>
      <c r="T1105" s="90">
        <f t="shared" si="172"/>
        <v>220</v>
      </c>
      <c r="U1105" s="90">
        <f t="shared" si="173"/>
        <v>220</v>
      </c>
      <c r="V1105" s="373">
        <f t="shared" si="174"/>
        <v>1096</v>
      </c>
      <c r="W1105" s="90">
        <f t="shared" si="175"/>
        <v>3596</v>
      </c>
      <c r="X1105" s="90">
        <f t="shared" si="176"/>
        <v>56535316.259999998</v>
      </c>
      <c r="Y1105" s="141">
        <f t="shared" si="178"/>
        <v>1096</v>
      </c>
      <c r="Z1105" s="298">
        <v>220</v>
      </c>
      <c r="AA1105" s="299">
        <v>220</v>
      </c>
      <c r="AB1105" s="299">
        <v>1096</v>
      </c>
      <c r="AC1105" s="301">
        <v>3596</v>
      </c>
      <c r="AD1105" s="301">
        <v>56535316.259999998</v>
      </c>
      <c r="AE1105" s="126"/>
      <c r="AF1105" s="298"/>
      <c r="AG1105" s="299"/>
      <c r="AH1105" s="299"/>
      <c r="AI1105" s="301"/>
      <c r="AJ1105" s="301"/>
      <c r="AK1105" s="426"/>
      <c r="AL1105" s="298"/>
      <c r="AM1105" s="299"/>
      <c r="AN1105" s="299"/>
      <c r="AO1105" s="301"/>
      <c r="AP1105" s="301"/>
      <c r="AQ1105" s="426"/>
      <c r="AR1105" s="298"/>
      <c r="AS1105" s="299"/>
      <c r="AT1105" s="299"/>
      <c r="AU1105" s="301"/>
      <c r="AV1105" s="301"/>
      <c r="AW1105" s="88"/>
      <c r="AX1105" s="298"/>
      <c r="AY1105" s="299"/>
      <c r="AZ1105" s="299"/>
      <c r="BA1105" s="301"/>
      <c r="BB1105" s="301"/>
      <c r="BC1105" s="426"/>
      <c r="BD1105" s="298"/>
      <c r="BE1105" s="299"/>
      <c r="BF1105" s="299"/>
      <c r="BG1105" s="301"/>
      <c r="BH1105" s="301"/>
      <c r="BI1105" s="88"/>
      <c r="BJ1105" s="298"/>
      <c r="BK1105" s="299"/>
      <c r="BL1105" s="299"/>
      <c r="BM1105" s="301"/>
      <c r="BN1105" s="301"/>
      <c r="BO1105" s="88"/>
      <c r="BP1105" s="9"/>
      <c r="BS1105" s="81"/>
      <c r="BT1105" s="81"/>
      <c r="BV1105" s="9"/>
      <c r="BY1105" s="81"/>
      <c r="BZ1105" s="81"/>
      <c r="CB1105" s="9"/>
      <c r="CE1105" s="81"/>
      <c r="CF1105" s="81"/>
      <c r="CH1105" s="9"/>
      <c r="CK1105" s="81"/>
      <c r="CL1105" s="81"/>
      <c r="CR1105" s="9"/>
      <c r="CS1105" s="9"/>
      <c r="CT1105" s="9"/>
      <c r="CU1105" s="9"/>
      <c r="CV1105" s="9"/>
      <c r="CW1105" s="129"/>
      <c r="CX1105" s="9"/>
    </row>
    <row r="1106" spans="1:102">
      <c r="A1106" s="6" t="str">
        <f t="shared" si="171"/>
        <v>02200806</v>
      </c>
      <c r="B1106" s="6" t="s">
        <v>1870</v>
      </c>
      <c r="C1106" s="6" t="s">
        <v>2064</v>
      </c>
      <c r="D1106" s="6">
        <v>1097</v>
      </c>
      <c r="E1106" s="6">
        <v>220</v>
      </c>
      <c r="F1106" s="6" t="s">
        <v>1338</v>
      </c>
      <c r="G1106" s="6">
        <v>806</v>
      </c>
      <c r="H1106" s="6" t="s">
        <v>1094</v>
      </c>
      <c r="I1106" s="33">
        <v>2356224.5806381637</v>
      </c>
      <c r="J1106" s="88">
        <v>4.2050217372808327E-2</v>
      </c>
      <c r="K1106" s="89">
        <f t="shared" si="170"/>
        <v>2402178.9640076384</v>
      </c>
      <c r="L1106" s="88">
        <f>IF(K1109&gt;0, K1106/K1109, 0)</f>
        <v>4.0576125361129235E-2</v>
      </c>
      <c r="M1106" s="58"/>
      <c r="N1106" s="9">
        <f>ROUND(M1109*L1106,0)</f>
        <v>1662150</v>
      </c>
      <c r="O1106" s="9">
        <v>1636301</v>
      </c>
      <c r="P1106" s="9">
        <f>N1106-O1106</f>
        <v>25849</v>
      </c>
      <c r="Q1106" s="40">
        <f t="shared" si="179"/>
        <v>1.579721579342676</v>
      </c>
      <c r="R1106" s="9">
        <v>108.000000003</v>
      </c>
      <c r="S1106" s="9">
        <f t="shared" si="177"/>
        <v>107.99999999552</v>
      </c>
      <c r="T1106" s="90">
        <f t="shared" si="172"/>
        <v>220</v>
      </c>
      <c r="U1106" s="90">
        <f t="shared" si="173"/>
        <v>806</v>
      </c>
      <c r="V1106" s="373">
        <f t="shared" si="174"/>
        <v>1097</v>
      </c>
      <c r="W1106" s="90">
        <f t="shared" si="175"/>
        <v>107.99999999552</v>
      </c>
      <c r="X1106" s="90">
        <f t="shared" si="176"/>
        <v>2402178.9640076384</v>
      </c>
      <c r="Y1106" s="141">
        <f t="shared" si="178"/>
        <v>1097</v>
      </c>
      <c r="Z1106" s="298">
        <v>220</v>
      </c>
      <c r="AA1106" s="299">
        <v>806</v>
      </c>
      <c r="AB1106" s="299">
        <v>1097</v>
      </c>
      <c r="AC1106" s="301">
        <v>107.99999999552</v>
      </c>
      <c r="AD1106" s="301">
        <v>2402178.9640076384</v>
      </c>
      <c r="AE1106" s="126"/>
      <c r="AF1106" s="298"/>
      <c r="AG1106" s="299"/>
      <c r="AH1106" s="299"/>
      <c r="AI1106" s="301"/>
      <c r="AJ1106" s="301"/>
      <c r="AK1106" s="426"/>
      <c r="AL1106" s="298"/>
      <c r="AM1106" s="299"/>
      <c r="AN1106" s="299"/>
      <c r="AO1106" s="301"/>
      <c r="AP1106" s="301"/>
      <c r="AQ1106" s="426"/>
      <c r="AR1106" s="298"/>
      <c r="AS1106" s="299"/>
      <c r="AT1106" s="299"/>
      <c r="AU1106" s="301"/>
      <c r="AV1106" s="301"/>
      <c r="AW1106" s="88"/>
      <c r="AX1106" s="298"/>
      <c r="AY1106" s="299"/>
      <c r="AZ1106" s="299"/>
      <c r="BA1106" s="301"/>
      <c r="BB1106" s="301"/>
      <c r="BC1106" s="426"/>
      <c r="BD1106" s="298"/>
      <c r="BE1106" s="299"/>
      <c r="BF1106" s="299"/>
      <c r="BG1106" s="301"/>
      <c r="BH1106" s="301"/>
      <c r="BI1106" s="88"/>
      <c r="BJ1106" s="298"/>
      <c r="BK1106" s="299"/>
      <c r="BL1106" s="299"/>
      <c r="BM1106" s="301"/>
      <c r="BN1106" s="301"/>
      <c r="BO1106" s="88"/>
      <c r="BP1106" s="9"/>
      <c r="BS1106" s="81"/>
      <c r="BT1106" s="81"/>
      <c r="BV1106" s="9"/>
      <c r="BY1106" s="81"/>
      <c r="BZ1106" s="81"/>
      <c r="CB1106" s="9"/>
      <c r="CE1106" s="81"/>
      <c r="CF1106" s="81"/>
      <c r="CH1106" s="9"/>
      <c r="CK1106" s="81"/>
      <c r="CL1106" s="81"/>
      <c r="CR1106" s="9"/>
      <c r="CS1106" s="9"/>
      <c r="CT1106" s="9"/>
      <c r="CU1106" s="9"/>
      <c r="CV1106" s="9"/>
      <c r="CW1106" s="129"/>
      <c r="CX1106" s="9"/>
    </row>
    <row r="1107" spans="1:102">
      <c r="A1107" s="6" t="str">
        <f t="shared" si="171"/>
        <v>02200915</v>
      </c>
      <c r="B1107" s="6" t="s">
        <v>1870</v>
      </c>
      <c r="C1107" s="6" t="s">
        <v>2089</v>
      </c>
      <c r="D1107" s="6">
        <v>1098</v>
      </c>
      <c r="E1107" s="6">
        <v>220</v>
      </c>
      <c r="F1107" s="6" t="s">
        <v>1338</v>
      </c>
      <c r="G1107" s="6">
        <v>915</v>
      </c>
      <c r="H1107" s="6" t="s">
        <v>1119</v>
      </c>
      <c r="I1107" s="33">
        <v>193740.14659071216</v>
      </c>
      <c r="J1107" s="88">
        <v>3.4575716359654899E-3</v>
      </c>
      <c r="K1107" s="89">
        <f t="shared" si="170"/>
        <v>264287.66255790152</v>
      </c>
      <c r="L1107" s="88">
        <f>IF(K1109&gt;0, K1107/K1109, 0)</f>
        <v>4.4641841794578023E-3</v>
      </c>
      <c r="M1107" s="58"/>
      <c r="N1107" s="9">
        <f>ROUND(M1109*L1107,0)</f>
        <v>182870</v>
      </c>
      <c r="O1107" s="9">
        <v>134545</v>
      </c>
      <c r="P1107" s="9">
        <f>N1107-O1107</f>
        <v>48325</v>
      </c>
      <c r="Q1107" s="40">
        <f t="shared" si="179"/>
        <v>35.917351072132</v>
      </c>
      <c r="R1107" s="9">
        <v>9.0000000000900009</v>
      </c>
      <c r="S1107" s="9">
        <f t="shared" si="177"/>
        <v>11.99999999896</v>
      </c>
      <c r="T1107" s="90">
        <f t="shared" si="172"/>
        <v>220</v>
      </c>
      <c r="U1107" s="90">
        <f t="shared" si="173"/>
        <v>915</v>
      </c>
      <c r="V1107" s="373">
        <f t="shared" si="174"/>
        <v>1098</v>
      </c>
      <c r="W1107" s="90">
        <f t="shared" si="175"/>
        <v>11.99999999896</v>
      </c>
      <c r="X1107" s="90">
        <f t="shared" si="176"/>
        <v>264287.66255790152</v>
      </c>
      <c r="Y1107" s="141">
        <f t="shared" si="178"/>
        <v>1098</v>
      </c>
      <c r="Z1107" s="298">
        <v>220</v>
      </c>
      <c r="AA1107" s="299">
        <v>915</v>
      </c>
      <c r="AB1107" s="299">
        <v>1098</v>
      </c>
      <c r="AC1107" s="301">
        <v>11.99999999896</v>
      </c>
      <c r="AD1107" s="301">
        <v>264287.66255790152</v>
      </c>
      <c r="AE1107" s="126"/>
      <c r="AF1107" s="298"/>
      <c r="AG1107" s="299"/>
      <c r="AH1107" s="299"/>
      <c r="AI1107" s="301"/>
      <c r="AJ1107" s="301"/>
      <c r="AK1107" s="426"/>
      <c r="AL1107" s="298"/>
      <c r="AM1107" s="299"/>
      <c r="AN1107" s="299"/>
      <c r="AO1107" s="301"/>
      <c r="AP1107" s="301"/>
      <c r="AQ1107" s="426"/>
      <c r="AR1107" s="298"/>
      <c r="AS1107" s="299"/>
      <c r="AT1107" s="299"/>
      <c r="AU1107" s="301"/>
      <c r="AV1107" s="301"/>
      <c r="AW1107" s="88"/>
      <c r="AX1107" s="298"/>
      <c r="AY1107" s="299"/>
      <c r="AZ1107" s="299"/>
      <c r="BA1107" s="301"/>
      <c r="BB1107" s="301"/>
      <c r="BC1107" s="426"/>
      <c r="BD1107" s="298"/>
      <c r="BE1107" s="299"/>
      <c r="BF1107" s="299"/>
      <c r="BG1107" s="301"/>
      <c r="BH1107" s="301"/>
      <c r="BI1107" s="88"/>
      <c r="BJ1107" s="298"/>
      <c r="BK1107" s="299"/>
      <c r="BL1107" s="299"/>
      <c r="BM1107" s="301"/>
      <c r="BN1107" s="301"/>
      <c r="BO1107" s="88"/>
      <c r="BP1107" s="9"/>
      <c r="BS1107" s="81"/>
      <c r="BT1107" s="81"/>
      <c r="BV1107" s="9"/>
      <c r="BY1107" s="81"/>
      <c r="BZ1107" s="81"/>
      <c r="CB1107" s="9"/>
      <c r="CE1107" s="81"/>
      <c r="CF1107" s="81"/>
      <c r="CH1107" s="9"/>
      <c r="CK1107" s="81"/>
      <c r="CL1107" s="81"/>
      <c r="CR1107" s="9"/>
      <c r="CS1107" s="9"/>
      <c r="CT1107" s="9"/>
      <c r="CU1107" s="9"/>
      <c r="CV1107" s="9"/>
      <c r="CW1107" s="129"/>
      <c r="CX1107" s="9"/>
    </row>
    <row r="1108" spans="1:102">
      <c r="A1108" s="6" t="str">
        <f t="shared" si="171"/>
        <v>02200998</v>
      </c>
      <c r="B1108" s="6" t="s">
        <v>1870</v>
      </c>
      <c r="C1108" s="6" t="s">
        <v>2091</v>
      </c>
      <c r="D1108" s="6">
        <v>1099</v>
      </c>
      <c r="E1108" s="6">
        <v>220</v>
      </c>
      <c r="F1108" s="6" t="s">
        <v>1547</v>
      </c>
      <c r="G1108" s="6">
        <v>998</v>
      </c>
      <c r="H1108" s="6" t="s">
        <v>1547</v>
      </c>
      <c r="I1108" s="33">
        <v>0</v>
      </c>
      <c r="J1108" s="88">
        <v>0</v>
      </c>
      <c r="K1108" s="89">
        <f t="shared" si="170"/>
        <v>0</v>
      </c>
      <c r="L1108" s="88">
        <f>IF(K1109&gt;0, K1108/K1109, 0)</f>
        <v>0</v>
      </c>
      <c r="M1108" s="58"/>
      <c r="N1108" s="9">
        <f>ROUND(M1109*L1108,0)</f>
        <v>0</v>
      </c>
      <c r="O1108" s="9">
        <v>0</v>
      </c>
      <c r="P1108" s="9">
        <f>N1108-O1108</f>
        <v>0</v>
      </c>
      <c r="Q1108" s="40">
        <f t="shared" si="179"/>
        <v>0</v>
      </c>
      <c r="R1108" s="9">
        <v>0</v>
      </c>
      <c r="S1108" s="9">
        <f t="shared" si="177"/>
        <v>0</v>
      </c>
      <c r="T1108" s="90">
        <f t="shared" si="172"/>
        <v>220</v>
      </c>
      <c r="U1108" s="90">
        <f t="shared" si="173"/>
        <v>998</v>
      </c>
      <c r="V1108" s="373">
        <f t="shared" si="174"/>
        <v>1099</v>
      </c>
      <c r="W1108" s="90">
        <f t="shared" si="175"/>
        <v>0</v>
      </c>
      <c r="X1108" s="90">
        <f t="shared" si="176"/>
        <v>0</v>
      </c>
      <c r="Y1108" s="141">
        <f t="shared" si="178"/>
        <v>1099</v>
      </c>
      <c r="Z1108" s="298">
        <v>220</v>
      </c>
      <c r="AA1108" s="299">
        <v>998</v>
      </c>
      <c r="AB1108" s="299">
        <v>1099</v>
      </c>
      <c r="AC1108" s="301">
        <v>0</v>
      </c>
      <c r="AD1108" s="301">
        <v>0</v>
      </c>
      <c r="AE1108" s="126"/>
      <c r="AF1108" s="298"/>
      <c r="AG1108" s="299"/>
      <c r="AH1108" s="299"/>
      <c r="AI1108" s="301"/>
      <c r="AJ1108" s="301"/>
      <c r="AK1108" s="426"/>
      <c r="AL1108" s="298"/>
      <c r="AM1108" s="299"/>
      <c r="AN1108" s="299"/>
      <c r="AO1108" s="301"/>
      <c r="AP1108" s="301"/>
      <c r="AQ1108" s="426"/>
      <c r="AR1108" s="298"/>
      <c r="AS1108" s="299"/>
      <c r="AT1108" s="299"/>
      <c r="AU1108" s="301"/>
      <c r="AV1108" s="301"/>
      <c r="AW1108" s="88"/>
      <c r="AX1108" s="298"/>
      <c r="AY1108" s="299"/>
      <c r="AZ1108" s="299"/>
      <c r="BA1108" s="301"/>
      <c r="BB1108" s="301"/>
      <c r="BC1108" s="426"/>
      <c r="BD1108" s="298"/>
      <c r="BE1108" s="299"/>
      <c r="BF1108" s="299"/>
      <c r="BG1108" s="301"/>
      <c r="BH1108" s="301"/>
      <c r="BI1108" s="88"/>
      <c r="BJ1108" s="298"/>
      <c r="BK1108" s="299"/>
      <c r="BL1108" s="299"/>
      <c r="BM1108" s="301"/>
      <c r="BN1108" s="301"/>
      <c r="BO1108" s="88"/>
      <c r="BP1108" s="9"/>
      <c r="BS1108" s="81"/>
      <c r="BT1108" s="81"/>
      <c r="BV1108" s="9"/>
      <c r="BY1108" s="81"/>
      <c r="BZ1108" s="81"/>
      <c r="CB1108" s="9"/>
      <c r="CE1108" s="81"/>
      <c r="CF1108" s="81"/>
      <c r="CH1108" s="9"/>
      <c r="CK1108" s="81"/>
      <c r="CL1108" s="81"/>
      <c r="CR1108" s="9"/>
      <c r="CS1108" s="9"/>
      <c r="CT1108" s="9"/>
      <c r="CU1108" s="9"/>
      <c r="CV1108" s="9"/>
      <c r="CW1108" s="129"/>
      <c r="CX1108" s="9"/>
    </row>
    <row r="1109" spans="1:102">
      <c r="A1109" s="6" t="str">
        <f t="shared" si="171"/>
        <v>02200999</v>
      </c>
      <c r="B1109" s="6" t="s">
        <v>1870</v>
      </c>
      <c r="C1109" s="6" t="s">
        <v>2092</v>
      </c>
      <c r="D1109" s="6">
        <v>1100</v>
      </c>
      <c r="E1109" s="10">
        <v>220</v>
      </c>
      <c r="F1109" s="10" t="s">
        <v>1338</v>
      </c>
      <c r="G1109" s="10">
        <v>999</v>
      </c>
      <c r="H1109" s="10" t="s">
        <v>593</v>
      </c>
      <c r="I1109" s="92">
        <v>56033588.595948875</v>
      </c>
      <c r="J1109" s="472">
        <v>1</v>
      </c>
      <c r="K1109" s="53">
        <f>SUM(K1105:K1108)</f>
        <v>59201782.886565536</v>
      </c>
      <c r="L1109" s="91">
        <f>SUM(L1105:L1108)</f>
        <v>1</v>
      </c>
      <c r="M1109" s="79">
        <f>VLOOKUP(E1109,town351,24)</f>
        <v>40963750</v>
      </c>
      <c r="N1109" s="79">
        <f>SUM(N1105:N1108)</f>
        <v>40963750</v>
      </c>
      <c r="O1109" s="79">
        <v>38913033</v>
      </c>
      <c r="P1109" s="79">
        <f>SUM(P1105:P1108)</f>
        <v>2050717</v>
      </c>
      <c r="Q1109" s="39">
        <f t="shared" si="179"/>
        <v>5.2700004134861445</v>
      </c>
      <c r="R1109" s="9">
        <v>3664.00000000309</v>
      </c>
      <c r="S1109" s="9">
        <f t="shared" si="177"/>
        <v>3715.9999999944798</v>
      </c>
      <c r="T1109" s="90">
        <f t="shared" si="172"/>
        <v>220</v>
      </c>
      <c r="U1109" s="90">
        <f t="shared" si="173"/>
        <v>999</v>
      </c>
      <c r="V1109" s="373">
        <f t="shared" si="174"/>
        <v>1100</v>
      </c>
      <c r="W1109" s="90">
        <f t="shared" si="175"/>
        <v>3715.9999999944798</v>
      </c>
      <c r="X1109" s="90">
        <f t="shared" si="176"/>
        <v>59201782.886565536</v>
      </c>
      <c r="Y1109" s="141">
        <f t="shared" si="178"/>
        <v>1100</v>
      </c>
      <c r="Z1109" s="298">
        <v>220</v>
      </c>
      <c r="AA1109" s="299">
        <v>999</v>
      </c>
      <c r="AB1109" s="299">
        <v>1100</v>
      </c>
      <c r="AC1109" s="301">
        <v>3715.9999999944798</v>
      </c>
      <c r="AD1109" s="301">
        <v>59201782.886565536</v>
      </c>
      <c r="AE1109" s="126"/>
      <c r="AF1109" s="298"/>
      <c r="AG1109" s="299"/>
      <c r="AH1109" s="299"/>
      <c r="AI1109" s="301"/>
      <c r="AJ1109" s="301"/>
      <c r="AK1109" s="426"/>
      <c r="AL1109" s="298"/>
      <c r="AM1109" s="299"/>
      <c r="AN1109" s="299"/>
      <c r="AO1109" s="301"/>
      <c r="AP1109" s="301"/>
      <c r="AQ1109" s="426"/>
      <c r="AR1109" s="298"/>
      <c r="AS1109" s="299"/>
      <c r="AT1109" s="299"/>
      <c r="AU1109" s="301"/>
      <c r="AV1109" s="301"/>
      <c r="AW1109" s="91"/>
      <c r="AX1109" s="298"/>
      <c r="AY1109" s="299"/>
      <c r="AZ1109" s="299"/>
      <c r="BA1109" s="301"/>
      <c r="BB1109" s="301"/>
      <c r="BC1109" s="426"/>
      <c r="BD1109" s="298"/>
      <c r="BE1109" s="299"/>
      <c r="BF1109" s="299"/>
      <c r="BG1109" s="301"/>
      <c r="BH1109" s="301"/>
      <c r="BI1109" s="91"/>
      <c r="BJ1109" s="298"/>
      <c r="BK1109" s="299"/>
      <c r="BL1109" s="299"/>
      <c r="BM1109" s="301"/>
      <c r="BN1109" s="301"/>
      <c r="BO1109" s="91"/>
      <c r="BP1109" s="9"/>
      <c r="BS1109" s="81"/>
      <c r="BT1109" s="81"/>
      <c r="BV1109" s="9"/>
      <c r="BY1109" s="81"/>
      <c r="BZ1109" s="81"/>
      <c r="CB1109" s="9"/>
      <c r="CE1109" s="81"/>
      <c r="CF1109" s="81"/>
      <c r="CH1109" s="9"/>
      <c r="CK1109" s="81"/>
      <c r="CL1109" s="81"/>
      <c r="CR1109" s="9"/>
      <c r="CS1109" s="9"/>
      <c r="CT1109" s="9"/>
      <c r="CU1109" s="9"/>
      <c r="CV1109" s="9"/>
      <c r="CW1109" s="129"/>
      <c r="CX1109" s="9"/>
    </row>
    <row r="1110" spans="1:102">
      <c r="A1110" s="6" t="str">
        <f t="shared" si="171"/>
        <v>02210221</v>
      </c>
      <c r="B1110" s="6" t="s">
        <v>1871</v>
      </c>
      <c r="C1110" s="6" t="s">
        <v>1871</v>
      </c>
      <c r="D1110" s="6">
        <v>1101</v>
      </c>
      <c r="E1110" s="6">
        <v>221</v>
      </c>
      <c r="F1110" s="6" t="s">
        <v>1339</v>
      </c>
      <c r="G1110" s="6">
        <v>221</v>
      </c>
      <c r="H1110" s="6" t="s">
        <v>902</v>
      </c>
      <c r="I1110" s="33">
        <v>6470637.9299999997</v>
      </c>
      <c r="J1110" s="88">
        <v>0.60349821719688268</v>
      </c>
      <c r="K1110" s="89">
        <f>X1110</f>
        <v>6233849.8500000006</v>
      </c>
      <c r="L1110" s="88">
        <f>IF(K1114&gt;0, K1110/K1114, 0)</f>
        <v>0.61893234634342387</v>
      </c>
      <c r="M1110" s="58"/>
      <c r="N1110" s="9">
        <f>ROUND(M1114*L1110,0)</f>
        <v>5142926</v>
      </c>
      <c r="O1110" s="9">
        <v>4519073</v>
      </c>
      <c r="P1110" s="9">
        <f>N1110-O1110</f>
        <v>623853</v>
      </c>
      <c r="Q1110" s="40">
        <f t="shared" si="179"/>
        <v>13.804888745988391</v>
      </c>
      <c r="R1110" s="9">
        <v>435</v>
      </c>
      <c r="S1110" s="9">
        <f t="shared" si="177"/>
        <v>421</v>
      </c>
      <c r="T1110" s="90">
        <f t="shared" si="172"/>
        <v>221</v>
      </c>
      <c r="U1110" s="90">
        <f t="shared" si="173"/>
        <v>221</v>
      </c>
      <c r="V1110" s="373">
        <f t="shared" si="174"/>
        <v>1101</v>
      </c>
      <c r="W1110" s="90">
        <f t="shared" si="175"/>
        <v>421</v>
      </c>
      <c r="X1110" s="90">
        <f t="shared" si="176"/>
        <v>6233849.8500000006</v>
      </c>
      <c r="Y1110" s="141">
        <f t="shared" si="178"/>
        <v>1101</v>
      </c>
      <c r="Z1110" s="298">
        <v>221</v>
      </c>
      <c r="AA1110" s="299">
        <v>221</v>
      </c>
      <c r="AB1110" s="299">
        <v>1101</v>
      </c>
      <c r="AC1110" s="301">
        <v>421</v>
      </c>
      <c r="AD1110" s="301">
        <v>6233849.8500000006</v>
      </c>
      <c r="AE1110" s="126"/>
      <c r="AF1110" s="298"/>
      <c r="AG1110" s="299"/>
      <c r="AH1110" s="299"/>
      <c r="AI1110" s="301"/>
      <c r="AJ1110" s="301"/>
      <c r="AK1110" s="426"/>
      <c r="AL1110" s="298"/>
      <c r="AM1110" s="299"/>
      <c r="AN1110" s="299"/>
      <c r="AO1110" s="301"/>
      <c r="AP1110" s="301"/>
      <c r="AQ1110" s="426"/>
      <c r="AR1110" s="298"/>
      <c r="AS1110" s="299"/>
      <c r="AT1110" s="299"/>
      <c r="AU1110" s="301"/>
      <c r="AV1110" s="301"/>
      <c r="AW1110" s="88"/>
      <c r="AX1110" s="298"/>
      <c r="AY1110" s="299"/>
      <c r="AZ1110" s="299"/>
      <c r="BA1110" s="301"/>
      <c r="BB1110" s="301"/>
      <c r="BC1110" s="426"/>
      <c r="BD1110" s="298"/>
      <c r="BE1110" s="299"/>
      <c r="BF1110" s="299"/>
      <c r="BG1110" s="301"/>
      <c r="BH1110" s="301"/>
      <c r="BI1110" s="88"/>
      <c r="BJ1110" s="298"/>
      <c r="BK1110" s="299"/>
      <c r="BL1110" s="299"/>
      <c r="BM1110" s="301"/>
      <c r="BN1110" s="301"/>
      <c r="BO1110" s="88"/>
      <c r="BP1110" s="9"/>
      <c r="BS1110" s="81"/>
      <c r="BT1110" s="81"/>
      <c r="BV1110" s="9"/>
      <c r="BY1110" s="81"/>
      <c r="BZ1110" s="81"/>
      <c r="CB1110" s="9"/>
      <c r="CE1110" s="81"/>
      <c r="CF1110" s="81"/>
      <c r="CH1110" s="9"/>
      <c r="CK1110" s="81"/>
      <c r="CL1110" s="81"/>
      <c r="CR1110" s="9"/>
      <c r="CS1110" s="9"/>
      <c r="CT1110" s="9"/>
      <c r="CU1110" s="9"/>
      <c r="CV1110" s="9"/>
      <c r="CW1110" s="129"/>
      <c r="CX1110" s="9"/>
    </row>
    <row r="1111" spans="1:102">
      <c r="A1111" s="6" t="str">
        <f t="shared" si="171"/>
        <v>02210700</v>
      </c>
      <c r="B1111" s="6" t="s">
        <v>1871</v>
      </c>
      <c r="C1111" s="6" t="s">
        <v>2035</v>
      </c>
      <c r="D1111" s="6">
        <v>1102</v>
      </c>
      <c r="E1111" s="6">
        <v>221</v>
      </c>
      <c r="F1111" s="6" t="s">
        <v>1339</v>
      </c>
      <c r="G1111" s="6">
        <v>700</v>
      </c>
      <c r="H1111" s="6" t="s">
        <v>1065</v>
      </c>
      <c r="I1111" s="33">
        <v>4251246.1545209112</v>
      </c>
      <c r="J1111" s="88">
        <v>0.39650178280311743</v>
      </c>
      <c r="K1111" s="89">
        <f t="shared" si="170"/>
        <v>3838090.7858850332</v>
      </c>
      <c r="L1111" s="88">
        <f>IF(K1114&gt;0, K1111/K1114, 0)</f>
        <v>0.38106765365657613</v>
      </c>
      <c r="M1111" s="58"/>
      <c r="N1111" s="9">
        <f>ROUND(M1114*L1111,0)</f>
        <v>3166425</v>
      </c>
      <c r="O1111" s="9">
        <v>2969056</v>
      </c>
      <c r="P1111" s="9">
        <f>N1111-O1111</f>
        <v>197369</v>
      </c>
      <c r="Q1111" s="40">
        <f t="shared" si="179"/>
        <v>6.6475337615727019</v>
      </c>
      <c r="R1111" s="9">
        <v>236.99999999744</v>
      </c>
      <c r="S1111" s="9">
        <f t="shared" si="177"/>
        <v>217.00000000119999</v>
      </c>
      <c r="T1111" s="90">
        <f t="shared" si="172"/>
        <v>221</v>
      </c>
      <c r="U1111" s="90">
        <f t="shared" si="173"/>
        <v>700</v>
      </c>
      <c r="V1111" s="373">
        <f t="shared" si="174"/>
        <v>1102</v>
      </c>
      <c r="W1111" s="90">
        <f t="shared" si="175"/>
        <v>217.00000000119999</v>
      </c>
      <c r="X1111" s="90">
        <f t="shared" si="176"/>
        <v>3838090.7858850332</v>
      </c>
      <c r="Y1111" s="141">
        <f t="shared" si="178"/>
        <v>1102</v>
      </c>
      <c r="Z1111" s="298">
        <v>221</v>
      </c>
      <c r="AA1111" s="299">
        <v>700</v>
      </c>
      <c r="AB1111" s="299">
        <v>1102</v>
      </c>
      <c r="AC1111" s="301">
        <v>217.00000000119999</v>
      </c>
      <c r="AD1111" s="301">
        <v>3838090.7858850332</v>
      </c>
      <c r="AE1111" s="126"/>
      <c r="AF1111" s="298"/>
      <c r="AG1111" s="299"/>
      <c r="AH1111" s="299"/>
      <c r="AI1111" s="301"/>
      <c r="AJ1111" s="301"/>
      <c r="AK1111" s="426"/>
      <c r="AL1111" s="298"/>
      <c r="AM1111" s="299"/>
      <c r="AN1111" s="299"/>
      <c r="AO1111" s="301"/>
      <c r="AP1111" s="301"/>
      <c r="AQ1111" s="426"/>
      <c r="AR1111" s="298"/>
      <c r="AS1111" s="299"/>
      <c r="AT1111" s="299"/>
      <c r="AU1111" s="301"/>
      <c r="AV1111" s="301"/>
      <c r="AW1111" s="88"/>
      <c r="AX1111" s="298"/>
      <c r="AY1111" s="299"/>
      <c r="AZ1111" s="299"/>
      <c r="BA1111" s="301"/>
      <c r="BB1111" s="301"/>
      <c r="BC1111" s="426"/>
      <c r="BD1111" s="298"/>
      <c r="BE1111" s="299"/>
      <c r="BF1111" s="299"/>
      <c r="BG1111" s="301"/>
      <c r="BH1111" s="301"/>
      <c r="BI1111" s="88"/>
      <c r="BJ1111" s="298"/>
      <c r="BK1111" s="299"/>
      <c r="BL1111" s="299"/>
      <c r="BM1111" s="301"/>
      <c r="BN1111" s="301"/>
      <c r="BO1111" s="88"/>
      <c r="BP1111" s="9"/>
      <c r="BS1111" s="81"/>
      <c r="BT1111" s="81"/>
      <c r="BV1111" s="9"/>
      <c r="BY1111" s="81"/>
      <c r="BZ1111" s="81"/>
      <c r="CB1111" s="9"/>
      <c r="CE1111" s="81"/>
      <c r="CF1111" s="81"/>
      <c r="CH1111" s="9"/>
      <c r="CK1111" s="81"/>
      <c r="CL1111" s="81"/>
      <c r="CR1111" s="9"/>
      <c r="CS1111" s="9"/>
      <c r="CT1111" s="9"/>
      <c r="CU1111" s="9"/>
      <c r="CV1111" s="9"/>
      <c r="CW1111" s="129"/>
      <c r="CX1111" s="9"/>
    </row>
    <row r="1112" spans="1:102">
      <c r="A1112" s="6" t="str">
        <f t="shared" si="171"/>
        <v>02210998</v>
      </c>
      <c r="B1112" s="6" t="s">
        <v>1871</v>
      </c>
      <c r="C1112" s="6" t="s">
        <v>2091</v>
      </c>
      <c r="D1112" s="6">
        <v>1103</v>
      </c>
      <c r="E1112" s="6">
        <v>221</v>
      </c>
      <c r="F1112" s="6" t="s">
        <v>1547</v>
      </c>
      <c r="G1112" s="6">
        <v>998</v>
      </c>
      <c r="H1112" s="6" t="s">
        <v>1547</v>
      </c>
      <c r="I1112" s="33">
        <v>0</v>
      </c>
      <c r="J1112" s="88">
        <v>0</v>
      </c>
      <c r="K1112" s="89">
        <f t="shared" si="170"/>
        <v>0</v>
      </c>
      <c r="L1112" s="88">
        <f>IF(K1114&gt;0, K1112/K1114, 0)</f>
        <v>0</v>
      </c>
      <c r="M1112" s="58"/>
      <c r="N1112" s="9">
        <f>ROUND(M1114*L1112,0)</f>
        <v>0</v>
      </c>
      <c r="O1112" s="9">
        <v>0</v>
      </c>
      <c r="P1112" s="9">
        <f>N1112-O1112</f>
        <v>0</v>
      </c>
      <c r="Q1112" s="40">
        <f t="shared" si="179"/>
        <v>0</v>
      </c>
      <c r="R1112" s="9">
        <v>0</v>
      </c>
      <c r="S1112" s="9">
        <f t="shared" si="177"/>
        <v>0</v>
      </c>
      <c r="T1112" s="90">
        <f t="shared" si="172"/>
        <v>221</v>
      </c>
      <c r="U1112" s="90">
        <f t="shared" si="173"/>
        <v>998</v>
      </c>
      <c r="V1112" s="373">
        <f t="shared" si="174"/>
        <v>1103</v>
      </c>
      <c r="W1112" s="90">
        <f t="shared" si="175"/>
        <v>0</v>
      </c>
      <c r="X1112" s="90">
        <f t="shared" si="176"/>
        <v>0</v>
      </c>
      <c r="Y1112" s="141">
        <f t="shared" si="178"/>
        <v>1103</v>
      </c>
      <c r="Z1112" s="298">
        <v>221</v>
      </c>
      <c r="AA1112" s="299">
        <v>998</v>
      </c>
      <c r="AB1112" s="299">
        <v>1103</v>
      </c>
      <c r="AC1112" s="301">
        <v>0</v>
      </c>
      <c r="AD1112" s="301">
        <v>0</v>
      </c>
      <c r="AE1112" s="126"/>
      <c r="AF1112" s="298"/>
      <c r="AG1112" s="299"/>
      <c r="AH1112" s="299"/>
      <c r="AI1112" s="301"/>
      <c r="AJ1112" s="301"/>
      <c r="AK1112" s="426"/>
      <c r="AL1112" s="298"/>
      <c r="AM1112" s="299"/>
      <c r="AN1112" s="299"/>
      <c r="AO1112" s="301"/>
      <c r="AP1112" s="301"/>
      <c r="AQ1112" s="426"/>
      <c r="AR1112" s="298"/>
      <c r="AS1112" s="299"/>
      <c r="AT1112" s="299"/>
      <c r="AU1112" s="301"/>
      <c r="AV1112" s="301"/>
      <c r="AW1112" s="88"/>
      <c r="AX1112" s="298"/>
      <c r="AY1112" s="299"/>
      <c r="AZ1112" s="299"/>
      <c r="BA1112" s="301"/>
      <c r="BB1112" s="301"/>
      <c r="BC1112" s="426"/>
      <c r="BD1112" s="298"/>
      <c r="BE1112" s="299"/>
      <c r="BF1112" s="299"/>
      <c r="BG1112" s="301"/>
      <c r="BH1112" s="301"/>
      <c r="BI1112" s="88"/>
      <c r="BJ1112" s="298"/>
      <c r="BK1112" s="299"/>
      <c r="BL1112" s="299"/>
      <c r="BM1112" s="301"/>
      <c r="BN1112" s="301"/>
      <c r="BO1112" s="88"/>
      <c r="BP1112" s="9"/>
      <c r="BS1112" s="81"/>
      <c r="BT1112" s="81"/>
      <c r="BV1112" s="9"/>
      <c r="BY1112" s="81"/>
      <c r="BZ1112" s="81"/>
      <c r="CB1112" s="9"/>
      <c r="CE1112" s="81"/>
      <c r="CF1112" s="81"/>
      <c r="CH1112" s="9"/>
      <c r="CK1112" s="81"/>
      <c r="CL1112" s="81"/>
      <c r="CR1112" s="9"/>
      <c r="CS1112" s="9"/>
      <c r="CT1112" s="9"/>
      <c r="CU1112" s="9"/>
      <c r="CV1112" s="9"/>
      <c r="CW1112" s="129"/>
      <c r="CX1112" s="9"/>
    </row>
    <row r="1113" spans="1:102">
      <c r="A1113" s="6" t="str">
        <f t="shared" si="171"/>
        <v>02210998</v>
      </c>
      <c r="B1113" s="6" t="s">
        <v>1871</v>
      </c>
      <c r="C1113" s="6" t="s">
        <v>2091</v>
      </c>
      <c r="D1113" s="6">
        <v>1104</v>
      </c>
      <c r="E1113" s="6">
        <v>221</v>
      </c>
      <c r="F1113" s="6" t="s">
        <v>1547</v>
      </c>
      <c r="G1113" s="6">
        <v>998</v>
      </c>
      <c r="H1113" s="6" t="s">
        <v>1547</v>
      </c>
      <c r="I1113" s="33">
        <v>0</v>
      </c>
      <c r="J1113" s="88">
        <v>0</v>
      </c>
      <c r="K1113" s="89">
        <f t="shared" si="170"/>
        <v>0</v>
      </c>
      <c r="L1113" s="88">
        <f>IF(K1114&gt;0, K1113/K1114, 0)</f>
        <v>0</v>
      </c>
      <c r="M1113" s="58"/>
      <c r="N1113" s="9">
        <f>ROUND(M1114*L1113,0)</f>
        <v>0</v>
      </c>
      <c r="O1113" s="9">
        <v>0</v>
      </c>
      <c r="P1113" s="9">
        <f>N1113-O1113</f>
        <v>0</v>
      </c>
      <c r="Q1113" s="40">
        <f t="shared" si="179"/>
        <v>0</v>
      </c>
      <c r="R1113" s="9">
        <v>0</v>
      </c>
      <c r="S1113" s="9">
        <f t="shared" si="177"/>
        <v>0</v>
      </c>
      <c r="T1113" s="90">
        <f t="shared" si="172"/>
        <v>221</v>
      </c>
      <c r="U1113" s="90">
        <f t="shared" si="173"/>
        <v>998</v>
      </c>
      <c r="V1113" s="373">
        <f t="shared" si="174"/>
        <v>1104</v>
      </c>
      <c r="W1113" s="90">
        <f t="shared" si="175"/>
        <v>0</v>
      </c>
      <c r="X1113" s="90">
        <f t="shared" si="176"/>
        <v>0</v>
      </c>
      <c r="Y1113" s="141">
        <f t="shared" si="178"/>
        <v>1104</v>
      </c>
      <c r="Z1113" s="298">
        <v>221</v>
      </c>
      <c r="AA1113" s="299">
        <v>998</v>
      </c>
      <c r="AB1113" s="299">
        <v>1104</v>
      </c>
      <c r="AC1113" s="301">
        <v>0</v>
      </c>
      <c r="AD1113" s="301">
        <v>0</v>
      </c>
      <c r="AE1113" s="126"/>
      <c r="AF1113" s="298"/>
      <c r="AG1113" s="299"/>
      <c r="AH1113" s="299"/>
      <c r="AI1113" s="301"/>
      <c r="AJ1113" s="301"/>
      <c r="AK1113" s="426"/>
      <c r="AL1113" s="298"/>
      <c r="AM1113" s="299"/>
      <c r="AN1113" s="299"/>
      <c r="AO1113" s="301"/>
      <c r="AP1113" s="301"/>
      <c r="AQ1113" s="426"/>
      <c r="AR1113" s="298"/>
      <c r="AS1113" s="299"/>
      <c r="AT1113" s="299"/>
      <c r="AU1113" s="301"/>
      <c r="AV1113" s="301"/>
      <c r="AW1113" s="88"/>
      <c r="AX1113" s="298"/>
      <c r="AY1113" s="299"/>
      <c r="AZ1113" s="299"/>
      <c r="BA1113" s="301"/>
      <c r="BB1113" s="301"/>
      <c r="BC1113" s="426"/>
      <c r="BD1113" s="298"/>
      <c r="BE1113" s="299"/>
      <c r="BF1113" s="299"/>
      <c r="BG1113" s="301"/>
      <c r="BH1113" s="301"/>
      <c r="BI1113" s="88"/>
      <c r="BJ1113" s="298"/>
      <c r="BK1113" s="299"/>
      <c r="BL1113" s="299"/>
      <c r="BM1113" s="301"/>
      <c r="BN1113" s="301"/>
      <c r="BO1113" s="88"/>
      <c r="BP1113" s="9"/>
      <c r="BS1113" s="81"/>
      <c r="BT1113" s="81"/>
      <c r="BV1113" s="9"/>
      <c r="BY1113" s="81"/>
      <c r="BZ1113" s="81"/>
      <c r="CB1113" s="9"/>
      <c r="CE1113" s="81"/>
      <c r="CF1113" s="81"/>
      <c r="CH1113" s="9"/>
      <c r="CK1113" s="81"/>
      <c r="CL1113" s="81"/>
      <c r="CR1113" s="9"/>
      <c r="CS1113" s="9"/>
      <c r="CT1113" s="9"/>
      <c r="CU1113" s="9"/>
      <c r="CV1113" s="9"/>
      <c r="CW1113" s="129"/>
      <c r="CX1113" s="9"/>
    </row>
    <row r="1114" spans="1:102">
      <c r="A1114" s="6" t="str">
        <f t="shared" si="171"/>
        <v>02210999</v>
      </c>
      <c r="B1114" s="6" t="s">
        <v>1871</v>
      </c>
      <c r="C1114" s="6" t="s">
        <v>2092</v>
      </c>
      <c r="D1114" s="6">
        <v>1105</v>
      </c>
      <c r="E1114" s="10">
        <v>221</v>
      </c>
      <c r="F1114" s="10" t="s">
        <v>1339</v>
      </c>
      <c r="G1114" s="10">
        <v>999</v>
      </c>
      <c r="H1114" s="10" t="s">
        <v>593</v>
      </c>
      <c r="I1114" s="92">
        <v>10721884.08452091</v>
      </c>
      <c r="J1114" s="472">
        <v>1</v>
      </c>
      <c r="K1114" s="53">
        <f>SUM(K1110:K1113)</f>
        <v>10071940.635885034</v>
      </c>
      <c r="L1114" s="91">
        <f>SUM(L1110:L1113)</f>
        <v>1</v>
      </c>
      <c r="M1114" s="79">
        <f>VLOOKUP(E1114,town351,24)</f>
        <v>8309351</v>
      </c>
      <c r="N1114" s="79">
        <f>SUM(N1110:N1113)</f>
        <v>8309351</v>
      </c>
      <c r="O1114" s="79">
        <v>7488129</v>
      </c>
      <c r="P1114" s="79">
        <f>SUM(P1110:P1113)</f>
        <v>821222</v>
      </c>
      <c r="Q1114" s="39">
        <f t="shared" si="179"/>
        <v>10.966985210858413</v>
      </c>
      <c r="R1114" s="9">
        <v>671.99999999744</v>
      </c>
      <c r="S1114" s="9">
        <f t="shared" si="177"/>
        <v>638.00000000119996</v>
      </c>
      <c r="T1114" s="90">
        <f t="shared" si="172"/>
        <v>221</v>
      </c>
      <c r="U1114" s="90">
        <f t="shared" si="173"/>
        <v>999</v>
      </c>
      <c r="V1114" s="373">
        <f t="shared" si="174"/>
        <v>1105</v>
      </c>
      <c r="W1114" s="90">
        <f t="shared" si="175"/>
        <v>638.00000000119996</v>
      </c>
      <c r="X1114" s="90">
        <f t="shared" si="176"/>
        <v>10071940.635885034</v>
      </c>
      <c r="Y1114" s="141">
        <f t="shared" si="178"/>
        <v>1105</v>
      </c>
      <c r="Z1114" s="298">
        <v>221</v>
      </c>
      <c r="AA1114" s="299">
        <v>999</v>
      </c>
      <c r="AB1114" s="299">
        <v>1105</v>
      </c>
      <c r="AC1114" s="301">
        <v>638.00000000119996</v>
      </c>
      <c r="AD1114" s="301">
        <v>10071940.635885034</v>
      </c>
      <c r="AE1114" s="126"/>
      <c r="AF1114" s="298"/>
      <c r="AG1114" s="299"/>
      <c r="AH1114" s="299"/>
      <c r="AI1114" s="301"/>
      <c r="AJ1114" s="301"/>
      <c r="AK1114" s="426"/>
      <c r="AL1114" s="298"/>
      <c r="AM1114" s="299"/>
      <c r="AN1114" s="299"/>
      <c r="AO1114" s="301"/>
      <c r="AP1114" s="301"/>
      <c r="AQ1114" s="426"/>
      <c r="AR1114" s="298"/>
      <c r="AS1114" s="299"/>
      <c r="AT1114" s="299"/>
      <c r="AU1114" s="301"/>
      <c r="AV1114" s="301"/>
      <c r="AW1114" s="91"/>
      <c r="AX1114" s="298"/>
      <c r="AY1114" s="299"/>
      <c r="AZ1114" s="299"/>
      <c r="BA1114" s="301"/>
      <c r="BB1114" s="301"/>
      <c r="BC1114" s="426"/>
      <c r="BD1114" s="298"/>
      <c r="BE1114" s="299"/>
      <c r="BF1114" s="299"/>
      <c r="BG1114" s="301"/>
      <c r="BH1114" s="301"/>
      <c r="BI1114" s="91"/>
      <c r="BJ1114" s="298"/>
      <c r="BK1114" s="299"/>
      <c r="BL1114" s="299"/>
      <c r="BM1114" s="301"/>
      <c r="BN1114" s="301"/>
      <c r="BO1114" s="91"/>
      <c r="BP1114" s="9"/>
      <c r="BS1114" s="81"/>
      <c r="BT1114" s="81"/>
      <c r="BV1114" s="9"/>
      <c r="BY1114" s="81"/>
      <c r="BZ1114" s="81"/>
      <c r="CB1114" s="9"/>
      <c r="CE1114" s="81"/>
      <c r="CF1114" s="81"/>
      <c r="CH1114" s="9"/>
      <c r="CK1114" s="81"/>
      <c r="CL1114" s="81"/>
      <c r="CR1114" s="9"/>
      <c r="CS1114" s="9"/>
      <c r="CT1114" s="9"/>
      <c r="CU1114" s="9"/>
      <c r="CV1114" s="9"/>
      <c r="CW1114" s="129"/>
      <c r="CX1114" s="9"/>
    </row>
    <row r="1115" spans="1:102">
      <c r="A1115" s="6" t="str">
        <f t="shared" si="171"/>
        <v>02220222</v>
      </c>
      <c r="B1115" s="6" t="s">
        <v>1872</v>
      </c>
      <c r="C1115" s="6" t="s">
        <v>1872</v>
      </c>
      <c r="D1115" s="6">
        <v>1106</v>
      </c>
      <c r="E1115" s="6">
        <v>222</v>
      </c>
      <c r="F1115" s="6" t="s">
        <v>1340</v>
      </c>
      <c r="G1115" s="6">
        <v>222</v>
      </c>
      <c r="H1115" s="6" t="s">
        <v>903</v>
      </c>
      <c r="I1115" s="33">
        <v>0</v>
      </c>
      <c r="J1115" s="88">
        <v>0</v>
      </c>
      <c r="K1115" s="89">
        <f>X1115</f>
        <v>0</v>
      </c>
      <c r="L1115" s="88">
        <f>IF(K1119&gt;0, K1115/K1119, 0)</f>
        <v>0</v>
      </c>
      <c r="M1115" s="58"/>
      <c r="N1115" s="9">
        <f>ROUND(M1119*L1115,0)</f>
        <v>0</v>
      </c>
      <c r="O1115" s="9">
        <v>0</v>
      </c>
      <c r="P1115" s="9">
        <f>N1115-O1115</f>
        <v>0</v>
      </c>
      <c r="Q1115" s="40">
        <f t="shared" si="179"/>
        <v>0</v>
      </c>
      <c r="R1115" s="9">
        <v>0</v>
      </c>
      <c r="S1115" s="9">
        <f t="shared" si="177"/>
        <v>0</v>
      </c>
      <c r="T1115" s="90">
        <f t="shared" si="172"/>
        <v>222</v>
      </c>
      <c r="U1115" s="90">
        <f t="shared" si="173"/>
        <v>222</v>
      </c>
      <c r="V1115" s="373">
        <f t="shared" si="174"/>
        <v>1106</v>
      </c>
      <c r="W1115" s="90">
        <f t="shared" si="175"/>
        <v>0</v>
      </c>
      <c r="X1115" s="90">
        <f t="shared" si="176"/>
        <v>0</v>
      </c>
      <c r="Y1115" s="141">
        <f t="shared" si="178"/>
        <v>1106</v>
      </c>
      <c r="Z1115" s="298">
        <v>222</v>
      </c>
      <c r="AA1115" s="299">
        <v>222</v>
      </c>
      <c r="AB1115" s="299">
        <v>1106</v>
      </c>
      <c r="AC1115" s="301">
        <v>0</v>
      </c>
      <c r="AD1115" s="301">
        <v>0</v>
      </c>
      <c r="AE1115" s="126"/>
      <c r="AF1115" s="298"/>
      <c r="AG1115" s="299"/>
      <c r="AH1115" s="299"/>
      <c r="AI1115" s="301"/>
      <c r="AJ1115" s="301"/>
      <c r="AK1115" s="426"/>
      <c r="AL1115" s="298"/>
      <c r="AM1115" s="299"/>
      <c r="AN1115" s="299"/>
      <c r="AO1115" s="301"/>
      <c r="AP1115" s="301"/>
      <c r="AQ1115" s="426"/>
      <c r="AR1115" s="298"/>
      <c r="AS1115" s="299"/>
      <c r="AT1115" s="299"/>
      <c r="AU1115" s="301"/>
      <c r="AV1115" s="301"/>
      <c r="AW1115" s="88"/>
      <c r="AX1115" s="298"/>
      <c r="AY1115" s="299"/>
      <c r="AZ1115" s="299"/>
      <c r="BA1115" s="301"/>
      <c r="BB1115" s="301"/>
      <c r="BC1115" s="426"/>
      <c r="BD1115" s="298"/>
      <c r="BE1115" s="299"/>
      <c r="BF1115" s="299"/>
      <c r="BG1115" s="301"/>
      <c r="BH1115" s="301"/>
      <c r="BI1115" s="88"/>
      <c r="BJ1115" s="298"/>
      <c r="BK1115" s="299"/>
      <c r="BL1115" s="299"/>
      <c r="BM1115" s="301"/>
      <c r="BN1115" s="301"/>
      <c r="BO1115" s="88"/>
      <c r="BP1115" s="9"/>
      <c r="BS1115" s="81"/>
      <c r="BT1115" s="81"/>
      <c r="BV1115" s="9"/>
      <c r="BY1115" s="81"/>
      <c r="BZ1115" s="81"/>
      <c r="CB1115" s="9"/>
      <c r="CE1115" s="81"/>
      <c r="CF1115" s="81"/>
      <c r="CH1115" s="9"/>
      <c r="CK1115" s="81"/>
      <c r="CL1115" s="81"/>
      <c r="CR1115" s="9"/>
      <c r="CS1115" s="9"/>
      <c r="CT1115" s="9"/>
      <c r="CU1115" s="9"/>
      <c r="CV1115" s="9"/>
      <c r="CW1115" s="129"/>
      <c r="CX1115" s="9"/>
    </row>
    <row r="1116" spans="1:102">
      <c r="A1116" s="6" t="str">
        <f t="shared" si="171"/>
        <v>02220753</v>
      </c>
      <c r="B1116" s="6" t="s">
        <v>1872</v>
      </c>
      <c r="C1116" s="6" t="s">
        <v>2049</v>
      </c>
      <c r="D1116" s="6">
        <v>1107</v>
      </c>
      <c r="E1116" s="6">
        <v>222</v>
      </c>
      <c r="F1116" s="6" t="s">
        <v>1340</v>
      </c>
      <c r="G1116" s="6">
        <v>753</v>
      </c>
      <c r="H1116" s="6" t="s">
        <v>1079</v>
      </c>
      <c r="I1116" s="33">
        <v>3359895.9405784071</v>
      </c>
      <c r="J1116" s="88">
        <v>0.92403160458534561</v>
      </c>
      <c r="K1116" s="89">
        <f t="shared" si="170"/>
        <v>3273018.8337757913</v>
      </c>
      <c r="L1116" s="88">
        <f>IF(K1119&gt;0, K1116/K1119, 0)</f>
        <v>0.9147432121427812</v>
      </c>
      <c r="M1116" s="58"/>
      <c r="N1116" s="9">
        <f>ROUND(M1119*L1116,0)</f>
        <v>1803220</v>
      </c>
      <c r="O1116" s="9">
        <v>1736114</v>
      </c>
      <c r="P1116" s="9">
        <f>N1116-O1116</f>
        <v>67106</v>
      </c>
      <c r="Q1116" s="40">
        <f t="shared" si="179"/>
        <v>3.865299168142184</v>
      </c>
      <c r="R1116" s="9">
        <v>242.42047713516001</v>
      </c>
      <c r="S1116" s="9">
        <f t="shared" si="177"/>
        <v>228.14731020193</v>
      </c>
      <c r="T1116" s="90">
        <f t="shared" si="172"/>
        <v>222</v>
      </c>
      <c r="U1116" s="90">
        <f t="shared" si="173"/>
        <v>753</v>
      </c>
      <c r="V1116" s="373">
        <f t="shared" si="174"/>
        <v>1107</v>
      </c>
      <c r="W1116" s="90">
        <f t="shared" si="175"/>
        <v>228.14731020193</v>
      </c>
      <c r="X1116" s="90">
        <f t="shared" si="176"/>
        <v>3273018.8337757913</v>
      </c>
      <c r="Y1116" s="141">
        <f t="shared" si="178"/>
        <v>1107</v>
      </c>
      <c r="Z1116" s="298">
        <v>222</v>
      </c>
      <c r="AA1116" s="299">
        <v>753</v>
      </c>
      <c r="AB1116" s="299">
        <v>1107</v>
      </c>
      <c r="AC1116" s="301">
        <v>228.14731020193</v>
      </c>
      <c r="AD1116" s="301">
        <v>3273018.8337757913</v>
      </c>
      <c r="AE1116" s="126"/>
      <c r="AF1116" s="298"/>
      <c r="AG1116" s="299"/>
      <c r="AH1116" s="299"/>
      <c r="AI1116" s="301"/>
      <c r="AJ1116" s="301"/>
      <c r="AK1116" s="426"/>
      <c r="AL1116" s="298"/>
      <c r="AM1116" s="299"/>
      <c r="AN1116" s="299"/>
      <c r="AO1116" s="301"/>
      <c r="AP1116" s="301"/>
      <c r="AQ1116" s="426"/>
      <c r="AR1116" s="298"/>
      <c r="AS1116" s="299"/>
      <c r="AT1116" s="299"/>
      <c r="AU1116" s="301"/>
      <c r="AV1116" s="301"/>
      <c r="AW1116" s="88"/>
      <c r="AX1116" s="298"/>
      <c r="AY1116" s="299"/>
      <c r="AZ1116" s="299"/>
      <c r="BA1116" s="301"/>
      <c r="BB1116" s="301"/>
      <c r="BC1116" s="426"/>
      <c r="BD1116" s="298"/>
      <c r="BE1116" s="299"/>
      <c r="BF1116" s="299"/>
      <c r="BG1116" s="301"/>
      <c r="BH1116" s="301"/>
      <c r="BI1116" s="88"/>
      <c r="BJ1116" s="298"/>
      <c r="BK1116" s="299"/>
      <c r="BL1116" s="299"/>
      <c r="BM1116" s="301"/>
      <c r="BN1116" s="301"/>
      <c r="BO1116" s="88"/>
      <c r="BP1116" s="9"/>
      <c r="BS1116" s="81"/>
      <c r="BT1116" s="81"/>
      <c r="BV1116" s="9"/>
      <c r="BY1116" s="81"/>
      <c r="BZ1116" s="81"/>
      <c r="CB1116" s="9"/>
      <c r="CE1116" s="81"/>
      <c r="CF1116" s="81"/>
      <c r="CH1116" s="9"/>
      <c r="CK1116" s="81"/>
      <c r="CL1116" s="81"/>
      <c r="CR1116" s="9"/>
      <c r="CS1116" s="9"/>
      <c r="CT1116" s="9"/>
      <c r="CU1116" s="9"/>
      <c r="CV1116" s="9"/>
      <c r="CW1116" s="129"/>
      <c r="CX1116" s="9"/>
    </row>
    <row r="1117" spans="1:102">
      <c r="A1117" s="6" t="str">
        <f t="shared" si="171"/>
        <v>02220860</v>
      </c>
      <c r="B1117" s="6" t="s">
        <v>1872</v>
      </c>
      <c r="C1117" s="6" t="s">
        <v>2080</v>
      </c>
      <c r="D1117" s="6">
        <v>1108</v>
      </c>
      <c r="E1117" s="6">
        <v>222</v>
      </c>
      <c r="F1117" s="6" t="s">
        <v>1340</v>
      </c>
      <c r="G1117" s="6">
        <v>860</v>
      </c>
      <c r="H1117" s="6" t="s">
        <v>1110</v>
      </c>
      <c r="I1117" s="33">
        <v>276230.7069361473</v>
      </c>
      <c r="J1117" s="88">
        <v>7.5968395414654374E-2</v>
      </c>
      <c r="K1117" s="89">
        <f t="shared" si="170"/>
        <v>305055.08940617146</v>
      </c>
      <c r="L1117" s="88">
        <f>IF(K1119&gt;0, K1117/K1119, 0)</f>
        <v>8.525678785721888E-2</v>
      </c>
      <c r="M1117" s="58"/>
      <c r="N1117" s="9">
        <f>ROUND(M1119*L1117,0)</f>
        <v>168066</v>
      </c>
      <c r="O1117" s="9">
        <v>142733</v>
      </c>
      <c r="P1117" s="9">
        <f>N1117-O1117</f>
        <v>25333</v>
      </c>
      <c r="Q1117" s="40">
        <f t="shared" si="179"/>
        <v>17.748523466892731</v>
      </c>
      <c r="R1117" s="9">
        <v>13.00000000278</v>
      </c>
      <c r="S1117" s="9">
        <f t="shared" si="177"/>
        <v>13.999999998530001</v>
      </c>
      <c r="T1117" s="90">
        <f t="shared" si="172"/>
        <v>222</v>
      </c>
      <c r="U1117" s="90">
        <f t="shared" si="173"/>
        <v>860</v>
      </c>
      <c r="V1117" s="373">
        <f t="shared" si="174"/>
        <v>1108</v>
      </c>
      <c r="W1117" s="90">
        <f t="shared" si="175"/>
        <v>13.999999998530001</v>
      </c>
      <c r="X1117" s="90">
        <f t="shared" si="176"/>
        <v>305055.08940617146</v>
      </c>
      <c r="Y1117" s="141">
        <f t="shared" si="178"/>
        <v>1108</v>
      </c>
      <c r="Z1117" s="298">
        <v>222</v>
      </c>
      <c r="AA1117" s="299">
        <v>860</v>
      </c>
      <c r="AB1117" s="299">
        <v>1108</v>
      </c>
      <c r="AC1117" s="301">
        <v>13.999999998530001</v>
      </c>
      <c r="AD1117" s="301">
        <v>305055.08940617146</v>
      </c>
      <c r="AE1117" s="126"/>
      <c r="AF1117" s="298"/>
      <c r="AG1117" s="299"/>
      <c r="AH1117" s="299"/>
      <c r="AI1117" s="301"/>
      <c r="AJ1117" s="301"/>
      <c r="AK1117" s="426"/>
      <c r="AL1117" s="298"/>
      <c r="AM1117" s="299"/>
      <c r="AN1117" s="299"/>
      <c r="AO1117" s="301"/>
      <c r="AP1117" s="301"/>
      <c r="AQ1117" s="426"/>
      <c r="AR1117" s="298"/>
      <c r="AS1117" s="299"/>
      <c r="AT1117" s="299"/>
      <c r="AU1117" s="301"/>
      <c r="AV1117" s="301"/>
      <c r="AW1117" s="88"/>
      <c r="AX1117" s="298"/>
      <c r="AY1117" s="299"/>
      <c r="AZ1117" s="299"/>
      <c r="BA1117" s="301"/>
      <c r="BB1117" s="301"/>
      <c r="BC1117" s="426"/>
      <c r="BD1117" s="298"/>
      <c r="BE1117" s="299"/>
      <c r="BF1117" s="299"/>
      <c r="BG1117" s="301"/>
      <c r="BH1117" s="301"/>
      <c r="BI1117" s="88"/>
      <c r="BJ1117" s="298"/>
      <c r="BK1117" s="299"/>
      <c r="BL1117" s="299"/>
      <c r="BM1117" s="301"/>
      <c r="BN1117" s="301"/>
      <c r="BO1117" s="88"/>
      <c r="BP1117" s="9"/>
      <c r="BS1117" s="81"/>
      <c r="BT1117" s="81"/>
      <c r="BV1117" s="9"/>
      <c r="BY1117" s="81"/>
      <c r="BZ1117" s="81"/>
      <c r="CB1117" s="9"/>
      <c r="CE1117" s="81"/>
      <c r="CF1117" s="81"/>
      <c r="CH1117" s="9"/>
      <c r="CK1117" s="81"/>
      <c r="CL1117" s="81"/>
      <c r="CR1117" s="9"/>
      <c r="CS1117" s="9"/>
      <c r="CT1117" s="9"/>
      <c r="CU1117" s="9"/>
      <c r="CV1117" s="9"/>
      <c r="CW1117" s="129"/>
      <c r="CX1117" s="9"/>
    </row>
    <row r="1118" spans="1:102">
      <c r="A1118" s="6" t="str">
        <f t="shared" si="171"/>
        <v>02220998</v>
      </c>
      <c r="B1118" s="6" t="s">
        <v>1872</v>
      </c>
      <c r="C1118" s="6" t="s">
        <v>2091</v>
      </c>
      <c r="D1118" s="6">
        <v>1109</v>
      </c>
      <c r="E1118" s="6">
        <v>222</v>
      </c>
      <c r="F1118" s="6" t="s">
        <v>1547</v>
      </c>
      <c r="G1118" s="6">
        <v>998</v>
      </c>
      <c r="H1118" s="6" t="s">
        <v>1547</v>
      </c>
      <c r="I1118" s="33">
        <v>0</v>
      </c>
      <c r="J1118" s="88">
        <v>0</v>
      </c>
      <c r="K1118" s="89">
        <f t="shared" si="170"/>
        <v>0</v>
      </c>
      <c r="L1118" s="88">
        <f>IF(K1119&gt;0, K1118/K1119, 0)</f>
        <v>0</v>
      </c>
      <c r="M1118" s="58"/>
      <c r="N1118" s="9">
        <f>ROUND(M1119*L1118,0)</f>
        <v>0</v>
      </c>
      <c r="O1118" s="9">
        <v>0</v>
      </c>
      <c r="P1118" s="9">
        <f>N1118-O1118</f>
        <v>0</v>
      </c>
      <c r="Q1118" s="40">
        <f t="shared" si="179"/>
        <v>0</v>
      </c>
      <c r="R1118" s="9">
        <v>0</v>
      </c>
      <c r="S1118" s="9">
        <f t="shared" si="177"/>
        <v>0</v>
      </c>
      <c r="T1118" s="90">
        <f t="shared" si="172"/>
        <v>222</v>
      </c>
      <c r="U1118" s="90">
        <f t="shared" si="173"/>
        <v>998</v>
      </c>
      <c r="V1118" s="373">
        <f t="shared" si="174"/>
        <v>1109</v>
      </c>
      <c r="W1118" s="90">
        <f t="shared" si="175"/>
        <v>0</v>
      </c>
      <c r="X1118" s="90">
        <f t="shared" si="176"/>
        <v>0</v>
      </c>
      <c r="Y1118" s="141">
        <f t="shared" si="178"/>
        <v>1109</v>
      </c>
      <c r="Z1118" s="298">
        <v>222</v>
      </c>
      <c r="AA1118" s="299">
        <v>998</v>
      </c>
      <c r="AB1118" s="299">
        <v>1109</v>
      </c>
      <c r="AC1118" s="301">
        <v>0</v>
      </c>
      <c r="AD1118" s="301">
        <v>0</v>
      </c>
      <c r="AE1118" s="126"/>
      <c r="AF1118" s="298"/>
      <c r="AG1118" s="299"/>
      <c r="AH1118" s="299"/>
      <c r="AI1118" s="301"/>
      <c r="AJ1118" s="301"/>
      <c r="AK1118" s="426"/>
      <c r="AL1118" s="298"/>
      <c r="AM1118" s="299"/>
      <c r="AN1118" s="299"/>
      <c r="AO1118" s="301"/>
      <c r="AP1118" s="301"/>
      <c r="AQ1118" s="426"/>
      <c r="AR1118" s="298"/>
      <c r="AS1118" s="299"/>
      <c r="AT1118" s="299"/>
      <c r="AU1118" s="301"/>
      <c r="AV1118" s="301"/>
      <c r="AW1118" s="88"/>
      <c r="AX1118" s="298"/>
      <c r="AY1118" s="299"/>
      <c r="AZ1118" s="299"/>
      <c r="BA1118" s="301"/>
      <c r="BB1118" s="301"/>
      <c r="BC1118" s="426"/>
      <c r="BD1118" s="298"/>
      <c r="BE1118" s="299"/>
      <c r="BF1118" s="299"/>
      <c r="BG1118" s="301"/>
      <c r="BH1118" s="301"/>
      <c r="BI1118" s="88"/>
      <c r="BJ1118" s="298"/>
      <c r="BK1118" s="299"/>
      <c r="BL1118" s="299"/>
      <c r="BM1118" s="301"/>
      <c r="BN1118" s="301"/>
      <c r="BO1118" s="88"/>
      <c r="BP1118" s="9"/>
      <c r="BS1118" s="81"/>
      <c r="BT1118" s="81"/>
      <c r="BV1118" s="9"/>
      <c r="BY1118" s="81"/>
      <c r="BZ1118" s="81"/>
      <c r="CB1118" s="9"/>
      <c r="CE1118" s="81"/>
      <c r="CF1118" s="81"/>
      <c r="CH1118" s="9"/>
      <c r="CK1118" s="81"/>
      <c r="CL1118" s="81"/>
      <c r="CR1118" s="9"/>
      <c r="CS1118" s="9"/>
      <c r="CT1118" s="9"/>
      <c r="CU1118" s="9"/>
      <c r="CV1118" s="9"/>
      <c r="CW1118" s="129"/>
      <c r="CX1118" s="9"/>
    </row>
    <row r="1119" spans="1:102">
      <c r="A1119" s="6" t="str">
        <f t="shared" si="171"/>
        <v>02220999</v>
      </c>
      <c r="B1119" s="6" t="s">
        <v>1872</v>
      </c>
      <c r="C1119" s="6" t="s">
        <v>2092</v>
      </c>
      <c r="D1119" s="6">
        <v>1110</v>
      </c>
      <c r="E1119" s="10">
        <v>222</v>
      </c>
      <c r="F1119" s="10" t="s">
        <v>1340</v>
      </c>
      <c r="G1119" s="10">
        <v>999</v>
      </c>
      <c r="H1119" s="10" t="s">
        <v>593</v>
      </c>
      <c r="I1119" s="92">
        <v>3636126.6475145547</v>
      </c>
      <c r="J1119" s="472">
        <v>1</v>
      </c>
      <c r="K1119" s="53">
        <f>SUM(K1115:K1118)</f>
        <v>3578073.9231819627</v>
      </c>
      <c r="L1119" s="91">
        <f>SUM(L1115:L1118)</f>
        <v>1</v>
      </c>
      <c r="M1119" s="79">
        <f>VLOOKUP(E1119,town351,24)</f>
        <v>1971286</v>
      </c>
      <c r="N1119" s="79">
        <f>SUM(N1115:N1118)</f>
        <v>1971286</v>
      </c>
      <c r="O1119" s="79">
        <v>1878847</v>
      </c>
      <c r="P1119" s="79">
        <f>SUM(P1115:P1118)</f>
        <v>92439</v>
      </c>
      <c r="Q1119" s="39">
        <f t="shared" si="179"/>
        <v>4.9199855017465497</v>
      </c>
      <c r="R1119" s="9">
        <v>255.42047713794003</v>
      </c>
      <c r="S1119" s="9">
        <f t="shared" si="177"/>
        <v>242.14731020046</v>
      </c>
      <c r="T1119" s="90">
        <f t="shared" si="172"/>
        <v>222</v>
      </c>
      <c r="U1119" s="90">
        <f t="shared" si="173"/>
        <v>999</v>
      </c>
      <c r="V1119" s="373">
        <f t="shared" si="174"/>
        <v>1110</v>
      </c>
      <c r="W1119" s="90">
        <f t="shared" si="175"/>
        <v>242.14731020046</v>
      </c>
      <c r="X1119" s="90">
        <f t="shared" si="176"/>
        <v>3578073.9231819627</v>
      </c>
      <c r="Y1119" s="141">
        <f t="shared" si="178"/>
        <v>1110</v>
      </c>
      <c r="Z1119" s="298">
        <v>222</v>
      </c>
      <c r="AA1119" s="299">
        <v>999</v>
      </c>
      <c r="AB1119" s="299">
        <v>1110</v>
      </c>
      <c r="AC1119" s="301">
        <v>242.14731020046</v>
      </c>
      <c r="AD1119" s="301">
        <v>3578073.9231819627</v>
      </c>
      <c r="AE1119" s="126"/>
      <c r="AF1119" s="298"/>
      <c r="AG1119" s="299"/>
      <c r="AH1119" s="299"/>
      <c r="AI1119" s="301"/>
      <c r="AJ1119" s="301"/>
      <c r="AK1119" s="426"/>
      <c r="AL1119" s="298"/>
      <c r="AM1119" s="299"/>
      <c r="AN1119" s="299"/>
      <c r="AO1119" s="301"/>
      <c r="AP1119" s="301"/>
      <c r="AQ1119" s="426"/>
      <c r="AR1119" s="298"/>
      <c r="AS1119" s="299"/>
      <c r="AT1119" s="299"/>
      <c r="AU1119" s="301"/>
      <c r="AV1119" s="301"/>
      <c r="AW1119" s="91"/>
      <c r="AX1119" s="298"/>
      <c r="AY1119" s="299"/>
      <c r="AZ1119" s="299"/>
      <c r="BA1119" s="301"/>
      <c r="BB1119" s="301"/>
      <c r="BC1119" s="426"/>
      <c r="BD1119" s="298"/>
      <c r="BE1119" s="299"/>
      <c r="BF1119" s="299"/>
      <c r="BG1119" s="301"/>
      <c r="BH1119" s="301"/>
      <c r="BI1119" s="91"/>
      <c r="BJ1119" s="298"/>
      <c r="BK1119" s="299"/>
      <c r="BL1119" s="299"/>
      <c r="BM1119" s="301"/>
      <c r="BN1119" s="301"/>
      <c r="BO1119" s="91"/>
      <c r="BP1119" s="9"/>
      <c r="BS1119" s="81"/>
      <c r="BT1119" s="81"/>
      <c r="BV1119" s="9"/>
      <c r="BY1119" s="81"/>
      <c r="BZ1119" s="81"/>
      <c r="CB1119" s="9"/>
      <c r="CE1119" s="81"/>
      <c r="CF1119" s="81"/>
      <c r="CH1119" s="9"/>
      <c r="CK1119" s="81"/>
      <c r="CL1119" s="81"/>
      <c r="CR1119" s="9"/>
      <c r="CS1119" s="9"/>
      <c r="CT1119" s="9"/>
      <c r="CU1119" s="9"/>
      <c r="CV1119" s="9"/>
      <c r="CW1119" s="129"/>
      <c r="CX1119" s="9"/>
    </row>
    <row r="1120" spans="1:102">
      <c r="A1120" s="6" t="str">
        <f t="shared" si="171"/>
        <v>02230223</v>
      </c>
      <c r="B1120" s="6" t="s">
        <v>1873</v>
      </c>
      <c r="C1120" s="6" t="s">
        <v>1873</v>
      </c>
      <c r="D1120" s="6">
        <v>1111</v>
      </c>
      <c r="E1120" s="6">
        <v>223</v>
      </c>
      <c r="F1120" s="6" t="s">
        <v>1341</v>
      </c>
      <c r="G1120" s="6">
        <v>223</v>
      </c>
      <c r="H1120" s="6" t="s">
        <v>904</v>
      </c>
      <c r="I1120" s="33">
        <v>9212499.9199999981</v>
      </c>
      <c r="J1120" s="88">
        <v>0.51042123838776343</v>
      </c>
      <c r="K1120" s="89">
        <f t="shared" ref="K1120:K1183" si="180">X1120</f>
        <v>9418168.6300000008</v>
      </c>
      <c r="L1120" s="88">
        <f>IF(K1124&gt;0, K1120/K1124, 0)</f>
        <v>0.50709586195802203</v>
      </c>
      <c r="M1120" s="58"/>
      <c r="N1120" s="9">
        <f>ROUND(M1124*L1120,0)</f>
        <v>2446944</v>
      </c>
      <c r="O1120" s="9">
        <v>2332598</v>
      </c>
      <c r="P1120" s="9">
        <f>N1120-O1120</f>
        <v>114346</v>
      </c>
      <c r="Q1120" s="40">
        <f t="shared" si="179"/>
        <v>4.9020877150713495</v>
      </c>
      <c r="R1120" s="9">
        <v>583</v>
      </c>
      <c r="S1120" s="9">
        <f t="shared" si="177"/>
        <v>573</v>
      </c>
      <c r="T1120" s="90">
        <f t="shared" si="172"/>
        <v>223</v>
      </c>
      <c r="U1120" s="90">
        <f t="shared" si="173"/>
        <v>223</v>
      </c>
      <c r="V1120" s="373">
        <f t="shared" si="174"/>
        <v>1111</v>
      </c>
      <c r="W1120" s="90">
        <f t="shared" si="175"/>
        <v>573</v>
      </c>
      <c r="X1120" s="90">
        <f t="shared" si="176"/>
        <v>9418168.6300000008</v>
      </c>
      <c r="Y1120" s="141">
        <f t="shared" si="178"/>
        <v>1111</v>
      </c>
      <c r="Z1120" s="298">
        <v>223</v>
      </c>
      <c r="AA1120" s="299">
        <v>223</v>
      </c>
      <c r="AB1120" s="299">
        <v>1111</v>
      </c>
      <c r="AC1120" s="301">
        <v>573</v>
      </c>
      <c r="AD1120" s="301">
        <v>9418168.6300000008</v>
      </c>
      <c r="AE1120" s="126"/>
      <c r="AF1120" s="298"/>
      <c r="AG1120" s="299"/>
      <c r="AH1120" s="299"/>
      <c r="AI1120" s="301"/>
      <c r="AJ1120" s="301"/>
      <c r="AK1120" s="426"/>
      <c r="AL1120" s="298"/>
      <c r="AM1120" s="299"/>
      <c r="AN1120" s="299"/>
      <c r="AO1120" s="301"/>
      <c r="AP1120" s="301"/>
      <c r="AQ1120" s="426"/>
      <c r="AR1120" s="298"/>
      <c r="AS1120" s="299"/>
      <c r="AT1120" s="299"/>
      <c r="AU1120" s="301"/>
      <c r="AV1120" s="301"/>
      <c r="AW1120" s="88"/>
      <c r="AX1120" s="298"/>
      <c r="AY1120" s="299"/>
      <c r="AZ1120" s="299"/>
      <c r="BA1120" s="301"/>
      <c r="BB1120" s="301"/>
      <c r="BC1120" s="426"/>
      <c r="BD1120" s="298"/>
      <c r="BE1120" s="299"/>
      <c r="BF1120" s="299"/>
      <c r="BG1120" s="301"/>
      <c r="BH1120" s="301"/>
      <c r="BI1120" s="88"/>
      <c r="BJ1120" s="298"/>
      <c r="BK1120" s="299"/>
      <c r="BL1120" s="299"/>
      <c r="BM1120" s="301"/>
      <c r="BN1120" s="301"/>
      <c r="BO1120" s="88"/>
      <c r="BP1120" s="9"/>
      <c r="BS1120" s="81"/>
      <c r="BT1120" s="81"/>
      <c r="BV1120" s="9"/>
      <c r="BY1120" s="81"/>
      <c r="BZ1120" s="81"/>
      <c r="CB1120" s="9"/>
      <c r="CE1120" s="81"/>
      <c r="CF1120" s="81"/>
      <c r="CH1120" s="9"/>
      <c r="CK1120" s="81"/>
      <c r="CL1120" s="81"/>
      <c r="CR1120" s="9"/>
      <c r="CS1120" s="9"/>
      <c r="CT1120" s="9"/>
      <c r="CU1120" s="9"/>
      <c r="CV1120" s="9"/>
      <c r="CW1120" s="129"/>
      <c r="CX1120" s="9"/>
    </row>
    <row r="1121" spans="1:102">
      <c r="A1121" s="6" t="str">
        <f t="shared" si="171"/>
        <v>02230755</v>
      </c>
      <c r="B1121" s="6" t="s">
        <v>1873</v>
      </c>
      <c r="C1121" s="6" t="s">
        <v>2050</v>
      </c>
      <c r="D1121" s="6">
        <v>1112</v>
      </c>
      <c r="E1121" s="6">
        <v>223</v>
      </c>
      <c r="F1121" s="6" t="s">
        <v>1341</v>
      </c>
      <c r="G1121" s="6">
        <v>755</v>
      </c>
      <c r="H1121" s="6" t="s">
        <v>1080</v>
      </c>
      <c r="I1121" s="33">
        <v>6807244.8341141641</v>
      </c>
      <c r="J1121" s="88">
        <v>0.37715738056009207</v>
      </c>
      <c r="K1121" s="89">
        <f t="shared" si="180"/>
        <v>7121894.5291479211</v>
      </c>
      <c r="L1121" s="88">
        <f>IF(K1124&gt;0, K1121/K1124, 0)</f>
        <v>0.38345918266196788</v>
      </c>
      <c r="M1121" s="58"/>
      <c r="N1121" s="9">
        <f>ROUND(M1124*L1121,0)</f>
        <v>1850347</v>
      </c>
      <c r="O1121" s="9">
        <v>1723589</v>
      </c>
      <c r="P1121" s="9">
        <f>N1121-O1121</f>
        <v>126758</v>
      </c>
      <c r="Q1121" s="40">
        <f t="shared" si="179"/>
        <v>7.3543054637735565</v>
      </c>
      <c r="R1121" s="9">
        <v>426.00000000192</v>
      </c>
      <c r="S1121" s="9">
        <f t="shared" si="177"/>
        <v>428.99999999878003</v>
      </c>
      <c r="T1121" s="90">
        <f t="shared" si="172"/>
        <v>223</v>
      </c>
      <c r="U1121" s="90">
        <f t="shared" si="173"/>
        <v>755</v>
      </c>
      <c r="V1121" s="373">
        <f t="shared" si="174"/>
        <v>1112</v>
      </c>
      <c r="W1121" s="90">
        <f t="shared" si="175"/>
        <v>428.99999999878003</v>
      </c>
      <c r="X1121" s="90">
        <f t="shared" si="176"/>
        <v>7121894.5291479211</v>
      </c>
      <c r="Y1121" s="141">
        <f t="shared" si="178"/>
        <v>1112</v>
      </c>
      <c r="Z1121" s="298">
        <v>223</v>
      </c>
      <c r="AA1121" s="299">
        <v>755</v>
      </c>
      <c r="AB1121" s="299">
        <v>1112</v>
      </c>
      <c r="AC1121" s="301">
        <v>428.99999999878003</v>
      </c>
      <c r="AD1121" s="301">
        <v>7121894.5291479211</v>
      </c>
      <c r="AE1121" s="126"/>
      <c r="AF1121" s="298"/>
      <c r="AG1121" s="299"/>
      <c r="AH1121" s="299"/>
      <c r="AI1121" s="301"/>
      <c r="AJ1121" s="301"/>
      <c r="AK1121" s="426"/>
      <c r="AL1121" s="298"/>
      <c r="AM1121" s="299"/>
      <c r="AN1121" s="299"/>
      <c r="AO1121" s="301"/>
      <c r="AP1121" s="301"/>
      <c r="AQ1121" s="426"/>
      <c r="AR1121" s="298"/>
      <c r="AS1121" s="299"/>
      <c r="AT1121" s="299"/>
      <c r="AU1121" s="301"/>
      <c r="AV1121" s="301"/>
      <c r="AW1121" s="88"/>
      <c r="AX1121" s="298"/>
      <c r="AY1121" s="299"/>
      <c r="AZ1121" s="299"/>
      <c r="BA1121" s="301"/>
      <c r="BB1121" s="301"/>
      <c r="BC1121" s="426"/>
      <c r="BD1121" s="298"/>
      <c r="BE1121" s="299"/>
      <c r="BF1121" s="299"/>
      <c r="BG1121" s="301"/>
      <c r="BH1121" s="301"/>
      <c r="BI1121" s="88"/>
      <c r="BJ1121" s="298"/>
      <c r="BK1121" s="299"/>
      <c r="BL1121" s="299"/>
      <c r="BM1121" s="301"/>
      <c r="BN1121" s="301"/>
      <c r="BO1121" s="88"/>
      <c r="BP1121" s="9"/>
      <c r="BS1121" s="81"/>
      <c r="BT1121" s="81"/>
      <c r="BV1121" s="9"/>
      <c r="BY1121" s="81"/>
      <c r="BZ1121" s="81"/>
      <c r="CB1121" s="9"/>
      <c r="CE1121" s="81"/>
      <c r="CF1121" s="81"/>
      <c r="CH1121" s="9"/>
      <c r="CK1121" s="81"/>
      <c r="CL1121" s="81"/>
      <c r="CR1121" s="9"/>
      <c r="CS1121" s="9"/>
      <c r="CT1121" s="9"/>
      <c r="CU1121" s="9"/>
      <c r="CV1121" s="9"/>
      <c r="CW1121" s="129"/>
      <c r="CX1121" s="9"/>
    </row>
    <row r="1122" spans="1:102">
      <c r="A1122" s="6" t="str">
        <f t="shared" si="171"/>
        <v>02230818</v>
      </c>
      <c r="B1122" s="6" t="s">
        <v>1873</v>
      </c>
      <c r="C1122" s="6" t="s">
        <v>2068</v>
      </c>
      <c r="D1122" s="6">
        <v>1113</v>
      </c>
      <c r="E1122" s="6">
        <v>223</v>
      </c>
      <c r="F1122" s="6" t="s">
        <v>1341</v>
      </c>
      <c r="G1122" s="6">
        <v>818</v>
      </c>
      <c r="H1122" s="6" t="s">
        <v>1098</v>
      </c>
      <c r="I1122" s="33">
        <v>2029073.0205908264</v>
      </c>
      <c r="J1122" s="88">
        <v>0.1124213810521444</v>
      </c>
      <c r="K1122" s="89">
        <f t="shared" si="180"/>
        <v>2032694.6496697904</v>
      </c>
      <c r="L1122" s="88">
        <f>IF(K1124&gt;0, K1122/K1124, 0)</f>
        <v>0.1094449553800102</v>
      </c>
      <c r="M1122" s="58"/>
      <c r="N1122" s="9">
        <f>ROUND(M1124*L1122,0)</f>
        <v>528116</v>
      </c>
      <c r="O1122" s="9">
        <v>513760</v>
      </c>
      <c r="P1122" s="9">
        <f>N1122-O1122</f>
        <v>14356</v>
      </c>
      <c r="Q1122" s="40">
        <f t="shared" si="179"/>
        <v>2.7943008408595453</v>
      </c>
      <c r="R1122" s="9">
        <v>94.9999999984</v>
      </c>
      <c r="S1122" s="9">
        <f t="shared" si="177"/>
        <v>93.000000002519997</v>
      </c>
      <c r="T1122" s="90">
        <f t="shared" si="172"/>
        <v>223</v>
      </c>
      <c r="U1122" s="90">
        <f t="shared" si="173"/>
        <v>818</v>
      </c>
      <c r="V1122" s="373">
        <f t="shared" si="174"/>
        <v>1113</v>
      </c>
      <c r="W1122" s="90">
        <f t="shared" si="175"/>
        <v>93.000000002519997</v>
      </c>
      <c r="X1122" s="90">
        <f t="shared" si="176"/>
        <v>2032694.6496697904</v>
      </c>
      <c r="Y1122" s="141">
        <f t="shared" si="178"/>
        <v>1113</v>
      </c>
      <c r="Z1122" s="298">
        <v>223</v>
      </c>
      <c r="AA1122" s="299">
        <v>818</v>
      </c>
      <c r="AB1122" s="299">
        <v>1113</v>
      </c>
      <c r="AC1122" s="301">
        <v>93.000000002519997</v>
      </c>
      <c r="AD1122" s="301">
        <v>2032694.6496697904</v>
      </c>
      <c r="AE1122" s="126"/>
      <c r="AF1122" s="298"/>
      <c r="AG1122" s="299"/>
      <c r="AH1122" s="299"/>
      <c r="AI1122" s="301"/>
      <c r="AJ1122" s="301"/>
      <c r="AK1122" s="426"/>
      <c r="AL1122" s="298"/>
      <c r="AM1122" s="299"/>
      <c r="AN1122" s="299"/>
      <c r="AO1122" s="301"/>
      <c r="AP1122" s="301"/>
      <c r="AQ1122" s="426"/>
      <c r="AR1122" s="298"/>
      <c r="AS1122" s="299"/>
      <c r="AT1122" s="299"/>
      <c r="AU1122" s="301"/>
      <c r="AV1122" s="301"/>
      <c r="AW1122" s="88"/>
      <c r="AX1122" s="298"/>
      <c r="AY1122" s="299"/>
      <c r="AZ1122" s="299"/>
      <c r="BA1122" s="301"/>
      <c r="BB1122" s="301"/>
      <c r="BC1122" s="426"/>
      <c r="BD1122" s="298"/>
      <c r="BE1122" s="299"/>
      <c r="BF1122" s="299"/>
      <c r="BG1122" s="301"/>
      <c r="BH1122" s="301"/>
      <c r="BI1122" s="88"/>
      <c r="BJ1122" s="298"/>
      <c r="BK1122" s="299"/>
      <c r="BL1122" s="299"/>
      <c r="BM1122" s="301"/>
      <c r="BN1122" s="301"/>
      <c r="BO1122" s="88"/>
      <c r="BP1122" s="9"/>
      <c r="BS1122" s="81"/>
      <c r="BT1122" s="81"/>
      <c r="BV1122" s="9"/>
      <c r="BY1122" s="81"/>
      <c r="BZ1122" s="81"/>
      <c r="CB1122" s="9"/>
      <c r="CE1122" s="81"/>
      <c r="CF1122" s="81"/>
      <c r="CH1122" s="9"/>
      <c r="CK1122" s="81"/>
      <c r="CL1122" s="81"/>
      <c r="CR1122" s="9"/>
      <c r="CS1122" s="9"/>
      <c r="CT1122" s="9"/>
      <c r="CU1122" s="9"/>
      <c r="CV1122" s="9"/>
      <c r="CW1122" s="129"/>
      <c r="CX1122" s="9"/>
    </row>
    <row r="1123" spans="1:102">
      <c r="A1123" s="6" t="str">
        <f t="shared" si="171"/>
        <v>02230998</v>
      </c>
      <c r="B1123" s="6" t="s">
        <v>1873</v>
      </c>
      <c r="C1123" s="6" t="s">
        <v>2091</v>
      </c>
      <c r="D1123" s="6">
        <v>1114</v>
      </c>
      <c r="E1123" s="6">
        <v>223</v>
      </c>
      <c r="F1123" s="6" t="s">
        <v>1547</v>
      </c>
      <c r="G1123" s="6">
        <v>998</v>
      </c>
      <c r="H1123" s="6" t="s">
        <v>1547</v>
      </c>
      <c r="I1123" s="33">
        <v>0</v>
      </c>
      <c r="J1123" s="88">
        <v>0</v>
      </c>
      <c r="K1123" s="89">
        <f t="shared" si="180"/>
        <v>0</v>
      </c>
      <c r="L1123" s="88">
        <f>IF(K1124&gt;0, K1123/K1124, 0)</f>
        <v>0</v>
      </c>
      <c r="M1123" s="58"/>
      <c r="N1123" s="9">
        <f>ROUND(M1124*L1123,0)</f>
        <v>0</v>
      </c>
      <c r="O1123" s="9">
        <v>0</v>
      </c>
      <c r="P1123" s="9">
        <f>N1123-O1123</f>
        <v>0</v>
      </c>
      <c r="Q1123" s="40">
        <f t="shared" si="179"/>
        <v>0</v>
      </c>
      <c r="R1123" s="9">
        <v>0</v>
      </c>
      <c r="S1123" s="9">
        <f t="shared" si="177"/>
        <v>0</v>
      </c>
      <c r="T1123" s="90">
        <f t="shared" si="172"/>
        <v>223</v>
      </c>
      <c r="U1123" s="90">
        <f t="shared" si="173"/>
        <v>998</v>
      </c>
      <c r="V1123" s="373">
        <f t="shared" si="174"/>
        <v>1114</v>
      </c>
      <c r="W1123" s="90">
        <f t="shared" si="175"/>
        <v>0</v>
      </c>
      <c r="X1123" s="90">
        <f t="shared" si="176"/>
        <v>0</v>
      </c>
      <c r="Y1123" s="141">
        <f t="shared" si="178"/>
        <v>1114</v>
      </c>
      <c r="Z1123" s="298">
        <v>223</v>
      </c>
      <c r="AA1123" s="299">
        <v>998</v>
      </c>
      <c r="AB1123" s="299">
        <v>1114</v>
      </c>
      <c r="AC1123" s="301">
        <v>0</v>
      </c>
      <c r="AD1123" s="301">
        <v>0</v>
      </c>
      <c r="AE1123" s="126"/>
      <c r="AF1123" s="298"/>
      <c r="AG1123" s="299"/>
      <c r="AH1123" s="299"/>
      <c r="AI1123" s="301"/>
      <c r="AJ1123" s="301"/>
      <c r="AK1123" s="426"/>
      <c r="AL1123" s="298"/>
      <c r="AM1123" s="299"/>
      <c r="AN1123" s="299"/>
      <c r="AO1123" s="301"/>
      <c r="AP1123" s="301"/>
      <c r="AQ1123" s="426"/>
      <c r="AR1123" s="298"/>
      <c r="AS1123" s="299"/>
      <c r="AT1123" s="299"/>
      <c r="AU1123" s="301"/>
      <c r="AV1123" s="301"/>
      <c r="AW1123" s="88"/>
      <c r="AX1123" s="298"/>
      <c r="AY1123" s="299"/>
      <c r="AZ1123" s="299"/>
      <c r="BA1123" s="301"/>
      <c r="BB1123" s="301"/>
      <c r="BC1123" s="426"/>
      <c r="BD1123" s="298"/>
      <c r="BE1123" s="299"/>
      <c r="BF1123" s="299"/>
      <c r="BG1123" s="301"/>
      <c r="BH1123" s="301"/>
      <c r="BI1123" s="88"/>
      <c r="BJ1123" s="298"/>
      <c r="BK1123" s="299"/>
      <c r="BL1123" s="299"/>
      <c r="BM1123" s="301"/>
      <c r="BN1123" s="301"/>
      <c r="BO1123" s="88"/>
      <c r="BP1123" s="9"/>
      <c r="BS1123" s="81"/>
      <c r="BT1123" s="81"/>
      <c r="BV1123" s="9"/>
      <c r="BY1123" s="81"/>
      <c r="BZ1123" s="81"/>
      <c r="CB1123" s="9"/>
      <c r="CE1123" s="81"/>
      <c r="CF1123" s="81"/>
      <c r="CH1123" s="9"/>
      <c r="CK1123" s="81"/>
      <c r="CL1123" s="81"/>
      <c r="CR1123" s="9"/>
      <c r="CS1123" s="9"/>
      <c r="CT1123" s="9"/>
      <c r="CU1123" s="9"/>
      <c r="CV1123" s="9"/>
      <c r="CW1123" s="129"/>
      <c r="CX1123" s="9"/>
    </row>
    <row r="1124" spans="1:102">
      <c r="A1124" s="6" t="str">
        <f t="shared" si="171"/>
        <v>02230999</v>
      </c>
      <c r="B1124" s="6" t="s">
        <v>1873</v>
      </c>
      <c r="C1124" s="6" t="s">
        <v>2092</v>
      </c>
      <c r="D1124" s="6">
        <v>1115</v>
      </c>
      <c r="E1124" s="10">
        <v>223</v>
      </c>
      <c r="F1124" s="10" t="s">
        <v>1341</v>
      </c>
      <c r="G1124" s="10">
        <v>999</v>
      </c>
      <c r="H1124" s="10" t="s">
        <v>593</v>
      </c>
      <c r="I1124" s="92">
        <v>18048817.774704989</v>
      </c>
      <c r="J1124" s="472">
        <v>0.99999999999999989</v>
      </c>
      <c r="K1124" s="53">
        <f>SUM(K1120:K1123)</f>
        <v>18572757.808817711</v>
      </c>
      <c r="L1124" s="91">
        <f>SUM(L1120:L1123)</f>
        <v>1</v>
      </c>
      <c r="M1124" s="79">
        <f>VLOOKUP(E1124,town351,24)</f>
        <v>4825407</v>
      </c>
      <c r="N1124" s="79">
        <f>SUM(N1120:N1123)</f>
        <v>4825407</v>
      </c>
      <c r="O1124" s="79">
        <v>4569947</v>
      </c>
      <c r="P1124" s="79">
        <f>SUM(P1120:P1123)</f>
        <v>255460</v>
      </c>
      <c r="Q1124" s="39">
        <f t="shared" si="179"/>
        <v>5.5899991837979739</v>
      </c>
      <c r="R1124" s="9">
        <v>1104.0000000003199</v>
      </c>
      <c r="S1124" s="9">
        <f t="shared" si="177"/>
        <v>1095.0000000013001</v>
      </c>
      <c r="T1124" s="90">
        <f t="shared" si="172"/>
        <v>223</v>
      </c>
      <c r="U1124" s="90">
        <f t="shared" si="173"/>
        <v>999</v>
      </c>
      <c r="V1124" s="373">
        <f t="shared" si="174"/>
        <v>1115</v>
      </c>
      <c r="W1124" s="90">
        <f t="shared" si="175"/>
        <v>1095.0000000013001</v>
      </c>
      <c r="X1124" s="90">
        <f t="shared" si="176"/>
        <v>18572757.808817711</v>
      </c>
      <c r="Y1124" s="141">
        <f t="shared" si="178"/>
        <v>1115</v>
      </c>
      <c r="Z1124" s="298">
        <v>223</v>
      </c>
      <c r="AA1124" s="299">
        <v>999</v>
      </c>
      <c r="AB1124" s="299">
        <v>1115</v>
      </c>
      <c r="AC1124" s="301">
        <v>1095.0000000013001</v>
      </c>
      <c r="AD1124" s="301">
        <v>18572757.808817711</v>
      </c>
      <c r="AE1124" s="126"/>
      <c r="AF1124" s="298"/>
      <c r="AG1124" s="299"/>
      <c r="AH1124" s="299"/>
      <c r="AI1124" s="301"/>
      <c r="AJ1124" s="301"/>
      <c r="AK1124" s="426"/>
      <c r="AL1124" s="298"/>
      <c r="AM1124" s="299"/>
      <c r="AN1124" s="299"/>
      <c r="AO1124" s="301"/>
      <c r="AP1124" s="301"/>
      <c r="AQ1124" s="426"/>
      <c r="AR1124" s="298"/>
      <c r="AS1124" s="299"/>
      <c r="AT1124" s="299"/>
      <c r="AU1124" s="301"/>
      <c r="AV1124" s="301"/>
      <c r="AW1124" s="91"/>
      <c r="AX1124" s="298"/>
      <c r="AY1124" s="299"/>
      <c r="AZ1124" s="299"/>
      <c r="BA1124" s="301"/>
      <c r="BB1124" s="301"/>
      <c r="BC1124" s="426"/>
      <c r="BD1124" s="298"/>
      <c r="BE1124" s="299"/>
      <c r="BF1124" s="299"/>
      <c r="BG1124" s="301"/>
      <c r="BH1124" s="301"/>
      <c r="BI1124" s="91"/>
      <c r="BJ1124" s="298"/>
      <c r="BK1124" s="299"/>
      <c r="BL1124" s="299"/>
      <c r="BM1124" s="301"/>
      <c r="BN1124" s="301"/>
      <c r="BO1124" s="91"/>
      <c r="BP1124" s="9"/>
      <c r="BS1124" s="81"/>
      <c r="BT1124" s="81"/>
      <c r="BV1124" s="9"/>
      <c r="BY1124" s="81"/>
      <c r="BZ1124" s="81"/>
      <c r="CB1124" s="9"/>
      <c r="CE1124" s="81"/>
      <c r="CF1124" s="81"/>
      <c r="CH1124" s="9"/>
      <c r="CK1124" s="81"/>
      <c r="CL1124" s="81"/>
      <c r="CR1124" s="9"/>
      <c r="CS1124" s="9"/>
      <c r="CT1124" s="9"/>
      <c r="CU1124" s="9"/>
      <c r="CV1124" s="9"/>
      <c r="CW1124" s="129"/>
      <c r="CX1124" s="9"/>
    </row>
    <row r="1125" spans="1:102">
      <c r="A1125" s="6" t="str">
        <f t="shared" si="171"/>
        <v>02240224</v>
      </c>
      <c r="B1125" s="6" t="s">
        <v>1874</v>
      </c>
      <c r="C1125" s="6" t="s">
        <v>1874</v>
      </c>
      <c r="D1125" s="6">
        <v>1116</v>
      </c>
      <c r="E1125" s="6">
        <v>224</v>
      </c>
      <c r="F1125" s="6" t="s">
        <v>1342</v>
      </c>
      <c r="G1125" s="6">
        <v>224</v>
      </c>
      <c r="H1125" s="6" t="s">
        <v>905</v>
      </c>
      <c r="I1125" s="33">
        <v>2114047.8800000004</v>
      </c>
      <c r="J1125" s="88">
        <v>0.35111441683562655</v>
      </c>
      <c r="K1125" s="89">
        <f>X1125</f>
        <v>2052611.2499999998</v>
      </c>
      <c r="L1125" s="88">
        <f>IF(K1129&gt;0, K1125/K1129, 0)</f>
        <v>0.33211856078322971</v>
      </c>
      <c r="M1125" s="58"/>
      <c r="N1125" s="9">
        <f>ROUND(M1129*L1125,0)</f>
        <v>1693404</v>
      </c>
      <c r="O1125" s="9">
        <v>1744090</v>
      </c>
      <c r="P1125" s="9">
        <f>N1125-O1125</f>
        <v>-50686</v>
      </c>
      <c r="Q1125" s="40">
        <f t="shared" si="179"/>
        <v>-2.9061573657322728</v>
      </c>
      <c r="R1125" s="9">
        <v>149</v>
      </c>
      <c r="S1125" s="9">
        <f t="shared" si="177"/>
        <v>145</v>
      </c>
      <c r="T1125" s="90">
        <f t="shared" si="172"/>
        <v>224</v>
      </c>
      <c r="U1125" s="90">
        <f t="shared" si="173"/>
        <v>224</v>
      </c>
      <c r="V1125" s="373">
        <f t="shared" si="174"/>
        <v>1116</v>
      </c>
      <c r="W1125" s="90">
        <f t="shared" si="175"/>
        <v>145</v>
      </c>
      <c r="X1125" s="90">
        <f t="shared" si="176"/>
        <v>2052611.2499999998</v>
      </c>
      <c r="Y1125" s="141">
        <f t="shared" si="178"/>
        <v>1116</v>
      </c>
      <c r="Z1125" s="298">
        <v>224</v>
      </c>
      <c r="AA1125" s="299">
        <v>224</v>
      </c>
      <c r="AB1125" s="299">
        <v>1116</v>
      </c>
      <c r="AC1125" s="301">
        <v>145</v>
      </c>
      <c r="AD1125" s="301">
        <v>2052611.2499999998</v>
      </c>
      <c r="AE1125" s="126"/>
      <c r="AF1125" s="298"/>
      <c r="AG1125" s="299"/>
      <c r="AH1125" s="299"/>
      <c r="AI1125" s="301"/>
      <c r="AJ1125" s="301"/>
      <c r="AK1125" s="426"/>
      <c r="AL1125" s="298"/>
      <c r="AM1125" s="299"/>
      <c r="AN1125" s="299"/>
      <c r="AO1125" s="301"/>
      <c r="AP1125" s="301"/>
      <c r="AQ1125" s="426"/>
      <c r="AR1125" s="298"/>
      <c r="AS1125" s="299"/>
      <c r="AT1125" s="299"/>
      <c r="AU1125" s="301"/>
      <c r="AV1125" s="301"/>
      <c r="AW1125" s="88"/>
      <c r="AX1125" s="298"/>
      <c r="AY1125" s="299"/>
      <c r="AZ1125" s="299"/>
      <c r="BA1125" s="301"/>
      <c r="BB1125" s="301"/>
      <c r="BC1125" s="426"/>
      <c r="BD1125" s="298"/>
      <c r="BE1125" s="299"/>
      <c r="BF1125" s="299"/>
      <c r="BG1125" s="301"/>
      <c r="BH1125" s="301"/>
      <c r="BI1125" s="88"/>
      <c r="BJ1125" s="298"/>
      <c r="BK1125" s="299"/>
      <c r="BL1125" s="299"/>
      <c r="BM1125" s="301"/>
      <c r="BN1125" s="301"/>
      <c r="BO1125" s="88"/>
      <c r="BP1125" s="9"/>
      <c r="BS1125" s="81"/>
      <c r="BT1125" s="81"/>
      <c r="BV1125" s="9"/>
      <c r="BY1125" s="81"/>
      <c r="BZ1125" s="81"/>
      <c r="CB1125" s="9"/>
      <c r="CE1125" s="81"/>
      <c r="CF1125" s="81"/>
      <c r="CH1125" s="9"/>
      <c r="CK1125" s="81"/>
      <c r="CL1125" s="81"/>
      <c r="CR1125" s="9"/>
      <c r="CS1125" s="9"/>
      <c r="CT1125" s="9"/>
      <c r="CU1125" s="9"/>
      <c r="CV1125" s="9"/>
      <c r="CW1125" s="129"/>
      <c r="CX1125" s="9"/>
    </row>
    <row r="1126" spans="1:102">
      <c r="A1126" s="6" t="str">
        <f t="shared" si="171"/>
        <v>02240660</v>
      </c>
      <c r="B1126" s="6" t="s">
        <v>1874</v>
      </c>
      <c r="C1126" s="6" t="s">
        <v>2021</v>
      </c>
      <c r="D1126" s="6">
        <v>1117</v>
      </c>
      <c r="E1126" s="6">
        <v>224</v>
      </c>
      <c r="F1126" s="6" t="s">
        <v>1342</v>
      </c>
      <c r="G1126" s="6">
        <v>660</v>
      </c>
      <c r="H1126" s="6" t="s">
        <v>1051</v>
      </c>
      <c r="I1126" s="33">
        <v>3602105.5099801235</v>
      </c>
      <c r="J1126" s="88">
        <v>0.59826042138509561</v>
      </c>
      <c r="K1126" s="89">
        <f t="shared" si="180"/>
        <v>3800361.2816436989</v>
      </c>
      <c r="L1126" s="88">
        <f>IF(K1129&gt;0, K1126/K1129, 0)</f>
        <v>0.6149096763041787</v>
      </c>
      <c r="M1126" s="58"/>
      <c r="N1126" s="9">
        <f>ROUND(M1129*L1126,0)</f>
        <v>3135298</v>
      </c>
      <c r="O1126" s="9">
        <v>2971737</v>
      </c>
      <c r="P1126" s="9">
        <f>N1126-O1126</f>
        <v>163561</v>
      </c>
      <c r="Q1126" s="40">
        <f t="shared" si="179"/>
        <v>5.503885438045157</v>
      </c>
      <c r="R1126" s="9">
        <v>250.99999999920001</v>
      </c>
      <c r="S1126" s="9">
        <f t="shared" si="177"/>
        <v>257.99999999670001</v>
      </c>
      <c r="T1126" s="90">
        <f t="shared" si="172"/>
        <v>224</v>
      </c>
      <c r="U1126" s="90">
        <f t="shared" si="173"/>
        <v>660</v>
      </c>
      <c r="V1126" s="373">
        <f t="shared" si="174"/>
        <v>1117</v>
      </c>
      <c r="W1126" s="90">
        <f t="shared" si="175"/>
        <v>257.99999999670001</v>
      </c>
      <c r="X1126" s="90">
        <f t="shared" si="176"/>
        <v>3800361.2816436989</v>
      </c>
      <c r="Y1126" s="141">
        <f t="shared" si="178"/>
        <v>1117</v>
      </c>
      <c r="Z1126" s="298">
        <v>224</v>
      </c>
      <c r="AA1126" s="299">
        <v>660</v>
      </c>
      <c r="AB1126" s="299">
        <v>1117</v>
      </c>
      <c r="AC1126" s="301">
        <v>257.99999999670001</v>
      </c>
      <c r="AD1126" s="301">
        <v>3800361.2816436989</v>
      </c>
      <c r="AE1126" s="126"/>
      <c r="AF1126" s="298"/>
      <c r="AG1126" s="299"/>
      <c r="AH1126" s="299"/>
      <c r="AI1126" s="301"/>
      <c r="AJ1126" s="301"/>
      <c r="AK1126" s="426"/>
      <c r="AL1126" s="298"/>
      <c r="AM1126" s="299"/>
      <c r="AN1126" s="299"/>
      <c r="AO1126" s="301"/>
      <c r="AP1126" s="301"/>
      <c r="AQ1126" s="426"/>
      <c r="AR1126" s="298"/>
      <c r="AS1126" s="299"/>
      <c r="AT1126" s="299"/>
      <c r="AU1126" s="301"/>
      <c r="AV1126" s="301"/>
      <c r="AW1126" s="88"/>
      <c r="AX1126" s="298"/>
      <c r="AY1126" s="299"/>
      <c r="AZ1126" s="299"/>
      <c r="BA1126" s="301"/>
      <c r="BB1126" s="301"/>
      <c r="BC1126" s="426"/>
      <c r="BD1126" s="298"/>
      <c r="BE1126" s="299"/>
      <c r="BF1126" s="299"/>
      <c r="BG1126" s="301"/>
      <c r="BH1126" s="301"/>
      <c r="BI1126" s="88"/>
      <c r="BJ1126" s="298"/>
      <c r="BK1126" s="299"/>
      <c r="BL1126" s="299"/>
      <c r="BM1126" s="301"/>
      <c r="BN1126" s="301"/>
      <c r="BO1126" s="88"/>
      <c r="BP1126" s="9"/>
      <c r="BS1126" s="81"/>
      <c r="BT1126" s="81"/>
      <c r="BV1126" s="9"/>
      <c r="BY1126" s="81"/>
      <c r="BZ1126" s="81"/>
      <c r="CB1126" s="9"/>
      <c r="CE1126" s="81"/>
      <c r="CF1126" s="81"/>
      <c r="CH1126" s="9"/>
      <c r="CK1126" s="81"/>
      <c r="CL1126" s="81"/>
      <c r="CR1126" s="9"/>
      <c r="CS1126" s="9"/>
      <c r="CT1126" s="9"/>
      <c r="CU1126" s="9"/>
      <c r="CV1126" s="9"/>
      <c r="CW1126" s="129"/>
      <c r="CX1126" s="9"/>
    </row>
    <row r="1127" spans="1:102">
      <c r="A1127" s="6" t="str">
        <f t="shared" si="171"/>
        <v>02240815</v>
      </c>
      <c r="B1127" s="6" t="s">
        <v>1874</v>
      </c>
      <c r="C1127" s="6" t="s">
        <v>2066</v>
      </c>
      <c r="D1127" s="6">
        <v>1118</v>
      </c>
      <c r="E1127" s="6">
        <v>224</v>
      </c>
      <c r="F1127" s="6" t="s">
        <v>1342</v>
      </c>
      <c r="G1127" s="6">
        <v>815</v>
      </c>
      <c r="H1127" s="6" t="s">
        <v>1096</v>
      </c>
      <c r="I1127" s="33">
        <v>304812.3654354029</v>
      </c>
      <c r="J1127" s="88">
        <v>5.0625161779277845E-2</v>
      </c>
      <c r="K1127" s="89">
        <f t="shared" si="180"/>
        <v>327384.40221558517</v>
      </c>
      <c r="L1127" s="88">
        <f>IF(K1129&gt;0, K1127/K1129, 0)</f>
        <v>5.2971762912591536E-2</v>
      </c>
      <c r="M1127" s="58"/>
      <c r="N1127" s="9">
        <f>ROUND(M1129*L1127,0)</f>
        <v>270092</v>
      </c>
      <c r="O1127" s="9">
        <v>251470</v>
      </c>
      <c r="P1127" s="9">
        <f>N1127-O1127</f>
        <v>18622</v>
      </c>
      <c r="Q1127" s="40">
        <f t="shared" si="179"/>
        <v>7.4052570883206741</v>
      </c>
      <c r="R1127" s="9">
        <v>14.04197901225</v>
      </c>
      <c r="S1127" s="9">
        <f t="shared" si="177"/>
        <v>15.022522520840001</v>
      </c>
      <c r="T1127" s="90">
        <f t="shared" si="172"/>
        <v>224</v>
      </c>
      <c r="U1127" s="90">
        <f t="shared" si="173"/>
        <v>815</v>
      </c>
      <c r="V1127" s="373">
        <f t="shared" si="174"/>
        <v>1118</v>
      </c>
      <c r="W1127" s="90">
        <f t="shared" si="175"/>
        <v>15.022522520840001</v>
      </c>
      <c r="X1127" s="90">
        <f t="shared" si="176"/>
        <v>327384.40221558517</v>
      </c>
      <c r="Y1127" s="141">
        <f t="shared" si="178"/>
        <v>1118</v>
      </c>
      <c r="Z1127" s="298">
        <v>224</v>
      </c>
      <c r="AA1127" s="299">
        <v>815</v>
      </c>
      <c r="AB1127" s="299">
        <v>1118</v>
      </c>
      <c r="AC1127" s="301">
        <v>15.022522520840001</v>
      </c>
      <c r="AD1127" s="301">
        <v>327384.40221558517</v>
      </c>
      <c r="AE1127" s="126"/>
      <c r="AF1127" s="298"/>
      <c r="AG1127" s="299"/>
      <c r="AH1127" s="299"/>
      <c r="AI1127" s="301"/>
      <c r="AJ1127" s="301"/>
      <c r="AK1127" s="426"/>
      <c r="AL1127" s="298"/>
      <c r="AM1127" s="299"/>
      <c r="AN1127" s="299"/>
      <c r="AO1127" s="301"/>
      <c r="AP1127" s="301"/>
      <c r="AQ1127" s="426"/>
      <c r="AR1127" s="298"/>
      <c r="AS1127" s="299"/>
      <c r="AT1127" s="299"/>
      <c r="AU1127" s="301"/>
      <c r="AV1127" s="301"/>
      <c r="AW1127" s="88"/>
      <c r="AX1127" s="298"/>
      <c r="AY1127" s="299"/>
      <c r="AZ1127" s="299"/>
      <c r="BA1127" s="301"/>
      <c r="BB1127" s="301"/>
      <c r="BC1127" s="426"/>
      <c r="BD1127" s="298"/>
      <c r="BE1127" s="299"/>
      <c r="BF1127" s="299"/>
      <c r="BG1127" s="301"/>
      <c r="BH1127" s="301"/>
      <c r="BI1127" s="88"/>
      <c r="BJ1127" s="298"/>
      <c r="BK1127" s="299"/>
      <c r="BL1127" s="299"/>
      <c r="BM1127" s="301"/>
      <c r="BN1127" s="301"/>
      <c r="BO1127" s="88"/>
      <c r="BP1127" s="9"/>
      <c r="BS1127" s="81"/>
      <c r="BT1127" s="81"/>
      <c r="BV1127" s="9"/>
      <c r="BY1127" s="81"/>
      <c r="BZ1127" s="81"/>
      <c r="CB1127" s="9"/>
      <c r="CE1127" s="81"/>
      <c r="CF1127" s="81"/>
      <c r="CH1127" s="9"/>
      <c r="CK1127" s="81"/>
      <c r="CL1127" s="81"/>
      <c r="CR1127" s="9"/>
      <c r="CS1127" s="9"/>
      <c r="CT1127" s="9"/>
      <c r="CU1127" s="9"/>
      <c r="CV1127" s="9"/>
      <c r="CW1127" s="129"/>
      <c r="CX1127" s="9"/>
    </row>
    <row r="1128" spans="1:102">
      <c r="A1128" s="6" t="str">
        <f t="shared" si="171"/>
        <v>02240998</v>
      </c>
      <c r="B1128" s="6" t="s">
        <v>1874</v>
      </c>
      <c r="C1128" s="6" t="s">
        <v>2091</v>
      </c>
      <c r="D1128" s="6">
        <v>1119</v>
      </c>
      <c r="E1128" s="6">
        <v>224</v>
      </c>
      <c r="F1128" s="6" t="s">
        <v>1547</v>
      </c>
      <c r="G1128" s="6">
        <v>998</v>
      </c>
      <c r="H1128" s="6" t="s">
        <v>1547</v>
      </c>
      <c r="I1128" s="33">
        <v>0</v>
      </c>
      <c r="J1128" s="88">
        <v>0</v>
      </c>
      <c r="K1128" s="89">
        <f t="shared" si="180"/>
        <v>0</v>
      </c>
      <c r="L1128" s="88">
        <f>IF(K1129&gt;0, K1128/K1129, 0)</f>
        <v>0</v>
      </c>
      <c r="M1128" s="58"/>
      <c r="N1128" s="9">
        <f>ROUND(M1129*L1128,0)</f>
        <v>0</v>
      </c>
      <c r="O1128" s="9">
        <v>0</v>
      </c>
      <c r="P1128" s="9">
        <f>N1128-O1128</f>
        <v>0</v>
      </c>
      <c r="Q1128" s="40">
        <f t="shared" si="179"/>
        <v>0</v>
      </c>
      <c r="R1128" s="9">
        <v>0</v>
      </c>
      <c r="S1128" s="9">
        <f t="shared" si="177"/>
        <v>0</v>
      </c>
      <c r="T1128" s="90">
        <f t="shared" si="172"/>
        <v>224</v>
      </c>
      <c r="U1128" s="90">
        <f t="shared" si="173"/>
        <v>998</v>
      </c>
      <c r="V1128" s="373">
        <f t="shared" si="174"/>
        <v>1119</v>
      </c>
      <c r="W1128" s="90">
        <f t="shared" si="175"/>
        <v>0</v>
      </c>
      <c r="X1128" s="90">
        <f t="shared" si="176"/>
        <v>0</v>
      </c>
      <c r="Y1128" s="141">
        <f t="shared" si="178"/>
        <v>1119</v>
      </c>
      <c r="Z1128" s="298">
        <v>224</v>
      </c>
      <c r="AA1128" s="299">
        <v>998</v>
      </c>
      <c r="AB1128" s="299">
        <v>1119</v>
      </c>
      <c r="AC1128" s="301">
        <v>0</v>
      </c>
      <c r="AD1128" s="301">
        <v>0</v>
      </c>
      <c r="AE1128" s="126"/>
      <c r="AF1128" s="298"/>
      <c r="AG1128" s="299"/>
      <c r="AH1128" s="299"/>
      <c r="AI1128" s="301"/>
      <c r="AJ1128" s="301"/>
      <c r="AK1128" s="426"/>
      <c r="AL1128" s="298"/>
      <c r="AM1128" s="299"/>
      <c r="AN1128" s="299"/>
      <c r="AO1128" s="301"/>
      <c r="AP1128" s="301"/>
      <c r="AQ1128" s="426"/>
      <c r="AR1128" s="298"/>
      <c r="AS1128" s="299"/>
      <c r="AT1128" s="299"/>
      <c r="AU1128" s="301"/>
      <c r="AV1128" s="301"/>
      <c r="AW1128" s="88"/>
      <c r="AX1128" s="298"/>
      <c r="AY1128" s="299"/>
      <c r="AZ1128" s="299"/>
      <c r="BA1128" s="301"/>
      <c r="BB1128" s="301"/>
      <c r="BC1128" s="426"/>
      <c r="BD1128" s="298"/>
      <c r="BE1128" s="299"/>
      <c r="BF1128" s="299"/>
      <c r="BG1128" s="301"/>
      <c r="BH1128" s="301"/>
      <c r="BI1128" s="88"/>
      <c r="BJ1128" s="298"/>
      <c r="BK1128" s="299"/>
      <c r="BL1128" s="299"/>
      <c r="BM1128" s="301"/>
      <c r="BN1128" s="301"/>
      <c r="BO1128" s="88"/>
      <c r="BP1128" s="9"/>
      <c r="BS1128" s="81"/>
      <c r="BT1128" s="81"/>
      <c r="BV1128" s="9"/>
      <c r="BY1128" s="81"/>
      <c r="BZ1128" s="81"/>
      <c r="CB1128" s="9"/>
      <c r="CE1128" s="81"/>
      <c r="CF1128" s="81"/>
      <c r="CH1128" s="9"/>
      <c r="CK1128" s="81"/>
      <c r="CL1128" s="81"/>
      <c r="CR1128" s="9"/>
      <c r="CS1128" s="9"/>
      <c r="CT1128" s="9"/>
      <c r="CU1128" s="9"/>
      <c r="CV1128" s="9"/>
      <c r="CW1128" s="129"/>
      <c r="CX1128" s="9"/>
    </row>
    <row r="1129" spans="1:102">
      <c r="A1129" s="6" t="str">
        <f t="shared" si="171"/>
        <v>02240999</v>
      </c>
      <c r="B1129" s="6" t="s">
        <v>1874</v>
      </c>
      <c r="C1129" s="6" t="s">
        <v>2092</v>
      </c>
      <c r="D1129" s="6">
        <v>1120</v>
      </c>
      <c r="E1129" s="10">
        <v>224</v>
      </c>
      <c r="F1129" s="10" t="s">
        <v>1342</v>
      </c>
      <c r="G1129" s="10">
        <v>999</v>
      </c>
      <c r="H1129" s="10" t="s">
        <v>593</v>
      </c>
      <c r="I1129" s="92">
        <v>6020965.7554155272</v>
      </c>
      <c r="J1129" s="472">
        <v>1</v>
      </c>
      <c r="K1129" s="53">
        <f>SUM(K1125:K1128)</f>
        <v>6180356.933859284</v>
      </c>
      <c r="L1129" s="91">
        <f>SUM(L1125:L1128)</f>
        <v>0.99999999999999989</v>
      </c>
      <c r="M1129" s="79">
        <f>VLOOKUP(E1129,town351,24)</f>
        <v>5098794</v>
      </c>
      <c r="N1129" s="79">
        <f>SUM(N1125:N1128)</f>
        <v>5098794</v>
      </c>
      <c r="O1129" s="79">
        <v>4967297</v>
      </c>
      <c r="P1129" s="79">
        <f>SUM(P1125:P1128)</f>
        <v>131497</v>
      </c>
      <c r="Q1129" s="39">
        <f t="shared" si="179"/>
        <v>2.6472546336568965</v>
      </c>
      <c r="R1129" s="9">
        <v>414.04197901145</v>
      </c>
      <c r="S1129" s="9">
        <f t="shared" si="177"/>
        <v>418.02252251754004</v>
      </c>
      <c r="T1129" s="90">
        <f t="shared" si="172"/>
        <v>224</v>
      </c>
      <c r="U1129" s="90">
        <f t="shared" si="173"/>
        <v>999</v>
      </c>
      <c r="V1129" s="373">
        <f t="shared" si="174"/>
        <v>1120</v>
      </c>
      <c r="W1129" s="90">
        <f t="shared" si="175"/>
        <v>418.02252251754004</v>
      </c>
      <c r="X1129" s="90">
        <f t="shared" si="176"/>
        <v>6180356.933859284</v>
      </c>
      <c r="Y1129" s="141">
        <f t="shared" si="178"/>
        <v>1120</v>
      </c>
      <c r="Z1129" s="298">
        <v>224</v>
      </c>
      <c r="AA1129" s="299">
        <v>999</v>
      </c>
      <c r="AB1129" s="299">
        <v>1120</v>
      </c>
      <c r="AC1129" s="301">
        <v>418.02252251754004</v>
      </c>
      <c r="AD1129" s="301">
        <v>6180356.933859284</v>
      </c>
      <c r="AE1129" s="126"/>
      <c r="AF1129" s="298"/>
      <c r="AG1129" s="299"/>
      <c r="AH1129" s="299"/>
      <c r="AI1129" s="301"/>
      <c r="AJ1129" s="301"/>
      <c r="AK1129" s="426"/>
      <c r="AL1129" s="298"/>
      <c r="AM1129" s="299"/>
      <c r="AN1129" s="299"/>
      <c r="AO1129" s="301"/>
      <c r="AP1129" s="301"/>
      <c r="AQ1129" s="426"/>
      <c r="AR1129" s="298"/>
      <c r="AS1129" s="299"/>
      <c r="AT1129" s="299"/>
      <c r="AU1129" s="301"/>
      <c r="AV1129" s="301"/>
      <c r="AW1129" s="91"/>
      <c r="AX1129" s="298"/>
      <c r="AY1129" s="299"/>
      <c r="AZ1129" s="299"/>
      <c r="BA1129" s="301"/>
      <c r="BB1129" s="301"/>
      <c r="BC1129" s="426"/>
      <c r="BD1129" s="298"/>
      <c r="BE1129" s="299"/>
      <c r="BF1129" s="299"/>
      <c r="BG1129" s="301"/>
      <c r="BH1129" s="301"/>
      <c r="BI1129" s="91"/>
      <c r="BJ1129" s="298"/>
      <c r="BK1129" s="299"/>
      <c r="BL1129" s="299"/>
      <c r="BM1129" s="301"/>
      <c r="BN1129" s="301"/>
      <c r="BO1129" s="91"/>
      <c r="BP1129" s="9"/>
      <c r="BS1129" s="81"/>
      <c r="BT1129" s="81"/>
      <c r="BV1129" s="9"/>
      <c r="BY1129" s="81"/>
      <c r="BZ1129" s="81"/>
      <c r="CB1129" s="9"/>
      <c r="CE1129" s="81"/>
      <c r="CF1129" s="81"/>
      <c r="CH1129" s="9"/>
      <c r="CK1129" s="81"/>
      <c r="CL1129" s="81"/>
      <c r="CR1129" s="9"/>
      <c r="CS1129" s="9"/>
      <c r="CT1129" s="9"/>
      <c r="CU1129" s="9"/>
      <c r="CV1129" s="9"/>
      <c r="CW1129" s="129"/>
      <c r="CX1129" s="9"/>
    </row>
    <row r="1130" spans="1:102">
      <c r="A1130" s="6" t="str">
        <f t="shared" si="171"/>
        <v>02250225</v>
      </c>
      <c r="B1130" s="6" t="s">
        <v>1875</v>
      </c>
      <c r="C1130" s="6" t="s">
        <v>1875</v>
      </c>
      <c r="D1130" s="6">
        <v>1121</v>
      </c>
      <c r="E1130" s="6">
        <v>225</v>
      </c>
      <c r="F1130" s="6" t="s">
        <v>1343</v>
      </c>
      <c r="G1130" s="6">
        <v>225</v>
      </c>
      <c r="H1130" s="6" t="s">
        <v>906</v>
      </c>
      <c r="I1130" s="33">
        <v>0</v>
      </c>
      <c r="J1130" s="88">
        <v>0</v>
      </c>
      <c r="K1130" s="89">
        <f>X1130</f>
        <v>0</v>
      </c>
      <c r="L1130" s="88">
        <f>IF(K1134&gt;0, K1130/K1134, 0)</f>
        <v>0</v>
      </c>
      <c r="M1130" s="58"/>
      <c r="N1130" s="9">
        <f>ROUND(M1134*L1130,0)</f>
        <v>0</v>
      </c>
      <c r="O1130" s="9">
        <v>0</v>
      </c>
      <c r="P1130" s="9">
        <f>N1130-O1130</f>
        <v>0</v>
      </c>
      <c r="Q1130" s="40">
        <f t="shared" si="179"/>
        <v>0</v>
      </c>
      <c r="R1130" s="9">
        <v>0</v>
      </c>
      <c r="S1130" s="9">
        <f t="shared" si="177"/>
        <v>0</v>
      </c>
      <c r="T1130" s="90">
        <f t="shared" si="172"/>
        <v>225</v>
      </c>
      <c r="U1130" s="90">
        <f t="shared" si="173"/>
        <v>225</v>
      </c>
      <c r="V1130" s="373">
        <f t="shared" si="174"/>
        <v>1121</v>
      </c>
      <c r="W1130" s="90">
        <f t="shared" si="175"/>
        <v>0</v>
      </c>
      <c r="X1130" s="90">
        <f t="shared" si="176"/>
        <v>0</v>
      </c>
      <c r="Y1130" s="141">
        <f t="shared" si="178"/>
        <v>1121</v>
      </c>
      <c r="Z1130" s="298">
        <v>225</v>
      </c>
      <c r="AA1130" s="299">
        <v>225</v>
      </c>
      <c r="AB1130" s="299">
        <v>1121</v>
      </c>
      <c r="AC1130" s="301">
        <v>0</v>
      </c>
      <c r="AD1130" s="301">
        <v>0</v>
      </c>
      <c r="AE1130" s="126"/>
      <c r="AF1130" s="298"/>
      <c r="AG1130" s="299"/>
      <c r="AH1130" s="299"/>
      <c r="AI1130" s="301"/>
      <c r="AJ1130" s="301"/>
      <c r="AK1130" s="426"/>
      <c r="AL1130" s="298"/>
      <c r="AM1130" s="299"/>
      <c r="AN1130" s="299"/>
      <c r="AO1130" s="301"/>
      <c r="AP1130" s="301"/>
      <c r="AQ1130" s="426"/>
      <c r="AR1130" s="298"/>
      <c r="AS1130" s="299"/>
      <c r="AT1130" s="299"/>
      <c r="AU1130" s="301"/>
      <c r="AV1130" s="301"/>
      <c r="AW1130" s="88"/>
      <c r="AX1130" s="298"/>
      <c r="AY1130" s="299"/>
      <c r="AZ1130" s="299"/>
      <c r="BA1130" s="301"/>
      <c r="BB1130" s="301"/>
      <c r="BC1130" s="426"/>
      <c r="BD1130" s="298"/>
      <c r="BE1130" s="299"/>
      <c r="BF1130" s="299"/>
      <c r="BG1130" s="301"/>
      <c r="BH1130" s="301"/>
      <c r="BI1130" s="88"/>
      <c r="BJ1130" s="298"/>
      <c r="BK1130" s="299"/>
      <c r="BL1130" s="299"/>
      <c r="BM1130" s="301"/>
      <c r="BN1130" s="301"/>
      <c r="BO1130" s="88"/>
      <c r="BP1130" s="9"/>
      <c r="BS1130" s="81"/>
      <c r="BT1130" s="81"/>
      <c r="BV1130" s="9"/>
      <c r="BY1130" s="81"/>
      <c r="BZ1130" s="81"/>
      <c r="CB1130" s="9"/>
      <c r="CE1130" s="81"/>
      <c r="CF1130" s="81"/>
      <c r="CH1130" s="9"/>
      <c r="CK1130" s="81"/>
      <c r="CL1130" s="81"/>
      <c r="CR1130" s="9"/>
      <c r="CS1130" s="9"/>
      <c r="CT1130" s="9"/>
      <c r="CU1130" s="9"/>
      <c r="CV1130" s="9"/>
      <c r="CW1130" s="129"/>
      <c r="CX1130" s="9"/>
    </row>
    <row r="1131" spans="1:102">
      <c r="A1131" s="6" t="str">
        <f t="shared" si="171"/>
        <v>02250662</v>
      </c>
      <c r="B1131" s="6" t="s">
        <v>1875</v>
      </c>
      <c r="C1131" s="6" t="s">
        <v>2022</v>
      </c>
      <c r="D1131" s="6">
        <v>1122</v>
      </c>
      <c r="E1131" s="6">
        <v>225</v>
      </c>
      <c r="F1131" s="6" t="s">
        <v>1343</v>
      </c>
      <c r="G1131" s="6">
        <v>662</v>
      </c>
      <c r="H1131" s="6" t="s">
        <v>1052</v>
      </c>
      <c r="I1131" s="33">
        <v>1750236.4864413003</v>
      </c>
      <c r="J1131" s="88">
        <v>1</v>
      </c>
      <c r="K1131" s="89">
        <f t="shared" si="180"/>
        <v>1870547.6596054086</v>
      </c>
      <c r="L1131" s="88">
        <f>IF(K1134&gt;0, K1131/K1134, 0)</f>
        <v>1</v>
      </c>
      <c r="M1131" s="58"/>
      <c r="N1131" s="9">
        <f>ROUND(M1134*L1131,0)</f>
        <v>1543202</v>
      </c>
      <c r="O1131" s="9">
        <v>1443945</v>
      </c>
      <c r="P1131" s="9">
        <f>N1131-O1131</f>
        <v>99257</v>
      </c>
      <c r="Q1131" s="40">
        <f t="shared" si="179"/>
        <v>6.8740152845156848</v>
      </c>
      <c r="R1131" s="9">
        <v>127.87500000093</v>
      </c>
      <c r="S1131" s="9">
        <f t="shared" si="177"/>
        <v>129.23076923008</v>
      </c>
      <c r="T1131" s="90">
        <f t="shared" si="172"/>
        <v>225</v>
      </c>
      <c r="U1131" s="90">
        <f t="shared" si="173"/>
        <v>662</v>
      </c>
      <c r="V1131" s="373">
        <f t="shared" si="174"/>
        <v>1122</v>
      </c>
      <c r="W1131" s="90">
        <f t="shared" si="175"/>
        <v>129.23076923008</v>
      </c>
      <c r="X1131" s="90">
        <f t="shared" si="176"/>
        <v>1870547.6596054086</v>
      </c>
      <c r="Y1131" s="141">
        <f t="shared" si="178"/>
        <v>1122</v>
      </c>
      <c r="Z1131" s="298">
        <v>225</v>
      </c>
      <c r="AA1131" s="299">
        <v>662</v>
      </c>
      <c r="AB1131" s="299">
        <v>1122</v>
      </c>
      <c r="AC1131" s="301">
        <v>129.23076923008</v>
      </c>
      <c r="AD1131" s="301">
        <v>1870547.6596054086</v>
      </c>
      <c r="AE1131" s="126"/>
      <c r="AF1131" s="298"/>
      <c r="AG1131" s="299"/>
      <c r="AH1131" s="299"/>
      <c r="AI1131" s="301"/>
      <c r="AJ1131" s="301"/>
      <c r="AK1131" s="426"/>
      <c r="AL1131" s="298"/>
      <c r="AM1131" s="299"/>
      <c r="AN1131" s="299"/>
      <c r="AO1131" s="301"/>
      <c r="AP1131" s="301"/>
      <c r="AQ1131" s="426"/>
      <c r="AR1131" s="298"/>
      <c r="AS1131" s="299"/>
      <c r="AT1131" s="299"/>
      <c r="AU1131" s="301"/>
      <c r="AV1131" s="301"/>
      <c r="AW1131" s="88"/>
      <c r="AX1131" s="298"/>
      <c r="AY1131" s="299"/>
      <c r="AZ1131" s="299"/>
      <c r="BA1131" s="301"/>
      <c r="BB1131" s="301"/>
      <c r="BC1131" s="426"/>
      <c r="BD1131" s="298"/>
      <c r="BE1131" s="299"/>
      <c r="BF1131" s="299"/>
      <c r="BG1131" s="301"/>
      <c r="BH1131" s="301"/>
      <c r="BI1131" s="88"/>
      <c r="BJ1131" s="298"/>
      <c r="BK1131" s="299"/>
      <c r="BL1131" s="299"/>
      <c r="BM1131" s="301"/>
      <c r="BN1131" s="301"/>
      <c r="BO1131" s="88"/>
      <c r="BP1131" s="9"/>
      <c r="BS1131" s="81"/>
      <c r="BT1131" s="81"/>
      <c r="BV1131" s="9"/>
      <c r="BY1131" s="81"/>
      <c r="BZ1131" s="81"/>
      <c r="CB1131" s="9"/>
      <c r="CE1131" s="81"/>
      <c r="CF1131" s="81"/>
      <c r="CH1131" s="9"/>
      <c r="CK1131" s="81"/>
      <c r="CL1131" s="81"/>
      <c r="CR1131" s="9"/>
      <c r="CS1131" s="9"/>
      <c r="CT1131" s="9"/>
      <c r="CU1131" s="9"/>
      <c r="CV1131" s="9"/>
      <c r="CW1131" s="129"/>
      <c r="CX1131" s="9"/>
    </row>
    <row r="1132" spans="1:102">
      <c r="A1132" s="6" t="str">
        <f t="shared" si="171"/>
        <v>02250998</v>
      </c>
      <c r="B1132" s="6" t="s">
        <v>1875</v>
      </c>
      <c r="C1132" s="6" t="s">
        <v>2091</v>
      </c>
      <c r="D1132" s="6">
        <v>1123</v>
      </c>
      <c r="E1132" s="6">
        <v>225</v>
      </c>
      <c r="F1132" s="6" t="s">
        <v>1547</v>
      </c>
      <c r="G1132" s="6">
        <v>998</v>
      </c>
      <c r="H1132" s="6" t="s">
        <v>1547</v>
      </c>
      <c r="I1132" s="33">
        <v>0</v>
      </c>
      <c r="J1132" s="88">
        <v>0</v>
      </c>
      <c r="K1132" s="89">
        <f t="shared" si="180"/>
        <v>0</v>
      </c>
      <c r="L1132" s="88">
        <f>IF(K1134&gt;0, K1132/K1134, 0)</f>
        <v>0</v>
      </c>
      <c r="M1132" s="58"/>
      <c r="N1132" s="9">
        <f>ROUND(M1134*L1132,0)</f>
        <v>0</v>
      </c>
      <c r="O1132" s="9">
        <v>0</v>
      </c>
      <c r="P1132" s="9">
        <f>N1132-O1132</f>
        <v>0</v>
      </c>
      <c r="Q1132" s="40">
        <f t="shared" si="179"/>
        <v>0</v>
      </c>
      <c r="R1132" s="9">
        <v>0</v>
      </c>
      <c r="S1132" s="9">
        <f t="shared" si="177"/>
        <v>0</v>
      </c>
      <c r="T1132" s="90">
        <f t="shared" si="172"/>
        <v>225</v>
      </c>
      <c r="U1132" s="90">
        <f t="shared" si="173"/>
        <v>998</v>
      </c>
      <c r="V1132" s="373">
        <f t="shared" si="174"/>
        <v>1123</v>
      </c>
      <c r="W1132" s="90">
        <f t="shared" si="175"/>
        <v>0</v>
      </c>
      <c r="X1132" s="90">
        <f t="shared" si="176"/>
        <v>0</v>
      </c>
      <c r="Y1132" s="141">
        <f t="shared" si="178"/>
        <v>1123</v>
      </c>
      <c r="Z1132" s="298">
        <v>225</v>
      </c>
      <c r="AA1132" s="299">
        <v>998</v>
      </c>
      <c r="AB1132" s="299">
        <v>1123</v>
      </c>
      <c r="AC1132" s="301">
        <v>0</v>
      </c>
      <c r="AD1132" s="301">
        <v>0</v>
      </c>
      <c r="AE1132" s="126"/>
      <c r="AF1132" s="298"/>
      <c r="AG1132" s="299"/>
      <c r="AH1132" s="299"/>
      <c r="AI1132" s="301"/>
      <c r="AJ1132" s="301"/>
      <c r="AK1132" s="426"/>
      <c r="AL1132" s="298"/>
      <c r="AM1132" s="299"/>
      <c r="AN1132" s="299"/>
      <c r="AO1132" s="301"/>
      <c r="AP1132" s="301"/>
      <c r="AQ1132" s="426"/>
      <c r="AR1132" s="298"/>
      <c r="AS1132" s="299"/>
      <c r="AT1132" s="299"/>
      <c r="AU1132" s="301"/>
      <c r="AV1132" s="301"/>
      <c r="AW1132" s="88"/>
      <c r="AX1132" s="298"/>
      <c r="AY1132" s="299"/>
      <c r="AZ1132" s="299"/>
      <c r="BA1132" s="301"/>
      <c r="BB1132" s="301"/>
      <c r="BC1132" s="426"/>
      <c r="BD1132" s="298"/>
      <c r="BE1132" s="299"/>
      <c r="BF1132" s="299"/>
      <c r="BG1132" s="301"/>
      <c r="BH1132" s="301"/>
      <c r="BI1132" s="88"/>
      <c r="BJ1132" s="298"/>
      <c r="BK1132" s="299"/>
      <c r="BL1132" s="299"/>
      <c r="BM1132" s="301"/>
      <c r="BN1132" s="301"/>
      <c r="BO1132" s="88"/>
      <c r="BP1132" s="9"/>
      <c r="BS1132" s="81"/>
      <c r="BT1132" s="81"/>
      <c r="BV1132" s="9"/>
      <c r="BY1132" s="81"/>
      <c r="BZ1132" s="81"/>
      <c r="CB1132" s="9"/>
      <c r="CE1132" s="81"/>
      <c r="CF1132" s="81"/>
      <c r="CH1132" s="9"/>
      <c r="CK1132" s="81"/>
      <c r="CL1132" s="81"/>
      <c r="CR1132" s="9"/>
      <c r="CS1132" s="9"/>
      <c r="CT1132" s="9"/>
      <c r="CU1132" s="9"/>
      <c r="CV1132" s="9"/>
      <c r="CW1132" s="129"/>
      <c r="CX1132" s="9"/>
    </row>
    <row r="1133" spans="1:102">
      <c r="A1133" s="6" t="str">
        <f t="shared" si="171"/>
        <v>02250998</v>
      </c>
      <c r="B1133" s="6" t="s">
        <v>1875</v>
      </c>
      <c r="C1133" s="6" t="s">
        <v>2091</v>
      </c>
      <c r="D1133" s="6">
        <v>1124</v>
      </c>
      <c r="E1133" s="6">
        <v>225</v>
      </c>
      <c r="F1133" s="6" t="s">
        <v>1547</v>
      </c>
      <c r="G1133" s="6">
        <v>998</v>
      </c>
      <c r="H1133" s="6" t="s">
        <v>1547</v>
      </c>
      <c r="I1133" s="33">
        <v>0</v>
      </c>
      <c r="J1133" s="88">
        <v>0</v>
      </c>
      <c r="K1133" s="89">
        <f t="shared" si="180"/>
        <v>0</v>
      </c>
      <c r="L1133" s="88">
        <f>IF(K1134&gt;0, K1133/K1134, 0)</f>
        <v>0</v>
      </c>
      <c r="M1133" s="58"/>
      <c r="N1133" s="9">
        <f>ROUND(M1134*L1133,0)</f>
        <v>0</v>
      </c>
      <c r="O1133" s="9">
        <v>0</v>
      </c>
      <c r="P1133" s="9">
        <f>N1133-O1133</f>
        <v>0</v>
      </c>
      <c r="Q1133" s="40">
        <f t="shared" si="179"/>
        <v>0</v>
      </c>
      <c r="R1133" s="9">
        <v>0</v>
      </c>
      <c r="S1133" s="9">
        <f t="shared" si="177"/>
        <v>0</v>
      </c>
      <c r="T1133" s="90">
        <f t="shared" si="172"/>
        <v>225</v>
      </c>
      <c r="U1133" s="90">
        <f t="shared" si="173"/>
        <v>998</v>
      </c>
      <c r="V1133" s="373">
        <f t="shared" si="174"/>
        <v>1124</v>
      </c>
      <c r="W1133" s="90">
        <f t="shared" si="175"/>
        <v>0</v>
      </c>
      <c r="X1133" s="90">
        <f t="shared" si="176"/>
        <v>0</v>
      </c>
      <c r="Y1133" s="141">
        <f t="shared" si="178"/>
        <v>1124</v>
      </c>
      <c r="Z1133" s="298">
        <v>225</v>
      </c>
      <c r="AA1133" s="299">
        <v>998</v>
      </c>
      <c r="AB1133" s="299">
        <v>1124</v>
      </c>
      <c r="AC1133" s="301">
        <v>0</v>
      </c>
      <c r="AD1133" s="301">
        <v>0</v>
      </c>
      <c r="AE1133" s="126"/>
      <c r="AF1133" s="298"/>
      <c r="AG1133" s="299"/>
      <c r="AH1133" s="299"/>
      <c r="AI1133" s="301"/>
      <c r="AJ1133" s="301"/>
      <c r="AK1133" s="426"/>
      <c r="AL1133" s="298"/>
      <c r="AM1133" s="299"/>
      <c r="AN1133" s="299"/>
      <c r="AO1133" s="301"/>
      <c r="AP1133" s="301"/>
      <c r="AQ1133" s="426"/>
      <c r="AR1133" s="298"/>
      <c r="AS1133" s="299"/>
      <c r="AT1133" s="299"/>
      <c r="AU1133" s="301"/>
      <c r="AV1133" s="301"/>
      <c r="AW1133" s="88"/>
      <c r="AX1133" s="298"/>
      <c r="AY1133" s="299"/>
      <c r="AZ1133" s="299"/>
      <c r="BA1133" s="301"/>
      <c r="BB1133" s="301"/>
      <c r="BC1133" s="426"/>
      <c r="BD1133" s="298"/>
      <c r="BE1133" s="299"/>
      <c r="BF1133" s="299"/>
      <c r="BG1133" s="301"/>
      <c r="BH1133" s="301"/>
      <c r="BI1133" s="88"/>
      <c r="BJ1133" s="298"/>
      <c r="BK1133" s="299"/>
      <c r="BL1133" s="299"/>
      <c r="BM1133" s="301"/>
      <c r="BN1133" s="301"/>
      <c r="BO1133" s="88"/>
      <c r="BP1133" s="9"/>
      <c r="BS1133" s="81"/>
      <c r="BT1133" s="81"/>
      <c r="BV1133" s="9"/>
      <c r="BY1133" s="81"/>
      <c r="BZ1133" s="81"/>
      <c r="CB1133" s="9"/>
      <c r="CE1133" s="81"/>
      <c r="CF1133" s="81"/>
      <c r="CH1133" s="9"/>
      <c r="CK1133" s="81"/>
      <c r="CL1133" s="81"/>
      <c r="CR1133" s="9"/>
      <c r="CS1133" s="9"/>
      <c r="CT1133" s="9"/>
      <c r="CU1133" s="9"/>
      <c r="CV1133" s="9"/>
      <c r="CW1133" s="129"/>
      <c r="CX1133" s="9"/>
    </row>
    <row r="1134" spans="1:102">
      <c r="A1134" s="6" t="str">
        <f t="shared" si="171"/>
        <v>02250999</v>
      </c>
      <c r="B1134" s="6" t="s">
        <v>1875</v>
      </c>
      <c r="C1134" s="6" t="s">
        <v>2092</v>
      </c>
      <c r="D1134" s="6">
        <v>1125</v>
      </c>
      <c r="E1134" s="10">
        <v>225</v>
      </c>
      <c r="F1134" s="10" t="s">
        <v>1343</v>
      </c>
      <c r="G1134" s="10">
        <v>999</v>
      </c>
      <c r="H1134" s="10" t="s">
        <v>593</v>
      </c>
      <c r="I1134" s="92">
        <v>1750236.4864413003</v>
      </c>
      <c r="J1134" s="472">
        <v>1</v>
      </c>
      <c r="K1134" s="53">
        <f>SUM(K1130:K1133)</f>
        <v>1870547.6596054086</v>
      </c>
      <c r="L1134" s="91">
        <f>SUM(L1130:L1133)</f>
        <v>1</v>
      </c>
      <c r="M1134" s="79">
        <f>VLOOKUP(E1134,town351,24)</f>
        <v>1543202</v>
      </c>
      <c r="N1134" s="79">
        <f>SUM(N1130:N1133)</f>
        <v>1543202</v>
      </c>
      <c r="O1134" s="79">
        <v>1443945</v>
      </c>
      <c r="P1134" s="79">
        <f>SUM(P1130:P1133)</f>
        <v>99257</v>
      </c>
      <c r="Q1134" s="39">
        <f t="shared" si="179"/>
        <v>6.8740152845156848</v>
      </c>
      <c r="R1134" s="9">
        <v>127.87500000093</v>
      </c>
      <c r="S1134" s="9">
        <f t="shared" si="177"/>
        <v>129.23076923008</v>
      </c>
      <c r="T1134" s="90">
        <f t="shared" si="172"/>
        <v>225</v>
      </c>
      <c r="U1134" s="90">
        <f t="shared" si="173"/>
        <v>999</v>
      </c>
      <c r="V1134" s="373">
        <f t="shared" si="174"/>
        <v>1125</v>
      </c>
      <c r="W1134" s="90">
        <f t="shared" si="175"/>
        <v>129.23076923008</v>
      </c>
      <c r="X1134" s="90">
        <f t="shared" si="176"/>
        <v>1870547.6596054086</v>
      </c>
      <c r="Y1134" s="141">
        <f t="shared" si="178"/>
        <v>1125</v>
      </c>
      <c r="Z1134" s="298">
        <v>225</v>
      </c>
      <c r="AA1134" s="299">
        <v>999</v>
      </c>
      <c r="AB1134" s="299">
        <v>1125</v>
      </c>
      <c r="AC1134" s="301">
        <v>129.23076923008</v>
      </c>
      <c r="AD1134" s="301">
        <v>1870547.6596054086</v>
      </c>
      <c r="AE1134" s="126"/>
      <c r="AF1134" s="298"/>
      <c r="AG1134" s="299"/>
      <c r="AH1134" s="299"/>
      <c r="AI1134" s="301"/>
      <c r="AJ1134" s="301"/>
      <c r="AK1134" s="426"/>
      <c r="AL1134" s="298"/>
      <c r="AM1134" s="299"/>
      <c r="AN1134" s="299"/>
      <c r="AO1134" s="301"/>
      <c r="AP1134" s="301"/>
      <c r="AQ1134" s="426"/>
      <c r="AR1134" s="298"/>
      <c r="AS1134" s="299"/>
      <c r="AT1134" s="299"/>
      <c r="AU1134" s="301"/>
      <c r="AV1134" s="301"/>
      <c r="AW1134" s="91"/>
      <c r="AX1134" s="298"/>
      <c r="AY1134" s="299"/>
      <c r="AZ1134" s="299"/>
      <c r="BA1134" s="301"/>
      <c r="BB1134" s="301"/>
      <c r="BC1134" s="426"/>
      <c r="BD1134" s="298"/>
      <c r="BE1134" s="299"/>
      <c r="BF1134" s="299"/>
      <c r="BG1134" s="301"/>
      <c r="BH1134" s="301"/>
      <c r="BI1134" s="91"/>
      <c r="BJ1134" s="298"/>
      <c r="BK1134" s="299"/>
      <c r="BL1134" s="299"/>
      <c r="BM1134" s="301"/>
      <c r="BN1134" s="301"/>
      <c r="BO1134" s="91"/>
      <c r="BP1134" s="9"/>
      <c r="BS1134" s="81"/>
      <c r="BT1134" s="81"/>
      <c r="BV1134" s="9"/>
      <c r="BY1134" s="81"/>
      <c r="BZ1134" s="81"/>
      <c r="CB1134" s="9"/>
      <c r="CE1134" s="81"/>
      <c r="CF1134" s="81"/>
      <c r="CH1134" s="9"/>
      <c r="CK1134" s="81"/>
      <c r="CL1134" s="81"/>
      <c r="CR1134" s="9"/>
      <c r="CS1134" s="9"/>
      <c r="CT1134" s="9"/>
      <c r="CU1134" s="9"/>
      <c r="CV1134" s="9"/>
      <c r="CW1134" s="129"/>
      <c r="CX1134" s="9"/>
    </row>
    <row r="1135" spans="1:102">
      <c r="A1135" s="6" t="str">
        <f t="shared" si="171"/>
        <v>02260226</v>
      </c>
      <c r="B1135" s="6" t="s">
        <v>1876</v>
      </c>
      <c r="C1135" s="6" t="s">
        <v>1876</v>
      </c>
      <c r="D1135" s="6">
        <v>1126</v>
      </c>
      <c r="E1135" s="6">
        <v>226</v>
      </c>
      <c r="F1135" s="6" t="s">
        <v>1344</v>
      </c>
      <c r="G1135" s="6">
        <v>226</v>
      </c>
      <c r="H1135" s="6" t="s">
        <v>907</v>
      </c>
      <c r="I1135" s="33">
        <v>21950126.810000002</v>
      </c>
      <c r="J1135" s="88">
        <v>0.87645486399604544</v>
      </c>
      <c r="K1135" s="89">
        <f>X1135</f>
        <v>23877644.359999999</v>
      </c>
      <c r="L1135" s="88">
        <f>IF(K1139&gt;0, K1135/K1139, 0)</f>
        <v>0.88580513397721261</v>
      </c>
      <c r="M1135" s="58"/>
      <c r="N1135" s="9">
        <f>ROUND(M1139*L1135,0)</f>
        <v>11652431</v>
      </c>
      <c r="O1135" s="9">
        <v>10995071</v>
      </c>
      <c r="P1135" s="9">
        <f>N1135-O1135</f>
        <v>657360</v>
      </c>
      <c r="Q1135" s="40">
        <f t="shared" si="179"/>
        <v>5.9786789917045553</v>
      </c>
      <c r="R1135" s="9">
        <v>1526</v>
      </c>
      <c r="S1135" s="9">
        <f t="shared" si="177"/>
        <v>1569</v>
      </c>
      <c r="T1135" s="90">
        <f t="shared" si="172"/>
        <v>226</v>
      </c>
      <c r="U1135" s="90">
        <f t="shared" si="173"/>
        <v>226</v>
      </c>
      <c r="V1135" s="373">
        <f t="shared" si="174"/>
        <v>1126</v>
      </c>
      <c r="W1135" s="90">
        <f t="shared" si="175"/>
        <v>1569</v>
      </c>
      <c r="X1135" s="90">
        <f t="shared" si="176"/>
        <v>23877644.359999999</v>
      </c>
      <c r="Y1135" s="141">
        <f t="shared" si="178"/>
        <v>1126</v>
      </c>
      <c r="Z1135" s="298">
        <v>226</v>
      </c>
      <c r="AA1135" s="299">
        <v>226</v>
      </c>
      <c r="AB1135" s="299">
        <v>1126</v>
      </c>
      <c r="AC1135" s="301">
        <v>1569</v>
      </c>
      <c r="AD1135" s="301">
        <v>23877644.359999999</v>
      </c>
      <c r="AE1135" s="126"/>
      <c r="AF1135" s="298"/>
      <c r="AG1135" s="299"/>
      <c r="AH1135" s="299"/>
      <c r="AI1135" s="301"/>
      <c r="AJ1135" s="301"/>
      <c r="AK1135" s="426"/>
      <c r="AL1135" s="298"/>
      <c r="AM1135" s="299"/>
      <c r="AN1135" s="299"/>
      <c r="AO1135" s="301"/>
      <c r="AP1135" s="301"/>
      <c r="AQ1135" s="426"/>
      <c r="AR1135" s="298"/>
      <c r="AS1135" s="299"/>
      <c r="AT1135" s="299"/>
      <c r="AU1135" s="301"/>
      <c r="AV1135" s="301"/>
      <c r="AW1135" s="88"/>
      <c r="AX1135" s="298"/>
      <c r="AY1135" s="299"/>
      <c r="AZ1135" s="299"/>
      <c r="BA1135" s="301"/>
      <c r="BB1135" s="301"/>
      <c r="BC1135" s="426"/>
      <c r="BD1135" s="298"/>
      <c r="BE1135" s="299"/>
      <c r="BF1135" s="299"/>
      <c r="BG1135" s="301"/>
      <c r="BH1135" s="301"/>
      <c r="BI1135" s="88"/>
      <c r="BJ1135" s="298"/>
      <c r="BK1135" s="299"/>
      <c r="BL1135" s="299"/>
      <c r="BM1135" s="301"/>
      <c r="BN1135" s="301"/>
      <c r="BO1135" s="88"/>
      <c r="BP1135" s="9"/>
      <c r="BS1135" s="81"/>
      <c r="BT1135" s="81"/>
      <c r="BV1135" s="9"/>
      <c r="BY1135" s="81"/>
      <c r="BZ1135" s="81"/>
      <c r="CB1135" s="9"/>
      <c r="CE1135" s="81"/>
      <c r="CF1135" s="81"/>
      <c r="CH1135" s="9"/>
      <c r="CK1135" s="81"/>
      <c r="CL1135" s="81"/>
      <c r="CR1135" s="9"/>
      <c r="CS1135" s="9"/>
      <c r="CT1135" s="9"/>
      <c r="CU1135" s="9"/>
      <c r="CV1135" s="9"/>
      <c r="CW1135" s="129"/>
      <c r="CX1135" s="9"/>
    </row>
    <row r="1136" spans="1:102">
      <c r="A1136" s="6" t="str">
        <f t="shared" si="171"/>
        <v>02260876</v>
      </c>
      <c r="B1136" s="6" t="s">
        <v>1876</v>
      </c>
      <c r="C1136" s="6" t="s">
        <v>2084</v>
      </c>
      <c r="D1136" s="6">
        <v>1127</v>
      </c>
      <c r="E1136" s="6">
        <v>226</v>
      </c>
      <c r="F1136" s="6" t="s">
        <v>1344</v>
      </c>
      <c r="G1136" s="6">
        <v>876</v>
      </c>
      <c r="H1136" s="6" t="s">
        <v>1114</v>
      </c>
      <c r="I1136" s="33">
        <v>3094091.3370956355</v>
      </c>
      <c r="J1136" s="88">
        <v>0.12354513600395448</v>
      </c>
      <c r="K1136" s="89">
        <f t="shared" si="180"/>
        <v>3078221.489174739</v>
      </c>
      <c r="L1136" s="88">
        <f>IF(K1139&gt;0, K1136/K1139, 0)</f>
        <v>0.11419486602278738</v>
      </c>
      <c r="M1136" s="58"/>
      <c r="N1136" s="9">
        <f>ROUND(M1139*L1136,0)</f>
        <v>1502190</v>
      </c>
      <c r="O1136" s="9">
        <v>1549866</v>
      </c>
      <c r="P1136" s="9">
        <f>N1136-O1136</f>
        <v>-47676</v>
      </c>
      <c r="Q1136" s="40">
        <f t="shared" si="179"/>
        <v>-3.0761369047388611</v>
      </c>
      <c r="R1136" s="9">
        <v>153.00000000207999</v>
      </c>
      <c r="S1136" s="9">
        <f t="shared" si="177"/>
        <v>148.99999999587999</v>
      </c>
      <c r="T1136" s="90">
        <f t="shared" si="172"/>
        <v>226</v>
      </c>
      <c r="U1136" s="90">
        <f t="shared" si="173"/>
        <v>876</v>
      </c>
      <c r="V1136" s="373">
        <f t="shared" si="174"/>
        <v>1127</v>
      </c>
      <c r="W1136" s="90">
        <f t="shared" si="175"/>
        <v>148.99999999587999</v>
      </c>
      <c r="X1136" s="90">
        <f t="shared" si="176"/>
        <v>3078221.489174739</v>
      </c>
      <c r="Y1136" s="141">
        <f t="shared" si="178"/>
        <v>1127</v>
      </c>
      <c r="Z1136" s="298">
        <v>226</v>
      </c>
      <c r="AA1136" s="299">
        <v>876</v>
      </c>
      <c r="AB1136" s="299">
        <v>1127</v>
      </c>
      <c r="AC1136" s="301">
        <v>148.99999999587999</v>
      </c>
      <c r="AD1136" s="301">
        <v>3078221.489174739</v>
      </c>
      <c r="AE1136" s="126"/>
      <c r="AF1136" s="298"/>
      <c r="AG1136" s="299"/>
      <c r="AH1136" s="299"/>
      <c r="AI1136" s="301"/>
      <c r="AJ1136" s="301"/>
      <c r="AK1136" s="426"/>
      <c r="AL1136" s="298"/>
      <c r="AM1136" s="299"/>
      <c r="AN1136" s="299"/>
      <c r="AO1136" s="301"/>
      <c r="AP1136" s="301"/>
      <c r="AQ1136" s="426"/>
      <c r="AR1136" s="298"/>
      <c r="AS1136" s="299"/>
      <c r="AT1136" s="299"/>
      <c r="AU1136" s="301"/>
      <c r="AV1136" s="301"/>
      <c r="AW1136" s="88"/>
      <c r="AX1136" s="298"/>
      <c r="AY1136" s="299"/>
      <c r="AZ1136" s="299"/>
      <c r="BA1136" s="301"/>
      <c r="BB1136" s="301"/>
      <c r="BC1136" s="426"/>
      <c r="BD1136" s="298"/>
      <c r="BE1136" s="299"/>
      <c r="BF1136" s="299"/>
      <c r="BG1136" s="301"/>
      <c r="BH1136" s="301"/>
      <c r="BI1136" s="88"/>
      <c r="BJ1136" s="298"/>
      <c r="BK1136" s="299"/>
      <c r="BL1136" s="299"/>
      <c r="BM1136" s="301"/>
      <c r="BN1136" s="301"/>
      <c r="BO1136" s="88"/>
      <c r="BP1136" s="9"/>
      <c r="BS1136" s="81"/>
      <c r="BT1136" s="81"/>
      <c r="BV1136" s="9"/>
      <c r="BY1136" s="81"/>
      <c r="BZ1136" s="81"/>
      <c r="CB1136" s="9"/>
      <c r="CE1136" s="81"/>
      <c r="CF1136" s="81"/>
      <c r="CH1136" s="9"/>
      <c r="CK1136" s="81"/>
      <c r="CL1136" s="81"/>
      <c r="CR1136" s="9"/>
      <c r="CS1136" s="9"/>
      <c r="CT1136" s="9"/>
      <c r="CU1136" s="9"/>
      <c r="CV1136" s="9"/>
      <c r="CW1136" s="129"/>
      <c r="CX1136" s="9"/>
    </row>
    <row r="1137" spans="1:102">
      <c r="A1137" s="6" t="str">
        <f t="shared" si="171"/>
        <v>02260998</v>
      </c>
      <c r="B1137" s="6" t="s">
        <v>1876</v>
      </c>
      <c r="C1137" s="6" t="s">
        <v>2091</v>
      </c>
      <c r="D1137" s="6">
        <v>1128</v>
      </c>
      <c r="E1137" s="6">
        <v>226</v>
      </c>
      <c r="F1137" s="6" t="s">
        <v>1547</v>
      </c>
      <c r="G1137" s="6">
        <v>998</v>
      </c>
      <c r="H1137" s="6" t="s">
        <v>1547</v>
      </c>
      <c r="I1137" s="33">
        <v>0</v>
      </c>
      <c r="J1137" s="88">
        <v>0</v>
      </c>
      <c r="K1137" s="89">
        <f t="shared" si="180"/>
        <v>0</v>
      </c>
      <c r="L1137" s="88">
        <f>IF(K1139&gt;0, K1137/K1139, 0)</f>
        <v>0</v>
      </c>
      <c r="M1137" s="58"/>
      <c r="N1137" s="9">
        <f>ROUND(M1139*L1137,0)</f>
        <v>0</v>
      </c>
      <c r="O1137" s="9">
        <v>0</v>
      </c>
      <c r="P1137" s="9">
        <f>N1137-O1137</f>
        <v>0</v>
      </c>
      <c r="Q1137" s="40">
        <f t="shared" si="179"/>
        <v>0</v>
      </c>
      <c r="R1137" s="9">
        <v>0</v>
      </c>
      <c r="S1137" s="9">
        <f t="shared" si="177"/>
        <v>0</v>
      </c>
      <c r="T1137" s="90">
        <f t="shared" si="172"/>
        <v>226</v>
      </c>
      <c r="U1137" s="90">
        <f t="shared" si="173"/>
        <v>998</v>
      </c>
      <c r="V1137" s="373">
        <f t="shared" si="174"/>
        <v>1128</v>
      </c>
      <c r="W1137" s="90">
        <f t="shared" si="175"/>
        <v>0</v>
      </c>
      <c r="X1137" s="90">
        <f t="shared" si="176"/>
        <v>0</v>
      </c>
      <c r="Y1137" s="141">
        <f t="shared" si="178"/>
        <v>1128</v>
      </c>
      <c r="Z1137" s="298">
        <v>226</v>
      </c>
      <c r="AA1137" s="299">
        <v>998</v>
      </c>
      <c r="AB1137" s="299">
        <v>1128</v>
      </c>
      <c r="AC1137" s="301">
        <v>0</v>
      </c>
      <c r="AD1137" s="301">
        <v>0</v>
      </c>
      <c r="AE1137" s="126"/>
      <c r="AF1137" s="298"/>
      <c r="AG1137" s="299"/>
      <c r="AH1137" s="299"/>
      <c r="AI1137" s="301"/>
      <c r="AJ1137" s="301"/>
      <c r="AK1137" s="426"/>
      <c r="AL1137" s="298"/>
      <c r="AM1137" s="299"/>
      <c r="AN1137" s="299"/>
      <c r="AO1137" s="301"/>
      <c r="AP1137" s="301"/>
      <c r="AQ1137" s="426"/>
      <c r="AR1137" s="298"/>
      <c r="AS1137" s="299"/>
      <c r="AT1137" s="299"/>
      <c r="AU1137" s="301"/>
      <c r="AV1137" s="301"/>
      <c r="AW1137" s="88"/>
      <c r="AX1137" s="298"/>
      <c r="AY1137" s="299"/>
      <c r="AZ1137" s="299"/>
      <c r="BA1137" s="301"/>
      <c r="BB1137" s="301"/>
      <c r="BC1137" s="426"/>
      <c r="BD1137" s="298"/>
      <c r="BE1137" s="299"/>
      <c r="BF1137" s="299"/>
      <c r="BG1137" s="301"/>
      <c r="BH1137" s="301"/>
      <c r="BI1137" s="88"/>
      <c r="BJ1137" s="298"/>
      <c r="BK1137" s="299"/>
      <c r="BL1137" s="299"/>
      <c r="BM1137" s="301"/>
      <c r="BN1137" s="301"/>
      <c r="BO1137" s="88"/>
      <c r="BP1137" s="9"/>
      <c r="BS1137" s="81"/>
      <c r="BT1137" s="81"/>
      <c r="BV1137" s="9"/>
      <c r="BY1137" s="81"/>
      <c r="BZ1137" s="81"/>
      <c r="CB1137" s="9"/>
      <c r="CE1137" s="81"/>
      <c r="CF1137" s="81"/>
      <c r="CH1137" s="9"/>
      <c r="CK1137" s="81"/>
      <c r="CL1137" s="81"/>
      <c r="CR1137" s="9"/>
      <c r="CS1137" s="9"/>
      <c r="CT1137" s="9"/>
      <c r="CU1137" s="9"/>
      <c r="CV1137" s="9"/>
      <c r="CW1137" s="129"/>
      <c r="CX1137" s="9"/>
    </row>
    <row r="1138" spans="1:102">
      <c r="A1138" s="6" t="str">
        <f t="shared" si="171"/>
        <v>02260998</v>
      </c>
      <c r="B1138" s="6" t="s">
        <v>1876</v>
      </c>
      <c r="C1138" s="6" t="s">
        <v>2091</v>
      </c>
      <c r="D1138" s="6">
        <v>1129</v>
      </c>
      <c r="E1138" s="6">
        <v>226</v>
      </c>
      <c r="F1138" s="6" t="s">
        <v>1547</v>
      </c>
      <c r="G1138" s="6">
        <v>998</v>
      </c>
      <c r="H1138" s="6" t="s">
        <v>1547</v>
      </c>
      <c r="I1138" s="33">
        <v>0</v>
      </c>
      <c r="J1138" s="88">
        <v>0</v>
      </c>
      <c r="K1138" s="89">
        <f t="shared" si="180"/>
        <v>0</v>
      </c>
      <c r="L1138" s="88">
        <f>IF(K1139&gt;0, K1138/K1139, 0)</f>
        <v>0</v>
      </c>
      <c r="M1138" s="58"/>
      <c r="N1138" s="9">
        <f>ROUND(M1139*L1138,0)</f>
        <v>0</v>
      </c>
      <c r="O1138" s="9">
        <v>0</v>
      </c>
      <c r="P1138" s="9">
        <f>N1138-O1138</f>
        <v>0</v>
      </c>
      <c r="Q1138" s="40">
        <f t="shared" si="179"/>
        <v>0</v>
      </c>
      <c r="R1138" s="9">
        <v>0</v>
      </c>
      <c r="S1138" s="9">
        <f t="shared" si="177"/>
        <v>0</v>
      </c>
      <c r="T1138" s="90">
        <f t="shared" si="172"/>
        <v>226</v>
      </c>
      <c r="U1138" s="90">
        <f t="shared" si="173"/>
        <v>998</v>
      </c>
      <c r="V1138" s="373">
        <f t="shared" si="174"/>
        <v>1129</v>
      </c>
      <c r="W1138" s="90">
        <f t="shared" si="175"/>
        <v>0</v>
      </c>
      <c r="X1138" s="90">
        <f t="shared" si="176"/>
        <v>0</v>
      </c>
      <c r="Y1138" s="141">
        <f t="shared" si="178"/>
        <v>1129</v>
      </c>
      <c r="Z1138" s="298">
        <v>226</v>
      </c>
      <c r="AA1138" s="299">
        <v>998</v>
      </c>
      <c r="AB1138" s="299">
        <v>1129</v>
      </c>
      <c r="AC1138" s="301">
        <v>0</v>
      </c>
      <c r="AD1138" s="301">
        <v>0</v>
      </c>
      <c r="AE1138" s="126"/>
      <c r="AF1138" s="298"/>
      <c r="AG1138" s="299"/>
      <c r="AH1138" s="299"/>
      <c r="AI1138" s="301"/>
      <c r="AJ1138" s="301"/>
      <c r="AK1138" s="426"/>
      <c r="AL1138" s="298"/>
      <c r="AM1138" s="299"/>
      <c r="AN1138" s="299"/>
      <c r="AO1138" s="301"/>
      <c r="AP1138" s="301"/>
      <c r="AQ1138" s="426"/>
      <c r="AR1138" s="298"/>
      <c r="AS1138" s="299"/>
      <c r="AT1138" s="299"/>
      <c r="AU1138" s="301"/>
      <c r="AV1138" s="301"/>
      <c r="AW1138" s="88"/>
      <c r="AX1138" s="298"/>
      <c r="AY1138" s="299"/>
      <c r="AZ1138" s="299"/>
      <c r="BA1138" s="301"/>
      <c r="BB1138" s="301"/>
      <c r="BC1138" s="426"/>
      <c r="BD1138" s="298"/>
      <c r="BE1138" s="299"/>
      <c r="BF1138" s="299"/>
      <c r="BG1138" s="301"/>
      <c r="BH1138" s="301"/>
      <c r="BI1138" s="88"/>
      <c r="BJ1138" s="298"/>
      <c r="BK1138" s="299"/>
      <c r="BL1138" s="299"/>
      <c r="BM1138" s="301"/>
      <c r="BN1138" s="301"/>
      <c r="BO1138" s="88"/>
      <c r="BP1138" s="9"/>
      <c r="BS1138" s="81"/>
      <c r="BT1138" s="81"/>
      <c r="BV1138" s="9"/>
      <c r="BY1138" s="81"/>
      <c r="BZ1138" s="81"/>
      <c r="CB1138" s="9"/>
      <c r="CE1138" s="81"/>
      <c r="CF1138" s="81"/>
      <c r="CH1138" s="9"/>
      <c r="CK1138" s="81"/>
      <c r="CL1138" s="81"/>
      <c r="CR1138" s="9"/>
      <c r="CS1138" s="9"/>
      <c r="CT1138" s="9"/>
      <c r="CU1138" s="9"/>
      <c r="CV1138" s="9"/>
      <c r="CW1138" s="129"/>
      <c r="CX1138" s="9"/>
    </row>
    <row r="1139" spans="1:102">
      <c r="A1139" s="6" t="str">
        <f t="shared" si="171"/>
        <v>02260999</v>
      </c>
      <c r="B1139" s="6" t="s">
        <v>1876</v>
      </c>
      <c r="C1139" s="6" t="s">
        <v>2092</v>
      </c>
      <c r="D1139" s="6">
        <v>1130</v>
      </c>
      <c r="E1139" s="10">
        <v>226</v>
      </c>
      <c r="F1139" s="10" t="s">
        <v>1344</v>
      </c>
      <c r="G1139" s="10">
        <v>999</v>
      </c>
      <c r="H1139" s="10" t="s">
        <v>593</v>
      </c>
      <c r="I1139" s="92">
        <v>25044218.147095639</v>
      </c>
      <c r="J1139" s="472">
        <v>0.99999999999999989</v>
      </c>
      <c r="K1139" s="53">
        <f>SUM(K1135:K1138)</f>
        <v>26955865.849174738</v>
      </c>
      <c r="L1139" s="91">
        <f>SUM(L1135:L1138)</f>
        <v>1</v>
      </c>
      <c r="M1139" s="79">
        <f>VLOOKUP(E1139,town351,24)</f>
        <v>13154621</v>
      </c>
      <c r="N1139" s="79">
        <f>SUM(N1135:N1138)</f>
        <v>13154621</v>
      </c>
      <c r="O1139" s="79">
        <v>12544937</v>
      </c>
      <c r="P1139" s="79">
        <f>SUM(P1135:P1138)</f>
        <v>609684</v>
      </c>
      <c r="Q1139" s="39">
        <f t="shared" si="179"/>
        <v>4.8600004926290188</v>
      </c>
      <c r="R1139" s="9">
        <v>1679.00000000208</v>
      </c>
      <c r="S1139" s="9">
        <f t="shared" si="177"/>
        <v>1717.99999999588</v>
      </c>
      <c r="T1139" s="90">
        <f t="shared" si="172"/>
        <v>226</v>
      </c>
      <c r="U1139" s="90">
        <f t="shared" si="173"/>
        <v>999</v>
      </c>
      <c r="V1139" s="373">
        <f t="shared" si="174"/>
        <v>1130</v>
      </c>
      <c r="W1139" s="90">
        <f t="shared" si="175"/>
        <v>1717.99999999588</v>
      </c>
      <c r="X1139" s="90">
        <f t="shared" si="176"/>
        <v>26955865.849174738</v>
      </c>
      <c r="Y1139" s="141">
        <f t="shared" si="178"/>
        <v>1130</v>
      </c>
      <c r="Z1139" s="298">
        <v>226</v>
      </c>
      <c r="AA1139" s="299">
        <v>999</v>
      </c>
      <c r="AB1139" s="299">
        <v>1130</v>
      </c>
      <c r="AC1139" s="301">
        <v>1717.99999999588</v>
      </c>
      <c r="AD1139" s="301">
        <v>26955865.849174738</v>
      </c>
      <c r="AE1139" s="126"/>
      <c r="AF1139" s="298"/>
      <c r="AG1139" s="299"/>
      <c r="AH1139" s="299"/>
      <c r="AI1139" s="301"/>
      <c r="AJ1139" s="301"/>
      <c r="AK1139" s="426"/>
      <c r="AL1139" s="298"/>
      <c r="AM1139" s="299"/>
      <c r="AN1139" s="299"/>
      <c r="AO1139" s="301"/>
      <c r="AP1139" s="301"/>
      <c r="AQ1139" s="426"/>
      <c r="AR1139" s="298"/>
      <c r="AS1139" s="299"/>
      <c r="AT1139" s="299"/>
      <c r="AU1139" s="301"/>
      <c r="AV1139" s="301"/>
      <c r="AW1139" s="91"/>
      <c r="AX1139" s="298"/>
      <c r="AY1139" s="299"/>
      <c r="AZ1139" s="299"/>
      <c r="BA1139" s="301"/>
      <c r="BB1139" s="301"/>
      <c r="BC1139" s="426"/>
      <c r="BD1139" s="298"/>
      <c r="BE1139" s="299"/>
      <c r="BF1139" s="299"/>
      <c r="BG1139" s="301"/>
      <c r="BH1139" s="301"/>
      <c r="BI1139" s="91"/>
      <c r="BJ1139" s="298"/>
      <c r="BK1139" s="299"/>
      <c r="BL1139" s="299"/>
      <c r="BM1139" s="301"/>
      <c r="BN1139" s="301"/>
      <c r="BO1139" s="91"/>
      <c r="BP1139" s="9"/>
      <c r="BS1139" s="81"/>
      <c r="BT1139" s="81"/>
      <c r="BV1139" s="9"/>
      <c r="BY1139" s="81"/>
      <c r="BZ1139" s="81"/>
      <c r="CB1139" s="9"/>
      <c r="CE1139" s="81"/>
      <c r="CF1139" s="81"/>
      <c r="CH1139" s="9"/>
      <c r="CK1139" s="81"/>
      <c r="CL1139" s="81"/>
      <c r="CR1139" s="9"/>
      <c r="CS1139" s="9"/>
      <c r="CT1139" s="9"/>
      <c r="CU1139" s="9"/>
      <c r="CV1139" s="9"/>
      <c r="CW1139" s="129"/>
      <c r="CX1139" s="9"/>
    </row>
    <row r="1140" spans="1:102">
      <c r="A1140" s="6" t="str">
        <f t="shared" si="171"/>
        <v>02270227</v>
      </c>
      <c r="B1140" s="6" t="s">
        <v>1877</v>
      </c>
      <c r="C1140" s="6" t="s">
        <v>1877</v>
      </c>
      <c r="D1140" s="6">
        <v>1131</v>
      </c>
      <c r="E1140" s="6">
        <v>227</v>
      </c>
      <c r="F1140" s="6" t="s">
        <v>1345</v>
      </c>
      <c r="G1140" s="6">
        <v>227</v>
      </c>
      <c r="H1140" s="6" t="s">
        <v>908</v>
      </c>
      <c r="I1140" s="33">
        <v>19001379.489999998</v>
      </c>
      <c r="J1140" s="88">
        <v>0.825524237910366</v>
      </c>
      <c r="K1140" s="89">
        <f>X1140</f>
        <v>19106951.319999997</v>
      </c>
      <c r="L1140" s="88">
        <f>IF(K1144&gt;0, K1140/K1144, 0)</f>
        <v>0.82578101981350094</v>
      </c>
      <c r="M1140" s="58"/>
      <c r="N1140" s="9">
        <f>ROUND(M1144*L1140,0)</f>
        <v>7584489</v>
      </c>
      <c r="O1140" s="9">
        <v>7280709</v>
      </c>
      <c r="P1140" s="9">
        <f>N1140-O1140</f>
        <v>303780</v>
      </c>
      <c r="Q1140" s="40">
        <f t="shared" si="179"/>
        <v>4.1723958477120844</v>
      </c>
      <c r="R1140" s="9">
        <v>1244</v>
      </c>
      <c r="S1140" s="9">
        <f t="shared" si="177"/>
        <v>1196</v>
      </c>
      <c r="T1140" s="90">
        <f t="shared" si="172"/>
        <v>227</v>
      </c>
      <c r="U1140" s="90">
        <f t="shared" si="173"/>
        <v>227</v>
      </c>
      <c r="V1140" s="373">
        <f t="shared" si="174"/>
        <v>1131</v>
      </c>
      <c r="W1140" s="90">
        <f t="shared" si="175"/>
        <v>1196</v>
      </c>
      <c r="X1140" s="90">
        <f t="shared" si="176"/>
        <v>19106951.319999997</v>
      </c>
      <c r="Y1140" s="141">
        <f t="shared" si="178"/>
        <v>1131</v>
      </c>
      <c r="Z1140" s="298">
        <v>227</v>
      </c>
      <c r="AA1140" s="299">
        <v>227</v>
      </c>
      <c r="AB1140" s="299">
        <v>1131</v>
      </c>
      <c r="AC1140" s="301">
        <v>1196</v>
      </c>
      <c r="AD1140" s="301">
        <v>19106951.319999997</v>
      </c>
      <c r="AE1140" s="126"/>
      <c r="AF1140" s="298"/>
      <c r="AG1140" s="299"/>
      <c r="AH1140" s="299"/>
      <c r="AI1140" s="301"/>
      <c r="AJ1140" s="301"/>
      <c r="AK1140" s="426"/>
      <c r="AL1140" s="298"/>
      <c r="AM1140" s="299"/>
      <c r="AN1140" s="299"/>
      <c r="AO1140" s="301"/>
      <c r="AP1140" s="301"/>
      <c r="AQ1140" s="426"/>
      <c r="AR1140" s="298"/>
      <c r="AS1140" s="299"/>
      <c r="AT1140" s="299"/>
      <c r="AU1140" s="301"/>
      <c r="AV1140" s="301"/>
      <c r="AW1140" s="88"/>
      <c r="AX1140" s="298"/>
      <c r="AY1140" s="299"/>
      <c r="AZ1140" s="299"/>
      <c r="BA1140" s="301"/>
      <c r="BB1140" s="301"/>
      <c r="BC1140" s="426"/>
      <c r="BD1140" s="298"/>
      <c r="BE1140" s="299"/>
      <c r="BF1140" s="299"/>
      <c r="BG1140" s="301"/>
      <c r="BH1140" s="301"/>
      <c r="BI1140" s="88"/>
      <c r="BJ1140" s="298"/>
      <c r="BK1140" s="299"/>
      <c r="BL1140" s="299"/>
      <c r="BM1140" s="301"/>
      <c r="BN1140" s="301"/>
      <c r="BO1140" s="88"/>
      <c r="BP1140" s="9"/>
      <c r="BS1140" s="81"/>
      <c r="BT1140" s="81"/>
      <c r="BV1140" s="9"/>
      <c r="BY1140" s="81"/>
      <c r="BZ1140" s="81"/>
      <c r="CB1140" s="9"/>
      <c r="CE1140" s="81"/>
      <c r="CF1140" s="81"/>
      <c r="CH1140" s="9"/>
      <c r="CK1140" s="81"/>
      <c r="CL1140" s="81"/>
      <c r="CR1140" s="9"/>
      <c r="CS1140" s="9"/>
      <c r="CT1140" s="9"/>
      <c r="CU1140" s="9"/>
      <c r="CV1140" s="9"/>
      <c r="CW1140" s="129"/>
      <c r="CX1140" s="9"/>
    </row>
    <row r="1141" spans="1:102">
      <c r="A1141" s="6" t="str">
        <f t="shared" si="171"/>
        <v>02270860</v>
      </c>
      <c r="B1141" s="6" t="s">
        <v>1877</v>
      </c>
      <c r="C1141" s="6" t="s">
        <v>2080</v>
      </c>
      <c r="D1141" s="6">
        <v>1132</v>
      </c>
      <c r="E1141" s="6">
        <v>227</v>
      </c>
      <c r="F1141" s="6" t="s">
        <v>1345</v>
      </c>
      <c r="G1141" s="6">
        <v>860</v>
      </c>
      <c r="H1141" s="6" t="s">
        <v>1110</v>
      </c>
      <c r="I1141" s="33">
        <v>4015969.5076476452</v>
      </c>
      <c r="J1141" s="88">
        <v>0.17447576208963397</v>
      </c>
      <c r="K1141" s="89">
        <f t="shared" si="180"/>
        <v>4031085.1104270676</v>
      </c>
      <c r="L1141" s="88">
        <f>IF(K1144&gt;0, K1141/K1144, 0)</f>
        <v>0.17421898018649914</v>
      </c>
      <c r="M1141" s="58"/>
      <c r="N1141" s="9">
        <f>ROUND(M1144*L1141,0)</f>
        <v>1600136</v>
      </c>
      <c r="O1141" s="9">
        <v>1538789</v>
      </c>
      <c r="P1141" s="9">
        <f>N1141-O1141</f>
        <v>61347</v>
      </c>
      <c r="Q1141" s="40">
        <f t="shared" si="179"/>
        <v>3.9867064295364734</v>
      </c>
      <c r="R1141" s="9">
        <v>188.99999999873998</v>
      </c>
      <c r="S1141" s="9">
        <f t="shared" si="177"/>
        <v>184.99999999970998</v>
      </c>
      <c r="T1141" s="90">
        <f t="shared" si="172"/>
        <v>227</v>
      </c>
      <c r="U1141" s="90">
        <f t="shared" si="173"/>
        <v>860</v>
      </c>
      <c r="V1141" s="373">
        <f t="shared" si="174"/>
        <v>1132</v>
      </c>
      <c r="W1141" s="90">
        <f t="shared" si="175"/>
        <v>184.99999999970998</v>
      </c>
      <c r="X1141" s="90">
        <f t="shared" si="176"/>
        <v>4031085.1104270676</v>
      </c>
      <c r="Y1141" s="141">
        <f t="shared" si="178"/>
        <v>1132</v>
      </c>
      <c r="Z1141" s="298">
        <v>227</v>
      </c>
      <c r="AA1141" s="299">
        <v>860</v>
      </c>
      <c r="AB1141" s="299">
        <v>1132</v>
      </c>
      <c r="AC1141" s="301">
        <v>184.99999999970998</v>
      </c>
      <c r="AD1141" s="301">
        <v>4031085.1104270676</v>
      </c>
      <c r="AE1141" s="126"/>
      <c r="AF1141" s="298"/>
      <c r="AG1141" s="299"/>
      <c r="AH1141" s="299"/>
      <c r="AI1141" s="301"/>
      <c r="AJ1141" s="301"/>
      <c r="AK1141" s="426"/>
      <c r="AL1141" s="298"/>
      <c r="AM1141" s="299"/>
      <c r="AN1141" s="299"/>
      <c r="AO1141" s="301"/>
      <c r="AP1141" s="301"/>
      <c r="AQ1141" s="426"/>
      <c r="AR1141" s="298"/>
      <c r="AS1141" s="299"/>
      <c r="AT1141" s="299"/>
      <c r="AU1141" s="301"/>
      <c r="AV1141" s="301"/>
      <c r="AW1141" s="88"/>
      <c r="AX1141" s="298"/>
      <c r="AY1141" s="299"/>
      <c r="AZ1141" s="299"/>
      <c r="BA1141" s="301"/>
      <c r="BB1141" s="301"/>
      <c r="BC1141" s="426"/>
      <c r="BD1141" s="298"/>
      <c r="BE1141" s="299"/>
      <c r="BF1141" s="299"/>
      <c r="BG1141" s="301"/>
      <c r="BH1141" s="301"/>
      <c r="BI1141" s="88"/>
      <c r="BJ1141" s="298"/>
      <c r="BK1141" s="299"/>
      <c r="BL1141" s="299"/>
      <c r="BM1141" s="301"/>
      <c r="BN1141" s="301"/>
      <c r="BO1141" s="88"/>
      <c r="BP1141" s="9"/>
      <c r="BS1141" s="81"/>
      <c r="BT1141" s="81"/>
      <c r="BV1141" s="9"/>
      <c r="BY1141" s="81"/>
      <c r="BZ1141" s="81"/>
      <c r="CB1141" s="9"/>
      <c r="CE1141" s="81"/>
      <c r="CF1141" s="81"/>
      <c r="CH1141" s="9"/>
      <c r="CK1141" s="81"/>
      <c r="CL1141" s="81"/>
      <c r="CR1141" s="9"/>
      <c r="CS1141" s="9"/>
      <c r="CT1141" s="9"/>
      <c r="CU1141" s="9"/>
      <c r="CV1141" s="9"/>
      <c r="CW1141" s="129"/>
      <c r="CX1141" s="9"/>
    </row>
    <row r="1142" spans="1:102">
      <c r="A1142" s="6" t="str">
        <f t="shared" si="171"/>
        <v>02270998</v>
      </c>
      <c r="B1142" s="6" t="s">
        <v>1877</v>
      </c>
      <c r="C1142" s="6" t="s">
        <v>2091</v>
      </c>
      <c r="D1142" s="6">
        <v>1133</v>
      </c>
      <c r="E1142" s="6">
        <v>227</v>
      </c>
      <c r="F1142" s="6" t="s">
        <v>1547</v>
      </c>
      <c r="G1142" s="6">
        <v>998</v>
      </c>
      <c r="H1142" s="6" t="s">
        <v>1547</v>
      </c>
      <c r="I1142" s="33">
        <v>0</v>
      </c>
      <c r="J1142" s="88">
        <v>0</v>
      </c>
      <c r="K1142" s="89">
        <f t="shared" si="180"/>
        <v>0</v>
      </c>
      <c r="L1142" s="88">
        <f>IF(K1144&gt;0, K1142/K1144, 0)</f>
        <v>0</v>
      </c>
      <c r="M1142" s="58"/>
      <c r="N1142" s="9">
        <f>ROUND(M1144*L1142,0)</f>
        <v>0</v>
      </c>
      <c r="O1142" s="9">
        <v>0</v>
      </c>
      <c r="P1142" s="9">
        <f>N1142-O1142</f>
        <v>0</v>
      </c>
      <c r="Q1142" s="40">
        <f t="shared" si="179"/>
        <v>0</v>
      </c>
      <c r="R1142" s="9">
        <v>0</v>
      </c>
      <c r="S1142" s="9">
        <f t="shared" si="177"/>
        <v>0</v>
      </c>
      <c r="T1142" s="90">
        <f t="shared" si="172"/>
        <v>227</v>
      </c>
      <c r="U1142" s="90">
        <f t="shared" si="173"/>
        <v>998</v>
      </c>
      <c r="V1142" s="373">
        <f t="shared" si="174"/>
        <v>1133</v>
      </c>
      <c r="W1142" s="90">
        <f t="shared" si="175"/>
        <v>0</v>
      </c>
      <c r="X1142" s="90">
        <f t="shared" si="176"/>
        <v>0</v>
      </c>
      <c r="Y1142" s="141">
        <f t="shared" si="178"/>
        <v>1133</v>
      </c>
      <c r="Z1142" s="298">
        <v>227</v>
      </c>
      <c r="AA1142" s="299">
        <v>998</v>
      </c>
      <c r="AB1142" s="299">
        <v>1133</v>
      </c>
      <c r="AC1142" s="301">
        <v>0</v>
      </c>
      <c r="AD1142" s="301">
        <v>0</v>
      </c>
      <c r="AE1142" s="126"/>
      <c r="AF1142" s="298"/>
      <c r="AG1142" s="299"/>
      <c r="AH1142" s="299"/>
      <c r="AI1142" s="301"/>
      <c r="AJ1142" s="301"/>
      <c r="AK1142" s="426"/>
      <c r="AL1142" s="298"/>
      <c r="AM1142" s="299"/>
      <c r="AN1142" s="299"/>
      <c r="AO1142" s="301"/>
      <c r="AP1142" s="301"/>
      <c r="AQ1142" s="426"/>
      <c r="AR1142" s="298"/>
      <c r="AS1142" s="299"/>
      <c r="AT1142" s="299"/>
      <c r="AU1142" s="301"/>
      <c r="AV1142" s="301"/>
      <c r="AW1142" s="88"/>
      <c r="AX1142" s="298"/>
      <c r="AY1142" s="299"/>
      <c r="AZ1142" s="299"/>
      <c r="BA1142" s="301"/>
      <c r="BB1142" s="301"/>
      <c r="BC1142" s="426"/>
      <c r="BD1142" s="298"/>
      <c r="BE1142" s="299"/>
      <c r="BF1142" s="299"/>
      <c r="BG1142" s="301"/>
      <c r="BH1142" s="301"/>
      <c r="BI1142" s="88"/>
      <c r="BJ1142" s="298"/>
      <c r="BK1142" s="299"/>
      <c r="BL1142" s="299"/>
      <c r="BM1142" s="301"/>
      <c r="BN1142" s="301"/>
      <c r="BO1142" s="88"/>
      <c r="BP1142" s="9"/>
      <c r="BS1142" s="81"/>
      <c r="BT1142" s="81"/>
      <c r="BV1142" s="9"/>
      <c r="BY1142" s="81"/>
      <c r="BZ1142" s="81"/>
      <c r="CB1142" s="9"/>
      <c r="CE1142" s="81"/>
      <c r="CF1142" s="81"/>
      <c r="CH1142" s="9"/>
      <c r="CK1142" s="81"/>
      <c r="CL1142" s="81"/>
      <c r="CR1142" s="9"/>
      <c r="CS1142" s="9"/>
      <c r="CT1142" s="9"/>
      <c r="CU1142" s="9"/>
      <c r="CV1142" s="9"/>
      <c r="CW1142" s="129"/>
      <c r="CX1142" s="9"/>
    </row>
    <row r="1143" spans="1:102">
      <c r="A1143" s="6" t="str">
        <f t="shared" si="171"/>
        <v>02270998</v>
      </c>
      <c r="B1143" s="6" t="s">
        <v>1877</v>
      </c>
      <c r="C1143" s="6" t="s">
        <v>2091</v>
      </c>
      <c r="D1143" s="6">
        <v>1134</v>
      </c>
      <c r="E1143" s="6">
        <v>227</v>
      </c>
      <c r="F1143" s="6" t="s">
        <v>1547</v>
      </c>
      <c r="G1143" s="6">
        <v>998</v>
      </c>
      <c r="H1143" s="6" t="s">
        <v>1547</v>
      </c>
      <c r="I1143" s="33">
        <v>0</v>
      </c>
      <c r="J1143" s="88">
        <v>0</v>
      </c>
      <c r="K1143" s="89">
        <f t="shared" si="180"/>
        <v>0</v>
      </c>
      <c r="L1143" s="88">
        <f>IF(K1144&gt;0, K1143/K1144, 0)</f>
        <v>0</v>
      </c>
      <c r="M1143" s="58"/>
      <c r="N1143" s="9">
        <f>ROUND(M1144*L1143,0)</f>
        <v>0</v>
      </c>
      <c r="O1143" s="9">
        <v>0</v>
      </c>
      <c r="P1143" s="9">
        <f>N1143-O1143</f>
        <v>0</v>
      </c>
      <c r="Q1143" s="40">
        <f t="shared" si="179"/>
        <v>0</v>
      </c>
      <c r="R1143" s="9">
        <v>0</v>
      </c>
      <c r="S1143" s="9">
        <f t="shared" si="177"/>
        <v>0</v>
      </c>
      <c r="T1143" s="90">
        <f t="shared" si="172"/>
        <v>227</v>
      </c>
      <c r="U1143" s="90">
        <f t="shared" si="173"/>
        <v>998</v>
      </c>
      <c r="V1143" s="373">
        <f t="shared" si="174"/>
        <v>1134</v>
      </c>
      <c r="W1143" s="90">
        <f t="shared" si="175"/>
        <v>0</v>
      </c>
      <c r="X1143" s="90">
        <f t="shared" si="176"/>
        <v>0</v>
      </c>
      <c r="Y1143" s="141">
        <f t="shared" si="178"/>
        <v>1134</v>
      </c>
      <c r="Z1143" s="298">
        <v>227</v>
      </c>
      <c r="AA1143" s="299">
        <v>998</v>
      </c>
      <c r="AB1143" s="299">
        <v>1134</v>
      </c>
      <c r="AC1143" s="301">
        <v>0</v>
      </c>
      <c r="AD1143" s="301">
        <v>0</v>
      </c>
      <c r="AE1143" s="126"/>
      <c r="AF1143" s="298"/>
      <c r="AG1143" s="299"/>
      <c r="AH1143" s="299"/>
      <c r="AI1143" s="301"/>
      <c r="AJ1143" s="301"/>
      <c r="AK1143" s="426"/>
      <c r="AL1143" s="298"/>
      <c r="AM1143" s="299"/>
      <c r="AN1143" s="299"/>
      <c r="AO1143" s="301"/>
      <c r="AP1143" s="301"/>
      <c r="AQ1143" s="426"/>
      <c r="AR1143" s="298"/>
      <c r="AS1143" s="299"/>
      <c r="AT1143" s="299"/>
      <c r="AU1143" s="301"/>
      <c r="AV1143" s="301"/>
      <c r="AW1143" s="88"/>
      <c r="AX1143" s="298"/>
      <c r="AY1143" s="299"/>
      <c r="AZ1143" s="299"/>
      <c r="BA1143" s="301"/>
      <c r="BB1143" s="301"/>
      <c r="BC1143" s="426"/>
      <c r="BD1143" s="298"/>
      <c r="BE1143" s="299"/>
      <c r="BF1143" s="299"/>
      <c r="BG1143" s="301"/>
      <c r="BH1143" s="301"/>
      <c r="BI1143" s="88"/>
      <c r="BJ1143" s="298"/>
      <c r="BK1143" s="299"/>
      <c r="BL1143" s="299"/>
      <c r="BM1143" s="301"/>
      <c r="BN1143" s="301"/>
      <c r="BO1143" s="88"/>
      <c r="BP1143" s="9"/>
      <c r="BS1143" s="81"/>
      <c r="BT1143" s="81"/>
      <c r="BV1143" s="9"/>
      <c r="BY1143" s="81"/>
      <c r="BZ1143" s="81"/>
      <c r="CB1143" s="9"/>
      <c r="CE1143" s="81"/>
      <c r="CF1143" s="81"/>
      <c r="CH1143" s="9"/>
      <c r="CK1143" s="81"/>
      <c r="CL1143" s="81"/>
      <c r="CR1143" s="9"/>
      <c r="CS1143" s="9"/>
      <c r="CT1143" s="9"/>
      <c r="CU1143" s="9"/>
      <c r="CV1143" s="9"/>
      <c r="CW1143" s="129"/>
      <c r="CX1143" s="9"/>
    </row>
    <row r="1144" spans="1:102">
      <c r="A1144" s="6" t="str">
        <f t="shared" si="171"/>
        <v>02270999</v>
      </c>
      <c r="B1144" s="6" t="s">
        <v>1877</v>
      </c>
      <c r="C1144" s="6" t="s">
        <v>2092</v>
      </c>
      <c r="D1144" s="6">
        <v>1135</v>
      </c>
      <c r="E1144" s="10">
        <v>227</v>
      </c>
      <c r="F1144" s="10" t="s">
        <v>1345</v>
      </c>
      <c r="G1144" s="10">
        <v>999</v>
      </c>
      <c r="H1144" s="10" t="s">
        <v>593</v>
      </c>
      <c r="I1144" s="92">
        <v>23017348.997647643</v>
      </c>
      <c r="J1144" s="472">
        <v>1</v>
      </c>
      <c r="K1144" s="53">
        <f>SUM(K1140:K1143)</f>
        <v>23138036.430427063</v>
      </c>
      <c r="L1144" s="91">
        <f>SUM(L1140:L1143)</f>
        <v>1</v>
      </c>
      <c r="M1144" s="79">
        <f>VLOOKUP(E1144,town351,24)</f>
        <v>9184625</v>
      </c>
      <c r="N1144" s="79">
        <f>SUM(N1140:N1143)</f>
        <v>9184625</v>
      </c>
      <c r="O1144" s="79">
        <v>8819498</v>
      </c>
      <c r="P1144" s="79">
        <f>SUM(P1140:P1143)</f>
        <v>365127</v>
      </c>
      <c r="Q1144" s="39">
        <f t="shared" si="179"/>
        <v>4.1399975372747972</v>
      </c>
      <c r="R1144" s="9">
        <v>1432.9999999987399</v>
      </c>
      <c r="S1144" s="9">
        <f t="shared" si="177"/>
        <v>1380.9999999997099</v>
      </c>
      <c r="T1144" s="90">
        <f t="shared" si="172"/>
        <v>227</v>
      </c>
      <c r="U1144" s="90">
        <f t="shared" si="173"/>
        <v>999</v>
      </c>
      <c r="V1144" s="373">
        <f t="shared" si="174"/>
        <v>1135</v>
      </c>
      <c r="W1144" s="90">
        <f t="shared" si="175"/>
        <v>1380.9999999997099</v>
      </c>
      <c r="X1144" s="90">
        <f t="shared" si="176"/>
        <v>23138036.430427063</v>
      </c>
      <c r="Y1144" s="141">
        <f t="shared" si="178"/>
        <v>1135</v>
      </c>
      <c r="Z1144" s="298">
        <v>227</v>
      </c>
      <c r="AA1144" s="299">
        <v>999</v>
      </c>
      <c r="AB1144" s="299">
        <v>1135</v>
      </c>
      <c r="AC1144" s="301">
        <v>1380.9999999997099</v>
      </c>
      <c r="AD1144" s="301">
        <v>23138036.430427063</v>
      </c>
      <c r="AE1144" s="126"/>
      <c r="AF1144" s="298"/>
      <c r="AG1144" s="299"/>
      <c r="AH1144" s="299"/>
      <c r="AI1144" s="301"/>
      <c r="AJ1144" s="301"/>
      <c r="AK1144" s="426"/>
      <c r="AL1144" s="298"/>
      <c r="AM1144" s="299"/>
      <c r="AN1144" s="299"/>
      <c r="AO1144" s="301"/>
      <c r="AP1144" s="301"/>
      <c r="AQ1144" s="426"/>
      <c r="AR1144" s="298"/>
      <c r="AS1144" s="299"/>
      <c r="AT1144" s="299"/>
      <c r="AU1144" s="301"/>
      <c r="AV1144" s="301"/>
      <c r="AW1144" s="91"/>
      <c r="AX1144" s="298"/>
      <c r="AY1144" s="299"/>
      <c r="AZ1144" s="299"/>
      <c r="BA1144" s="301"/>
      <c r="BB1144" s="301"/>
      <c r="BC1144" s="426"/>
      <c r="BD1144" s="298"/>
      <c r="BE1144" s="299"/>
      <c r="BF1144" s="299"/>
      <c r="BG1144" s="301"/>
      <c r="BH1144" s="301"/>
      <c r="BI1144" s="91"/>
      <c r="BJ1144" s="298"/>
      <c r="BK1144" s="299"/>
      <c r="BL1144" s="299"/>
      <c r="BM1144" s="301"/>
      <c r="BN1144" s="301"/>
      <c r="BO1144" s="91"/>
      <c r="BP1144" s="9"/>
      <c r="BS1144" s="81"/>
      <c r="BT1144" s="81"/>
      <c r="BV1144" s="9"/>
      <c r="BY1144" s="81"/>
      <c r="BZ1144" s="81"/>
      <c r="CB1144" s="9"/>
      <c r="CE1144" s="81"/>
      <c r="CF1144" s="81"/>
      <c r="CH1144" s="9"/>
      <c r="CK1144" s="81"/>
      <c r="CL1144" s="81"/>
      <c r="CR1144" s="9"/>
      <c r="CS1144" s="9"/>
      <c r="CT1144" s="9"/>
      <c r="CU1144" s="9"/>
      <c r="CV1144" s="9"/>
      <c r="CW1144" s="129"/>
      <c r="CX1144" s="9"/>
    </row>
    <row r="1145" spans="1:102">
      <c r="A1145" s="6" t="str">
        <f t="shared" si="171"/>
        <v>02280228</v>
      </c>
      <c r="B1145" s="6" t="s">
        <v>1878</v>
      </c>
      <c r="C1145" s="6" t="s">
        <v>1878</v>
      </c>
      <c r="D1145" s="6">
        <v>1136</v>
      </c>
      <c r="E1145" s="6">
        <v>228</v>
      </c>
      <c r="F1145" s="6" t="s">
        <v>1346</v>
      </c>
      <c r="G1145" s="6">
        <v>228</v>
      </c>
      <c r="H1145" s="6" t="s">
        <v>909</v>
      </c>
      <c r="I1145" s="33">
        <v>0</v>
      </c>
      <c r="J1145" s="88">
        <v>0</v>
      </c>
      <c r="K1145" s="89">
        <f>X1145</f>
        <v>0</v>
      </c>
      <c r="L1145" s="88">
        <f>IF(K1149&gt;0, K1145/K1149, 0)</f>
        <v>0</v>
      </c>
      <c r="M1145" s="58"/>
      <c r="N1145" s="9">
        <f>ROUND(M1149*L1145,0)</f>
        <v>0</v>
      </c>
      <c r="O1145" s="9">
        <v>0</v>
      </c>
      <c r="P1145" s="9">
        <f>N1145-O1145</f>
        <v>0</v>
      </c>
      <c r="Q1145" s="40">
        <f t="shared" si="179"/>
        <v>0</v>
      </c>
      <c r="R1145" s="9">
        <v>0</v>
      </c>
      <c r="S1145" s="9">
        <f t="shared" si="177"/>
        <v>0</v>
      </c>
      <c r="T1145" s="90">
        <f t="shared" si="172"/>
        <v>228</v>
      </c>
      <c r="U1145" s="90">
        <f t="shared" si="173"/>
        <v>228</v>
      </c>
      <c r="V1145" s="373">
        <f t="shared" si="174"/>
        <v>1136</v>
      </c>
      <c r="W1145" s="90">
        <f t="shared" si="175"/>
        <v>0</v>
      </c>
      <c r="X1145" s="90">
        <f t="shared" si="176"/>
        <v>0</v>
      </c>
      <c r="Y1145" s="141">
        <f t="shared" si="178"/>
        <v>1136</v>
      </c>
      <c r="Z1145" s="298">
        <v>228</v>
      </c>
      <c r="AA1145" s="299">
        <v>228</v>
      </c>
      <c r="AB1145" s="299">
        <v>1136</v>
      </c>
      <c r="AC1145" s="301">
        <v>0</v>
      </c>
      <c r="AD1145" s="301">
        <v>0</v>
      </c>
      <c r="AE1145" s="126"/>
      <c r="AF1145" s="298"/>
      <c r="AG1145" s="299"/>
      <c r="AH1145" s="299"/>
      <c r="AI1145" s="301"/>
      <c r="AJ1145" s="301"/>
      <c r="AK1145" s="426"/>
      <c r="AL1145" s="298"/>
      <c r="AM1145" s="299"/>
      <c r="AN1145" s="299"/>
      <c r="AO1145" s="301"/>
      <c r="AP1145" s="301"/>
      <c r="AQ1145" s="426"/>
      <c r="AR1145" s="298"/>
      <c r="AS1145" s="299"/>
      <c r="AT1145" s="299"/>
      <c r="AU1145" s="301"/>
      <c r="AV1145" s="301"/>
      <c r="AW1145" s="88"/>
      <c r="AX1145" s="298"/>
      <c r="AY1145" s="299"/>
      <c r="AZ1145" s="299"/>
      <c r="BA1145" s="301"/>
      <c r="BB1145" s="301"/>
      <c r="BC1145" s="426"/>
      <c r="BD1145" s="298"/>
      <c r="BE1145" s="299"/>
      <c r="BF1145" s="299"/>
      <c r="BG1145" s="301"/>
      <c r="BH1145" s="301"/>
      <c r="BI1145" s="88"/>
      <c r="BJ1145" s="298"/>
      <c r="BK1145" s="299"/>
      <c r="BL1145" s="299"/>
      <c r="BM1145" s="301"/>
      <c r="BN1145" s="301"/>
      <c r="BO1145" s="88"/>
      <c r="BP1145" s="9"/>
      <c r="BS1145" s="81"/>
      <c r="BT1145" s="81"/>
      <c r="BV1145" s="9"/>
      <c r="BY1145" s="81"/>
      <c r="BZ1145" s="81"/>
      <c r="CB1145" s="9"/>
      <c r="CE1145" s="81"/>
      <c r="CF1145" s="81"/>
      <c r="CH1145" s="9"/>
      <c r="CK1145" s="81"/>
      <c r="CL1145" s="81"/>
      <c r="CR1145" s="9"/>
      <c r="CS1145" s="9"/>
      <c r="CT1145" s="9"/>
      <c r="CU1145" s="9"/>
      <c r="CV1145" s="9"/>
      <c r="CW1145" s="129"/>
      <c r="CX1145" s="9"/>
    </row>
    <row r="1146" spans="1:102">
      <c r="A1146" s="6" t="str">
        <f t="shared" si="171"/>
        <v>02280775</v>
      </c>
      <c r="B1146" s="6" t="s">
        <v>1878</v>
      </c>
      <c r="C1146" s="6" t="s">
        <v>2059</v>
      </c>
      <c r="D1146" s="6">
        <v>1137</v>
      </c>
      <c r="E1146" s="6">
        <v>228</v>
      </c>
      <c r="F1146" s="6" t="s">
        <v>1346</v>
      </c>
      <c r="G1146" s="6">
        <v>775</v>
      </c>
      <c r="H1146" s="6" t="s">
        <v>1089</v>
      </c>
      <c r="I1146" s="33">
        <v>7935457.5942137577</v>
      </c>
      <c r="J1146" s="88">
        <v>0.91810972044496753</v>
      </c>
      <c r="K1146" s="89">
        <f t="shared" si="180"/>
        <v>7836595.578435624</v>
      </c>
      <c r="L1146" s="88">
        <f>IF(K1149&gt;0, K1146/K1149, 0)</f>
        <v>0.90460906826263354</v>
      </c>
      <c r="M1146" s="58"/>
      <c r="N1146" s="9">
        <f>ROUND(M1149*L1146,0)</f>
        <v>4998051</v>
      </c>
      <c r="O1146" s="9">
        <v>4860250</v>
      </c>
      <c r="P1146" s="9">
        <f>N1146-O1146</f>
        <v>137801</v>
      </c>
      <c r="Q1146" s="40">
        <f t="shared" si="179"/>
        <v>2.8352656756339694</v>
      </c>
      <c r="R1146" s="9">
        <v>641.54380883939996</v>
      </c>
      <c r="S1146" s="9">
        <f t="shared" si="177"/>
        <v>616.73827268321998</v>
      </c>
      <c r="T1146" s="90">
        <f t="shared" si="172"/>
        <v>228</v>
      </c>
      <c r="U1146" s="90">
        <f t="shared" si="173"/>
        <v>775</v>
      </c>
      <c r="V1146" s="373">
        <f t="shared" si="174"/>
        <v>1137</v>
      </c>
      <c r="W1146" s="90">
        <f t="shared" si="175"/>
        <v>616.73827268321998</v>
      </c>
      <c r="X1146" s="90">
        <f t="shared" si="176"/>
        <v>7836595.578435624</v>
      </c>
      <c r="Y1146" s="141">
        <f t="shared" si="178"/>
        <v>1137</v>
      </c>
      <c r="Z1146" s="298">
        <v>228</v>
      </c>
      <c r="AA1146" s="299">
        <v>775</v>
      </c>
      <c r="AB1146" s="299">
        <v>1137</v>
      </c>
      <c r="AC1146" s="301">
        <v>616.73827268321998</v>
      </c>
      <c r="AD1146" s="301">
        <v>7836595.578435624</v>
      </c>
      <c r="AE1146" s="126"/>
      <c r="AF1146" s="298"/>
      <c r="AG1146" s="299"/>
      <c r="AH1146" s="299"/>
      <c r="AI1146" s="301"/>
      <c r="AJ1146" s="301"/>
      <c r="AK1146" s="426"/>
      <c r="AL1146" s="298"/>
      <c r="AM1146" s="299"/>
      <c r="AN1146" s="299"/>
      <c r="AO1146" s="301"/>
      <c r="AP1146" s="301"/>
      <c r="AQ1146" s="426"/>
      <c r="AR1146" s="298"/>
      <c r="AS1146" s="299"/>
      <c r="AT1146" s="299"/>
      <c r="AU1146" s="301"/>
      <c r="AV1146" s="301"/>
      <c r="AW1146" s="88"/>
      <c r="AX1146" s="298"/>
      <c r="AY1146" s="299"/>
      <c r="AZ1146" s="299"/>
      <c r="BA1146" s="301"/>
      <c r="BB1146" s="301"/>
      <c r="BC1146" s="426"/>
      <c r="BD1146" s="298"/>
      <c r="BE1146" s="299"/>
      <c r="BF1146" s="299"/>
      <c r="BG1146" s="301"/>
      <c r="BH1146" s="301"/>
      <c r="BI1146" s="88"/>
      <c r="BJ1146" s="298"/>
      <c r="BK1146" s="299"/>
      <c r="BL1146" s="299"/>
      <c r="BM1146" s="301"/>
      <c r="BN1146" s="301"/>
      <c r="BO1146" s="88"/>
      <c r="BP1146" s="9"/>
      <c r="BS1146" s="81"/>
      <c r="BT1146" s="81"/>
      <c r="BV1146" s="9"/>
      <c r="BY1146" s="81"/>
      <c r="BZ1146" s="81"/>
      <c r="CB1146" s="9"/>
      <c r="CE1146" s="81"/>
      <c r="CF1146" s="81"/>
      <c r="CH1146" s="9"/>
      <c r="CK1146" s="81"/>
      <c r="CL1146" s="81"/>
      <c r="CR1146" s="9"/>
      <c r="CS1146" s="9"/>
      <c r="CT1146" s="9"/>
      <c r="CU1146" s="9"/>
      <c r="CV1146" s="9"/>
      <c r="CW1146" s="129"/>
      <c r="CX1146" s="9"/>
    </row>
    <row r="1147" spans="1:102">
      <c r="A1147" s="6" t="str">
        <f t="shared" si="171"/>
        <v>02280876</v>
      </c>
      <c r="B1147" s="6" t="s">
        <v>1878</v>
      </c>
      <c r="C1147" s="6" t="s">
        <v>2084</v>
      </c>
      <c r="D1147" s="6">
        <v>1138</v>
      </c>
      <c r="E1147" s="6">
        <v>228</v>
      </c>
      <c r="F1147" s="6" t="s">
        <v>1346</v>
      </c>
      <c r="G1147" s="6">
        <v>876</v>
      </c>
      <c r="H1147" s="6" t="s">
        <v>1114</v>
      </c>
      <c r="I1147" s="33">
        <v>707798.67189764965</v>
      </c>
      <c r="J1147" s="88">
        <v>8.1890279555032516E-2</v>
      </c>
      <c r="K1147" s="89">
        <f t="shared" si="180"/>
        <v>826368.18500128866</v>
      </c>
      <c r="L1147" s="88">
        <f>IF(K1149&gt;0, K1147/K1149, 0)</f>
        <v>9.5390931737366319E-2</v>
      </c>
      <c r="M1147" s="58"/>
      <c r="N1147" s="9">
        <f>ROUND(M1149*L1147,0)</f>
        <v>527044</v>
      </c>
      <c r="O1147" s="9">
        <v>433507</v>
      </c>
      <c r="P1147" s="9">
        <f>N1147-O1147</f>
        <v>93537</v>
      </c>
      <c r="Q1147" s="40">
        <f t="shared" si="179"/>
        <v>21.576814215226051</v>
      </c>
      <c r="R1147" s="9">
        <v>35.00000000112</v>
      </c>
      <c r="S1147" s="9">
        <f t="shared" si="177"/>
        <v>39.999999998310003</v>
      </c>
      <c r="T1147" s="90">
        <f t="shared" si="172"/>
        <v>228</v>
      </c>
      <c r="U1147" s="90">
        <f t="shared" si="173"/>
        <v>876</v>
      </c>
      <c r="V1147" s="373">
        <f t="shared" si="174"/>
        <v>1138</v>
      </c>
      <c r="W1147" s="90">
        <f t="shared" si="175"/>
        <v>39.999999998310003</v>
      </c>
      <c r="X1147" s="90">
        <f t="shared" si="176"/>
        <v>826368.18500128866</v>
      </c>
      <c r="Y1147" s="141">
        <f t="shared" si="178"/>
        <v>1138</v>
      </c>
      <c r="Z1147" s="298">
        <v>228</v>
      </c>
      <c r="AA1147" s="299">
        <v>876</v>
      </c>
      <c r="AB1147" s="299">
        <v>1138</v>
      </c>
      <c r="AC1147" s="301">
        <v>39.999999998310003</v>
      </c>
      <c r="AD1147" s="301">
        <v>826368.18500128866</v>
      </c>
      <c r="AE1147" s="126"/>
      <c r="AF1147" s="298"/>
      <c r="AG1147" s="299"/>
      <c r="AH1147" s="299"/>
      <c r="AI1147" s="301"/>
      <c r="AJ1147" s="301"/>
      <c r="AK1147" s="426"/>
      <c r="AL1147" s="298"/>
      <c r="AM1147" s="299"/>
      <c r="AN1147" s="299"/>
      <c r="AO1147" s="301"/>
      <c r="AP1147" s="301"/>
      <c r="AQ1147" s="426"/>
      <c r="AR1147" s="298"/>
      <c r="AS1147" s="299"/>
      <c r="AT1147" s="299"/>
      <c r="AU1147" s="301"/>
      <c r="AV1147" s="301"/>
      <c r="AW1147" s="88"/>
      <c r="AX1147" s="298"/>
      <c r="AY1147" s="299"/>
      <c r="AZ1147" s="299"/>
      <c r="BA1147" s="301"/>
      <c r="BB1147" s="301"/>
      <c r="BC1147" s="426"/>
      <c r="BD1147" s="298"/>
      <c r="BE1147" s="299"/>
      <c r="BF1147" s="299"/>
      <c r="BG1147" s="301"/>
      <c r="BH1147" s="301"/>
      <c r="BI1147" s="88"/>
      <c r="BJ1147" s="298"/>
      <c r="BK1147" s="299"/>
      <c r="BL1147" s="299"/>
      <c r="BM1147" s="301"/>
      <c r="BN1147" s="301"/>
      <c r="BO1147" s="88"/>
      <c r="BP1147" s="9"/>
      <c r="BS1147" s="81"/>
      <c r="BT1147" s="81"/>
      <c r="BV1147" s="9"/>
      <c r="BY1147" s="81"/>
      <c r="BZ1147" s="81"/>
      <c r="CB1147" s="9"/>
      <c r="CE1147" s="81"/>
      <c r="CF1147" s="81"/>
      <c r="CH1147" s="9"/>
      <c r="CK1147" s="81"/>
      <c r="CL1147" s="81"/>
      <c r="CR1147" s="9"/>
      <c r="CS1147" s="9"/>
      <c r="CT1147" s="9"/>
      <c r="CU1147" s="9"/>
      <c r="CV1147" s="9"/>
      <c r="CW1147" s="129"/>
      <c r="CX1147" s="9"/>
    </row>
    <row r="1148" spans="1:102">
      <c r="A1148" s="6" t="str">
        <f t="shared" si="171"/>
        <v>02280998</v>
      </c>
      <c r="B1148" s="6" t="s">
        <v>1878</v>
      </c>
      <c r="C1148" s="6" t="s">
        <v>2091</v>
      </c>
      <c r="D1148" s="6">
        <v>1139</v>
      </c>
      <c r="E1148" s="6">
        <v>228</v>
      </c>
      <c r="F1148" s="6" t="s">
        <v>1547</v>
      </c>
      <c r="G1148" s="6">
        <v>998</v>
      </c>
      <c r="H1148" s="6" t="s">
        <v>1547</v>
      </c>
      <c r="I1148" s="33">
        <v>0</v>
      </c>
      <c r="J1148" s="88">
        <v>0</v>
      </c>
      <c r="K1148" s="89">
        <f t="shared" si="180"/>
        <v>0</v>
      </c>
      <c r="L1148" s="88">
        <f>IF(K1149&gt;0, K1148/K1149, 0)</f>
        <v>0</v>
      </c>
      <c r="M1148" s="58"/>
      <c r="N1148" s="9">
        <f>ROUND(M1149*L1148,0)</f>
        <v>0</v>
      </c>
      <c r="O1148" s="9">
        <v>0</v>
      </c>
      <c r="P1148" s="9">
        <f>N1148-O1148</f>
        <v>0</v>
      </c>
      <c r="Q1148" s="40">
        <f t="shared" si="179"/>
        <v>0</v>
      </c>
      <c r="R1148" s="9">
        <v>0</v>
      </c>
      <c r="S1148" s="9">
        <f t="shared" si="177"/>
        <v>0</v>
      </c>
      <c r="T1148" s="90">
        <f t="shared" si="172"/>
        <v>228</v>
      </c>
      <c r="U1148" s="90">
        <f t="shared" si="173"/>
        <v>998</v>
      </c>
      <c r="V1148" s="373">
        <f t="shared" si="174"/>
        <v>1139</v>
      </c>
      <c r="W1148" s="90">
        <f t="shared" si="175"/>
        <v>0</v>
      </c>
      <c r="X1148" s="90">
        <f t="shared" si="176"/>
        <v>0</v>
      </c>
      <c r="Y1148" s="141">
        <f t="shared" si="178"/>
        <v>1139</v>
      </c>
      <c r="Z1148" s="298">
        <v>228</v>
      </c>
      <c r="AA1148" s="299">
        <v>998</v>
      </c>
      <c r="AB1148" s="299">
        <v>1139</v>
      </c>
      <c r="AC1148" s="301">
        <v>0</v>
      </c>
      <c r="AD1148" s="301">
        <v>0</v>
      </c>
      <c r="AE1148" s="126"/>
      <c r="AF1148" s="298"/>
      <c r="AG1148" s="299"/>
      <c r="AH1148" s="299"/>
      <c r="AI1148" s="301"/>
      <c r="AJ1148" s="301"/>
      <c r="AK1148" s="426"/>
      <c r="AL1148" s="298"/>
      <c r="AM1148" s="299"/>
      <c r="AN1148" s="299"/>
      <c r="AO1148" s="301"/>
      <c r="AP1148" s="301"/>
      <c r="AQ1148" s="426"/>
      <c r="AR1148" s="298"/>
      <c r="AS1148" s="299"/>
      <c r="AT1148" s="299"/>
      <c r="AU1148" s="301"/>
      <c r="AV1148" s="301"/>
      <c r="AW1148" s="88"/>
      <c r="AX1148" s="298"/>
      <c r="AY1148" s="299"/>
      <c r="AZ1148" s="299"/>
      <c r="BA1148" s="301"/>
      <c r="BB1148" s="301"/>
      <c r="BC1148" s="426"/>
      <c r="BD1148" s="298"/>
      <c r="BE1148" s="299"/>
      <c r="BF1148" s="299"/>
      <c r="BG1148" s="301"/>
      <c r="BH1148" s="301"/>
      <c r="BI1148" s="88"/>
      <c r="BJ1148" s="298"/>
      <c r="BK1148" s="299"/>
      <c r="BL1148" s="299"/>
      <c r="BM1148" s="301"/>
      <c r="BN1148" s="301"/>
      <c r="BO1148" s="88"/>
      <c r="BP1148" s="9"/>
      <c r="BS1148" s="81"/>
      <c r="BT1148" s="81"/>
      <c r="BV1148" s="9"/>
      <c r="BY1148" s="81"/>
      <c r="BZ1148" s="81"/>
      <c r="CB1148" s="9"/>
      <c r="CE1148" s="81"/>
      <c r="CF1148" s="81"/>
      <c r="CH1148" s="9"/>
      <c r="CK1148" s="81"/>
      <c r="CL1148" s="81"/>
      <c r="CR1148" s="9"/>
      <c r="CS1148" s="9"/>
      <c r="CT1148" s="9"/>
      <c r="CU1148" s="9"/>
      <c r="CV1148" s="9"/>
      <c r="CW1148" s="129"/>
      <c r="CX1148" s="9"/>
    </row>
    <row r="1149" spans="1:102">
      <c r="A1149" s="6" t="str">
        <f t="shared" si="171"/>
        <v>02280999</v>
      </c>
      <c r="B1149" s="6" t="s">
        <v>1878</v>
      </c>
      <c r="C1149" s="6" t="s">
        <v>2092</v>
      </c>
      <c r="D1149" s="6">
        <v>1140</v>
      </c>
      <c r="E1149" s="10">
        <v>228</v>
      </c>
      <c r="F1149" s="10" t="s">
        <v>1346</v>
      </c>
      <c r="G1149" s="10">
        <v>999</v>
      </c>
      <c r="H1149" s="10" t="s">
        <v>593</v>
      </c>
      <c r="I1149" s="92">
        <v>8643256.2661114074</v>
      </c>
      <c r="J1149" s="472">
        <v>1</v>
      </c>
      <c r="K1149" s="53">
        <f>SUM(K1145:K1148)</f>
        <v>8662963.7634369135</v>
      </c>
      <c r="L1149" s="91">
        <f>SUM(L1145:L1148)</f>
        <v>0.99999999999999989</v>
      </c>
      <c r="M1149" s="79">
        <f>VLOOKUP(E1149,town351,24)</f>
        <v>5525095</v>
      </c>
      <c r="N1149" s="79">
        <f>SUM(N1145:N1148)</f>
        <v>5525095</v>
      </c>
      <c r="O1149" s="79">
        <v>5293757</v>
      </c>
      <c r="P1149" s="79">
        <f>SUM(P1145:P1148)</f>
        <v>231338</v>
      </c>
      <c r="Q1149" s="39">
        <f t="shared" si="179"/>
        <v>4.3700154729429403</v>
      </c>
      <c r="R1149" s="9">
        <v>676.54380884052</v>
      </c>
      <c r="S1149" s="9">
        <f t="shared" si="177"/>
        <v>656.73827268153002</v>
      </c>
      <c r="T1149" s="90">
        <f t="shared" si="172"/>
        <v>228</v>
      </c>
      <c r="U1149" s="90">
        <f t="shared" si="173"/>
        <v>999</v>
      </c>
      <c r="V1149" s="373">
        <f t="shared" si="174"/>
        <v>1140</v>
      </c>
      <c r="W1149" s="90">
        <f t="shared" si="175"/>
        <v>656.73827268153002</v>
      </c>
      <c r="X1149" s="90">
        <f t="shared" si="176"/>
        <v>8662963.7634369135</v>
      </c>
      <c r="Y1149" s="141">
        <f t="shared" si="178"/>
        <v>1140</v>
      </c>
      <c r="Z1149" s="298">
        <v>228</v>
      </c>
      <c r="AA1149" s="299">
        <v>999</v>
      </c>
      <c r="AB1149" s="299">
        <v>1140</v>
      </c>
      <c r="AC1149" s="301">
        <v>656.73827268153002</v>
      </c>
      <c r="AD1149" s="301">
        <v>8662963.7634369135</v>
      </c>
      <c r="AE1149" s="126"/>
      <c r="AF1149" s="298"/>
      <c r="AG1149" s="299"/>
      <c r="AH1149" s="299"/>
      <c r="AI1149" s="301"/>
      <c r="AJ1149" s="301"/>
      <c r="AK1149" s="426"/>
      <c r="AL1149" s="298"/>
      <c r="AM1149" s="299"/>
      <c r="AN1149" s="299"/>
      <c r="AO1149" s="301"/>
      <c r="AP1149" s="301"/>
      <c r="AQ1149" s="426"/>
      <c r="AR1149" s="298"/>
      <c r="AS1149" s="299"/>
      <c r="AT1149" s="299"/>
      <c r="AU1149" s="301"/>
      <c r="AV1149" s="301"/>
      <c r="AW1149" s="91"/>
      <c r="AX1149" s="298"/>
      <c r="AY1149" s="299"/>
      <c r="AZ1149" s="299"/>
      <c r="BA1149" s="301"/>
      <c r="BB1149" s="301"/>
      <c r="BC1149" s="426"/>
      <c r="BD1149" s="298"/>
      <c r="BE1149" s="299"/>
      <c r="BF1149" s="299"/>
      <c r="BG1149" s="301"/>
      <c r="BH1149" s="301"/>
      <c r="BI1149" s="91"/>
      <c r="BJ1149" s="298"/>
      <c r="BK1149" s="299"/>
      <c r="BL1149" s="299"/>
      <c r="BM1149" s="301"/>
      <c r="BN1149" s="301"/>
      <c r="BO1149" s="91"/>
      <c r="BP1149" s="9"/>
      <c r="BS1149" s="81"/>
      <c r="BT1149" s="81"/>
      <c r="BV1149" s="9"/>
      <c r="BY1149" s="81"/>
      <c r="BZ1149" s="81"/>
      <c r="CB1149" s="9"/>
      <c r="CE1149" s="81"/>
      <c r="CF1149" s="81"/>
      <c r="CH1149" s="9"/>
      <c r="CK1149" s="81"/>
      <c r="CL1149" s="81"/>
      <c r="CR1149" s="9"/>
      <c r="CS1149" s="9"/>
      <c r="CT1149" s="9"/>
      <c r="CU1149" s="9"/>
      <c r="CV1149" s="9"/>
      <c r="CW1149" s="129"/>
      <c r="CX1149" s="9"/>
    </row>
    <row r="1150" spans="1:102">
      <c r="A1150" s="6" t="str">
        <f t="shared" si="171"/>
        <v>02290229</v>
      </c>
      <c r="B1150" s="6" t="s">
        <v>1879</v>
      </c>
      <c r="C1150" s="6" t="s">
        <v>1879</v>
      </c>
      <c r="D1150" s="6">
        <v>1141</v>
      </c>
      <c r="E1150" s="6">
        <v>229</v>
      </c>
      <c r="F1150" s="6" t="s">
        <v>1347</v>
      </c>
      <c r="G1150" s="6">
        <v>229</v>
      </c>
      <c r="H1150" s="6" t="s">
        <v>910</v>
      </c>
      <c r="I1150" s="33">
        <v>91177548.530000001</v>
      </c>
      <c r="J1150" s="88">
        <v>0.92368629795383594</v>
      </c>
      <c r="K1150" s="89">
        <f>X1150</f>
        <v>95329652.76000002</v>
      </c>
      <c r="L1150" s="88">
        <f>IF(K1154&gt;0, K1150/K1154, 0)</f>
        <v>0.91925811802997215</v>
      </c>
      <c r="M1150" s="58"/>
      <c r="N1150" s="9">
        <f>ROUND(M1154*L1150,0)</f>
        <v>58256933</v>
      </c>
      <c r="O1150" s="9">
        <v>55819170</v>
      </c>
      <c r="P1150" s="9">
        <f>N1150-O1150</f>
        <v>2437763</v>
      </c>
      <c r="Q1150" s="40">
        <f t="shared" si="179"/>
        <v>4.3672505341802825</v>
      </c>
      <c r="R1150" s="9">
        <v>5959</v>
      </c>
      <c r="S1150" s="9">
        <f t="shared" si="177"/>
        <v>5981</v>
      </c>
      <c r="T1150" s="90">
        <f t="shared" si="172"/>
        <v>229</v>
      </c>
      <c r="U1150" s="90">
        <f t="shared" si="173"/>
        <v>229</v>
      </c>
      <c r="V1150" s="373">
        <f t="shared" si="174"/>
        <v>1141</v>
      </c>
      <c r="W1150" s="90">
        <f t="shared" si="175"/>
        <v>5981</v>
      </c>
      <c r="X1150" s="90">
        <f t="shared" si="176"/>
        <v>95329652.76000002</v>
      </c>
      <c r="Y1150" s="141">
        <f t="shared" si="178"/>
        <v>1141</v>
      </c>
      <c r="Z1150" s="298">
        <v>229</v>
      </c>
      <c r="AA1150" s="299">
        <v>229</v>
      </c>
      <c r="AB1150" s="299">
        <v>1141</v>
      </c>
      <c r="AC1150" s="301">
        <v>5981</v>
      </c>
      <c r="AD1150" s="301">
        <v>95329652.76000002</v>
      </c>
      <c r="AE1150" s="126"/>
      <c r="AF1150" s="298"/>
      <c r="AG1150" s="299"/>
      <c r="AH1150" s="299"/>
      <c r="AI1150" s="301"/>
      <c r="AJ1150" s="301"/>
      <c r="AK1150" s="426"/>
      <c r="AL1150" s="298"/>
      <c r="AM1150" s="299"/>
      <c r="AN1150" s="299"/>
      <c r="AO1150" s="301"/>
      <c r="AP1150" s="301"/>
      <c r="AQ1150" s="426"/>
      <c r="AR1150" s="298"/>
      <c r="AS1150" s="299"/>
      <c r="AT1150" s="299"/>
      <c r="AU1150" s="301"/>
      <c r="AV1150" s="301"/>
      <c r="AW1150" s="88"/>
      <c r="AX1150" s="298"/>
      <c r="AY1150" s="299"/>
      <c r="AZ1150" s="299"/>
      <c r="BA1150" s="301"/>
      <c r="BB1150" s="301"/>
      <c r="BC1150" s="426"/>
      <c r="BD1150" s="298"/>
      <c r="BE1150" s="299"/>
      <c r="BF1150" s="299"/>
      <c r="BG1150" s="301"/>
      <c r="BH1150" s="301"/>
      <c r="BI1150" s="88"/>
      <c r="BJ1150" s="298"/>
      <c r="BK1150" s="299"/>
      <c r="BL1150" s="299"/>
      <c r="BM1150" s="301"/>
      <c r="BN1150" s="301"/>
      <c r="BO1150" s="88"/>
      <c r="BP1150" s="9"/>
      <c r="BS1150" s="81"/>
      <c r="BT1150" s="81"/>
      <c r="BV1150" s="9"/>
      <c r="BY1150" s="81"/>
      <c r="BZ1150" s="81"/>
      <c r="CB1150" s="9"/>
      <c r="CE1150" s="81"/>
      <c r="CF1150" s="81"/>
      <c r="CH1150" s="9"/>
      <c r="CK1150" s="81"/>
      <c r="CL1150" s="81"/>
      <c r="CR1150" s="9"/>
      <c r="CS1150" s="9"/>
      <c r="CT1150" s="9"/>
      <c r="CU1150" s="9"/>
      <c r="CV1150" s="9"/>
      <c r="CW1150" s="129"/>
      <c r="CX1150" s="9"/>
    </row>
    <row r="1151" spans="1:102">
      <c r="A1151" s="6" t="str">
        <f t="shared" si="171"/>
        <v>02290817</v>
      </c>
      <c r="B1151" s="6" t="s">
        <v>1879</v>
      </c>
      <c r="C1151" s="6" t="s">
        <v>2067</v>
      </c>
      <c r="D1151" s="6">
        <v>1142</v>
      </c>
      <c r="E1151" s="6">
        <v>229</v>
      </c>
      <c r="F1151" s="6" t="s">
        <v>1347</v>
      </c>
      <c r="G1151" s="6">
        <v>817</v>
      </c>
      <c r="H1151" s="6" t="s">
        <v>1097</v>
      </c>
      <c r="I1151" s="33">
        <v>7532964.6950829169</v>
      </c>
      <c r="J1151" s="88">
        <v>7.6313702046164084E-2</v>
      </c>
      <c r="K1151" s="89">
        <f t="shared" si="180"/>
        <v>8373160.2913521379</v>
      </c>
      <c r="L1151" s="88">
        <f>IF(K1154&gt;0, K1151/K1154, 0)</f>
        <v>8.0741881970027837E-2</v>
      </c>
      <c r="M1151" s="58"/>
      <c r="N1151" s="9">
        <f>ROUND(M1154*L1151,0)</f>
        <v>5116925</v>
      </c>
      <c r="O1151" s="9">
        <v>4611704</v>
      </c>
      <c r="P1151" s="9">
        <f>N1151-O1151</f>
        <v>505221</v>
      </c>
      <c r="Q1151" s="40">
        <f t="shared" si="179"/>
        <v>10.955191399968427</v>
      </c>
      <c r="R1151" s="9">
        <v>382.00000000364997</v>
      </c>
      <c r="S1151" s="9">
        <f t="shared" si="177"/>
        <v>415.00000000457999</v>
      </c>
      <c r="T1151" s="90">
        <f t="shared" si="172"/>
        <v>229</v>
      </c>
      <c r="U1151" s="90">
        <f t="shared" si="173"/>
        <v>817</v>
      </c>
      <c r="V1151" s="373">
        <f t="shared" si="174"/>
        <v>1142</v>
      </c>
      <c r="W1151" s="90">
        <f t="shared" si="175"/>
        <v>415.00000000457999</v>
      </c>
      <c r="X1151" s="90">
        <f t="shared" si="176"/>
        <v>8373160.2913521379</v>
      </c>
      <c r="Y1151" s="141">
        <f t="shared" si="178"/>
        <v>1142</v>
      </c>
      <c r="Z1151" s="298">
        <v>229</v>
      </c>
      <c r="AA1151" s="299">
        <v>817</v>
      </c>
      <c r="AB1151" s="299">
        <v>1142</v>
      </c>
      <c r="AC1151" s="301">
        <v>415.00000000457999</v>
      </c>
      <c r="AD1151" s="301">
        <v>8373160.2913521379</v>
      </c>
      <c r="AE1151" s="126"/>
      <c r="AF1151" s="298"/>
      <c r="AG1151" s="299"/>
      <c r="AH1151" s="299"/>
      <c r="AI1151" s="301"/>
      <c r="AJ1151" s="301"/>
      <c r="AK1151" s="426"/>
      <c r="AL1151" s="298"/>
      <c r="AM1151" s="299"/>
      <c r="AN1151" s="299"/>
      <c r="AO1151" s="301"/>
      <c r="AP1151" s="301"/>
      <c r="AQ1151" s="426"/>
      <c r="AR1151" s="298"/>
      <c r="AS1151" s="299"/>
      <c r="AT1151" s="299"/>
      <c r="AU1151" s="301"/>
      <c r="AV1151" s="301"/>
      <c r="AW1151" s="88"/>
      <c r="AX1151" s="298"/>
      <c r="AY1151" s="299"/>
      <c r="AZ1151" s="299"/>
      <c r="BA1151" s="301"/>
      <c r="BB1151" s="301"/>
      <c r="BC1151" s="426"/>
      <c r="BD1151" s="298"/>
      <c r="BE1151" s="299"/>
      <c r="BF1151" s="299"/>
      <c r="BG1151" s="301"/>
      <c r="BH1151" s="301"/>
      <c r="BI1151" s="88"/>
      <c r="BJ1151" s="298"/>
      <c r="BK1151" s="299"/>
      <c r="BL1151" s="299"/>
      <c r="BM1151" s="301"/>
      <c r="BN1151" s="301"/>
      <c r="BO1151" s="88"/>
      <c r="BP1151" s="9"/>
      <c r="BS1151" s="81"/>
      <c r="BT1151" s="81"/>
      <c r="BV1151" s="9"/>
      <c r="BY1151" s="81"/>
      <c r="BZ1151" s="81"/>
      <c r="CB1151" s="9"/>
      <c r="CE1151" s="81"/>
      <c r="CF1151" s="81"/>
      <c r="CH1151" s="9"/>
      <c r="CK1151" s="81"/>
      <c r="CL1151" s="81"/>
      <c r="CR1151" s="9"/>
      <c r="CS1151" s="9"/>
      <c r="CT1151" s="9"/>
      <c r="CU1151" s="9"/>
      <c r="CV1151" s="9"/>
      <c r="CW1151" s="129"/>
      <c r="CX1151" s="9"/>
    </row>
    <row r="1152" spans="1:102">
      <c r="A1152" s="6" t="str">
        <f t="shared" si="171"/>
        <v>02290998</v>
      </c>
      <c r="B1152" s="6" t="s">
        <v>1879</v>
      </c>
      <c r="C1152" s="6" t="s">
        <v>2091</v>
      </c>
      <c r="D1152" s="6">
        <v>1143</v>
      </c>
      <c r="E1152" s="6">
        <v>229</v>
      </c>
      <c r="F1152" s="6" t="s">
        <v>1547</v>
      </c>
      <c r="G1152" s="6">
        <v>998</v>
      </c>
      <c r="H1152" s="6" t="s">
        <v>1547</v>
      </c>
      <c r="I1152" s="33">
        <v>0</v>
      </c>
      <c r="J1152" s="88">
        <v>0</v>
      </c>
      <c r="K1152" s="89">
        <f t="shared" si="180"/>
        <v>0</v>
      </c>
      <c r="L1152" s="88">
        <f>IF(K1154&gt;0, K1152/K1154, 0)</f>
        <v>0</v>
      </c>
      <c r="M1152" s="58"/>
      <c r="N1152" s="9">
        <f>ROUND(M1154*L1152,0)</f>
        <v>0</v>
      </c>
      <c r="O1152" s="9">
        <v>0</v>
      </c>
      <c r="P1152" s="9">
        <f>N1152-O1152</f>
        <v>0</v>
      </c>
      <c r="Q1152" s="40">
        <f t="shared" si="179"/>
        <v>0</v>
      </c>
      <c r="R1152" s="9">
        <v>0</v>
      </c>
      <c r="S1152" s="9">
        <f t="shared" si="177"/>
        <v>0</v>
      </c>
      <c r="T1152" s="90">
        <f t="shared" si="172"/>
        <v>229</v>
      </c>
      <c r="U1152" s="90">
        <f t="shared" si="173"/>
        <v>998</v>
      </c>
      <c r="V1152" s="373">
        <f t="shared" si="174"/>
        <v>1143</v>
      </c>
      <c r="W1152" s="90">
        <f t="shared" si="175"/>
        <v>0</v>
      </c>
      <c r="X1152" s="90">
        <f t="shared" si="176"/>
        <v>0</v>
      </c>
      <c r="Y1152" s="141">
        <f t="shared" si="178"/>
        <v>1143</v>
      </c>
      <c r="Z1152" s="298">
        <v>229</v>
      </c>
      <c r="AA1152" s="299">
        <v>998</v>
      </c>
      <c r="AB1152" s="299">
        <v>1143</v>
      </c>
      <c r="AC1152" s="301">
        <v>0</v>
      </c>
      <c r="AD1152" s="301">
        <v>0</v>
      </c>
      <c r="AE1152" s="126"/>
      <c r="AF1152" s="298"/>
      <c r="AG1152" s="299"/>
      <c r="AH1152" s="299"/>
      <c r="AI1152" s="301"/>
      <c r="AJ1152" s="301"/>
      <c r="AK1152" s="426"/>
      <c r="AL1152" s="298"/>
      <c r="AM1152" s="299"/>
      <c r="AN1152" s="299"/>
      <c r="AO1152" s="301"/>
      <c r="AP1152" s="301"/>
      <c r="AQ1152" s="426"/>
      <c r="AR1152" s="298"/>
      <c r="AS1152" s="299"/>
      <c r="AT1152" s="299"/>
      <c r="AU1152" s="301"/>
      <c r="AV1152" s="301"/>
      <c r="AW1152" s="88"/>
      <c r="AX1152" s="298"/>
      <c r="AY1152" s="299"/>
      <c r="AZ1152" s="299"/>
      <c r="BA1152" s="301"/>
      <c r="BB1152" s="301"/>
      <c r="BC1152" s="426"/>
      <c r="BD1152" s="298"/>
      <c r="BE1152" s="299"/>
      <c r="BF1152" s="299"/>
      <c r="BG1152" s="301"/>
      <c r="BH1152" s="301"/>
      <c r="BI1152" s="88"/>
      <c r="BJ1152" s="298"/>
      <c r="BK1152" s="299"/>
      <c r="BL1152" s="299"/>
      <c r="BM1152" s="301"/>
      <c r="BN1152" s="301"/>
      <c r="BO1152" s="88"/>
      <c r="BP1152" s="9"/>
      <c r="BS1152" s="81"/>
      <c r="BT1152" s="81"/>
      <c r="BV1152" s="9"/>
      <c r="BY1152" s="81"/>
      <c r="BZ1152" s="81"/>
      <c r="CB1152" s="9"/>
      <c r="CE1152" s="81"/>
      <c r="CF1152" s="81"/>
      <c r="CH1152" s="9"/>
      <c r="CK1152" s="81"/>
      <c r="CL1152" s="81"/>
      <c r="CR1152" s="9"/>
      <c r="CS1152" s="9"/>
      <c r="CT1152" s="9"/>
      <c r="CU1152" s="9"/>
      <c r="CV1152" s="9"/>
      <c r="CW1152" s="129"/>
      <c r="CX1152" s="9"/>
    </row>
    <row r="1153" spans="1:102">
      <c r="A1153" s="6" t="str">
        <f t="shared" si="171"/>
        <v>02290998</v>
      </c>
      <c r="B1153" s="6" t="s">
        <v>1879</v>
      </c>
      <c r="C1153" s="6" t="s">
        <v>2091</v>
      </c>
      <c r="D1153" s="6">
        <v>1144</v>
      </c>
      <c r="E1153" s="6">
        <v>229</v>
      </c>
      <c r="F1153" s="6" t="s">
        <v>1547</v>
      </c>
      <c r="G1153" s="6">
        <v>998</v>
      </c>
      <c r="H1153" s="6" t="s">
        <v>1547</v>
      </c>
      <c r="I1153" s="33">
        <v>0</v>
      </c>
      <c r="J1153" s="88">
        <v>0</v>
      </c>
      <c r="K1153" s="89">
        <f t="shared" si="180"/>
        <v>0</v>
      </c>
      <c r="L1153" s="88">
        <f>IF(K1154&gt;0, K1153/K1154, 0)</f>
        <v>0</v>
      </c>
      <c r="M1153" s="58"/>
      <c r="N1153" s="9">
        <f>ROUND(M1154*L1153,0)</f>
        <v>0</v>
      </c>
      <c r="O1153" s="9">
        <v>0</v>
      </c>
      <c r="P1153" s="9">
        <f>N1153-O1153</f>
        <v>0</v>
      </c>
      <c r="Q1153" s="40">
        <f t="shared" si="179"/>
        <v>0</v>
      </c>
      <c r="R1153" s="9">
        <v>0</v>
      </c>
      <c r="S1153" s="9">
        <f t="shared" si="177"/>
        <v>0</v>
      </c>
      <c r="T1153" s="90">
        <f t="shared" si="172"/>
        <v>229</v>
      </c>
      <c r="U1153" s="90">
        <f t="shared" si="173"/>
        <v>998</v>
      </c>
      <c r="V1153" s="373">
        <f t="shared" si="174"/>
        <v>1144</v>
      </c>
      <c r="W1153" s="90">
        <f t="shared" si="175"/>
        <v>0</v>
      </c>
      <c r="X1153" s="90">
        <f t="shared" si="176"/>
        <v>0</v>
      </c>
      <c r="Y1153" s="141">
        <f t="shared" si="178"/>
        <v>1144</v>
      </c>
      <c r="Z1153" s="298">
        <v>229</v>
      </c>
      <c r="AA1153" s="299">
        <v>998</v>
      </c>
      <c r="AB1153" s="299">
        <v>1144</v>
      </c>
      <c r="AC1153" s="301">
        <v>0</v>
      </c>
      <c r="AD1153" s="301">
        <v>0</v>
      </c>
      <c r="AE1153" s="126"/>
      <c r="AF1153" s="298"/>
      <c r="AG1153" s="299"/>
      <c r="AH1153" s="299"/>
      <c r="AI1153" s="301"/>
      <c r="AJ1153" s="301"/>
      <c r="AK1153" s="426"/>
      <c r="AL1153" s="298"/>
      <c r="AM1153" s="299"/>
      <c r="AN1153" s="299"/>
      <c r="AO1153" s="301"/>
      <c r="AP1153" s="301"/>
      <c r="AQ1153" s="426"/>
      <c r="AR1153" s="298"/>
      <c r="AS1153" s="299"/>
      <c r="AT1153" s="299"/>
      <c r="AU1153" s="301"/>
      <c r="AV1153" s="301"/>
      <c r="AW1153" s="88"/>
      <c r="AX1153" s="298"/>
      <c r="AY1153" s="299"/>
      <c r="AZ1153" s="299"/>
      <c r="BA1153" s="301"/>
      <c r="BB1153" s="301"/>
      <c r="BC1153" s="426"/>
      <c r="BD1153" s="298"/>
      <c r="BE1153" s="299"/>
      <c r="BF1153" s="299"/>
      <c r="BG1153" s="301"/>
      <c r="BH1153" s="301"/>
      <c r="BI1153" s="88"/>
      <c r="BJ1153" s="298"/>
      <c r="BK1153" s="299"/>
      <c r="BL1153" s="299"/>
      <c r="BM1153" s="301"/>
      <c r="BN1153" s="301"/>
      <c r="BO1153" s="88"/>
      <c r="BP1153" s="9"/>
      <c r="BS1153" s="81"/>
      <c r="BT1153" s="81"/>
      <c r="BV1153" s="9"/>
      <c r="BY1153" s="81"/>
      <c r="BZ1153" s="81"/>
      <c r="CB1153" s="9"/>
      <c r="CE1153" s="81"/>
      <c r="CF1153" s="81"/>
      <c r="CH1153" s="9"/>
      <c r="CK1153" s="81"/>
      <c r="CL1153" s="81"/>
      <c r="CR1153" s="9"/>
      <c r="CS1153" s="9"/>
      <c r="CT1153" s="9"/>
      <c r="CU1153" s="9"/>
      <c r="CV1153" s="9"/>
      <c r="CW1153" s="129"/>
      <c r="CX1153" s="9"/>
    </row>
    <row r="1154" spans="1:102">
      <c r="A1154" s="6" t="str">
        <f t="shared" si="171"/>
        <v>02290999</v>
      </c>
      <c r="B1154" s="6" t="s">
        <v>1879</v>
      </c>
      <c r="C1154" s="6" t="s">
        <v>2092</v>
      </c>
      <c r="D1154" s="6">
        <v>1145</v>
      </c>
      <c r="E1154" s="10">
        <v>229</v>
      </c>
      <c r="F1154" s="10" t="s">
        <v>1347</v>
      </c>
      <c r="G1154" s="10">
        <v>999</v>
      </c>
      <c r="H1154" s="10" t="s">
        <v>593</v>
      </c>
      <c r="I1154" s="92">
        <v>98710513.225082919</v>
      </c>
      <c r="J1154" s="472">
        <v>1</v>
      </c>
      <c r="K1154" s="53">
        <f>SUM(K1150:K1153)</f>
        <v>103702813.05135216</v>
      </c>
      <c r="L1154" s="91">
        <f>SUM(L1150:L1153)</f>
        <v>1</v>
      </c>
      <c r="M1154" s="79">
        <f>VLOOKUP(E1154,town351,24)</f>
        <v>63373858</v>
      </c>
      <c r="N1154" s="79">
        <f>SUM(N1150:N1153)</f>
        <v>63373858</v>
      </c>
      <c r="O1154" s="79">
        <v>60430874</v>
      </c>
      <c r="P1154" s="79">
        <f>SUM(P1150:P1153)</f>
        <v>2942984</v>
      </c>
      <c r="Q1154" s="39">
        <f t="shared" si="179"/>
        <v>4.8700007218164671</v>
      </c>
      <c r="R1154" s="9">
        <v>6341.0000000036498</v>
      </c>
      <c r="S1154" s="9">
        <f t="shared" si="177"/>
        <v>6396.0000000045802</v>
      </c>
      <c r="T1154" s="90">
        <f t="shared" si="172"/>
        <v>229</v>
      </c>
      <c r="U1154" s="90">
        <f t="shared" si="173"/>
        <v>999</v>
      </c>
      <c r="V1154" s="373">
        <f t="shared" si="174"/>
        <v>1145</v>
      </c>
      <c r="W1154" s="90">
        <f t="shared" si="175"/>
        <v>6396.0000000045802</v>
      </c>
      <c r="X1154" s="90">
        <f t="shared" si="176"/>
        <v>103702813.05135216</v>
      </c>
      <c r="Y1154" s="141">
        <f t="shared" si="178"/>
        <v>1145</v>
      </c>
      <c r="Z1154" s="298">
        <v>229</v>
      </c>
      <c r="AA1154" s="299">
        <v>999</v>
      </c>
      <c r="AB1154" s="299">
        <v>1145</v>
      </c>
      <c r="AC1154" s="301">
        <v>6396.0000000045802</v>
      </c>
      <c r="AD1154" s="301">
        <v>103702813.05135216</v>
      </c>
      <c r="AE1154" s="126"/>
      <c r="AF1154" s="298"/>
      <c r="AG1154" s="299"/>
      <c r="AH1154" s="299"/>
      <c r="AI1154" s="301"/>
      <c r="AJ1154" s="301"/>
      <c r="AK1154" s="426"/>
      <c r="AL1154" s="298"/>
      <c r="AM1154" s="299"/>
      <c r="AN1154" s="299"/>
      <c r="AO1154" s="301"/>
      <c r="AP1154" s="301"/>
      <c r="AQ1154" s="426"/>
      <c r="AR1154" s="298"/>
      <c r="AS1154" s="299"/>
      <c r="AT1154" s="299"/>
      <c r="AU1154" s="301"/>
      <c r="AV1154" s="301"/>
      <c r="AW1154" s="91"/>
      <c r="AX1154" s="298"/>
      <c r="AY1154" s="299"/>
      <c r="AZ1154" s="299"/>
      <c r="BA1154" s="301"/>
      <c r="BB1154" s="301"/>
      <c r="BC1154" s="426"/>
      <c r="BD1154" s="298"/>
      <c r="BE1154" s="299"/>
      <c r="BF1154" s="299"/>
      <c r="BG1154" s="301"/>
      <c r="BH1154" s="301"/>
      <c r="BI1154" s="91"/>
      <c r="BJ1154" s="298"/>
      <c r="BK1154" s="299"/>
      <c r="BL1154" s="299"/>
      <c r="BM1154" s="301"/>
      <c r="BN1154" s="301"/>
      <c r="BO1154" s="91"/>
      <c r="BP1154" s="9"/>
      <c r="BS1154" s="81"/>
      <c r="BT1154" s="81"/>
      <c r="BV1154" s="9"/>
      <c r="BY1154" s="81"/>
      <c r="BZ1154" s="81"/>
      <c r="CB1154" s="9"/>
      <c r="CE1154" s="81"/>
      <c r="CF1154" s="81"/>
      <c r="CH1154" s="9"/>
      <c r="CK1154" s="81"/>
      <c r="CL1154" s="81"/>
      <c r="CR1154" s="9"/>
      <c r="CS1154" s="9"/>
      <c r="CT1154" s="9"/>
      <c r="CU1154" s="9"/>
      <c r="CV1154" s="9"/>
      <c r="CW1154" s="129"/>
      <c r="CX1154" s="9"/>
    </row>
    <row r="1155" spans="1:102">
      <c r="A1155" s="6" t="str">
        <f t="shared" si="171"/>
        <v>02300230</v>
      </c>
      <c r="B1155" s="6" t="s">
        <v>1880</v>
      </c>
      <c r="C1155" s="6" t="s">
        <v>1880</v>
      </c>
      <c r="D1155" s="6">
        <v>1146</v>
      </c>
      <c r="E1155" s="6">
        <v>230</v>
      </c>
      <c r="F1155" s="6" t="s">
        <v>1348</v>
      </c>
      <c r="G1155" s="6">
        <v>230</v>
      </c>
      <c r="H1155" s="6" t="s">
        <v>911</v>
      </c>
      <c r="I1155" s="33">
        <v>858482.55999999994</v>
      </c>
      <c r="J1155" s="88">
        <v>0.46006604010991137</v>
      </c>
      <c r="K1155" s="89">
        <f>X1155</f>
        <v>910076.45</v>
      </c>
      <c r="L1155" s="88">
        <f>IF(K1159&gt;0, K1155/K1159, 0)</f>
        <v>0.4596956745197327</v>
      </c>
      <c r="M1155" s="58"/>
      <c r="N1155" s="9">
        <f>ROUND(M1159*L1155,0)</f>
        <v>661794</v>
      </c>
      <c r="O1155" s="9">
        <v>631932</v>
      </c>
      <c r="P1155" s="9">
        <f>N1155-O1155</f>
        <v>29862</v>
      </c>
      <c r="Q1155" s="40">
        <f t="shared" si="179"/>
        <v>4.7255084407816028</v>
      </c>
      <c r="R1155" s="9">
        <v>63</v>
      </c>
      <c r="S1155" s="9">
        <f t="shared" si="177"/>
        <v>63</v>
      </c>
      <c r="T1155" s="90">
        <f t="shared" si="172"/>
        <v>230</v>
      </c>
      <c r="U1155" s="90">
        <f t="shared" si="173"/>
        <v>230</v>
      </c>
      <c r="V1155" s="373">
        <f t="shared" si="174"/>
        <v>1146</v>
      </c>
      <c r="W1155" s="90">
        <f t="shared" si="175"/>
        <v>63</v>
      </c>
      <c r="X1155" s="90">
        <f t="shared" si="176"/>
        <v>910076.45</v>
      </c>
      <c r="Y1155" s="141">
        <f t="shared" si="178"/>
        <v>1146</v>
      </c>
      <c r="Z1155" s="298">
        <v>230</v>
      </c>
      <c r="AA1155" s="299">
        <v>230</v>
      </c>
      <c r="AB1155" s="299">
        <v>1146</v>
      </c>
      <c r="AC1155" s="301">
        <v>63</v>
      </c>
      <c r="AD1155" s="301">
        <v>910076.45</v>
      </c>
      <c r="AE1155" s="126"/>
      <c r="AF1155" s="298"/>
      <c r="AG1155" s="299"/>
      <c r="AH1155" s="299"/>
      <c r="AI1155" s="301"/>
      <c r="AJ1155" s="301"/>
      <c r="AK1155" s="426"/>
      <c r="AL1155" s="298"/>
      <c r="AM1155" s="299"/>
      <c r="AN1155" s="299"/>
      <c r="AO1155" s="301"/>
      <c r="AP1155" s="301"/>
      <c r="AQ1155" s="426"/>
      <c r="AR1155" s="298"/>
      <c r="AS1155" s="299"/>
      <c r="AT1155" s="299"/>
      <c r="AU1155" s="301"/>
      <c r="AV1155" s="301"/>
      <c r="AW1155" s="88"/>
      <c r="AX1155" s="298"/>
      <c r="AY1155" s="299"/>
      <c r="AZ1155" s="299"/>
      <c r="BA1155" s="301"/>
      <c r="BB1155" s="301"/>
      <c r="BC1155" s="426"/>
      <c r="BD1155" s="298"/>
      <c r="BE1155" s="299"/>
      <c r="BF1155" s="299"/>
      <c r="BG1155" s="301"/>
      <c r="BH1155" s="301"/>
      <c r="BI1155" s="88"/>
      <c r="BJ1155" s="298"/>
      <c r="BK1155" s="299"/>
      <c r="BL1155" s="299"/>
      <c r="BM1155" s="301"/>
      <c r="BN1155" s="301"/>
      <c r="BO1155" s="88"/>
      <c r="BP1155" s="9"/>
      <c r="BS1155" s="81"/>
      <c r="BT1155" s="81"/>
      <c r="BV1155" s="9"/>
      <c r="BY1155" s="81"/>
      <c r="BZ1155" s="81"/>
      <c r="CB1155" s="9"/>
      <c r="CE1155" s="81"/>
      <c r="CF1155" s="81"/>
      <c r="CH1155" s="9"/>
      <c r="CK1155" s="81"/>
      <c r="CL1155" s="81"/>
      <c r="CR1155" s="9"/>
      <c r="CS1155" s="9"/>
      <c r="CT1155" s="9"/>
      <c r="CU1155" s="9"/>
      <c r="CV1155" s="9"/>
      <c r="CW1155" s="129"/>
      <c r="CX1155" s="9"/>
    </row>
    <row r="1156" spans="1:102">
      <c r="A1156" s="6" t="str">
        <f t="shared" si="171"/>
        <v>02300605</v>
      </c>
      <c r="B1156" s="6" t="s">
        <v>1880</v>
      </c>
      <c r="C1156" s="6" t="s">
        <v>2006</v>
      </c>
      <c r="D1156" s="6">
        <v>1147</v>
      </c>
      <c r="E1156" s="6">
        <v>230</v>
      </c>
      <c r="F1156" s="6" t="s">
        <v>1348</v>
      </c>
      <c r="G1156" s="6">
        <v>605</v>
      </c>
      <c r="H1156" s="6" t="s">
        <v>1036</v>
      </c>
      <c r="I1156" s="33">
        <v>1007515.9818504385</v>
      </c>
      <c r="J1156" s="88">
        <v>0.53993395989008863</v>
      </c>
      <c r="K1156" s="89">
        <f t="shared" si="180"/>
        <v>1069660.3638188441</v>
      </c>
      <c r="L1156" s="88">
        <f>IF(K1159&gt;0, K1156/K1159, 0)</f>
        <v>0.5403043254802673</v>
      </c>
      <c r="M1156" s="58"/>
      <c r="N1156" s="9">
        <f>ROUND(M1159*L1156,0)</f>
        <v>777841</v>
      </c>
      <c r="O1156" s="9">
        <v>741635</v>
      </c>
      <c r="P1156" s="9">
        <f>N1156-O1156</f>
        <v>36206</v>
      </c>
      <c r="Q1156" s="40">
        <f t="shared" si="179"/>
        <v>4.8819163065389306</v>
      </c>
      <c r="R1156" s="9">
        <v>70.999999998199996</v>
      </c>
      <c r="S1156" s="9">
        <f t="shared" si="177"/>
        <v>73.999999994380005</v>
      </c>
      <c r="T1156" s="90">
        <f t="shared" si="172"/>
        <v>230</v>
      </c>
      <c r="U1156" s="90">
        <f t="shared" si="173"/>
        <v>605</v>
      </c>
      <c r="V1156" s="373">
        <f t="shared" si="174"/>
        <v>1147</v>
      </c>
      <c r="W1156" s="90">
        <f t="shared" si="175"/>
        <v>73.999999994380005</v>
      </c>
      <c r="X1156" s="90">
        <f t="shared" si="176"/>
        <v>1069660.3638188441</v>
      </c>
      <c r="Y1156" s="141">
        <f t="shared" si="178"/>
        <v>1147</v>
      </c>
      <c r="Z1156" s="298">
        <v>230</v>
      </c>
      <c r="AA1156" s="299">
        <v>605</v>
      </c>
      <c r="AB1156" s="299">
        <v>1147</v>
      </c>
      <c r="AC1156" s="301">
        <v>73.999999994380005</v>
      </c>
      <c r="AD1156" s="301">
        <v>1069660.3638188441</v>
      </c>
      <c r="AE1156" s="126"/>
      <c r="AF1156" s="298"/>
      <c r="AG1156" s="299"/>
      <c r="AH1156" s="299"/>
      <c r="AI1156" s="301"/>
      <c r="AJ1156" s="301"/>
      <c r="AK1156" s="426"/>
      <c r="AL1156" s="298"/>
      <c r="AM1156" s="299"/>
      <c r="AN1156" s="299"/>
      <c r="AO1156" s="301"/>
      <c r="AP1156" s="301"/>
      <c r="AQ1156" s="426"/>
      <c r="AR1156" s="298"/>
      <c r="AS1156" s="299"/>
      <c r="AT1156" s="299"/>
      <c r="AU1156" s="301"/>
      <c r="AV1156" s="301"/>
      <c r="AW1156" s="88"/>
      <c r="AX1156" s="298"/>
      <c r="AY1156" s="299"/>
      <c r="AZ1156" s="299"/>
      <c r="BA1156" s="301"/>
      <c r="BB1156" s="301"/>
      <c r="BC1156" s="426"/>
      <c r="BD1156" s="298"/>
      <c r="BE1156" s="299"/>
      <c r="BF1156" s="299"/>
      <c r="BG1156" s="301"/>
      <c r="BH1156" s="301"/>
      <c r="BI1156" s="88"/>
      <c r="BJ1156" s="298"/>
      <c r="BK1156" s="299"/>
      <c r="BL1156" s="299"/>
      <c r="BM1156" s="301"/>
      <c r="BN1156" s="301"/>
      <c r="BO1156" s="88"/>
      <c r="BP1156" s="9"/>
      <c r="BS1156" s="81"/>
      <c r="BT1156" s="81"/>
      <c r="BV1156" s="9"/>
      <c r="BY1156" s="81"/>
      <c r="BZ1156" s="81"/>
      <c r="CB1156" s="9"/>
      <c r="CE1156" s="81"/>
      <c r="CF1156" s="81"/>
      <c r="CH1156" s="9"/>
      <c r="CK1156" s="81"/>
      <c r="CL1156" s="81"/>
      <c r="CR1156" s="9"/>
      <c r="CS1156" s="9"/>
      <c r="CT1156" s="9"/>
      <c r="CU1156" s="9"/>
      <c r="CV1156" s="9"/>
      <c r="CW1156" s="129"/>
      <c r="CX1156" s="9"/>
    </row>
    <row r="1157" spans="1:102">
      <c r="A1157" s="6" t="str">
        <f t="shared" si="171"/>
        <v>02300998</v>
      </c>
      <c r="B1157" s="6" t="s">
        <v>1880</v>
      </c>
      <c r="C1157" s="6" t="s">
        <v>2091</v>
      </c>
      <c r="D1157" s="6">
        <v>1148</v>
      </c>
      <c r="E1157" s="6">
        <v>230</v>
      </c>
      <c r="F1157" s="6" t="s">
        <v>1547</v>
      </c>
      <c r="G1157" s="6">
        <v>998</v>
      </c>
      <c r="H1157" s="6" t="s">
        <v>1547</v>
      </c>
      <c r="I1157" s="33">
        <v>0</v>
      </c>
      <c r="J1157" s="88">
        <v>0</v>
      </c>
      <c r="K1157" s="89">
        <f t="shared" si="180"/>
        <v>0</v>
      </c>
      <c r="L1157" s="88">
        <f>IF(K1159&gt;0, K1157/K1159, 0)</f>
        <v>0</v>
      </c>
      <c r="M1157" s="58"/>
      <c r="N1157" s="9">
        <f>ROUND(M1159*L1157,0)</f>
        <v>0</v>
      </c>
      <c r="O1157" s="9">
        <v>0</v>
      </c>
      <c r="P1157" s="9">
        <f>N1157-O1157</f>
        <v>0</v>
      </c>
      <c r="Q1157" s="40">
        <f t="shared" si="179"/>
        <v>0</v>
      </c>
      <c r="R1157" s="9">
        <v>0</v>
      </c>
      <c r="S1157" s="9">
        <f t="shared" si="177"/>
        <v>0</v>
      </c>
      <c r="T1157" s="90">
        <f t="shared" si="172"/>
        <v>230</v>
      </c>
      <c r="U1157" s="90">
        <f t="shared" si="173"/>
        <v>998</v>
      </c>
      <c r="V1157" s="373">
        <f t="shared" si="174"/>
        <v>1148</v>
      </c>
      <c r="W1157" s="90">
        <f t="shared" si="175"/>
        <v>0</v>
      </c>
      <c r="X1157" s="90">
        <f t="shared" si="176"/>
        <v>0</v>
      </c>
      <c r="Y1157" s="141">
        <f t="shared" si="178"/>
        <v>1148</v>
      </c>
      <c r="Z1157" s="298">
        <v>230</v>
      </c>
      <c r="AA1157" s="299">
        <v>998</v>
      </c>
      <c r="AB1157" s="299">
        <v>1148</v>
      </c>
      <c r="AC1157" s="301">
        <v>0</v>
      </c>
      <c r="AD1157" s="301">
        <v>0</v>
      </c>
      <c r="AE1157" s="126"/>
      <c r="AF1157" s="298"/>
      <c r="AG1157" s="299"/>
      <c r="AH1157" s="299"/>
      <c r="AI1157" s="301"/>
      <c r="AJ1157" s="301"/>
      <c r="AK1157" s="426"/>
      <c r="AL1157" s="298"/>
      <c r="AM1157" s="299"/>
      <c r="AN1157" s="299"/>
      <c r="AO1157" s="301"/>
      <c r="AP1157" s="301"/>
      <c r="AQ1157" s="426"/>
      <c r="AR1157" s="298"/>
      <c r="AS1157" s="299"/>
      <c r="AT1157" s="299"/>
      <c r="AU1157" s="301"/>
      <c r="AV1157" s="301"/>
      <c r="AW1157" s="88"/>
      <c r="AX1157" s="298"/>
      <c r="AY1157" s="299"/>
      <c r="AZ1157" s="299"/>
      <c r="BA1157" s="301"/>
      <c r="BB1157" s="301"/>
      <c r="BC1157" s="426"/>
      <c r="BD1157" s="298"/>
      <c r="BE1157" s="299"/>
      <c r="BF1157" s="299"/>
      <c r="BG1157" s="301"/>
      <c r="BH1157" s="301"/>
      <c r="BI1157" s="88"/>
      <c r="BJ1157" s="298"/>
      <c r="BK1157" s="299"/>
      <c r="BL1157" s="299"/>
      <c r="BM1157" s="301"/>
      <c r="BN1157" s="301"/>
      <c r="BO1157" s="88"/>
      <c r="BP1157" s="9"/>
      <c r="BS1157" s="81"/>
      <c r="BT1157" s="81"/>
      <c r="BV1157" s="9"/>
      <c r="BY1157" s="81"/>
      <c r="BZ1157" s="81"/>
      <c r="CB1157" s="9"/>
      <c r="CE1157" s="81"/>
      <c r="CF1157" s="81"/>
      <c r="CH1157" s="9"/>
      <c r="CK1157" s="81"/>
      <c r="CL1157" s="81"/>
      <c r="CR1157" s="9"/>
      <c r="CS1157" s="9"/>
      <c r="CT1157" s="9"/>
      <c r="CU1157" s="9"/>
      <c r="CV1157" s="9"/>
      <c r="CW1157" s="129"/>
      <c r="CX1157" s="9"/>
    </row>
    <row r="1158" spans="1:102">
      <c r="A1158" s="6" t="str">
        <f t="shared" si="171"/>
        <v>02300998</v>
      </c>
      <c r="B1158" s="6" t="s">
        <v>1880</v>
      </c>
      <c r="C1158" s="6" t="s">
        <v>2091</v>
      </c>
      <c r="D1158" s="6">
        <v>1149</v>
      </c>
      <c r="E1158" s="6">
        <v>230</v>
      </c>
      <c r="F1158" s="6" t="s">
        <v>1547</v>
      </c>
      <c r="G1158" s="6">
        <v>998</v>
      </c>
      <c r="H1158" s="6" t="s">
        <v>1547</v>
      </c>
      <c r="I1158" s="33">
        <v>0</v>
      </c>
      <c r="J1158" s="88">
        <v>0</v>
      </c>
      <c r="K1158" s="89">
        <f t="shared" si="180"/>
        <v>0</v>
      </c>
      <c r="L1158" s="88">
        <f>IF(K1159&gt;0, K1158/K1159, 0)</f>
        <v>0</v>
      </c>
      <c r="M1158" s="58"/>
      <c r="N1158" s="9">
        <f>ROUND(M1159*L1158,0)</f>
        <v>0</v>
      </c>
      <c r="O1158" s="9">
        <v>0</v>
      </c>
      <c r="P1158" s="9">
        <f>N1158-O1158</f>
        <v>0</v>
      </c>
      <c r="Q1158" s="40">
        <f t="shared" si="179"/>
        <v>0</v>
      </c>
      <c r="R1158" s="9">
        <v>0</v>
      </c>
      <c r="S1158" s="9">
        <f t="shared" si="177"/>
        <v>0</v>
      </c>
      <c r="T1158" s="90">
        <f t="shared" si="172"/>
        <v>230</v>
      </c>
      <c r="U1158" s="90">
        <f t="shared" si="173"/>
        <v>998</v>
      </c>
      <c r="V1158" s="373">
        <f t="shared" si="174"/>
        <v>1149</v>
      </c>
      <c r="W1158" s="90">
        <f t="shared" si="175"/>
        <v>0</v>
      </c>
      <c r="X1158" s="90">
        <f t="shared" si="176"/>
        <v>0</v>
      </c>
      <c r="Y1158" s="141">
        <f t="shared" si="178"/>
        <v>1149</v>
      </c>
      <c r="Z1158" s="298">
        <v>230</v>
      </c>
      <c r="AA1158" s="299">
        <v>998</v>
      </c>
      <c r="AB1158" s="299">
        <v>1149</v>
      </c>
      <c r="AC1158" s="301">
        <v>0</v>
      </c>
      <c r="AD1158" s="301">
        <v>0</v>
      </c>
      <c r="AE1158" s="126"/>
      <c r="AF1158" s="298"/>
      <c r="AG1158" s="299"/>
      <c r="AH1158" s="299"/>
      <c r="AI1158" s="301"/>
      <c r="AJ1158" s="301"/>
      <c r="AK1158" s="426"/>
      <c r="AL1158" s="298"/>
      <c r="AM1158" s="299"/>
      <c r="AN1158" s="299"/>
      <c r="AO1158" s="301"/>
      <c r="AP1158" s="301"/>
      <c r="AQ1158" s="426"/>
      <c r="AR1158" s="298"/>
      <c r="AS1158" s="299"/>
      <c r="AT1158" s="299"/>
      <c r="AU1158" s="301"/>
      <c r="AV1158" s="301"/>
      <c r="AW1158" s="88"/>
      <c r="AX1158" s="298"/>
      <c r="AY1158" s="299"/>
      <c r="AZ1158" s="299"/>
      <c r="BA1158" s="301"/>
      <c r="BB1158" s="301"/>
      <c r="BC1158" s="426"/>
      <c r="BD1158" s="298"/>
      <c r="BE1158" s="299"/>
      <c r="BF1158" s="299"/>
      <c r="BG1158" s="301"/>
      <c r="BH1158" s="301"/>
      <c r="BI1158" s="88"/>
      <c r="BJ1158" s="298"/>
      <c r="BK1158" s="299"/>
      <c r="BL1158" s="299"/>
      <c r="BM1158" s="301"/>
      <c r="BN1158" s="301"/>
      <c r="BO1158" s="88"/>
      <c r="BP1158" s="9"/>
      <c r="BS1158" s="81"/>
      <c r="BT1158" s="81"/>
      <c r="BV1158" s="9"/>
      <c r="BY1158" s="81"/>
      <c r="BZ1158" s="81"/>
      <c r="CB1158" s="9"/>
      <c r="CE1158" s="81"/>
      <c r="CF1158" s="81"/>
      <c r="CH1158" s="9"/>
      <c r="CK1158" s="81"/>
      <c r="CL1158" s="81"/>
      <c r="CR1158" s="9"/>
      <c r="CS1158" s="9"/>
      <c r="CT1158" s="9"/>
      <c r="CU1158" s="9"/>
      <c r="CV1158" s="9"/>
      <c r="CW1158" s="129"/>
      <c r="CX1158" s="9"/>
    </row>
    <row r="1159" spans="1:102">
      <c r="A1159" s="6" t="str">
        <f t="shared" si="171"/>
        <v>02300999</v>
      </c>
      <c r="B1159" s="6" t="s">
        <v>1880</v>
      </c>
      <c r="C1159" s="6" t="s">
        <v>2092</v>
      </c>
      <c r="D1159" s="6">
        <v>1150</v>
      </c>
      <c r="E1159" s="10">
        <v>230</v>
      </c>
      <c r="F1159" s="10" t="s">
        <v>1348</v>
      </c>
      <c r="G1159" s="10">
        <v>999</v>
      </c>
      <c r="H1159" s="10" t="s">
        <v>593</v>
      </c>
      <c r="I1159" s="92">
        <v>1865998.5418504383</v>
      </c>
      <c r="J1159" s="472">
        <v>1</v>
      </c>
      <c r="K1159" s="53">
        <f>SUM(K1155:K1158)</f>
        <v>1979736.813818844</v>
      </c>
      <c r="L1159" s="91">
        <f>SUM(L1155:L1158)</f>
        <v>1</v>
      </c>
      <c r="M1159" s="79">
        <f>VLOOKUP(E1159,town351,24)</f>
        <v>1439635</v>
      </c>
      <c r="N1159" s="79">
        <f>SUM(N1155:N1158)</f>
        <v>1439635</v>
      </c>
      <c r="O1159" s="79">
        <v>1373567</v>
      </c>
      <c r="P1159" s="79">
        <f>SUM(P1155:P1158)</f>
        <v>66068</v>
      </c>
      <c r="Q1159" s="39">
        <f t="shared" si="179"/>
        <v>4.809958305637803</v>
      </c>
      <c r="R1159" s="9">
        <v>133.9999999982</v>
      </c>
      <c r="S1159" s="9">
        <f t="shared" si="177"/>
        <v>136.99999999438</v>
      </c>
      <c r="T1159" s="90">
        <f t="shared" si="172"/>
        <v>230</v>
      </c>
      <c r="U1159" s="90">
        <f t="shared" si="173"/>
        <v>999</v>
      </c>
      <c r="V1159" s="373">
        <f t="shared" si="174"/>
        <v>1150</v>
      </c>
      <c r="W1159" s="90">
        <f t="shared" si="175"/>
        <v>136.99999999438</v>
      </c>
      <c r="X1159" s="90">
        <f t="shared" si="176"/>
        <v>1979736.813818844</v>
      </c>
      <c r="Y1159" s="141">
        <f t="shared" si="178"/>
        <v>1150</v>
      </c>
      <c r="Z1159" s="298">
        <v>230</v>
      </c>
      <c r="AA1159" s="299">
        <v>999</v>
      </c>
      <c r="AB1159" s="299">
        <v>1150</v>
      </c>
      <c r="AC1159" s="301">
        <v>136.99999999438</v>
      </c>
      <c r="AD1159" s="301">
        <v>1979736.813818844</v>
      </c>
      <c r="AE1159" s="126"/>
      <c r="AF1159" s="298"/>
      <c r="AG1159" s="299"/>
      <c r="AH1159" s="299"/>
      <c r="AI1159" s="301"/>
      <c r="AJ1159" s="301"/>
      <c r="AK1159" s="426"/>
      <c r="AL1159" s="298"/>
      <c r="AM1159" s="299"/>
      <c r="AN1159" s="299"/>
      <c r="AO1159" s="301"/>
      <c r="AP1159" s="301"/>
      <c r="AQ1159" s="426"/>
      <c r="AR1159" s="298"/>
      <c r="AS1159" s="299"/>
      <c r="AT1159" s="299"/>
      <c r="AU1159" s="301"/>
      <c r="AV1159" s="301"/>
      <c r="AW1159" s="91"/>
      <c r="AX1159" s="298"/>
      <c r="AY1159" s="299"/>
      <c r="AZ1159" s="299"/>
      <c r="BA1159" s="301"/>
      <c r="BB1159" s="301"/>
      <c r="BC1159" s="426"/>
      <c r="BD1159" s="298"/>
      <c r="BE1159" s="299"/>
      <c r="BF1159" s="299"/>
      <c r="BG1159" s="301"/>
      <c r="BH1159" s="301"/>
      <c r="BI1159" s="91"/>
      <c r="BJ1159" s="298"/>
      <c r="BK1159" s="299"/>
      <c r="BL1159" s="299"/>
      <c r="BM1159" s="301"/>
      <c r="BN1159" s="301"/>
      <c r="BO1159" s="91"/>
      <c r="BP1159" s="9"/>
      <c r="BS1159" s="81"/>
      <c r="BT1159" s="81"/>
      <c r="BV1159" s="9"/>
      <c r="BY1159" s="81"/>
      <c r="BZ1159" s="81"/>
      <c r="CB1159" s="9"/>
      <c r="CE1159" s="81"/>
      <c r="CF1159" s="81"/>
      <c r="CH1159" s="9"/>
      <c r="CK1159" s="81"/>
      <c r="CL1159" s="81"/>
      <c r="CR1159" s="9"/>
      <c r="CS1159" s="9"/>
      <c r="CT1159" s="9"/>
      <c r="CU1159" s="9"/>
      <c r="CV1159" s="9"/>
      <c r="CW1159" s="129"/>
      <c r="CX1159" s="9"/>
    </row>
    <row r="1160" spans="1:102">
      <c r="A1160" s="6" t="str">
        <f t="shared" si="171"/>
        <v>02310231</v>
      </c>
      <c r="B1160" s="6" t="s">
        <v>1881</v>
      </c>
      <c r="C1160" s="6" t="s">
        <v>1881</v>
      </c>
      <c r="D1160" s="6">
        <v>1151</v>
      </c>
      <c r="E1160" s="6">
        <v>231</v>
      </c>
      <c r="F1160" s="6" t="s">
        <v>1349</v>
      </c>
      <c r="G1160" s="6">
        <v>231</v>
      </c>
      <c r="H1160" s="6" t="s">
        <v>912</v>
      </c>
      <c r="I1160" s="33">
        <v>33926554.381990001</v>
      </c>
      <c r="J1160" s="88">
        <v>1</v>
      </c>
      <c r="K1160" s="89">
        <f>X1160</f>
        <v>33089290.707739998</v>
      </c>
      <c r="L1160" s="88">
        <f>IF(K1164&gt;0, K1160/K1164, 0)</f>
        <v>1</v>
      </c>
      <c r="M1160" s="58"/>
      <c r="N1160" s="9">
        <f>ROUND(M1164*L1160,0)</f>
        <v>25260111</v>
      </c>
      <c r="O1160" s="9">
        <v>23884371</v>
      </c>
      <c r="P1160" s="9">
        <f>N1160-O1160</f>
        <v>1375740</v>
      </c>
      <c r="Q1160" s="40">
        <f t="shared" si="179"/>
        <v>5.760000964647551</v>
      </c>
      <c r="R1160" s="9">
        <v>2599</v>
      </c>
      <c r="S1160" s="9">
        <f t="shared" si="177"/>
        <v>2483</v>
      </c>
      <c r="T1160" s="90">
        <f t="shared" si="172"/>
        <v>231</v>
      </c>
      <c r="U1160" s="90">
        <f t="shared" si="173"/>
        <v>231</v>
      </c>
      <c r="V1160" s="373">
        <f t="shared" si="174"/>
        <v>1151</v>
      </c>
      <c r="W1160" s="90">
        <f t="shared" si="175"/>
        <v>2483</v>
      </c>
      <c r="X1160" s="90">
        <f t="shared" si="176"/>
        <v>33089290.707739998</v>
      </c>
      <c r="Y1160" s="141">
        <f t="shared" si="178"/>
        <v>1151</v>
      </c>
      <c r="Z1160" s="298">
        <v>231</v>
      </c>
      <c r="AA1160" s="299">
        <v>231</v>
      </c>
      <c r="AB1160" s="299">
        <v>1151</v>
      </c>
      <c r="AC1160" s="301">
        <v>2483</v>
      </c>
      <c r="AD1160" s="301">
        <v>33089290.707739998</v>
      </c>
      <c r="AE1160" s="126"/>
      <c r="AF1160" s="298"/>
      <c r="AG1160" s="299"/>
      <c r="AH1160" s="299"/>
      <c r="AI1160" s="301"/>
      <c r="AJ1160" s="301"/>
      <c r="AK1160" s="426"/>
      <c r="AL1160" s="298"/>
      <c r="AM1160" s="299"/>
      <c r="AN1160" s="299"/>
      <c r="AO1160" s="301"/>
      <c r="AP1160" s="301"/>
      <c r="AQ1160" s="426"/>
      <c r="AR1160" s="298"/>
      <c r="AS1160" s="299"/>
      <c r="AT1160" s="299"/>
      <c r="AU1160" s="301"/>
      <c r="AV1160" s="301"/>
      <c r="AW1160" s="88"/>
      <c r="AX1160" s="298"/>
      <c r="AY1160" s="299"/>
      <c r="AZ1160" s="299"/>
      <c r="BA1160" s="301"/>
      <c r="BB1160" s="301"/>
      <c r="BC1160" s="426"/>
      <c r="BD1160" s="298"/>
      <c r="BE1160" s="299"/>
      <c r="BF1160" s="299"/>
      <c r="BG1160" s="301"/>
      <c r="BH1160" s="301"/>
      <c r="BI1160" s="88"/>
      <c r="BJ1160" s="298"/>
      <c r="BK1160" s="299"/>
      <c r="BL1160" s="299"/>
      <c r="BM1160" s="301"/>
      <c r="BN1160" s="301"/>
      <c r="BO1160" s="88"/>
      <c r="BP1160" s="9"/>
      <c r="BS1160" s="81"/>
      <c r="BT1160" s="81"/>
      <c r="BV1160" s="9"/>
      <c r="BY1160" s="81"/>
      <c r="BZ1160" s="81"/>
      <c r="CB1160" s="9"/>
      <c r="CE1160" s="81"/>
      <c r="CF1160" s="81"/>
      <c r="CH1160" s="9"/>
      <c r="CK1160" s="81"/>
      <c r="CL1160" s="81"/>
      <c r="CR1160" s="9"/>
      <c r="CS1160" s="9"/>
      <c r="CT1160" s="9"/>
      <c r="CU1160" s="9"/>
      <c r="CV1160" s="9"/>
      <c r="CW1160" s="129"/>
      <c r="CX1160" s="9"/>
    </row>
    <row r="1161" spans="1:102">
      <c r="A1161" s="6" t="str">
        <f t="shared" si="171"/>
        <v>02310998</v>
      </c>
      <c r="B1161" s="6" t="s">
        <v>1881</v>
      </c>
      <c r="C1161" s="6" t="s">
        <v>2091</v>
      </c>
      <c r="D1161" s="6">
        <v>1152</v>
      </c>
      <c r="E1161" s="6">
        <v>231</v>
      </c>
      <c r="F1161" s="6" t="s">
        <v>1547</v>
      </c>
      <c r="G1161" s="6">
        <v>998</v>
      </c>
      <c r="H1161" s="6" t="s">
        <v>1547</v>
      </c>
      <c r="I1161" s="33">
        <v>0</v>
      </c>
      <c r="J1161" s="88">
        <v>0</v>
      </c>
      <c r="K1161" s="89">
        <f t="shared" si="180"/>
        <v>0</v>
      </c>
      <c r="L1161" s="88">
        <f>IF(K1164&gt;0, K1161/K1164, 0)</f>
        <v>0</v>
      </c>
      <c r="M1161" s="58"/>
      <c r="N1161" s="9">
        <f>ROUND(M1164*L1161,0)</f>
        <v>0</v>
      </c>
      <c r="O1161" s="9">
        <v>0</v>
      </c>
      <c r="P1161" s="9">
        <f>N1161-O1161</f>
        <v>0</v>
      </c>
      <c r="Q1161" s="40">
        <f t="shared" si="179"/>
        <v>0</v>
      </c>
      <c r="R1161" s="9">
        <v>0</v>
      </c>
      <c r="S1161" s="9">
        <f t="shared" si="177"/>
        <v>0</v>
      </c>
      <c r="T1161" s="90">
        <f t="shared" si="172"/>
        <v>231</v>
      </c>
      <c r="U1161" s="90">
        <f t="shared" si="173"/>
        <v>998</v>
      </c>
      <c r="V1161" s="373">
        <f t="shared" si="174"/>
        <v>1152</v>
      </c>
      <c r="W1161" s="90">
        <f t="shared" si="175"/>
        <v>0</v>
      </c>
      <c r="X1161" s="90">
        <f t="shared" si="176"/>
        <v>0</v>
      </c>
      <c r="Y1161" s="141">
        <f t="shared" si="178"/>
        <v>1152</v>
      </c>
      <c r="Z1161" s="298">
        <v>231</v>
      </c>
      <c r="AA1161" s="299">
        <v>998</v>
      </c>
      <c r="AB1161" s="299">
        <v>1152</v>
      </c>
      <c r="AC1161" s="301">
        <v>0</v>
      </c>
      <c r="AD1161" s="301">
        <v>0</v>
      </c>
      <c r="AE1161" s="126"/>
      <c r="AF1161" s="298"/>
      <c r="AG1161" s="299"/>
      <c r="AH1161" s="299"/>
      <c r="AI1161" s="301"/>
      <c r="AJ1161" s="301"/>
      <c r="AK1161" s="426"/>
      <c r="AL1161" s="298"/>
      <c r="AM1161" s="299"/>
      <c r="AN1161" s="299"/>
      <c r="AO1161" s="301"/>
      <c r="AP1161" s="301"/>
      <c r="AQ1161" s="426"/>
      <c r="AR1161" s="298"/>
      <c r="AS1161" s="299"/>
      <c r="AT1161" s="299"/>
      <c r="AU1161" s="301"/>
      <c r="AV1161" s="301"/>
      <c r="AW1161" s="88"/>
      <c r="AX1161" s="298"/>
      <c r="AY1161" s="299"/>
      <c r="AZ1161" s="299"/>
      <c r="BA1161" s="301"/>
      <c r="BB1161" s="301"/>
      <c r="BC1161" s="426"/>
      <c r="BD1161" s="298"/>
      <c r="BE1161" s="299"/>
      <c r="BF1161" s="299"/>
      <c r="BG1161" s="301"/>
      <c r="BH1161" s="301"/>
      <c r="BI1161" s="88"/>
      <c r="BJ1161" s="298"/>
      <c r="BK1161" s="299"/>
      <c r="BL1161" s="299"/>
      <c r="BM1161" s="301"/>
      <c r="BN1161" s="301"/>
      <c r="BO1161" s="88"/>
      <c r="BP1161" s="9"/>
      <c r="BS1161" s="81"/>
      <c r="BT1161" s="81"/>
      <c r="BV1161" s="9"/>
      <c r="BY1161" s="81"/>
      <c r="BZ1161" s="81"/>
      <c r="CB1161" s="9"/>
      <c r="CE1161" s="81"/>
      <c r="CF1161" s="81"/>
      <c r="CH1161" s="9"/>
      <c r="CK1161" s="81"/>
      <c r="CL1161" s="81"/>
      <c r="CR1161" s="9"/>
      <c r="CS1161" s="9"/>
      <c r="CT1161" s="9"/>
      <c r="CU1161" s="9"/>
      <c r="CV1161" s="9"/>
      <c r="CW1161" s="129"/>
      <c r="CX1161" s="9"/>
    </row>
    <row r="1162" spans="1:102">
      <c r="A1162" s="6" t="str">
        <f t="shared" ref="A1162:A1225" si="181">B1162&amp;C1162</f>
        <v>02310998</v>
      </c>
      <c r="B1162" s="6" t="s">
        <v>1881</v>
      </c>
      <c r="C1162" s="6" t="s">
        <v>2091</v>
      </c>
      <c r="D1162" s="6">
        <v>1153</v>
      </c>
      <c r="E1162" s="6">
        <v>231</v>
      </c>
      <c r="F1162" s="6" t="s">
        <v>1547</v>
      </c>
      <c r="G1162" s="6">
        <v>998</v>
      </c>
      <c r="H1162" s="6" t="s">
        <v>1547</v>
      </c>
      <c r="I1162" s="33">
        <v>0</v>
      </c>
      <c r="J1162" s="88">
        <v>0</v>
      </c>
      <c r="K1162" s="89">
        <f t="shared" si="180"/>
        <v>0</v>
      </c>
      <c r="L1162" s="88">
        <f>IF(K1164&gt;0, K1162/K1164, 0)</f>
        <v>0</v>
      </c>
      <c r="M1162" s="58"/>
      <c r="N1162" s="9">
        <f>ROUND(M1164*L1162,0)</f>
        <v>0</v>
      </c>
      <c r="O1162" s="9">
        <v>0</v>
      </c>
      <c r="P1162" s="9">
        <f>N1162-O1162</f>
        <v>0</v>
      </c>
      <c r="Q1162" s="40">
        <f t="shared" si="179"/>
        <v>0</v>
      </c>
      <c r="R1162" s="9">
        <v>0</v>
      </c>
      <c r="S1162" s="9">
        <f t="shared" si="177"/>
        <v>0</v>
      </c>
      <c r="T1162" s="90">
        <f t="shared" ref="T1162:T1225" si="182">VLOOKUP($D1162, foundoptions, VLOOKUP($T$6, foundoptcell, 2, FALSE), FALSE)</f>
        <v>231</v>
      </c>
      <c r="U1162" s="90">
        <f t="shared" ref="U1162:U1225" si="183">VLOOKUP($D1162, foundoptions, VLOOKUP($T$6, foundoptcell, 2, FALSE)+1, FALSE)</f>
        <v>998</v>
      </c>
      <c r="V1162" s="373">
        <f t="shared" ref="V1162:V1225" si="184">VLOOKUP($D1162, foundoptions, VLOOKUP($T$6, foundoptcell, 2, FALSE)+2, FALSE)</f>
        <v>1153</v>
      </c>
      <c r="W1162" s="90">
        <f t="shared" ref="W1162:W1225" si="185">VLOOKUP($D1162, foundoptions, VLOOKUP($T$6, foundoptcell, 2, FALSE)+3, FALSE)</f>
        <v>0</v>
      </c>
      <c r="X1162" s="90">
        <f t="shared" ref="X1162:X1225" si="186">VLOOKUP($D1162, foundoptions, VLOOKUP($T$6, foundoptcell, 2, FALSE)+4, FALSE)</f>
        <v>0</v>
      </c>
      <c r="Y1162" s="141">
        <f t="shared" si="178"/>
        <v>1153</v>
      </c>
      <c r="Z1162" s="298">
        <v>231</v>
      </c>
      <c r="AA1162" s="299">
        <v>998</v>
      </c>
      <c r="AB1162" s="299">
        <v>1153</v>
      </c>
      <c r="AC1162" s="301">
        <v>0</v>
      </c>
      <c r="AD1162" s="301">
        <v>0</v>
      </c>
      <c r="AE1162" s="126"/>
      <c r="AF1162" s="298"/>
      <c r="AG1162" s="299"/>
      <c r="AH1162" s="299"/>
      <c r="AI1162" s="301"/>
      <c r="AJ1162" s="301"/>
      <c r="AK1162" s="426"/>
      <c r="AL1162" s="298"/>
      <c r="AM1162" s="299"/>
      <c r="AN1162" s="299"/>
      <c r="AO1162" s="301"/>
      <c r="AP1162" s="301"/>
      <c r="AQ1162" s="426"/>
      <c r="AR1162" s="298"/>
      <c r="AS1162" s="299"/>
      <c r="AT1162" s="299"/>
      <c r="AU1162" s="301"/>
      <c r="AV1162" s="301"/>
      <c r="AW1162" s="88"/>
      <c r="AX1162" s="298"/>
      <c r="AY1162" s="299"/>
      <c r="AZ1162" s="299"/>
      <c r="BA1162" s="301"/>
      <c r="BB1162" s="301"/>
      <c r="BC1162" s="426"/>
      <c r="BD1162" s="298"/>
      <c r="BE1162" s="299"/>
      <c r="BF1162" s="299"/>
      <c r="BG1162" s="301"/>
      <c r="BH1162" s="301"/>
      <c r="BI1162" s="88"/>
      <c r="BJ1162" s="298"/>
      <c r="BK1162" s="299"/>
      <c r="BL1162" s="299"/>
      <c r="BM1162" s="301"/>
      <c r="BN1162" s="301"/>
      <c r="BO1162" s="88"/>
      <c r="BP1162" s="9"/>
      <c r="BS1162" s="81"/>
      <c r="BT1162" s="81"/>
      <c r="BV1162" s="9"/>
      <c r="BY1162" s="81"/>
      <c r="BZ1162" s="81"/>
      <c r="CB1162" s="9"/>
      <c r="CE1162" s="81"/>
      <c r="CF1162" s="81"/>
      <c r="CH1162" s="9"/>
      <c r="CK1162" s="81"/>
      <c r="CL1162" s="81"/>
      <c r="CR1162" s="9"/>
      <c r="CS1162" s="9"/>
      <c r="CT1162" s="9"/>
      <c r="CU1162" s="9"/>
      <c r="CV1162" s="9"/>
      <c r="CW1162" s="129"/>
      <c r="CX1162" s="9"/>
    </row>
    <row r="1163" spans="1:102">
      <c r="A1163" s="6" t="str">
        <f t="shared" si="181"/>
        <v>02310998</v>
      </c>
      <c r="B1163" s="6" t="s">
        <v>1881</v>
      </c>
      <c r="C1163" s="6" t="s">
        <v>2091</v>
      </c>
      <c r="D1163" s="6">
        <v>1154</v>
      </c>
      <c r="E1163" s="6">
        <v>231</v>
      </c>
      <c r="F1163" s="6" t="s">
        <v>1547</v>
      </c>
      <c r="G1163" s="6">
        <v>998</v>
      </c>
      <c r="H1163" s="6" t="s">
        <v>1547</v>
      </c>
      <c r="I1163" s="33">
        <v>0</v>
      </c>
      <c r="J1163" s="88">
        <v>0</v>
      </c>
      <c r="K1163" s="89">
        <f t="shared" si="180"/>
        <v>0</v>
      </c>
      <c r="L1163" s="88">
        <f>IF(K1164&gt;0, K1163/K1164, 0)</f>
        <v>0</v>
      </c>
      <c r="M1163" s="58"/>
      <c r="N1163" s="9">
        <f>ROUND(M1164*L1163,0)</f>
        <v>0</v>
      </c>
      <c r="O1163" s="9">
        <v>0</v>
      </c>
      <c r="P1163" s="9">
        <f>N1163-O1163</f>
        <v>0</v>
      </c>
      <c r="Q1163" s="40">
        <f t="shared" si="179"/>
        <v>0</v>
      </c>
      <c r="R1163" s="9">
        <v>0</v>
      </c>
      <c r="S1163" s="9">
        <f t="shared" ref="S1163:S1226" si="187">W1163</f>
        <v>0</v>
      </c>
      <c r="T1163" s="90">
        <f t="shared" si="182"/>
        <v>231</v>
      </c>
      <c r="U1163" s="90">
        <f t="shared" si="183"/>
        <v>998</v>
      </c>
      <c r="V1163" s="373">
        <f t="shared" si="184"/>
        <v>1154</v>
      </c>
      <c r="W1163" s="90">
        <f t="shared" si="185"/>
        <v>0</v>
      </c>
      <c r="X1163" s="90">
        <f t="shared" si="186"/>
        <v>0</v>
      </c>
      <c r="Y1163" s="141">
        <f t="shared" ref="Y1163:Y1226" si="188">D1163</f>
        <v>1154</v>
      </c>
      <c r="Z1163" s="298">
        <v>231</v>
      </c>
      <c r="AA1163" s="299">
        <v>998</v>
      </c>
      <c r="AB1163" s="299">
        <v>1154</v>
      </c>
      <c r="AC1163" s="301">
        <v>0</v>
      </c>
      <c r="AD1163" s="301">
        <v>0</v>
      </c>
      <c r="AE1163" s="126"/>
      <c r="AF1163" s="298"/>
      <c r="AG1163" s="299"/>
      <c r="AH1163" s="299"/>
      <c r="AI1163" s="301"/>
      <c r="AJ1163" s="301"/>
      <c r="AK1163" s="426"/>
      <c r="AL1163" s="298"/>
      <c r="AM1163" s="299"/>
      <c r="AN1163" s="299"/>
      <c r="AO1163" s="301"/>
      <c r="AP1163" s="301"/>
      <c r="AQ1163" s="426"/>
      <c r="AR1163" s="298"/>
      <c r="AS1163" s="299"/>
      <c r="AT1163" s="299"/>
      <c r="AU1163" s="301"/>
      <c r="AV1163" s="301"/>
      <c r="AW1163" s="88"/>
      <c r="AX1163" s="298"/>
      <c r="AY1163" s="299"/>
      <c r="AZ1163" s="299"/>
      <c r="BA1163" s="301"/>
      <c r="BB1163" s="301"/>
      <c r="BC1163" s="426"/>
      <c r="BD1163" s="298"/>
      <c r="BE1163" s="299"/>
      <c r="BF1163" s="299"/>
      <c r="BG1163" s="301"/>
      <c r="BH1163" s="301"/>
      <c r="BI1163" s="88"/>
      <c r="BJ1163" s="298"/>
      <c r="BK1163" s="299"/>
      <c r="BL1163" s="299"/>
      <c r="BM1163" s="301"/>
      <c r="BN1163" s="301"/>
      <c r="BO1163" s="88"/>
      <c r="BP1163" s="9"/>
      <c r="BS1163" s="81"/>
      <c r="BT1163" s="81"/>
      <c r="BV1163" s="9"/>
      <c r="BY1163" s="81"/>
      <c r="BZ1163" s="81"/>
      <c r="CB1163" s="9"/>
      <c r="CE1163" s="81"/>
      <c r="CF1163" s="81"/>
      <c r="CH1163" s="9"/>
      <c r="CK1163" s="81"/>
      <c r="CL1163" s="81"/>
      <c r="CR1163" s="9"/>
      <c r="CS1163" s="9"/>
      <c r="CT1163" s="9"/>
      <c r="CU1163" s="9"/>
      <c r="CV1163" s="9"/>
      <c r="CW1163" s="129"/>
      <c r="CX1163" s="9"/>
    </row>
    <row r="1164" spans="1:102">
      <c r="A1164" s="6" t="str">
        <f t="shared" si="181"/>
        <v>02310999</v>
      </c>
      <c r="B1164" s="6" t="s">
        <v>1881</v>
      </c>
      <c r="C1164" s="6" t="s">
        <v>2092</v>
      </c>
      <c r="D1164" s="6">
        <v>1155</v>
      </c>
      <c r="E1164" s="10">
        <v>231</v>
      </c>
      <c r="F1164" s="10" t="s">
        <v>1349</v>
      </c>
      <c r="G1164" s="10">
        <v>999</v>
      </c>
      <c r="H1164" s="10" t="s">
        <v>593</v>
      </c>
      <c r="I1164" s="92">
        <v>33926554.381990001</v>
      </c>
      <c r="J1164" s="472">
        <v>1</v>
      </c>
      <c r="K1164" s="53">
        <f>SUM(K1160:K1163)</f>
        <v>33089290.707739998</v>
      </c>
      <c r="L1164" s="91">
        <f>SUM(L1160:L1163)</f>
        <v>1</v>
      </c>
      <c r="M1164" s="79">
        <f>VLOOKUP(E1164,town351,24)</f>
        <v>25260111</v>
      </c>
      <c r="N1164" s="79">
        <f>SUM(N1160:N1163)</f>
        <v>25260111</v>
      </c>
      <c r="O1164" s="79">
        <v>23884371</v>
      </c>
      <c r="P1164" s="79">
        <f>SUM(P1160:P1163)</f>
        <v>1375740</v>
      </c>
      <c r="Q1164" s="39">
        <f t="shared" si="179"/>
        <v>5.760000964647551</v>
      </c>
      <c r="R1164" s="9">
        <v>2599</v>
      </c>
      <c r="S1164" s="9">
        <f t="shared" si="187"/>
        <v>2483</v>
      </c>
      <c r="T1164" s="90">
        <f t="shared" si="182"/>
        <v>231</v>
      </c>
      <c r="U1164" s="90">
        <f t="shared" si="183"/>
        <v>999</v>
      </c>
      <c r="V1164" s="373">
        <f t="shared" si="184"/>
        <v>1155</v>
      </c>
      <c r="W1164" s="90">
        <f t="shared" si="185"/>
        <v>2483</v>
      </c>
      <c r="X1164" s="90">
        <f t="shared" si="186"/>
        <v>33089290.707739998</v>
      </c>
      <c r="Y1164" s="141">
        <f t="shared" si="188"/>
        <v>1155</v>
      </c>
      <c r="Z1164" s="298">
        <v>231</v>
      </c>
      <c r="AA1164" s="299">
        <v>999</v>
      </c>
      <c r="AB1164" s="299">
        <v>1155</v>
      </c>
      <c r="AC1164" s="301">
        <v>2483</v>
      </c>
      <c r="AD1164" s="301">
        <v>33089290.707739998</v>
      </c>
      <c r="AE1164" s="126"/>
      <c r="AF1164" s="298"/>
      <c r="AG1164" s="299"/>
      <c r="AH1164" s="299"/>
      <c r="AI1164" s="301"/>
      <c r="AJ1164" s="301"/>
      <c r="AK1164" s="426"/>
      <c r="AL1164" s="298"/>
      <c r="AM1164" s="299"/>
      <c r="AN1164" s="299"/>
      <c r="AO1164" s="301"/>
      <c r="AP1164" s="301"/>
      <c r="AQ1164" s="426"/>
      <c r="AR1164" s="298"/>
      <c r="AS1164" s="299"/>
      <c r="AT1164" s="299"/>
      <c r="AU1164" s="301"/>
      <c r="AV1164" s="301"/>
      <c r="AW1164" s="91"/>
      <c r="AX1164" s="298"/>
      <c r="AY1164" s="299"/>
      <c r="AZ1164" s="299"/>
      <c r="BA1164" s="301"/>
      <c r="BB1164" s="301"/>
      <c r="BC1164" s="426"/>
      <c r="BD1164" s="298"/>
      <c r="BE1164" s="299"/>
      <c r="BF1164" s="299"/>
      <c r="BG1164" s="301"/>
      <c r="BH1164" s="301"/>
      <c r="BI1164" s="91"/>
      <c r="BJ1164" s="298"/>
      <c r="BK1164" s="299"/>
      <c r="BL1164" s="299"/>
      <c r="BM1164" s="301"/>
      <c r="BN1164" s="301"/>
      <c r="BO1164" s="91"/>
      <c r="BP1164" s="9"/>
      <c r="BS1164" s="81"/>
      <c r="BT1164" s="81"/>
      <c r="BV1164" s="9"/>
      <c r="BY1164" s="81"/>
      <c r="BZ1164" s="81"/>
      <c r="CB1164" s="9"/>
      <c r="CE1164" s="81"/>
      <c r="CF1164" s="81"/>
      <c r="CH1164" s="9"/>
      <c r="CK1164" s="81"/>
      <c r="CL1164" s="81"/>
      <c r="CR1164" s="9"/>
      <c r="CS1164" s="9"/>
      <c r="CT1164" s="9"/>
      <c r="CU1164" s="9"/>
      <c r="CV1164" s="9"/>
      <c r="CW1164" s="129"/>
      <c r="CX1164" s="9"/>
    </row>
    <row r="1165" spans="1:102">
      <c r="A1165" s="6" t="str">
        <f t="shared" si="181"/>
        <v>02320232</v>
      </c>
      <c r="B1165" s="6" t="s">
        <v>1882</v>
      </c>
      <c r="C1165" s="6" t="s">
        <v>1882</v>
      </c>
      <c r="D1165" s="6">
        <v>1156</v>
      </c>
      <c r="E1165" s="6">
        <v>232</v>
      </c>
      <c r="F1165" s="6" t="s">
        <v>1350</v>
      </c>
      <c r="G1165" s="6">
        <v>232</v>
      </c>
      <c r="H1165" s="6" t="s">
        <v>913</v>
      </c>
      <c r="I1165" s="33">
        <v>0</v>
      </c>
      <c r="J1165" s="88">
        <v>0</v>
      </c>
      <c r="K1165" s="89">
        <f>X1165</f>
        <v>0</v>
      </c>
      <c r="L1165" s="88">
        <f>IF(K1169&gt;0, K1165/K1169, 0)</f>
        <v>0</v>
      </c>
      <c r="M1165" s="58"/>
      <c r="N1165" s="9">
        <f>ROUND(M1169*L1165,0)</f>
        <v>0</v>
      </c>
      <c r="O1165" s="9">
        <v>0</v>
      </c>
      <c r="P1165" s="9">
        <f>N1165-O1165</f>
        <v>0</v>
      </c>
      <c r="Q1165" s="40">
        <f t="shared" si="179"/>
        <v>0</v>
      </c>
      <c r="R1165" s="9">
        <v>0</v>
      </c>
      <c r="S1165" s="9">
        <f t="shared" si="187"/>
        <v>0</v>
      </c>
      <c r="T1165" s="90">
        <f t="shared" si="182"/>
        <v>232</v>
      </c>
      <c r="U1165" s="90">
        <f t="shared" si="183"/>
        <v>232</v>
      </c>
      <c r="V1165" s="373">
        <f t="shared" si="184"/>
        <v>1156</v>
      </c>
      <c r="W1165" s="90">
        <f t="shared" si="185"/>
        <v>0</v>
      </c>
      <c r="X1165" s="90">
        <f t="shared" si="186"/>
        <v>0</v>
      </c>
      <c r="Y1165" s="141">
        <f t="shared" si="188"/>
        <v>1156</v>
      </c>
      <c r="Z1165" s="298">
        <v>232</v>
      </c>
      <c r="AA1165" s="299">
        <v>232</v>
      </c>
      <c r="AB1165" s="299">
        <v>1156</v>
      </c>
      <c r="AC1165" s="301">
        <v>0</v>
      </c>
      <c r="AD1165" s="301">
        <v>0</v>
      </c>
      <c r="AE1165" s="126"/>
      <c r="AF1165" s="298"/>
      <c r="AG1165" s="299"/>
      <c r="AH1165" s="299"/>
      <c r="AI1165" s="301"/>
      <c r="AJ1165" s="301"/>
      <c r="AK1165" s="426"/>
      <c r="AL1165" s="298"/>
      <c r="AM1165" s="299"/>
      <c r="AN1165" s="299"/>
      <c r="AO1165" s="301"/>
      <c r="AP1165" s="301"/>
      <c r="AQ1165" s="426"/>
      <c r="AR1165" s="298"/>
      <c r="AS1165" s="299"/>
      <c r="AT1165" s="299"/>
      <c r="AU1165" s="301"/>
      <c r="AV1165" s="301"/>
      <c r="AW1165" s="88"/>
      <c r="AX1165" s="298"/>
      <c r="AY1165" s="299"/>
      <c r="AZ1165" s="299"/>
      <c r="BA1165" s="301"/>
      <c r="BB1165" s="301"/>
      <c r="BC1165" s="426"/>
      <c r="BD1165" s="298"/>
      <c r="BE1165" s="299"/>
      <c r="BF1165" s="299"/>
      <c r="BG1165" s="301"/>
      <c r="BH1165" s="301"/>
      <c r="BI1165" s="88"/>
      <c r="BJ1165" s="298"/>
      <c r="BK1165" s="299"/>
      <c r="BL1165" s="299"/>
      <c r="BM1165" s="301"/>
      <c r="BN1165" s="301"/>
      <c r="BO1165" s="88"/>
      <c r="BP1165" s="9"/>
      <c r="BS1165" s="81"/>
      <c r="BT1165" s="81"/>
      <c r="BV1165" s="9"/>
      <c r="BY1165" s="81"/>
      <c r="BZ1165" s="81"/>
      <c r="CB1165" s="9"/>
      <c r="CE1165" s="81"/>
      <c r="CF1165" s="81"/>
      <c r="CH1165" s="9"/>
      <c r="CK1165" s="81"/>
      <c r="CL1165" s="81"/>
      <c r="CR1165" s="9"/>
      <c r="CS1165" s="9"/>
      <c r="CT1165" s="9"/>
      <c r="CU1165" s="9"/>
      <c r="CV1165" s="9"/>
      <c r="CW1165" s="129"/>
      <c r="CX1165" s="9"/>
    </row>
    <row r="1166" spans="1:102">
      <c r="A1166" s="6" t="str">
        <f t="shared" si="181"/>
        <v>02320735</v>
      </c>
      <c r="B1166" s="6" t="s">
        <v>1882</v>
      </c>
      <c r="C1166" s="6" t="s">
        <v>2045</v>
      </c>
      <c r="D1166" s="6">
        <v>1157</v>
      </c>
      <c r="E1166" s="6">
        <v>232</v>
      </c>
      <c r="F1166" s="6" t="s">
        <v>1350</v>
      </c>
      <c r="G1166" s="6">
        <v>735</v>
      </c>
      <c r="H1166" s="6" t="s">
        <v>1075</v>
      </c>
      <c r="I1166" s="33">
        <v>19803746.681728441</v>
      </c>
      <c r="J1166" s="88">
        <v>0.88057550528227369</v>
      </c>
      <c r="K1166" s="89">
        <f t="shared" si="180"/>
        <v>20060441.752641227</v>
      </c>
      <c r="L1166" s="88">
        <f>IF(K1169&gt;0, K1166/K1169, 0)</f>
        <v>0.87979104222835747</v>
      </c>
      <c r="M1166" s="58"/>
      <c r="N1166" s="9">
        <f>ROUND(M1169*L1166,0)</f>
        <v>11653324</v>
      </c>
      <c r="O1166" s="9">
        <v>11129499</v>
      </c>
      <c r="P1166" s="9">
        <f>N1166-O1166</f>
        <v>523825</v>
      </c>
      <c r="Q1166" s="40">
        <f t="shared" si="179"/>
        <v>4.7066359411146896</v>
      </c>
      <c r="R1166" s="9">
        <v>1511.9999999899201</v>
      </c>
      <c r="S1166" s="9">
        <f t="shared" si="187"/>
        <v>1493.82639108885</v>
      </c>
      <c r="T1166" s="90">
        <f t="shared" si="182"/>
        <v>232</v>
      </c>
      <c r="U1166" s="90">
        <f t="shared" si="183"/>
        <v>735</v>
      </c>
      <c r="V1166" s="373">
        <f t="shared" si="184"/>
        <v>1157</v>
      </c>
      <c r="W1166" s="90">
        <f t="shared" si="185"/>
        <v>1493.82639108885</v>
      </c>
      <c r="X1166" s="90">
        <f t="shared" si="186"/>
        <v>20060441.752641227</v>
      </c>
      <c r="Y1166" s="141">
        <f t="shared" si="188"/>
        <v>1157</v>
      </c>
      <c r="Z1166" s="298">
        <v>232</v>
      </c>
      <c r="AA1166" s="299">
        <v>735</v>
      </c>
      <c r="AB1166" s="299">
        <v>1157</v>
      </c>
      <c r="AC1166" s="301">
        <v>1493.82639108885</v>
      </c>
      <c r="AD1166" s="301">
        <v>20060441.752641227</v>
      </c>
      <c r="AE1166" s="126"/>
      <c r="AF1166" s="298"/>
      <c r="AG1166" s="299"/>
      <c r="AH1166" s="299"/>
      <c r="AI1166" s="301"/>
      <c r="AJ1166" s="301"/>
      <c r="AK1166" s="426"/>
      <c r="AL1166" s="298"/>
      <c r="AM1166" s="299"/>
      <c r="AN1166" s="299"/>
      <c r="AO1166" s="301"/>
      <c r="AP1166" s="301"/>
      <c r="AQ1166" s="426"/>
      <c r="AR1166" s="298"/>
      <c r="AS1166" s="299"/>
      <c r="AT1166" s="299"/>
      <c r="AU1166" s="301"/>
      <c r="AV1166" s="301"/>
      <c r="AW1166" s="88"/>
      <c r="AX1166" s="298"/>
      <c r="AY1166" s="299"/>
      <c r="AZ1166" s="299"/>
      <c r="BA1166" s="301"/>
      <c r="BB1166" s="301"/>
      <c r="BC1166" s="426"/>
      <c r="BD1166" s="298"/>
      <c r="BE1166" s="299"/>
      <c r="BF1166" s="299"/>
      <c r="BG1166" s="301"/>
      <c r="BH1166" s="301"/>
      <c r="BI1166" s="88"/>
      <c r="BJ1166" s="298"/>
      <c r="BK1166" s="299"/>
      <c r="BL1166" s="299"/>
      <c r="BM1166" s="301"/>
      <c r="BN1166" s="301"/>
      <c r="BO1166" s="88"/>
      <c r="BP1166" s="9"/>
      <c r="BS1166" s="81"/>
      <c r="BT1166" s="81"/>
      <c r="BV1166" s="9"/>
      <c r="BY1166" s="81"/>
      <c r="BZ1166" s="81"/>
      <c r="CB1166" s="9"/>
      <c r="CE1166" s="81"/>
      <c r="CF1166" s="81"/>
      <c r="CH1166" s="9"/>
      <c r="CK1166" s="81"/>
      <c r="CL1166" s="81"/>
      <c r="CR1166" s="9"/>
      <c r="CS1166" s="9"/>
      <c r="CT1166" s="9"/>
      <c r="CU1166" s="9"/>
      <c r="CV1166" s="9"/>
      <c r="CW1166" s="129"/>
      <c r="CX1166" s="9"/>
    </row>
    <row r="1167" spans="1:102">
      <c r="A1167" s="6" t="str">
        <f t="shared" si="181"/>
        <v>02320852</v>
      </c>
      <c r="B1167" s="6" t="s">
        <v>1882</v>
      </c>
      <c r="C1167" s="6" t="s">
        <v>2077</v>
      </c>
      <c r="D1167" s="6">
        <v>1158</v>
      </c>
      <c r="E1167" s="6">
        <v>232</v>
      </c>
      <c r="F1167" s="6" t="s">
        <v>1350</v>
      </c>
      <c r="G1167" s="6">
        <v>852</v>
      </c>
      <c r="H1167" s="6" t="s">
        <v>1107</v>
      </c>
      <c r="I1167" s="33">
        <v>2685803.1217040676</v>
      </c>
      <c r="J1167" s="88">
        <v>0.11942449471772627</v>
      </c>
      <c r="K1167" s="89">
        <f t="shared" si="180"/>
        <v>2740929.0158444592</v>
      </c>
      <c r="L1167" s="88">
        <f>IF(K1169&gt;0, K1167/K1169, 0)</f>
        <v>0.12020895777164248</v>
      </c>
      <c r="M1167" s="58"/>
      <c r="N1167" s="9">
        <f>ROUND(M1169*L1167,0)</f>
        <v>1592235</v>
      </c>
      <c r="O1167" s="9">
        <v>1509393</v>
      </c>
      <c r="P1167" s="9">
        <f>N1167-O1167</f>
        <v>82842</v>
      </c>
      <c r="Q1167" s="40">
        <f t="shared" si="179"/>
        <v>5.4884314423082659</v>
      </c>
      <c r="R1167" s="9">
        <v>132.00000000329999</v>
      </c>
      <c r="S1167" s="9">
        <f t="shared" si="187"/>
        <v>132.99999999956</v>
      </c>
      <c r="T1167" s="90">
        <f t="shared" si="182"/>
        <v>232</v>
      </c>
      <c r="U1167" s="90">
        <f t="shared" si="183"/>
        <v>852</v>
      </c>
      <c r="V1167" s="373">
        <f t="shared" si="184"/>
        <v>1158</v>
      </c>
      <c r="W1167" s="90">
        <f t="shared" si="185"/>
        <v>132.99999999956</v>
      </c>
      <c r="X1167" s="90">
        <f t="shared" si="186"/>
        <v>2740929.0158444592</v>
      </c>
      <c r="Y1167" s="141">
        <f t="shared" si="188"/>
        <v>1158</v>
      </c>
      <c r="Z1167" s="298">
        <v>232</v>
      </c>
      <c r="AA1167" s="299">
        <v>852</v>
      </c>
      <c r="AB1167" s="299">
        <v>1158</v>
      </c>
      <c r="AC1167" s="301">
        <v>132.99999999956</v>
      </c>
      <c r="AD1167" s="301">
        <v>2740929.0158444592</v>
      </c>
      <c r="AE1167" s="126"/>
      <c r="AF1167" s="298"/>
      <c r="AG1167" s="299"/>
      <c r="AH1167" s="299"/>
      <c r="AI1167" s="301"/>
      <c r="AJ1167" s="301"/>
      <c r="AK1167" s="426"/>
      <c r="AL1167" s="298"/>
      <c r="AM1167" s="299"/>
      <c r="AN1167" s="299"/>
      <c r="AO1167" s="301"/>
      <c r="AP1167" s="301"/>
      <c r="AQ1167" s="426"/>
      <c r="AR1167" s="298"/>
      <c r="AS1167" s="299"/>
      <c r="AT1167" s="299"/>
      <c r="AU1167" s="301"/>
      <c r="AV1167" s="301"/>
      <c r="AW1167" s="88"/>
      <c r="AX1167" s="298"/>
      <c r="AY1167" s="299"/>
      <c r="AZ1167" s="299"/>
      <c r="BA1167" s="301"/>
      <c r="BB1167" s="301"/>
      <c r="BC1167" s="426"/>
      <c r="BD1167" s="298"/>
      <c r="BE1167" s="299"/>
      <c r="BF1167" s="299"/>
      <c r="BG1167" s="301"/>
      <c r="BH1167" s="301"/>
      <c r="BI1167" s="88"/>
      <c r="BJ1167" s="298"/>
      <c r="BK1167" s="299"/>
      <c r="BL1167" s="299"/>
      <c r="BM1167" s="301"/>
      <c r="BN1167" s="301"/>
      <c r="BO1167" s="88"/>
      <c r="BP1167" s="9"/>
      <c r="BS1167" s="81"/>
      <c r="BT1167" s="81"/>
      <c r="BV1167" s="9"/>
      <c r="BY1167" s="81"/>
      <c r="BZ1167" s="81"/>
      <c r="CB1167" s="9"/>
      <c r="CE1167" s="81"/>
      <c r="CF1167" s="81"/>
      <c r="CH1167" s="9"/>
      <c r="CK1167" s="81"/>
      <c r="CL1167" s="81"/>
      <c r="CR1167" s="9"/>
      <c r="CS1167" s="9"/>
      <c r="CT1167" s="9"/>
      <c r="CU1167" s="9"/>
      <c r="CV1167" s="9"/>
      <c r="CW1167" s="129"/>
      <c r="CX1167" s="9"/>
    </row>
    <row r="1168" spans="1:102">
      <c r="A1168" s="6" t="str">
        <f t="shared" si="181"/>
        <v>02320998</v>
      </c>
      <c r="B1168" s="6" t="s">
        <v>1882</v>
      </c>
      <c r="C1168" s="6" t="s">
        <v>2091</v>
      </c>
      <c r="D1168" s="6">
        <v>1159</v>
      </c>
      <c r="E1168" s="6">
        <v>232</v>
      </c>
      <c r="F1168" s="6" t="s">
        <v>1547</v>
      </c>
      <c r="G1168" s="6">
        <v>998</v>
      </c>
      <c r="H1168" s="6" t="s">
        <v>1547</v>
      </c>
      <c r="I1168" s="33">
        <v>0</v>
      </c>
      <c r="J1168" s="88">
        <v>0</v>
      </c>
      <c r="K1168" s="89">
        <f t="shared" si="180"/>
        <v>0</v>
      </c>
      <c r="L1168" s="88">
        <f>IF(K1169&gt;0, K1168/K1169, 0)</f>
        <v>0</v>
      </c>
      <c r="M1168" s="58"/>
      <c r="N1168" s="9">
        <f>ROUND(M1169*L1168,0)</f>
        <v>0</v>
      </c>
      <c r="O1168" s="9">
        <v>0</v>
      </c>
      <c r="P1168" s="9">
        <f>N1168-O1168</f>
        <v>0</v>
      </c>
      <c r="Q1168" s="40">
        <f>IF(O1168&gt;0,P1168*100/O1168,IF(P1168&gt;0,100,0))</f>
        <v>0</v>
      </c>
      <c r="R1168" s="9">
        <v>0</v>
      </c>
      <c r="S1168" s="9">
        <f t="shared" si="187"/>
        <v>0</v>
      </c>
      <c r="T1168" s="90">
        <f t="shared" si="182"/>
        <v>232</v>
      </c>
      <c r="U1168" s="90">
        <f t="shared" si="183"/>
        <v>998</v>
      </c>
      <c r="V1168" s="373">
        <f t="shared" si="184"/>
        <v>1159</v>
      </c>
      <c r="W1168" s="90">
        <f t="shared" si="185"/>
        <v>0</v>
      </c>
      <c r="X1168" s="90">
        <f t="shared" si="186"/>
        <v>0</v>
      </c>
      <c r="Y1168" s="141">
        <f t="shared" si="188"/>
        <v>1159</v>
      </c>
      <c r="Z1168" s="298">
        <v>232</v>
      </c>
      <c r="AA1168" s="299">
        <v>998</v>
      </c>
      <c r="AB1168" s="299">
        <v>1159</v>
      </c>
      <c r="AC1168" s="301">
        <v>0</v>
      </c>
      <c r="AD1168" s="301">
        <v>0</v>
      </c>
      <c r="AE1168" s="126"/>
      <c r="AF1168" s="298"/>
      <c r="AG1168" s="299"/>
      <c r="AH1168" s="299"/>
      <c r="AI1168" s="301"/>
      <c r="AJ1168" s="301"/>
      <c r="AK1168" s="426"/>
      <c r="AL1168" s="298"/>
      <c r="AM1168" s="299"/>
      <c r="AN1168" s="299"/>
      <c r="AO1168" s="301"/>
      <c r="AP1168" s="301"/>
      <c r="AQ1168" s="426"/>
      <c r="AR1168" s="298"/>
      <c r="AS1168" s="299"/>
      <c r="AT1168" s="299"/>
      <c r="AU1168" s="301"/>
      <c r="AV1168" s="301"/>
      <c r="AW1168" s="88"/>
      <c r="AX1168" s="298"/>
      <c r="AY1168" s="299"/>
      <c r="AZ1168" s="299"/>
      <c r="BA1168" s="301"/>
      <c r="BB1168" s="301"/>
      <c r="BC1168" s="426"/>
      <c r="BD1168" s="298"/>
      <c r="BE1168" s="299"/>
      <c r="BF1168" s="299"/>
      <c r="BG1168" s="301"/>
      <c r="BH1168" s="301"/>
      <c r="BI1168" s="88"/>
      <c r="BJ1168" s="298"/>
      <c r="BK1168" s="299"/>
      <c r="BL1168" s="299"/>
      <c r="BM1168" s="301"/>
      <c r="BN1168" s="301"/>
      <c r="BO1168" s="88"/>
      <c r="BP1168" s="9"/>
      <c r="BS1168" s="81"/>
      <c r="BT1168" s="81"/>
      <c r="BV1168" s="9"/>
      <c r="BY1168" s="81"/>
      <c r="BZ1168" s="81"/>
      <c r="CB1168" s="9"/>
      <c r="CE1168" s="81"/>
      <c r="CF1168" s="81"/>
      <c r="CH1168" s="9"/>
      <c r="CK1168" s="81"/>
      <c r="CL1168" s="81"/>
      <c r="CR1168" s="9"/>
      <c r="CS1168" s="9"/>
      <c r="CT1168" s="9"/>
      <c r="CU1168" s="9"/>
      <c r="CV1168" s="9"/>
      <c r="CW1168" s="129"/>
      <c r="CX1168" s="9"/>
    </row>
    <row r="1169" spans="1:102">
      <c r="A1169" s="6" t="str">
        <f t="shared" si="181"/>
        <v>02320999</v>
      </c>
      <c r="B1169" s="6" t="s">
        <v>1882</v>
      </c>
      <c r="C1169" s="6" t="s">
        <v>2092</v>
      </c>
      <c r="D1169" s="6">
        <v>1160</v>
      </c>
      <c r="E1169" s="10">
        <v>232</v>
      </c>
      <c r="F1169" s="10" t="s">
        <v>1350</v>
      </c>
      <c r="G1169" s="10">
        <v>999</v>
      </c>
      <c r="H1169" s="10" t="s">
        <v>593</v>
      </c>
      <c r="I1169" s="92">
        <v>22489549.803432509</v>
      </c>
      <c r="J1169" s="472">
        <v>1</v>
      </c>
      <c r="K1169" s="53">
        <f>SUM(K1165:K1168)</f>
        <v>22801370.768485688</v>
      </c>
      <c r="L1169" s="91">
        <f>SUM(L1165:L1168)</f>
        <v>1</v>
      </c>
      <c r="M1169" s="79">
        <f>VLOOKUP(E1169,town351,24)</f>
        <v>13245559</v>
      </c>
      <c r="N1169" s="79">
        <f>SUM(N1165:N1168)</f>
        <v>13245559</v>
      </c>
      <c r="O1169" s="79">
        <v>12638892</v>
      </c>
      <c r="P1169" s="79">
        <f>SUM(P1165:P1168)</f>
        <v>606667</v>
      </c>
      <c r="Q1169" s="39">
        <f t="shared" ref="Q1169:Q1231" si="189">IF(O1169&gt;0,P1169*100/O1169,IF(P1169&gt;0,100,0))</f>
        <v>4.8000014558238178</v>
      </c>
      <c r="R1169" s="9">
        <v>1643.9999999932202</v>
      </c>
      <c r="S1169" s="9">
        <f t="shared" si="187"/>
        <v>1626.82639108841</v>
      </c>
      <c r="T1169" s="90">
        <f t="shared" si="182"/>
        <v>232</v>
      </c>
      <c r="U1169" s="90">
        <f t="shared" si="183"/>
        <v>999</v>
      </c>
      <c r="V1169" s="373">
        <f t="shared" si="184"/>
        <v>1160</v>
      </c>
      <c r="W1169" s="90">
        <f t="shared" si="185"/>
        <v>1626.82639108841</v>
      </c>
      <c r="X1169" s="90">
        <f t="shared" si="186"/>
        <v>22801370.768485688</v>
      </c>
      <c r="Y1169" s="141">
        <f t="shared" si="188"/>
        <v>1160</v>
      </c>
      <c r="Z1169" s="298">
        <v>232</v>
      </c>
      <c r="AA1169" s="299">
        <v>999</v>
      </c>
      <c r="AB1169" s="299">
        <v>1160</v>
      </c>
      <c r="AC1169" s="301">
        <v>1626.82639108841</v>
      </c>
      <c r="AD1169" s="301">
        <v>22801370.768485688</v>
      </c>
      <c r="AE1169" s="126"/>
      <c r="AF1169" s="298"/>
      <c r="AG1169" s="299"/>
      <c r="AH1169" s="299"/>
      <c r="AI1169" s="301"/>
      <c r="AJ1169" s="301"/>
      <c r="AK1169" s="426"/>
      <c r="AL1169" s="298"/>
      <c r="AM1169" s="299"/>
      <c r="AN1169" s="299"/>
      <c r="AO1169" s="301"/>
      <c r="AP1169" s="301"/>
      <c r="AQ1169" s="426"/>
      <c r="AR1169" s="298"/>
      <c r="AS1169" s="299"/>
      <c r="AT1169" s="299"/>
      <c r="AU1169" s="301"/>
      <c r="AV1169" s="301"/>
      <c r="AW1169" s="91"/>
      <c r="AX1169" s="298"/>
      <c r="AY1169" s="299"/>
      <c r="AZ1169" s="299"/>
      <c r="BA1169" s="301"/>
      <c r="BB1169" s="301"/>
      <c r="BC1169" s="426"/>
      <c r="BD1169" s="298"/>
      <c r="BE1169" s="299"/>
      <c r="BF1169" s="299"/>
      <c r="BG1169" s="301"/>
      <c r="BH1169" s="301"/>
      <c r="BI1169" s="91"/>
      <c r="BJ1169" s="298"/>
      <c r="BK1169" s="299"/>
      <c r="BL1169" s="299"/>
      <c r="BM1169" s="301"/>
      <c r="BN1169" s="301"/>
      <c r="BO1169" s="91"/>
      <c r="BP1169" s="9"/>
      <c r="BS1169" s="81"/>
      <c r="BT1169" s="81"/>
      <c r="BV1169" s="9"/>
      <c r="BY1169" s="81"/>
      <c r="BZ1169" s="81"/>
      <c r="CB1169" s="9"/>
      <c r="CE1169" s="81"/>
      <c r="CF1169" s="81"/>
      <c r="CH1169" s="9"/>
      <c r="CK1169" s="81"/>
      <c r="CL1169" s="81"/>
      <c r="CR1169" s="9"/>
      <c r="CS1169" s="9"/>
      <c r="CT1169" s="9"/>
      <c r="CU1169" s="9"/>
      <c r="CV1169" s="9"/>
      <c r="CW1169" s="129"/>
      <c r="CX1169" s="9"/>
    </row>
    <row r="1170" spans="1:102">
      <c r="A1170" s="6" t="str">
        <f t="shared" si="181"/>
        <v>02330233</v>
      </c>
      <c r="B1170" s="6" t="s">
        <v>1883</v>
      </c>
      <c r="C1170" s="6" t="s">
        <v>1883</v>
      </c>
      <c r="D1170" s="6">
        <v>1161</v>
      </c>
      <c r="E1170" s="6">
        <v>233</v>
      </c>
      <c r="F1170" s="6" t="s">
        <v>1351</v>
      </c>
      <c r="G1170" s="6">
        <v>233</v>
      </c>
      <c r="H1170" s="6" t="s">
        <v>914</v>
      </c>
      <c r="I1170" s="33">
        <v>164907.6</v>
      </c>
      <c r="J1170" s="88">
        <v>0.11636572930411181</v>
      </c>
      <c r="K1170" s="89">
        <f>X1170</f>
        <v>134882.64000000001</v>
      </c>
      <c r="L1170" s="88">
        <f>IF(K1174&gt;0, K1170/K1174, 0)</f>
        <v>9.0996032016719172E-2</v>
      </c>
      <c r="M1170" s="58"/>
      <c r="N1170" s="9">
        <f>ROUND(M1174*L1170,0)</f>
        <v>60567</v>
      </c>
      <c r="O1170" s="9">
        <v>73878</v>
      </c>
      <c r="P1170" s="9">
        <f>N1170-O1170</f>
        <v>-13311</v>
      </c>
      <c r="Q1170" s="40">
        <f t="shared" si="189"/>
        <v>-18.017542434824982</v>
      </c>
      <c r="R1170" s="9">
        <v>10</v>
      </c>
      <c r="S1170" s="9">
        <f t="shared" si="187"/>
        <v>8</v>
      </c>
      <c r="T1170" s="90">
        <f t="shared" si="182"/>
        <v>233</v>
      </c>
      <c r="U1170" s="90">
        <f t="shared" si="183"/>
        <v>233</v>
      </c>
      <c r="V1170" s="373">
        <f t="shared" si="184"/>
        <v>1161</v>
      </c>
      <c r="W1170" s="90">
        <f t="shared" si="185"/>
        <v>8</v>
      </c>
      <c r="X1170" s="90">
        <f t="shared" si="186"/>
        <v>134882.64000000001</v>
      </c>
      <c r="Y1170" s="141">
        <f t="shared" si="188"/>
        <v>1161</v>
      </c>
      <c r="Z1170" s="298">
        <v>233</v>
      </c>
      <c r="AA1170" s="299">
        <v>233</v>
      </c>
      <c r="AB1170" s="299">
        <v>1161</v>
      </c>
      <c r="AC1170" s="301">
        <v>8</v>
      </c>
      <c r="AD1170" s="301">
        <v>134882.64000000001</v>
      </c>
      <c r="AE1170" s="126"/>
      <c r="AF1170" s="298"/>
      <c r="AG1170" s="299"/>
      <c r="AH1170" s="299"/>
      <c r="AI1170" s="301"/>
      <c r="AJ1170" s="301"/>
      <c r="AK1170" s="426"/>
      <c r="AL1170" s="298"/>
      <c r="AM1170" s="299"/>
      <c r="AN1170" s="299"/>
      <c r="AO1170" s="301"/>
      <c r="AP1170" s="301"/>
      <c r="AQ1170" s="426"/>
      <c r="AR1170" s="298"/>
      <c r="AS1170" s="299"/>
      <c r="AT1170" s="299"/>
      <c r="AU1170" s="301"/>
      <c r="AV1170" s="301"/>
      <c r="AW1170" s="88"/>
      <c r="AX1170" s="298"/>
      <c r="AY1170" s="299"/>
      <c r="AZ1170" s="299"/>
      <c r="BA1170" s="301"/>
      <c r="BB1170" s="301"/>
      <c r="BC1170" s="426"/>
      <c r="BD1170" s="298"/>
      <c r="BE1170" s="299"/>
      <c r="BF1170" s="299"/>
      <c r="BG1170" s="301"/>
      <c r="BH1170" s="301"/>
      <c r="BI1170" s="88"/>
      <c r="BJ1170" s="298"/>
      <c r="BK1170" s="299"/>
      <c r="BL1170" s="299"/>
      <c r="BM1170" s="301"/>
      <c r="BN1170" s="301"/>
      <c r="BO1170" s="88"/>
      <c r="BP1170" s="9"/>
      <c r="BS1170" s="81"/>
      <c r="BT1170" s="81"/>
      <c r="BV1170" s="9"/>
      <c r="BY1170" s="81"/>
      <c r="BZ1170" s="81"/>
      <c r="CB1170" s="9"/>
      <c r="CE1170" s="81"/>
      <c r="CF1170" s="81"/>
      <c r="CH1170" s="9"/>
      <c r="CK1170" s="81"/>
      <c r="CL1170" s="81"/>
      <c r="CR1170" s="9"/>
      <c r="CS1170" s="9"/>
      <c r="CT1170" s="9"/>
      <c r="CU1170" s="9"/>
      <c r="CV1170" s="9"/>
      <c r="CW1170" s="129"/>
      <c r="CX1170" s="9"/>
    </row>
    <row r="1171" spans="1:102">
      <c r="A1171" s="6" t="str">
        <f t="shared" si="181"/>
        <v>02330635</v>
      </c>
      <c r="B1171" s="6" t="s">
        <v>1883</v>
      </c>
      <c r="C1171" s="6" t="s">
        <v>2015</v>
      </c>
      <c r="D1171" s="6">
        <v>1162</v>
      </c>
      <c r="E1171" s="6">
        <v>233</v>
      </c>
      <c r="F1171" s="6" t="s">
        <v>1351</v>
      </c>
      <c r="G1171" s="6">
        <v>635</v>
      </c>
      <c r="H1171" s="6" t="s">
        <v>1045</v>
      </c>
      <c r="I1171" s="33">
        <v>1252241.5983608696</v>
      </c>
      <c r="J1171" s="88">
        <v>0.88363427069588818</v>
      </c>
      <c r="K1171" s="89">
        <f t="shared" si="180"/>
        <v>1347408.807337147</v>
      </c>
      <c r="L1171" s="88">
        <f>IF(K1174&gt;0, K1171/K1174, 0)</f>
        <v>0.90900396798328087</v>
      </c>
      <c r="M1171" s="58"/>
      <c r="N1171" s="9">
        <f>ROUND(M1174*L1171,0)</f>
        <v>605035</v>
      </c>
      <c r="O1171" s="9">
        <v>560996</v>
      </c>
      <c r="P1171" s="9">
        <f>N1171-O1171</f>
        <v>44039</v>
      </c>
      <c r="Q1171" s="40">
        <f t="shared" si="189"/>
        <v>7.8501450990737904</v>
      </c>
      <c r="R1171" s="9">
        <v>87.556132385840002</v>
      </c>
      <c r="S1171" s="9">
        <f t="shared" si="187"/>
        <v>91.56185566648</v>
      </c>
      <c r="T1171" s="90">
        <f t="shared" si="182"/>
        <v>233</v>
      </c>
      <c r="U1171" s="90">
        <f t="shared" si="183"/>
        <v>635</v>
      </c>
      <c r="V1171" s="373">
        <f t="shared" si="184"/>
        <v>1162</v>
      </c>
      <c r="W1171" s="90">
        <f t="shared" si="185"/>
        <v>91.56185566648</v>
      </c>
      <c r="X1171" s="90">
        <f t="shared" si="186"/>
        <v>1347408.807337147</v>
      </c>
      <c r="Y1171" s="141">
        <f t="shared" si="188"/>
        <v>1162</v>
      </c>
      <c r="Z1171" s="298">
        <v>233</v>
      </c>
      <c r="AA1171" s="299">
        <v>635</v>
      </c>
      <c r="AB1171" s="299">
        <v>1162</v>
      </c>
      <c r="AC1171" s="301">
        <v>91.56185566648</v>
      </c>
      <c r="AD1171" s="301">
        <v>1347408.807337147</v>
      </c>
      <c r="AE1171" s="126"/>
      <c r="AF1171" s="298"/>
      <c r="AG1171" s="299"/>
      <c r="AH1171" s="299"/>
      <c r="AI1171" s="301"/>
      <c r="AJ1171" s="301"/>
      <c r="AK1171" s="426"/>
      <c r="AL1171" s="298"/>
      <c r="AM1171" s="299"/>
      <c r="AN1171" s="299"/>
      <c r="AO1171" s="301"/>
      <c r="AP1171" s="301"/>
      <c r="AQ1171" s="426"/>
      <c r="AR1171" s="298"/>
      <c r="AS1171" s="299"/>
      <c r="AT1171" s="299"/>
      <c r="AU1171" s="301"/>
      <c r="AV1171" s="301"/>
      <c r="AW1171" s="88"/>
      <c r="AX1171" s="298"/>
      <c r="AY1171" s="299"/>
      <c r="AZ1171" s="299"/>
      <c r="BA1171" s="301"/>
      <c r="BB1171" s="301"/>
      <c r="BC1171" s="426"/>
      <c r="BD1171" s="298"/>
      <c r="BE1171" s="299"/>
      <c r="BF1171" s="299"/>
      <c r="BG1171" s="301"/>
      <c r="BH1171" s="301"/>
      <c r="BI1171" s="88"/>
      <c r="BJ1171" s="298"/>
      <c r="BK1171" s="299"/>
      <c r="BL1171" s="299"/>
      <c r="BM1171" s="301"/>
      <c r="BN1171" s="301"/>
      <c r="BO1171" s="88"/>
      <c r="BP1171" s="9"/>
      <c r="BS1171" s="81"/>
      <c r="BT1171" s="81"/>
      <c r="BV1171" s="9"/>
      <c r="BY1171" s="81"/>
      <c r="BZ1171" s="81"/>
      <c r="CB1171" s="9"/>
      <c r="CE1171" s="81"/>
      <c r="CF1171" s="81"/>
      <c r="CH1171" s="9"/>
      <c r="CK1171" s="81"/>
      <c r="CL1171" s="81"/>
      <c r="CR1171" s="9"/>
      <c r="CS1171" s="9"/>
      <c r="CT1171" s="9"/>
      <c r="CU1171" s="9"/>
      <c r="CV1171" s="9"/>
      <c r="CW1171" s="129"/>
      <c r="CX1171" s="9"/>
    </row>
    <row r="1172" spans="1:102">
      <c r="A1172" s="6" t="str">
        <f t="shared" si="181"/>
        <v>02330998</v>
      </c>
      <c r="B1172" s="6" t="s">
        <v>1883</v>
      </c>
      <c r="C1172" s="6" t="s">
        <v>2091</v>
      </c>
      <c r="D1172" s="6">
        <v>1163</v>
      </c>
      <c r="E1172" s="6">
        <v>233</v>
      </c>
      <c r="F1172" s="6" t="s">
        <v>1547</v>
      </c>
      <c r="G1172" s="6">
        <v>998</v>
      </c>
      <c r="H1172" s="6" t="s">
        <v>1547</v>
      </c>
      <c r="I1172" s="33">
        <v>0</v>
      </c>
      <c r="J1172" s="88">
        <v>0</v>
      </c>
      <c r="K1172" s="89">
        <f t="shared" si="180"/>
        <v>0</v>
      </c>
      <c r="L1172" s="88">
        <f>IF(K1174&gt;0, K1172/K1174, 0)</f>
        <v>0</v>
      </c>
      <c r="M1172" s="58"/>
      <c r="N1172" s="9">
        <f>ROUND(M1174*L1172,0)</f>
        <v>0</v>
      </c>
      <c r="O1172" s="9">
        <v>0</v>
      </c>
      <c r="P1172" s="9">
        <f>N1172-O1172</f>
        <v>0</v>
      </c>
      <c r="Q1172" s="40">
        <f t="shared" si="189"/>
        <v>0</v>
      </c>
      <c r="R1172" s="9">
        <v>0</v>
      </c>
      <c r="S1172" s="9">
        <f t="shared" si="187"/>
        <v>0</v>
      </c>
      <c r="T1172" s="90">
        <f t="shared" si="182"/>
        <v>233</v>
      </c>
      <c r="U1172" s="90">
        <f t="shared" si="183"/>
        <v>998</v>
      </c>
      <c r="V1172" s="373">
        <f t="shared" si="184"/>
        <v>1163</v>
      </c>
      <c r="W1172" s="90">
        <f t="shared" si="185"/>
        <v>0</v>
      </c>
      <c r="X1172" s="90">
        <f t="shared" si="186"/>
        <v>0</v>
      </c>
      <c r="Y1172" s="141">
        <f t="shared" si="188"/>
        <v>1163</v>
      </c>
      <c r="Z1172" s="298">
        <v>233</v>
      </c>
      <c r="AA1172" s="299">
        <v>998</v>
      </c>
      <c r="AB1172" s="299">
        <v>1163</v>
      </c>
      <c r="AC1172" s="301">
        <v>0</v>
      </c>
      <c r="AD1172" s="301">
        <v>0</v>
      </c>
      <c r="AE1172" s="126"/>
      <c r="AF1172" s="298"/>
      <c r="AG1172" s="299"/>
      <c r="AH1172" s="299"/>
      <c r="AI1172" s="301"/>
      <c r="AJ1172" s="301"/>
      <c r="AK1172" s="426"/>
      <c r="AL1172" s="298"/>
      <c r="AM1172" s="299"/>
      <c r="AN1172" s="299"/>
      <c r="AO1172" s="301"/>
      <c r="AP1172" s="301"/>
      <c r="AQ1172" s="426"/>
      <c r="AR1172" s="298"/>
      <c r="AS1172" s="299"/>
      <c r="AT1172" s="299"/>
      <c r="AU1172" s="301"/>
      <c r="AV1172" s="301"/>
      <c r="AW1172" s="88"/>
      <c r="AX1172" s="298"/>
      <c r="AY1172" s="299"/>
      <c r="AZ1172" s="299"/>
      <c r="BA1172" s="301"/>
      <c r="BB1172" s="301"/>
      <c r="BC1172" s="426"/>
      <c r="BD1172" s="298"/>
      <c r="BE1172" s="299"/>
      <c r="BF1172" s="299"/>
      <c r="BG1172" s="301"/>
      <c r="BH1172" s="301"/>
      <c r="BI1172" s="88"/>
      <c r="BJ1172" s="298"/>
      <c r="BK1172" s="299"/>
      <c r="BL1172" s="299"/>
      <c r="BM1172" s="301"/>
      <c r="BN1172" s="301"/>
      <c r="BO1172" s="88"/>
      <c r="BP1172" s="9"/>
      <c r="BS1172" s="81"/>
      <c r="BT1172" s="81"/>
      <c r="BV1172" s="9"/>
      <c r="BY1172" s="81"/>
      <c r="BZ1172" s="81"/>
      <c r="CB1172" s="9"/>
      <c r="CE1172" s="81"/>
      <c r="CF1172" s="81"/>
      <c r="CH1172" s="9"/>
      <c r="CK1172" s="81"/>
      <c r="CL1172" s="81"/>
      <c r="CR1172" s="9"/>
      <c r="CS1172" s="9"/>
      <c r="CT1172" s="9"/>
      <c r="CU1172" s="9"/>
      <c r="CV1172" s="9"/>
      <c r="CW1172" s="129"/>
      <c r="CX1172" s="9"/>
    </row>
    <row r="1173" spans="1:102">
      <c r="A1173" s="6" t="str">
        <f t="shared" si="181"/>
        <v>02330998</v>
      </c>
      <c r="B1173" s="6" t="s">
        <v>1883</v>
      </c>
      <c r="C1173" s="6" t="s">
        <v>2091</v>
      </c>
      <c r="D1173" s="6">
        <v>1164</v>
      </c>
      <c r="E1173" s="6">
        <v>233</v>
      </c>
      <c r="F1173" s="6" t="s">
        <v>1547</v>
      </c>
      <c r="G1173" s="6">
        <v>998</v>
      </c>
      <c r="H1173" s="6" t="s">
        <v>1547</v>
      </c>
      <c r="I1173" s="33">
        <v>0</v>
      </c>
      <c r="J1173" s="88">
        <v>0</v>
      </c>
      <c r="K1173" s="89">
        <f t="shared" si="180"/>
        <v>0</v>
      </c>
      <c r="L1173" s="88">
        <f>IF(K1174&gt;0, K1173/K1174, 0)</f>
        <v>0</v>
      </c>
      <c r="M1173" s="58"/>
      <c r="N1173" s="9">
        <f>ROUND(M1174*L1173,0)</f>
        <v>0</v>
      </c>
      <c r="O1173" s="9">
        <v>0</v>
      </c>
      <c r="P1173" s="9">
        <f>N1173-O1173</f>
        <v>0</v>
      </c>
      <c r="Q1173" s="40">
        <f t="shared" si="189"/>
        <v>0</v>
      </c>
      <c r="R1173" s="9">
        <v>0</v>
      </c>
      <c r="S1173" s="9">
        <f t="shared" si="187"/>
        <v>0</v>
      </c>
      <c r="T1173" s="90">
        <f t="shared" si="182"/>
        <v>233</v>
      </c>
      <c r="U1173" s="90">
        <f t="shared" si="183"/>
        <v>998</v>
      </c>
      <c r="V1173" s="373">
        <f t="shared" si="184"/>
        <v>1164</v>
      </c>
      <c r="W1173" s="90">
        <f t="shared" si="185"/>
        <v>0</v>
      </c>
      <c r="X1173" s="90">
        <f t="shared" si="186"/>
        <v>0</v>
      </c>
      <c r="Y1173" s="141">
        <f t="shared" si="188"/>
        <v>1164</v>
      </c>
      <c r="Z1173" s="298">
        <v>233</v>
      </c>
      <c r="AA1173" s="299">
        <v>998</v>
      </c>
      <c r="AB1173" s="299">
        <v>1164</v>
      </c>
      <c r="AC1173" s="301">
        <v>0</v>
      </c>
      <c r="AD1173" s="301">
        <v>0</v>
      </c>
      <c r="AE1173" s="126"/>
      <c r="AF1173" s="298"/>
      <c r="AG1173" s="299"/>
      <c r="AH1173" s="299"/>
      <c r="AI1173" s="301"/>
      <c r="AJ1173" s="301"/>
      <c r="AK1173" s="426"/>
      <c r="AL1173" s="298"/>
      <c r="AM1173" s="299"/>
      <c r="AN1173" s="299"/>
      <c r="AO1173" s="301"/>
      <c r="AP1173" s="301"/>
      <c r="AQ1173" s="426"/>
      <c r="AR1173" s="298"/>
      <c r="AS1173" s="299"/>
      <c r="AT1173" s="299"/>
      <c r="AU1173" s="301"/>
      <c r="AV1173" s="301"/>
      <c r="AW1173" s="88"/>
      <c r="AX1173" s="298"/>
      <c r="AY1173" s="299"/>
      <c r="AZ1173" s="299"/>
      <c r="BA1173" s="301"/>
      <c r="BB1173" s="301"/>
      <c r="BC1173" s="426"/>
      <c r="BD1173" s="298"/>
      <c r="BE1173" s="299"/>
      <c r="BF1173" s="299"/>
      <c r="BG1173" s="301"/>
      <c r="BH1173" s="301"/>
      <c r="BI1173" s="88"/>
      <c r="BJ1173" s="298"/>
      <c r="BK1173" s="299"/>
      <c r="BL1173" s="299"/>
      <c r="BM1173" s="301"/>
      <c r="BN1173" s="301"/>
      <c r="BO1173" s="88"/>
      <c r="BP1173" s="9"/>
      <c r="BS1173" s="81"/>
      <c r="BT1173" s="81"/>
      <c r="BV1173" s="9"/>
      <c r="BY1173" s="81"/>
      <c r="BZ1173" s="81"/>
      <c r="CB1173" s="9"/>
      <c r="CE1173" s="81"/>
      <c r="CF1173" s="81"/>
      <c r="CH1173" s="9"/>
      <c r="CK1173" s="81"/>
      <c r="CL1173" s="81"/>
      <c r="CR1173" s="9"/>
      <c r="CS1173" s="9"/>
      <c r="CT1173" s="9"/>
      <c r="CU1173" s="9"/>
      <c r="CV1173" s="9"/>
      <c r="CW1173" s="129"/>
      <c r="CX1173" s="9"/>
    </row>
    <row r="1174" spans="1:102">
      <c r="A1174" s="6" t="str">
        <f t="shared" si="181"/>
        <v>02330999</v>
      </c>
      <c r="B1174" s="6" t="s">
        <v>1883</v>
      </c>
      <c r="C1174" s="6" t="s">
        <v>2092</v>
      </c>
      <c r="D1174" s="6">
        <v>1165</v>
      </c>
      <c r="E1174" s="10">
        <v>233</v>
      </c>
      <c r="F1174" s="10" t="s">
        <v>1351</v>
      </c>
      <c r="G1174" s="10">
        <v>999</v>
      </c>
      <c r="H1174" s="10" t="s">
        <v>593</v>
      </c>
      <c r="I1174" s="92">
        <v>1417149.1983608697</v>
      </c>
      <c r="J1174" s="472">
        <v>1</v>
      </c>
      <c r="K1174" s="53">
        <f>SUM(K1170:K1173)</f>
        <v>1482291.4473371468</v>
      </c>
      <c r="L1174" s="91">
        <f>SUM(L1170:L1173)</f>
        <v>1</v>
      </c>
      <c r="M1174" s="79">
        <f>VLOOKUP(E1174,town351,24)</f>
        <v>665602</v>
      </c>
      <c r="N1174" s="79">
        <f>SUM(N1170:N1173)</f>
        <v>665602</v>
      </c>
      <c r="O1174" s="79">
        <v>634874</v>
      </c>
      <c r="P1174" s="79">
        <f>SUM(P1170:P1173)</f>
        <v>30728</v>
      </c>
      <c r="Q1174" s="39">
        <f t="shared" si="189"/>
        <v>4.8400154991384117</v>
      </c>
      <c r="R1174" s="9">
        <v>97.556132385840002</v>
      </c>
      <c r="S1174" s="9">
        <f t="shared" si="187"/>
        <v>99.56185566648</v>
      </c>
      <c r="T1174" s="90">
        <f t="shared" si="182"/>
        <v>233</v>
      </c>
      <c r="U1174" s="90">
        <f t="shared" si="183"/>
        <v>999</v>
      </c>
      <c r="V1174" s="373">
        <f t="shared" si="184"/>
        <v>1165</v>
      </c>
      <c r="W1174" s="90">
        <f t="shared" si="185"/>
        <v>99.56185566648</v>
      </c>
      <c r="X1174" s="90">
        <f t="shared" si="186"/>
        <v>1482291.4473371468</v>
      </c>
      <c r="Y1174" s="141">
        <f t="shared" si="188"/>
        <v>1165</v>
      </c>
      <c r="Z1174" s="298">
        <v>233</v>
      </c>
      <c r="AA1174" s="299">
        <v>999</v>
      </c>
      <c r="AB1174" s="299">
        <v>1165</v>
      </c>
      <c r="AC1174" s="301">
        <v>99.56185566648</v>
      </c>
      <c r="AD1174" s="301">
        <v>1482291.4473371468</v>
      </c>
      <c r="AE1174" s="126"/>
      <c r="AF1174" s="298"/>
      <c r="AG1174" s="299"/>
      <c r="AH1174" s="299"/>
      <c r="AI1174" s="301"/>
      <c r="AJ1174" s="301"/>
      <c r="AK1174" s="426"/>
      <c r="AL1174" s="298"/>
      <c r="AM1174" s="299"/>
      <c r="AN1174" s="299"/>
      <c r="AO1174" s="301"/>
      <c r="AP1174" s="301"/>
      <c r="AQ1174" s="426"/>
      <c r="AR1174" s="298"/>
      <c r="AS1174" s="299"/>
      <c r="AT1174" s="299"/>
      <c r="AU1174" s="301"/>
      <c r="AV1174" s="301"/>
      <c r="AW1174" s="91"/>
      <c r="AX1174" s="298"/>
      <c r="AY1174" s="299"/>
      <c r="AZ1174" s="299"/>
      <c r="BA1174" s="301"/>
      <c r="BB1174" s="301"/>
      <c r="BC1174" s="426"/>
      <c r="BD1174" s="298"/>
      <c r="BE1174" s="299"/>
      <c r="BF1174" s="299"/>
      <c r="BG1174" s="301"/>
      <c r="BH1174" s="301"/>
      <c r="BI1174" s="91"/>
      <c r="BJ1174" s="298"/>
      <c r="BK1174" s="299"/>
      <c r="BL1174" s="299"/>
      <c r="BM1174" s="301"/>
      <c r="BN1174" s="301"/>
      <c r="BO1174" s="91"/>
      <c r="BP1174" s="9"/>
      <c r="BS1174" s="81"/>
      <c r="BT1174" s="81"/>
      <c r="BV1174" s="9"/>
      <c r="BY1174" s="81"/>
      <c r="BZ1174" s="81"/>
      <c r="CB1174" s="9"/>
      <c r="CE1174" s="81"/>
      <c r="CF1174" s="81"/>
      <c r="CH1174" s="9"/>
      <c r="CK1174" s="81"/>
      <c r="CL1174" s="81"/>
      <c r="CR1174" s="9"/>
      <c r="CS1174" s="9"/>
      <c r="CT1174" s="9"/>
      <c r="CU1174" s="9"/>
      <c r="CV1174" s="9"/>
      <c r="CW1174" s="129"/>
      <c r="CX1174" s="9"/>
    </row>
    <row r="1175" spans="1:102">
      <c r="A1175" s="6" t="str">
        <f t="shared" si="181"/>
        <v>02340234</v>
      </c>
      <c r="B1175" s="6" t="s">
        <v>1884</v>
      </c>
      <c r="C1175" s="6" t="s">
        <v>1884</v>
      </c>
      <c r="D1175" s="6">
        <v>1166</v>
      </c>
      <c r="E1175" s="6">
        <v>234</v>
      </c>
      <c r="F1175" s="6" t="s">
        <v>1352</v>
      </c>
      <c r="G1175" s="6">
        <v>234</v>
      </c>
      <c r="H1175" s="6" t="s">
        <v>915</v>
      </c>
      <c r="I1175" s="33">
        <v>1133842.72</v>
      </c>
      <c r="J1175" s="88">
        <v>0.5074457344014478</v>
      </c>
      <c r="K1175" s="89">
        <f>X1175</f>
        <v>1204091.5800000003</v>
      </c>
      <c r="L1175" s="88">
        <f>IF(K1179&gt;0, K1175/K1179, 0)</f>
        <v>0.50658239421675755</v>
      </c>
      <c r="M1175" s="58"/>
      <c r="N1175" s="9">
        <f>ROUND(M1179*L1175,0)</f>
        <v>666342</v>
      </c>
      <c r="O1175" s="9">
        <v>637636</v>
      </c>
      <c r="P1175" s="9">
        <f>N1175-O1175</f>
        <v>28706</v>
      </c>
      <c r="Q1175" s="40">
        <f t="shared" si="189"/>
        <v>4.501941546587708</v>
      </c>
      <c r="R1175" s="9">
        <v>77</v>
      </c>
      <c r="S1175" s="9">
        <f t="shared" si="187"/>
        <v>83</v>
      </c>
      <c r="T1175" s="90">
        <f t="shared" si="182"/>
        <v>234</v>
      </c>
      <c r="U1175" s="90">
        <f t="shared" si="183"/>
        <v>234</v>
      </c>
      <c r="V1175" s="373">
        <f t="shared" si="184"/>
        <v>1166</v>
      </c>
      <c r="W1175" s="90">
        <f t="shared" si="185"/>
        <v>83</v>
      </c>
      <c r="X1175" s="90">
        <f t="shared" si="186"/>
        <v>1204091.5800000003</v>
      </c>
      <c r="Y1175" s="141">
        <f t="shared" si="188"/>
        <v>1166</v>
      </c>
      <c r="Z1175" s="298">
        <v>234</v>
      </c>
      <c r="AA1175" s="299">
        <v>234</v>
      </c>
      <c r="AB1175" s="299">
        <v>1166</v>
      </c>
      <c r="AC1175" s="301">
        <v>83</v>
      </c>
      <c r="AD1175" s="301">
        <v>1204091.5800000003</v>
      </c>
      <c r="AE1175" s="126"/>
      <c r="AF1175" s="298"/>
      <c r="AG1175" s="299"/>
      <c r="AH1175" s="299"/>
      <c r="AI1175" s="301"/>
      <c r="AJ1175" s="301"/>
      <c r="AK1175" s="426"/>
      <c r="AL1175" s="298"/>
      <c r="AM1175" s="299"/>
      <c r="AN1175" s="299"/>
      <c r="AO1175" s="301"/>
      <c r="AP1175" s="301"/>
      <c r="AQ1175" s="426"/>
      <c r="AR1175" s="298"/>
      <c r="AS1175" s="299"/>
      <c r="AT1175" s="299"/>
      <c r="AU1175" s="301"/>
      <c r="AV1175" s="301"/>
      <c r="AW1175" s="88"/>
      <c r="AX1175" s="298"/>
      <c r="AY1175" s="299"/>
      <c r="AZ1175" s="299"/>
      <c r="BA1175" s="301"/>
      <c r="BB1175" s="301"/>
      <c r="BC1175" s="426"/>
      <c r="BD1175" s="298"/>
      <c r="BE1175" s="299"/>
      <c r="BF1175" s="299"/>
      <c r="BG1175" s="301"/>
      <c r="BH1175" s="301"/>
      <c r="BI1175" s="88"/>
      <c r="BJ1175" s="298"/>
      <c r="BK1175" s="299"/>
      <c r="BL1175" s="299"/>
      <c r="BM1175" s="301"/>
      <c r="BN1175" s="301"/>
      <c r="BO1175" s="88"/>
      <c r="BP1175" s="9"/>
      <c r="BS1175" s="81"/>
      <c r="BT1175" s="81"/>
      <c r="BV1175" s="9"/>
      <c r="BY1175" s="81"/>
      <c r="BZ1175" s="81"/>
      <c r="CB1175" s="9"/>
      <c r="CE1175" s="81"/>
      <c r="CF1175" s="81"/>
      <c r="CH1175" s="9"/>
      <c r="CK1175" s="81"/>
      <c r="CL1175" s="81"/>
      <c r="CR1175" s="9"/>
      <c r="CS1175" s="9"/>
      <c r="CT1175" s="9"/>
      <c r="CU1175" s="9"/>
      <c r="CV1175" s="9"/>
      <c r="CW1175" s="129"/>
      <c r="CX1175" s="9"/>
    </row>
    <row r="1176" spans="1:102">
      <c r="A1176" s="6" t="str">
        <f t="shared" si="181"/>
        <v>02340755</v>
      </c>
      <c r="B1176" s="6" t="s">
        <v>1884</v>
      </c>
      <c r="C1176" s="6" t="s">
        <v>2050</v>
      </c>
      <c r="D1176" s="6">
        <v>1167</v>
      </c>
      <c r="E1176" s="6">
        <v>234</v>
      </c>
      <c r="F1176" s="6" t="s">
        <v>1352</v>
      </c>
      <c r="G1176" s="6">
        <v>755</v>
      </c>
      <c r="H1176" s="6" t="s">
        <v>1080</v>
      </c>
      <c r="I1176" s="33">
        <v>878869.63823202963</v>
      </c>
      <c r="J1176" s="88">
        <v>0.39333378532058405</v>
      </c>
      <c r="K1176" s="89">
        <f t="shared" si="180"/>
        <v>929664.55387989164</v>
      </c>
      <c r="L1176" s="88">
        <f>IF(K1179&gt;0, K1176/K1179, 0)</f>
        <v>0.39112614301557458</v>
      </c>
      <c r="M1176" s="58"/>
      <c r="N1176" s="9">
        <f>ROUND(M1179*L1176,0)</f>
        <v>514474</v>
      </c>
      <c r="O1176" s="9">
        <v>494248</v>
      </c>
      <c r="P1176" s="9">
        <f>N1176-O1176</f>
        <v>20226</v>
      </c>
      <c r="Q1176" s="40">
        <f t="shared" si="189"/>
        <v>4.0922775610624624</v>
      </c>
      <c r="R1176" s="9">
        <v>55.000000001799997</v>
      </c>
      <c r="S1176" s="9">
        <f t="shared" si="187"/>
        <v>55.999999997339998</v>
      </c>
      <c r="T1176" s="90">
        <f t="shared" si="182"/>
        <v>234</v>
      </c>
      <c r="U1176" s="90">
        <f t="shared" si="183"/>
        <v>755</v>
      </c>
      <c r="V1176" s="373">
        <f t="shared" si="184"/>
        <v>1167</v>
      </c>
      <c r="W1176" s="90">
        <f t="shared" si="185"/>
        <v>55.999999997339998</v>
      </c>
      <c r="X1176" s="90">
        <f t="shared" si="186"/>
        <v>929664.55387989164</v>
      </c>
      <c r="Y1176" s="141">
        <f t="shared" si="188"/>
        <v>1167</v>
      </c>
      <c r="Z1176" s="298">
        <v>234</v>
      </c>
      <c r="AA1176" s="299">
        <v>755</v>
      </c>
      <c r="AB1176" s="299">
        <v>1167</v>
      </c>
      <c r="AC1176" s="301">
        <v>55.999999997339998</v>
      </c>
      <c r="AD1176" s="301">
        <v>929664.55387989164</v>
      </c>
      <c r="AE1176" s="126"/>
      <c r="AF1176" s="298"/>
      <c r="AG1176" s="299"/>
      <c r="AH1176" s="299"/>
      <c r="AI1176" s="301"/>
      <c r="AJ1176" s="301"/>
      <c r="AK1176" s="426"/>
      <c r="AL1176" s="298"/>
      <c r="AM1176" s="299"/>
      <c r="AN1176" s="299"/>
      <c r="AO1176" s="301"/>
      <c r="AP1176" s="301"/>
      <c r="AQ1176" s="426"/>
      <c r="AR1176" s="298"/>
      <c r="AS1176" s="299"/>
      <c r="AT1176" s="299"/>
      <c r="AU1176" s="301"/>
      <c r="AV1176" s="301"/>
      <c r="AW1176" s="88"/>
      <c r="AX1176" s="298"/>
      <c r="AY1176" s="299"/>
      <c r="AZ1176" s="299"/>
      <c r="BA1176" s="301"/>
      <c r="BB1176" s="301"/>
      <c r="BC1176" s="426"/>
      <c r="BD1176" s="298"/>
      <c r="BE1176" s="299"/>
      <c r="BF1176" s="299"/>
      <c r="BG1176" s="301"/>
      <c r="BH1176" s="301"/>
      <c r="BI1176" s="88"/>
      <c r="BJ1176" s="298"/>
      <c r="BK1176" s="299"/>
      <c r="BL1176" s="299"/>
      <c r="BM1176" s="301"/>
      <c r="BN1176" s="301"/>
      <c r="BO1176" s="88"/>
      <c r="BP1176" s="9"/>
      <c r="BS1176" s="81"/>
      <c r="BT1176" s="81"/>
      <c r="BV1176" s="9"/>
      <c r="BY1176" s="81"/>
      <c r="BZ1176" s="81"/>
      <c r="CB1176" s="9"/>
      <c r="CE1176" s="81"/>
      <c r="CF1176" s="81"/>
      <c r="CH1176" s="9"/>
      <c r="CK1176" s="81"/>
      <c r="CL1176" s="81"/>
      <c r="CR1176" s="9"/>
      <c r="CS1176" s="9"/>
      <c r="CT1176" s="9"/>
      <c r="CU1176" s="9"/>
      <c r="CV1176" s="9"/>
      <c r="CW1176" s="129"/>
      <c r="CX1176" s="9"/>
    </row>
    <row r="1177" spans="1:102">
      <c r="A1177" s="6" t="str">
        <f t="shared" si="181"/>
        <v>02340832</v>
      </c>
      <c r="B1177" s="6" t="s">
        <v>1884</v>
      </c>
      <c r="C1177" s="6" t="s">
        <v>2075</v>
      </c>
      <c r="D1177" s="6">
        <v>1168</v>
      </c>
      <c r="E1177" s="6">
        <v>234</v>
      </c>
      <c r="F1177" s="6" t="s">
        <v>1352</v>
      </c>
      <c r="G1177" s="6">
        <v>832</v>
      </c>
      <c r="H1177" s="6" t="s">
        <v>1105</v>
      </c>
      <c r="I1177" s="33">
        <v>221699.4086486437</v>
      </c>
      <c r="J1177" s="88">
        <v>9.9220480277968093E-2</v>
      </c>
      <c r="K1177" s="89">
        <f t="shared" si="180"/>
        <v>243135.74737406039</v>
      </c>
      <c r="L1177" s="88">
        <f>IF(K1179&gt;0, K1177/K1179, 0)</f>
        <v>0.10229146276766772</v>
      </c>
      <c r="M1177" s="58"/>
      <c r="N1177" s="9">
        <f>ROUND(M1179*L1177,0)</f>
        <v>134551</v>
      </c>
      <c r="O1177" s="9">
        <v>124676</v>
      </c>
      <c r="P1177" s="9">
        <f>N1177-O1177</f>
        <v>9875</v>
      </c>
      <c r="Q1177" s="40">
        <f t="shared" si="189"/>
        <v>7.9205300137957586</v>
      </c>
      <c r="R1177" s="9">
        <v>11.01503759035</v>
      </c>
      <c r="S1177" s="9">
        <f t="shared" si="187"/>
        <v>11.9999999988</v>
      </c>
      <c r="T1177" s="90">
        <f t="shared" si="182"/>
        <v>234</v>
      </c>
      <c r="U1177" s="90">
        <f t="shared" si="183"/>
        <v>832</v>
      </c>
      <c r="V1177" s="373">
        <f t="shared" si="184"/>
        <v>1168</v>
      </c>
      <c r="W1177" s="90">
        <f t="shared" si="185"/>
        <v>11.9999999988</v>
      </c>
      <c r="X1177" s="90">
        <f t="shared" si="186"/>
        <v>243135.74737406039</v>
      </c>
      <c r="Y1177" s="141">
        <f t="shared" si="188"/>
        <v>1168</v>
      </c>
      <c r="Z1177" s="298">
        <v>234</v>
      </c>
      <c r="AA1177" s="299">
        <v>832</v>
      </c>
      <c r="AB1177" s="299">
        <v>1168</v>
      </c>
      <c r="AC1177" s="301">
        <v>11.9999999988</v>
      </c>
      <c r="AD1177" s="301">
        <v>243135.74737406039</v>
      </c>
      <c r="AE1177" s="126"/>
      <c r="AF1177" s="298"/>
      <c r="AG1177" s="299"/>
      <c r="AH1177" s="299"/>
      <c r="AI1177" s="301"/>
      <c r="AJ1177" s="301"/>
      <c r="AK1177" s="426"/>
      <c r="AL1177" s="298"/>
      <c r="AM1177" s="299"/>
      <c r="AN1177" s="299"/>
      <c r="AO1177" s="301"/>
      <c r="AP1177" s="301"/>
      <c r="AQ1177" s="426"/>
      <c r="AR1177" s="298"/>
      <c r="AS1177" s="299"/>
      <c r="AT1177" s="299"/>
      <c r="AU1177" s="301"/>
      <c r="AV1177" s="301"/>
      <c r="AW1177" s="88"/>
      <c r="AX1177" s="298"/>
      <c r="AY1177" s="299"/>
      <c r="AZ1177" s="299"/>
      <c r="BA1177" s="301"/>
      <c r="BB1177" s="301"/>
      <c r="BC1177" s="426"/>
      <c r="BD1177" s="298"/>
      <c r="BE1177" s="299"/>
      <c r="BF1177" s="299"/>
      <c r="BG1177" s="301"/>
      <c r="BH1177" s="301"/>
      <c r="BI1177" s="88"/>
      <c r="BJ1177" s="298"/>
      <c r="BK1177" s="299"/>
      <c r="BL1177" s="299"/>
      <c r="BM1177" s="301"/>
      <c r="BN1177" s="301"/>
      <c r="BO1177" s="88"/>
      <c r="BP1177" s="9"/>
      <c r="BS1177" s="81"/>
      <c r="BT1177" s="81"/>
      <c r="BV1177" s="9"/>
      <c r="BY1177" s="81"/>
      <c r="BZ1177" s="81"/>
      <c r="CB1177" s="9"/>
      <c r="CE1177" s="81"/>
      <c r="CF1177" s="81"/>
      <c r="CH1177" s="9"/>
      <c r="CK1177" s="81"/>
      <c r="CL1177" s="81"/>
      <c r="CR1177" s="9"/>
      <c r="CS1177" s="9"/>
      <c r="CT1177" s="9"/>
      <c r="CU1177" s="9"/>
      <c r="CV1177" s="9"/>
      <c r="CW1177" s="129"/>
      <c r="CX1177" s="9"/>
    </row>
    <row r="1178" spans="1:102">
      <c r="A1178" s="6" t="str">
        <f t="shared" si="181"/>
        <v>02340998</v>
      </c>
      <c r="B1178" s="6" t="s">
        <v>1884</v>
      </c>
      <c r="C1178" s="6" t="s">
        <v>2091</v>
      </c>
      <c r="D1178" s="6">
        <v>1169</v>
      </c>
      <c r="E1178" s="6">
        <v>234</v>
      </c>
      <c r="F1178" s="6" t="s">
        <v>1547</v>
      </c>
      <c r="G1178" s="6">
        <v>998</v>
      </c>
      <c r="H1178" s="6" t="s">
        <v>1547</v>
      </c>
      <c r="I1178" s="33">
        <v>0</v>
      </c>
      <c r="J1178" s="88">
        <v>0</v>
      </c>
      <c r="K1178" s="89">
        <f t="shared" si="180"/>
        <v>0</v>
      </c>
      <c r="L1178" s="88">
        <f>IF(K1179&gt;0, K1178/K1179, 0)</f>
        <v>0</v>
      </c>
      <c r="M1178" s="58"/>
      <c r="N1178" s="9">
        <f>ROUND(M1179*L1178,0)</f>
        <v>0</v>
      </c>
      <c r="O1178" s="9">
        <v>0</v>
      </c>
      <c r="P1178" s="9">
        <f>N1178-O1178</f>
        <v>0</v>
      </c>
      <c r="Q1178" s="40">
        <f t="shared" si="189"/>
        <v>0</v>
      </c>
      <c r="R1178" s="9">
        <v>0</v>
      </c>
      <c r="S1178" s="9">
        <f t="shared" si="187"/>
        <v>0</v>
      </c>
      <c r="T1178" s="90">
        <f t="shared" si="182"/>
        <v>234</v>
      </c>
      <c r="U1178" s="90">
        <f t="shared" si="183"/>
        <v>998</v>
      </c>
      <c r="V1178" s="373">
        <f t="shared" si="184"/>
        <v>1169</v>
      </c>
      <c r="W1178" s="90">
        <f t="shared" si="185"/>
        <v>0</v>
      </c>
      <c r="X1178" s="90">
        <f t="shared" si="186"/>
        <v>0</v>
      </c>
      <c r="Y1178" s="141">
        <f t="shared" si="188"/>
        <v>1169</v>
      </c>
      <c r="Z1178" s="298">
        <v>234</v>
      </c>
      <c r="AA1178" s="299">
        <v>998</v>
      </c>
      <c r="AB1178" s="299">
        <v>1169</v>
      </c>
      <c r="AC1178" s="301">
        <v>0</v>
      </c>
      <c r="AD1178" s="301">
        <v>0</v>
      </c>
      <c r="AE1178" s="126"/>
      <c r="AF1178" s="298"/>
      <c r="AG1178" s="299"/>
      <c r="AH1178" s="299"/>
      <c r="AI1178" s="301"/>
      <c r="AJ1178" s="301"/>
      <c r="AK1178" s="426"/>
      <c r="AL1178" s="298"/>
      <c r="AM1178" s="299"/>
      <c r="AN1178" s="299"/>
      <c r="AO1178" s="301"/>
      <c r="AP1178" s="301"/>
      <c r="AQ1178" s="426"/>
      <c r="AR1178" s="298"/>
      <c r="AS1178" s="299"/>
      <c r="AT1178" s="299"/>
      <c r="AU1178" s="301"/>
      <c r="AV1178" s="301"/>
      <c r="AW1178" s="88"/>
      <c r="AX1178" s="298"/>
      <c r="AY1178" s="299"/>
      <c r="AZ1178" s="299"/>
      <c r="BA1178" s="301"/>
      <c r="BB1178" s="301"/>
      <c r="BC1178" s="426"/>
      <c r="BD1178" s="298"/>
      <c r="BE1178" s="299"/>
      <c r="BF1178" s="299"/>
      <c r="BG1178" s="301"/>
      <c r="BH1178" s="301"/>
      <c r="BI1178" s="88"/>
      <c r="BJ1178" s="298"/>
      <c r="BK1178" s="299"/>
      <c r="BL1178" s="299"/>
      <c r="BM1178" s="301"/>
      <c r="BN1178" s="301"/>
      <c r="BO1178" s="88"/>
      <c r="BP1178" s="9"/>
      <c r="BS1178" s="81"/>
      <c r="BT1178" s="81"/>
      <c r="BV1178" s="9"/>
      <c r="BY1178" s="81"/>
      <c r="BZ1178" s="81"/>
      <c r="CB1178" s="9"/>
      <c r="CE1178" s="81"/>
      <c r="CF1178" s="81"/>
      <c r="CH1178" s="9"/>
      <c r="CK1178" s="81"/>
      <c r="CL1178" s="81"/>
      <c r="CR1178" s="9"/>
      <c r="CS1178" s="9"/>
      <c r="CT1178" s="9"/>
      <c r="CU1178" s="9"/>
      <c r="CV1178" s="9"/>
      <c r="CW1178" s="129"/>
      <c r="CX1178" s="9"/>
    </row>
    <row r="1179" spans="1:102">
      <c r="A1179" s="6" t="str">
        <f t="shared" si="181"/>
        <v>02340999</v>
      </c>
      <c r="B1179" s="6" t="s">
        <v>1884</v>
      </c>
      <c r="C1179" s="6" t="s">
        <v>2092</v>
      </c>
      <c r="D1179" s="6">
        <v>1170</v>
      </c>
      <c r="E1179" s="10">
        <v>234</v>
      </c>
      <c r="F1179" s="10" t="s">
        <v>1352</v>
      </c>
      <c r="G1179" s="10">
        <v>999</v>
      </c>
      <c r="H1179" s="10" t="s">
        <v>593</v>
      </c>
      <c r="I1179" s="92">
        <v>2234411.7668806734</v>
      </c>
      <c r="J1179" s="472">
        <v>1</v>
      </c>
      <c r="K1179" s="53">
        <f>SUM(K1175:K1178)</f>
        <v>2376891.8812539526</v>
      </c>
      <c r="L1179" s="91">
        <f>SUM(L1175:L1178)</f>
        <v>0.99999999999999989</v>
      </c>
      <c r="M1179" s="79">
        <f>VLOOKUP(E1179,town351,24)</f>
        <v>1315367</v>
      </c>
      <c r="N1179" s="79">
        <f>SUM(N1175:N1178)</f>
        <v>1315367</v>
      </c>
      <c r="O1179" s="79">
        <v>1256560</v>
      </c>
      <c r="P1179" s="79">
        <f>SUM(P1175:P1178)</f>
        <v>58807</v>
      </c>
      <c r="Q1179" s="39">
        <f t="shared" si="189"/>
        <v>4.6799993633411852</v>
      </c>
      <c r="R1179" s="9">
        <v>143.01503759215001</v>
      </c>
      <c r="S1179" s="9">
        <f t="shared" si="187"/>
        <v>150.99999999614002</v>
      </c>
      <c r="T1179" s="90">
        <f t="shared" si="182"/>
        <v>234</v>
      </c>
      <c r="U1179" s="90">
        <f t="shared" si="183"/>
        <v>999</v>
      </c>
      <c r="V1179" s="373">
        <f t="shared" si="184"/>
        <v>1170</v>
      </c>
      <c r="W1179" s="90">
        <f t="shared" si="185"/>
        <v>150.99999999614002</v>
      </c>
      <c r="X1179" s="90">
        <f t="shared" si="186"/>
        <v>2376891.8812539526</v>
      </c>
      <c r="Y1179" s="141">
        <f t="shared" si="188"/>
        <v>1170</v>
      </c>
      <c r="Z1179" s="298">
        <v>234</v>
      </c>
      <c r="AA1179" s="299">
        <v>999</v>
      </c>
      <c r="AB1179" s="299">
        <v>1170</v>
      </c>
      <c r="AC1179" s="301">
        <v>150.99999999614002</v>
      </c>
      <c r="AD1179" s="301">
        <v>2376891.8812539526</v>
      </c>
      <c r="AE1179" s="126"/>
      <c r="AF1179" s="298"/>
      <c r="AG1179" s="299"/>
      <c r="AH1179" s="299"/>
      <c r="AI1179" s="301"/>
      <c r="AJ1179" s="301"/>
      <c r="AK1179" s="426"/>
      <c r="AL1179" s="298"/>
      <c r="AM1179" s="299"/>
      <c r="AN1179" s="299"/>
      <c r="AO1179" s="301"/>
      <c r="AP1179" s="301"/>
      <c r="AQ1179" s="426"/>
      <c r="AR1179" s="298"/>
      <c r="AS1179" s="299"/>
      <c r="AT1179" s="299"/>
      <c r="AU1179" s="301"/>
      <c r="AV1179" s="301"/>
      <c r="AW1179" s="91"/>
      <c r="AX1179" s="298"/>
      <c r="AY1179" s="299"/>
      <c r="AZ1179" s="299"/>
      <c r="BA1179" s="301"/>
      <c r="BB1179" s="301"/>
      <c r="BC1179" s="426"/>
      <c r="BD1179" s="298"/>
      <c r="BE1179" s="299"/>
      <c r="BF1179" s="299"/>
      <c r="BG1179" s="301"/>
      <c r="BH1179" s="301"/>
      <c r="BI1179" s="91"/>
      <c r="BJ1179" s="298"/>
      <c r="BK1179" s="299"/>
      <c r="BL1179" s="299"/>
      <c r="BM1179" s="301"/>
      <c r="BN1179" s="301"/>
      <c r="BO1179" s="91"/>
      <c r="BP1179" s="9"/>
      <c r="BS1179" s="81"/>
      <c r="BT1179" s="81"/>
      <c r="BV1179" s="9"/>
      <c r="BY1179" s="81"/>
      <c r="BZ1179" s="81"/>
      <c r="CB1179" s="9"/>
      <c r="CE1179" s="81"/>
      <c r="CF1179" s="81"/>
      <c r="CH1179" s="9"/>
      <c r="CK1179" s="81"/>
      <c r="CL1179" s="81"/>
      <c r="CR1179" s="9"/>
      <c r="CS1179" s="9"/>
      <c r="CT1179" s="9"/>
      <c r="CU1179" s="9"/>
      <c r="CV1179" s="9"/>
      <c r="CW1179" s="129"/>
      <c r="CX1179" s="9"/>
    </row>
    <row r="1180" spans="1:102">
      <c r="A1180" s="6" t="str">
        <f t="shared" si="181"/>
        <v>02350235</v>
      </c>
      <c r="B1180" s="6" t="s">
        <v>1885</v>
      </c>
      <c r="C1180" s="6" t="s">
        <v>1885</v>
      </c>
      <c r="D1180" s="6">
        <v>1171</v>
      </c>
      <c r="E1180" s="6">
        <v>235</v>
      </c>
      <c r="F1180" s="6" t="s">
        <v>1353</v>
      </c>
      <c r="G1180" s="6">
        <v>235</v>
      </c>
      <c r="H1180" s="6" t="s">
        <v>916</v>
      </c>
      <c r="I1180" s="33">
        <v>0</v>
      </c>
      <c r="J1180" s="88">
        <v>0</v>
      </c>
      <c r="K1180" s="89">
        <f>X1180</f>
        <v>0</v>
      </c>
      <c r="L1180" s="88">
        <f>IF(K1184&gt;0, K1180/K1184, 0)</f>
        <v>0</v>
      </c>
      <c r="M1180" s="58"/>
      <c r="N1180" s="9">
        <f>ROUND(M1184*L1180,0)</f>
        <v>0</v>
      </c>
      <c r="O1180" s="9">
        <v>0</v>
      </c>
      <c r="P1180" s="9">
        <f>N1180-O1180</f>
        <v>0</v>
      </c>
      <c r="Q1180" s="40">
        <f t="shared" si="189"/>
        <v>0</v>
      </c>
      <c r="R1180" s="9">
        <v>0</v>
      </c>
      <c r="S1180" s="9">
        <f t="shared" si="187"/>
        <v>0</v>
      </c>
      <c r="T1180" s="90">
        <f t="shared" si="182"/>
        <v>235</v>
      </c>
      <c r="U1180" s="90">
        <f t="shared" si="183"/>
        <v>235</v>
      </c>
      <c r="V1180" s="373">
        <f t="shared" si="184"/>
        <v>1171</v>
      </c>
      <c r="W1180" s="90">
        <f t="shared" si="185"/>
        <v>0</v>
      </c>
      <c r="X1180" s="90">
        <f t="shared" si="186"/>
        <v>0</v>
      </c>
      <c r="Y1180" s="141">
        <f t="shared" si="188"/>
        <v>1171</v>
      </c>
      <c r="Z1180" s="298">
        <v>235</v>
      </c>
      <c r="AA1180" s="299">
        <v>235</v>
      </c>
      <c r="AB1180" s="299">
        <v>1171</v>
      </c>
      <c r="AC1180" s="301">
        <v>0</v>
      </c>
      <c r="AD1180" s="301">
        <v>0</v>
      </c>
      <c r="AE1180" s="126"/>
      <c r="AF1180" s="298"/>
      <c r="AG1180" s="299"/>
      <c r="AH1180" s="299"/>
      <c r="AI1180" s="301"/>
      <c r="AJ1180" s="301"/>
      <c r="AK1180" s="426"/>
      <c r="AL1180" s="298"/>
      <c r="AM1180" s="299"/>
      <c r="AN1180" s="299"/>
      <c r="AO1180" s="301"/>
      <c r="AP1180" s="301"/>
      <c r="AQ1180" s="426"/>
      <c r="AR1180" s="298"/>
      <c r="AS1180" s="299"/>
      <c r="AT1180" s="299"/>
      <c r="AU1180" s="301"/>
      <c r="AV1180" s="301"/>
      <c r="AW1180" s="88"/>
      <c r="AX1180" s="298"/>
      <c r="AY1180" s="299"/>
      <c r="AZ1180" s="299"/>
      <c r="BA1180" s="301"/>
      <c r="BB1180" s="301"/>
      <c r="BC1180" s="426"/>
      <c r="BD1180" s="298"/>
      <c r="BE1180" s="299"/>
      <c r="BF1180" s="299"/>
      <c r="BG1180" s="301"/>
      <c r="BH1180" s="301"/>
      <c r="BI1180" s="88"/>
      <c r="BJ1180" s="298"/>
      <c r="BK1180" s="299"/>
      <c r="BL1180" s="299"/>
      <c r="BM1180" s="301"/>
      <c r="BN1180" s="301"/>
      <c r="BO1180" s="88"/>
      <c r="BP1180" s="9"/>
      <c r="BS1180" s="81"/>
      <c r="BT1180" s="81"/>
      <c r="BV1180" s="9"/>
      <c r="BY1180" s="81"/>
      <c r="BZ1180" s="81"/>
      <c r="CB1180" s="9"/>
      <c r="CE1180" s="81"/>
      <c r="CF1180" s="81"/>
      <c r="CH1180" s="9"/>
      <c r="CK1180" s="81"/>
      <c r="CL1180" s="81"/>
      <c r="CR1180" s="9"/>
      <c r="CS1180" s="9"/>
      <c r="CT1180" s="9"/>
      <c r="CU1180" s="9"/>
      <c r="CV1180" s="9"/>
      <c r="CW1180" s="129"/>
      <c r="CX1180" s="9"/>
    </row>
    <row r="1181" spans="1:102">
      <c r="A1181" s="6" t="str">
        <f t="shared" si="181"/>
        <v>02350720</v>
      </c>
      <c r="B1181" s="6" t="s">
        <v>1885</v>
      </c>
      <c r="C1181" s="6" t="s">
        <v>2041</v>
      </c>
      <c r="D1181" s="6">
        <v>1172</v>
      </c>
      <c r="E1181" s="6">
        <v>235</v>
      </c>
      <c r="F1181" s="6" t="s">
        <v>1353</v>
      </c>
      <c r="G1181" s="6">
        <v>720</v>
      </c>
      <c r="H1181" s="6" t="s">
        <v>1071</v>
      </c>
      <c r="I1181" s="33">
        <v>2832452.7892744546</v>
      </c>
      <c r="J1181" s="88">
        <v>0.86464624453446626</v>
      </c>
      <c r="K1181" s="89">
        <f t="shared" si="180"/>
        <v>2978965.4490328659</v>
      </c>
      <c r="L1181" s="88">
        <f>IF(K1184&gt;0, K1181/K1184, 0)</f>
        <v>0.85967150222704813</v>
      </c>
      <c r="M1181" s="58"/>
      <c r="N1181" s="9">
        <f>ROUND(M1184*L1181,0)</f>
        <v>1500576</v>
      </c>
      <c r="O1181" s="9">
        <v>1450932</v>
      </c>
      <c r="P1181" s="9">
        <f>N1181-O1181</f>
        <v>49644</v>
      </c>
      <c r="Q1181" s="40">
        <f t="shared" si="189"/>
        <v>3.421524923290685</v>
      </c>
      <c r="R1181" s="9">
        <v>198.51632047176003</v>
      </c>
      <c r="S1181" s="9">
        <f t="shared" si="187"/>
        <v>207.90575916110001</v>
      </c>
      <c r="T1181" s="90">
        <f t="shared" si="182"/>
        <v>235</v>
      </c>
      <c r="U1181" s="90">
        <f t="shared" si="183"/>
        <v>720</v>
      </c>
      <c r="V1181" s="373">
        <f t="shared" si="184"/>
        <v>1172</v>
      </c>
      <c r="W1181" s="90">
        <f t="shared" si="185"/>
        <v>207.90575916110001</v>
      </c>
      <c r="X1181" s="90">
        <f t="shared" si="186"/>
        <v>2978965.4490328659</v>
      </c>
      <c r="Y1181" s="141">
        <f t="shared" si="188"/>
        <v>1172</v>
      </c>
      <c r="Z1181" s="298">
        <v>235</v>
      </c>
      <c r="AA1181" s="299">
        <v>720</v>
      </c>
      <c r="AB1181" s="299">
        <v>1172</v>
      </c>
      <c r="AC1181" s="301">
        <v>207.90575916110001</v>
      </c>
      <c r="AD1181" s="301">
        <v>2978965.4490328659</v>
      </c>
      <c r="AE1181" s="126"/>
      <c r="AF1181" s="298"/>
      <c r="AG1181" s="299"/>
      <c r="AH1181" s="299"/>
      <c r="AI1181" s="301"/>
      <c r="AJ1181" s="301"/>
      <c r="AK1181" s="426"/>
      <c r="AL1181" s="298"/>
      <c r="AM1181" s="299"/>
      <c r="AN1181" s="299"/>
      <c r="AO1181" s="301"/>
      <c r="AP1181" s="301"/>
      <c r="AQ1181" s="426"/>
      <c r="AR1181" s="298"/>
      <c r="AS1181" s="299"/>
      <c r="AT1181" s="299"/>
      <c r="AU1181" s="301"/>
      <c r="AV1181" s="301"/>
      <c r="AW1181" s="88"/>
      <c r="AX1181" s="298"/>
      <c r="AY1181" s="299"/>
      <c r="AZ1181" s="299"/>
      <c r="BA1181" s="301"/>
      <c r="BB1181" s="301"/>
      <c r="BC1181" s="426"/>
      <c r="BD1181" s="298"/>
      <c r="BE1181" s="299"/>
      <c r="BF1181" s="299"/>
      <c r="BG1181" s="301"/>
      <c r="BH1181" s="301"/>
      <c r="BI1181" s="88"/>
      <c r="BJ1181" s="298"/>
      <c r="BK1181" s="299"/>
      <c r="BL1181" s="299"/>
      <c r="BM1181" s="301"/>
      <c r="BN1181" s="301"/>
      <c r="BO1181" s="88"/>
      <c r="BP1181" s="9"/>
      <c r="BS1181" s="81"/>
      <c r="BT1181" s="81"/>
      <c r="BV1181" s="9"/>
      <c r="BY1181" s="81"/>
      <c r="BZ1181" s="81"/>
      <c r="CB1181" s="9"/>
      <c r="CE1181" s="81"/>
      <c r="CF1181" s="81"/>
      <c r="CH1181" s="9"/>
      <c r="CK1181" s="81"/>
      <c r="CL1181" s="81"/>
      <c r="CR1181" s="9"/>
      <c r="CS1181" s="9"/>
      <c r="CT1181" s="9"/>
      <c r="CU1181" s="9"/>
      <c r="CV1181" s="9"/>
      <c r="CW1181" s="129"/>
      <c r="CX1181" s="9"/>
    </row>
    <row r="1182" spans="1:102">
      <c r="A1182" s="6" t="str">
        <f t="shared" si="181"/>
        <v>02350832</v>
      </c>
      <c r="B1182" s="6" t="s">
        <v>1885</v>
      </c>
      <c r="C1182" s="6" t="s">
        <v>2075</v>
      </c>
      <c r="D1182" s="6">
        <v>1173</v>
      </c>
      <c r="E1182" s="6">
        <v>235</v>
      </c>
      <c r="F1182" s="6" t="s">
        <v>1353</v>
      </c>
      <c r="G1182" s="6">
        <v>832</v>
      </c>
      <c r="H1182" s="6" t="s">
        <v>1105</v>
      </c>
      <c r="I1182" s="33">
        <v>443398.8172972874</v>
      </c>
      <c r="J1182" s="88">
        <v>0.13535375546553374</v>
      </c>
      <c r="K1182" s="89">
        <f t="shared" si="180"/>
        <v>486271.49474812078</v>
      </c>
      <c r="L1182" s="88">
        <f>IF(K1184&gt;0, K1182/K1184, 0)</f>
        <v>0.14032849777295189</v>
      </c>
      <c r="M1182" s="58"/>
      <c r="N1182" s="9">
        <f>ROUND(M1184*L1182,0)</f>
        <v>244947</v>
      </c>
      <c r="O1182" s="9">
        <v>227132</v>
      </c>
      <c r="P1182" s="9">
        <f>N1182-O1182</f>
        <v>17815</v>
      </c>
      <c r="Q1182" s="40">
        <f t="shared" si="189"/>
        <v>7.8434566683690541</v>
      </c>
      <c r="R1182" s="9">
        <v>22.030075180699999</v>
      </c>
      <c r="S1182" s="9">
        <f t="shared" si="187"/>
        <v>23.9999999976</v>
      </c>
      <c r="T1182" s="90">
        <f t="shared" si="182"/>
        <v>235</v>
      </c>
      <c r="U1182" s="90">
        <f t="shared" si="183"/>
        <v>832</v>
      </c>
      <c r="V1182" s="373">
        <f t="shared" si="184"/>
        <v>1173</v>
      </c>
      <c r="W1182" s="90">
        <f t="shared" si="185"/>
        <v>23.9999999976</v>
      </c>
      <c r="X1182" s="90">
        <f t="shared" si="186"/>
        <v>486271.49474812078</v>
      </c>
      <c r="Y1182" s="141">
        <f t="shared" si="188"/>
        <v>1173</v>
      </c>
      <c r="Z1182" s="298">
        <v>235</v>
      </c>
      <c r="AA1182" s="299">
        <v>832</v>
      </c>
      <c r="AB1182" s="299">
        <v>1173</v>
      </c>
      <c r="AC1182" s="301">
        <v>23.9999999976</v>
      </c>
      <c r="AD1182" s="301">
        <v>486271.49474812078</v>
      </c>
      <c r="AE1182" s="126"/>
      <c r="AF1182" s="298"/>
      <c r="AG1182" s="299"/>
      <c r="AH1182" s="299"/>
      <c r="AI1182" s="301"/>
      <c r="AJ1182" s="301"/>
      <c r="AK1182" s="426"/>
      <c r="AL1182" s="298"/>
      <c r="AM1182" s="299"/>
      <c r="AN1182" s="299"/>
      <c r="AO1182" s="301"/>
      <c r="AP1182" s="301"/>
      <c r="AQ1182" s="426"/>
      <c r="AR1182" s="298"/>
      <c r="AS1182" s="299"/>
      <c r="AT1182" s="299"/>
      <c r="AU1182" s="301"/>
      <c r="AV1182" s="301"/>
      <c r="AW1182" s="88"/>
      <c r="AX1182" s="298"/>
      <c r="AY1182" s="299"/>
      <c r="AZ1182" s="299"/>
      <c r="BA1182" s="301"/>
      <c r="BB1182" s="301"/>
      <c r="BC1182" s="426"/>
      <c r="BD1182" s="298"/>
      <c r="BE1182" s="299"/>
      <c r="BF1182" s="299"/>
      <c r="BG1182" s="301"/>
      <c r="BH1182" s="301"/>
      <c r="BI1182" s="88"/>
      <c r="BJ1182" s="298"/>
      <c r="BK1182" s="299"/>
      <c r="BL1182" s="299"/>
      <c r="BM1182" s="301"/>
      <c r="BN1182" s="301"/>
      <c r="BO1182" s="88"/>
      <c r="BP1182" s="9"/>
      <c r="BS1182" s="81"/>
      <c r="BT1182" s="81"/>
      <c r="BV1182" s="9"/>
      <c r="BY1182" s="81"/>
      <c r="BZ1182" s="81"/>
      <c r="CB1182" s="9"/>
      <c r="CE1182" s="81"/>
      <c r="CF1182" s="81"/>
      <c r="CH1182" s="9"/>
      <c r="CK1182" s="81"/>
      <c r="CL1182" s="81"/>
      <c r="CR1182" s="9"/>
      <c r="CS1182" s="9"/>
      <c r="CT1182" s="9"/>
      <c r="CU1182" s="9"/>
      <c r="CV1182" s="9"/>
      <c r="CW1182" s="129"/>
      <c r="CX1182" s="9"/>
    </row>
    <row r="1183" spans="1:102">
      <c r="A1183" s="6" t="str">
        <f t="shared" si="181"/>
        <v>02350998</v>
      </c>
      <c r="B1183" s="6" t="s">
        <v>1885</v>
      </c>
      <c r="C1183" s="6" t="s">
        <v>2091</v>
      </c>
      <c r="D1183" s="6">
        <v>1174</v>
      </c>
      <c r="E1183" s="6">
        <v>235</v>
      </c>
      <c r="F1183" s="6" t="s">
        <v>1547</v>
      </c>
      <c r="G1183" s="6">
        <v>998</v>
      </c>
      <c r="H1183" s="6" t="s">
        <v>1547</v>
      </c>
      <c r="I1183" s="33">
        <v>0</v>
      </c>
      <c r="J1183" s="88">
        <v>0</v>
      </c>
      <c r="K1183" s="89">
        <f t="shared" si="180"/>
        <v>0</v>
      </c>
      <c r="L1183" s="88">
        <f>IF(K1184&gt;0, K1183/K1184, 0)</f>
        <v>0</v>
      </c>
      <c r="M1183" s="58"/>
      <c r="N1183" s="9">
        <f>ROUND(M1184*L1183,0)</f>
        <v>0</v>
      </c>
      <c r="O1183" s="9">
        <v>0</v>
      </c>
      <c r="P1183" s="9">
        <f>N1183-O1183</f>
        <v>0</v>
      </c>
      <c r="Q1183" s="40">
        <f t="shared" si="189"/>
        <v>0</v>
      </c>
      <c r="R1183" s="9">
        <v>0</v>
      </c>
      <c r="S1183" s="9">
        <f t="shared" si="187"/>
        <v>0</v>
      </c>
      <c r="T1183" s="90">
        <f t="shared" si="182"/>
        <v>235</v>
      </c>
      <c r="U1183" s="90">
        <f t="shared" si="183"/>
        <v>998</v>
      </c>
      <c r="V1183" s="373">
        <f t="shared" si="184"/>
        <v>1174</v>
      </c>
      <c r="W1183" s="90">
        <f t="shared" si="185"/>
        <v>0</v>
      </c>
      <c r="X1183" s="90">
        <f t="shared" si="186"/>
        <v>0</v>
      </c>
      <c r="Y1183" s="141">
        <f t="shared" si="188"/>
        <v>1174</v>
      </c>
      <c r="Z1183" s="298">
        <v>235</v>
      </c>
      <c r="AA1183" s="299">
        <v>998</v>
      </c>
      <c r="AB1183" s="299">
        <v>1174</v>
      </c>
      <c r="AC1183" s="301">
        <v>0</v>
      </c>
      <c r="AD1183" s="301">
        <v>0</v>
      </c>
      <c r="AE1183" s="126"/>
      <c r="AF1183" s="298"/>
      <c r="AG1183" s="299"/>
      <c r="AH1183" s="299"/>
      <c r="AI1183" s="301"/>
      <c r="AJ1183" s="301"/>
      <c r="AK1183" s="426"/>
      <c r="AL1183" s="298"/>
      <c r="AM1183" s="299"/>
      <c r="AN1183" s="299"/>
      <c r="AO1183" s="301"/>
      <c r="AP1183" s="301"/>
      <c r="AQ1183" s="426"/>
      <c r="AR1183" s="298"/>
      <c r="AS1183" s="299"/>
      <c r="AT1183" s="299"/>
      <c r="AU1183" s="301"/>
      <c r="AV1183" s="301"/>
      <c r="AW1183" s="88"/>
      <c r="AX1183" s="298"/>
      <c r="AY1183" s="299"/>
      <c r="AZ1183" s="299"/>
      <c r="BA1183" s="301"/>
      <c r="BB1183" s="301"/>
      <c r="BC1183" s="426"/>
      <c r="BD1183" s="298"/>
      <c r="BE1183" s="299"/>
      <c r="BF1183" s="299"/>
      <c r="BG1183" s="301"/>
      <c r="BH1183" s="301"/>
      <c r="BI1183" s="88"/>
      <c r="BJ1183" s="298"/>
      <c r="BK1183" s="299"/>
      <c r="BL1183" s="299"/>
      <c r="BM1183" s="301"/>
      <c r="BN1183" s="301"/>
      <c r="BO1183" s="88"/>
      <c r="BP1183" s="9"/>
      <c r="BS1183" s="81"/>
      <c r="BT1183" s="81"/>
      <c r="BV1183" s="9"/>
      <c r="BY1183" s="81"/>
      <c r="BZ1183" s="81"/>
      <c r="CB1183" s="9"/>
      <c r="CE1183" s="81"/>
      <c r="CF1183" s="81"/>
      <c r="CH1183" s="9"/>
      <c r="CK1183" s="81"/>
      <c r="CL1183" s="81"/>
      <c r="CR1183" s="9"/>
      <c r="CS1183" s="9"/>
      <c r="CT1183" s="9"/>
      <c r="CU1183" s="9"/>
      <c r="CV1183" s="9"/>
      <c r="CW1183" s="129"/>
      <c r="CX1183" s="9"/>
    </row>
    <row r="1184" spans="1:102">
      <c r="A1184" s="6" t="str">
        <f t="shared" si="181"/>
        <v>02350999</v>
      </c>
      <c r="B1184" s="6" t="s">
        <v>1885</v>
      </c>
      <c r="C1184" s="6" t="s">
        <v>2092</v>
      </c>
      <c r="D1184" s="6">
        <v>1175</v>
      </c>
      <c r="E1184" s="10">
        <v>235</v>
      </c>
      <c r="F1184" s="10" t="s">
        <v>1353</v>
      </c>
      <c r="G1184" s="10">
        <v>999</v>
      </c>
      <c r="H1184" s="10" t="s">
        <v>593</v>
      </c>
      <c r="I1184" s="92">
        <v>3275851.6065717419</v>
      </c>
      <c r="J1184" s="472">
        <v>1</v>
      </c>
      <c r="K1184" s="53">
        <f>SUM(K1180:K1183)</f>
        <v>3465236.9437809866</v>
      </c>
      <c r="L1184" s="91">
        <f>SUM(L1180:L1183)</f>
        <v>1</v>
      </c>
      <c r="M1184" s="79">
        <f>VLOOKUP(E1184,town351,24)</f>
        <v>1745523</v>
      </c>
      <c r="N1184" s="79">
        <f>SUM(N1180:N1183)</f>
        <v>1745523</v>
      </c>
      <c r="O1184" s="79">
        <v>1678064</v>
      </c>
      <c r="P1184" s="79">
        <f>SUM(P1180:P1183)</f>
        <v>67459</v>
      </c>
      <c r="Q1184" s="39">
        <f t="shared" si="189"/>
        <v>4.0200492949017441</v>
      </c>
      <c r="R1184" s="9">
        <v>220.54639565246003</v>
      </c>
      <c r="S1184" s="9">
        <f t="shared" si="187"/>
        <v>231.90575915869999</v>
      </c>
      <c r="T1184" s="90">
        <f t="shared" si="182"/>
        <v>235</v>
      </c>
      <c r="U1184" s="90">
        <f t="shared" si="183"/>
        <v>999</v>
      </c>
      <c r="V1184" s="373">
        <f t="shared" si="184"/>
        <v>1175</v>
      </c>
      <c r="W1184" s="90">
        <f t="shared" si="185"/>
        <v>231.90575915869999</v>
      </c>
      <c r="X1184" s="90">
        <f t="shared" si="186"/>
        <v>3465236.9437809866</v>
      </c>
      <c r="Y1184" s="141">
        <f t="shared" si="188"/>
        <v>1175</v>
      </c>
      <c r="Z1184" s="298">
        <v>235</v>
      </c>
      <c r="AA1184" s="299">
        <v>999</v>
      </c>
      <c r="AB1184" s="299">
        <v>1175</v>
      </c>
      <c r="AC1184" s="301">
        <v>231.90575915869999</v>
      </c>
      <c r="AD1184" s="301">
        <v>3465236.9437809866</v>
      </c>
      <c r="AE1184" s="126"/>
      <c r="AF1184" s="298"/>
      <c r="AG1184" s="299"/>
      <c r="AH1184" s="299"/>
      <c r="AI1184" s="301"/>
      <c r="AJ1184" s="301"/>
      <c r="AK1184" s="426"/>
      <c r="AL1184" s="298"/>
      <c r="AM1184" s="299"/>
      <c r="AN1184" s="299"/>
      <c r="AO1184" s="301"/>
      <c r="AP1184" s="301"/>
      <c r="AQ1184" s="426"/>
      <c r="AR1184" s="298"/>
      <c r="AS1184" s="299"/>
      <c r="AT1184" s="299"/>
      <c r="AU1184" s="301"/>
      <c r="AV1184" s="301"/>
      <c r="AW1184" s="91"/>
      <c r="AX1184" s="298"/>
      <c r="AY1184" s="299"/>
      <c r="AZ1184" s="299"/>
      <c r="BA1184" s="301"/>
      <c r="BB1184" s="301"/>
      <c r="BC1184" s="426"/>
      <c r="BD1184" s="298"/>
      <c r="BE1184" s="299"/>
      <c r="BF1184" s="299"/>
      <c r="BG1184" s="301"/>
      <c r="BH1184" s="301"/>
      <c r="BI1184" s="91"/>
      <c r="BJ1184" s="298"/>
      <c r="BK1184" s="299"/>
      <c r="BL1184" s="299"/>
      <c r="BM1184" s="301"/>
      <c r="BN1184" s="301"/>
      <c r="BO1184" s="91"/>
      <c r="BP1184" s="9"/>
      <c r="BS1184" s="81"/>
      <c r="BT1184" s="81"/>
      <c r="BV1184" s="9"/>
      <c r="BY1184" s="81"/>
      <c r="BZ1184" s="81"/>
      <c r="CB1184" s="9"/>
      <c r="CE1184" s="81"/>
      <c r="CF1184" s="81"/>
      <c r="CH1184" s="9"/>
      <c r="CK1184" s="81"/>
      <c r="CL1184" s="81"/>
      <c r="CR1184" s="9"/>
      <c r="CS1184" s="9"/>
      <c r="CT1184" s="9"/>
      <c r="CU1184" s="9"/>
      <c r="CV1184" s="9"/>
      <c r="CW1184" s="129"/>
      <c r="CX1184" s="9"/>
    </row>
    <row r="1185" spans="1:102">
      <c r="A1185" s="6" t="str">
        <f t="shared" si="181"/>
        <v>02360236</v>
      </c>
      <c r="B1185" s="6" t="s">
        <v>1886</v>
      </c>
      <c r="C1185" s="6" t="s">
        <v>1886</v>
      </c>
      <c r="D1185" s="6">
        <v>1176</v>
      </c>
      <c r="E1185" s="6">
        <v>236</v>
      </c>
      <c r="F1185" s="6" t="s">
        <v>1354</v>
      </c>
      <c r="G1185" s="6">
        <v>236</v>
      </c>
      <c r="H1185" s="6" t="s">
        <v>917</v>
      </c>
      <c r="I1185" s="33">
        <v>92916030.260000005</v>
      </c>
      <c r="J1185" s="88">
        <v>1</v>
      </c>
      <c r="K1185" s="89">
        <f t="shared" ref="K1185:K1248" si="190">X1185</f>
        <v>97815674.270000011</v>
      </c>
      <c r="L1185" s="88">
        <f>IF(K1189&gt;0, K1185/K1189, 0)</f>
        <v>1</v>
      </c>
      <c r="M1185" s="58"/>
      <c r="N1185" s="9">
        <f>ROUND(M1189*L1185,0)</f>
        <v>33854715</v>
      </c>
      <c r="O1185" s="9">
        <v>32068500</v>
      </c>
      <c r="P1185" s="9">
        <f>N1185-O1185</f>
        <v>1786215</v>
      </c>
      <c r="Q1185" s="40">
        <f t="shared" si="189"/>
        <v>5.5699985967538241</v>
      </c>
      <c r="R1185" s="9">
        <v>5577</v>
      </c>
      <c r="S1185" s="9">
        <f t="shared" si="187"/>
        <v>5558</v>
      </c>
      <c r="T1185" s="90">
        <f t="shared" si="182"/>
        <v>236</v>
      </c>
      <c r="U1185" s="90">
        <f t="shared" si="183"/>
        <v>236</v>
      </c>
      <c r="V1185" s="373">
        <f t="shared" si="184"/>
        <v>1176</v>
      </c>
      <c r="W1185" s="90">
        <f t="shared" si="185"/>
        <v>5558</v>
      </c>
      <c r="X1185" s="90">
        <f t="shared" si="186"/>
        <v>97815674.270000011</v>
      </c>
      <c r="Y1185" s="141">
        <f t="shared" si="188"/>
        <v>1176</v>
      </c>
      <c r="Z1185" s="298">
        <v>236</v>
      </c>
      <c r="AA1185" s="299">
        <v>236</v>
      </c>
      <c r="AB1185" s="299">
        <v>1176</v>
      </c>
      <c r="AC1185" s="301">
        <v>5558</v>
      </c>
      <c r="AD1185" s="301">
        <v>97815674.270000011</v>
      </c>
      <c r="AE1185" s="126"/>
      <c r="AF1185" s="298"/>
      <c r="AG1185" s="299"/>
      <c r="AH1185" s="299"/>
      <c r="AI1185" s="301"/>
      <c r="AJ1185" s="301"/>
      <c r="AK1185" s="426"/>
      <c r="AL1185" s="298"/>
      <c r="AM1185" s="299"/>
      <c r="AN1185" s="299"/>
      <c r="AO1185" s="301"/>
      <c r="AP1185" s="301"/>
      <c r="AQ1185" s="426"/>
      <c r="AR1185" s="298"/>
      <c r="AS1185" s="299"/>
      <c r="AT1185" s="299"/>
      <c r="AU1185" s="301"/>
      <c r="AV1185" s="301"/>
      <c r="AW1185" s="88"/>
      <c r="AX1185" s="298"/>
      <c r="AY1185" s="299"/>
      <c r="AZ1185" s="299"/>
      <c r="BA1185" s="301"/>
      <c r="BB1185" s="301"/>
      <c r="BC1185" s="426"/>
      <c r="BD1185" s="298"/>
      <c r="BE1185" s="299"/>
      <c r="BF1185" s="299"/>
      <c r="BG1185" s="301"/>
      <c r="BH1185" s="301"/>
      <c r="BI1185" s="88"/>
      <c r="BJ1185" s="298"/>
      <c r="BK1185" s="299"/>
      <c r="BL1185" s="299"/>
      <c r="BM1185" s="301"/>
      <c r="BN1185" s="301"/>
      <c r="BO1185" s="88"/>
      <c r="BP1185" s="9"/>
      <c r="BS1185" s="81"/>
      <c r="BT1185" s="81"/>
      <c r="BV1185" s="9"/>
      <c r="BY1185" s="81"/>
      <c r="BZ1185" s="81"/>
      <c r="CB1185" s="9"/>
      <c r="CE1185" s="81"/>
      <c r="CF1185" s="81"/>
      <c r="CH1185" s="9"/>
      <c r="CK1185" s="81"/>
      <c r="CL1185" s="81"/>
      <c r="CR1185" s="9"/>
      <c r="CS1185" s="9"/>
      <c r="CT1185" s="9"/>
      <c r="CU1185" s="9"/>
      <c r="CV1185" s="9"/>
      <c r="CW1185" s="129"/>
      <c r="CX1185" s="9"/>
    </row>
    <row r="1186" spans="1:102">
      <c r="A1186" s="6" t="str">
        <f t="shared" si="181"/>
        <v>02360998</v>
      </c>
      <c r="B1186" s="6" t="s">
        <v>1886</v>
      </c>
      <c r="C1186" s="6" t="s">
        <v>2091</v>
      </c>
      <c r="D1186" s="6">
        <v>1177</v>
      </c>
      <c r="E1186" s="6">
        <v>236</v>
      </c>
      <c r="F1186" s="6" t="s">
        <v>1547</v>
      </c>
      <c r="G1186" s="6">
        <v>998</v>
      </c>
      <c r="H1186" s="6" t="s">
        <v>1547</v>
      </c>
      <c r="I1186" s="33">
        <v>0</v>
      </c>
      <c r="J1186" s="88">
        <v>0</v>
      </c>
      <c r="K1186" s="89">
        <f t="shared" si="190"/>
        <v>0</v>
      </c>
      <c r="L1186" s="88">
        <f>IF(K1189&gt;0, K1186/K1189, 0)</f>
        <v>0</v>
      </c>
      <c r="M1186" s="58"/>
      <c r="N1186" s="9">
        <f>ROUND(M1189*L1186,0)</f>
        <v>0</v>
      </c>
      <c r="O1186" s="9">
        <v>0</v>
      </c>
      <c r="P1186" s="9">
        <f>N1186-O1186</f>
        <v>0</v>
      </c>
      <c r="Q1186" s="40">
        <f t="shared" si="189"/>
        <v>0</v>
      </c>
      <c r="R1186" s="9">
        <v>0</v>
      </c>
      <c r="S1186" s="9">
        <f t="shared" si="187"/>
        <v>0</v>
      </c>
      <c r="T1186" s="90">
        <f t="shared" si="182"/>
        <v>236</v>
      </c>
      <c r="U1186" s="90">
        <f t="shared" si="183"/>
        <v>998</v>
      </c>
      <c r="V1186" s="373">
        <f t="shared" si="184"/>
        <v>1177</v>
      </c>
      <c r="W1186" s="90">
        <f t="shared" si="185"/>
        <v>0</v>
      </c>
      <c r="X1186" s="90">
        <f t="shared" si="186"/>
        <v>0</v>
      </c>
      <c r="Y1186" s="141">
        <f t="shared" si="188"/>
        <v>1177</v>
      </c>
      <c r="Z1186" s="298">
        <v>236</v>
      </c>
      <c r="AA1186" s="299">
        <v>998</v>
      </c>
      <c r="AB1186" s="299">
        <v>1177</v>
      </c>
      <c r="AC1186" s="301">
        <v>0</v>
      </c>
      <c r="AD1186" s="301">
        <v>0</v>
      </c>
      <c r="AE1186" s="126"/>
      <c r="AF1186" s="298"/>
      <c r="AG1186" s="299"/>
      <c r="AH1186" s="299"/>
      <c r="AI1186" s="301"/>
      <c r="AJ1186" s="301"/>
      <c r="AK1186" s="426"/>
      <c r="AL1186" s="298"/>
      <c r="AM1186" s="299"/>
      <c r="AN1186" s="299"/>
      <c r="AO1186" s="301"/>
      <c r="AP1186" s="301"/>
      <c r="AQ1186" s="426"/>
      <c r="AR1186" s="298"/>
      <c r="AS1186" s="299"/>
      <c r="AT1186" s="299"/>
      <c r="AU1186" s="301"/>
      <c r="AV1186" s="301"/>
      <c r="AW1186" s="88"/>
      <c r="AX1186" s="298"/>
      <c r="AY1186" s="299"/>
      <c r="AZ1186" s="299"/>
      <c r="BA1186" s="301"/>
      <c r="BB1186" s="301"/>
      <c r="BC1186" s="426"/>
      <c r="BD1186" s="298"/>
      <c r="BE1186" s="299"/>
      <c r="BF1186" s="299"/>
      <c r="BG1186" s="301"/>
      <c r="BH1186" s="301"/>
      <c r="BI1186" s="88"/>
      <c r="BJ1186" s="298"/>
      <c r="BK1186" s="299"/>
      <c r="BL1186" s="299"/>
      <c r="BM1186" s="301"/>
      <c r="BN1186" s="301"/>
      <c r="BO1186" s="88"/>
      <c r="BP1186" s="9"/>
      <c r="BS1186" s="81"/>
      <c r="BT1186" s="81"/>
      <c r="BV1186" s="9"/>
      <c r="BY1186" s="81"/>
      <c r="BZ1186" s="81"/>
      <c r="CB1186" s="9"/>
      <c r="CE1186" s="81"/>
      <c r="CF1186" s="81"/>
      <c r="CH1186" s="9"/>
      <c r="CK1186" s="81"/>
      <c r="CL1186" s="81"/>
      <c r="CR1186" s="9"/>
      <c r="CS1186" s="9"/>
      <c r="CT1186" s="9"/>
      <c r="CU1186" s="9"/>
      <c r="CV1186" s="9"/>
      <c r="CW1186" s="129"/>
      <c r="CX1186" s="9"/>
    </row>
    <row r="1187" spans="1:102">
      <c r="A1187" s="6" t="str">
        <f t="shared" si="181"/>
        <v>02360998</v>
      </c>
      <c r="B1187" s="6" t="s">
        <v>1886</v>
      </c>
      <c r="C1187" s="6" t="s">
        <v>2091</v>
      </c>
      <c r="D1187" s="6">
        <v>1178</v>
      </c>
      <c r="E1187" s="6">
        <v>236</v>
      </c>
      <c r="F1187" s="6" t="s">
        <v>1547</v>
      </c>
      <c r="G1187" s="6">
        <v>998</v>
      </c>
      <c r="H1187" s="6" t="s">
        <v>1547</v>
      </c>
      <c r="I1187" s="33">
        <v>0</v>
      </c>
      <c r="J1187" s="88">
        <v>0</v>
      </c>
      <c r="K1187" s="89">
        <f t="shared" si="190"/>
        <v>0</v>
      </c>
      <c r="L1187" s="88">
        <f>IF(K1189&gt;0, K1187/K1189, 0)</f>
        <v>0</v>
      </c>
      <c r="M1187" s="58"/>
      <c r="N1187" s="9">
        <f>ROUND(M1189*L1187,0)</f>
        <v>0</v>
      </c>
      <c r="O1187" s="9">
        <v>0</v>
      </c>
      <c r="P1187" s="9">
        <f>N1187-O1187</f>
        <v>0</v>
      </c>
      <c r="Q1187" s="40">
        <f t="shared" si="189"/>
        <v>0</v>
      </c>
      <c r="R1187" s="9">
        <v>0</v>
      </c>
      <c r="S1187" s="9">
        <f t="shared" si="187"/>
        <v>0</v>
      </c>
      <c r="T1187" s="90">
        <f t="shared" si="182"/>
        <v>236</v>
      </c>
      <c r="U1187" s="90">
        <f t="shared" si="183"/>
        <v>998</v>
      </c>
      <c r="V1187" s="373">
        <f t="shared" si="184"/>
        <v>1178</v>
      </c>
      <c r="W1187" s="90">
        <f t="shared" si="185"/>
        <v>0</v>
      </c>
      <c r="X1187" s="90">
        <f t="shared" si="186"/>
        <v>0</v>
      </c>
      <c r="Y1187" s="141">
        <f t="shared" si="188"/>
        <v>1178</v>
      </c>
      <c r="Z1187" s="298">
        <v>236</v>
      </c>
      <c r="AA1187" s="299">
        <v>998</v>
      </c>
      <c r="AB1187" s="299">
        <v>1178</v>
      </c>
      <c r="AC1187" s="301">
        <v>0</v>
      </c>
      <c r="AD1187" s="301">
        <v>0</v>
      </c>
      <c r="AE1187" s="126"/>
      <c r="AF1187" s="298"/>
      <c r="AG1187" s="299"/>
      <c r="AH1187" s="299"/>
      <c r="AI1187" s="301"/>
      <c r="AJ1187" s="301"/>
      <c r="AK1187" s="426"/>
      <c r="AL1187" s="298"/>
      <c r="AM1187" s="299"/>
      <c r="AN1187" s="299"/>
      <c r="AO1187" s="301"/>
      <c r="AP1187" s="301"/>
      <c r="AQ1187" s="426"/>
      <c r="AR1187" s="298"/>
      <c r="AS1187" s="299"/>
      <c r="AT1187" s="299"/>
      <c r="AU1187" s="301"/>
      <c r="AV1187" s="301"/>
      <c r="AW1187" s="88"/>
      <c r="AX1187" s="298"/>
      <c r="AY1187" s="299"/>
      <c r="AZ1187" s="299"/>
      <c r="BA1187" s="301"/>
      <c r="BB1187" s="301"/>
      <c r="BC1187" s="426"/>
      <c r="BD1187" s="298"/>
      <c r="BE1187" s="299"/>
      <c r="BF1187" s="299"/>
      <c r="BG1187" s="301"/>
      <c r="BH1187" s="301"/>
      <c r="BI1187" s="88"/>
      <c r="BJ1187" s="298"/>
      <c r="BK1187" s="299"/>
      <c r="BL1187" s="299"/>
      <c r="BM1187" s="301"/>
      <c r="BN1187" s="301"/>
      <c r="BO1187" s="88"/>
      <c r="BP1187" s="9"/>
      <c r="BS1187" s="81"/>
      <c r="BT1187" s="81"/>
      <c r="BV1187" s="9"/>
      <c r="BY1187" s="81"/>
      <c r="BZ1187" s="81"/>
      <c r="CB1187" s="9"/>
      <c r="CE1187" s="81"/>
      <c r="CF1187" s="81"/>
      <c r="CH1187" s="9"/>
      <c r="CK1187" s="81"/>
      <c r="CL1187" s="81"/>
      <c r="CR1187" s="9"/>
      <c r="CS1187" s="9"/>
      <c r="CT1187" s="9"/>
      <c r="CU1187" s="9"/>
      <c r="CV1187" s="9"/>
      <c r="CW1187" s="129"/>
      <c r="CX1187" s="9"/>
    </row>
    <row r="1188" spans="1:102">
      <c r="A1188" s="6" t="str">
        <f t="shared" si="181"/>
        <v>02360998</v>
      </c>
      <c r="B1188" s="6" t="s">
        <v>1886</v>
      </c>
      <c r="C1188" s="6" t="s">
        <v>2091</v>
      </c>
      <c r="D1188" s="6">
        <v>1179</v>
      </c>
      <c r="E1188" s="6">
        <v>236</v>
      </c>
      <c r="F1188" s="6" t="s">
        <v>1547</v>
      </c>
      <c r="G1188" s="6">
        <v>998</v>
      </c>
      <c r="H1188" s="6" t="s">
        <v>1547</v>
      </c>
      <c r="I1188" s="33">
        <v>0</v>
      </c>
      <c r="J1188" s="88">
        <v>0</v>
      </c>
      <c r="K1188" s="89">
        <f t="shared" si="190"/>
        <v>0</v>
      </c>
      <c r="L1188" s="88">
        <f>IF(K1189&gt;0, K1188/K1189, 0)</f>
        <v>0</v>
      </c>
      <c r="M1188" s="58"/>
      <c r="N1188" s="9">
        <f>ROUND(M1189*L1188,0)</f>
        <v>0</v>
      </c>
      <c r="O1188" s="9">
        <v>0</v>
      </c>
      <c r="P1188" s="9">
        <f>N1188-O1188</f>
        <v>0</v>
      </c>
      <c r="Q1188" s="40">
        <f t="shared" si="189"/>
        <v>0</v>
      </c>
      <c r="R1188" s="9">
        <v>0</v>
      </c>
      <c r="S1188" s="9">
        <f t="shared" si="187"/>
        <v>0</v>
      </c>
      <c r="T1188" s="90">
        <f t="shared" si="182"/>
        <v>236</v>
      </c>
      <c r="U1188" s="90">
        <f t="shared" si="183"/>
        <v>998</v>
      </c>
      <c r="V1188" s="373">
        <f t="shared" si="184"/>
        <v>1179</v>
      </c>
      <c r="W1188" s="90">
        <f t="shared" si="185"/>
        <v>0</v>
      </c>
      <c r="X1188" s="90">
        <f t="shared" si="186"/>
        <v>0</v>
      </c>
      <c r="Y1188" s="141">
        <f t="shared" si="188"/>
        <v>1179</v>
      </c>
      <c r="Z1188" s="298">
        <v>236</v>
      </c>
      <c r="AA1188" s="299">
        <v>998</v>
      </c>
      <c r="AB1188" s="299">
        <v>1179</v>
      </c>
      <c r="AC1188" s="301">
        <v>0</v>
      </c>
      <c r="AD1188" s="301">
        <v>0</v>
      </c>
      <c r="AE1188" s="126"/>
      <c r="AF1188" s="298"/>
      <c r="AG1188" s="299"/>
      <c r="AH1188" s="299"/>
      <c r="AI1188" s="301"/>
      <c r="AJ1188" s="301"/>
      <c r="AK1188" s="426"/>
      <c r="AL1188" s="298"/>
      <c r="AM1188" s="299"/>
      <c r="AN1188" s="299"/>
      <c r="AO1188" s="301"/>
      <c r="AP1188" s="301"/>
      <c r="AQ1188" s="426"/>
      <c r="AR1188" s="298"/>
      <c r="AS1188" s="299"/>
      <c r="AT1188" s="299"/>
      <c r="AU1188" s="301"/>
      <c r="AV1188" s="301"/>
      <c r="AW1188" s="88"/>
      <c r="AX1188" s="298"/>
      <c r="AY1188" s="299"/>
      <c r="AZ1188" s="299"/>
      <c r="BA1188" s="301"/>
      <c r="BB1188" s="301"/>
      <c r="BC1188" s="426"/>
      <c r="BD1188" s="298"/>
      <c r="BE1188" s="299"/>
      <c r="BF1188" s="299"/>
      <c r="BG1188" s="301"/>
      <c r="BH1188" s="301"/>
      <c r="BI1188" s="88"/>
      <c r="BJ1188" s="298"/>
      <c r="BK1188" s="299"/>
      <c r="BL1188" s="299"/>
      <c r="BM1188" s="301"/>
      <c r="BN1188" s="301"/>
      <c r="BO1188" s="88"/>
      <c r="BP1188" s="9"/>
      <c r="BS1188" s="81"/>
      <c r="BT1188" s="81"/>
      <c r="BV1188" s="9"/>
      <c r="BY1188" s="81"/>
      <c r="BZ1188" s="81"/>
      <c r="CB1188" s="9"/>
      <c r="CE1188" s="81"/>
      <c r="CF1188" s="81"/>
      <c r="CH1188" s="9"/>
      <c r="CK1188" s="81"/>
      <c r="CL1188" s="81"/>
      <c r="CR1188" s="9"/>
      <c r="CS1188" s="9"/>
      <c r="CT1188" s="9"/>
      <c r="CU1188" s="9"/>
      <c r="CV1188" s="9"/>
      <c r="CW1188" s="129"/>
      <c r="CX1188" s="9"/>
    </row>
    <row r="1189" spans="1:102">
      <c r="A1189" s="6" t="str">
        <f t="shared" si="181"/>
        <v>02360999</v>
      </c>
      <c r="B1189" s="6" t="s">
        <v>1886</v>
      </c>
      <c r="C1189" s="6" t="s">
        <v>2092</v>
      </c>
      <c r="D1189" s="6">
        <v>1180</v>
      </c>
      <c r="E1189" s="10">
        <v>236</v>
      </c>
      <c r="F1189" s="10" t="s">
        <v>1354</v>
      </c>
      <c r="G1189" s="10">
        <v>999</v>
      </c>
      <c r="H1189" s="10" t="s">
        <v>593</v>
      </c>
      <c r="I1189" s="92">
        <v>92916030.260000005</v>
      </c>
      <c r="J1189" s="472">
        <v>1</v>
      </c>
      <c r="K1189" s="53">
        <f>SUM(K1185:K1188)</f>
        <v>97815674.270000011</v>
      </c>
      <c r="L1189" s="91">
        <f>SUM(L1185:L1188)</f>
        <v>1</v>
      </c>
      <c r="M1189" s="79">
        <f>VLOOKUP(E1189,town351,24)</f>
        <v>33854715</v>
      </c>
      <c r="N1189" s="79">
        <f>SUM(N1185:N1188)</f>
        <v>33854715</v>
      </c>
      <c r="O1189" s="79">
        <v>32068500</v>
      </c>
      <c r="P1189" s="79">
        <f>SUM(P1185:P1188)</f>
        <v>1786215</v>
      </c>
      <c r="Q1189" s="39">
        <f t="shared" si="189"/>
        <v>5.5699985967538241</v>
      </c>
      <c r="R1189" s="9">
        <v>5577</v>
      </c>
      <c r="S1189" s="9">
        <f t="shared" si="187"/>
        <v>5558</v>
      </c>
      <c r="T1189" s="90">
        <f t="shared" si="182"/>
        <v>236</v>
      </c>
      <c r="U1189" s="90">
        <f t="shared" si="183"/>
        <v>999</v>
      </c>
      <c r="V1189" s="373">
        <f t="shared" si="184"/>
        <v>1180</v>
      </c>
      <c r="W1189" s="90">
        <f t="shared" si="185"/>
        <v>5558</v>
      </c>
      <c r="X1189" s="90">
        <f t="shared" si="186"/>
        <v>97815674.270000011</v>
      </c>
      <c r="Y1189" s="141">
        <f t="shared" si="188"/>
        <v>1180</v>
      </c>
      <c r="Z1189" s="298">
        <v>236</v>
      </c>
      <c r="AA1189" s="299">
        <v>999</v>
      </c>
      <c r="AB1189" s="299">
        <v>1180</v>
      </c>
      <c r="AC1189" s="301">
        <v>5558</v>
      </c>
      <c r="AD1189" s="301">
        <v>97815674.270000011</v>
      </c>
      <c r="AE1189" s="126"/>
      <c r="AF1189" s="298"/>
      <c r="AG1189" s="299"/>
      <c r="AH1189" s="299"/>
      <c r="AI1189" s="301"/>
      <c r="AJ1189" s="301"/>
      <c r="AK1189" s="426"/>
      <c r="AL1189" s="298"/>
      <c r="AM1189" s="299"/>
      <c r="AN1189" s="299"/>
      <c r="AO1189" s="301"/>
      <c r="AP1189" s="301"/>
      <c r="AQ1189" s="426"/>
      <c r="AR1189" s="298"/>
      <c r="AS1189" s="299"/>
      <c r="AT1189" s="299"/>
      <c r="AU1189" s="301"/>
      <c r="AV1189" s="301"/>
      <c r="AW1189" s="91"/>
      <c r="AX1189" s="298"/>
      <c r="AY1189" s="299"/>
      <c r="AZ1189" s="299"/>
      <c r="BA1189" s="301"/>
      <c r="BB1189" s="301"/>
      <c r="BC1189" s="426"/>
      <c r="BD1189" s="298"/>
      <c r="BE1189" s="299"/>
      <c r="BF1189" s="299"/>
      <c r="BG1189" s="301"/>
      <c r="BH1189" s="301"/>
      <c r="BI1189" s="91"/>
      <c r="BJ1189" s="298"/>
      <c r="BK1189" s="299"/>
      <c r="BL1189" s="299"/>
      <c r="BM1189" s="301"/>
      <c r="BN1189" s="301"/>
      <c r="BO1189" s="91"/>
      <c r="BP1189" s="9"/>
      <c r="BS1189" s="81"/>
      <c r="BT1189" s="81"/>
      <c r="BV1189" s="9"/>
      <c r="BY1189" s="81"/>
      <c r="BZ1189" s="81"/>
      <c r="CB1189" s="9"/>
      <c r="CE1189" s="81"/>
      <c r="CF1189" s="81"/>
      <c r="CH1189" s="9"/>
      <c r="CK1189" s="81"/>
      <c r="CL1189" s="81"/>
      <c r="CR1189" s="9"/>
      <c r="CS1189" s="9"/>
      <c r="CT1189" s="9"/>
      <c r="CU1189" s="9"/>
      <c r="CV1189" s="9"/>
      <c r="CW1189" s="129"/>
      <c r="CX1189" s="9"/>
    </row>
    <row r="1190" spans="1:102">
      <c r="A1190" s="6" t="str">
        <f t="shared" si="181"/>
        <v>02370237</v>
      </c>
      <c r="B1190" s="6" t="s">
        <v>1887</v>
      </c>
      <c r="C1190" s="6" t="s">
        <v>1887</v>
      </c>
      <c r="D1190" s="6">
        <v>1181</v>
      </c>
      <c r="E1190" s="6">
        <v>237</v>
      </c>
      <c r="F1190" s="6" t="s">
        <v>1355</v>
      </c>
      <c r="G1190" s="6">
        <v>237</v>
      </c>
      <c r="H1190" s="6" t="s">
        <v>918</v>
      </c>
      <c r="I1190" s="33">
        <v>65963.040000000008</v>
      </c>
      <c r="J1190" s="88">
        <v>7.2277584161012792E-2</v>
      </c>
      <c r="K1190" s="89">
        <f>X1190</f>
        <v>118022.31000000001</v>
      </c>
      <c r="L1190" s="88">
        <f>IF(K1194&gt;0, K1190/K1194, 0)</f>
        <v>0.11682268447443243</v>
      </c>
      <c r="M1190" s="58"/>
      <c r="N1190" s="9">
        <f>ROUND(M1194*L1190,0)</f>
        <v>81309</v>
      </c>
      <c r="O1190" s="9">
        <v>46971</v>
      </c>
      <c r="P1190" s="9">
        <f>N1190-O1190</f>
        <v>34338</v>
      </c>
      <c r="Q1190" s="40">
        <f t="shared" si="189"/>
        <v>73.104681612058499</v>
      </c>
      <c r="R1190" s="9">
        <v>4</v>
      </c>
      <c r="S1190" s="9">
        <f t="shared" si="187"/>
        <v>7</v>
      </c>
      <c r="T1190" s="90">
        <f t="shared" si="182"/>
        <v>237</v>
      </c>
      <c r="U1190" s="90">
        <f t="shared" si="183"/>
        <v>237</v>
      </c>
      <c r="V1190" s="373">
        <f t="shared" si="184"/>
        <v>1181</v>
      </c>
      <c r="W1190" s="90">
        <f t="shared" si="185"/>
        <v>7</v>
      </c>
      <c r="X1190" s="90">
        <f t="shared" si="186"/>
        <v>118022.31000000001</v>
      </c>
      <c r="Y1190" s="141">
        <f t="shared" si="188"/>
        <v>1181</v>
      </c>
      <c r="Z1190" s="298">
        <v>237</v>
      </c>
      <c r="AA1190" s="299">
        <v>237</v>
      </c>
      <c r="AB1190" s="299">
        <v>1181</v>
      </c>
      <c r="AC1190" s="301">
        <v>7</v>
      </c>
      <c r="AD1190" s="301">
        <v>118022.31000000001</v>
      </c>
      <c r="AE1190" s="126"/>
      <c r="AF1190" s="298"/>
      <c r="AG1190" s="299"/>
      <c r="AH1190" s="299"/>
      <c r="AI1190" s="301"/>
      <c r="AJ1190" s="301"/>
      <c r="AK1190" s="426"/>
      <c r="AL1190" s="298"/>
      <c r="AM1190" s="299"/>
      <c r="AN1190" s="299"/>
      <c r="AO1190" s="301"/>
      <c r="AP1190" s="301"/>
      <c r="AQ1190" s="426"/>
      <c r="AR1190" s="298"/>
      <c r="AS1190" s="299"/>
      <c r="AT1190" s="299"/>
      <c r="AU1190" s="301"/>
      <c r="AV1190" s="301"/>
      <c r="AW1190" s="88"/>
      <c r="AX1190" s="298"/>
      <c r="AY1190" s="299"/>
      <c r="AZ1190" s="299"/>
      <c r="BA1190" s="301"/>
      <c r="BB1190" s="301"/>
      <c r="BC1190" s="426"/>
      <c r="BD1190" s="298"/>
      <c r="BE1190" s="299"/>
      <c r="BF1190" s="299"/>
      <c r="BG1190" s="301"/>
      <c r="BH1190" s="301"/>
      <c r="BI1190" s="88"/>
      <c r="BJ1190" s="298"/>
      <c r="BK1190" s="299"/>
      <c r="BL1190" s="299"/>
      <c r="BM1190" s="301"/>
      <c r="BN1190" s="301"/>
      <c r="BO1190" s="88"/>
      <c r="BP1190" s="9"/>
      <c r="BS1190" s="81"/>
      <c r="BT1190" s="81"/>
      <c r="BV1190" s="9"/>
      <c r="BY1190" s="81"/>
      <c r="BZ1190" s="81"/>
      <c r="CB1190" s="9"/>
      <c r="CE1190" s="81"/>
      <c r="CF1190" s="81"/>
      <c r="CH1190" s="9"/>
      <c r="CK1190" s="81"/>
      <c r="CL1190" s="81"/>
      <c r="CR1190" s="9"/>
      <c r="CS1190" s="9"/>
      <c r="CT1190" s="9"/>
      <c r="CU1190" s="9"/>
      <c r="CV1190" s="9"/>
      <c r="CW1190" s="129"/>
      <c r="CX1190" s="9"/>
    </row>
    <row r="1191" spans="1:102">
      <c r="A1191" s="6" t="str">
        <f t="shared" si="181"/>
        <v>02370717</v>
      </c>
      <c r="B1191" s="6" t="s">
        <v>1887</v>
      </c>
      <c r="C1191" s="6" t="s">
        <v>2040</v>
      </c>
      <c r="D1191" s="6">
        <v>1182</v>
      </c>
      <c r="E1191" s="6">
        <v>237</v>
      </c>
      <c r="F1191" s="6" t="s">
        <v>1355</v>
      </c>
      <c r="G1191" s="6">
        <v>717</v>
      </c>
      <c r="H1191" s="6" t="s">
        <v>1070</v>
      </c>
      <c r="I1191" s="33">
        <v>846671.77985028899</v>
      </c>
      <c r="J1191" s="88">
        <v>0.92772241583898718</v>
      </c>
      <c r="K1191" s="89">
        <f t="shared" si="190"/>
        <v>892246.46212216537</v>
      </c>
      <c r="L1191" s="88">
        <f>IF(K1194&gt;0, K1191/K1194, 0)</f>
        <v>0.88317731552556755</v>
      </c>
      <c r="M1191" s="58"/>
      <c r="N1191" s="9">
        <f>ROUND(M1194*L1191,0)</f>
        <v>614696</v>
      </c>
      <c r="O1191" s="9">
        <v>602894</v>
      </c>
      <c r="P1191" s="9">
        <f>N1191-O1191</f>
        <v>11802</v>
      </c>
      <c r="Q1191" s="40">
        <f t="shared" si="189"/>
        <v>1.9575580450294745</v>
      </c>
      <c r="R1191" s="9">
        <v>58.842682924899997</v>
      </c>
      <c r="S1191" s="9">
        <f t="shared" si="187"/>
        <v>59.179104480599996</v>
      </c>
      <c r="T1191" s="90">
        <f t="shared" si="182"/>
        <v>237</v>
      </c>
      <c r="U1191" s="90">
        <f t="shared" si="183"/>
        <v>717</v>
      </c>
      <c r="V1191" s="373">
        <f t="shared" si="184"/>
        <v>1182</v>
      </c>
      <c r="W1191" s="90">
        <f t="shared" si="185"/>
        <v>59.179104480599996</v>
      </c>
      <c r="X1191" s="90">
        <f t="shared" si="186"/>
        <v>892246.46212216537</v>
      </c>
      <c r="Y1191" s="141">
        <f t="shared" si="188"/>
        <v>1182</v>
      </c>
      <c r="Z1191" s="298">
        <v>237</v>
      </c>
      <c r="AA1191" s="299">
        <v>717</v>
      </c>
      <c r="AB1191" s="299">
        <v>1182</v>
      </c>
      <c r="AC1191" s="301">
        <v>59.179104480599996</v>
      </c>
      <c r="AD1191" s="301">
        <v>892246.46212216537</v>
      </c>
      <c r="AE1191" s="126"/>
      <c r="AF1191" s="298"/>
      <c r="AG1191" s="299"/>
      <c r="AH1191" s="299"/>
      <c r="AI1191" s="301"/>
      <c r="AJ1191" s="301"/>
      <c r="AK1191" s="426"/>
      <c r="AL1191" s="298"/>
      <c r="AM1191" s="299"/>
      <c r="AN1191" s="299"/>
      <c r="AO1191" s="301"/>
      <c r="AP1191" s="301"/>
      <c r="AQ1191" s="426"/>
      <c r="AR1191" s="298"/>
      <c r="AS1191" s="299"/>
      <c r="AT1191" s="299"/>
      <c r="AU1191" s="301"/>
      <c r="AV1191" s="301"/>
      <c r="AW1191" s="88"/>
      <c r="AX1191" s="298"/>
      <c r="AY1191" s="299"/>
      <c r="AZ1191" s="299"/>
      <c r="BA1191" s="301"/>
      <c r="BB1191" s="301"/>
      <c r="BC1191" s="426"/>
      <c r="BD1191" s="298"/>
      <c r="BE1191" s="299"/>
      <c r="BF1191" s="299"/>
      <c r="BG1191" s="301"/>
      <c r="BH1191" s="301"/>
      <c r="BI1191" s="88"/>
      <c r="BJ1191" s="298"/>
      <c r="BK1191" s="299"/>
      <c r="BL1191" s="299"/>
      <c r="BM1191" s="301"/>
      <c r="BN1191" s="301"/>
      <c r="BO1191" s="88"/>
      <c r="BP1191" s="9"/>
      <c r="BS1191" s="81"/>
      <c r="BT1191" s="81"/>
      <c r="BV1191" s="9"/>
      <c r="BY1191" s="81"/>
      <c r="BZ1191" s="81"/>
      <c r="CB1191" s="9"/>
      <c r="CE1191" s="81"/>
      <c r="CF1191" s="81"/>
      <c r="CH1191" s="9"/>
      <c r="CK1191" s="81"/>
      <c r="CL1191" s="81"/>
      <c r="CR1191" s="9"/>
      <c r="CS1191" s="9"/>
      <c r="CT1191" s="9"/>
      <c r="CU1191" s="9"/>
      <c r="CV1191" s="9"/>
      <c r="CW1191" s="129"/>
      <c r="CX1191" s="9"/>
    </row>
    <row r="1192" spans="1:102">
      <c r="A1192" s="6" t="str">
        <f t="shared" si="181"/>
        <v>02370998</v>
      </c>
      <c r="B1192" s="6" t="s">
        <v>1887</v>
      </c>
      <c r="C1192" s="6" t="s">
        <v>2091</v>
      </c>
      <c r="D1192" s="6">
        <v>1183</v>
      </c>
      <c r="E1192" s="6">
        <v>237</v>
      </c>
      <c r="F1192" s="6" t="s">
        <v>1547</v>
      </c>
      <c r="G1192" s="6">
        <v>998</v>
      </c>
      <c r="H1192" s="6" t="s">
        <v>1547</v>
      </c>
      <c r="I1192" s="33">
        <v>0</v>
      </c>
      <c r="J1192" s="88">
        <v>0</v>
      </c>
      <c r="K1192" s="89">
        <f t="shared" si="190"/>
        <v>0</v>
      </c>
      <c r="L1192" s="88">
        <f>IF(K1194&gt;0, K1192/K1194, 0)</f>
        <v>0</v>
      </c>
      <c r="M1192" s="58"/>
      <c r="N1192" s="9">
        <f>ROUND(M1194*L1192,0)</f>
        <v>0</v>
      </c>
      <c r="O1192" s="9">
        <v>0</v>
      </c>
      <c r="P1192" s="9">
        <f>N1192-O1192</f>
        <v>0</v>
      </c>
      <c r="Q1192" s="40">
        <f t="shared" si="189"/>
        <v>0</v>
      </c>
      <c r="R1192" s="9">
        <v>0</v>
      </c>
      <c r="S1192" s="9">
        <f t="shared" si="187"/>
        <v>0</v>
      </c>
      <c r="T1192" s="90">
        <f t="shared" si="182"/>
        <v>237</v>
      </c>
      <c r="U1192" s="90">
        <f t="shared" si="183"/>
        <v>998</v>
      </c>
      <c r="V1192" s="373">
        <f t="shared" si="184"/>
        <v>1183</v>
      </c>
      <c r="W1192" s="90">
        <f t="shared" si="185"/>
        <v>0</v>
      </c>
      <c r="X1192" s="90">
        <f t="shared" si="186"/>
        <v>0</v>
      </c>
      <c r="Y1192" s="141">
        <f t="shared" si="188"/>
        <v>1183</v>
      </c>
      <c r="Z1192" s="298">
        <v>237</v>
      </c>
      <c r="AA1192" s="299">
        <v>998</v>
      </c>
      <c r="AB1192" s="299">
        <v>1183</v>
      </c>
      <c r="AC1192" s="301">
        <v>0</v>
      </c>
      <c r="AD1192" s="301">
        <v>0</v>
      </c>
      <c r="AE1192" s="126"/>
      <c r="AF1192" s="298"/>
      <c r="AG1192" s="299"/>
      <c r="AH1192" s="299"/>
      <c r="AI1192" s="301"/>
      <c r="AJ1192" s="301"/>
      <c r="AK1192" s="426"/>
      <c r="AL1192" s="298"/>
      <c r="AM1192" s="299"/>
      <c r="AN1192" s="299"/>
      <c r="AO1192" s="301"/>
      <c r="AP1192" s="301"/>
      <c r="AQ1192" s="426"/>
      <c r="AR1192" s="298"/>
      <c r="AS1192" s="299"/>
      <c r="AT1192" s="299"/>
      <c r="AU1192" s="301"/>
      <c r="AV1192" s="301"/>
      <c r="AW1192" s="88"/>
      <c r="AX1192" s="298"/>
      <c r="AY1192" s="299"/>
      <c r="AZ1192" s="299"/>
      <c r="BA1192" s="301"/>
      <c r="BB1192" s="301"/>
      <c r="BC1192" s="426"/>
      <c r="BD1192" s="298"/>
      <c r="BE1192" s="299"/>
      <c r="BF1192" s="299"/>
      <c r="BG1192" s="301"/>
      <c r="BH1192" s="301"/>
      <c r="BI1192" s="88"/>
      <c r="BJ1192" s="298"/>
      <c r="BK1192" s="299"/>
      <c r="BL1192" s="299"/>
      <c r="BM1192" s="301"/>
      <c r="BN1192" s="301"/>
      <c r="BO1192" s="88"/>
      <c r="BP1192" s="9"/>
      <c r="BS1192" s="81"/>
      <c r="BT1192" s="81"/>
      <c r="BV1192" s="9"/>
      <c r="BY1192" s="81"/>
      <c r="BZ1192" s="81"/>
      <c r="CB1192" s="9"/>
      <c r="CE1192" s="81"/>
      <c r="CF1192" s="81"/>
      <c r="CH1192" s="9"/>
      <c r="CK1192" s="81"/>
      <c r="CL1192" s="81"/>
      <c r="CR1192" s="9"/>
      <c r="CS1192" s="9"/>
      <c r="CT1192" s="9"/>
      <c r="CU1192" s="9"/>
      <c r="CV1192" s="9"/>
      <c r="CW1192" s="129"/>
      <c r="CX1192" s="9"/>
    </row>
    <row r="1193" spans="1:102">
      <c r="A1193" s="6" t="str">
        <f t="shared" si="181"/>
        <v>02370998</v>
      </c>
      <c r="B1193" s="6" t="s">
        <v>1887</v>
      </c>
      <c r="C1193" s="6" t="s">
        <v>2091</v>
      </c>
      <c r="D1193" s="6">
        <v>1184</v>
      </c>
      <c r="E1193" s="6">
        <v>237</v>
      </c>
      <c r="F1193" s="6" t="s">
        <v>1547</v>
      </c>
      <c r="G1193" s="6">
        <v>998</v>
      </c>
      <c r="H1193" s="6" t="s">
        <v>1547</v>
      </c>
      <c r="I1193" s="33">
        <v>0</v>
      </c>
      <c r="J1193" s="88">
        <v>0</v>
      </c>
      <c r="K1193" s="89">
        <f t="shared" si="190"/>
        <v>0</v>
      </c>
      <c r="L1193" s="88">
        <f>IF(K1194&gt;0, K1193/K1194, 0)</f>
        <v>0</v>
      </c>
      <c r="M1193" s="58"/>
      <c r="N1193" s="9">
        <f>ROUND(M1194*L1193,0)</f>
        <v>0</v>
      </c>
      <c r="O1193" s="9">
        <v>0</v>
      </c>
      <c r="P1193" s="9">
        <f>N1193-O1193</f>
        <v>0</v>
      </c>
      <c r="Q1193" s="40">
        <f t="shared" si="189"/>
        <v>0</v>
      </c>
      <c r="R1193" s="9">
        <v>0</v>
      </c>
      <c r="S1193" s="9">
        <f t="shared" si="187"/>
        <v>0</v>
      </c>
      <c r="T1193" s="90">
        <f t="shared" si="182"/>
        <v>237</v>
      </c>
      <c r="U1193" s="90">
        <f t="shared" si="183"/>
        <v>998</v>
      </c>
      <c r="V1193" s="373">
        <f t="shared" si="184"/>
        <v>1184</v>
      </c>
      <c r="W1193" s="90">
        <f t="shared" si="185"/>
        <v>0</v>
      </c>
      <c r="X1193" s="90">
        <f t="shared" si="186"/>
        <v>0</v>
      </c>
      <c r="Y1193" s="141">
        <f t="shared" si="188"/>
        <v>1184</v>
      </c>
      <c r="Z1193" s="298">
        <v>237</v>
      </c>
      <c r="AA1193" s="299">
        <v>998</v>
      </c>
      <c r="AB1193" s="299">
        <v>1184</v>
      </c>
      <c r="AC1193" s="301">
        <v>0</v>
      </c>
      <c r="AD1193" s="301">
        <v>0</v>
      </c>
      <c r="AE1193" s="126"/>
      <c r="AF1193" s="298"/>
      <c r="AG1193" s="299"/>
      <c r="AH1193" s="299"/>
      <c r="AI1193" s="301"/>
      <c r="AJ1193" s="301"/>
      <c r="AK1193" s="426"/>
      <c r="AL1193" s="298"/>
      <c r="AM1193" s="299"/>
      <c r="AN1193" s="299"/>
      <c r="AO1193" s="301"/>
      <c r="AP1193" s="301"/>
      <c r="AQ1193" s="426"/>
      <c r="AR1193" s="298"/>
      <c r="AS1193" s="299"/>
      <c r="AT1193" s="299"/>
      <c r="AU1193" s="301"/>
      <c r="AV1193" s="301"/>
      <c r="AW1193" s="88"/>
      <c r="AX1193" s="298"/>
      <c r="AY1193" s="299"/>
      <c r="AZ1193" s="299"/>
      <c r="BA1193" s="301"/>
      <c r="BB1193" s="301"/>
      <c r="BC1193" s="426"/>
      <c r="BD1193" s="298"/>
      <c r="BE1193" s="299"/>
      <c r="BF1193" s="299"/>
      <c r="BG1193" s="301"/>
      <c r="BH1193" s="301"/>
      <c r="BI1193" s="88"/>
      <c r="BJ1193" s="298"/>
      <c r="BK1193" s="299"/>
      <c r="BL1193" s="299"/>
      <c r="BM1193" s="301"/>
      <c r="BN1193" s="301"/>
      <c r="BO1193" s="88"/>
      <c r="BP1193" s="9"/>
      <c r="BS1193" s="81"/>
      <c r="BT1193" s="81"/>
      <c r="BV1193" s="9"/>
      <c r="BY1193" s="81"/>
      <c r="BZ1193" s="81"/>
      <c r="CB1193" s="9"/>
      <c r="CE1193" s="81"/>
      <c r="CF1193" s="81"/>
      <c r="CH1193" s="9"/>
      <c r="CK1193" s="81"/>
      <c r="CL1193" s="81"/>
      <c r="CR1193" s="9"/>
      <c r="CS1193" s="9"/>
      <c r="CT1193" s="9"/>
      <c r="CU1193" s="9"/>
      <c r="CV1193" s="9"/>
      <c r="CW1193" s="129"/>
      <c r="CX1193" s="9"/>
    </row>
    <row r="1194" spans="1:102">
      <c r="A1194" s="6" t="str">
        <f t="shared" si="181"/>
        <v>02370999</v>
      </c>
      <c r="B1194" s="6" t="s">
        <v>1887</v>
      </c>
      <c r="C1194" s="6" t="s">
        <v>2092</v>
      </c>
      <c r="D1194" s="6">
        <v>1185</v>
      </c>
      <c r="E1194" s="10">
        <v>237</v>
      </c>
      <c r="F1194" s="10" t="s">
        <v>1355</v>
      </c>
      <c r="G1194" s="10">
        <v>999</v>
      </c>
      <c r="H1194" s="10" t="s">
        <v>593</v>
      </c>
      <c r="I1194" s="92">
        <v>912634.81985028903</v>
      </c>
      <c r="J1194" s="472">
        <v>1</v>
      </c>
      <c r="K1194" s="53">
        <f>SUM(K1190:K1193)</f>
        <v>1010268.7721221654</v>
      </c>
      <c r="L1194" s="91">
        <f>SUM(L1190:L1193)</f>
        <v>1</v>
      </c>
      <c r="M1194" s="79">
        <f>VLOOKUP(E1194,town351,24)</f>
        <v>696005</v>
      </c>
      <c r="N1194" s="79">
        <f>SUM(N1190:N1193)</f>
        <v>696005</v>
      </c>
      <c r="O1194" s="79">
        <v>649865</v>
      </c>
      <c r="P1194" s="79">
        <f>SUM(P1190:P1193)</f>
        <v>46140</v>
      </c>
      <c r="Q1194" s="39">
        <f t="shared" si="189"/>
        <v>7.0999361405830443</v>
      </c>
      <c r="R1194" s="9">
        <v>62.842682924899997</v>
      </c>
      <c r="S1194" s="9">
        <f t="shared" si="187"/>
        <v>66.179104480599989</v>
      </c>
      <c r="T1194" s="90">
        <f t="shared" si="182"/>
        <v>237</v>
      </c>
      <c r="U1194" s="90">
        <f t="shared" si="183"/>
        <v>999</v>
      </c>
      <c r="V1194" s="373">
        <f t="shared" si="184"/>
        <v>1185</v>
      </c>
      <c r="W1194" s="90">
        <f t="shared" si="185"/>
        <v>66.179104480599989</v>
      </c>
      <c r="X1194" s="90">
        <f t="shared" si="186"/>
        <v>1010268.7721221654</v>
      </c>
      <c r="Y1194" s="141">
        <f t="shared" si="188"/>
        <v>1185</v>
      </c>
      <c r="Z1194" s="298">
        <v>237</v>
      </c>
      <c r="AA1194" s="299">
        <v>999</v>
      </c>
      <c r="AB1194" s="299">
        <v>1185</v>
      </c>
      <c r="AC1194" s="301">
        <v>66.179104480599989</v>
      </c>
      <c r="AD1194" s="301">
        <v>1010268.7721221654</v>
      </c>
      <c r="AE1194" s="126"/>
      <c r="AF1194" s="298"/>
      <c r="AG1194" s="299"/>
      <c r="AH1194" s="299"/>
      <c r="AI1194" s="301"/>
      <c r="AJ1194" s="301"/>
      <c r="AK1194" s="426"/>
      <c r="AL1194" s="298"/>
      <c r="AM1194" s="299"/>
      <c r="AN1194" s="299"/>
      <c r="AO1194" s="301"/>
      <c r="AP1194" s="301"/>
      <c r="AQ1194" s="426"/>
      <c r="AR1194" s="298"/>
      <c r="AS1194" s="299"/>
      <c r="AT1194" s="299"/>
      <c r="AU1194" s="301"/>
      <c r="AV1194" s="301"/>
      <c r="AW1194" s="91"/>
      <c r="AX1194" s="298"/>
      <c r="AY1194" s="299"/>
      <c r="AZ1194" s="299"/>
      <c r="BA1194" s="301"/>
      <c r="BB1194" s="301"/>
      <c r="BC1194" s="426"/>
      <c r="BD1194" s="298"/>
      <c r="BE1194" s="299"/>
      <c r="BF1194" s="299"/>
      <c r="BG1194" s="301"/>
      <c r="BH1194" s="301"/>
      <c r="BI1194" s="91"/>
      <c r="BJ1194" s="298"/>
      <c r="BK1194" s="299"/>
      <c r="BL1194" s="299"/>
      <c r="BM1194" s="301"/>
      <c r="BN1194" s="301"/>
      <c r="BO1194" s="91"/>
      <c r="BP1194" s="9"/>
      <c r="BS1194" s="81"/>
      <c r="BT1194" s="81"/>
      <c r="BV1194" s="9"/>
      <c r="BY1194" s="81"/>
      <c r="BZ1194" s="81"/>
      <c r="CB1194" s="9"/>
      <c r="CE1194" s="81"/>
      <c r="CF1194" s="81"/>
      <c r="CH1194" s="9"/>
      <c r="CK1194" s="81"/>
      <c r="CL1194" s="81"/>
      <c r="CR1194" s="9"/>
      <c r="CS1194" s="9"/>
      <c r="CT1194" s="9"/>
      <c r="CU1194" s="9"/>
      <c r="CV1194" s="9"/>
      <c r="CW1194" s="129"/>
      <c r="CX1194" s="9"/>
    </row>
    <row r="1195" spans="1:102">
      <c r="A1195" s="6" t="str">
        <f t="shared" si="181"/>
        <v>02380238</v>
      </c>
      <c r="B1195" s="6" t="s">
        <v>1888</v>
      </c>
      <c r="C1195" s="6" t="s">
        <v>1888</v>
      </c>
      <c r="D1195" s="6">
        <v>1186</v>
      </c>
      <c r="E1195" s="6">
        <v>238</v>
      </c>
      <c r="F1195" s="6" t="s">
        <v>1356</v>
      </c>
      <c r="G1195" s="6">
        <v>238</v>
      </c>
      <c r="H1195" s="6" t="s">
        <v>919</v>
      </c>
      <c r="I1195" s="33">
        <v>8340185.2700000005</v>
      </c>
      <c r="J1195" s="88">
        <v>0.48748927761434646</v>
      </c>
      <c r="K1195" s="89">
        <f>X1195</f>
        <v>8367252.290000001</v>
      </c>
      <c r="L1195" s="88">
        <f>IF(K1199&gt;0, K1195/K1199, 0)</f>
        <v>0.47158851429143372</v>
      </c>
      <c r="M1195" s="58"/>
      <c r="N1195" s="9">
        <f>ROUND(M1199*L1195,0)</f>
        <v>6374798</v>
      </c>
      <c r="O1195" s="9">
        <v>6122586</v>
      </c>
      <c r="P1195" s="9">
        <f>N1195-O1195</f>
        <v>252212</v>
      </c>
      <c r="Q1195" s="40">
        <f t="shared" si="189"/>
        <v>4.1193704751554323</v>
      </c>
      <c r="R1195" s="9">
        <v>655</v>
      </c>
      <c r="S1195" s="9">
        <f t="shared" si="187"/>
        <v>633</v>
      </c>
      <c r="T1195" s="90">
        <f t="shared" si="182"/>
        <v>238</v>
      </c>
      <c r="U1195" s="90">
        <f t="shared" si="183"/>
        <v>238</v>
      </c>
      <c r="V1195" s="373">
        <f t="shared" si="184"/>
        <v>1186</v>
      </c>
      <c r="W1195" s="90">
        <f t="shared" si="185"/>
        <v>633</v>
      </c>
      <c r="X1195" s="90">
        <f t="shared" si="186"/>
        <v>8367252.290000001</v>
      </c>
      <c r="Y1195" s="141">
        <f t="shared" si="188"/>
        <v>1186</v>
      </c>
      <c r="Z1195" s="298">
        <v>238</v>
      </c>
      <c r="AA1195" s="299">
        <v>238</v>
      </c>
      <c r="AB1195" s="299">
        <v>1186</v>
      </c>
      <c r="AC1195" s="301">
        <v>633</v>
      </c>
      <c r="AD1195" s="301">
        <v>8367252.290000001</v>
      </c>
      <c r="AE1195" s="126"/>
      <c r="AF1195" s="298"/>
      <c r="AG1195" s="299"/>
      <c r="AH1195" s="299"/>
      <c r="AI1195" s="301"/>
      <c r="AJ1195" s="301"/>
      <c r="AK1195" s="426"/>
      <c r="AL1195" s="298"/>
      <c r="AM1195" s="299"/>
      <c r="AN1195" s="299"/>
      <c r="AO1195" s="301"/>
      <c r="AP1195" s="301"/>
      <c r="AQ1195" s="426"/>
      <c r="AR1195" s="298"/>
      <c r="AS1195" s="299"/>
      <c r="AT1195" s="299"/>
      <c r="AU1195" s="301"/>
      <c r="AV1195" s="301"/>
      <c r="AW1195" s="88"/>
      <c r="AX1195" s="298"/>
      <c r="AY1195" s="299"/>
      <c r="AZ1195" s="299"/>
      <c r="BA1195" s="301"/>
      <c r="BB1195" s="301"/>
      <c r="BC1195" s="426"/>
      <c r="BD1195" s="298"/>
      <c r="BE1195" s="299"/>
      <c r="BF1195" s="299"/>
      <c r="BG1195" s="301"/>
      <c r="BH1195" s="301"/>
      <c r="BI1195" s="88"/>
      <c r="BJ1195" s="298"/>
      <c r="BK1195" s="299"/>
      <c r="BL1195" s="299"/>
      <c r="BM1195" s="301"/>
      <c r="BN1195" s="301"/>
      <c r="BO1195" s="88"/>
      <c r="BP1195" s="9"/>
      <c r="BS1195" s="81"/>
      <c r="BT1195" s="81"/>
      <c r="BV1195" s="9"/>
      <c r="BY1195" s="81"/>
      <c r="BZ1195" s="81"/>
      <c r="CB1195" s="9"/>
      <c r="CE1195" s="81"/>
      <c r="CF1195" s="81"/>
      <c r="CH1195" s="9"/>
      <c r="CK1195" s="81"/>
      <c r="CL1195" s="81"/>
      <c r="CR1195" s="9"/>
      <c r="CS1195" s="9"/>
      <c r="CT1195" s="9"/>
      <c r="CU1195" s="9"/>
      <c r="CV1195" s="9"/>
      <c r="CW1195" s="129"/>
      <c r="CX1195" s="9"/>
    </row>
    <row r="1196" spans="1:102">
      <c r="A1196" s="6" t="str">
        <f t="shared" si="181"/>
        <v>02380690</v>
      </c>
      <c r="B1196" s="6" t="s">
        <v>1888</v>
      </c>
      <c r="C1196" s="6" t="s">
        <v>2032</v>
      </c>
      <c r="D1196" s="6">
        <v>1187</v>
      </c>
      <c r="E1196" s="6">
        <v>238</v>
      </c>
      <c r="F1196" s="6" t="s">
        <v>1356</v>
      </c>
      <c r="G1196" s="6">
        <v>690</v>
      </c>
      <c r="H1196" s="6" t="s">
        <v>1062</v>
      </c>
      <c r="I1196" s="33">
        <v>6364984.643587199</v>
      </c>
      <c r="J1196" s="88">
        <v>0.37203751061620383</v>
      </c>
      <c r="K1196" s="89">
        <f t="shared" si="190"/>
        <v>7134607.4095849413</v>
      </c>
      <c r="L1196" s="88">
        <f>IF(K1199&gt;0, K1196/K1199, 0)</f>
        <v>0.40211514983956781</v>
      </c>
      <c r="M1196" s="58"/>
      <c r="N1196" s="9">
        <f>ROUND(M1199*L1196,0)</f>
        <v>5435677</v>
      </c>
      <c r="O1196" s="9">
        <v>4672578</v>
      </c>
      <c r="P1196" s="9">
        <f>N1196-O1196</f>
        <v>763099</v>
      </c>
      <c r="Q1196" s="40">
        <f t="shared" si="189"/>
        <v>16.331434167605121</v>
      </c>
      <c r="R1196" s="9">
        <v>485.25580168072003</v>
      </c>
      <c r="S1196" s="9">
        <f t="shared" si="187"/>
        <v>532.27129015295998</v>
      </c>
      <c r="T1196" s="90">
        <f t="shared" si="182"/>
        <v>238</v>
      </c>
      <c r="U1196" s="90">
        <f t="shared" si="183"/>
        <v>690</v>
      </c>
      <c r="V1196" s="373">
        <f t="shared" si="184"/>
        <v>1187</v>
      </c>
      <c r="W1196" s="90">
        <f t="shared" si="185"/>
        <v>532.27129015295998</v>
      </c>
      <c r="X1196" s="90">
        <f t="shared" si="186"/>
        <v>7134607.4095849413</v>
      </c>
      <c r="Y1196" s="141">
        <f t="shared" si="188"/>
        <v>1187</v>
      </c>
      <c r="Z1196" s="298">
        <v>238</v>
      </c>
      <c r="AA1196" s="299">
        <v>690</v>
      </c>
      <c r="AB1196" s="299">
        <v>1187</v>
      </c>
      <c r="AC1196" s="301">
        <v>532.27129015295998</v>
      </c>
      <c r="AD1196" s="301">
        <v>7134607.4095849413</v>
      </c>
      <c r="AE1196" s="126"/>
      <c r="AF1196" s="298"/>
      <c r="AG1196" s="299"/>
      <c r="AH1196" s="299"/>
      <c r="AI1196" s="301"/>
      <c r="AJ1196" s="301"/>
      <c r="AK1196" s="426"/>
      <c r="AL1196" s="298"/>
      <c r="AM1196" s="299"/>
      <c r="AN1196" s="299"/>
      <c r="AO1196" s="301"/>
      <c r="AP1196" s="301"/>
      <c r="AQ1196" s="426"/>
      <c r="AR1196" s="298"/>
      <c r="AS1196" s="299"/>
      <c r="AT1196" s="299"/>
      <c r="AU1196" s="301"/>
      <c r="AV1196" s="301"/>
      <c r="AW1196" s="88"/>
      <c r="AX1196" s="298"/>
      <c r="AY1196" s="299"/>
      <c r="AZ1196" s="299"/>
      <c r="BA1196" s="301"/>
      <c r="BB1196" s="301"/>
      <c r="BC1196" s="426"/>
      <c r="BD1196" s="298"/>
      <c r="BE1196" s="299"/>
      <c r="BF1196" s="299"/>
      <c r="BG1196" s="301"/>
      <c r="BH1196" s="301"/>
      <c r="BI1196" s="88"/>
      <c r="BJ1196" s="298"/>
      <c r="BK1196" s="299"/>
      <c r="BL1196" s="299"/>
      <c r="BM1196" s="301"/>
      <c r="BN1196" s="301"/>
      <c r="BO1196" s="88"/>
      <c r="BP1196" s="9"/>
      <c r="BS1196" s="81"/>
      <c r="BT1196" s="81"/>
      <c r="BV1196" s="9"/>
      <c r="BY1196" s="81"/>
      <c r="BZ1196" s="81"/>
      <c r="CB1196" s="9"/>
      <c r="CE1196" s="81"/>
      <c r="CF1196" s="81"/>
      <c r="CH1196" s="9"/>
      <c r="CK1196" s="81"/>
      <c r="CL1196" s="81"/>
      <c r="CR1196" s="9"/>
      <c r="CS1196" s="9"/>
      <c r="CT1196" s="9"/>
      <c r="CU1196" s="9"/>
      <c r="CV1196" s="9"/>
      <c r="CW1196" s="129"/>
      <c r="CX1196" s="9"/>
    </row>
    <row r="1197" spans="1:102">
      <c r="A1197" s="6" t="str">
        <f t="shared" si="181"/>
        <v>02380878</v>
      </c>
      <c r="B1197" s="6" t="s">
        <v>1888</v>
      </c>
      <c r="C1197" s="6" t="s">
        <v>2085</v>
      </c>
      <c r="D1197" s="6">
        <v>1188</v>
      </c>
      <c r="E1197" s="6">
        <v>238</v>
      </c>
      <c r="F1197" s="6" t="s">
        <v>1356</v>
      </c>
      <c r="G1197" s="6">
        <v>878</v>
      </c>
      <c r="H1197" s="6" t="s">
        <v>1115</v>
      </c>
      <c r="I1197" s="33">
        <v>2317171.9974342589</v>
      </c>
      <c r="J1197" s="88">
        <v>0.1354402170417755</v>
      </c>
      <c r="K1197" s="89">
        <f t="shared" si="190"/>
        <v>2174765.7500375779</v>
      </c>
      <c r="L1197" s="88">
        <f>IF(K1199&gt;0, K1197/K1199, 0)</f>
        <v>0.12257244235575891</v>
      </c>
      <c r="M1197" s="58"/>
      <c r="N1197" s="9">
        <f>ROUND(M1199*L1197,0)</f>
        <v>1656899</v>
      </c>
      <c r="O1197" s="9">
        <v>1701052</v>
      </c>
      <c r="P1197" s="9">
        <f>N1197-O1197</f>
        <v>-44153</v>
      </c>
      <c r="Q1197" s="40">
        <f t="shared" si="189"/>
        <v>-2.5956290577830661</v>
      </c>
      <c r="R1197" s="9">
        <v>112.99999999695</v>
      </c>
      <c r="S1197" s="9">
        <f t="shared" si="187"/>
        <v>104.00000000226001</v>
      </c>
      <c r="T1197" s="90">
        <f t="shared" si="182"/>
        <v>238</v>
      </c>
      <c r="U1197" s="90">
        <f t="shared" si="183"/>
        <v>878</v>
      </c>
      <c r="V1197" s="373">
        <f t="shared" si="184"/>
        <v>1188</v>
      </c>
      <c r="W1197" s="90">
        <f t="shared" si="185"/>
        <v>104.00000000226001</v>
      </c>
      <c r="X1197" s="90">
        <f t="shared" si="186"/>
        <v>2174765.7500375779</v>
      </c>
      <c r="Y1197" s="141">
        <f t="shared" si="188"/>
        <v>1188</v>
      </c>
      <c r="Z1197" s="298">
        <v>238</v>
      </c>
      <c r="AA1197" s="299">
        <v>878</v>
      </c>
      <c r="AB1197" s="299">
        <v>1188</v>
      </c>
      <c r="AC1197" s="301">
        <v>104.00000000226001</v>
      </c>
      <c r="AD1197" s="301">
        <v>2174765.7500375779</v>
      </c>
      <c r="AE1197" s="126"/>
      <c r="AF1197" s="298"/>
      <c r="AG1197" s="299"/>
      <c r="AH1197" s="299"/>
      <c r="AI1197" s="301"/>
      <c r="AJ1197" s="301"/>
      <c r="AK1197" s="426"/>
      <c r="AL1197" s="298"/>
      <c r="AM1197" s="299"/>
      <c r="AN1197" s="299"/>
      <c r="AO1197" s="301"/>
      <c r="AP1197" s="301"/>
      <c r="AQ1197" s="426"/>
      <c r="AR1197" s="298"/>
      <c r="AS1197" s="299"/>
      <c r="AT1197" s="299"/>
      <c r="AU1197" s="301"/>
      <c r="AV1197" s="301"/>
      <c r="AW1197" s="88"/>
      <c r="AX1197" s="298"/>
      <c r="AY1197" s="299"/>
      <c r="AZ1197" s="299"/>
      <c r="BA1197" s="301"/>
      <c r="BB1197" s="301"/>
      <c r="BC1197" s="426"/>
      <c r="BD1197" s="298"/>
      <c r="BE1197" s="299"/>
      <c r="BF1197" s="299"/>
      <c r="BG1197" s="301"/>
      <c r="BH1197" s="301"/>
      <c r="BI1197" s="88"/>
      <c r="BJ1197" s="298"/>
      <c r="BK1197" s="299"/>
      <c r="BL1197" s="299"/>
      <c r="BM1197" s="301"/>
      <c r="BN1197" s="301"/>
      <c r="BO1197" s="88"/>
      <c r="BP1197" s="9"/>
      <c r="BS1197" s="81"/>
      <c r="BT1197" s="81"/>
      <c r="BV1197" s="9"/>
      <c r="BY1197" s="81"/>
      <c r="BZ1197" s="81"/>
      <c r="CB1197" s="9"/>
      <c r="CE1197" s="81"/>
      <c r="CF1197" s="81"/>
      <c r="CH1197" s="9"/>
      <c r="CK1197" s="81"/>
      <c r="CL1197" s="81"/>
      <c r="CR1197" s="9"/>
      <c r="CS1197" s="9"/>
      <c r="CT1197" s="9"/>
      <c r="CU1197" s="9"/>
      <c r="CV1197" s="9"/>
      <c r="CW1197" s="129"/>
      <c r="CX1197" s="9"/>
    </row>
    <row r="1198" spans="1:102">
      <c r="A1198" s="6" t="str">
        <f t="shared" si="181"/>
        <v>02380915</v>
      </c>
      <c r="B1198" s="6" t="s">
        <v>1888</v>
      </c>
      <c r="C1198" s="6" t="s">
        <v>2089</v>
      </c>
      <c r="D1198" s="6">
        <v>1189</v>
      </c>
      <c r="E1198" s="6">
        <v>238</v>
      </c>
      <c r="F1198" s="6" t="s">
        <v>1356</v>
      </c>
      <c r="G1198" s="6">
        <v>915</v>
      </c>
      <c r="H1198" s="6" t="s">
        <v>1119</v>
      </c>
      <c r="I1198" s="33">
        <v>86106.731818094282</v>
      </c>
      <c r="J1198" s="88">
        <v>5.0329947276740823E-3</v>
      </c>
      <c r="K1198" s="89">
        <f t="shared" si="190"/>
        <v>66071.915625820518</v>
      </c>
      <c r="L1198" s="88">
        <f>IF(K1199&gt;0, K1198/K1199, 0)</f>
        <v>3.7238935132395366E-3</v>
      </c>
      <c r="M1198" s="58"/>
      <c r="N1198" s="9">
        <f>ROUND(M1199*L1198,0)</f>
        <v>50339</v>
      </c>
      <c r="O1198" s="9">
        <v>63212</v>
      </c>
      <c r="P1198" s="9">
        <f>N1198-O1198</f>
        <v>-12873</v>
      </c>
      <c r="Q1198" s="40">
        <f t="shared" si="189"/>
        <v>-20.364804151110548</v>
      </c>
      <c r="R1198" s="9">
        <v>4.00000000004</v>
      </c>
      <c r="S1198" s="9">
        <f t="shared" si="187"/>
        <v>2.9999999991199999</v>
      </c>
      <c r="T1198" s="90">
        <f t="shared" si="182"/>
        <v>238</v>
      </c>
      <c r="U1198" s="90">
        <f t="shared" si="183"/>
        <v>915</v>
      </c>
      <c r="V1198" s="373">
        <f t="shared" si="184"/>
        <v>1189</v>
      </c>
      <c r="W1198" s="90">
        <f t="shared" si="185"/>
        <v>2.9999999991199999</v>
      </c>
      <c r="X1198" s="90">
        <f t="shared" si="186"/>
        <v>66071.915625820518</v>
      </c>
      <c r="Y1198" s="141">
        <f t="shared" si="188"/>
        <v>1189</v>
      </c>
      <c r="Z1198" s="298">
        <v>238</v>
      </c>
      <c r="AA1198" s="299">
        <v>915</v>
      </c>
      <c r="AB1198" s="299">
        <v>1189</v>
      </c>
      <c r="AC1198" s="301">
        <v>2.9999999991199999</v>
      </c>
      <c r="AD1198" s="301">
        <v>66071.915625820518</v>
      </c>
      <c r="AE1198" s="126"/>
      <c r="AF1198" s="298"/>
      <c r="AG1198" s="299"/>
      <c r="AH1198" s="299"/>
      <c r="AI1198" s="301"/>
      <c r="AJ1198" s="301"/>
      <c r="AK1198" s="426"/>
      <c r="AL1198" s="298"/>
      <c r="AM1198" s="299"/>
      <c r="AN1198" s="299"/>
      <c r="AO1198" s="301"/>
      <c r="AP1198" s="301"/>
      <c r="AQ1198" s="426"/>
      <c r="AR1198" s="298"/>
      <c r="AS1198" s="299"/>
      <c r="AT1198" s="299"/>
      <c r="AU1198" s="301"/>
      <c r="AV1198" s="301"/>
      <c r="AW1198" s="88"/>
      <c r="AX1198" s="298"/>
      <c r="AY1198" s="299"/>
      <c r="AZ1198" s="299"/>
      <c r="BA1198" s="301"/>
      <c r="BB1198" s="301"/>
      <c r="BC1198" s="426"/>
      <c r="BD1198" s="298"/>
      <c r="BE1198" s="299"/>
      <c r="BF1198" s="299"/>
      <c r="BG1198" s="301"/>
      <c r="BH1198" s="301"/>
      <c r="BI1198" s="88"/>
      <c r="BJ1198" s="298"/>
      <c r="BK1198" s="299"/>
      <c r="BL1198" s="299"/>
      <c r="BM1198" s="301"/>
      <c r="BN1198" s="301"/>
      <c r="BO1198" s="88"/>
      <c r="BP1198" s="9"/>
      <c r="BS1198" s="81"/>
      <c r="BT1198" s="81"/>
      <c r="BV1198" s="9"/>
      <c r="BY1198" s="81"/>
      <c r="BZ1198" s="81"/>
      <c r="CB1198" s="9"/>
      <c r="CE1198" s="81"/>
      <c r="CF1198" s="81"/>
      <c r="CH1198" s="9"/>
      <c r="CK1198" s="81"/>
      <c r="CL1198" s="81"/>
      <c r="CR1198" s="9"/>
      <c r="CS1198" s="9"/>
      <c r="CT1198" s="9"/>
      <c r="CU1198" s="9"/>
      <c r="CV1198" s="9"/>
      <c r="CW1198" s="129"/>
      <c r="CX1198" s="9"/>
    </row>
    <row r="1199" spans="1:102">
      <c r="A1199" s="6" t="str">
        <f t="shared" si="181"/>
        <v>02380999</v>
      </c>
      <c r="B1199" s="6" t="s">
        <v>1888</v>
      </c>
      <c r="C1199" s="6" t="s">
        <v>2092</v>
      </c>
      <c r="D1199" s="6">
        <v>1190</v>
      </c>
      <c r="E1199" s="10">
        <v>238</v>
      </c>
      <c r="F1199" s="10" t="s">
        <v>1356</v>
      </c>
      <c r="G1199" s="10">
        <v>999</v>
      </c>
      <c r="H1199" s="10" t="s">
        <v>593</v>
      </c>
      <c r="I1199" s="92">
        <v>17108448.642839555</v>
      </c>
      <c r="J1199" s="472">
        <v>0.99999999999999989</v>
      </c>
      <c r="K1199" s="53">
        <f>SUM(K1195:K1198)</f>
        <v>17742697.365248341</v>
      </c>
      <c r="L1199" s="91">
        <f>SUM(L1195:L1198)</f>
        <v>1</v>
      </c>
      <c r="M1199" s="79">
        <f>VLOOKUP(E1199,town351,24)</f>
        <v>13517712</v>
      </c>
      <c r="N1199" s="79">
        <f>SUM(N1195:N1198)</f>
        <v>13517713</v>
      </c>
      <c r="O1199" s="79">
        <v>12559428</v>
      </c>
      <c r="P1199" s="79">
        <f>SUM(P1195:P1198)</f>
        <v>958285</v>
      </c>
      <c r="Q1199" s="39">
        <f t="shared" si="189"/>
        <v>7.6300051244371954</v>
      </c>
      <c r="R1199" s="9">
        <v>1257.25580167771</v>
      </c>
      <c r="S1199" s="9">
        <f t="shared" si="187"/>
        <v>1272.27129015434</v>
      </c>
      <c r="T1199" s="90">
        <f t="shared" si="182"/>
        <v>238</v>
      </c>
      <c r="U1199" s="90">
        <f t="shared" si="183"/>
        <v>999</v>
      </c>
      <c r="V1199" s="373">
        <f t="shared" si="184"/>
        <v>1190</v>
      </c>
      <c r="W1199" s="90">
        <f t="shared" si="185"/>
        <v>1272.27129015434</v>
      </c>
      <c r="X1199" s="90">
        <f t="shared" si="186"/>
        <v>17742697.365248341</v>
      </c>
      <c r="Y1199" s="141">
        <f t="shared" si="188"/>
        <v>1190</v>
      </c>
      <c r="Z1199" s="298">
        <v>238</v>
      </c>
      <c r="AA1199" s="299">
        <v>999</v>
      </c>
      <c r="AB1199" s="299">
        <v>1190</v>
      </c>
      <c r="AC1199" s="301">
        <v>1272.27129015434</v>
      </c>
      <c r="AD1199" s="301">
        <v>17742697.365248341</v>
      </c>
      <c r="AE1199" s="126"/>
      <c r="AF1199" s="298"/>
      <c r="AG1199" s="299"/>
      <c r="AH1199" s="299"/>
      <c r="AI1199" s="301"/>
      <c r="AJ1199" s="301"/>
      <c r="AK1199" s="426"/>
      <c r="AL1199" s="298"/>
      <c r="AM1199" s="299"/>
      <c r="AN1199" s="299"/>
      <c r="AO1199" s="301"/>
      <c r="AP1199" s="301"/>
      <c r="AQ1199" s="426"/>
      <c r="AR1199" s="298"/>
      <c r="AS1199" s="299"/>
      <c r="AT1199" s="299"/>
      <c r="AU1199" s="301"/>
      <c r="AV1199" s="301"/>
      <c r="AW1199" s="91"/>
      <c r="AX1199" s="298"/>
      <c r="AY1199" s="299"/>
      <c r="AZ1199" s="299"/>
      <c r="BA1199" s="301"/>
      <c r="BB1199" s="301"/>
      <c r="BC1199" s="426"/>
      <c r="BD1199" s="298"/>
      <c r="BE1199" s="299"/>
      <c r="BF1199" s="299"/>
      <c r="BG1199" s="301"/>
      <c r="BH1199" s="301"/>
      <c r="BI1199" s="91"/>
      <c r="BJ1199" s="298"/>
      <c r="BK1199" s="299"/>
      <c r="BL1199" s="299"/>
      <c r="BM1199" s="301"/>
      <c r="BN1199" s="301"/>
      <c r="BO1199" s="91"/>
      <c r="BP1199" s="9"/>
      <c r="BS1199" s="81"/>
      <c r="BT1199" s="81"/>
      <c r="BV1199" s="9"/>
      <c r="BY1199" s="81"/>
      <c r="BZ1199" s="81"/>
      <c r="CB1199" s="9"/>
      <c r="CE1199" s="81"/>
      <c r="CF1199" s="81"/>
      <c r="CH1199" s="9"/>
      <c r="CK1199" s="81"/>
      <c r="CL1199" s="81"/>
      <c r="CR1199" s="9"/>
      <c r="CS1199" s="9"/>
      <c r="CT1199" s="9"/>
      <c r="CU1199" s="9"/>
      <c r="CV1199" s="9"/>
      <c r="CW1199" s="129"/>
      <c r="CX1199" s="9"/>
    </row>
    <row r="1200" spans="1:102">
      <c r="A1200" s="6" t="str">
        <f t="shared" si="181"/>
        <v>02390239</v>
      </c>
      <c r="B1200" s="6" t="s">
        <v>1889</v>
      </c>
      <c r="C1200" s="6" t="s">
        <v>1889</v>
      </c>
      <c r="D1200" s="6">
        <v>1191</v>
      </c>
      <c r="E1200" s="6">
        <v>239</v>
      </c>
      <c r="F1200" s="6" t="s">
        <v>1357</v>
      </c>
      <c r="G1200" s="6">
        <v>239</v>
      </c>
      <c r="H1200" s="6" t="s">
        <v>920</v>
      </c>
      <c r="I1200" s="33">
        <v>111949866.57694001</v>
      </c>
      <c r="J1200" s="88">
        <v>1</v>
      </c>
      <c r="K1200" s="89">
        <f>X1200</f>
        <v>112170810.485</v>
      </c>
      <c r="L1200" s="88">
        <f>IF(K1204&gt;0, K1200/K1204, 0)</f>
        <v>1</v>
      </c>
      <c r="M1200" s="58"/>
      <c r="N1200" s="9">
        <f>ROUND(M1204*L1200,0)</f>
        <v>88503759</v>
      </c>
      <c r="O1200" s="9">
        <v>83683584</v>
      </c>
      <c r="P1200" s="9">
        <f>N1200-O1200</f>
        <v>4820175</v>
      </c>
      <c r="Q1200" s="40">
        <f t="shared" si="189"/>
        <v>5.7600006710993643</v>
      </c>
      <c r="R1200" s="9">
        <v>7691</v>
      </c>
      <c r="S1200" s="9">
        <f t="shared" si="187"/>
        <v>7591</v>
      </c>
      <c r="T1200" s="90">
        <f t="shared" si="182"/>
        <v>239</v>
      </c>
      <c r="U1200" s="90">
        <f t="shared" si="183"/>
        <v>239</v>
      </c>
      <c r="V1200" s="373">
        <f t="shared" si="184"/>
        <v>1191</v>
      </c>
      <c r="W1200" s="90">
        <f t="shared" si="185"/>
        <v>7591</v>
      </c>
      <c r="X1200" s="90">
        <f t="shared" si="186"/>
        <v>112170810.485</v>
      </c>
      <c r="Y1200" s="141">
        <f t="shared" si="188"/>
        <v>1191</v>
      </c>
      <c r="Z1200" s="298">
        <v>239</v>
      </c>
      <c r="AA1200" s="299">
        <v>239</v>
      </c>
      <c r="AB1200" s="299">
        <v>1191</v>
      </c>
      <c r="AC1200" s="301">
        <v>7591</v>
      </c>
      <c r="AD1200" s="301">
        <v>112170810.485</v>
      </c>
      <c r="AE1200" s="126"/>
      <c r="AF1200" s="298"/>
      <c r="AG1200" s="299"/>
      <c r="AH1200" s="299"/>
      <c r="AI1200" s="301"/>
      <c r="AJ1200" s="301"/>
      <c r="AK1200" s="426"/>
      <c r="AL1200" s="298"/>
      <c r="AM1200" s="299"/>
      <c r="AN1200" s="299"/>
      <c r="AO1200" s="301"/>
      <c r="AP1200" s="301"/>
      <c r="AQ1200" s="426"/>
      <c r="AR1200" s="298"/>
      <c r="AS1200" s="299"/>
      <c r="AT1200" s="299"/>
      <c r="AU1200" s="301"/>
      <c r="AV1200" s="301"/>
      <c r="AW1200" s="88"/>
      <c r="AX1200" s="298"/>
      <c r="AY1200" s="299"/>
      <c r="AZ1200" s="299"/>
      <c r="BA1200" s="301"/>
      <c r="BB1200" s="301"/>
      <c r="BC1200" s="426"/>
      <c r="BD1200" s="298"/>
      <c r="BE1200" s="299"/>
      <c r="BF1200" s="299"/>
      <c r="BG1200" s="301"/>
      <c r="BH1200" s="301"/>
      <c r="BI1200" s="88"/>
      <c r="BJ1200" s="298"/>
      <c r="BK1200" s="299"/>
      <c r="BL1200" s="299"/>
      <c r="BM1200" s="301"/>
      <c r="BN1200" s="301"/>
      <c r="BO1200" s="88"/>
      <c r="BP1200" s="9"/>
      <c r="BS1200" s="81"/>
      <c r="BT1200" s="81"/>
      <c r="BV1200" s="9"/>
      <c r="BY1200" s="81"/>
      <c r="BZ1200" s="81"/>
      <c r="CB1200" s="9"/>
      <c r="CE1200" s="81"/>
      <c r="CF1200" s="81"/>
      <c r="CH1200" s="9"/>
      <c r="CK1200" s="81"/>
      <c r="CL1200" s="81"/>
      <c r="CR1200" s="9"/>
      <c r="CS1200" s="9"/>
      <c r="CT1200" s="9"/>
      <c r="CU1200" s="9"/>
      <c r="CV1200" s="9"/>
      <c r="CW1200" s="129"/>
      <c r="CX1200" s="9"/>
    </row>
    <row r="1201" spans="1:102">
      <c r="A1201" s="6" t="str">
        <f t="shared" si="181"/>
        <v>02390998</v>
      </c>
      <c r="B1201" s="6" t="s">
        <v>1889</v>
      </c>
      <c r="C1201" s="6" t="s">
        <v>2091</v>
      </c>
      <c r="D1201" s="6">
        <v>1192</v>
      </c>
      <c r="E1201" s="6">
        <v>239</v>
      </c>
      <c r="F1201" s="6" t="s">
        <v>1547</v>
      </c>
      <c r="G1201" s="6">
        <v>998</v>
      </c>
      <c r="H1201" s="6" t="s">
        <v>1547</v>
      </c>
      <c r="I1201" s="33">
        <v>0</v>
      </c>
      <c r="J1201" s="88">
        <v>0</v>
      </c>
      <c r="K1201" s="89">
        <f t="shared" si="190"/>
        <v>0</v>
      </c>
      <c r="L1201" s="88">
        <f>IF(K1204&gt;0, K1201/K1204, 0)</f>
        <v>0</v>
      </c>
      <c r="M1201" s="58"/>
      <c r="N1201" s="9">
        <f>ROUND(M1204*L1201,0)</f>
        <v>0</v>
      </c>
      <c r="O1201" s="9">
        <v>0</v>
      </c>
      <c r="P1201" s="9">
        <f>N1201-O1201</f>
        <v>0</v>
      </c>
      <c r="Q1201" s="40">
        <f t="shared" si="189"/>
        <v>0</v>
      </c>
      <c r="R1201" s="9">
        <v>0</v>
      </c>
      <c r="S1201" s="9">
        <f t="shared" si="187"/>
        <v>0</v>
      </c>
      <c r="T1201" s="90">
        <f t="shared" si="182"/>
        <v>239</v>
      </c>
      <c r="U1201" s="90">
        <f t="shared" si="183"/>
        <v>998</v>
      </c>
      <c r="V1201" s="373">
        <f t="shared" si="184"/>
        <v>1192</v>
      </c>
      <c r="W1201" s="90">
        <f t="shared" si="185"/>
        <v>0</v>
      </c>
      <c r="X1201" s="90">
        <f t="shared" si="186"/>
        <v>0</v>
      </c>
      <c r="Y1201" s="141">
        <f t="shared" si="188"/>
        <v>1192</v>
      </c>
      <c r="Z1201" s="298">
        <v>239</v>
      </c>
      <c r="AA1201" s="299">
        <v>998</v>
      </c>
      <c r="AB1201" s="299">
        <v>1192</v>
      </c>
      <c r="AC1201" s="301">
        <v>0</v>
      </c>
      <c r="AD1201" s="301">
        <v>0</v>
      </c>
      <c r="AE1201" s="126"/>
      <c r="AF1201" s="298"/>
      <c r="AG1201" s="299"/>
      <c r="AH1201" s="299"/>
      <c r="AI1201" s="301"/>
      <c r="AJ1201" s="301"/>
      <c r="AK1201" s="426"/>
      <c r="AL1201" s="298"/>
      <c r="AM1201" s="299"/>
      <c r="AN1201" s="299"/>
      <c r="AO1201" s="301"/>
      <c r="AP1201" s="301"/>
      <c r="AQ1201" s="426"/>
      <c r="AR1201" s="298"/>
      <c r="AS1201" s="299"/>
      <c r="AT1201" s="299"/>
      <c r="AU1201" s="301"/>
      <c r="AV1201" s="301"/>
      <c r="AW1201" s="88"/>
      <c r="AX1201" s="298"/>
      <c r="AY1201" s="299"/>
      <c r="AZ1201" s="299"/>
      <c r="BA1201" s="301"/>
      <c r="BB1201" s="301"/>
      <c r="BC1201" s="426"/>
      <c r="BD1201" s="298"/>
      <c r="BE1201" s="299"/>
      <c r="BF1201" s="299"/>
      <c r="BG1201" s="301"/>
      <c r="BH1201" s="301"/>
      <c r="BI1201" s="88"/>
      <c r="BJ1201" s="298"/>
      <c r="BK1201" s="299"/>
      <c r="BL1201" s="299"/>
      <c r="BM1201" s="301"/>
      <c r="BN1201" s="301"/>
      <c r="BO1201" s="88"/>
      <c r="BP1201" s="9"/>
      <c r="BS1201" s="81"/>
      <c r="BT1201" s="81"/>
      <c r="BV1201" s="9"/>
      <c r="BY1201" s="81"/>
      <c r="BZ1201" s="81"/>
      <c r="CB1201" s="9"/>
      <c r="CE1201" s="81"/>
      <c r="CF1201" s="81"/>
      <c r="CH1201" s="9"/>
      <c r="CK1201" s="81"/>
      <c r="CL1201" s="81"/>
      <c r="CR1201" s="9"/>
      <c r="CS1201" s="9"/>
      <c r="CT1201" s="9"/>
      <c r="CU1201" s="9"/>
      <c r="CV1201" s="9"/>
      <c r="CW1201" s="129"/>
      <c r="CX1201" s="9"/>
    </row>
    <row r="1202" spans="1:102">
      <c r="A1202" s="6" t="str">
        <f t="shared" si="181"/>
        <v>02390998</v>
      </c>
      <c r="B1202" s="6" t="s">
        <v>1889</v>
      </c>
      <c r="C1202" s="6" t="s">
        <v>2091</v>
      </c>
      <c r="D1202" s="6">
        <v>1193</v>
      </c>
      <c r="E1202" s="6">
        <v>239</v>
      </c>
      <c r="F1202" s="6" t="s">
        <v>1547</v>
      </c>
      <c r="G1202" s="6">
        <v>998</v>
      </c>
      <c r="H1202" s="6" t="s">
        <v>1547</v>
      </c>
      <c r="I1202" s="33">
        <v>0</v>
      </c>
      <c r="J1202" s="88">
        <v>0</v>
      </c>
      <c r="K1202" s="89">
        <f t="shared" si="190"/>
        <v>0</v>
      </c>
      <c r="L1202" s="88">
        <f>IF(K1204&gt;0, K1202/K1204, 0)</f>
        <v>0</v>
      </c>
      <c r="M1202" s="58"/>
      <c r="N1202" s="9">
        <f>ROUND(M1204*L1202,0)</f>
        <v>0</v>
      </c>
      <c r="O1202" s="9">
        <v>0</v>
      </c>
      <c r="P1202" s="9">
        <f>N1202-O1202</f>
        <v>0</v>
      </c>
      <c r="Q1202" s="40">
        <f t="shared" si="189"/>
        <v>0</v>
      </c>
      <c r="R1202" s="9">
        <v>0</v>
      </c>
      <c r="S1202" s="9">
        <f t="shared" si="187"/>
        <v>0</v>
      </c>
      <c r="T1202" s="90">
        <f t="shared" si="182"/>
        <v>239</v>
      </c>
      <c r="U1202" s="90">
        <f t="shared" si="183"/>
        <v>998</v>
      </c>
      <c r="V1202" s="373">
        <f t="shared" si="184"/>
        <v>1193</v>
      </c>
      <c r="W1202" s="90">
        <f t="shared" si="185"/>
        <v>0</v>
      </c>
      <c r="X1202" s="90">
        <f t="shared" si="186"/>
        <v>0</v>
      </c>
      <c r="Y1202" s="141">
        <f t="shared" si="188"/>
        <v>1193</v>
      </c>
      <c r="Z1202" s="298">
        <v>239</v>
      </c>
      <c r="AA1202" s="299">
        <v>998</v>
      </c>
      <c r="AB1202" s="299">
        <v>1193</v>
      </c>
      <c r="AC1202" s="301">
        <v>0</v>
      </c>
      <c r="AD1202" s="301">
        <v>0</v>
      </c>
      <c r="AE1202" s="126"/>
      <c r="AF1202" s="298"/>
      <c r="AG1202" s="299"/>
      <c r="AH1202" s="299"/>
      <c r="AI1202" s="301"/>
      <c r="AJ1202" s="301"/>
      <c r="AK1202" s="426"/>
      <c r="AL1202" s="298"/>
      <c r="AM1202" s="299"/>
      <c r="AN1202" s="299"/>
      <c r="AO1202" s="301"/>
      <c r="AP1202" s="301"/>
      <c r="AQ1202" s="426"/>
      <c r="AR1202" s="298"/>
      <c r="AS1202" s="299"/>
      <c r="AT1202" s="299"/>
      <c r="AU1202" s="301"/>
      <c r="AV1202" s="301"/>
      <c r="AW1202" s="88"/>
      <c r="AX1202" s="298"/>
      <c r="AY1202" s="299"/>
      <c r="AZ1202" s="299"/>
      <c r="BA1202" s="301"/>
      <c r="BB1202" s="301"/>
      <c r="BC1202" s="426"/>
      <c r="BD1202" s="298"/>
      <c r="BE1202" s="299"/>
      <c r="BF1202" s="299"/>
      <c r="BG1202" s="301"/>
      <c r="BH1202" s="301"/>
      <c r="BI1202" s="88"/>
      <c r="BJ1202" s="298"/>
      <c r="BK1202" s="299"/>
      <c r="BL1202" s="299"/>
      <c r="BM1202" s="301"/>
      <c r="BN1202" s="301"/>
      <c r="BO1202" s="88"/>
      <c r="BP1202" s="9"/>
      <c r="BS1202" s="81"/>
      <c r="BT1202" s="81"/>
      <c r="BV1202" s="9"/>
      <c r="BY1202" s="81"/>
      <c r="BZ1202" s="81"/>
      <c r="CB1202" s="9"/>
      <c r="CE1202" s="81"/>
      <c r="CF1202" s="81"/>
      <c r="CH1202" s="9"/>
      <c r="CK1202" s="81"/>
      <c r="CL1202" s="81"/>
      <c r="CR1202" s="9"/>
      <c r="CS1202" s="9"/>
      <c r="CT1202" s="9"/>
      <c r="CU1202" s="9"/>
      <c r="CV1202" s="9"/>
      <c r="CW1202" s="129"/>
      <c r="CX1202" s="9"/>
    </row>
    <row r="1203" spans="1:102">
      <c r="A1203" s="6" t="str">
        <f t="shared" si="181"/>
        <v>02390998</v>
      </c>
      <c r="B1203" s="6" t="s">
        <v>1889</v>
      </c>
      <c r="C1203" s="6" t="s">
        <v>2091</v>
      </c>
      <c r="D1203" s="6">
        <v>1194</v>
      </c>
      <c r="E1203" s="6">
        <v>239</v>
      </c>
      <c r="F1203" s="6" t="s">
        <v>1547</v>
      </c>
      <c r="G1203" s="6">
        <v>998</v>
      </c>
      <c r="H1203" s="6" t="s">
        <v>1547</v>
      </c>
      <c r="I1203" s="33">
        <v>0</v>
      </c>
      <c r="J1203" s="88">
        <v>0</v>
      </c>
      <c r="K1203" s="89">
        <f t="shared" si="190"/>
        <v>0</v>
      </c>
      <c r="L1203" s="88">
        <f>IF(K1204&gt;0, K1203/K1204, 0)</f>
        <v>0</v>
      </c>
      <c r="M1203" s="58"/>
      <c r="N1203" s="9">
        <f>ROUND(M1204*L1203,0)</f>
        <v>0</v>
      </c>
      <c r="O1203" s="9">
        <v>0</v>
      </c>
      <c r="P1203" s="9">
        <f>N1203-O1203</f>
        <v>0</v>
      </c>
      <c r="Q1203" s="40">
        <f t="shared" si="189"/>
        <v>0</v>
      </c>
      <c r="R1203" s="9">
        <v>0</v>
      </c>
      <c r="S1203" s="9">
        <f t="shared" si="187"/>
        <v>0</v>
      </c>
      <c r="T1203" s="90">
        <f t="shared" si="182"/>
        <v>239</v>
      </c>
      <c r="U1203" s="90">
        <f t="shared" si="183"/>
        <v>998</v>
      </c>
      <c r="V1203" s="373">
        <f t="shared" si="184"/>
        <v>1194</v>
      </c>
      <c r="W1203" s="90">
        <f t="shared" si="185"/>
        <v>0</v>
      </c>
      <c r="X1203" s="90">
        <f t="shared" si="186"/>
        <v>0</v>
      </c>
      <c r="Y1203" s="141">
        <f t="shared" si="188"/>
        <v>1194</v>
      </c>
      <c r="Z1203" s="298">
        <v>239</v>
      </c>
      <c r="AA1203" s="299">
        <v>998</v>
      </c>
      <c r="AB1203" s="299">
        <v>1194</v>
      </c>
      <c r="AC1203" s="301">
        <v>0</v>
      </c>
      <c r="AD1203" s="301">
        <v>0</v>
      </c>
      <c r="AE1203" s="126"/>
      <c r="AF1203" s="298"/>
      <c r="AG1203" s="299"/>
      <c r="AH1203" s="299"/>
      <c r="AI1203" s="301"/>
      <c r="AJ1203" s="301"/>
      <c r="AK1203" s="426"/>
      <c r="AL1203" s="298"/>
      <c r="AM1203" s="299"/>
      <c r="AN1203" s="299"/>
      <c r="AO1203" s="301"/>
      <c r="AP1203" s="301"/>
      <c r="AQ1203" s="426"/>
      <c r="AR1203" s="298"/>
      <c r="AS1203" s="299"/>
      <c r="AT1203" s="299"/>
      <c r="AU1203" s="301"/>
      <c r="AV1203" s="301"/>
      <c r="AW1203" s="88"/>
      <c r="AX1203" s="298"/>
      <c r="AY1203" s="299"/>
      <c r="AZ1203" s="299"/>
      <c r="BA1203" s="301"/>
      <c r="BB1203" s="301"/>
      <c r="BC1203" s="426"/>
      <c r="BD1203" s="298"/>
      <c r="BE1203" s="299"/>
      <c r="BF1203" s="299"/>
      <c r="BG1203" s="301"/>
      <c r="BH1203" s="301"/>
      <c r="BI1203" s="88"/>
      <c r="BJ1203" s="298"/>
      <c r="BK1203" s="299"/>
      <c r="BL1203" s="299"/>
      <c r="BM1203" s="301"/>
      <c r="BN1203" s="301"/>
      <c r="BO1203" s="88"/>
      <c r="BP1203" s="9"/>
      <c r="BS1203" s="81"/>
      <c r="BT1203" s="81"/>
      <c r="BV1203" s="9"/>
      <c r="BY1203" s="81"/>
      <c r="BZ1203" s="81"/>
      <c r="CB1203" s="9"/>
      <c r="CE1203" s="81"/>
      <c r="CF1203" s="81"/>
      <c r="CH1203" s="9"/>
      <c r="CK1203" s="81"/>
      <c r="CL1203" s="81"/>
      <c r="CR1203" s="9"/>
      <c r="CS1203" s="9"/>
      <c r="CT1203" s="9"/>
      <c r="CU1203" s="9"/>
      <c r="CV1203" s="9"/>
      <c r="CW1203" s="129"/>
      <c r="CX1203" s="9"/>
    </row>
    <row r="1204" spans="1:102">
      <c r="A1204" s="6" t="str">
        <f t="shared" si="181"/>
        <v>02390999</v>
      </c>
      <c r="B1204" s="6" t="s">
        <v>1889</v>
      </c>
      <c r="C1204" s="6" t="s">
        <v>2092</v>
      </c>
      <c r="D1204" s="6">
        <v>1195</v>
      </c>
      <c r="E1204" s="10">
        <v>239</v>
      </c>
      <c r="F1204" s="10" t="s">
        <v>1357</v>
      </c>
      <c r="G1204" s="10">
        <v>999</v>
      </c>
      <c r="H1204" s="10" t="s">
        <v>593</v>
      </c>
      <c r="I1204" s="92">
        <v>111949866.57694001</v>
      </c>
      <c r="J1204" s="472">
        <v>1</v>
      </c>
      <c r="K1204" s="53">
        <f>SUM(K1200:K1203)</f>
        <v>112170810.485</v>
      </c>
      <c r="L1204" s="91">
        <f>SUM(L1200:L1203)</f>
        <v>1</v>
      </c>
      <c r="M1204" s="79">
        <f>VLOOKUP(E1204,town351,24)</f>
        <v>88503759</v>
      </c>
      <c r="N1204" s="79">
        <f>SUM(N1200:N1203)</f>
        <v>88503759</v>
      </c>
      <c r="O1204" s="79">
        <v>83683584</v>
      </c>
      <c r="P1204" s="79">
        <f>SUM(P1200:P1203)</f>
        <v>4820175</v>
      </c>
      <c r="Q1204" s="39">
        <f t="shared" si="189"/>
        <v>5.7600006710993643</v>
      </c>
      <c r="R1204" s="9">
        <v>7691</v>
      </c>
      <c r="S1204" s="9">
        <f t="shared" si="187"/>
        <v>7591</v>
      </c>
      <c r="T1204" s="90">
        <f t="shared" si="182"/>
        <v>239</v>
      </c>
      <c r="U1204" s="90">
        <f t="shared" si="183"/>
        <v>999</v>
      </c>
      <c r="V1204" s="373">
        <f t="shared" si="184"/>
        <v>1195</v>
      </c>
      <c r="W1204" s="90">
        <f t="shared" si="185"/>
        <v>7591</v>
      </c>
      <c r="X1204" s="90">
        <f t="shared" si="186"/>
        <v>112170810.485</v>
      </c>
      <c r="Y1204" s="141">
        <f t="shared" si="188"/>
        <v>1195</v>
      </c>
      <c r="Z1204" s="298">
        <v>239</v>
      </c>
      <c r="AA1204" s="299">
        <v>999</v>
      </c>
      <c r="AB1204" s="299">
        <v>1195</v>
      </c>
      <c r="AC1204" s="301">
        <v>7591</v>
      </c>
      <c r="AD1204" s="301">
        <v>112170810.485</v>
      </c>
      <c r="AE1204" s="126"/>
      <c r="AF1204" s="298"/>
      <c r="AG1204" s="299"/>
      <c r="AH1204" s="299"/>
      <c r="AI1204" s="301"/>
      <c r="AJ1204" s="301"/>
      <c r="AK1204" s="426"/>
      <c r="AL1204" s="298"/>
      <c r="AM1204" s="299"/>
      <c r="AN1204" s="299"/>
      <c r="AO1204" s="301"/>
      <c r="AP1204" s="301"/>
      <c r="AQ1204" s="426"/>
      <c r="AR1204" s="298"/>
      <c r="AS1204" s="299"/>
      <c r="AT1204" s="299"/>
      <c r="AU1204" s="301"/>
      <c r="AV1204" s="301"/>
      <c r="AW1204" s="91"/>
      <c r="AX1204" s="298"/>
      <c r="AY1204" s="299"/>
      <c r="AZ1204" s="299"/>
      <c r="BA1204" s="301"/>
      <c r="BB1204" s="301"/>
      <c r="BC1204" s="426"/>
      <c r="BD1204" s="298"/>
      <c r="BE1204" s="299"/>
      <c r="BF1204" s="299"/>
      <c r="BG1204" s="301"/>
      <c r="BH1204" s="301"/>
      <c r="BI1204" s="91"/>
      <c r="BJ1204" s="298"/>
      <c r="BK1204" s="299"/>
      <c r="BL1204" s="299"/>
      <c r="BM1204" s="301"/>
      <c r="BN1204" s="301"/>
      <c r="BO1204" s="91"/>
      <c r="BP1204" s="9"/>
      <c r="BS1204" s="81"/>
      <c r="BT1204" s="81"/>
      <c r="BV1204" s="9"/>
      <c r="BY1204" s="81"/>
      <c r="BZ1204" s="81"/>
      <c r="CB1204" s="9"/>
      <c r="CE1204" s="81"/>
      <c r="CF1204" s="81"/>
      <c r="CH1204" s="9"/>
      <c r="CK1204" s="81"/>
      <c r="CL1204" s="81"/>
      <c r="CR1204" s="9"/>
      <c r="CS1204" s="9"/>
      <c r="CT1204" s="9"/>
      <c r="CU1204" s="9"/>
      <c r="CV1204" s="9"/>
      <c r="CW1204" s="129"/>
      <c r="CX1204" s="9"/>
    </row>
    <row r="1205" spans="1:102">
      <c r="A1205" s="6" t="str">
        <f t="shared" si="181"/>
        <v>02400240</v>
      </c>
      <c r="B1205" s="6" t="s">
        <v>1890</v>
      </c>
      <c r="C1205" s="6" t="s">
        <v>1890</v>
      </c>
      <c r="D1205" s="6">
        <v>1196</v>
      </c>
      <c r="E1205" s="6">
        <v>240</v>
      </c>
      <c r="F1205" s="6" t="s">
        <v>1358</v>
      </c>
      <c r="G1205" s="6">
        <v>240</v>
      </c>
      <c r="H1205" s="6" t="s">
        <v>921</v>
      </c>
      <c r="I1205" s="33">
        <v>3146739.0944000003</v>
      </c>
      <c r="J1205" s="88">
        <v>0.53108831936946144</v>
      </c>
      <c r="K1205" s="89">
        <f>X1205</f>
        <v>3445673.1154400003</v>
      </c>
      <c r="L1205" s="88">
        <f>IF(K1209&gt;0, K1205/K1209, 0)</f>
        <v>0.53952556172622446</v>
      </c>
      <c r="M1205" s="58"/>
      <c r="N1205" s="9">
        <f>ROUND(M1209*L1205,0)</f>
        <v>2338631</v>
      </c>
      <c r="O1205" s="9">
        <v>2196202</v>
      </c>
      <c r="P1205" s="9">
        <f>N1205-O1205</f>
        <v>142429</v>
      </c>
      <c r="Q1205" s="40">
        <f t="shared" si="189"/>
        <v>6.4852413393667794</v>
      </c>
      <c r="R1205" s="9">
        <v>251</v>
      </c>
      <c r="S1205" s="9">
        <f t="shared" si="187"/>
        <v>263</v>
      </c>
      <c r="T1205" s="90">
        <f t="shared" si="182"/>
        <v>240</v>
      </c>
      <c r="U1205" s="90">
        <f t="shared" si="183"/>
        <v>240</v>
      </c>
      <c r="V1205" s="373">
        <f t="shared" si="184"/>
        <v>1196</v>
      </c>
      <c r="W1205" s="90">
        <f t="shared" si="185"/>
        <v>263</v>
      </c>
      <c r="X1205" s="90">
        <f t="shared" si="186"/>
        <v>3445673.1154400003</v>
      </c>
      <c r="Y1205" s="141">
        <f t="shared" si="188"/>
        <v>1196</v>
      </c>
      <c r="Z1205" s="298">
        <v>240</v>
      </c>
      <c r="AA1205" s="299">
        <v>240</v>
      </c>
      <c r="AB1205" s="299">
        <v>1196</v>
      </c>
      <c r="AC1205" s="301">
        <v>263</v>
      </c>
      <c r="AD1205" s="301">
        <v>3445673.1154400003</v>
      </c>
      <c r="AE1205" s="126"/>
      <c r="AF1205" s="298"/>
      <c r="AG1205" s="299"/>
      <c r="AH1205" s="299"/>
      <c r="AI1205" s="301"/>
      <c r="AJ1205" s="301"/>
      <c r="AK1205" s="426"/>
      <c r="AL1205" s="298"/>
      <c r="AM1205" s="299"/>
      <c r="AN1205" s="299"/>
      <c r="AO1205" s="301"/>
      <c r="AP1205" s="301"/>
      <c r="AQ1205" s="426"/>
      <c r="AR1205" s="298"/>
      <c r="AS1205" s="299"/>
      <c r="AT1205" s="299"/>
      <c r="AU1205" s="301"/>
      <c r="AV1205" s="301"/>
      <c r="AW1205" s="88"/>
      <c r="AX1205" s="298"/>
      <c r="AY1205" s="299"/>
      <c r="AZ1205" s="299"/>
      <c r="BA1205" s="301"/>
      <c r="BB1205" s="301"/>
      <c r="BC1205" s="426"/>
      <c r="BD1205" s="298"/>
      <c r="BE1205" s="299"/>
      <c r="BF1205" s="299"/>
      <c r="BG1205" s="301"/>
      <c r="BH1205" s="301"/>
      <c r="BI1205" s="88"/>
      <c r="BJ1205" s="298"/>
      <c r="BK1205" s="299"/>
      <c r="BL1205" s="299"/>
      <c r="BM1205" s="301"/>
      <c r="BN1205" s="301"/>
      <c r="BO1205" s="88"/>
      <c r="BP1205" s="9"/>
      <c r="BS1205" s="81"/>
      <c r="BT1205" s="81"/>
      <c r="BV1205" s="9"/>
      <c r="BY1205" s="81"/>
      <c r="BZ1205" s="81"/>
      <c r="CB1205" s="9"/>
      <c r="CE1205" s="81"/>
      <c r="CF1205" s="81"/>
      <c r="CH1205" s="9"/>
      <c r="CK1205" s="81"/>
      <c r="CL1205" s="81"/>
      <c r="CR1205" s="9"/>
      <c r="CS1205" s="9"/>
      <c r="CT1205" s="9"/>
      <c r="CU1205" s="9"/>
      <c r="CV1205" s="9"/>
      <c r="CW1205" s="129"/>
      <c r="CX1205" s="9"/>
    </row>
    <row r="1206" spans="1:102">
      <c r="A1206" s="6" t="str">
        <f t="shared" si="181"/>
        <v>02400760</v>
      </c>
      <c r="B1206" s="6" t="s">
        <v>1890</v>
      </c>
      <c r="C1206" s="6" t="s">
        <v>2051</v>
      </c>
      <c r="D1206" s="6">
        <v>1197</v>
      </c>
      <c r="E1206" s="6">
        <v>240</v>
      </c>
      <c r="F1206" s="6" t="s">
        <v>1358</v>
      </c>
      <c r="G1206" s="6">
        <v>760</v>
      </c>
      <c r="H1206" s="6" t="s">
        <v>1081</v>
      </c>
      <c r="I1206" s="33">
        <v>2778337.7330022478</v>
      </c>
      <c r="J1206" s="88">
        <v>0.46891168063053856</v>
      </c>
      <c r="K1206" s="89">
        <f t="shared" si="190"/>
        <v>2940814.1242294046</v>
      </c>
      <c r="L1206" s="88">
        <f>IF(K1209&gt;0, K1206/K1209, 0)</f>
        <v>0.46047443827377554</v>
      </c>
      <c r="M1206" s="58"/>
      <c r="N1206" s="9">
        <f>ROUND(M1209*L1206,0)</f>
        <v>1995976</v>
      </c>
      <c r="O1206" s="9">
        <v>1939084</v>
      </c>
      <c r="P1206" s="9">
        <f>N1206-O1206</f>
        <v>56892</v>
      </c>
      <c r="Q1206" s="40">
        <f t="shared" si="189"/>
        <v>2.9339626339034308</v>
      </c>
      <c r="R1206" s="9">
        <v>186.06420351806</v>
      </c>
      <c r="S1206" s="9">
        <f t="shared" si="187"/>
        <v>189.73024830512</v>
      </c>
      <c r="T1206" s="90">
        <f t="shared" si="182"/>
        <v>240</v>
      </c>
      <c r="U1206" s="90">
        <f t="shared" si="183"/>
        <v>760</v>
      </c>
      <c r="V1206" s="373">
        <f t="shared" si="184"/>
        <v>1197</v>
      </c>
      <c r="W1206" s="90">
        <f t="shared" si="185"/>
        <v>189.73024830512</v>
      </c>
      <c r="X1206" s="90">
        <f t="shared" si="186"/>
        <v>2940814.1242294046</v>
      </c>
      <c r="Y1206" s="141">
        <f t="shared" si="188"/>
        <v>1197</v>
      </c>
      <c r="Z1206" s="298">
        <v>240</v>
      </c>
      <c r="AA1206" s="299">
        <v>760</v>
      </c>
      <c r="AB1206" s="299">
        <v>1197</v>
      </c>
      <c r="AC1206" s="301">
        <v>189.73024830512</v>
      </c>
      <c r="AD1206" s="301">
        <v>2940814.1242294046</v>
      </c>
      <c r="AE1206" s="126"/>
      <c r="AF1206" s="298"/>
      <c r="AG1206" s="299"/>
      <c r="AH1206" s="299"/>
      <c r="AI1206" s="301"/>
      <c r="AJ1206" s="301"/>
      <c r="AK1206" s="426"/>
      <c r="AL1206" s="298"/>
      <c r="AM1206" s="299"/>
      <c r="AN1206" s="299"/>
      <c r="AO1206" s="301"/>
      <c r="AP1206" s="301"/>
      <c r="AQ1206" s="426"/>
      <c r="AR1206" s="298"/>
      <c r="AS1206" s="299"/>
      <c r="AT1206" s="299"/>
      <c r="AU1206" s="301"/>
      <c r="AV1206" s="301"/>
      <c r="AW1206" s="88"/>
      <c r="AX1206" s="298"/>
      <c r="AY1206" s="299"/>
      <c r="AZ1206" s="299"/>
      <c r="BA1206" s="301"/>
      <c r="BB1206" s="301"/>
      <c r="BC1206" s="426"/>
      <c r="BD1206" s="298"/>
      <c r="BE1206" s="299"/>
      <c r="BF1206" s="299"/>
      <c r="BG1206" s="301"/>
      <c r="BH1206" s="301"/>
      <c r="BI1206" s="88"/>
      <c r="BJ1206" s="298"/>
      <c r="BK1206" s="299"/>
      <c r="BL1206" s="299"/>
      <c r="BM1206" s="301"/>
      <c r="BN1206" s="301"/>
      <c r="BO1206" s="88"/>
      <c r="BP1206" s="9"/>
      <c r="BS1206" s="81"/>
      <c r="BT1206" s="81"/>
      <c r="BV1206" s="9"/>
      <c r="BY1206" s="81"/>
      <c r="BZ1206" s="81"/>
      <c r="CB1206" s="9"/>
      <c r="CE1206" s="81"/>
      <c r="CF1206" s="81"/>
      <c r="CH1206" s="9"/>
      <c r="CK1206" s="81"/>
      <c r="CL1206" s="81"/>
      <c r="CR1206" s="9"/>
      <c r="CS1206" s="9"/>
      <c r="CT1206" s="9"/>
      <c r="CU1206" s="9"/>
      <c r="CV1206" s="9"/>
      <c r="CW1206" s="129"/>
      <c r="CX1206" s="9"/>
    </row>
    <row r="1207" spans="1:102">
      <c r="A1207" s="6" t="str">
        <f t="shared" si="181"/>
        <v>02400998</v>
      </c>
      <c r="B1207" s="6" t="s">
        <v>1890</v>
      </c>
      <c r="C1207" s="6" t="s">
        <v>2091</v>
      </c>
      <c r="D1207" s="6">
        <v>1198</v>
      </c>
      <c r="E1207" s="6">
        <v>240</v>
      </c>
      <c r="F1207" s="6" t="s">
        <v>1547</v>
      </c>
      <c r="G1207" s="6">
        <v>998</v>
      </c>
      <c r="H1207" s="6" t="s">
        <v>1547</v>
      </c>
      <c r="I1207" s="33">
        <v>0</v>
      </c>
      <c r="J1207" s="88">
        <v>0</v>
      </c>
      <c r="K1207" s="89">
        <f t="shared" si="190"/>
        <v>0</v>
      </c>
      <c r="L1207" s="88">
        <f>IF(K1209&gt;0, K1207/K1209, 0)</f>
        <v>0</v>
      </c>
      <c r="M1207" s="58"/>
      <c r="N1207" s="9">
        <f>ROUND(M1209*L1207,0)</f>
        <v>0</v>
      </c>
      <c r="O1207" s="9">
        <v>0</v>
      </c>
      <c r="P1207" s="9">
        <f>N1207-O1207</f>
        <v>0</v>
      </c>
      <c r="Q1207" s="40">
        <f t="shared" si="189"/>
        <v>0</v>
      </c>
      <c r="R1207" s="9">
        <v>0</v>
      </c>
      <c r="S1207" s="9">
        <f t="shared" si="187"/>
        <v>0</v>
      </c>
      <c r="T1207" s="90">
        <f t="shared" si="182"/>
        <v>240</v>
      </c>
      <c r="U1207" s="90">
        <f t="shared" si="183"/>
        <v>998</v>
      </c>
      <c r="V1207" s="373">
        <f t="shared" si="184"/>
        <v>1198</v>
      </c>
      <c r="W1207" s="90">
        <f t="shared" si="185"/>
        <v>0</v>
      </c>
      <c r="X1207" s="90">
        <f t="shared" si="186"/>
        <v>0</v>
      </c>
      <c r="Y1207" s="141">
        <f t="shared" si="188"/>
        <v>1198</v>
      </c>
      <c r="Z1207" s="298">
        <v>240</v>
      </c>
      <c r="AA1207" s="299">
        <v>998</v>
      </c>
      <c r="AB1207" s="299">
        <v>1198</v>
      </c>
      <c r="AC1207" s="301">
        <v>0</v>
      </c>
      <c r="AD1207" s="301">
        <v>0</v>
      </c>
      <c r="AE1207" s="126"/>
      <c r="AF1207" s="298"/>
      <c r="AG1207" s="299"/>
      <c r="AH1207" s="299"/>
      <c r="AI1207" s="301"/>
      <c r="AJ1207" s="301"/>
      <c r="AK1207" s="426"/>
      <c r="AL1207" s="298"/>
      <c r="AM1207" s="299"/>
      <c r="AN1207" s="299"/>
      <c r="AO1207" s="301"/>
      <c r="AP1207" s="301"/>
      <c r="AQ1207" s="426"/>
      <c r="AR1207" s="298"/>
      <c r="AS1207" s="299"/>
      <c r="AT1207" s="299"/>
      <c r="AU1207" s="301"/>
      <c r="AV1207" s="301"/>
      <c r="AW1207" s="88"/>
      <c r="AX1207" s="298"/>
      <c r="AY1207" s="299"/>
      <c r="AZ1207" s="299"/>
      <c r="BA1207" s="301"/>
      <c r="BB1207" s="301"/>
      <c r="BC1207" s="426"/>
      <c r="BD1207" s="298"/>
      <c r="BE1207" s="299"/>
      <c r="BF1207" s="299"/>
      <c r="BG1207" s="301"/>
      <c r="BH1207" s="301"/>
      <c r="BI1207" s="88"/>
      <c r="BJ1207" s="298"/>
      <c r="BK1207" s="299"/>
      <c r="BL1207" s="299"/>
      <c r="BM1207" s="301"/>
      <c r="BN1207" s="301"/>
      <c r="BO1207" s="88"/>
      <c r="BP1207" s="9"/>
      <c r="BS1207" s="81"/>
      <c r="BT1207" s="81"/>
      <c r="BV1207" s="9"/>
      <c r="BY1207" s="81"/>
      <c r="BZ1207" s="81"/>
      <c r="CB1207" s="9"/>
      <c r="CE1207" s="81"/>
      <c r="CF1207" s="81"/>
      <c r="CH1207" s="9"/>
      <c r="CK1207" s="81"/>
      <c r="CL1207" s="81"/>
      <c r="CR1207" s="9"/>
      <c r="CS1207" s="9"/>
      <c r="CT1207" s="9"/>
      <c r="CU1207" s="9"/>
      <c r="CV1207" s="9"/>
      <c r="CW1207" s="129"/>
      <c r="CX1207" s="9"/>
    </row>
    <row r="1208" spans="1:102">
      <c r="A1208" s="6" t="str">
        <f t="shared" si="181"/>
        <v>02400998</v>
      </c>
      <c r="B1208" s="6" t="s">
        <v>1890</v>
      </c>
      <c r="C1208" s="6" t="s">
        <v>2091</v>
      </c>
      <c r="D1208" s="6">
        <v>1199</v>
      </c>
      <c r="E1208" s="6">
        <v>240</v>
      </c>
      <c r="F1208" s="6" t="s">
        <v>1547</v>
      </c>
      <c r="G1208" s="6">
        <v>998</v>
      </c>
      <c r="H1208" s="6" t="s">
        <v>1547</v>
      </c>
      <c r="I1208" s="33">
        <v>0</v>
      </c>
      <c r="J1208" s="88">
        <v>0</v>
      </c>
      <c r="K1208" s="89">
        <f t="shared" si="190"/>
        <v>0</v>
      </c>
      <c r="L1208" s="88">
        <f>IF(K1209&gt;0, K1208/K1209, 0)</f>
        <v>0</v>
      </c>
      <c r="M1208" s="58"/>
      <c r="N1208" s="9">
        <f>ROUND(M1209*L1208,0)</f>
        <v>0</v>
      </c>
      <c r="O1208" s="9">
        <v>0</v>
      </c>
      <c r="P1208" s="9">
        <f>N1208-O1208</f>
        <v>0</v>
      </c>
      <c r="Q1208" s="40">
        <f t="shared" si="189"/>
        <v>0</v>
      </c>
      <c r="R1208" s="9">
        <v>0</v>
      </c>
      <c r="S1208" s="9">
        <f t="shared" si="187"/>
        <v>0</v>
      </c>
      <c r="T1208" s="90">
        <f t="shared" si="182"/>
        <v>240</v>
      </c>
      <c r="U1208" s="90">
        <f t="shared" si="183"/>
        <v>998</v>
      </c>
      <c r="V1208" s="373">
        <f t="shared" si="184"/>
        <v>1199</v>
      </c>
      <c r="W1208" s="90">
        <f t="shared" si="185"/>
        <v>0</v>
      </c>
      <c r="X1208" s="90">
        <f t="shared" si="186"/>
        <v>0</v>
      </c>
      <c r="Y1208" s="141">
        <f t="shared" si="188"/>
        <v>1199</v>
      </c>
      <c r="Z1208" s="298">
        <v>240</v>
      </c>
      <c r="AA1208" s="299">
        <v>998</v>
      </c>
      <c r="AB1208" s="299">
        <v>1199</v>
      </c>
      <c r="AC1208" s="301">
        <v>0</v>
      </c>
      <c r="AD1208" s="301">
        <v>0</v>
      </c>
      <c r="AE1208" s="126"/>
      <c r="AF1208" s="298"/>
      <c r="AG1208" s="299"/>
      <c r="AH1208" s="299"/>
      <c r="AI1208" s="301"/>
      <c r="AJ1208" s="301"/>
      <c r="AK1208" s="426"/>
      <c r="AL1208" s="298"/>
      <c r="AM1208" s="299"/>
      <c r="AN1208" s="299"/>
      <c r="AO1208" s="301"/>
      <c r="AP1208" s="301"/>
      <c r="AQ1208" s="426"/>
      <c r="AR1208" s="298"/>
      <c r="AS1208" s="299"/>
      <c r="AT1208" s="299"/>
      <c r="AU1208" s="301"/>
      <c r="AV1208" s="301"/>
      <c r="AW1208" s="88"/>
      <c r="AX1208" s="298"/>
      <c r="AY1208" s="299"/>
      <c r="AZ1208" s="299"/>
      <c r="BA1208" s="301"/>
      <c r="BB1208" s="301"/>
      <c r="BC1208" s="426"/>
      <c r="BD1208" s="298"/>
      <c r="BE1208" s="299"/>
      <c r="BF1208" s="299"/>
      <c r="BG1208" s="301"/>
      <c r="BH1208" s="301"/>
      <c r="BI1208" s="88"/>
      <c r="BJ1208" s="298"/>
      <c r="BK1208" s="299"/>
      <c r="BL1208" s="299"/>
      <c r="BM1208" s="301"/>
      <c r="BN1208" s="301"/>
      <c r="BO1208" s="88"/>
      <c r="BP1208" s="9"/>
      <c r="BS1208" s="81"/>
      <c r="BT1208" s="81"/>
      <c r="BV1208" s="9"/>
      <c r="BY1208" s="81"/>
      <c r="BZ1208" s="81"/>
      <c r="CB1208" s="9"/>
      <c r="CE1208" s="81"/>
      <c r="CF1208" s="81"/>
      <c r="CH1208" s="9"/>
      <c r="CK1208" s="81"/>
      <c r="CL1208" s="81"/>
      <c r="CR1208" s="9"/>
      <c r="CS1208" s="9"/>
      <c r="CT1208" s="9"/>
      <c r="CU1208" s="9"/>
      <c r="CV1208" s="9"/>
      <c r="CW1208" s="129"/>
      <c r="CX1208" s="9"/>
    </row>
    <row r="1209" spans="1:102">
      <c r="A1209" s="6" t="str">
        <f t="shared" si="181"/>
        <v>02400999</v>
      </c>
      <c r="B1209" s="6" t="s">
        <v>1890</v>
      </c>
      <c r="C1209" s="6" t="s">
        <v>2092</v>
      </c>
      <c r="D1209" s="6">
        <v>1200</v>
      </c>
      <c r="E1209" s="10">
        <v>240</v>
      </c>
      <c r="F1209" s="10" t="s">
        <v>1358</v>
      </c>
      <c r="G1209" s="10">
        <v>999</v>
      </c>
      <c r="H1209" s="10" t="s">
        <v>593</v>
      </c>
      <c r="I1209" s="92">
        <v>5925076.827402248</v>
      </c>
      <c r="J1209" s="472">
        <v>1</v>
      </c>
      <c r="K1209" s="53">
        <f>SUM(K1205:K1208)</f>
        <v>6386487.2396694049</v>
      </c>
      <c r="L1209" s="91">
        <f>SUM(L1205:L1208)</f>
        <v>1</v>
      </c>
      <c r="M1209" s="79">
        <f>VLOOKUP(E1209,town351,24)</f>
        <v>4334607</v>
      </c>
      <c r="N1209" s="79">
        <f>SUM(N1205:N1208)</f>
        <v>4334607</v>
      </c>
      <c r="O1209" s="79">
        <v>4135286</v>
      </c>
      <c r="P1209" s="79">
        <f>SUM(P1205:P1208)</f>
        <v>199321</v>
      </c>
      <c r="Q1209" s="39">
        <f t="shared" si="189"/>
        <v>4.8200051943202959</v>
      </c>
      <c r="R1209" s="9">
        <v>437.06420351806003</v>
      </c>
      <c r="S1209" s="9">
        <f t="shared" si="187"/>
        <v>452.73024830511997</v>
      </c>
      <c r="T1209" s="90">
        <f t="shared" si="182"/>
        <v>240</v>
      </c>
      <c r="U1209" s="90">
        <f t="shared" si="183"/>
        <v>999</v>
      </c>
      <c r="V1209" s="373">
        <f t="shared" si="184"/>
        <v>1200</v>
      </c>
      <c r="W1209" s="90">
        <f t="shared" si="185"/>
        <v>452.73024830511997</v>
      </c>
      <c r="X1209" s="90">
        <f t="shared" si="186"/>
        <v>6386487.2396694049</v>
      </c>
      <c r="Y1209" s="141">
        <f t="shared" si="188"/>
        <v>1200</v>
      </c>
      <c r="Z1209" s="298">
        <v>240</v>
      </c>
      <c r="AA1209" s="299">
        <v>999</v>
      </c>
      <c r="AB1209" s="299">
        <v>1200</v>
      </c>
      <c r="AC1209" s="301">
        <v>452.73024830511997</v>
      </c>
      <c r="AD1209" s="301">
        <v>6386487.2396694049</v>
      </c>
      <c r="AE1209" s="126"/>
      <c r="AF1209" s="298"/>
      <c r="AG1209" s="299"/>
      <c r="AH1209" s="299"/>
      <c r="AI1209" s="301"/>
      <c r="AJ1209" s="301"/>
      <c r="AK1209" s="426"/>
      <c r="AL1209" s="298"/>
      <c r="AM1209" s="299"/>
      <c r="AN1209" s="299"/>
      <c r="AO1209" s="301"/>
      <c r="AP1209" s="301"/>
      <c r="AQ1209" s="426"/>
      <c r="AR1209" s="298"/>
      <c r="AS1209" s="299"/>
      <c r="AT1209" s="299"/>
      <c r="AU1209" s="301"/>
      <c r="AV1209" s="301"/>
      <c r="AW1209" s="91"/>
      <c r="AX1209" s="298"/>
      <c r="AY1209" s="299"/>
      <c r="AZ1209" s="299"/>
      <c r="BA1209" s="301"/>
      <c r="BB1209" s="301"/>
      <c r="BC1209" s="426"/>
      <c r="BD1209" s="298"/>
      <c r="BE1209" s="299"/>
      <c r="BF1209" s="299"/>
      <c r="BG1209" s="301"/>
      <c r="BH1209" s="301"/>
      <c r="BI1209" s="91"/>
      <c r="BJ1209" s="298"/>
      <c r="BK1209" s="299"/>
      <c r="BL1209" s="299"/>
      <c r="BM1209" s="301"/>
      <c r="BN1209" s="301"/>
      <c r="BO1209" s="91"/>
      <c r="BP1209" s="9"/>
      <c r="BS1209" s="81"/>
      <c r="BT1209" s="81"/>
      <c r="BV1209" s="9"/>
      <c r="BY1209" s="81"/>
      <c r="BZ1209" s="81"/>
      <c r="CB1209" s="9"/>
      <c r="CE1209" s="81"/>
      <c r="CF1209" s="81"/>
      <c r="CH1209" s="9"/>
      <c r="CK1209" s="81"/>
      <c r="CL1209" s="81"/>
      <c r="CR1209" s="9"/>
      <c r="CS1209" s="9"/>
      <c r="CT1209" s="9"/>
      <c r="CU1209" s="9"/>
      <c r="CV1209" s="9"/>
      <c r="CW1209" s="129"/>
      <c r="CX1209" s="9"/>
    </row>
    <row r="1210" spans="1:102">
      <c r="A1210" s="6" t="str">
        <f t="shared" si="181"/>
        <v>02410241</v>
      </c>
      <c r="B1210" s="6" t="s">
        <v>1891</v>
      </c>
      <c r="C1210" s="6" t="s">
        <v>1891</v>
      </c>
      <c r="D1210" s="6">
        <v>1201</v>
      </c>
      <c r="E1210" s="6">
        <v>241</v>
      </c>
      <c r="F1210" s="6" t="s">
        <v>1359</v>
      </c>
      <c r="G1210" s="6">
        <v>241</v>
      </c>
      <c r="H1210" s="6" t="s">
        <v>922</v>
      </c>
      <c r="I1210" s="33">
        <v>16490.760000000002</v>
      </c>
      <c r="J1210" s="88">
        <v>2.9700802718138526E-3</v>
      </c>
      <c r="K1210" s="89">
        <f>X1210</f>
        <v>0</v>
      </c>
      <c r="L1210" s="88">
        <f>IF(K1214&gt;0, K1210/K1214, 0)</f>
        <v>0</v>
      </c>
      <c r="M1210" s="58"/>
      <c r="N1210" s="9">
        <f>ROUND(M1214*L1210,0)</f>
        <v>0</v>
      </c>
      <c r="O1210" s="9">
        <v>13140</v>
      </c>
      <c r="P1210" s="9">
        <f>N1210-O1210</f>
        <v>-13140</v>
      </c>
      <c r="Q1210" s="40">
        <f t="shared" si="189"/>
        <v>-100</v>
      </c>
      <c r="R1210" s="9">
        <v>1</v>
      </c>
      <c r="S1210" s="9">
        <f t="shared" si="187"/>
        <v>0</v>
      </c>
      <c r="T1210" s="90">
        <f t="shared" si="182"/>
        <v>241</v>
      </c>
      <c r="U1210" s="90">
        <f t="shared" si="183"/>
        <v>241</v>
      </c>
      <c r="V1210" s="373">
        <f t="shared" si="184"/>
        <v>1201</v>
      </c>
      <c r="W1210" s="90">
        <f t="shared" si="185"/>
        <v>0</v>
      </c>
      <c r="X1210" s="90">
        <f t="shared" si="186"/>
        <v>0</v>
      </c>
      <c r="Y1210" s="141">
        <f t="shared" si="188"/>
        <v>1201</v>
      </c>
      <c r="Z1210" s="298">
        <v>241</v>
      </c>
      <c r="AA1210" s="299">
        <v>241</v>
      </c>
      <c r="AB1210" s="299">
        <v>1201</v>
      </c>
      <c r="AC1210" s="301">
        <v>0</v>
      </c>
      <c r="AD1210" s="301">
        <v>0</v>
      </c>
      <c r="AE1210" s="126"/>
      <c r="AF1210" s="298"/>
      <c r="AG1210" s="299"/>
      <c r="AH1210" s="299"/>
      <c r="AI1210" s="301"/>
      <c r="AJ1210" s="301"/>
      <c r="AK1210" s="426"/>
      <c r="AL1210" s="298"/>
      <c r="AM1210" s="299"/>
      <c r="AN1210" s="299"/>
      <c r="AO1210" s="301"/>
      <c r="AP1210" s="301"/>
      <c r="AQ1210" s="426"/>
      <c r="AR1210" s="298"/>
      <c r="AS1210" s="299"/>
      <c r="AT1210" s="299"/>
      <c r="AU1210" s="301"/>
      <c r="AV1210" s="301"/>
      <c r="AW1210" s="88"/>
      <c r="AX1210" s="298"/>
      <c r="AY1210" s="299"/>
      <c r="AZ1210" s="299"/>
      <c r="BA1210" s="301"/>
      <c r="BB1210" s="301"/>
      <c r="BC1210" s="426"/>
      <c r="BD1210" s="298"/>
      <c r="BE1210" s="299"/>
      <c r="BF1210" s="299"/>
      <c r="BG1210" s="301"/>
      <c r="BH1210" s="301"/>
      <c r="BI1210" s="88"/>
      <c r="BJ1210" s="298"/>
      <c r="BK1210" s="299"/>
      <c r="BL1210" s="299"/>
      <c r="BM1210" s="301"/>
      <c r="BN1210" s="301"/>
      <c r="BO1210" s="88"/>
      <c r="BP1210" s="9"/>
      <c r="BS1210" s="81"/>
      <c r="BT1210" s="81"/>
      <c r="BV1210" s="9"/>
      <c r="BY1210" s="81"/>
      <c r="BZ1210" s="81"/>
      <c r="CB1210" s="9"/>
      <c r="CE1210" s="81"/>
      <c r="CF1210" s="81"/>
      <c r="CH1210" s="9"/>
      <c r="CK1210" s="81"/>
      <c r="CL1210" s="81"/>
      <c r="CR1210" s="9"/>
      <c r="CS1210" s="9"/>
      <c r="CT1210" s="9"/>
      <c r="CU1210" s="9"/>
      <c r="CV1210" s="9"/>
      <c r="CW1210" s="129"/>
      <c r="CX1210" s="9"/>
    </row>
    <row r="1211" spans="1:102">
      <c r="A1211" s="6" t="str">
        <f t="shared" si="181"/>
        <v>02410775</v>
      </c>
      <c r="B1211" s="6" t="s">
        <v>1891</v>
      </c>
      <c r="C1211" s="6" t="s">
        <v>2059</v>
      </c>
      <c r="D1211" s="6">
        <v>1202</v>
      </c>
      <c r="E1211" s="6">
        <v>241</v>
      </c>
      <c r="F1211" s="6" t="s">
        <v>1359</v>
      </c>
      <c r="G1211" s="6">
        <v>775</v>
      </c>
      <c r="H1211" s="6" t="s">
        <v>1089</v>
      </c>
      <c r="I1211" s="33">
        <v>5031941.3270848254</v>
      </c>
      <c r="J1211" s="88">
        <v>0.90628143666510541</v>
      </c>
      <c r="K1211" s="89">
        <f t="shared" si="190"/>
        <v>5371859.8726635063</v>
      </c>
      <c r="L1211" s="88">
        <f>IF(K1214&gt;0, K1211/K1214, 0)</f>
        <v>0.91383141025679027</v>
      </c>
      <c r="M1211" s="58"/>
      <c r="N1211" s="9">
        <f>ROUND(M1214*L1211,0)</f>
        <v>4223374</v>
      </c>
      <c r="O1211" s="9">
        <v>4009651</v>
      </c>
      <c r="P1211" s="9">
        <f>N1211-O1211</f>
        <v>213723</v>
      </c>
      <c r="Q1211" s="40">
        <f t="shared" si="189"/>
        <v>5.3302145249050357</v>
      </c>
      <c r="R1211" s="9">
        <v>406.80839970567996</v>
      </c>
      <c r="S1211" s="9">
        <f t="shared" si="187"/>
        <v>422.76413856030001</v>
      </c>
      <c r="T1211" s="90">
        <f t="shared" si="182"/>
        <v>241</v>
      </c>
      <c r="U1211" s="90">
        <f t="shared" si="183"/>
        <v>775</v>
      </c>
      <c r="V1211" s="373">
        <f t="shared" si="184"/>
        <v>1202</v>
      </c>
      <c r="W1211" s="90">
        <f t="shared" si="185"/>
        <v>422.76413856030001</v>
      </c>
      <c r="X1211" s="90">
        <f t="shared" si="186"/>
        <v>5371859.8726635063</v>
      </c>
      <c r="Y1211" s="141">
        <f t="shared" si="188"/>
        <v>1202</v>
      </c>
      <c r="Z1211" s="298">
        <v>241</v>
      </c>
      <c r="AA1211" s="299">
        <v>775</v>
      </c>
      <c r="AB1211" s="299">
        <v>1202</v>
      </c>
      <c r="AC1211" s="301">
        <v>422.76413856030001</v>
      </c>
      <c r="AD1211" s="301">
        <v>5371859.8726635063</v>
      </c>
      <c r="AE1211" s="126"/>
      <c r="AF1211" s="298"/>
      <c r="AG1211" s="299"/>
      <c r="AH1211" s="299"/>
      <c r="AI1211" s="301"/>
      <c r="AJ1211" s="301"/>
      <c r="AK1211" s="426"/>
      <c r="AL1211" s="298"/>
      <c r="AM1211" s="299"/>
      <c r="AN1211" s="299"/>
      <c r="AO1211" s="301"/>
      <c r="AP1211" s="301"/>
      <c r="AQ1211" s="426"/>
      <c r="AR1211" s="298"/>
      <c r="AS1211" s="299"/>
      <c r="AT1211" s="299"/>
      <c r="AU1211" s="301"/>
      <c r="AV1211" s="301"/>
      <c r="AW1211" s="88"/>
      <c r="AX1211" s="298"/>
      <c r="AY1211" s="299"/>
      <c r="AZ1211" s="299"/>
      <c r="BA1211" s="301"/>
      <c r="BB1211" s="301"/>
      <c r="BC1211" s="426"/>
      <c r="BD1211" s="298"/>
      <c r="BE1211" s="299"/>
      <c r="BF1211" s="299"/>
      <c r="BG1211" s="301"/>
      <c r="BH1211" s="301"/>
      <c r="BI1211" s="88"/>
      <c r="BJ1211" s="298"/>
      <c r="BK1211" s="299"/>
      <c r="BL1211" s="299"/>
      <c r="BM1211" s="301"/>
      <c r="BN1211" s="301"/>
      <c r="BO1211" s="88"/>
      <c r="BP1211" s="9"/>
      <c r="BS1211" s="81"/>
      <c r="BT1211" s="81"/>
      <c r="BV1211" s="9"/>
      <c r="BY1211" s="81"/>
      <c r="BZ1211" s="81"/>
      <c r="CB1211" s="9"/>
      <c r="CE1211" s="81"/>
      <c r="CF1211" s="81"/>
      <c r="CH1211" s="9"/>
      <c r="CK1211" s="81"/>
      <c r="CL1211" s="81"/>
      <c r="CR1211" s="9"/>
      <c r="CS1211" s="9"/>
      <c r="CT1211" s="9"/>
      <c r="CU1211" s="9"/>
      <c r="CV1211" s="9"/>
      <c r="CW1211" s="129"/>
      <c r="CX1211" s="9"/>
    </row>
    <row r="1212" spans="1:102">
      <c r="A1212" s="6" t="str">
        <f t="shared" si="181"/>
        <v>02410832</v>
      </c>
      <c r="B1212" s="6" t="s">
        <v>1891</v>
      </c>
      <c r="C1212" s="6" t="s">
        <v>2075</v>
      </c>
      <c r="D1212" s="6">
        <v>1203</v>
      </c>
      <c r="E1212" s="6">
        <v>241</v>
      </c>
      <c r="F1212" s="6" t="s">
        <v>1359</v>
      </c>
      <c r="G1212" s="6">
        <v>832</v>
      </c>
      <c r="H1212" s="6" t="s">
        <v>1105</v>
      </c>
      <c r="I1212" s="33">
        <v>503862.29246369755</v>
      </c>
      <c r="J1212" s="88">
        <v>9.0748483063080754E-2</v>
      </c>
      <c r="K1212" s="89">
        <f t="shared" si="190"/>
        <v>506532.80717882095</v>
      </c>
      <c r="L1212" s="88">
        <f>IF(K1214&gt;0, K1212/K1214, 0)</f>
        <v>8.6168589743209775E-2</v>
      </c>
      <c r="M1212" s="58"/>
      <c r="N1212" s="9">
        <f>ROUND(M1214*L1212,0)</f>
        <v>398238</v>
      </c>
      <c r="O1212" s="9">
        <v>401498</v>
      </c>
      <c r="P1212" s="9">
        <f>N1212-O1212</f>
        <v>-3260</v>
      </c>
      <c r="Q1212" s="40">
        <f t="shared" si="189"/>
        <v>-0.81195921274825777</v>
      </c>
      <c r="R1212" s="9">
        <v>25.034176345699997</v>
      </c>
      <c r="S1212" s="9">
        <f t="shared" si="187"/>
        <v>25.00000000488</v>
      </c>
      <c r="T1212" s="90">
        <f t="shared" si="182"/>
        <v>241</v>
      </c>
      <c r="U1212" s="90">
        <f t="shared" si="183"/>
        <v>832</v>
      </c>
      <c r="V1212" s="373">
        <f t="shared" si="184"/>
        <v>1203</v>
      </c>
      <c r="W1212" s="90">
        <f t="shared" si="185"/>
        <v>25.00000000488</v>
      </c>
      <c r="X1212" s="90">
        <f t="shared" si="186"/>
        <v>506532.80717882095</v>
      </c>
      <c r="Y1212" s="141">
        <f t="shared" si="188"/>
        <v>1203</v>
      </c>
      <c r="Z1212" s="298">
        <v>241</v>
      </c>
      <c r="AA1212" s="299">
        <v>832</v>
      </c>
      <c r="AB1212" s="299">
        <v>1203</v>
      </c>
      <c r="AC1212" s="301">
        <v>25.00000000488</v>
      </c>
      <c r="AD1212" s="301">
        <v>506532.80717882095</v>
      </c>
      <c r="AE1212" s="126"/>
      <c r="AF1212" s="298"/>
      <c r="AG1212" s="299"/>
      <c r="AH1212" s="299"/>
      <c r="AI1212" s="301"/>
      <c r="AJ1212" s="301"/>
      <c r="AK1212" s="426"/>
      <c r="AL1212" s="298"/>
      <c r="AM1212" s="299"/>
      <c r="AN1212" s="299"/>
      <c r="AO1212" s="301"/>
      <c r="AP1212" s="301"/>
      <c r="AQ1212" s="426"/>
      <c r="AR1212" s="298"/>
      <c r="AS1212" s="299"/>
      <c r="AT1212" s="299"/>
      <c r="AU1212" s="301"/>
      <c r="AV1212" s="301"/>
      <c r="AW1212" s="88"/>
      <c r="AX1212" s="298"/>
      <c r="AY1212" s="299"/>
      <c r="AZ1212" s="299"/>
      <c r="BA1212" s="301"/>
      <c r="BB1212" s="301"/>
      <c r="BC1212" s="426"/>
      <c r="BD1212" s="298"/>
      <c r="BE1212" s="299"/>
      <c r="BF1212" s="299"/>
      <c r="BG1212" s="301"/>
      <c r="BH1212" s="301"/>
      <c r="BI1212" s="88"/>
      <c r="BJ1212" s="298"/>
      <c r="BK1212" s="299"/>
      <c r="BL1212" s="299"/>
      <c r="BM1212" s="301"/>
      <c r="BN1212" s="301"/>
      <c r="BO1212" s="88"/>
      <c r="BP1212" s="9"/>
      <c r="BS1212" s="81"/>
      <c r="BT1212" s="81"/>
      <c r="BV1212" s="9"/>
      <c r="BY1212" s="81"/>
      <c r="BZ1212" s="81"/>
      <c r="CB1212" s="9"/>
      <c r="CE1212" s="81"/>
      <c r="CF1212" s="81"/>
      <c r="CH1212" s="9"/>
      <c r="CK1212" s="81"/>
      <c r="CL1212" s="81"/>
      <c r="CR1212" s="9"/>
      <c r="CS1212" s="9"/>
      <c r="CT1212" s="9"/>
      <c r="CU1212" s="9"/>
      <c r="CV1212" s="9"/>
      <c r="CW1212" s="129"/>
      <c r="CX1212" s="9"/>
    </row>
    <row r="1213" spans="1:102">
      <c r="A1213" s="6" t="str">
        <f t="shared" si="181"/>
        <v>02410998</v>
      </c>
      <c r="B1213" s="6" t="s">
        <v>1891</v>
      </c>
      <c r="C1213" s="6" t="s">
        <v>2091</v>
      </c>
      <c r="D1213" s="6">
        <v>1204</v>
      </c>
      <c r="E1213" s="6">
        <v>241</v>
      </c>
      <c r="F1213" s="6" t="s">
        <v>1547</v>
      </c>
      <c r="G1213" s="6">
        <v>998</v>
      </c>
      <c r="H1213" s="6" t="s">
        <v>1547</v>
      </c>
      <c r="I1213" s="33">
        <v>0</v>
      </c>
      <c r="J1213" s="88">
        <v>0</v>
      </c>
      <c r="K1213" s="89">
        <f t="shared" si="190"/>
        <v>0</v>
      </c>
      <c r="L1213" s="88">
        <f>IF(K1214&gt;0, K1213/K1214, 0)</f>
        <v>0</v>
      </c>
      <c r="M1213" s="58"/>
      <c r="N1213" s="9">
        <f>ROUND(M1214*L1213,0)</f>
        <v>0</v>
      </c>
      <c r="O1213" s="9">
        <v>0</v>
      </c>
      <c r="P1213" s="9">
        <f>N1213-O1213</f>
        <v>0</v>
      </c>
      <c r="Q1213" s="40">
        <f t="shared" si="189"/>
        <v>0</v>
      </c>
      <c r="R1213" s="9">
        <v>0</v>
      </c>
      <c r="S1213" s="9">
        <f t="shared" si="187"/>
        <v>0</v>
      </c>
      <c r="T1213" s="90">
        <f t="shared" si="182"/>
        <v>241</v>
      </c>
      <c r="U1213" s="90">
        <f t="shared" si="183"/>
        <v>998</v>
      </c>
      <c r="V1213" s="373">
        <f t="shared" si="184"/>
        <v>1204</v>
      </c>
      <c r="W1213" s="90">
        <f t="shared" si="185"/>
        <v>0</v>
      </c>
      <c r="X1213" s="90">
        <f t="shared" si="186"/>
        <v>0</v>
      </c>
      <c r="Y1213" s="141">
        <f t="shared" si="188"/>
        <v>1204</v>
      </c>
      <c r="Z1213" s="298">
        <v>241</v>
      </c>
      <c r="AA1213" s="299">
        <v>998</v>
      </c>
      <c r="AB1213" s="299">
        <v>1204</v>
      </c>
      <c r="AC1213" s="301">
        <v>0</v>
      </c>
      <c r="AD1213" s="301">
        <v>0</v>
      </c>
      <c r="AE1213" s="126"/>
      <c r="AF1213" s="298"/>
      <c r="AG1213" s="299"/>
      <c r="AH1213" s="299"/>
      <c r="AI1213" s="301"/>
      <c r="AJ1213" s="301"/>
      <c r="AK1213" s="426"/>
      <c r="AL1213" s="298"/>
      <c r="AM1213" s="299"/>
      <c r="AN1213" s="299"/>
      <c r="AO1213" s="301"/>
      <c r="AP1213" s="301"/>
      <c r="AQ1213" s="426"/>
      <c r="AR1213" s="298"/>
      <c r="AS1213" s="299"/>
      <c r="AT1213" s="299"/>
      <c r="AU1213" s="301"/>
      <c r="AV1213" s="301"/>
      <c r="AW1213" s="88"/>
      <c r="AX1213" s="298"/>
      <c r="AY1213" s="299"/>
      <c r="AZ1213" s="299"/>
      <c r="BA1213" s="301"/>
      <c r="BB1213" s="301"/>
      <c r="BC1213" s="426"/>
      <c r="BD1213" s="298"/>
      <c r="BE1213" s="299"/>
      <c r="BF1213" s="299"/>
      <c r="BG1213" s="301"/>
      <c r="BH1213" s="301"/>
      <c r="BI1213" s="88"/>
      <c r="BJ1213" s="298"/>
      <c r="BK1213" s="299"/>
      <c r="BL1213" s="299"/>
      <c r="BM1213" s="301"/>
      <c r="BN1213" s="301"/>
      <c r="BO1213" s="88"/>
      <c r="BP1213" s="9"/>
      <c r="BS1213" s="81"/>
      <c r="BT1213" s="81"/>
      <c r="BV1213" s="9"/>
      <c r="BY1213" s="81"/>
      <c r="BZ1213" s="81"/>
      <c r="CB1213" s="9"/>
      <c r="CE1213" s="81"/>
      <c r="CF1213" s="81"/>
      <c r="CH1213" s="9"/>
      <c r="CK1213" s="81"/>
      <c r="CL1213" s="81"/>
      <c r="CR1213" s="9"/>
      <c r="CS1213" s="9"/>
      <c r="CT1213" s="9"/>
      <c r="CU1213" s="9"/>
      <c r="CV1213" s="9"/>
      <c r="CW1213" s="129"/>
      <c r="CX1213" s="9"/>
    </row>
    <row r="1214" spans="1:102">
      <c r="A1214" s="6" t="str">
        <f t="shared" si="181"/>
        <v>02410999</v>
      </c>
      <c r="B1214" s="6" t="s">
        <v>1891</v>
      </c>
      <c r="C1214" s="6" t="s">
        <v>2092</v>
      </c>
      <c r="D1214" s="6">
        <v>1205</v>
      </c>
      <c r="E1214" s="10">
        <v>241</v>
      </c>
      <c r="F1214" s="10" t="s">
        <v>1359</v>
      </c>
      <c r="G1214" s="10">
        <v>999</v>
      </c>
      <c r="H1214" s="10" t="s">
        <v>593</v>
      </c>
      <c r="I1214" s="92">
        <v>5552294.3795485226</v>
      </c>
      <c r="J1214" s="472">
        <v>1</v>
      </c>
      <c r="K1214" s="53">
        <f>SUM(K1210:K1213)</f>
        <v>5878392.6798423268</v>
      </c>
      <c r="L1214" s="91">
        <f>SUM(L1210:L1213)</f>
        <v>1</v>
      </c>
      <c r="M1214" s="79">
        <f>VLOOKUP(E1214,town351,24)</f>
        <v>4621612</v>
      </c>
      <c r="N1214" s="79">
        <f>SUM(N1210:N1213)</f>
        <v>4621612</v>
      </c>
      <c r="O1214" s="79">
        <v>4424289</v>
      </c>
      <c r="P1214" s="79">
        <f>SUM(P1210:P1213)</f>
        <v>197323</v>
      </c>
      <c r="Q1214" s="39">
        <f t="shared" si="189"/>
        <v>4.4599934588359851</v>
      </c>
      <c r="R1214" s="9">
        <v>432.84257605137998</v>
      </c>
      <c r="S1214" s="9">
        <f t="shared" si="187"/>
        <v>447.76413856518002</v>
      </c>
      <c r="T1214" s="90">
        <f t="shared" si="182"/>
        <v>241</v>
      </c>
      <c r="U1214" s="90">
        <f t="shared" si="183"/>
        <v>999</v>
      </c>
      <c r="V1214" s="373">
        <f t="shared" si="184"/>
        <v>1205</v>
      </c>
      <c r="W1214" s="90">
        <f t="shared" si="185"/>
        <v>447.76413856518002</v>
      </c>
      <c r="X1214" s="90">
        <f t="shared" si="186"/>
        <v>5878392.6798423268</v>
      </c>
      <c r="Y1214" s="141">
        <f t="shared" si="188"/>
        <v>1205</v>
      </c>
      <c r="Z1214" s="298">
        <v>241</v>
      </c>
      <c r="AA1214" s="299">
        <v>999</v>
      </c>
      <c r="AB1214" s="299">
        <v>1205</v>
      </c>
      <c r="AC1214" s="301">
        <v>447.76413856518002</v>
      </c>
      <c r="AD1214" s="301">
        <v>5878392.6798423268</v>
      </c>
      <c r="AE1214" s="126"/>
      <c r="AF1214" s="298"/>
      <c r="AG1214" s="299"/>
      <c r="AH1214" s="299"/>
      <c r="AI1214" s="301"/>
      <c r="AJ1214" s="301"/>
      <c r="AK1214" s="426"/>
      <c r="AL1214" s="298"/>
      <c r="AM1214" s="299"/>
      <c r="AN1214" s="299"/>
      <c r="AO1214" s="301"/>
      <c r="AP1214" s="301"/>
      <c r="AQ1214" s="426"/>
      <c r="AR1214" s="298"/>
      <c r="AS1214" s="299"/>
      <c r="AT1214" s="299"/>
      <c r="AU1214" s="301"/>
      <c r="AV1214" s="301"/>
      <c r="AW1214" s="91"/>
      <c r="AX1214" s="298"/>
      <c r="AY1214" s="299"/>
      <c r="AZ1214" s="299"/>
      <c r="BA1214" s="301"/>
      <c r="BB1214" s="301"/>
      <c r="BC1214" s="426"/>
      <c r="BD1214" s="298"/>
      <c r="BE1214" s="299"/>
      <c r="BF1214" s="299"/>
      <c r="BG1214" s="301"/>
      <c r="BH1214" s="301"/>
      <c r="BI1214" s="91"/>
      <c r="BJ1214" s="298"/>
      <c r="BK1214" s="299"/>
      <c r="BL1214" s="299"/>
      <c r="BM1214" s="301"/>
      <c r="BN1214" s="301"/>
      <c r="BO1214" s="91"/>
      <c r="BP1214" s="9"/>
      <c r="BS1214" s="81"/>
      <c r="BT1214" s="81"/>
      <c r="BV1214" s="9"/>
      <c r="BY1214" s="81"/>
      <c r="BZ1214" s="81"/>
      <c r="CB1214" s="9"/>
      <c r="CE1214" s="81"/>
      <c r="CF1214" s="81"/>
      <c r="CH1214" s="9"/>
      <c r="CK1214" s="81"/>
      <c r="CL1214" s="81"/>
      <c r="CR1214" s="9"/>
      <c r="CS1214" s="9"/>
      <c r="CT1214" s="9"/>
      <c r="CU1214" s="9"/>
      <c r="CV1214" s="9"/>
      <c r="CW1214" s="129"/>
      <c r="CX1214" s="9"/>
    </row>
    <row r="1215" spans="1:102">
      <c r="A1215" s="6" t="str">
        <f t="shared" si="181"/>
        <v>02420242</v>
      </c>
      <c r="B1215" s="6" t="s">
        <v>1892</v>
      </c>
      <c r="C1215" s="6" t="s">
        <v>1892</v>
      </c>
      <c r="D1215" s="6">
        <v>1206</v>
      </c>
      <c r="E1215" s="6">
        <v>242</v>
      </c>
      <c r="F1215" s="6" t="s">
        <v>1360</v>
      </c>
      <c r="G1215" s="6">
        <v>242</v>
      </c>
      <c r="H1215" s="6" t="s">
        <v>923</v>
      </c>
      <c r="I1215" s="33">
        <v>1708796.98</v>
      </c>
      <c r="J1215" s="88">
        <v>0.89712506417369497</v>
      </c>
      <c r="K1215" s="89">
        <f>X1215</f>
        <v>1580908.4799999997</v>
      </c>
      <c r="L1215" s="88">
        <f>IF(K1219&gt;0, K1215/K1219, 0)</f>
        <v>0.9235021616895488</v>
      </c>
      <c r="M1215" s="58"/>
      <c r="N1215" s="9">
        <f>ROUND(M1219*L1215,0)</f>
        <v>1304249</v>
      </c>
      <c r="O1215" s="9">
        <v>1409758</v>
      </c>
      <c r="P1215" s="9">
        <f>N1215-O1215</f>
        <v>-105509</v>
      </c>
      <c r="Q1215" s="40">
        <f t="shared" si="189"/>
        <v>-7.4841923223702223</v>
      </c>
      <c r="R1215" s="9">
        <v>98</v>
      </c>
      <c r="S1215" s="9">
        <f t="shared" si="187"/>
        <v>87</v>
      </c>
      <c r="T1215" s="90">
        <f t="shared" si="182"/>
        <v>242</v>
      </c>
      <c r="U1215" s="90">
        <f t="shared" si="183"/>
        <v>242</v>
      </c>
      <c r="V1215" s="373">
        <f t="shared" si="184"/>
        <v>1206</v>
      </c>
      <c r="W1215" s="90">
        <f t="shared" si="185"/>
        <v>87</v>
      </c>
      <c r="X1215" s="90">
        <f t="shared" si="186"/>
        <v>1580908.4799999997</v>
      </c>
      <c r="Y1215" s="141">
        <f t="shared" si="188"/>
        <v>1206</v>
      </c>
      <c r="Z1215" s="298">
        <v>242</v>
      </c>
      <c r="AA1215" s="299">
        <v>242</v>
      </c>
      <c r="AB1215" s="299">
        <v>1206</v>
      </c>
      <c r="AC1215" s="301">
        <v>87</v>
      </c>
      <c r="AD1215" s="301">
        <v>1580908.4799999997</v>
      </c>
      <c r="AE1215" s="126"/>
      <c r="AF1215" s="298"/>
      <c r="AG1215" s="299"/>
      <c r="AH1215" s="299"/>
      <c r="AI1215" s="301"/>
      <c r="AJ1215" s="301"/>
      <c r="AK1215" s="426"/>
      <c r="AL1215" s="298"/>
      <c r="AM1215" s="299"/>
      <c r="AN1215" s="299"/>
      <c r="AO1215" s="301"/>
      <c r="AP1215" s="301"/>
      <c r="AQ1215" s="426"/>
      <c r="AR1215" s="298"/>
      <c r="AS1215" s="299"/>
      <c r="AT1215" s="299"/>
      <c r="AU1215" s="301"/>
      <c r="AV1215" s="301"/>
      <c r="AW1215" s="88"/>
      <c r="AX1215" s="298"/>
      <c r="AY1215" s="299"/>
      <c r="AZ1215" s="299"/>
      <c r="BA1215" s="301"/>
      <c r="BB1215" s="301"/>
      <c r="BC1215" s="426"/>
      <c r="BD1215" s="298"/>
      <c r="BE1215" s="299"/>
      <c r="BF1215" s="299"/>
      <c r="BG1215" s="301"/>
      <c r="BH1215" s="301"/>
      <c r="BI1215" s="88"/>
      <c r="BJ1215" s="298"/>
      <c r="BK1215" s="299"/>
      <c r="BL1215" s="299"/>
      <c r="BM1215" s="301"/>
      <c r="BN1215" s="301"/>
      <c r="BO1215" s="88"/>
      <c r="BP1215" s="9"/>
      <c r="BS1215" s="81"/>
      <c r="BT1215" s="81"/>
      <c r="BV1215" s="9"/>
      <c r="BY1215" s="81"/>
      <c r="BZ1215" s="81"/>
      <c r="CB1215" s="9"/>
      <c r="CE1215" s="81"/>
      <c r="CF1215" s="81"/>
      <c r="CH1215" s="9"/>
      <c r="CK1215" s="81"/>
      <c r="CL1215" s="81"/>
      <c r="CR1215" s="9"/>
      <c r="CS1215" s="9"/>
      <c r="CT1215" s="9"/>
      <c r="CU1215" s="9"/>
      <c r="CV1215" s="9"/>
      <c r="CW1215" s="129"/>
      <c r="CX1215" s="9"/>
    </row>
    <row r="1216" spans="1:102">
      <c r="A1216" s="6" t="str">
        <f t="shared" si="181"/>
        <v>02420815</v>
      </c>
      <c r="B1216" s="6" t="s">
        <v>1892</v>
      </c>
      <c r="C1216" s="6" t="s">
        <v>2066</v>
      </c>
      <c r="D1216" s="6">
        <v>1207</v>
      </c>
      <c r="E1216" s="6">
        <v>242</v>
      </c>
      <c r="F1216" s="6" t="s">
        <v>1360</v>
      </c>
      <c r="G1216" s="6">
        <v>815</v>
      </c>
      <c r="H1216" s="6" t="s">
        <v>1096</v>
      </c>
      <c r="I1216" s="33">
        <v>195950.8062787198</v>
      </c>
      <c r="J1216" s="88">
        <v>0.102874935826305</v>
      </c>
      <c r="K1216" s="89">
        <f t="shared" si="190"/>
        <v>130953.7609153058</v>
      </c>
      <c r="L1216" s="88">
        <f>IF(K1219&gt;0, K1216/K1219, 0)</f>
        <v>7.649783831045126E-2</v>
      </c>
      <c r="M1216" s="58"/>
      <c r="N1216" s="9">
        <f>ROUND(M1219*L1216,0)</f>
        <v>108037</v>
      </c>
      <c r="O1216" s="9">
        <v>161659</v>
      </c>
      <c r="P1216" s="9">
        <f>N1216-O1216</f>
        <v>-53622</v>
      </c>
      <c r="Q1216" s="40">
        <f t="shared" si="189"/>
        <v>-33.169820424473741</v>
      </c>
      <c r="R1216" s="9">
        <v>9.0269865045299991</v>
      </c>
      <c r="S1216" s="9">
        <f t="shared" si="187"/>
        <v>6.0090090096699997</v>
      </c>
      <c r="T1216" s="90">
        <f t="shared" si="182"/>
        <v>242</v>
      </c>
      <c r="U1216" s="90">
        <f t="shared" si="183"/>
        <v>815</v>
      </c>
      <c r="V1216" s="373">
        <f t="shared" si="184"/>
        <v>1207</v>
      </c>
      <c r="W1216" s="90">
        <f t="shared" si="185"/>
        <v>6.0090090096699997</v>
      </c>
      <c r="X1216" s="90">
        <f t="shared" si="186"/>
        <v>130953.7609153058</v>
      </c>
      <c r="Y1216" s="141">
        <f t="shared" si="188"/>
        <v>1207</v>
      </c>
      <c r="Z1216" s="298">
        <v>242</v>
      </c>
      <c r="AA1216" s="299">
        <v>815</v>
      </c>
      <c r="AB1216" s="299">
        <v>1207</v>
      </c>
      <c r="AC1216" s="301">
        <v>6.0090090096699997</v>
      </c>
      <c r="AD1216" s="301">
        <v>130953.7609153058</v>
      </c>
      <c r="AE1216" s="126"/>
      <c r="AF1216" s="298"/>
      <c r="AG1216" s="299"/>
      <c r="AH1216" s="299"/>
      <c r="AI1216" s="301"/>
      <c r="AJ1216" s="301"/>
      <c r="AK1216" s="426"/>
      <c r="AL1216" s="298"/>
      <c r="AM1216" s="299"/>
      <c r="AN1216" s="299"/>
      <c r="AO1216" s="301"/>
      <c r="AP1216" s="301"/>
      <c r="AQ1216" s="426"/>
      <c r="AR1216" s="298"/>
      <c r="AS1216" s="299"/>
      <c r="AT1216" s="299"/>
      <c r="AU1216" s="301"/>
      <c r="AV1216" s="301"/>
      <c r="AW1216" s="88"/>
      <c r="AX1216" s="298"/>
      <c r="AY1216" s="299"/>
      <c r="AZ1216" s="299"/>
      <c r="BA1216" s="301"/>
      <c r="BB1216" s="301"/>
      <c r="BC1216" s="426"/>
      <c r="BD1216" s="298"/>
      <c r="BE1216" s="299"/>
      <c r="BF1216" s="299"/>
      <c r="BG1216" s="301"/>
      <c r="BH1216" s="301"/>
      <c r="BI1216" s="88"/>
      <c r="BJ1216" s="298"/>
      <c r="BK1216" s="299"/>
      <c r="BL1216" s="299"/>
      <c r="BM1216" s="301"/>
      <c r="BN1216" s="301"/>
      <c r="BO1216" s="88"/>
      <c r="BP1216" s="9"/>
      <c r="BS1216" s="81"/>
      <c r="BT1216" s="81"/>
      <c r="BV1216" s="9"/>
      <c r="BY1216" s="81"/>
      <c r="BZ1216" s="81"/>
      <c r="CB1216" s="9"/>
      <c r="CE1216" s="81"/>
      <c r="CF1216" s="81"/>
      <c r="CH1216" s="9"/>
      <c r="CK1216" s="81"/>
      <c r="CL1216" s="81"/>
      <c r="CR1216" s="9"/>
      <c r="CS1216" s="9"/>
      <c r="CT1216" s="9"/>
      <c r="CU1216" s="9"/>
      <c r="CV1216" s="9"/>
      <c r="CW1216" s="129"/>
      <c r="CX1216" s="9"/>
    </row>
    <row r="1217" spans="1:102">
      <c r="A1217" s="6" t="str">
        <f t="shared" si="181"/>
        <v>02420998</v>
      </c>
      <c r="B1217" s="6" t="s">
        <v>1892</v>
      </c>
      <c r="C1217" s="6" t="s">
        <v>2091</v>
      </c>
      <c r="D1217" s="6">
        <v>1208</v>
      </c>
      <c r="E1217" s="6">
        <v>242</v>
      </c>
      <c r="F1217" s="6" t="s">
        <v>1547</v>
      </c>
      <c r="G1217" s="6">
        <v>998</v>
      </c>
      <c r="H1217" s="6" t="s">
        <v>1547</v>
      </c>
      <c r="I1217" s="33">
        <v>0</v>
      </c>
      <c r="J1217" s="88">
        <v>0</v>
      </c>
      <c r="K1217" s="89">
        <f t="shared" si="190"/>
        <v>0</v>
      </c>
      <c r="L1217" s="88">
        <f>IF(K1219&gt;0, K1217/K1219, 0)</f>
        <v>0</v>
      </c>
      <c r="M1217" s="58"/>
      <c r="N1217" s="9">
        <f>ROUND(M1219*L1217,0)</f>
        <v>0</v>
      </c>
      <c r="O1217" s="9">
        <v>0</v>
      </c>
      <c r="P1217" s="9">
        <f>N1217-O1217</f>
        <v>0</v>
      </c>
      <c r="Q1217" s="40">
        <f t="shared" si="189"/>
        <v>0</v>
      </c>
      <c r="R1217" s="9">
        <v>0</v>
      </c>
      <c r="S1217" s="9">
        <f t="shared" si="187"/>
        <v>0</v>
      </c>
      <c r="T1217" s="90">
        <f t="shared" si="182"/>
        <v>242</v>
      </c>
      <c r="U1217" s="90">
        <f t="shared" si="183"/>
        <v>998</v>
      </c>
      <c r="V1217" s="373">
        <f t="shared" si="184"/>
        <v>1208</v>
      </c>
      <c r="W1217" s="90">
        <f t="shared" si="185"/>
        <v>0</v>
      </c>
      <c r="X1217" s="90">
        <f t="shared" si="186"/>
        <v>0</v>
      </c>
      <c r="Y1217" s="141">
        <f t="shared" si="188"/>
        <v>1208</v>
      </c>
      <c r="Z1217" s="298">
        <v>242</v>
      </c>
      <c r="AA1217" s="299">
        <v>998</v>
      </c>
      <c r="AB1217" s="299">
        <v>1208</v>
      </c>
      <c r="AC1217" s="301">
        <v>0</v>
      </c>
      <c r="AD1217" s="301">
        <v>0</v>
      </c>
      <c r="AE1217" s="126"/>
      <c r="AF1217" s="298"/>
      <c r="AG1217" s="299"/>
      <c r="AH1217" s="299"/>
      <c r="AI1217" s="301"/>
      <c r="AJ1217" s="301"/>
      <c r="AK1217" s="426"/>
      <c r="AL1217" s="298"/>
      <c r="AM1217" s="299"/>
      <c r="AN1217" s="299"/>
      <c r="AO1217" s="301"/>
      <c r="AP1217" s="301"/>
      <c r="AQ1217" s="426"/>
      <c r="AR1217" s="298"/>
      <c r="AS1217" s="299"/>
      <c r="AT1217" s="299"/>
      <c r="AU1217" s="301"/>
      <c r="AV1217" s="301"/>
      <c r="AW1217" s="88"/>
      <c r="AX1217" s="298"/>
      <c r="AY1217" s="299"/>
      <c r="AZ1217" s="299"/>
      <c r="BA1217" s="301"/>
      <c r="BB1217" s="301"/>
      <c r="BC1217" s="426"/>
      <c r="BD1217" s="298"/>
      <c r="BE1217" s="299"/>
      <c r="BF1217" s="299"/>
      <c r="BG1217" s="301"/>
      <c r="BH1217" s="301"/>
      <c r="BI1217" s="88"/>
      <c r="BJ1217" s="298"/>
      <c r="BK1217" s="299"/>
      <c r="BL1217" s="299"/>
      <c r="BM1217" s="301"/>
      <c r="BN1217" s="301"/>
      <c r="BO1217" s="88"/>
      <c r="BP1217" s="9"/>
      <c r="BS1217" s="81"/>
      <c r="BT1217" s="81"/>
      <c r="BV1217" s="9"/>
      <c r="BY1217" s="81"/>
      <c r="BZ1217" s="81"/>
      <c r="CB1217" s="9"/>
      <c r="CE1217" s="81"/>
      <c r="CF1217" s="81"/>
      <c r="CH1217" s="9"/>
      <c r="CK1217" s="81"/>
      <c r="CL1217" s="81"/>
      <c r="CR1217" s="9"/>
      <c r="CS1217" s="9"/>
      <c r="CT1217" s="9"/>
      <c r="CU1217" s="9"/>
      <c r="CV1217" s="9"/>
      <c r="CW1217" s="129"/>
      <c r="CX1217" s="9"/>
    </row>
    <row r="1218" spans="1:102">
      <c r="A1218" s="6" t="str">
        <f t="shared" si="181"/>
        <v>02420998</v>
      </c>
      <c r="B1218" s="6" t="s">
        <v>1892</v>
      </c>
      <c r="C1218" s="6" t="s">
        <v>2091</v>
      </c>
      <c r="D1218" s="6">
        <v>1209</v>
      </c>
      <c r="E1218" s="6">
        <v>242</v>
      </c>
      <c r="F1218" s="6" t="s">
        <v>1547</v>
      </c>
      <c r="G1218" s="6">
        <v>998</v>
      </c>
      <c r="H1218" s="6" t="s">
        <v>1547</v>
      </c>
      <c r="I1218" s="33">
        <v>0</v>
      </c>
      <c r="J1218" s="88">
        <v>0</v>
      </c>
      <c r="K1218" s="89">
        <f t="shared" si="190"/>
        <v>0</v>
      </c>
      <c r="L1218" s="88">
        <f>IF(K1219&gt;0, K1218/K1219, 0)</f>
        <v>0</v>
      </c>
      <c r="M1218" s="58"/>
      <c r="N1218" s="9">
        <f>ROUND(M1219*L1218,0)</f>
        <v>0</v>
      </c>
      <c r="O1218" s="9">
        <v>0</v>
      </c>
      <c r="P1218" s="9">
        <f>N1218-O1218</f>
        <v>0</v>
      </c>
      <c r="Q1218" s="40">
        <f t="shared" si="189"/>
        <v>0</v>
      </c>
      <c r="R1218" s="9">
        <v>0</v>
      </c>
      <c r="S1218" s="9">
        <f t="shared" si="187"/>
        <v>0</v>
      </c>
      <c r="T1218" s="90">
        <f t="shared" si="182"/>
        <v>242</v>
      </c>
      <c r="U1218" s="90">
        <f t="shared" si="183"/>
        <v>998</v>
      </c>
      <c r="V1218" s="373">
        <f t="shared" si="184"/>
        <v>1209</v>
      </c>
      <c r="W1218" s="90">
        <f t="shared" si="185"/>
        <v>0</v>
      </c>
      <c r="X1218" s="90">
        <f t="shared" si="186"/>
        <v>0</v>
      </c>
      <c r="Y1218" s="141">
        <f t="shared" si="188"/>
        <v>1209</v>
      </c>
      <c r="Z1218" s="298">
        <v>242</v>
      </c>
      <c r="AA1218" s="299">
        <v>998</v>
      </c>
      <c r="AB1218" s="299">
        <v>1209</v>
      </c>
      <c r="AC1218" s="301">
        <v>0</v>
      </c>
      <c r="AD1218" s="301">
        <v>0</v>
      </c>
      <c r="AE1218" s="126"/>
      <c r="AF1218" s="298"/>
      <c r="AG1218" s="299"/>
      <c r="AH1218" s="299"/>
      <c r="AI1218" s="301"/>
      <c r="AJ1218" s="301"/>
      <c r="AK1218" s="426"/>
      <c r="AL1218" s="298"/>
      <c r="AM1218" s="299"/>
      <c r="AN1218" s="299"/>
      <c r="AO1218" s="301"/>
      <c r="AP1218" s="301"/>
      <c r="AQ1218" s="426"/>
      <c r="AR1218" s="298"/>
      <c r="AS1218" s="299"/>
      <c r="AT1218" s="299"/>
      <c r="AU1218" s="301"/>
      <c r="AV1218" s="301"/>
      <c r="AW1218" s="88"/>
      <c r="AX1218" s="298"/>
      <c r="AY1218" s="299"/>
      <c r="AZ1218" s="299"/>
      <c r="BA1218" s="301"/>
      <c r="BB1218" s="301"/>
      <c r="BC1218" s="426"/>
      <c r="BD1218" s="298"/>
      <c r="BE1218" s="299"/>
      <c r="BF1218" s="299"/>
      <c r="BG1218" s="301"/>
      <c r="BH1218" s="301"/>
      <c r="BI1218" s="88"/>
      <c r="BJ1218" s="298"/>
      <c r="BK1218" s="299"/>
      <c r="BL1218" s="299"/>
      <c r="BM1218" s="301"/>
      <c r="BN1218" s="301"/>
      <c r="BO1218" s="88"/>
      <c r="BP1218" s="9"/>
      <c r="BS1218" s="81"/>
      <c r="BT1218" s="81"/>
      <c r="BV1218" s="9"/>
      <c r="BY1218" s="81"/>
      <c r="BZ1218" s="81"/>
      <c r="CB1218" s="9"/>
      <c r="CE1218" s="81"/>
      <c r="CF1218" s="81"/>
      <c r="CH1218" s="9"/>
      <c r="CK1218" s="81"/>
      <c r="CL1218" s="81"/>
      <c r="CR1218" s="9"/>
      <c r="CS1218" s="9"/>
      <c r="CT1218" s="9"/>
      <c r="CU1218" s="9"/>
      <c r="CV1218" s="9"/>
      <c r="CW1218" s="129"/>
      <c r="CX1218" s="9"/>
    </row>
    <row r="1219" spans="1:102">
      <c r="A1219" s="6" t="str">
        <f t="shared" si="181"/>
        <v>02420999</v>
      </c>
      <c r="B1219" s="6" t="s">
        <v>1892</v>
      </c>
      <c r="C1219" s="6" t="s">
        <v>2092</v>
      </c>
      <c r="D1219" s="6">
        <v>1210</v>
      </c>
      <c r="E1219" s="10">
        <v>242</v>
      </c>
      <c r="F1219" s="10" t="s">
        <v>1360</v>
      </c>
      <c r="G1219" s="10">
        <v>999</v>
      </c>
      <c r="H1219" s="10" t="s">
        <v>593</v>
      </c>
      <c r="I1219" s="92">
        <v>1904747.7862787198</v>
      </c>
      <c r="J1219" s="472">
        <v>1</v>
      </c>
      <c r="K1219" s="53">
        <f>SUM(K1215:K1218)</f>
        <v>1711862.2409153054</v>
      </c>
      <c r="L1219" s="91">
        <f>SUM(L1215:L1218)</f>
        <v>1</v>
      </c>
      <c r="M1219" s="79">
        <f>VLOOKUP(E1219,town351,24)</f>
        <v>1412286</v>
      </c>
      <c r="N1219" s="79">
        <f>SUM(N1215:N1218)</f>
        <v>1412286</v>
      </c>
      <c r="O1219" s="79">
        <v>1571417</v>
      </c>
      <c r="P1219" s="79">
        <f>SUM(P1215:P1218)</f>
        <v>-159131</v>
      </c>
      <c r="Q1219" s="39">
        <f t="shared" si="189"/>
        <v>-10.126592750364798</v>
      </c>
      <c r="R1219" s="9">
        <v>107.02698650453</v>
      </c>
      <c r="S1219" s="9">
        <f t="shared" si="187"/>
        <v>93.009009009669995</v>
      </c>
      <c r="T1219" s="90">
        <f t="shared" si="182"/>
        <v>242</v>
      </c>
      <c r="U1219" s="90">
        <f t="shared" si="183"/>
        <v>999</v>
      </c>
      <c r="V1219" s="373">
        <f t="shared" si="184"/>
        <v>1210</v>
      </c>
      <c r="W1219" s="90">
        <f t="shared" si="185"/>
        <v>93.009009009669995</v>
      </c>
      <c r="X1219" s="90">
        <f t="shared" si="186"/>
        <v>1711862.2409153054</v>
      </c>
      <c r="Y1219" s="141">
        <f t="shared" si="188"/>
        <v>1210</v>
      </c>
      <c r="Z1219" s="298">
        <v>242</v>
      </c>
      <c r="AA1219" s="299">
        <v>999</v>
      </c>
      <c r="AB1219" s="299">
        <v>1210</v>
      </c>
      <c r="AC1219" s="301">
        <v>93.009009009669995</v>
      </c>
      <c r="AD1219" s="301">
        <v>1711862.2409153054</v>
      </c>
      <c r="AE1219" s="126"/>
      <c r="AF1219" s="298"/>
      <c r="AG1219" s="299"/>
      <c r="AH1219" s="299"/>
      <c r="AI1219" s="301"/>
      <c r="AJ1219" s="301"/>
      <c r="AK1219" s="426"/>
      <c r="AL1219" s="298"/>
      <c r="AM1219" s="299"/>
      <c r="AN1219" s="299"/>
      <c r="AO1219" s="301"/>
      <c r="AP1219" s="301"/>
      <c r="AQ1219" s="426"/>
      <c r="AR1219" s="298"/>
      <c r="AS1219" s="299"/>
      <c r="AT1219" s="299"/>
      <c r="AU1219" s="301"/>
      <c r="AV1219" s="301"/>
      <c r="AW1219" s="91"/>
      <c r="AX1219" s="298"/>
      <c r="AY1219" s="299"/>
      <c r="AZ1219" s="299"/>
      <c r="BA1219" s="301"/>
      <c r="BB1219" s="301"/>
      <c r="BC1219" s="426"/>
      <c r="BD1219" s="298"/>
      <c r="BE1219" s="299"/>
      <c r="BF1219" s="299"/>
      <c r="BG1219" s="301"/>
      <c r="BH1219" s="301"/>
      <c r="BI1219" s="91"/>
      <c r="BJ1219" s="298"/>
      <c r="BK1219" s="299"/>
      <c r="BL1219" s="299"/>
      <c r="BM1219" s="301"/>
      <c r="BN1219" s="301"/>
      <c r="BO1219" s="91"/>
      <c r="BP1219" s="9"/>
      <c r="BS1219" s="81"/>
      <c r="BT1219" s="81"/>
      <c r="BV1219" s="9"/>
      <c r="BY1219" s="81"/>
      <c r="BZ1219" s="81"/>
      <c r="CB1219" s="9"/>
      <c r="CE1219" s="81"/>
      <c r="CF1219" s="81"/>
      <c r="CH1219" s="9"/>
      <c r="CK1219" s="81"/>
      <c r="CL1219" s="81"/>
      <c r="CR1219" s="9"/>
      <c r="CS1219" s="9"/>
      <c r="CT1219" s="9"/>
      <c r="CU1219" s="9"/>
      <c r="CV1219" s="9"/>
      <c r="CW1219" s="129"/>
      <c r="CX1219" s="9"/>
    </row>
    <row r="1220" spans="1:102">
      <c r="A1220" s="6" t="str">
        <f t="shared" si="181"/>
        <v>02430243</v>
      </c>
      <c r="B1220" s="6" t="s">
        <v>1893</v>
      </c>
      <c r="C1220" s="6" t="s">
        <v>1893</v>
      </c>
      <c r="D1220" s="6">
        <v>1211</v>
      </c>
      <c r="E1220" s="6">
        <v>243</v>
      </c>
      <c r="F1220" s="6" t="s">
        <v>1361</v>
      </c>
      <c r="G1220" s="6">
        <v>243</v>
      </c>
      <c r="H1220" s="6" t="s">
        <v>924</v>
      </c>
      <c r="I1220" s="33">
        <v>164068488.81255996</v>
      </c>
      <c r="J1220" s="88">
        <v>0.99790511027845641</v>
      </c>
      <c r="K1220" s="89">
        <f>X1220</f>
        <v>167877095.85800001</v>
      </c>
      <c r="L1220" s="88">
        <f>IF(K1224&gt;0, K1220/K1224, 0)</f>
        <v>0.99725255726220974</v>
      </c>
      <c r="M1220" s="58"/>
      <c r="N1220" s="9">
        <f>ROUND(M1224*L1220,0)</f>
        <v>127478124</v>
      </c>
      <c r="O1220" s="9">
        <v>118960682</v>
      </c>
      <c r="P1220" s="9">
        <f>N1220-O1220</f>
        <v>8517442</v>
      </c>
      <c r="Q1220" s="40">
        <f t="shared" si="189"/>
        <v>7.1598799341113395</v>
      </c>
      <c r="R1220" s="9">
        <v>9715</v>
      </c>
      <c r="S1220" s="9">
        <f t="shared" si="187"/>
        <v>9799</v>
      </c>
      <c r="T1220" s="90">
        <f t="shared" si="182"/>
        <v>243</v>
      </c>
      <c r="U1220" s="90">
        <f t="shared" si="183"/>
        <v>243</v>
      </c>
      <c r="V1220" s="373">
        <f t="shared" si="184"/>
        <v>1211</v>
      </c>
      <c r="W1220" s="90">
        <f t="shared" si="185"/>
        <v>9799</v>
      </c>
      <c r="X1220" s="90">
        <f t="shared" si="186"/>
        <v>167877095.85800001</v>
      </c>
      <c r="Y1220" s="141">
        <f t="shared" si="188"/>
        <v>1211</v>
      </c>
      <c r="Z1220" s="298">
        <v>243</v>
      </c>
      <c r="AA1220" s="299">
        <v>243</v>
      </c>
      <c r="AB1220" s="299">
        <v>1211</v>
      </c>
      <c r="AC1220" s="301">
        <v>9799</v>
      </c>
      <c r="AD1220" s="301">
        <v>167877095.85800001</v>
      </c>
      <c r="AE1220" s="126"/>
      <c r="AF1220" s="298"/>
      <c r="AG1220" s="299"/>
      <c r="AH1220" s="299"/>
      <c r="AI1220" s="301"/>
      <c r="AJ1220" s="301"/>
      <c r="AK1220" s="426"/>
      <c r="AL1220" s="298"/>
      <c r="AM1220" s="299"/>
      <c r="AN1220" s="299"/>
      <c r="AO1220" s="301"/>
      <c r="AP1220" s="301"/>
      <c r="AQ1220" s="426"/>
      <c r="AR1220" s="298"/>
      <c r="AS1220" s="299"/>
      <c r="AT1220" s="299"/>
      <c r="AU1220" s="301"/>
      <c r="AV1220" s="301"/>
      <c r="AW1220" s="88"/>
      <c r="AX1220" s="298"/>
      <c r="AY1220" s="299"/>
      <c r="AZ1220" s="299"/>
      <c r="BA1220" s="301"/>
      <c r="BB1220" s="301"/>
      <c r="BC1220" s="426"/>
      <c r="BD1220" s="298"/>
      <c r="BE1220" s="299"/>
      <c r="BF1220" s="299"/>
      <c r="BG1220" s="301"/>
      <c r="BH1220" s="301"/>
      <c r="BI1220" s="88"/>
      <c r="BJ1220" s="298"/>
      <c r="BK1220" s="299"/>
      <c r="BL1220" s="299"/>
      <c r="BM1220" s="301"/>
      <c r="BN1220" s="301"/>
      <c r="BO1220" s="88"/>
      <c r="BP1220" s="9"/>
      <c r="BS1220" s="81"/>
      <c r="BT1220" s="81"/>
      <c r="BV1220" s="9"/>
      <c r="BY1220" s="81"/>
      <c r="BZ1220" s="81"/>
      <c r="CB1220" s="9"/>
      <c r="CE1220" s="81"/>
      <c r="CF1220" s="81"/>
      <c r="CH1220" s="9"/>
      <c r="CK1220" s="81"/>
      <c r="CL1220" s="81"/>
      <c r="CR1220" s="9"/>
      <c r="CS1220" s="9"/>
      <c r="CT1220" s="9"/>
      <c r="CU1220" s="9"/>
      <c r="CV1220" s="9"/>
      <c r="CW1220" s="129"/>
      <c r="CX1220" s="9"/>
    </row>
    <row r="1221" spans="1:102">
      <c r="A1221" s="6" t="str">
        <f t="shared" si="181"/>
        <v>02430915</v>
      </c>
      <c r="B1221" s="6" t="s">
        <v>1893</v>
      </c>
      <c r="C1221" s="6" t="s">
        <v>2089</v>
      </c>
      <c r="D1221" s="6">
        <v>1212</v>
      </c>
      <c r="E1221" s="6">
        <v>243</v>
      </c>
      <c r="F1221" s="6" t="s">
        <v>1361</v>
      </c>
      <c r="G1221" s="6">
        <v>915</v>
      </c>
      <c r="H1221" s="6" t="s">
        <v>1119</v>
      </c>
      <c r="I1221" s="33">
        <v>344426.92727237713</v>
      </c>
      <c r="J1221" s="88">
        <v>2.0948897215435293E-3</v>
      </c>
      <c r="K1221" s="89">
        <f t="shared" si="190"/>
        <v>462503.40948998259</v>
      </c>
      <c r="L1221" s="88">
        <f>IF(K1224&gt;0, K1221/K1224, 0)</f>
        <v>2.7474427377902279E-3</v>
      </c>
      <c r="M1221" s="58"/>
      <c r="N1221" s="9">
        <f>ROUND(M1224*L1221,0)</f>
        <v>351204</v>
      </c>
      <c r="O1221" s="9">
        <v>249733</v>
      </c>
      <c r="P1221" s="9">
        <f>N1221-O1221</f>
        <v>101471</v>
      </c>
      <c r="Q1221" s="40">
        <f t="shared" si="189"/>
        <v>40.631794756800261</v>
      </c>
      <c r="R1221" s="9">
        <v>16.00000000016</v>
      </c>
      <c r="S1221" s="9">
        <f t="shared" si="187"/>
        <v>20.9999999988</v>
      </c>
      <c r="T1221" s="90">
        <f t="shared" si="182"/>
        <v>243</v>
      </c>
      <c r="U1221" s="90">
        <f t="shared" si="183"/>
        <v>915</v>
      </c>
      <c r="V1221" s="373">
        <f t="shared" si="184"/>
        <v>1212</v>
      </c>
      <c r="W1221" s="90">
        <f t="shared" si="185"/>
        <v>20.9999999988</v>
      </c>
      <c r="X1221" s="90">
        <f t="shared" si="186"/>
        <v>462503.40948998259</v>
      </c>
      <c r="Y1221" s="141">
        <f t="shared" si="188"/>
        <v>1212</v>
      </c>
      <c r="Z1221" s="298">
        <v>243</v>
      </c>
      <c r="AA1221" s="299">
        <v>915</v>
      </c>
      <c r="AB1221" s="299">
        <v>1212</v>
      </c>
      <c r="AC1221" s="301">
        <v>20.9999999988</v>
      </c>
      <c r="AD1221" s="301">
        <v>462503.40948998259</v>
      </c>
      <c r="AE1221" s="126"/>
      <c r="AF1221" s="298"/>
      <c r="AG1221" s="299"/>
      <c r="AH1221" s="299"/>
      <c r="AI1221" s="301"/>
      <c r="AJ1221" s="301"/>
      <c r="AK1221" s="426"/>
      <c r="AL1221" s="298"/>
      <c r="AM1221" s="299"/>
      <c r="AN1221" s="299"/>
      <c r="AO1221" s="301"/>
      <c r="AP1221" s="301"/>
      <c r="AQ1221" s="426"/>
      <c r="AR1221" s="298"/>
      <c r="AS1221" s="299"/>
      <c r="AT1221" s="299"/>
      <c r="AU1221" s="301"/>
      <c r="AV1221" s="301"/>
      <c r="AW1221" s="88"/>
      <c r="AX1221" s="298"/>
      <c r="AY1221" s="299"/>
      <c r="AZ1221" s="299"/>
      <c r="BA1221" s="301"/>
      <c r="BB1221" s="301"/>
      <c r="BC1221" s="426"/>
      <c r="BD1221" s="298"/>
      <c r="BE1221" s="299"/>
      <c r="BF1221" s="299"/>
      <c r="BG1221" s="301"/>
      <c r="BH1221" s="301"/>
      <c r="BI1221" s="88"/>
      <c r="BJ1221" s="298"/>
      <c r="BK1221" s="299"/>
      <c r="BL1221" s="299"/>
      <c r="BM1221" s="301"/>
      <c r="BN1221" s="301"/>
      <c r="BO1221" s="88"/>
      <c r="BP1221" s="9"/>
      <c r="BS1221" s="81"/>
      <c r="BT1221" s="81"/>
      <c r="BV1221" s="9"/>
      <c r="BY1221" s="81"/>
      <c r="BZ1221" s="81"/>
      <c r="CB1221" s="9"/>
      <c r="CE1221" s="81"/>
      <c r="CF1221" s="81"/>
      <c r="CH1221" s="9"/>
      <c r="CK1221" s="81"/>
      <c r="CL1221" s="81"/>
      <c r="CR1221" s="9"/>
      <c r="CS1221" s="9"/>
      <c r="CT1221" s="9"/>
      <c r="CU1221" s="9"/>
      <c r="CV1221" s="9"/>
      <c r="CW1221" s="129"/>
      <c r="CX1221" s="9"/>
    </row>
    <row r="1222" spans="1:102">
      <c r="A1222" s="6" t="str">
        <f t="shared" si="181"/>
        <v>02430998</v>
      </c>
      <c r="B1222" s="6" t="s">
        <v>1893</v>
      </c>
      <c r="C1222" s="6" t="s">
        <v>2091</v>
      </c>
      <c r="D1222" s="6">
        <v>1213</v>
      </c>
      <c r="E1222" s="6">
        <v>243</v>
      </c>
      <c r="F1222" s="6" t="s">
        <v>1547</v>
      </c>
      <c r="G1222" s="6">
        <v>998</v>
      </c>
      <c r="H1222" s="6" t="s">
        <v>1547</v>
      </c>
      <c r="I1222" s="33">
        <v>0</v>
      </c>
      <c r="J1222" s="88">
        <v>0</v>
      </c>
      <c r="K1222" s="89">
        <f t="shared" si="190"/>
        <v>0</v>
      </c>
      <c r="L1222" s="88">
        <f>IF(K1224&gt;0, K1222/K1224, 0)</f>
        <v>0</v>
      </c>
      <c r="M1222" s="58"/>
      <c r="N1222" s="9">
        <f>ROUND(M1224*L1222,0)</f>
        <v>0</v>
      </c>
      <c r="O1222" s="9">
        <v>0</v>
      </c>
      <c r="P1222" s="9">
        <f>N1222-O1222</f>
        <v>0</v>
      </c>
      <c r="Q1222" s="40">
        <f t="shared" si="189"/>
        <v>0</v>
      </c>
      <c r="R1222" s="9">
        <v>0</v>
      </c>
      <c r="S1222" s="9">
        <f t="shared" si="187"/>
        <v>0</v>
      </c>
      <c r="T1222" s="90">
        <f t="shared" si="182"/>
        <v>243</v>
      </c>
      <c r="U1222" s="90">
        <f t="shared" si="183"/>
        <v>998</v>
      </c>
      <c r="V1222" s="373">
        <f t="shared" si="184"/>
        <v>1213</v>
      </c>
      <c r="W1222" s="90">
        <f t="shared" si="185"/>
        <v>0</v>
      </c>
      <c r="X1222" s="90">
        <f t="shared" si="186"/>
        <v>0</v>
      </c>
      <c r="Y1222" s="141">
        <f t="shared" si="188"/>
        <v>1213</v>
      </c>
      <c r="Z1222" s="298">
        <v>243</v>
      </c>
      <c r="AA1222" s="299">
        <v>998</v>
      </c>
      <c r="AB1222" s="299">
        <v>1213</v>
      </c>
      <c r="AC1222" s="301">
        <v>0</v>
      </c>
      <c r="AD1222" s="301">
        <v>0</v>
      </c>
      <c r="AE1222" s="126"/>
      <c r="AF1222" s="298"/>
      <c r="AG1222" s="299"/>
      <c r="AH1222" s="299"/>
      <c r="AI1222" s="301"/>
      <c r="AJ1222" s="301"/>
      <c r="AK1222" s="426"/>
      <c r="AL1222" s="298"/>
      <c r="AM1222" s="299"/>
      <c r="AN1222" s="299"/>
      <c r="AO1222" s="301"/>
      <c r="AP1222" s="301"/>
      <c r="AQ1222" s="426"/>
      <c r="AR1222" s="298"/>
      <c r="AS1222" s="299"/>
      <c r="AT1222" s="299"/>
      <c r="AU1222" s="301"/>
      <c r="AV1222" s="301"/>
      <c r="AW1222" s="88"/>
      <c r="AX1222" s="298"/>
      <c r="AY1222" s="299"/>
      <c r="AZ1222" s="299"/>
      <c r="BA1222" s="301"/>
      <c r="BB1222" s="301"/>
      <c r="BC1222" s="426"/>
      <c r="BD1222" s="298"/>
      <c r="BE1222" s="299"/>
      <c r="BF1222" s="299"/>
      <c r="BG1222" s="301"/>
      <c r="BH1222" s="301"/>
      <c r="BI1222" s="88"/>
      <c r="BJ1222" s="298"/>
      <c r="BK1222" s="299"/>
      <c r="BL1222" s="299"/>
      <c r="BM1222" s="301"/>
      <c r="BN1222" s="301"/>
      <c r="BO1222" s="88"/>
      <c r="BP1222" s="9"/>
      <c r="BS1222" s="81"/>
      <c r="BT1222" s="81"/>
      <c r="BV1222" s="9"/>
      <c r="BY1222" s="81"/>
      <c r="BZ1222" s="81"/>
      <c r="CB1222" s="9"/>
      <c r="CE1222" s="81"/>
      <c r="CF1222" s="81"/>
      <c r="CH1222" s="9"/>
      <c r="CK1222" s="81"/>
      <c r="CL1222" s="81"/>
      <c r="CR1222" s="9"/>
      <c r="CS1222" s="9"/>
      <c r="CT1222" s="9"/>
      <c r="CU1222" s="9"/>
      <c r="CV1222" s="9"/>
      <c r="CW1222" s="129"/>
      <c r="CX1222" s="9"/>
    </row>
    <row r="1223" spans="1:102">
      <c r="A1223" s="6" t="str">
        <f t="shared" si="181"/>
        <v>02430998</v>
      </c>
      <c r="B1223" s="6" t="s">
        <v>1893</v>
      </c>
      <c r="C1223" s="6" t="s">
        <v>2091</v>
      </c>
      <c r="D1223" s="6">
        <v>1214</v>
      </c>
      <c r="E1223" s="6">
        <v>243</v>
      </c>
      <c r="F1223" s="6" t="s">
        <v>1547</v>
      </c>
      <c r="G1223" s="6">
        <v>998</v>
      </c>
      <c r="H1223" s="6" t="s">
        <v>1547</v>
      </c>
      <c r="I1223" s="33">
        <v>0</v>
      </c>
      <c r="J1223" s="88">
        <v>0</v>
      </c>
      <c r="K1223" s="89">
        <f t="shared" si="190"/>
        <v>0</v>
      </c>
      <c r="L1223" s="88">
        <f>IF(K1224&gt;0, K1223/K1224, 0)</f>
        <v>0</v>
      </c>
      <c r="M1223" s="58"/>
      <c r="N1223" s="9">
        <f>ROUND(M1224*L1223,0)</f>
        <v>0</v>
      </c>
      <c r="O1223" s="9">
        <v>0</v>
      </c>
      <c r="P1223" s="9">
        <f>N1223-O1223</f>
        <v>0</v>
      </c>
      <c r="Q1223" s="40">
        <f t="shared" si="189"/>
        <v>0</v>
      </c>
      <c r="R1223" s="9">
        <v>0</v>
      </c>
      <c r="S1223" s="9">
        <f t="shared" si="187"/>
        <v>0</v>
      </c>
      <c r="T1223" s="90">
        <f t="shared" si="182"/>
        <v>243</v>
      </c>
      <c r="U1223" s="90">
        <f t="shared" si="183"/>
        <v>998</v>
      </c>
      <c r="V1223" s="373">
        <f t="shared" si="184"/>
        <v>1214</v>
      </c>
      <c r="W1223" s="90">
        <f t="shared" si="185"/>
        <v>0</v>
      </c>
      <c r="X1223" s="90">
        <f t="shared" si="186"/>
        <v>0</v>
      </c>
      <c r="Y1223" s="141">
        <f t="shared" si="188"/>
        <v>1214</v>
      </c>
      <c r="Z1223" s="298">
        <v>243</v>
      </c>
      <c r="AA1223" s="299">
        <v>998</v>
      </c>
      <c r="AB1223" s="299">
        <v>1214</v>
      </c>
      <c r="AC1223" s="301">
        <v>0</v>
      </c>
      <c r="AD1223" s="301">
        <v>0</v>
      </c>
      <c r="AE1223" s="126"/>
      <c r="AF1223" s="298"/>
      <c r="AG1223" s="299"/>
      <c r="AH1223" s="299"/>
      <c r="AI1223" s="301"/>
      <c r="AJ1223" s="301"/>
      <c r="AK1223" s="426"/>
      <c r="AL1223" s="298"/>
      <c r="AM1223" s="299"/>
      <c r="AN1223" s="299"/>
      <c r="AO1223" s="301"/>
      <c r="AP1223" s="301"/>
      <c r="AQ1223" s="426"/>
      <c r="AR1223" s="298"/>
      <c r="AS1223" s="299"/>
      <c r="AT1223" s="299"/>
      <c r="AU1223" s="301"/>
      <c r="AV1223" s="301"/>
      <c r="AW1223" s="88"/>
      <c r="AX1223" s="298"/>
      <c r="AY1223" s="299"/>
      <c r="AZ1223" s="299"/>
      <c r="BA1223" s="301"/>
      <c r="BB1223" s="301"/>
      <c r="BC1223" s="426"/>
      <c r="BD1223" s="298"/>
      <c r="BE1223" s="299"/>
      <c r="BF1223" s="299"/>
      <c r="BG1223" s="301"/>
      <c r="BH1223" s="301"/>
      <c r="BI1223" s="88"/>
      <c r="BJ1223" s="298"/>
      <c r="BK1223" s="299"/>
      <c r="BL1223" s="299"/>
      <c r="BM1223" s="301"/>
      <c r="BN1223" s="301"/>
      <c r="BO1223" s="88"/>
      <c r="BP1223" s="9"/>
      <c r="BS1223" s="81"/>
      <c r="BT1223" s="81"/>
      <c r="BV1223" s="9"/>
      <c r="BY1223" s="81"/>
      <c r="BZ1223" s="81"/>
      <c r="CB1223" s="9"/>
      <c r="CE1223" s="81"/>
      <c r="CF1223" s="81"/>
      <c r="CH1223" s="9"/>
      <c r="CK1223" s="81"/>
      <c r="CL1223" s="81"/>
      <c r="CR1223" s="9"/>
      <c r="CS1223" s="9"/>
      <c r="CT1223" s="9"/>
      <c r="CU1223" s="9"/>
      <c r="CV1223" s="9"/>
      <c r="CW1223" s="129"/>
      <c r="CX1223" s="9"/>
    </row>
    <row r="1224" spans="1:102">
      <c r="A1224" s="6" t="str">
        <f t="shared" si="181"/>
        <v>02430999</v>
      </c>
      <c r="B1224" s="6" t="s">
        <v>1893</v>
      </c>
      <c r="C1224" s="6" t="s">
        <v>2092</v>
      </c>
      <c r="D1224" s="6">
        <v>1215</v>
      </c>
      <c r="E1224" s="10">
        <v>243</v>
      </c>
      <c r="F1224" s="10" t="s">
        <v>1361</v>
      </c>
      <c r="G1224" s="10">
        <v>999</v>
      </c>
      <c r="H1224" s="10" t="s">
        <v>593</v>
      </c>
      <c r="I1224" s="92">
        <v>164412915.73983234</v>
      </c>
      <c r="J1224" s="472">
        <v>0.99999999999999989</v>
      </c>
      <c r="K1224" s="53">
        <f>SUM(K1220:K1223)</f>
        <v>168339599.26749</v>
      </c>
      <c r="L1224" s="91">
        <f>SUM(L1220:L1223)</f>
        <v>1</v>
      </c>
      <c r="M1224" s="79">
        <f>VLOOKUP(E1224,town351,24)</f>
        <v>127829328</v>
      </c>
      <c r="N1224" s="79">
        <f>SUM(N1220:N1223)</f>
        <v>127829328</v>
      </c>
      <c r="O1224" s="79">
        <v>119210415</v>
      </c>
      <c r="P1224" s="79">
        <f>SUM(P1220:P1223)</f>
        <v>8618913</v>
      </c>
      <c r="Q1224" s="39">
        <f t="shared" si="189"/>
        <v>7.2299999962251622</v>
      </c>
      <c r="R1224" s="9">
        <v>9731.0000000001601</v>
      </c>
      <c r="S1224" s="9">
        <f t="shared" si="187"/>
        <v>9819.9999999987995</v>
      </c>
      <c r="T1224" s="90">
        <f t="shared" si="182"/>
        <v>243</v>
      </c>
      <c r="U1224" s="90">
        <f t="shared" si="183"/>
        <v>999</v>
      </c>
      <c r="V1224" s="373">
        <f t="shared" si="184"/>
        <v>1215</v>
      </c>
      <c r="W1224" s="90">
        <f t="shared" si="185"/>
        <v>9819.9999999987995</v>
      </c>
      <c r="X1224" s="90">
        <f t="shared" si="186"/>
        <v>168339599.26749</v>
      </c>
      <c r="Y1224" s="141">
        <f t="shared" si="188"/>
        <v>1215</v>
      </c>
      <c r="Z1224" s="298">
        <v>243</v>
      </c>
      <c r="AA1224" s="299">
        <v>999</v>
      </c>
      <c r="AB1224" s="299">
        <v>1215</v>
      </c>
      <c r="AC1224" s="301">
        <v>9819.9999999987995</v>
      </c>
      <c r="AD1224" s="301">
        <v>168339599.26749</v>
      </c>
      <c r="AE1224" s="126"/>
      <c r="AF1224" s="298"/>
      <c r="AG1224" s="299"/>
      <c r="AH1224" s="299"/>
      <c r="AI1224" s="301"/>
      <c r="AJ1224" s="301"/>
      <c r="AK1224" s="426"/>
      <c r="AL1224" s="298"/>
      <c r="AM1224" s="299"/>
      <c r="AN1224" s="299"/>
      <c r="AO1224" s="301"/>
      <c r="AP1224" s="301"/>
      <c r="AQ1224" s="426"/>
      <c r="AR1224" s="298"/>
      <c r="AS1224" s="299"/>
      <c r="AT1224" s="299"/>
      <c r="AU1224" s="301"/>
      <c r="AV1224" s="301"/>
      <c r="AW1224" s="91"/>
      <c r="AX1224" s="298"/>
      <c r="AY1224" s="299"/>
      <c r="AZ1224" s="299"/>
      <c r="BA1224" s="301"/>
      <c r="BB1224" s="301"/>
      <c r="BC1224" s="426"/>
      <c r="BD1224" s="298"/>
      <c r="BE1224" s="299"/>
      <c r="BF1224" s="299"/>
      <c r="BG1224" s="301"/>
      <c r="BH1224" s="301"/>
      <c r="BI1224" s="91"/>
      <c r="BJ1224" s="298"/>
      <c r="BK1224" s="299"/>
      <c r="BL1224" s="299"/>
      <c r="BM1224" s="301"/>
      <c r="BN1224" s="301"/>
      <c r="BO1224" s="91"/>
      <c r="BP1224" s="9"/>
      <c r="BS1224" s="81"/>
      <c r="BT1224" s="81"/>
      <c r="BV1224" s="9"/>
      <c r="BY1224" s="81"/>
      <c r="BZ1224" s="81"/>
      <c r="CB1224" s="9"/>
      <c r="CE1224" s="81"/>
      <c r="CF1224" s="81"/>
      <c r="CH1224" s="9"/>
      <c r="CK1224" s="81"/>
      <c r="CL1224" s="81"/>
      <c r="CR1224" s="9"/>
      <c r="CS1224" s="9"/>
      <c r="CT1224" s="9"/>
      <c r="CU1224" s="9"/>
      <c r="CV1224" s="9"/>
      <c r="CW1224" s="129"/>
      <c r="CX1224" s="9"/>
    </row>
    <row r="1225" spans="1:102">
      <c r="A1225" s="6" t="str">
        <f t="shared" si="181"/>
        <v>02440244</v>
      </c>
      <c r="B1225" s="6" t="s">
        <v>1894</v>
      </c>
      <c r="C1225" s="6" t="s">
        <v>1894</v>
      </c>
      <c r="D1225" s="6">
        <v>1216</v>
      </c>
      <c r="E1225" s="6">
        <v>244</v>
      </c>
      <c r="F1225" s="6" t="s">
        <v>1362</v>
      </c>
      <c r="G1225" s="6">
        <v>244</v>
      </c>
      <c r="H1225" s="6" t="s">
        <v>925</v>
      </c>
      <c r="I1225" s="33">
        <v>50608513.309120007</v>
      </c>
      <c r="J1225" s="88">
        <v>0.89438208969528199</v>
      </c>
      <c r="K1225" s="89">
        <f>X1225</f>
        <v>53653467.411599994</v>
      </c>
      <c r="L1225" s="88">
        <f>IF(K1229&gt;0, K1225/K1229, 0)</f>
        <v>0.89138386328346453</v>
      </c>
      <c r="M1225" s="58"/>
      <c r="N1225" s="9">
        <f>ROUND(M1229*L1225,0)</f>
        <v>27738483</v>
      </c>
      <c r="O1225" s="9">
        <v>26405867</v>
      </c>
      <c r="P1225" s="9">
        <f>N1225-O1225</f>
        <v>1332616</v>
      </c>
      <c r="Q1225" s="40">
        <f t="shared" si="189"/>
        <v>5.0466663336598643</v>
      </c>
      <c r="R1225" s="9">
        <v>3050</v>
      </c>
      <c r="S1225" s="9">
        <f t="shared" si="187"/>
        <v>3105</v>
      </c>
      <c r="T1225" s="90">
        <f t="shared" si="182"/>
        <v>244</v>
      </c>
      <c r="U1225" s="90">
        <f t="shared" si="183"/>
        <v>244</v>
      </c>
      <c r="V1225" s="373">
        <f t="shared" si="184"/>
        <v>1216</v>
      </c>
      <c r="W1225" s="90">
        <f t="shared" si="185"/>
        <v>3105</v>
      </c>
      <c r="X1225" s="90">
        <f t="shared" si="186"/>
        <v>53653467.411599994</v>
      </c>
      <c r="Y1225" s="141">
        <f t="shared" si="188"/>
        <v>1216</v>
      </c>
      <c r="Z1225" s="298">
        <v>244</v>
      </c>
      <c r="AA1225" s="299">
        <v>244</v>
      </c>
      <c r="AB1225" s="299">
        <v>1216</v>
      </c>
      <c r="AC1225" s="301">
        <v>3105</v>
      </c>
      <c r="AD1225" s="301">
        <v>53653467.411599994</v>
      </c>
      <c r="AE1225" s="126"/>
      <c r="AF1225" s="298"/>
      <c r="AG1225" s="299"/>
      <c r="AH1225" s="299"/>
      <c r="AI1225" s="301"/>
      <c r="AJ1225" s="301"/>
      <c r="AK1225" s="426"/>
      <c r="AL1225" s="298"/>
      <c r="AM1225" s="299"/>
      <c r="AN1225" s="299"/>
      <c r="AO1225" s="301"/>
      <c r="AP1225" s="301"/>
      <c r="AQ1225" s="426"/>
      <c r="AR1225" s="298"/>
      <c r="AS1225" s="299"/>
      <c r="AT1225" s="299"/>
      <c r="AU1225" s="301"/>
      <c r="AV1225" s="301"/>
      <c r="AW1225" s="88"/>
      <c r="AX1225" s="298"/>
      <c r="AY1225" s="299"/>
      <c r="AZ1225" s="299"/>
      <c r="BA1225" s="301"/>
      <c r="BB1225" s="301"/>
      <c r="BC1225" s="426"/>
      <c r="BD1225" s="298"/>
      <c r="BE1225" s="299"/>
      <c r="BF1225" s="299"/>
      <c r="BG1225" s="301"/>
      <c r="BH1225" s="301"/>
      <c r="BI1225" s="88"/>
      <c r="BJ1225" s="298"/>
      <c r="BK1225" s="299"/>
      <c r="BL1225" s="299"/>
      <c r="BM1225" s="301"/>
      <c r="BN1225" s="301"/>
      <c r="BO1225" s="88"/>
      <c r="BP1225" s="9"/>
      <c r="BS1225" s="81"/>
      <c r="BT1225" s="81"/>
      <c r="BV1225" s="9"/>
      <c r="BY1225" s="81"/>
      <c r="BZ1225" s="81"/>
      <c r="CB1225" s="9"/>
      <c r="CE1225" s="81"/>
      <c r="CF1225" s="81"/>
      <c r="CH1225" s="9"/>
      <c r="CK1225" s="81"/>
      <c r="CL1225" s="81"/>
      <c r="CR1225" s="9"/>
      <c r="CS1225" s="9"/>
      <c r="CT1225" s="9"/>
      <c r="CU1225" s="9"/>
      <c r="CV1225" s="9"/>
      <c r="CW1225" s="129"/>
      <c r="CX1225" s="9"/>
    </row>
    <row r="1226" spans="1:102">
      <c r="A1226" s="6" t="str">
        <f t="shared" ref="A1226:A1289" si="191">B1226&amp;C1226</f>
        <v>02440806</v>
      </c>
      <c r="B1226" s="6" t="s">
        <v>1894</v>
      </c>
      <c r="C1226" s="6" t="s">
        <v>2064</v>
      </c>
      <c r="D1226" s="6">
        <v>1217</v>
      </c>
      <c r="E1226" s="6">
        <v>244</v>
      </c>
      <c r="F1226" s="6" t="s">
        <v>1362</v>
      </c>
      <c r="G1226" s="6">
        <v>806</v>
      </c>
      <c r="H1226" s="6" t="s">
        <v>1094</v>
      </c>
      <c r="I1226" s="33">
        <v>5868744.5571508575</v>
      </c>
      <c r="J1226" s="88">
        <v>0.10371575210778831</v>
      </c>
      <c r="K1226" s="89">
        <f t="shared" si="190"/>
        <v>6383568.1731511848</v>
      </c>
      <c r="L1226" s="88">
        <f>IF(K1229&gt;0, K1226/K1229, 0)</f>
        <v>0.1060548354883516</v>
      </c>
      <c r="M1226" s="58"/>
      <c r="N1226" s="9">
        <f>ROUND(M1229*L1226,0)</f>
        <v>3300262</v>
      </c>
      <c r="O1226" s="9">
        <v>3062119</v>
      </c>
      <c r="P1226" s="9">
        <f>N1226-O1226</f>
        <v>238143</v>
      </c>
      <c r="Q1226" s="40">
        <f t="shared" si="189"/>
        <v>7.777065489616831</v>
      </c>
      <c r="R1226" s="9">
        <v>268.99999999925001</v>
      </c>
      <c r="S1226" s="9">
        <f t="shared" si="187"/>
        <v>287.00000000064</v>
      </c>
      <c r="T1226" s="90">
        <f t="shared" ref="T1226:T1289" si="192">VLOOKUP($D1226, foundoptions, VLOOKUP($T$6, foundoptcell, 2, FALSE), FALSE)</f>
        <v>244</v>
      </c>
      <c r="U1226" s="90">
        <f t="shared" ref="U1226:U1289" si="193">VLOOKUP($D1226, foundoptions, VLOOKUP($T$6, foundoptcell, 2, FALSE)+1, FALSE)</f>
        <v>806</v>
      </c>
      <c r="V1226" s="373">
        <f t="shared" ref="V1226:V1289" si="194">VLOOKUP($D1226, foundoptions, VLOOKUP($T$6, foundoptcell, 2, FALSE)+2, FALSE)</f>
        <v>1217</v>
      </c>
      <c r="W1226" s="90">
        <f t="shared" ref="W1226:W1289" si="195">VLOOKUP($D1226, foundoptions, VLOOKUP($T$6, foundoptcell, 2, FALSE)+3, FALSE)</f>
        <v>287.00000000064</v>
      </c>
      <c r="X1226" s="90">
        <f t="shared" ref="X1226:X1289" si="196">VLOOKUP($D1226, foundoptions, VLOOKUP($T$6, foundoptcell, 2, FALSE)+4, FALSE)</f>
        <v>6383568.1731511848</v>
      </c>
      <c r="Y1226" s="141">
        <f t="shared" si="188"/>
        <v>1217</v>
      </c>
      <c r="Z1226" s="298">
        <v>244</v>
      </c>
      <c r="AA1226" s="299">
        <v>806</v>
      </c>
      <c r="AB1226" s="299">
        <v>1217</v>
      </c>
      <c r="AC1226" s="301">
        <v>287.00000000064</v>
      </c>
      <c r="AD1226" s="301">
        <v>6383568.1731511848</v>
      </c>
      <c r="AE1226" s="126"/>
      <c r="AF1226" s="298"/>
      <c r="AG1226" s="299"/>
      <c r="AH1226" s="299"/>
      <c r="AI1226" s="301"/>
      <c r="AJ1226" s="301"/>
      <c r="AK1226" s="426"/>
      <c r="AL1226" s="298"/>
      <c r="AM1226" s="299"/>
      <c r="AN1226" s="299"/>
      <c r="AO1226" s="301"/>
      <c r="AP1226" s="301"/>
      <c r="AQ1226" s="426"/>
      <c r="AR1226" s="298"/>
      <c r="AS1226" s="299"/>
      <c r="AT1226" s="299"/>
      <c r="AU1226" s="301"/>
      <c r="AV1226" s="301"/>
      <c r="AW1226" s="88"/>
      <c r="AX1226" s="298"/>
      <c r="AY1226" s="299"/>
      <c r="AZ1226" s="299"/>
      <c r="BA1226" s="301"/>
      <c r="BB1226" s="301"/>
      <c r="BC1226" s="426"/>
      <c r="BD1226" s="298"/>
      <c r="BE1226" s="299"/>
      <c r="BF1226" s="299"/>
      <c r="BG1226" s="301"/>
      <c r="BH1226" s="301"/>
      <c r="BI1226" s="88"/>
      <c r="BJ1226" s="298"/>
      <c r="BK1226" s="299"/>
      <c r="BL1226" s="299"/>
      <c r="BM1226" s="301"/>
      <c r="BN1226" s="301"/>
      <c r="BO1226" s="88"/>
      <c r="BP1226" s="9"/>
      <c r="BS1226" s="81"/>
      <c r="BT1226" s="81"/>
      <c r="BV1226" s="9"/>
      <c r="BY1226" s="81"/>
      <c r="BZ1226" s="81"/>
      <c r="CB1226" s="9"/>
      <c r="CE1226" s="81"/>
      <c r="CF1226" s="81"/>
      <c r="CH1226" s="9"/>
      <c r="CK1226" s="81"/>
      <c r="CL1226" s="81"/>
      <c r="CR1226" s="9"/>
      <c r="CS1226" s="9"/>
      <c r="CT1226" s="9"/>
      <c r="CU1226" s="9"/>
      <c r="CV1226" s="9"/>
      <c r="CW1226" s="129"/>
      <c r="CX1226" s="9"/>
    </row>
    <row r="1227" spans="1:102">
      <c r="A1227" s="6" t="str">
        <f t="shared" si="191"/>
        <v>02440915</v>
      </c>
      <c r="B1227" s="6" t="s">
        <v>1894</v>
      </c>
      <c r="C1227" s="6" t="s">
        <v>2089</v>
      </c>
      <c r="D1227" s="6">
        <v>1218</v>
      </c>
      <c r="E1227" s="6">
        <v>244</v>
      </c>
      <c r="F1227" s="6" t="s">
        <v>1362</v>
      </c>
      <c r="G1227" s="6">
        <v>915</v>
      </c>
      <c r="H1227" s="6" t="s">
        <v>1119</v>
      </c>
      <c r="I1227" s="33">
        <v>107633.41477261785</v>
      </c>
      <c r="J1227" s="88">
        <v>1.9021581969297899E-3</v>
      </c>
      <c r="K1227" s="89">
        <f t="shared" si="190"/>
        <v>154167.80316332754</v>
      </c>
      <c r="L1227" s="88">
        <f>IF(K1229&gt;0, K1227/K1229, 0)</f>
        <v>2.5613012281838201E-3</v>
      </c>
      <c r="M1227" s="58"/>
      <c r="N1227" s="9">
        <f>ROUND(M1229*L1227,0)</f>
        <v>79704</v>
      </c>
      <c r="O1227" s="9">
        <v>56160</v>
      </c>
      <c r="P1227" s="9">
        <f>N1227-O1227</f>
        <v>23544</v>
      </c>
      <c r="Q1227" s="40">
        <f t="shared" si="189"/>
        <v>41.92307692307692</v>
      </c>
      <c r="R1227" s="9">
        <v>5.00000000005</v>
      </c>
      <c r="S1227" s="9">
        <f t="shared" ref="S1227:S1290" si="197">W1227</f>
        <v>6.9999999996</v>
      </c>
      <c r="T1227" s="90">
        <f t="shared" si="192"/>
        <v>244</v>
      </c>
      <c r="U1227" s="90">
        <f t="shared" si="193"/>
        <v>915</v>
      </c>
      <c r="V1227" s="373">
        <f t="shared" si="194"/>
        <v>1218</v>
      </c>
      <c r="W1227" s="90">
        <f t="shared" si="195"/>
        <v>6.9999999996</v>
      </c>
      <c r="X1227" s="90">
        <f t="shared" si="196"/>
        <v>154167.80316332754</v>
      </c>
      <c r="Y1227" s="141">
        <f t="shared" ref="Y1227:Y1290" si="198">D1227</f>
        <v>1218</v>
      </c>
      <c r="Z1227" s="298">
        <v>244</v>
      </c>
      <c r="AA1227" s="299">
        <v>915</v>
      </c>
      <c r="AB1227" s="299">
        <v>1218</v>
      </c>
      <c r="AC1227" s="301">
        <v>6.9999999996</v>
      </c>
      <c r="AD1227" s="301">
        <v>154167.80316332754</v>
      </c>
      <c r="AE1227" s="126"/>
      <c r="AF1227" s="298"/>
      <c r="AG1227" s="299"/>
      <c r="AH1227" s="299"/>
      <c r="AI1227" s="301"/>
      <c r="AJ1227" s="301"/>
      <c r="AK1227" s="426"/>
      <c r="AL1227" s="298"/>
      <c r="AM1227" s="299"/>
      <c r="AN1227" s="299"/>
      <c r="AO1227" s="301"/>
      <c r="AP1227" s="301"/>
      <c r="AQ1227" s="426"/>
      <c r="AR1227" s="298"/>
      <c r="AS1227" s="299"/>
      <c r="AT1227" s="299"/>
      <c r="AU1227" s="301"/>
      <c r="AV1227" s="301"/>
      <c r="AW1227" s="88"/>
      <c r="AX1227" s="298"/>
      <c r="AY1227" s="299"/>
      <c r="AZ1227" s="299"/>
      <c r="BA1227" s="301"/>
      <c r="BB1227" s="301"/>
      <c r="BC1227" s="426"/>
      <c r="BD1227" s="298"/>
      <c r="BE1227" s="299"/>
      <c r="BF1227" s="299"/>
      <c r="BG1227" s="301"/>
      <c r="BH1227" s="301"/>
      <c r="BI1227" s="88"/>
      <c r="BJ1227" s="298"/>
      <c r="BK1227" s="299"/>
      <c r="BL1227" s="299"/>
      <c r="BM1227" s="301"/>
      <c r="BN1227" s="301"/>
      <c r="BO1227" s="88"/>
      <c r="BP1227" s="9"/>
      <c r="BS1227" s="81"/>
      <c r="BT1227" s="81"/>
      <c r="BV1227" s="9"/>
      <c r="BY1227" s="81"/>
      <c r="BZ1227" s="81"/>
      <c r="CB1227" s="9"/>
      <c r="CE1227" s="81"/>
      <c r="CF1227" s="81"/>
      <c r="CH1227" s="9"/>
      <c r="CK1227" s="81"/>
      <c r="CL1227" s="81"/>
      <c r="CR1227" s="9"/>
      <c r="CS1227" s="9"/>
      <c r="CT1227" s="9"/>
      <c r="CU1227" s="9"/>
      <c r="CV1227" s="9"/>
      <c r="CW1227" s="129"/>
      <c r="CX1227" s="9"/>
    </row>
    <row r="1228" spans="1:102">
      <c r="A1228" s="6" t="str">
        <f t="shared" si="191"/>
        <v>02440998</v>
      </c>
      <c r="B1228" s="6" t="s">
        <v>1894</v>
      </c>
      <c r="C1228" s="6" t="s">
        <v>2091</v>
      </c>
      <c r="D1228" s="6">
        <v>1219</v>
      </c>
      <c r="E1228" s="6">
        <v>244</v>
      </c>
      <c r="F1228" s="6" t="s">
        <v>1547</v>
      </c>
      <c r="G1228" s="6">
        <v>998</v>
      </c>
      <c r="H1228" s="6" t="s">
        <v>1547</v>
      </c>
      <c r="I1228" s="33">
        <v>0</v>
      </c>
      <c r="J1228" s="88">
        <v>0</v>
      </c>
      <c r="K1228" s="89">
        <f t="shared" si="190"/>
        <v>0</v>
      </c>
      <c r="L1228" s="88">
        <f>IF(K1229&gt;0, K1228/K1229, 0)</f>
        <v>0</v>
      </c>
      <c r="M1228" s="58"/>
      <c r="N1228" s="9">
        <f>ROUND(M1229*L1228,0)</f>
        <v>0</v>
      </c>
      <c r="O1228" s="9">
        <v>0</v>
      </c>
      <c r="P1228" s="9">
        <f>N1228-O1228</f>
        <v>0</v>
      </c>
      <c r="Q1228" s="40">
        <f t="shared" si="189"/>
        <v>0</v>
      </c>
      <c r="R1228" s="9">
        <v>0</v>
      </c>
      <c r="S1228" s="9">
        <f t="shared" si="197"/>
        <v>0</v>
      </c>
      <c r="T1228" s="90">
        <f t="shared" si="192"/>
        <v>244</v>
      </c>
      <c r="U1228" s="90">
        <f t="shared" si="193"/>
        <v>998</v>
      </c>
      <c r="V1228" s="373">
        <f t="shared" si="194"/>
        <v>1219</v>
      </c>
      <c r="W1228" s="90">
        <f t="shared" si="195"/>
        <v>0</v>
      </c>
      <c r="X1228" s="90">
        <f t="shared" si="196"/>
        <v>0</v>
      </c>
      <c r="Y1228" s="141">
        <f t="shared" si="198"/>
        <v>1219</v>
      </c>
      <c r="Z1228" s="298">
        <v>244</v>
      </c>
      <c r="AA1228" s="299">
        <v>998</v>
      </c>
      <c r="AB1228" s="299">
        <v>1219</v>
      </c>
      <c r="AC1228" s="301">
        <v>0</v>
      </c>
      <c r="AD1228" s="301">
        <v>0</v>
      </c>
      <c r="AE1228" s="126"/>
      <c r="AF1228" s="298"/>
      <c r="AG1228" s="299"/>
      <c r="AH1228" s="299"/>
      <c r="AI1228" s="301"/>
      <c r="AJ1228" s="301"/>
      <c r="AK1228" s="426"/>
      <c r="AL1228" s="298"/>
      <c r="AM1228" s="299"/>
      <c r="AN1228" s="299"/>
      <c r="AO1228" s="301"/>
      <c r="AP1228" s="301"/>
      <c r="AQ1228" s="426"/>
      <c r="AR1228" s="298"/>
      <c r="AS1228" s="299"/>
      <c r="AT1228" s="299"/>
      <c r="AU1228" s="301"/>
      <c r="AV1228" s="301"/>
      <c r="AW1228" s="88"/>
      <c r="AX1228" s="298"/>
      <c r="AY1228" s="299"/>
      <c r="AZ1228" s="299"/>
      <c r="BA1228" s="301"/>
      <c r="BB1228" s="301"/>
      <c r="BC1228" s="426"/>
      <c r="BD1228" s="298"/>
      <c r="BE1228" s="299"/>
      <c r="BF1228" s="299"/>
      <c r="BG1228" s="301"/>
      <c r="BH1228" s="301"/>
      <c r="BI1228" s="88"/>
      <c r="BJ1228" s="298"/>
      <c r="BK1228" s="299"/>
      <c r="BL1228" s="299"/>
      <c r="BM1228" s="301"/>
      <c r="BN1228" s="301"/>
      <c r="BO1228" s="88"/>
      <c r="BP1228" s="9"/>
      <c r="BS1228" s="81"/>
      <c r="BT1228" s="81"/>
      <c r="BV1228" s="9"/>
      <c r="BY1228" s="81"/>
      <c r="BZ1228" s="81"/>
      <c r="CB1228" s="9"/>
      <c r="CE1228" s="81"/>
      <c r="CF1228" s="81"/>
      <c r="CH1228" s="9"/>
      <c r="CK1228" s="81"/>
      <c r="CL1228" s="81"/>
      <c r="CR1228" s="9"/>
      <c r="CS1228" s="9"/>
      <c r="CT1228" s="9"/>
      <c r="CU1228" s="9"/>
      <c r="CV1228" s="9"/>
      <c r="CW1228" s="129"/>
      <c r="CX1228" s="9"/>
    </row>
    <row r="1229" spans="1:102">
      <c r="A1229" s="6" t="str">
        <f t="shared" si="191"/>
        <v>02440999</v>
      </c>
      <c r="B1229" s="6" t="s">
        <v>1894</v>
      </c>
      <c r="C1229" s="6" t="s">
        <v>2092</v>
      </c>
      <c r="D1229" s="6">
        <v>1220</v>
      </c>
      <c r="E1229" s="10">
        <v>244</v>
      </c>
      <c r="F1229" s="10" t="s">
        <v>1362</v>
      </c>
      <c r="G1229" s="10">
        <v>999</v>
      </c>
      <c r="H1229" s="10" t="s">
        <v>593</v>
      </c>
      <c r="I1229" s="92">
        <v>56584891.281043477</v>
      </c>
      <c r="J1229" s="472">
        <v>1</v>
      </c>
      <c r="K1229" s="53">
        <f>SUM(K1225:K1228)</f>
        <v>60191203.387914509</v>
      </c>
      <c r="L1229" s="91">
        <f>SUM(L1225:L1228)</f>
        <v>0.99999999999999989</v>
      </c>
      <c r="M1229" s="79">
        <f>VLOOKUP(E1229,town351,24)</f>
        <v>31118449</v>
      </c>
      <c r="N1229" s="79">
        <f>SUM(N1225:N1228)</f>
        <v>31118449</v>
      </c>
      <c r="O1229" s="79">
        <v>29524146</v>
      </c>
      <c r="P1229" s="79">
        <f>SUM(P1225:P1228)</f>
        <v>1594303</v>
      </c>
      <c r="Q1229" s="39">
        <f t="shared" si="189"/>
        <v>5.3999970058405751</v>
      </c>
      <c r="R1229" s="9">
        <v>3323.9999999993001</v>
      </c>
      <c r="S1229" s="9">
        <f t="shared" si="197"/>
        <v>3399.0000000002397</v>
      </c>
      <c r="T1229" s="90">
        <f t="shared" si="192"/>
        <v>244</v>
      </c>
      <c r="U1229" s="90">
        <f t="shared" si="193"/>
        <v>999</v>
      </c>
      <c r="V1229" s="373">
        <f t="shared" si="194"/>
        <v>1220</v>
      </c>
      <c r="W1229" s="90">
        <f t="shared" si="195"/>
        <v>3399.0000000002397</v>
      </c>
      <c r="X1229" s="90">
        <f t="shared" si="196"/>
        <v>60191203.387914509</v>
      </c>
      <c r="Y1229" s="141">
        <f t="shared" si="198"/>
        <v>1220</v>
      </c>
      <c r="Z1229" s="298">
        <v>244</v>
      </c>
      <c r="AA1229" s="299">
        <v>999</v>
      </c>
      <c r="AB1229" s="299">
        <v>1220</v>
      </c>
      <c r="AC1229" s="301">
        <v>3399.0000000002397</v>
      </c>
      <c r="AD1229" s="301">
        <v>60191203.387914509</v>
      </c>
      <c r="AE1229" s="126"/>
      <c r="AF1229" s="298"/>
      <c r="AG1229" s="299"/>
      <c r="AH1229" s="299"/>
      <c r="AI1229" s="301"/>
      <c r="AJ1229" s="301"/>
      <c r="AK1229" s="426"/>
      <c r="AL1229" s="298"/>
      <c r="AM1229" s="299"/>
      <c r="AN1229" s="299"/>
      <c r="AO1229" s="301"/>
      <c r="AP1229" s="301"/>
      <c r="AQ1229" s="426"/>
      <c r="AR1229" s="298"/>
      <c r="AS1229" s="299"/>
      <c r="AT1229" s="299"/>
      <c r="AU1229" s="301"/>
      <c r="AV1229" s="301"/>
      <c r="AW1229" s="91"/>
      <c r="AX1229" s="298"/>
      <c r="AY1229" s="299"/>
      <c r="AZ1229" s="299"/>
      <c r="BA1229" s="301"/>
      <c r="BB1229" s="301"/>
      <c r="BC1229" s="426"/>
      <c r="BD1229" s="298"/>
      <c r="BE1229" s="299"/>
      <c r="BF1229" s="299"/>
      <c r="BG1229" s="301"/>
      <c r="BH1229" s="301"/>
      <c r="BI1229" s="91"/>
      <c r="BJ1229" s="298"/>
      <c r="BK1229" s="299"/>
      <c r="BL1229" s="299"/>
      <c r="BM1229" s="301"/>
      <c r="BN1229" s="301"/>
      <c r="BO1229" s="91"/>
      <c r="BP1229" s="9"/>
      <c r="BS1229" s="81"/>
      <c r="BT1229" s="81"/>
      <c r="BV1229" s="9"/>
      <c r="BY1229" s="81"/>
      <c r="BZ1229" s="81"/>
      <c r="CB1229" s="9"/>
      <c r="CE1229" s="81"/>
      <c r="CF1229" s="81"/>
      <c r="CH1229" s="9"/>
      <c r="CK1229" s="81"/>
      <c r="CL1229" s="81"/>
      <c r="CR1229" s="9"/>
      <c r="CS1229" s="9"/>
      <c r="CT1229" s="9"/>
      <c r="CU1229" s="9"/>
      <c r="CV1229" s="9"/>
      <c r="CW1229" s="129"/>
      <c r="CX1229" s="9"/>
    </row>
    <row r="1230" spans="1:102">
      <c r="A1230" s="6" t="str">
        <f t="shared" si="191"/>
        <v>02450245</v>
      </c>
      <c r="B1230" s="6" t="s">
        <v>1895</v>
      </c>
      <c r="C1230" s="6" t="s">
        <v>1895</v>
      </c>
      <c r="D1230" s="6">
        <v>1221</v>
      </c>
      <c r="E1230" s="6">
        <v>245</v>
      </c>
      <c r="F1230" s="6" t="s">
        <v>1363</v>
      </c>
      <c r="G1230" s="6">
        <v>245</v>
      </c>
      <c r="H1230" s="6" t="s">
        <v>926</v>
      </c>
      <c r="I1230" s="33">
        <v>0</v>
      </c>
      <c r="J1230" s="88">
        <v>0</v>
      </c>
      <c r="K1230" s="89">
        <f>X1230</f>
        <v>0</v>
      </c>
      <c r="L1230" s="88">
        <f>IF(K1234&gt;0, K1230/K1234, 0)</f>
        <v>0</v>
      </c>
      <c r="M1230" s="58"/>
      <c r="N1230" s="9">
        <f>ROUND(M1234*L1230,0)</f>
        <v>0</v>
      </c>
      <c r="O1230" s="9">
        <v>0</v>
      </c>
      <c r="P1230" s="9">
        <f>N1230-O1230</f>
        <v>0</v>
      </c>
      <c r="Q1230" s="40">
        <f t="shared" si="189"/>
        <v>0</v>
      </c>
      <c r="R1230" s="9">
        <v>0</v>
      </c>
      <c r="S1230" s="9">
        <f t="shared" si="197"/>
        <v>0</v>
      </c>
      <c r="T1230" s="90">
        <f t="shared" si="192"/>
        <v>245</v>
      </c>
      <c r="U1230" s="90">
        <f t="shared" si="193"/>
        <v>245</v>
      </c>
      <c r="V1230" s="373">
        <f t="shared" si="194"/>
        <v>1221</v>
      </c>
      <c r="W1230" s="90">
        <f t="shared" si="195"/>
        <v>0</v>
      </c>
      <c r="X1230" s="90">
        <f t="shared" si="196"/>
        <v>0</v>
      </c>
      <c r="Y1230" s="141">
        <f t="shared" si="198"/>
        <v>1221</v>
      </c>
      <c r="Z1230" s="298">
        <v>245</v>
      </c>
      <c r="AA1230" s="299">
        <v>245</v>
      </c>
      <c r="AB1230" s="299">
        <v>1221</v>
      </c>
      <c r="AC1230" s="301">
        <v>0</v>
      </c>
      <c r="AD1230" s="301">
        <v>0</v>
      </c>
      <c r="AE1230" s="126"/>
      <c r="AF1230" s="298"/>
      <c r="AG1230" s="299"/>
      <c r="AH1230" s="299"/>
      <c r="AI1230" s="301"/>
      <c r="AJ1230" s="301"/>
      <c r="AK1230" s="426"/>
      <c r="AL1230" s="298"/>
      <c r="AM1230" s="299"/>
      <c r="AN1230" s="299"/>
      <c r="AO1230" s="301"/>
      <c r="AP1230" s="301"/>
      <c r="AQ1230" s="426"/>
      <c r="AR1230" s="298"/>
      <c r="AS1230" s="299"/>
      <c r="AT1230" s="299"/>
      <c r="AU1230" s="301"/>
      <c r="AV1230" s="301"/>
      <c r="AW1230" s="88"/>
      <c r="AX1230" s="298"/>
      <c r="AY1230" s="299"/>
      <c r="AZ1230" s="299"/>
      <c r="BA1230" s="301"/>
      <c r="BB1230" s="301"/>
      <c r="BC1230" s="426"/>
      <c r="BD1230" s="298"/>
      <c r="BE1230" s="299"/>
      <c r="BF1230" s="299"/>
      <c r="BG1230" s="301"/>
      <c r="BH1230" s="301"/>
      <c r="BI1230" s="88"/>
      <c r="BJ1230" s="298"/>
      <c r="BK1230" s="299"/>
      <c r="BL1230" s="299"/>
      <c r="BM1230" s="301"/>
      <c r="BN1230" s="301"/>
      <c r="BO1230" s="88"/>
      <c r="BP1230" s="9"/>
      <c r="BS1230" s="81"/>
      <c r="BT1230" s="81"/>
      <c r="BV1230" s="9"/>
      <c r="BY1230" s="81"/>
      <c r="BZ1230" s="81"/>
      <c r="CB1230" s="9"/>
      <c r="CE1230" s="81"/>
      <c r="CF1230" s="81"/>
      <c r="CH1230" s="9"/>
      <c r="CK1230" s="81"/>
      <c r="CL1230" s="81"/>
      <c r="CR1230" s="9"/>
      <c r="CS1230" s="9"/>
      <c r="CT1230" s="9"/>
      <c r="CU1230" s="9"/>
      <c r="CV1230" s="9"/>
      <c r="CW1230" s="129"/>
      <c r="CX1230" s="9"/>
    </row>
    <row r="1231" spans="1:102">
      <c r="A1231" s="6" t="str">
        <f t="shared" si="191"/>
        <v>02450625</v>
      </c>
      <c r="B1231" s="6" t="s">
        <v>1895</v>
      </c>
      <c r="C1231" s="6" t="s">
        <v>2013</v>
      </c>
      <c r="D1231" s="6">
        <v>1222</v>
      </c>
      <c r="E1231" s="6">
        <v>245</v>
      </c>
      <c r="F1231" s="6" t="s">
        <v>1363</v>
      </c>
      <c r="G1231" s="6">
        <v>625</v>
      </c>
      <c r="H1231" s="6" t="s">
        <v>1043</v>
      </c>
      <c r="I1231" s="33">
        <v>28548915.093928687</v>
      </c>
      <c r="J1231" s="88">
        <v>0.8729108817693173</v>
      </c>
      <c r="K1231" s="89">
        <f t="shared" si="190"/>
        <v>29618424.446628749</v>
      </c>
      <c r="L1231" s="88">
        <f>IF(K1234&gt;0, K1231/K1234, 0)</f>
        <v>0.88615623825563528</v>
      </c>
      <c r="M1231" s="58"/>
      <c r="N1231" s="9">
        <f>ROUND(M1234*L1231,0)</f>
        <v>17619629</v>
      </c>
      <c r="O1231" s="9">
        <v>16512481</v>
      </c>
      <c r="P1231" s="9">
        <f>N1231-O1231</f>
        <v>1107148</v>
      </c>
      <c r="Q1231" s="40">
        <f t="shared" si="189"/>
        <v>6.7049161176930347</v>
      </c>
      <c r="R1231" s="9">
        <v>2186.1578391552603</v>
      </c>
      <c r="S1231" s="9">
        <f t="shared" si="197"/>
        <v>2204.5113616757399</v>
      </c>
      <c r="T1231" s="90">
        <f t="shared" si="192"/>
        <v>245</v>
      </c>
      <c r="U1231" s="90">
        <f t="shared" si="193"/>
        <v>625</v>
      </c>
      <c r="V1231" s="373">
        <f t="shared" si="194"/>
        <v>1222</v>
      </c>
      <c r="W1231" s="90">
        <f t="shared" si="195"/>
        <v>2204.5113616757399</v>
      </c>
      <c r="X1231" s="90">
        <f t="shared" si="196"/>
        <v>29618424.446628749</v>
      </c>
      <c r="Y1231" s="141">
        <f t="shared" si="198"/>
        <v>1222</v>
      </c>
      <c r="Z1231" s="298">
        <v>245</v>
      </c>
      <c r="AA1231" s="299">
        <v>625</v>
      </c>
      <c r="AB1231" s="299">
        <v>1222</v>
      </c>
      <c r="AC1231" s="301">
        <v>2204.5113616757399</v>
      </c>
      <c r="AD1231" s="301">
        <v>29618424.446628749</v>
      </c>
      <c r="AE1231" s="126"/>
      <c r="AF1231" s="298"/>
      <c r="AG1231" s="299"/>
      <c r="AH1231" s="299"/>
      <c r="AI1231" s="301"/>
      <c r="AJ1231" s="301"/>
      <c r="AK1231" s="426"/>
      <c r="AL1231" s="298"/>
      <c r="AM1231" s="299"/>
      <c r="AN1231" s="299"/>
      <c r="AO1231" s="301"/>
      <c r="AP1231" s="301"/>
      <c r="AQ1231" s="426"/>
      <c r="AR1231" s="298"/>
      <c r="AS1231" s="299"/>
      <c r="AT1231" s="299"/>
      <c r="AU1231" s="301"/>
      <c r="AV1231" s="301"/>
      <c r="AW1231" s="88"/>
      <c r="AX1231" s="298"/>
      <c r="AY1231" s="299"/>
      <c r="AZ1231" s="299"/>
      <c r="BA1231" s="301"/>
      <c r="BB1231" s="301"/>
      <c r="BC1231" s="426"/>
      <c r="BD1231" s="298"/>
      <c r="BE1231" s="299"/>
      <c r="BF1231" s="299"/>
      <c r="BG1231" s="301"/>
      <c r="BH1231" s="301"/>
      <c r="BI1231" s="88"/>
      <c r="BJ1231" s="298"/>
      <c r="BK1231" s="299"/>
      <c r="BL1231" s="299"/>
      <c r="BM1231" s="301"/>
      <c r="BN1231" s="301"/>
      <c r="BO1231" s="88"/>
      <c r="BP1231" s="9"/>
      <c r="BS1231" s="81"/>
      <c r="BT1231" s="81"/>
      <c r="BV1231" s="9"/>
      <c r="BY1231" s="81"/>
      <c r="BZ1231" s="81"/>
      <c r="CB1231" s="9"/>
      <c r="CE1231" s="81"/>
      <c r="CF1231" s="81"/>
      <c r="CH1231" s="9"/>
      <c r="CK1231" s="81"/>
      <c r="CL1231" s="81"/>
      <c r="CR1231" s="9"/>
      <c r="CS1231" s="9"/>
      <c r="CT1231" s="9"/>
      <c r="CU1231" s="9"/>
      <c r="CV1231" s="9"/>
      <c r="CW1231" s="129"/>
      <c r="CX1231" s="9"/>
    </row>
    <row r="1232" spans="1:102">
      <c r="A1232" s="6" t="str">
        <f t="shared" si="191"/>
        <v>02450810</v>
      </c>
      <c r="B1232" s="6" t="s">
        <v>1895</v>
      </c>
      <c r="C1232" s="6" t="s">
        <v>2065</v>
      </c>
      <c r="D1232" s="6">
        <v>1223</v>
      </c>
      <c r="E1232" s="6">
        <v>245</v>
      </c>
      <c r="F1232" s="6" t="s">
        <v>1363</v>
      </c>
      <c r="G1232" s="6">
        <v>810</v>
      </c>
      <c r="H1232" s="6" t="s">
        <v>1095</v>
      </c>
      <c r="I1232" s="33">
        <v>3810341.5874906578</v>
      </c>
      <c r="J1232" s="88">
        <v>0.11650490479360134</v>
      </c>
      <c r="K1232" s="89">
        <f t="shared" si="190"/>
        <v>3596578.8215634432</v>
      </c>
      <c r="L1232" s="88">
        <f>IF(K1234&gt;0, K1232/K1234, 0)</f>
        <v>0.10760635714602687</v>
      </c>
      <c r="M1232" s="58"/>
      <c r="N1232" s="9">
        <f>ROUND(M1234*L1232,0)</f>
        <v>2139560</v>
      </c>
      <c r="O1232" s="9">
        <v>2203873</v>
      </c>
      <c r="P1232" s="9">
        <f>N1232-O1232</f>
        <v>-64313</v>
      </c>
      <c r="Q1232" s="40">
        <f>IF(O1232&gt;0,P1232*100/O1232,IF(P1232&gt;0,100,0))</f>
        <v>-2.9181808570639052</v>
      </c>
      <c r="R1232" s="9">
        <v>189.00228483840002</v>
      </c>
      <c r="S1232" s="9">
        <f t="shared" si="197"/>
        <v>177.52135493166</v>
      </c>
      <c r="T1232" s="90">
        <f t="shared" si="192"/>
        <v>245</v>
      </c>
      <c r="U1232" s="90">
        <f t="shared" si="193"/>
        <v>810</v>
      </c>
      <c r="V1232" s="373">
        <f t="shared" si="194"/>
        <v>1223</v>
      </c>
      <c r="W1232" s="90">
        <f t="shared" si="195"/>
        <v>177.52135493166</v>
      </c>
      <c r="X1232" s="90">
        <f t="shared" si="196"/>
        <v>3596578.8215634432</v>
      </c>
      <c r="Y1232" s="141">
        <f t="shared" si="198"/>
        <v>1223</v>
      </c>
      <c r="Z1232" s="298">
        <v>245</v>
      </c>
      <c r="AA1232" s="299">
        <v>810</v>
      </c>
      <c r="AB1232" s="299">
        <v>1223</v>
      </c>
      <c r="AC1232" s="301">
        <v>177.52135493166</v>
      </c>
      <c r="AD1232" s="301">
        <v>3596578.8215634432</v>
      </c>
      <c r="AE1232" s="126"/>
      <c r="AF1232" s="298"/>
      <c r="AG1232" s="299"/>
      <c r="AH1232" s="299"/>
      <c r="AI1232" s="301"/>
      <c r="AJ1232" s="301"/>
      <c r="AK1232" s="426"/>
      <c r="AL1232" s="298"/>
      <c r="AM1232" s="299"/>
      <c r="AN1232" s="299"/>
      <c r="AO1232" s="301"/>
      <c r="AP1232" s="301"/>
      <c r="AQ1232" s="426"/>
      <c r="AR1232" s="298"/>
      <c r="AS1232" s="299"/>
      <c r="AT1232" s="299"/>
      <c r="AU1232" s="301"/>
      <c r="AV1232" s="301"/>
      <c r="AW1232" s="88"/>
      <c r="AX1232" s="298"/>
      <c r="AY1232" s="299"/>
      <c r="AZ1232" s="299"/>
      <c r="BA1232" s="301"/>
      <c r="BB1232" s="301"/>
      <c r="BC1232" s="426"/>
      <c r="BD1232" s="298"/>
      <c r="BE1232" s="299"/>
      <c r="BF1232" s="299"/>
      <c r="BG1232" s="301"/>
      <c r="BH1232" s="301"/>
      <c r="BI1232" s="88"/>
      <c r="BJ1232" s="298"/>
      <c r="BK1232" s="299"/>
      <c r="BL1232" s="299"/>
      <c r="BM1232" s="301"/>
      <c r="BN1232" s="301"/>
      <c r="BO1232" s="88"/>
      <c r="BP1232" s="9"/>
      <c r="BS1232" s="81"/>
      <c r="BT1232" s="81"/>
      <c r="BV1232" s="9"/>
      <c r="BY1232" s="81"/>
      <c r="BZ1232" s="81"/>
      <c r="CB1232" s="9"/>
      <c r="CE1232" s="81"/>
      <c r="CF1232" s="81"/>
      <c r="CH1232" s="9"/>
      <c r="CK1232" s="81"/>
      <c r="CL1232" s="81"/>
      <c r="CR1232" s="9"/>
      <c r="CS1232" s="9"/>
      <c r="CT1232" s="9"/>
      <c r="CU1232" s="9"/>
      <c r="CV1232" s="9"/>
      <c r="CW1232" s="129"/>
      <c r="CX1232" s="9"/>
    </row>
    <row r="1233" spans="1:102">
      <c r="A1233" s="6" t="str">
        <f t="shared" si="191"/>
        <v>02450910</v>
      </c>
      <c r="B1233" s="6" t="s">
        <v>1895</v>
      </c>
      <c r="C1233" s="6" t="s">
        <v>2088</v>
      </c>
      <c r="D1233" s="6">
        <v>1224</v>
      </c>
      <c r="E1233" s="6">
        <v>245</v>
      </c>
      <c r="F1233" s="6" t="s">
        <v>1363</v>
      </c>
      <c r="G1233" s="6">
        <v>910</v>
      </c>
      <c r="H1233" s="6" t="s">
        <v>1118</v>
      </c>
      <c r="I1233" s="33">
        <v>346161.12258651888</v>
      </c>
      <c r="J1233" s="88">
        <v>1.0584213437081361E-2</v>
      </c>
      <c r="K1233" s="89">
        <f t="shared" si="190"/>
        <v>208475.76179408262</v>
      </c>
      <c r="L1233" s="88">
        <f>IF(K1234&gt;0, K1233/K1234, 0)</f>
        <v>6.2374045983377754E-3</v>
      </c>
      <c r="M1233" s="58"/>
      <c r="N1233" s="9">
        <f>ROUND(M1234*L1233,0)</f>
        <v>124020</v>
      </c>
      <c r="O1233" s="9">
        <v>200217</v>
      </c>
      <c r="P1233" s="9">
        <f>N1233-O1233</f>
        <v>-76197</v>
      </c>
      <c r="Q1233" s="40">
        <f>IF(O1233&gt;0,P1233*100/O1233,IF(P1233&gt;0,100,0))</f>
        <v>-38.057207929396604</v>
      </c>
      <c r="R1233" s="9">
        <v>17.000000001980002</v>
      </c>
      <c r="S1233" s="9">
        <f t="shared" si="197"/>
        <v>9.9999999978199998</v>
      </c>
      <c r="T1233" s="90">
        <f t="shared" si="192"/>
        <v>245</v>
      </c>
      <c r="U1233" s="90">
        <f t="shared" si="193"/>
        <v>910</v>
      </c>
      <c r="V1233" s="373">
        <f t="shared" si="194"/>
        <v>1224</v>
      </c>
      <c r="W1233" s="90">
        <f t="shared" si="195"/>
        <v>9.9999999978199998</v>
      </c>
      <c r="X1233" s="90">
        <f t="shared" si="196"/>
        <v>208475.76179408262</v>
      </c>
      <c r="Y1233" s="141">
        <f t="shared" si="198"/>
        <v>1224</v>
      </c>
      <c r="Z1233" s="298">
        <v>245</v>
      </c>
      <c r="AA1233" s="299">
        <v>910</v>
      </c>
      <c r="AB1233" s="299">
        <v>1224</v>
      </c>
      <c r="AC1233" s="301">
        <v>9.9999999978199998</v>
      </c>
      <c r="AD1233" s="301">
        <v>208475.76179408262</v>
      </c>
      <c r="AE1233" s="126"/>
      <c r="AF1233" s="298"/>
      <c r="AG1233" s="299"/>
      <c r="AH1233" s="299"/>
      <c r="AI1233" s="301"/>
      <c r="AJ1233" s="301"/>
      <c r="AK1233" s="426"/>
      <c r="AL1233" s="298"/>
      <c r="AM1233" s="299"/>
      <c r="AN1233" s="299"/>
      <c r="AO1233" s="301"/>
      <c r="AP1233" s="301"/>
      <c r="AQ1233" s="426"/>
      <c r="AR1233" s="298"/>
      <c r="AS1233" s="299"/>
      <c r="AT1233" s="299"/>
      <c r="AU1233" s="301"/>
      <c r="AV1233" s="301"/>
      <c r="AW1233" s="88"/>
      <c r="AX1233" s="298"/>
      <c r="AY1233" s="299"/>
      <c r="AZ1233" s="299"/>
      <c r="BA1233" s="301"/>
      <c r="BB1233" s="301"/>
      <c r="BC1233" s="426"/>
      <c r="BD1233" s="298"/>
      <c r="BE1233" s="299"/>
      <c r="BF1233" s="299"/>
      <c r="BG1233" s="301"/>
      <c r="BH1233" s="301"/>
      <c r="BI1233" s="88"/>
      <c r="BJ1233" s="298"/>
      <c r="BK1233" s="299"/>
      <c r="BL1233" s="299"/>
      <c r="BM1233" s="301"/>
      <c r="BN1233" s="301"/>
      <c r="BO1233" s="88"/>
      <c r="BP1233" s="9"/>
      <c r="BS1233" s="81"/>
      <c r="BT1233" s="81"/>
      <c r="BV1233" s="9"/>
      <c r="BY1233" s="81"/>
      <c r="BZ1233" s="81"/>
      <c r="CB1233" s="9"/>
      <c r="CE1233" s="81"/>
      <c r="CF1233" s="81"/>
      <c r="CH1233" s="9"/>
      <c r="CK1233" s="81"/>
      <c r="CL1233" s="81"/>
      <c r="CR1233" s="9"/>
      <c r="CS1233" s="9"/>
      <c r="CT1233" s="9"/>
      <c r="CU1233" s="9"/>
      <c r="CV1233" s="9"/>
      <c r="CW1233" s="129"/>
      <c r="CX1233" s="9"/>
    </row>
    <row r="1234" spans="1:102">
      <c r="A1234" s="6" t="str">
        <f t="shared" si="191"/>
        <v>02450999</v>
      </c>
      <c r="B1234" s="6" t="s">
        <v>1895</v>
      </c>
      <c r="C1234" s="6" t="s">
        <v>2092</v>
      </c>
      <c r="D1234" s="6">
        <v>1225</v>
      </c>
      <c r="E1234" s="10">
        <v>245</v>
      </c>
      <c r="F1234" s="10" t="s">
        <v>1363</v>
      </c>
      <c r="G1234" s="10">
        <v>999</v>
      </c>
      <c r="H1234" s="10" t="s">
        <v>593</v>
      </c>
      <c r="I1234" s="92">
        <v>32705417.804005865</v>
      </c>
      <c r="J1234" s="472">
        <v>1</v>
      </c>
      <c r="K1234" s="53">
        <f>SUM(K1230:K1233)</f>
        <v>33423479.029986277</v>
      </c>
      <c r="L1234" s="91">
        <f>SUM(L1230:L1233)</f>
        <v>0.99999999999999989</v>
      </c>
      <c r="M1234" s="79">
        <f>VLOOKUP(E1234,town351,24)</f>
        <v>19883208</v>
      </c>
      <c r="N1234" s="79">
        <f>SUM(N1230:N1233)</f>
        <v>19883209</v>
      </c>
      <c r="O1234" s="79">
        <v>18916571</v>
      </c>
      <c r="P1234" s="79">
        <f>SUM(P1230:P1233)</f>
        <v>966638</v>
      </c>
      <c r="Q1234" s="39">
        <f t="shared" ref="Q1234:Q1295" si="199">IF(O1234&gt;0,P1234*100/O1234,IF(P1234&gt;0,100,0))</f>
        <v>5.1100064594159269</v>
      </c>
      <c r="R1234" s="9">
        <v>2392.1601239956403</v>
      </c>
      <c r="S1234" s="9">
        <f t="shared" si="197"/>
        <v>2392.0327166052198</v>
      </c>
      <c r="T1234" s="90">
        <f t="shared" si="192"/>
        <v>245</v>
      </c>
      <c r="U1234" s="90">
        <f t="shared" si="193"/>
        <v>999</v>
      </c>
      <c r="V1234" s="373">
        <f t="shared" si="194"/>
        <v>1225</v>
      </c>
      <c r="W1234" s="90">
        <f t="shared" si="195"/>
        <v>2392.0327166052198</v>
      </c>
      <c r="X1234" s="90">
        <f t="shared" si="196"/>
        <v>33423479.029986277</v>
      </c>
      <c r="Y1234" s="141">
        <f t="shared" si="198"/>
        <v>1225</v>
      </c>
      <c r="Z1234" s="298">
        <v>245</v>
      </c>
      <c r="AA1234" s="299">
        <v>999</v>
      </c>
      <c r="AB1234" s="299">
        <v>1225</v>
      </c>
      <c r="AC1234" s="301">
        <v>2392.0327166052198</v>
      </c>
      <c r="AD1234" s="301">
        <v>33423479.029986277</v>
      </c>
      <c r="AE1234" s="126"/>
      <c r="AF1234" s="298"/>
      <c r="AG1234" s="299"/>
      <c r="AH1234" s="299"/>
      <c r="AI1234" s="301"/>
      <c r="AJ1234" s="301"/>
      <c r="AK1234" s="426"/>
      <c r="AL1234" s="298"/>
      <c r="AM1234" s="299"/>
      <c r="AN1234" s="299"/>
      <c r="AO1234" s="301"/>
      <c r="AP1234" s="301"/>
      <c r="AQ1234" s="426"/>
      <c r="AR1234" s="298"/>
      <c r="AS1234" s="299"/>
      <c r="AT1234" s="299"/>
      <c r="AU1234" s="301"/>
      <c r="AV1234" s="301"/>
      <c r="AW1234" s="91"/>
      <c r="AX1234" s="298"/>
      <c r="AY1234" s="299"/>
      <c r="AZ1234" s="299"/>
      <c r="BA1234" s="301"/>
      <c r="BB1234" s="301"/>
      <c r="BC1234" s="426"/>
      <c r="BD1234" s="298"/>
      <c r="BE1234" s="299"/>
      <c r="BF1234" s="299"/>
      <c r="BG1234" s="301"/>
      <c r="BH1234" s="301"/>
      <c r="BI1234" s="91"/>
      <c r="BJ1234" s="298"/>
      <c r="BK1234" s="299"/>
      <c r="BL1234" s="299"/>
      <c r="BM1234" s="301"/>
      <c r="BN1234" s="301"/>
      <c r="BO1234" s="91"/>
      <c r="BP1234" s="9"/>
      <c r="BS1234" s="81"/>
      <c r="BT1234" s="81"/>
      <c r="BV1234" s="9"/>
      <c r="BY1234" s="81"/>
      <c r="BZ1234" s="81"/>
      <c r="CB1234" s="9"/>
      <c r="CE1234" s="81"/>
      <c r="CF1234" s="81"/>
      <c r="CH1234" s="9"/>
      <c r="CK1234" s="81"/>
      <c r="CL1234" s="81"/>
      <c r="CR1234" s="9"/>
      <c r="CS1234" s="9"/>
      <c r="CT1234" s="9"/>
      <c r="CU1234" s="9"/>
      <c r="CV1234" s="9"/>
      <c r="CW1234" s="129"/>
      <c r="CX1234" s="9"/>
    </row>
    <row r="1235" spans="1:102">
      <c r="A1235" s="6" t="str">
        <f t="shared" si="191"/>
        <v>02460246</v>
      </c>
      <c r="B1235" s="6" t="s">
        <v>1896</v>
      </c>
      <c r="C1235" s="6" t="s">
        <v>1896</v>
      </c>
      <c r="D1235" s="6">
        <v>1226</v>
      </c>
      <c r="E1235" s="6">
        <v>246</v>
      </c>
      <c r="F1235" s="6" t="s">
        <v>1364</v>
      </c>
      <c r="G1235" s="6">
        <v>246</v>
      </c>
      <c r="H1235" s="6" t="s">
        <v>927</v>
      </c>
      <c r="I1235" s="33">
        <v>46064559.298859999</v>
      </c>
      <c r="J1235" s="88">
        <v>0.98475710033999653</v>
      </c>
      <c r="K1235" s="89">
        <f>X1235</f>
        <v>47040957.59142001</v>
      </c>
      <c r="L1235" s="88">
        <f>IF(K1239&gt;0, K1235/K1239, 0)</f>
        <v>0.9821489611087858</v>
      </c>
      <c r="M1235" s="58"/>
      <c r="N1235" s="9">
        <f>ROUND(M1239*L1235,0)</f>
        <v>38808790</v>
      </c>
      <c r="O1235" s="9">
        <v>37284680</v>
      </c>
      <c r="P1235" s="9">
        <f>N1235-O1235</f>
        <v>1524110</v>
      </c>
      <c r="Q1235" s="40">
        <f t="shared" si="199"/>
        <v>4.0877647333972025</v>
      </c>
      <c r="R1235" s="9">
        <v>3708</v>
      </c>
      <c r="S1235" s="9">
        <f t="shared" si="197"/>
        <v>3676</v>
      </c>
      <c r="T1235" s="90">
        <f t="shared" si="192"/>
        <v>246</v>
      </c>
      <c r="U1235" s="90">
        <f t="shared" si="193"/>
        <v>246</v>
      </c>
      <c r="V1235" s="373">
        <f t="shared" si="194"/>
        <v>1226</v>
      </c>
      <c r="W1235" s="90">
        <f t="shared" si="195"/>
        <v>3676</v>
      </c>
      <c r="X1235" s="90">
        <f t="shared" si="196"/>
        <v>47040957.59142001</v>
      </c>
      <c r="Y1235" s="141">
        <f t="shared" si="198"/>
        <v>1226</v>
      </c>
      <c r="Z1235" s="298">
        <v>246</v>
      </c>
      <c r="AA1235" s="299">
        <v>246</v>
      </c>
      <c r="AB1235" s="299">
        <v>1226</v>
      </c>
      <c r="AC1235" s="301">
        <v>3676</v>
      </c>
      <c r="AD1235" s="301">
        <v>47040957.59142001</v>
      </c>
      <c r="AE1235" s="126"/>
      <c r="AF1235" s="298"/>
      <c r="AG1235" s="299"/>
      <c r="AH1235" s="299"/>
      <c r="AI1235" s="301"/>
      <c r="AJ1235" s="301"/>
      <c r="AK1235" s="426"/>
      <c r="AL1235" s="298"/>
      <c r="AM1235" s="299"/>
      <c r="AN1235" s="299"/>
      <c r="AO1235" s="301"/>
      <c r="AP1235" s="301"/>
      <c r="AQ1235" s="426"/>
      <c r="AR1235" s="298"/>
      <c r="AS1235" s="299"/>
      <c r="AT1235" s="299"/>
      <c r="AU1235" s="301"/>
      <c r="AV1235" s="301"/>
      <c r="AW1235" s="88"/>
      <c r="AX1235" s="298"/>
      <c r="AY1235" s="299"/>
      <c r="AZ1235" s="299"/>
      <c r="BA1235" s="301"/>
      <c r="BB1235" s="301"/>
      <c r="BC1235" s="426"/>
      <c r="BD1235" s="298"/>
      <c r="BE1235" s="299"/>
      <c r="BF1235" s="299"/>
      <c r="BG1235" s="301"/>
      <c r="BH1235" s="301"/>
      <c r="BI1235" s="88"/>
      <c r="BJ1235" s="298"/>
      <c r="BK1235" s="299"/>
      <c r="BL1235" s="299"/>
      <c r="BM1235" s="301"/>
      <c r="BN1235" s="301"/>
      <c r="BO1235" s="88"/>
      <c r="BP1235" s="9"/>
      <c r="BS1235" s="81"/>
      <c r="BT1235" s="81"/>
      <c r="BV1235" s="9"/>
      <c r="BY1235" s="81"/>
      <c r="BZ1235" s="81"/>
      <c r="CB1235" s="9"/>
      <c r="CE1235" s="81"/>
      <c r="CF1235" s="81"/>
      <c r="CH1235" s="9"/>
      <c r="CK1235" s="81"/>
      <c r="CL1235" s="81"/>
      <c r="CR1235" s="9"/>
      <c r="CS1235" s="9"/>
      <c r="CT1235" s="9"/>
      <c r="CU1235" s="9"/>
      <c r="CV1235" s="9"/>
      <c r="CW1235" s="129"/>
      <c r="CX1235" s="9"/>
    </row>
    <row r="1236" spans="1:102">
      <c r="A1236" s="6" t="str">
        <f t="shared" si="191"/>
        <v>02460853</v>
      </c>
      <c r="B1236" s="6" t="s">
        <v>1896</v>
      </c>
      <c r="C1236" s="6" t="s">
        <v>2078</v>
      </c>
      <c r="D1236" s="6">
        <v>1227</v>
      </c>
      <c r="E1236" s="6">
        <v>246</v>
      </c>
      <c r="F1236" s="6" t="s">
        <v>1364</v>
      </c>
      <c r="G1236" s="6">
        <v>853</v>
      </c>
      <c r="H1236" s="6" t="s">
        <v>1108</v>
      </c>
      <c r="I1236" s="33">
        <v>713026.03965219145</v>
      </c>
      <c r="J1236" s="88">
        <v>1.5242899660003485E-2</v>
      </c>
      <c r="K1236" s="89">
        <f t="shared" si="190"/>
        <v>854992.46722859028</v>
      </c>
      <c r="L1236" s="88">
        <f>IF(K1239&gt;0, K1236/K1239, 0)</f>
        <v>1.7851038891214224E-2</v>
      </c>
      <c r="M1236" s="58"/>
      <c r="N1236" s="9">
        <f>ROUND(M1239*L1236,0)</f>
        <v>705369</v>
      </c>
      <c r="O1236" s="9">
        <v>577124</v>
      </c>
      <c r="P1236" s="9">
        <f>N1236-O1236</f>
        <v>128245</v>
      </c>
      <c r="Q1236" s="40">
        <f t="shared" si="199"/>
        <v>22.221394362390058</v>
      </c>
      <c r="R1236" s="9">
        <v>31.00000000196</v>
      </c>
      <c r="S1236" s="9">
        <f t="shared" si="197"/>
        <v>36.000000004699999</v>
      </c>
      <c r="T1236" s="90">
        <f t="shared" si="192"/>
        <v>246</v>
      </c>
      <c r="U1236" s="90">
        <f t="shared" si="193"/>
        <v>853</v>
      </c>
      <c r="V1236" s="373">
        <f t="shared" si="194"/>
        <v>1227</v>
      </c>
      <c r="W1236" s="90">
        <f t="shared" si="195"/>
        <v>36.000000004699999</v>
      </c>
      <c r="X1236" s="90">
        <f t="shared" si="196"/>
        <v>854992.46722859028</v>
      </c>
      <c r="Y1236" s="141">
        <f t="shared" si="198"/>
        <v>1227</v>
      </c>
      <c r="Z1236" s="298">
        <v>246</v>
      </c>
      <c r="AA1236" s="299">
        <v>853</v>
      </c>
      <c r="AB1236" s="299">
        <v>1227</v>
      </c>
      <c r="AC1236" s="301">
        <v>36.000000004699999</v>
      </c>
      <c r="AD1236" s="301">
        <v>854992.46722859028</v>
      </c>
      <c r="AE1236" s="126"/>
      <c r="AF1236" s="298"/>
      <c r="AG1236" s="299"/>
      <c r="AH1236" s="299"/>
      <c r="AI1236" s="301"/>
      <c r="AJ1236" s="301"/>
      <c r="AK1236" s="426"/>
      <c r="AL1236" s="298"/>
      <c r="AM1236" s="299"/>
      <c r="AN1236" s="299"/>
      <c r="AO1236" s="301"/>
      <c r="AP1236" s="301"/>
      <c r="AQ1236" s="426"/>
      <c r="AR1236" s="298"/>
      <c r="AS1236" s="299"/>
      <c r="AT1236" s="299"/>
      <c r="AU1236" s="301"/>
      <c r="AV1236" s="301"/>
      <c r="AW1236" s="88"/>
      <c r="AX1236" s="298"/>
      <c r="AY1236" s="299"/>
      <c r="AZ1236" s="299"/>
      <c r="BA1236" s="301"/>
      <c r="BB1236" s="301"/>
      <c r="BC1236" s="426"/>
      <c r="BD1236" s="298"/>
      <c r="BE1236" s="299"/>
      <c r="BF1236" s="299"/>
      <c r="BG1236" s="301"/>
      <c r="BH1236" s="301"/>
      <c r="BI1236" s="88"/>
      <c r="BJ1236" s="298"/>
      <c r="BK1236" s="299"/>
      <c r="BL1236" s="299"/>
      <c r="BM1236" s="301"/>
      <c r="BN1236" s="301"/>
      <c r="BO1236" s="88"/>
      <c r="BP1236" s="9"/>
      <c r="BS1236" s="81"/>
      <c r="BT1236" s="81"/>
      <c r="BV1236" s="9"/>
      <c r="BY1236" s="81"/>
      <c r="BZ1236" s="81"/>
      <c r="CB1236" s="9"/>
      <c r="CE1236" s="81"/>
      <c r="CF1236" s="81"/>
      <c r="CH1236" s="9"/>
      <c r="CK1236" s="81"/>
      <c r="CL1236" s="81"/>
      <c r="CR1236" s="9"/>
      <c r="CS1236" s="9"/>
      <c r="CT1236" s="9"/>
      <c r="CU1236" s="9"/>
      <c r="CV1236" s="9"/>
      <c r="CW1236" s="129"/>
      <c r="CX1236" s="9"/>
    </row>
    <row r="1237" spans="1:102">
      <c r="A1237" s="6" t="str">
        <f t="shared" si="191"/>
        <v>02460998</v>
      </c>
      <c r="B1237" s="6" t="s">
        <v>1896</v>
      </c>
      <c r="C1237" s="6" t="s">
        <v>2091</v>
      </c>
      <c r="D1237" s="6">
        <v>1228</v>
      </c>
      <c r="E1237" s="6">
        <v>246</v>
      </c>
      <c r="F1237" s="6" t="s">
        <v>1547</v>
      </c>
      <c r="G1237" s="6">
        <v>998</v>
      </c>
      <c r="I1237" s="33">
        <v>0</v>
      </c>
      <c r="J1237" s="88">
        <v>0</v>
      </c>
      <c r="K1237" s="89">
        <f t="shared" si="190"/>
        <v>0</v>
      </c>
      <c r="L1237" s="88">
        <f>IF(K1239&gt;0, K1237/K1239, 0)</f>
        <v>0</v>
      </c>
      <c r="M1237" s="58"/>
      <c r="N1237" s="9">
        <f>ROUND(M1239*L1237,0)</f>
        <v>0</v>
      </c>
      <c r="O1237" s="9">
        <v>0</v>
      </c>
      <c r="P1237" s="9">
        <f>N1237-O1237</f>
        <v>0</v>
      </c>
      <c r="Q1237" s="40">
        <f t="shared" si="199"/>
        <v>0</v>
      </c>
      <c r="R1237" s="9">
        <v>0</v>
      </c>
      <c r="S1237" s="9">
        <f t="shared" si="197"/>
        <v>0</v>
      </c>
      <c r="T1237" s="90">
        <f t="shared" si="192"/>
        <v>246</v>
      </c>
      <c r="U1237" s="90">
        <f t="shared" si="193"/>
        <v>998</v>
      </c>
      <c r="V1237" s="373">
        <f t="shared" si="194"/>
        <v>1228</v>
      </c>
      <c r="W1237" s="90">
        <f t="shared" si="195"/>
        <v>0</v>
      </c>
      <c r="X1237" s="90">
        <f t="shared" si="196"/>
        <v>0</v>
      </c>
      <c r="Y1237" s="141">
        <f t="shared" si="198"/>
        <v>1228</v>
      </c>
      <c r="Z1237" s="298">
        <v>246</v>
      </c>
      <c r="AA1237" s="299">
        <v>998</v>
      </c>
      <c r="AB1237" s="299">
        <v>1228</v>
      </c>
      <c r="AC1237" s="301">
        <v>0</v>
      </c>
      <c r="AD1237" s="301">
        <v>0</v>
      </c>
      <c r="AE1237" s="126"/>
      <c r="AF1237" s="298"/>
      <c r="AG1237" s="299"/>
      <c r="AH1237" s="299"/>
      <c r="AI1237" s="301"/>
      <c r="AJ1237" s="301"/>
      <c r="AK1237" s="426"/>
      <c r="AL1237" s="298"/>
      <c r="AM1237" s="299"/>
      <c r="AN1237" s="299"/>
      <c r="AO1237" s="301"/>
      <c r="AP1237" s="301"/>
      <c r="AQ1237" s="426"/>
      <c r="AR1237" s="298"/>
      <c r="AS1237" s="299"/>
      <c r="AT1237" s="299"/>
      <c r="AU1237" s="301"/>
      <c r="AV1237" s="301"/>
      <c r="AW1237" s="88"/>
      <c r="AX1237" s="298"/>
      <c r="AY1237" s="299"/>
      <c r="AZ1237" s="299"/>
      <c r="BA1237" s="301"/>
      <c r="BB1237" s="301"/>
      <c r="BC1237" s="426"/>
      <c r="BD1237" s="298"/>
      <c r="BE1237" s="299"/>
      <c r="BF1237" s="299"/>
      <c r="BG1237" s="301"/>
      <c r="BH1237" s="301"/>
      <c r="BI1237" s="88"/>
      <c r="BJ1237" s="298"/>
      <c r="BK1237" s="299"/>
      <c r="BL1237" s="299"/>
      <c r="BM1237" s="301"/>
      <c r="BN1237" s="301"/>
      <c r="BO1237" s="88"/>
      <c r="BP1237" s="9"/>
      <c r="BS1237" s="81"/>
      <c r="BT1237" s="81"/>
      <c r="BV1237" s="9"/>
      <c r="BY1237" s="81"/>
      <c r="BZ1237" s="81"/>
      <c r="CB1237" s="9"/>
      <c r="CE1237" s="81"/>
      <c r="CF1237" s="81"/>
      <c r="CH1237" s="9"/>
      <c r="CK1237" s="81"/>
      <c r="CL1237" s="81"/>
      <c r="CR1237" s="9"/>
      <c r="CS1237" s="9"/>
      <c r="CT1237" s="9"/>
      <c r="CU1237" s="9"/>
      <c r="CV1237" s="9"/>
      <c r="CW1237" s="129"/>
      <c r="CX1237" s="9"/>
    </row>
    <row r="1238" spans="1:102">
      <c r="A1238" s="6" t="str">
        <f t="shared" si="191"/>
        <v>02460998</v>
      </c>
      <c r="B1238" s="6" t="s">
        <v>1896</v>
      </c>
      <c r="C1238" s="6" t="s">
        <v>2091</v>
      </c>
      <c r="D1238" s="6">
        <v>1229</v>
      </c>
      <c r="E1238" s="6">
        <v>246</v>
      </c>
      <c r="F1238" s="6" t="s">
        <v>1547</v>
      </c>
      <c r="G1238" s="6">
        <v>998</v>
      </c>
      <c r="H1238" s="6" t="s">
        <v>1547</v>
      </c>
      <c r="I1238" s="33">
        <v>0</v>
      </c>
      <c r="J1238" s="88">
        <v>0</v>
      </c>
      <c r="K1238" s="89">
        <f t="shared" si="190"/>
        <v>0</v>
      </c>
      <c r="L1238" s="88">
        <f>IF(K1239&gt;0, K1238/K1239, 0)</f>
        <v>0</v>
      </c>
      <c r="M1238" s="58"/>
      <c r="N1238" s="9">
        <f>ROUND(M1239*L1238,0)</f>
        <v>0</v>
      </c>
      <c r="O1238" s="9">
        <v>0</v>
      </c>
      <c r="P1238" s="9">
        <f>N1238-O1238</f>
        <v>0</v>
      </c>
      <c r="Q1238" s="40">
        <f t="shared" si="199"/>
        <v>0</v>
      </c>
      <c r="R1238" s="9">
        <v>0</v>
      </c>
      <c r="S1238" s="9">
        <f t="shared" si="197"/>
        <v>0</v>
      </c>
      <c r="T1238" s="90">
        <f t="shared" si="192"/>
        <v>246</v>
      </c>
      <c r="U1238" s="90">
        <f t="shared" si="193"/>
        <v>998</v>
      </c>
      <c r="V1238" s="373">
        <f t="shared" si="194"/>
        <v>1229</v>
      </c>
      <c r="W1238" s="90">
        <f t="shared" si="195"/>
        <v>0</v>
      </c>
      <c r="X1238" s="90">
        <f t="shared" si="196"/>
        <v>0</v>
      </c>
      <c r="Y1238" s="141">
        <f t="shared" si="198"/>
        <v>1229</v>
      </c>
      <c r="Z1238" s="298">
        <v>246</v>
      </c>
      <c r="AA1238" s="299">
        <v>998</v>
      </c>
      <c r="AB1238" s="299">
        <v>1229</v>
      </c>
      <c r="AC1238" s="301">
        <v>0</v>
      </c>
      <c r="AD1238" s="301">
        <v>0</v>
      </c>
      <c r="AE1238" s="126"/>
      <c r="AF1238" s="298"/>
      <c r="AG1238" s="299"/>
      <c r="AH1238" s="299"/>
      <c r="AI1238" s="301"/>
      <c r="AJ1238" s="301"/>
      <c r="AK1238" s="426"/>
      <c r="AL1238" s="298"/>
      <c r="AM1238" s="299"/>
      <c r="AN1238" s="299"/>
      <c r="AO1238" s="301"/>
      <c r="AP1238" s="301"/>
      <c r="AQ1238" s="426"/>
      <c r="AR1238" s="298"/>
      <c r="AS1238" s="299"/>
      <c r="AT1238" s="299"/>
      <c r="AU1238" s="301"/>
      <c r="AV1238" s="301"/>
      <c r="AW1238" s="88"/>
      <c r="AX1238" s="298"/>
      <c r="AY1238" s="299"/>
      <c r="AZ1238" s="299"/>
      <c r="BA1238" s="301"/>
      <c r="BB1238" s="301"/>
      <c r="BC1238" s="426"/>
      <c r="BD1238" s="298"/>
      <c r="BE1238" s="299"/>
      <c r="BF1238" s="299"/>
      <c r="BG1238" s="301"/>
      <c r="BH1238" s="301"/>
      <c r="BI1238" s="88"/>
      <c r="BJ1238" s="298"/>
      <c r="BK1238" s="299"/>
      <c r="BL1238" s="299"/>
      <c r="BM1238" s="301"/>
      <c r="BN1238" s="301"/>
      <c r="BO1238" s="88"/>
      <c r="BP1238" s="9"/>
      <c r="BS1238" s="81"/>
      <c r="BT1238" s="81"/>
      <c r="BV1238" s="9"/>
      <c r="BY1238" s="81"/>
      <c r="BZ1238" s="81"/>
      <c r="CB1238" s="9"/>
      <c r="CE1238" s="81"/>
      <c r="CF1238" s="81"/>
      <c r="CH1238" s="9"/>
      <c r="CK1238" s="81"/>
      <c r="CL1238" s="81"/>
      <c r="CR1238" s="9"/>
      <c r="CS1238" s="9"/>
      <c r="CT1238" s="9"/>
      <c r="CU1238" s="9"/>
      <c r="CV1238" s="9"/>
      <c r="CW1238" s="129"/>
      <c r="CX1238" s="9"/>
    </row>
    <row r="1239" spans="1:102">
      <c r="A1239" s="6" t="str">
        <f t="shared" si="191"/>
        <v>02460999</v>
      </c>
      <c r="B1239" s="6" t="s">
        <v>1896</v>
      </c>
      <c r="C1239" s="6" t="s">
        <v>2092</v>
      </c>
      <c r="D1239" s="6">
        <v>1230</v>
      </c>
      <c r="E1239" s="10">
        <v>246</v>
      </c>
      <c r="F1239" s="10" t="s">
        <v>1364</v>
      </c>
      <c r="G1239" s="10">
        <v>999</v>
      </c>
      <c r="H1239" s="10" t="s">
        <v>593</v>
      </c>
      <c r="I1239" s="92">
        <v>46777585.33851219</v>
      </c>
      <c r="J1239" s="472">
        <v>1</v>
      </c>
      <c r="K1239" s="53">
        <f>SUM(K1235:K1238)</f>
        <v>47895950.058648601</v>
      </c>
      <c r="L1239" s="91">
        <f>SUM(L1235:L1238)</f>
        <v>1</v>
      </c>
      <c r="M1239" s="79">
        <f>VLOOKUP(E1239,town351,24)</f>
        <v>39514159</v>
      </c>
      <c r="N1239" s="79">
        <f>SUM(N1235:N1238)</f>
        <v>39514159</v>
      </c>
      <c r="O1239" s="79">
        <v>37861804</v>
      </c>
      <c r="P1239" s="79">
        <f>SUM(P1235:P1238)</f>
        <v>1652355</v>
      </c>
      <c r="Q1239" s="39">
        <f t="shared" si="199"/>
        <v>4.364173983891523</v>
      </c>
      <c r="R1239" s="9">
        <v>3739.00000000196</v>
      </c>
      <c r="S1239" s="9">
        <f t="shared" si="197"/>
        <v>3712.0000000046998</v>
      </c>
      <c r="T1239" s="90">
        <f t="shared" si="192"/>
        <v>246</v>
      </c>
      <c r="U1239" s="90">
        <f t="shared" si="193"/>
        <v>999</v>
      </c>
      <c r="V1239" s="373">
        <f t="shared" si="194"/>
        <v>1230</v>
      </c>
      <c r="W1239" s="90">
        <f t="shared" si="195"/>
        <v>3712.0000000046998</v>
      </c>
      <c r="X1239" s="90">
        <f t="shared" si="196"/>
        <v>47895950.058648601</v>
      </c>
      <c r="Y1239" s="141">
        <f t="shared" si="198"/>
        <v>1230</v>
      </c>
      <c r="Z1239" s="298">
        <v>246</v>
      </c>
      <c r="AA1239" s="299">
        <v>999</v>
      </c>
      <c r="AB1239" s="299">
        <v>1230</v>
      </c>
      <c r="AC1239" s="301">
        <v>3712.0000000046998</v>
      </c>
      <c r="AD1239" s="301">
        <v>47895950.058648601</v>
      </c>
      <c r="AE1239" s="126"/>
      <c r="AF1239" s="298"/>
      <c r="AG1239" s="299"/>
      <c r="AH1239" s="299"/>
      <c r="AI1239" s="301"/>
      <c r="AJ1239" s="301"/>
      <c r="AK1239" s="426"/>
      <c r="AL1239" s="298"/>
      <c r="AM1239" s="299"/>
      <c r="AN1239" s="299"/>
      <c r="AO1239" s="301"/>
      <c r="AP1239" s="301"/>
      <c r="AQ1239" s="426"/>
      <c r="AR1239" s="298"/>
      <c r="AS1239" s="299"/>
      <c r="AT1239" s="299"/>
      <c r="AU1239" s="301"/>
      <c r="AV1239" s="301"/>
      <c r="AW1239" s="91"/>
      <c r="AX1239" s="298"/>
      <c r="AY1239" s="299"/>
      <c r="AZ1239" s="299"/>
      <c r="BA1239" s="301"/>
      <c r="BB1239" s="301"/>
      <c r="BC1239" s="426"/>
      <c r="BD1239" s="298"/>
      <c r="BE1239" s="299"/>
      <c r="BF1239" s="299"/>
      <c r="BG1239" s="301"/>
      <c r="BH1239" s="301"/>
      <c r="BI1239" s="91"/>
      <c r="BJ1239" s="298"/>
      <c r="BK1239" s="299"/>
      <c r="BL1239" s="299"/>
      <c r="BM1239" s="301"/>
      <c r="BN1239" s="301"/>
      <c r="BO1239" s="91"/>
      <c r="BP1239" s="9"/>
      <c r="BS1239" s="81"/>
      <c r="BT1239" s="81"/>
      <c r="BV1239" s="9"/>
      <c r="BY1239" s="81"/>
      <c r="BZ1239" s="81"/>
      <c r="CB1239" s="9"/>
      <c r="CE1239" s="81"/>
      <c r="CF1239" s="81"/>
      <c r="CH1239" s="9"/>
      <c r="CK1239" s="81"/>
      <c r="CL1239" s="81"/>
      <c r="CR1239" s="9"/>
      <c r="CS1239" s="9"/>
      <c r="CT1239" s="9"/>
      <c r="CU1239" s="9"/>
      <c r="CV1239" s="9"/>
      <c r="CW1239" s="129"/>
      <c r="CX1239" s="9"/>
    </row>
    <row r="1240" spans="1:102">
      <c r="A1240" s="6" t="str">
        <f t="shared" si="191"/>
        <v>02470247</v>
      </c>
      <c r="B1240" s="6" t="s">
        <v>1897</v>
      </c>
      <c r="C1240" s="6" t="s">
        <v>1897</v>
      </c>
      <c r="D1240" s="6">
        <v>1231</v>
      </c>
      <c r="E1240" s="6">
        <v>247</v>
      </c>
      <c r="F1240" s="6" t="s">
        <v>1365</v>
      </c>
      <c r="G1240" s="6">
        <v>247</v>
      </c>
      <c r="H1240" s="6" t="s">
        <v>928</v>
      </c>
      <c r="I1240" s="33">
        <v>0</v>
      </c>
      <c r="J1240" s="88">
        <v>0</v>
      </c>
      <c r="K1240" s="89">
        <f>X1240</f>
        <v>0</v>
      </c>
      <c r="L1240" s="88">
        <f>IF(K1244&gt;0, K1240/K1244, 0)</f>
        <v>0</v>
      </c>
      <c r="M1240" s="58"/>
      <c r="N1240" s="9">
        <f>ROUND(M1244*L1240,0)</f>
        <v>0</v>
      </c>
      <c r="O1240" s="9">
        <v>0</v>
      </c>
      <c r="P1240" s="9">
        <f>N1240-O1240</f>
        <v>0</v>
      </c>
      <c r="Q1240" s="40">
        <f t="shared" si="199"/>
        <v>0</v>
      </c>
      <c r="R1240" s="9">
        <v>0</v>
      </c>
      <c r="S1240" s="9">
        <f t="shared" si="197"/>
        <v>0</v>
      </c>
      <c r="T1240" s="90">
        <f t="shared" si="192"/>
        <v>247</v>
      </c>
      <c r="U1240" s="90">
        <f t="shared" si="193"/>
        <v>247</v>
      </c>
      <c r="V1240" s="373">
        <f t="shared" si="194"/>
        <v>1231</v>
      </c>
      <c r="W1240" s="90">
        <f t="shared" si="195"/>
        <v>0</v>
      </c>
      <c r="X1240" s="90">
        <f t="shared" si="196"/>
        <v>0</v>
      </c>
      <c r="Y1240" s="141">
        <f t="shared" si="198"/>
        <v>1231</v>
      </c>
      <c r="Z1240" s="298">
        <v>247</v>
      </c>
      <c r="AA1240" s="299">
        <v>247</v>
      </c>
      <c r="AB1240" s="299">
        <v>1231</v>
      </c>
      <c r="AC1240" s="301">
        <v>0</v>
      </c>
      <c r="AD1240" s="301">
        <v>0</v>
      </c>
      <c r="AE1240" s="126"/>
      <c r="AF1240" s="298"/>
      <c r="AG1240" s="299"/>
      <c r="AH1240" s="299"/>
      <c r="AI1240" s="301"/>
      <c r="AJ1240" s="301"/>
      <c r="AK1240" s="426"/>
      <c r="AL1240" s="298"/>
      <c r="AM1240" s="299"/>
      <c r="AN1240" s="299"/>
      <c r="AO1240" s="301"/>
      <c r="AP1240" s="301"/>
      <c r="AQ1240" s="426"/>
      <c r="AR1240" s="298"/>
      <c r="AS1240" s="299"/>
      <c r="AT1240" s="299"/>
      <c r="AU1240" s="301"/>
      <c r="AV1240" s="301"/>
      <c r="AW1240" s="88"/>
      <c r="AX1240" s="298"/>
      <c r="AY1240" s="299"/>
      <c r="AZ1240" s="299"/>
      <c r="BA1240" s="301"/>
      <c r="BB1240" s="301"/>
      <c r="BC1240" s="426"/>
      <c r="BD1240" s="298"/>
      <c r="BE1240" s="299"/>
      <c r="BF1240" s="299"/>
      <c r="BG1240" s="301"/>
      <c r="BH1240" s="301"/>
      <c r="BI1240" s="88"/>
      <c r="BJ1240" s="298"/>
      <c r="BK1240" s="299"/>
      <c r="BL1240" s="299"/>
      <c r="BM1240" s="301"/>
      <c r="BN1240" s="301"/>
      <c r="BO1240" s="88"/>
      <c r="BP1240" s="9"/>
      <c r="BS1240" s="81"/>
      <c r="BT1240" s="81"/>
      <c r="BV1240" s="9"/>
      <c r="BY1240" s="81"/>
      <c r="BZ1240" s="81"/>
      <c r="CB1240" s="9"/>
      <c r="CE1240" s="81"/>
      <c r="CF1240" s="81"/>
      <c r="CH1240" s="9"/>
      <c r="CK1240" s="81"/>
      <c r="CL1240" s="81"/>
      <c r="CR1240" s="9"/>
      <c r="CS1240" s="9"/>
      <c r="CT1240" s="9"/>
      <c r="CU1240" s="9"/>
      <c r="CV1240" s="9"/>
      <c r="CW1240" s="129"/>
      <c r="CX1240" s="9"/>
    </row>
    <row r="1241" spans="1:102">
      <c r="A1241" s="6" t="str">
        <f t="shared" si="191"/>
        <v>02470650</v>
      </c>
      <c r="B1241" s="6" t="s">
        <v>1897</v>
      </c>
      <c r="C1241" s="6" t="s">
        <v>2018</v>
      </c>
      <c r="D1241" s="6">
        <v>1232</v>
      </c>
      <c r="E1241" s="6">
        <v>247</v>
      </c>
      <c r="F1241" s="6" t="s">
        <v>1365</v>
      </c>
      <c r="G1241" s="6">
        <v>650</v>
      </c>
      <c r="H1241" s="6" t="s">
        <v>1048</v>
      </c>
      <c r="I1241" s="33">
        <v>18701103.000282004</v>
      </c>
      <c r="J1241" s="88">
        <v>0.89946215286119879</v>
      </c>
      <c r="K1241" s="89">
        <f t="shared" si="190"/>
        <v>19435684.052628122</v>
      </c>
      <c r="L1241" s="88">
        <f>IF(K1244&gt;0, K1241/K1244, 0)</f>
        <v>0.9114648481628389</v>
      </c>
      <c r="M1241" s="58"/>
      <c r="N1241" s="9">
        <f>ROUND(M1244*L1241,0)</f>
        <v>16034439</v>
      </c>
      <c r="O1241" s="9">
        <v>15146359</v>
      </c>
      <c r="P1241" s="9">
        <f>N1241-O1241</f>
        <v>888080</v>
      </c>
      <c r="Q1241" s="40">
        <f t="shared" si="199"/>
        <v>5.8633233241071334</v>
      </c>
      <c r="R1241" s="9">
        <v>1447.08461538858</v>
      </c>
      <c r="S1241" s="9">
        <f t="shared" si="197"/>
        <v>1459.9779299878298</v>
      </c>
      <c r="T1241" s="90">
        <f t="shared" si="192"/>
        <v>247</v>
      </c>
      <c r="U1241" s="90">
        <f t="shared" si="193"/>
        <v>650</v>
      </c>
      <c r="V1241" s="373">
        <f t="shared" si="194"/>
        <v>1232</v>
      </c>
      <c r="W1241" s="90">
        <f t="shared" si="195"/>
        <v>1459.9779299878298</v>
      </c>
      <c r="X1241" s="90">
        <f t="shared" si="196"/>
        <v>19435684.052628122</v>
      </c>
      <c r="Y1241" s="141">
        <f t="shared" si="198"/>
        <v>1232</v>
      </c>
      <c r="Z1241" s="298">
        <v>247</v>
      </c>
      <c r="AA1241" s="299">
        <v>650</v>
      </c>
      <c r="AB1241" s="299">
        <v>1232</v>
      </c>
      <c r="AC1241" s="301">
        <v>1459.9779299878298</v>
      </c>
      <c r="AD1241" s="301">
        <v>19435684.052628122</v>
      </c>
      <c r="AE1241" s="126"/>
      <c r="AF1241" s="298"/>
      <c r="AG1241" s="299"/>
      <c r="AH1241" s="299"/>
      <c r="AI1241" s="301"/>
      <c r="AJ1241" s="301"/>
      <c r="AK1241" s="426"/>
      <c r="AL1241" s="298"/>
      <c r="AM1241" s="299"/>
      <c r="AN1241" s="299"/>
      <c r="AO1241" s="301"/>
      <c r="AP1241" s="301"/>
      <c r="AQ1241" s="426"/>
      <c r="AR1241" s="298"/>
      <c r="AS1241" s="299"/>
      <c r="AT1241" s="299"/>
      <c r="AU1241" s="301"/>
      <c r="AV1241" s="301"/>
      <c r="AW1241" s="88"/>
      <c r="AX1241" s="298"/>
      <c r="AY1241" s="299"/>
      <c r="AZ1241" s="299"/>
      <c r="BA1241" s="301"/>
      <c r="BB1241" s="301"/>
      <c r="BC1241" s="426"/>
      <c r="BD1241" s="298"/>
      <c r="BE1241" s="299"/>
      <c r="BF1241" s="299"/>
      <c r="BG1241" s="301"/>
      <c r="BH1241" s="301"/>
      <c r="BI1241" s="88"/>
      <c r="BJ1241" s="298"/>
      <c r="BK1241" s="299"/>
      <c r="BL1241" s="299"/>
      <c r="BM1241" s="301"/>
      <c r="BN1241" s="301"/>
      <c r="BO1241" s="88"/>
      <c r="BP1241" s="9"/>
      <c r="BS1241" s="81"/>
      <c r="BT1241" s="81"/>
      <c r="BV1241" s="9"/>
      <c r="BY1241" s="81"/>
      <c r="BZ1241" s="81"/>
      <c r="CB1241" s="9"/>
      <c r="CE1241" s="81"/>
      <c r="CF1241" s="81"/>
      <c r="CH1241" s="9"/>
      <c r="CK1241" s="81"/>
      <c r="CL1241" s="81"/>
      <c r="CR1241" s="9"/>
      <c r="CS1241" s="9"/>
      <c r="CT1241" s="9"/>
      <c r="CU1241" s="9"/>
      <c r="CV1241" s="9"/>
      <c r="CW1241" s="129"/>
      <c r="CX1241" s="9"/>
    </row>
    <row r="1242" spans="1:102">
      <c r="A1242" s="6" t="str">
        <f t="shared" si="191"/>
        <v>02470810</v>
      </c>
      <c r="B1242" s="6" t="s">
        <v>1897</v>
      </c>
      <c r="C1242" s="6" t="s">
        <v>2065</v>
      </c>
      <c r="D1242" s="6">
        <v>1233</v>
      </c>
      <c r="E1242" s="6">
        <v>247</v>
      </c>
      <c r="F1242" s="6" t="s">
        <v>1365</v>
      </c>
      <c r="G1242" s="6">
        <v>810</v>
      </c>
      <c r="H1242" s="6" t="s">
        <v>1095</v>
      </c>
      <c r="I1242" s="33">
        <v>1499815.3057030835</v>
      </c>
      <c r="J1242" s="88">
        <v>7.2136231950678503E-2</v>
      </c>
      <c r="K1242" s="89">
        <f>X1242</f>
        <v>1158220.298563123</v>
      </c>
      <c r="L1242" s="88">
        <f>IF(K1244&gt;0, K1242/K1244, 0)</f>
        <v>5.4316435979839088E-2</v>
      </c>
      <c r="M1242" s="58"/>
      <c r="N1242" s="9">
        <f>ROUND(M1244*L1242,0)</f>
        <v>955532</v>
      </c>
      <c r="O1242" s="9">
        <v>1214727</v>
      </c>
      <c r="P1242" s="9">
        <f>N1242-O1242</f>
        <v>-259195</v>
      </c>
      <c r="Q1242" s="40">
        <f t="shared" si="199"/>
        <v>-21.337716211132214</v>
      </c>
      <c r="R1242" s="9">
        <v>74.394516371999998</v>
      </c>
      <c r="S1242" s="9">
        <f t="shared" si="197"/>
        <v>57.167893965660006</v>
      </c>
      <c r="T1242" s="90">
        <f t="shared" si="192"/>
        <v>247</v>
      </c>
      <c r="U1242" s="90">
        <f t="shared" si="193"/>
        <v>810</v>
      </c>
      <c r="V1242" s="373">
        <f t="shared" si="194"/>
        <v>1233</v>
      </c>
      <c r="W1242" s="90">
        <f t="shared" si="195"/>
        <v>57.167893965660006</v>
      </c>
      <c r="X1242" s="90">
        <f t="shared" si="196"/>
        <v>1158220.298563123</v>
      </c>
      <c r="Y1242" s="141">
        <f t="shared" si="198"/>
        <v>1233</v>
      </c>
      <c r="Z1242" s="298">
        <v>247</v>
      </c>
      <c r="AA1242" s="299">
        <v>810</v>
      </c>
      <c r="AB1242" s="299">
        <v>1233</v>
      </c>
      <c r="AC1242" s="301">
        <v>57.167893965660006</v>
      </c>
      <c r="AD1242" s="301">
        <v>1158220.298563123</v>
      </c>
      <c r="AE1242" s="126"/>
      <c r="AF1242" s="298"/>
      <c r="AG1242" s="299"/>
      <c r="AH1242" s="299"/>
      <c r="AI1242" s="301"/>
      <c r="AJ1242" s="301"/>
      <c r="AK1242" s="426"/>
      <c r="AL1242" s="298"/>
      <c r="AM1242" s="299"/>
      <c r="AN1242" s="299"/>
      <c r="AO1242" s="301"/>
      <c r="AP1242" s="301"/>
      <c r="AQ1242" s="426"/>
      <c r="AR1242" s="298"/>
      <c r="AS1242" s="299"/>
      <c r="AT1242" s="299"/>
      <c r="AU1242" s="301"/>
      <c r="AV1242" s="301"/>
      <c r="AW1242" s="88"/>
      <c r="AX1242" s="298"/>
      <c r="AY1242" s="299"/>
      <c r="AZ1242" s="299"/>
      <c r="BA1242" s="301"/>
      <c r="BB1242" s="301"/>
      <c r="BC1242" s="426"/>
      <c r="BD1242" s="298"/>
      <c r="BE1242" s="299"/>
      <c r="BF1242" s="299"/>
      <c r="BG1242" s="301"/>
      <c r="BH1242" s="301"/>
      <c r="BI1242" s="88"/>
      <c r="BJ1242" s="298"/>
      <c r="BK1242" s="299"/>
      <c r="BL1242" s="299"/>
      <c r="BM1242" s="301"/>
      <c r="BN1242" s="301"/>
      <c r="BO1242" s="88"/>
      <c r="BP1242" s="9"/>
      <c r="BS1242" s="81"/>
      <c r="BT1242" s="81"/>
      <c r="BV1242" s="9"/>
      <c r="BY1242" s="81"/>
      <c r="BZ1242" s="81"/>
      <c r="CB1242" s="9"/>
      <c r="CE1242" s="81"/>
      <c r="CF1242" s="81"/>
      <c r="CH1242" s="9"/>
      <c r="CK1242" s="81"/>
      <c r="CL1242" s="81"/>
      <c r="CR1242" s="9"/>
      <c r="CS1242" s="9"/>
      <c r="CT1242" s="9"/>
      <c r="CU1242" s="9"/>
      <c r="CV1242" s="9"/>
      <c r="CW1242" s="129"/>
      <c r="CX1242" s="9"/>
    </row>
    <row r="1243" spans="1:102">
      <c r="A1243" s="6" t="str">
        <f t="shared" si="191"/>
        <v>02470910</v>
      </c>
      <c r="B1243" s="6" t="s">
        <v>1897</v>
      </c>
      <c r="C1243" s="6" t="s">
        <v>2088</v>
      </c>
      <c r="D1243" s="6">
        <v>1234</v>
      </c>
      <c r="E1243" s="6">
        <v>247</v>
      </c>
      <c r="F1243" s="6" t="s">
        <v>1365</v>
      </c>
      <c r="G1243" s="6">
        <v>910</v>
      </c>
      <c r="H1243" s="6" t="s">
        <v>1118</v>
      </c>
      <c r="I1243" s="33">
        <v>590510.15022465098</v>
      </c>
      <c r="J1243" s="88">
        <v>2.8401615188122599E-2</v>
      </c>
      <c r="K1243" s="89">
        <f t="shared" si="190"/>
        <v>729665.16638582025</v>
      </c>
      <c r="L1243" s="88">
        <f>IF(K1244&gt;0, K1243/K1244, 0)</f>
        <v>3.4218715857321898E-2</v>
      </c>
      <c r="M1243" s="58"/>
      <c r="N1243" s="9">
        <f>ROUND(M1244*L1243,0)</f>
        <v>601974</v>
      </c>
      <c r="O1243" s="9">
        <v>478265</v>
      </c>
      <c r="P1243" s="9">
        <f>N1243-O1243</f>
        <v>123709</v>
      </c>
      <c r="Q1243" s="40">
        <f t="shared" si="199"/>
        <v>25.866203882784649</v>
      </c>
      <c r="R1243" s="9">
        <v>28.999999999939998</v>
      </c>
      <c r="S1243" s="9">
        <f t="shared" si="197"/>
        <v>34.999999997480003</v>
      </c>
      <c r="T1243" s="90">
        <f t="shared" si="192"/>
        <v>247</v>
      </c>
      <c r="U1243" s="90">
        <f t="shared" si="193"/>
        <v>910</v>
      </c>
      <c r="V1243" s="373">
        <f t="shared" si="194"/>
        <v>1234</v>
      </c>
      <c r="W1243" s="90">
        <f t="shared" si="195"/>
        <v>34.999999997480003</v>
      </c>
      <c r="X1243" s="90">
        <f t="shared" si="196"/>
        <v>729665.16638582025</v>
      </c>
      <c r="Y1243" s="141">
        <f t="shared" si="198"/>
        <v>1234</v>
      </c>
      <c r="Z1243" s="298">
        <v>247</v>
      </c>
      <c r="AA1243" s="299">
        <v>910</v>
      </c>
      <c r="AB1243" s="299">
        <v>1234</v>
      </c>
      <c r="AC1243" s="301">
        <v>34.999999997480003</v>
      </c>
      <c r="AD1243" s="301">
        <v>729665.16638582025</v>
      </c>
      <c r="AE1243" s="126"/>
      <c r="AF1243" s="298"/>
      <c r="AG1243" s="299"/>
      <c r="AH1243" s="299"/>
      <c r="AI1243" s="301"/>
      <c r="AJ1243" s="301"/>
      <c r="AK1243" s="426"/>
      <c r="AL1243" s="298"/>
      <c r="AM1243" s="299"/>
      <c r="AN1243" s="299"/>
      <c r="AO1243" s="301"/>
      <c r="AP1243" s="301"/>
      <c r="AQ1243" s="426"/>
      <c r="AR1243" s="298"/>
      <c r="AS1243" s="299"/>
      <c r="AT1243" s="299"/>
      <c r="AU1243" s="301"/>
      <c r="AV1243" s="301"/>
      <c r="AW1243" s="88"/>
      <c r="AX1243" s="298"/>
      <c r="AY1243" s="299"/>
      <c r="AZ1243" s="299"/>
      <c r="BA1243" s="301"/>
      <c r="BB1243" s="301"/>
      <c r="BC1243" s="426"/>
      <c r="BD1243" s="298"/>
      <c r="BE1243" s="299"/>
      <c r="BF1243" s="299"/>
      <c r="BG1243" s="301"/>
      <c r="BH1243" s="301"/>
      <c r="BI1243" s="88"/>
      <c r="BJ1243" s="298"/>
      <c r="BK1243" s="299"/>
      <c r="BL1243" s="299"/>
      <c r="BM1243" s="301"/>
      <c r="BN1243" s="301"/>
      <c r="BO1243" s="88"/>
      <c r="BP1243" s="9"/>
      <c r="BS1243" s="81"/>
      <c r="BT1243" s="81"/>
      <c r="BV1243" s="9"/>
      <c r="BY1243" s="81"/>
      <c r="BZ1243" s="81"/>
      <c r="CB1243" s="9"/>
      <c r="CE1243" s="81"/>
      <c r="CF1243" s="81"/>
      <c r="CH1243" s="9"/>
      <c r="CK1243" s="81"/>
      <c r="CL1243" s="81"/>
      <c r="CR1243" s="9"/>
      <c r="CS1243" s="9"/>
      <c r="CT1243" s="9"/>
      <c r="CU1243" s="9"/>
      <c r="CV1243" s="9"/>
      <c r="CW1243" s="129"/>
      <c r="CX1243" s="9"/>
    </row>
    <row r="1244" spans="1:102">
      <c r="A1244" s="6" t="str">
        <f t="shared" si="191"/>
        <v>02470999</v>
      </c>
      <c r="B1244" s="6" t="s">
        <v>1897</v>
      </c>
      <c r="C1244" s="6" t="s">
        <v>2092</v>
      </c>
      <c r="D1244" s="6">
        <v>1235</v>
      </c>
      <c r="E1244" s="10">
        <v>247</v>
      </c>
      <c r="F1244" s="10" t="s">
        <v>1365</v>
      </c>
      <c r="G1244" s="10">
        <v>999</v>
      </c>
      <c r="H1244" s="10" t="s">
        <v>593</v>
      </c>
      <c r="I1244" s="92">
        <v>20791428.456209742</v>
      </c>
      <c r="J1244" s="472">
        <v>0.99999999999999989</v>
      </c>
      <c r="K1244" s="53">
        <f>SUM(K1240:K1243)</f>
        <v>21323569.517577067</v>
      </c>
      <c r="L1244" s="91">
        <f>SUM(L1240:L1243)</f>
        <v>0.99999999999999989</v>
      </c>
      <c r="M1244" s="79">
        <f>VLOOKUP(E1244,town351,24)</f>
        <v>17591945</v>
      </c>
      <c r="N1244" s="79">
        <f>SUM(N1240:N1243)</f>
        <v>17591945</v>
      </c>
      <c r="O1244" s="79">
        <v>16839351</v>
      </c>
      <c r="P1244" s="79">
        <f>SUM(P1240:P1243)</f>
        <v>752594</v>
      </c>
      <c r="Q1244" s="39">
        <f t="shared" si="199"/>
        <v>4.469257752273232</v>
      </c>
      <c r="R1244" s="9">
        <v>1550.47913176052</v>
      </c>
      <c r="S1244" s="9">
        <f t="shared" si="197"/>
        <v>1552.1458239509698</v>
      </c>
      <c r="T1244" s="90">
        <f t="shared" si="192"/>
        <v>247</v>
      </c>
      <c r="U1244" s="90">
        <f t="shared" si="193"/>
        <v>999</v>
      </c>
      <c r="V1244" s="373">
        <f t="shared" si="194"/>
        <v>1235</v>
      </c>
      <c r="W1244" s="90">
        <f t="shared" si="195"/>
        <v>1552.1458239509698</v>
      </c>
      <c r="X1244" s="90">
        <f t="shared" si="196"/>
        <v>21323569.517577067</v>
      </c>
      <c r="Y1244" s="141">
        <f t="shared" si="198"/>
        <v>1235</v>
      </c>
      <c r="Z1244" s="298">
        <v>247</v>
      </c>
      <c r="AA1244" s="299">
        <v>999</v>
      </c>
      <c r="AB1244" s="299">
        <v>1235</v>
      </c>
      <c r="AC1244" s="301">
        <v>1552.1458239509698</v>
      </c>
      <c r="AD1244" s="301">
        <v>21323569.517577067</v>
      </c>
      <c r="AE1244" s="126"/>
      <c r="AF1244" s="298"/>
      <c r="AG1244" s="299"/>
      <c r="AH1244" s="299"/>
      <c r="AI1244" s="301"/>
      <c r="AJ1244" s="301"/>
      <c r="AK1244" s="426"/>
      <c r="AL1244" s="298"/>
      <c r="AM1244" s="299"/>
      <c r="AN1244" s="299"/>
      <c r="AO1244" s="301"/>
      <c r="AP1244" s="301"/>
      <c r="AQ1244" s="426"/>
      <c r="AR1244" s="298"/>
      <c r="AS1244" s="299"/>
      <c r="AT1244" s="299"/>
      <c r="AU1244" s="301"/>
      <c r="AV1244" s="301"/>
      <c r="AW1244" s="91"/>
      <c r="AX1244" s="298"/>
      <c r="AY1244" s="299"/>
      <c r="AZ1244" s="299"/>
      <c r="BA1244" s="301"/>
      <c r="BB1244" s="301"/>
      <c r="BC1244" s="426"/>
      <c r="BD1244" s="298"/>
      <c r="BE1244" s="299"/>
      <c r="BF1244" s="299"/>
      <c r="BG1244" s="301"/>
      <c r="BH1244" s="301"/>
      <c r="BI1244" s="91"/>
      <c r="BJ1244" s="298"/>
      <c r="BK1244" s="299"/>
      <c r="BL1244" s="299"/>
      <c r="BM1244" s="301"/>
      <c r="BN1244" s="301"/>
      <c r="BO1244" s="91"/>
      <c r="BP1244" s="9"/>
      <c r="BS1244" s="81"/>
      <c r="BT1244" s="81"/>
      <c r="BV1244" s="9"/>
      <c r="BY1244" s="81"/>
      <c r="BZ1244" s="81"/>
      <c r="CB1244" s="9"/>
      <c r="CE1244" s="81"/>
      <c r="CF1244" s="81"/>
      <c r="CH1244" s="9"/>
      <c r="CK1244" s="81"/>
      <c r="CL1244" s="81"/>
      <c r="CR1244" s="9"/>
      <c r="CS1244" s="9"/>
      <c r="CT1244" s="9"/>
      <c r="CU1244" s="9"/>
      <c r="CV1244" s="9"/>
      <c r="CW1244" s="129"/>
      <c r="CX1244" s="9"/>
    </row>
    <row r="1245" spans="1:102">
      <c r="A1245" s="6" t="str">
        <f t="shared" si="191"/>
        <v>02480248</v>
      </c>
      <c r="B1245" s="6" t="s">
        <v>1898</v>
      </c>
      <c r="C1245" s="6" t="s">
        <v>1898</v>
      </c>
      <c r="D1245" s="6">
        <v>1236</v>
      </c>
      <c r="E1245" s="6">
        <v>248</v>
      </c>
      <c r="F1245" s="6" t="s">
        <v>1366</v>
      </c>
      <c r="G1245" s="6">
        <v>248</v>
      </c>
      <c r="H1245" s="6" t="s">
        <v>929</v>
      </c>
      <c r="I1245" s="33">
        <v>142967579.12336001</v>
      </c>
      <c r="J1245" s="88">
        <v>0.96044349452531264</v>
      </c>
      <c r="K1245" s="89">
        <f>X1245</f>
        <v>150716408.54799998</v>
      </c>
      <c r="L1245" s="88">
        <f>IF(K1249&gt;0, K1245/K1249, 0)</f>
        <v>0.95832081167466132</v>
      </c>
      <c r="M1245" s="58"/>
      <c r="N1245" s="9">
        <f>ROUND(M1249*L1245,0)</f>
        <v>48522644</v>
      </c>
      <c r="O1245" s="9">
        <v>44549397</v>
      </c>
      <c r="P1245" s="9">
        <f>N1245-O1245</f>
        <v>3973247</v>
      </c>
      <c r="Q1245" s="40">
        <f t="shared" si="199"/>
        <v>8.9187447363204484</v>
      </c>
      <c r="R1245" s="9">
        <v>7955</v>
      </c>
      <c r="S1245" s="9">
        <f t="shared" si="197"/>
        <v>8010</v>
      </c>
      <c r="T1245" s="90">
        <f t="shared" si="192"/>
        <v>248</v>
      </c>
      <c r="U1245" s="90">
        <f t="shared" si="193"/>
        <v>248</v>
      </c>
      <c r="V1245" s="373">
        <f t="shared" si="194"/>
        <v>1236</v>
      </c>
      <c r="W1245" s="90">
        <f t="shared" si="195"/>
        <v>8010</v>
      </c>
      <c r="X1245" s="90">
        <f t="shared" si="196"/>
        <v>150716408.54799998</v>
      </c>
      <c r="Y1245" s="141">
        <f t="shared" si="198"/>
        <v>1236</v>
      </c>
      <c r="Z1245" s="298">
        <v>248</v>
      </c>
      <c r="AA1245" s="299">
        <v>248</v>
      </c>
      <c r="AB1245" s="299">
        <v>1236</v>
      </c>
      <c r="AC1245" s="301">
        <v>8010</v>
      </c>
      <c r="AD1245" s="301">
        <v>150716408.54799998</v>
      </c>
      <c r="AE1245" s="126"/>
      <c r="AF1245" s="298"/>
      <c r="AG1245" s="299"/>
      <c r="AH1245" s="299"/>
      <c r="AI1245" s="301"/>
      <c r="AJ1245" s="301"/>
      <c r="AK1245" s="426"/>
      <c r="AL1245" s="298"/>
      <c r="AM1245" s="299"/>
      <c r="AN1245" s="299"/>
      <c r="AO1245" s="301"/>
      <c r="AP1245" s="301"/>
      <c r="AQ1245" s="426"/>
      <c r="AR1245" s="298"/>
      <c r="AS1245" s="299"/>
      <c r="AT1245" s="299"/>
      <c r="AU1245" s="301"/>
      <c r="AV1245" s="301"/>
      <c r="AW1245" s="88"/>
      <c r="AX1245" s="298"/>
      <c r="AY1245" s="299"/>
      <c r="AZ1245" s="299"/>
      <c r="BA1245" s="301"/>
      <c r="BB1245" s="301"/>
      <c r="BC1245" s="426"/>
      <c r="BD1245" s="298"/>
      <c r="BE1245" s="299"/>
      <c r="BF1245" s="299"/>
      <c r="BG1245" s="301"/>
      <c r="BH1245" s="301"/>
      <c r="BI1245" s="88"/>
      <c r="BJ1245" s="298"/>
      <c r="BK1245" s="299"/>
      <c r="BL1245" s="299"/>
      <c r="BM1245" s="301"/>
      <c r="BN1245" s="301"/>
      <c r="BO1245" s="88"/>
      <c r="BP1245" s="9"/>
      <c r="BS1245" s="81"/>
      <c r="BT1245" s="81"/>
      <c r="BV1245" s="9"/>
      <c r="BY1245" s="81"/>
      <c r="BZ1245" s="81"/>
      <c r="CB1245" s="9"/>
      <c r="CE1245" s="81"/>
      <c r="CF1245" s="81"/>
      <c r="CH1245" s="9"/>
      <c r="CK1245" s="81"/>
      <c r="CL1245" s="81"/>
      <c r="CR1245" s="9"/>
      <c r="CS1245" s="9"/>
      <c r="CT1245" s="9"/>
      <c r="CU1245" s="9"/>
      <c r="CV1245" s="9"/>
      <c r="CW1245" s="129"/>
      <c r="CX1245" s="9"/>
    </row>
    <row r="1246" spans="1:102">
      <c r="A1246" s="6" t="str">
        <f t="shared" si="191"/>
        <v>02480853</v>
      </c>
      <c r="B1246" s="6" t="s">
        <v>1898</v>
      </c>
      <c r="C1246" s="6" t="s">
        <v>2078</v>
      </c>
      <c r="D1246" s="6">
        <v>1237</v>
      </c>
      <c r="E1246" s="6">
        <v>248</v>
      </c>
      <c r="F1246" s="6" t="s">
        <v>1366</v>
      </c>
      <c r="G1246" s="6">
        <v>853</v>
      </c>
      <c r="H1246" s="6" t="s">
        <v>1108</v>
      </c>
      <c r="I1246" s="33">
        <v>5888215.0366285229</v>
      </c>
      <c r="J1246" s="88">
        <v>3.9556505474687371E-2</v>
      </c>
      <c r="K1246" s="89">
        <f t="shared" si="190"/>
        <v>6554942.2480071774</v>
      </c>
      <c r="L1246" s="88">
        <f>IF(K1249&gt;0, K1246/K1249, 0)</f>
        <v>4.167918832533863E-2</v>
      </c>
      <c r="M1246" s="58"/>
      <c r="N1246" s="9">
        <f>ROUND(M1249*L1246,0)</f>
        <v>2110342</v>
      </c>
      <c r="O1246" s="9">
        <v>1834797</v>
      </c>
      <c r="P1246" s="9">
        <f>N1246-O1246</f>
        <v>275545</v>
      </c>
      <c r="Q1246" s="40">
        <f t="shared" si="199"/>
        <v>15.01773765708141</v>
      </c>
      <c r="R1246" s="9">
        <v>255.99999999447999</v>
      </c>
      <c r="S1246" s="9">
        <f t="shared" si="197"/>
        <v>276.00000000465002</v>
      </c>
      <c r="T1246" s="90">
        <f t="shared" si="192"/>
        <v>248</v>
      </c>
      <c r="U1246" s="90">
        <f t="shared" si="193"/>
        <v>853</v>
      </c>
      <c r="V1246" s="373">
        <f t="shared" si="194"/>
        <v>1237</v>
      </c>
      <c r="W1246" s="90">
        <f t="shared" si="195"/>
        <v>276.00000000465002</v>
      </c>
      <c r="X1246" s="90">
        <f t="shared" si="196"/>
        <v>6554942.2480071774</v>
      </c>
      <c r="Y1246" s="141">
        <f t="shared" si="198"/>
        <v>1237</v>
      </c>
      <c r="Z1246" s="298">
        <v>248</v>
      </c>
      <c r="AA1246" s="299">
        <v>853</v>
      </c>
      <c r="AB1246" s="299">
        <v>1237</v>
      </c>
      <c r="AC1246" s="301">
        <v>276.00000000465002</v>
      </c>
      <c r="AD1246" s="301">
        <v>6554942.2480071774</v>
      </c>
      <c r="AE1246" s="126"/>
      <c r="AF1246" s="298"/>
      <c r="AG1246" s="299"/>
      <c r="AH1246" s="299"/>
      <c r="AI1246" s="301"/>
      <c r="AJ1246" s="301"/>
      <c r="AK1246" s="426"/>
      <c r="AL1246" s="298"/>
      <c r="AM1246" s="299"/>
      <c r="AN1246" s="299"/>
      <c r="AO1246" s="301"/>
      <c r="AP1246" s="301"/>
      <c r="AQ1246" s="426"/>
      <c r="AR1246" s="298"/>
      <c r="AS1246" s="299"/>
      <c r="AT1246" s="299"/>
      <c r="AU1246" s="301"/>
      <c r="AV1246" s="301"/>
      <c r="AW1246" s="88"/>
      <c r="AX1246" s="298"/>
      <c r="AY1246" s="299"/>
      <c r="AZ1246" s="299"/>
      <c r="BA1246" s="301"/>
      <c r="BB1246" s="301"/>
      <c r="BC1246" s="426"/>
      <c r="BD1246" s="298"/>
      <c r="BE1246" s="299"/>
      <c r="BF1246" s="299"/>
      <c r="BG1246" s="301"/>
      <c r="BH1246" s="301"/>
      <c r="BI1246" s="88"/>
      <c r="BJ1246" s="298"/>
      <c r="BK1246" s="299"/>
      <c r="BL1246" s="299"/>
      <c r="BM1246" s="301"/>
      <c r="BN1246" s="301"/>
      <c r="BO1246" s="88"/>
      <c r="BP1246" s="9"/>
      <c r="BS1246" s="81"/>
      <c r="BT1246" s="81"/>
      <c r="BV1246" s="9"/>
      <c r="BY1246" s="81"/>
      <c r="BZ1246" s="81"/>
      <c r="CB1246" s="9"/>
      <c r="CE1246" s="81"/>
      <c r="CF1246" s="81"/>
      <c r="CH1246" s="9"/>
      <c r="CK1246" s="81"/>
      <c r="CL1246" s="81"/>
      <c r="CR1246" s="9"/>
      <c r="CS1246" s="9"/>
      <c r="CT1246" s="9"/>
      <c r="CU1246" s="9"/>
      <c r="CV1246" s="9"/>
      <c r="CW1246" s="129"/>
      <c r="CX1246" s="9"/>
    </row>
    <row r="1247" spans="1:102">
      <c r="A1247" s="6" t="str">
        <f t="shared" si="191"/>
        <v>02480998</v>
      </c>
      <c r="B1247" s="6" t="s">
        <v>1898</v>
      </c>
      <c r="C1247" s="6" t="s">
        <v>2091</v>
      </c>
      <c r="D1247" s="6">
        <v>1238</v>
      </c>
      <c r="E1247" s="6">
        <v>248</v>
      </c>
      <c r="F1247" s="6" t="s">
        <v>1547</v>
      </c>
      <c r="G1247" s="6">
        <v>998</v>
      </c>
      <c r="I1247" s="33">
        <v>0</v>
      </c>
      <c r="J1247" s="88">
        <v>0</v>
      </c>
      <c r="K1247" s="89">
        <f t="shared" si="190"/>
        <v>0</v>
      </c>
      <c r="L1247" s="88">
        <f>IF(K1249&gt;0, K1247/K1249, 0)</f>
        <v>0</v>
      </c>
      <c r="M1247" s="58"/>
      <c r="N1247" s="9">
        <f>ROUND(M1249*L1247,0)</f>
        <v>0</v>
      </c>
      <c r="O1247" s="9">
        <v>0</v>
      </c>
      <c r="P1247" s="9">
        <f>N1247-O1247</f>
        <v>0</v>
      </c>
      <c r="Q1247" s="40">
        <f t="shared" si="199"/>
        <v>0</v>
      </c>
      <c r="R1247" s="9">
        <v>0</v>
      </c>
      <c r="S1247" s="9">
        <f t="shared" si="197"/>
        <v>0</v>
      </c>
      <c r="T1247" s="90">
        <f t="shared" si="192"/>
        <v>248</v>
      </c>
      <c r="U1247" s="90">
        <f t="shared" si="193"/>
        <v>998</v>
      </c>
      <c r="V1247" s="373">
        <f t="shared" si="194"/>
        <v>1238</v>
      </c>
      <c r="W1247" s="90">
        <f t="shared" si="195"/>
        <v>0</v>
      </c>
      <c r="X1247" s="90">
        <f t="shared" si="196"/>
        <v>0</v>
      </c>
      <c r="Y1247" s="141">
        <f t="shared" si="198"/>
        <v>1238</v>
      </c>
      <c r="Z1247" s="298">
        <v>248</v>
      </c>
      <c r="AA1247" s="299">
        <v>998</v>
      </c>
      <c r="AB1247" s="299">
        <v>1238</v>
      </c>
      <c r="AC1247" s="301">
        <v>0</v>
      </c>
      <c r="AD1247" s="301">
        <v>0</v>
      </c>
      <c r="AE1247" s="126"/>
      <c r="AF1247" s="298"/>
      <c r="AG1247" s="299"/>
      <c r="AH1247" s="299"/>
      <c r="AI1247" s="301"/>
      <c r="AJ1247" s="301"/>
      <c r="AK1247" s="426"/>
      <c r="AL1247" s="298"/>
      <c r="AM1247" s="299"/>
      <c r="AN1247" s="299"/>
      <c r="AO1247" s="301"/>
      <c r="AP1247" s="301"/>
      <c r="AQ1247" s="426"/>
      <c r="AR1247" s="298"/>
      <c r="AS1247" s="299"/>
      <c r="AT1247" s="299"/>
      <c r="AU1247" s="301"/>
      <c r="AV1247" s="301"/>
      <c r="AW1247" s="88"/>
      <c r="AX1247" s="298"/>
      <c r="AY1247" s="299"/>
      <c r="AZ1247" s="299"/>
      <c r="BA1247" s="301"/>
      <c r="BB1247" s="301"/>
      <c r="BC1247" s="426"/>
      <c r="BD1247" s="298"/>
      <c r="BE1247" s="299"/>
      <c r="BF1247" s="299"/>
      <c r="BG1247" s="301"/>
      <c r="BH1247" s="301"/>
      <c r="BI1247" s="88"/>
      <c r="BJ1247" s="298"/>
      <c r="BK1247" s="299"/>
      <c r="BL1247" s="299"/>
      <c r="BM1247" s="301"/>
      <c r="BN1247" s="301"/>
      <c r="BO1247" s="88"/>
      <c r="BP1247" s="9"/>
      <c r="BS1247" s="81"/>
      <c r="BT1247" s="81"/>
      <c r="BV1247" s="9"/>
      <c r="BY1247" s="81"/>
      <c r="BZ1247" s="81"/>
      <c r="CB1247" s="9"/>
      <c r="CE1247" s="81"/>
      <c r="CF1247" s="81"/>
      <c r="CH1247" s="9"/>
      <c r="CK1247" s="81"/>
      <c r="CL1247" s="81"/>
      <c r="CR1247" s="9"/>
      <c r="CS1247" s="9"/>
      <c r="CT1247" s="9"/>
      <c r="CU1247" s="9"/>
      <c r="CV1247" s="9"/>
      <c r="CW1247" s="129"/>
      <c r="CX1247" s="9"/>
    </row>
    <row r="1248" spans="1:102">
      <c r="A1248" s="6" t="str">
        <f t="shared" si="191"/>
        <v>02480998</v>
      </c>
      <c r="B1248" s="6" t="s">
        <v>1898</v>
      </c>
      <c r="C1248" s="6" t="s">
        <v>2091</v>
      </c>
      <c r="D1248" s="6">
        <v>1239</v>
      </c>
      <c r="E1248" s="6">
        <v>248</v>
      </c>
      <c r="F1248" s="6" t="s">
        <v>1547</v>
      </c>
      <c r="G1248" s="6">
        <v>998</v>
      </c>
      <c r="H1248" s="6" t="s">
        <v>1547</v>
      </c>
      <c r="I1248" s="33">
        <v>0</v>
      </c>
      <c r="J1248" s="88">
        <v>0</v>
      </c>
      <c r="K1248" s="89">
        <f t="shared" si="190"/>
        <v>0</v>
      </c>
      <c r="L1248" s="88">
        <f>IF(K1249&gt;0, K1248/K1249, 0)</f>
        <v>0</v>
      </c>
      <c r="M1248" s="58"/>
      <c r="N1248" s="9">
        <f>ROUND(M1249*L1248,0)</f>
        <v>0</v>
      </c>
      <c r="O1248" s="9">
        <v>0</v>
      </c>
      <c r="P1248" s="9">
        <f>N1248-O1248</f>
        <v>0</v>
      </c>
      <c r="Q1248" s="40">
        <f t="shared" si="199"/>
        <v>0</v>
      </c>
      <c r="R1248" s="9">
        <v>0</v>
      </c>
      <c r="S1248" s="9">
        <f t="shared" si="197"/>
        <v>0</v>
      </c>
      <c r="T1248" s="90">
        <f t="shared" si="192"/>
        <v>248</v>
      </c>
      <c r="U1248" s="90">
        <f t="shared" si="193"/>
        <v>998</v>
      </c>
      <c r="V1248" s="373">
        <f t="shared" si="194"/>
        <v>1239</v>
      </c>
      <c r="W1248" s="90">
        <f t="shared" si="195"/>
        <v>0</v>
      </c>
      <c r="X1248" s="90">
        <f t="shared" si="196"/>
        <v>0</v>
      </c>
      <c r="Y1248" s="141">
        <f t="shared" si="198"/>
        <v>1239</v>
      </c>
      <c r="Z1248" s="298">
        <v>248</v>
      </c>
      <c r="AA1248" s="299">
        <v>998</v>
      </c>
      <c r="AB1248" s="299">
        <v>1239</v>
      </c>
      <c r="AC1248" s="301">
        <v>0</v>
      </c>
      <c r="AD1248" s="301">
        <v>0</v>
      </c>
      <c r="AE1248" s="126"/>
      <c r="AF1248" s="298"/>
      <c r="AG1248" s="299"/>
      <c r="AH1248" s="299"/>
      <c r="AI1248" s="301"/>
      <c r="AJ1248" s="301"/>
      <c r="AK1248" s="426"/>
      <c r="AL1248" s="298"/>
      <c r="AM1248" s="299"/>
      <c r="AN1248" s="299"/>
      <c r="AO1248" s="301"/>
      <c r="AP1248" s="301"/>
      <c r="AQ1248" s="426"/>
      <c r="AR1248" s="298"/>
      <c r="AS1248" s="299"/>
      <c r="AT1248" s="299"/>
      <c r="AU1248" s="301"/>
      <c r="AV1248" s="301"/>
      <c r="AW1248" s="88"/>
      <c r="AX1248" s="298"/>
      <c r="AY1248" s="299"/>
      <c r="AZ1248" s="299"/>
      <c r="BA1248" s="301"/>
      <c r="BB1248" s="301"/>
      <c r="BC1248" s="426"/>
      <c r="BD1248" s="298"/>
      <c r="BE1248" s="299"/>
      <c r="BF1248" s="299"/>
      <c r="BG1248" s="301"/>
      <c r="BH1248" s="301"/>
      <c r="BI1248" s="88"/>
      <c r="BJ1248" s="298"/>
      <c r="BK1248" s="299"/>
      <c r="BL1248" s="299"/>
      <c r="BM1248" s="301"/>
      <c r="BN1248" s="301"/>
      <c r="BO1248" s="88"/>
      <c r="BP1248" s="9"/>
      <c r="BS1248" s="81"/>
      <c r="BT1248" s="81"/>
      <c r="BV1248" s="9"/>
      <c r="BY1248" s="81"/>
      <c r="BZ1248" s="81"/>
      <c r="CB1248" s="9"/>
      <c r="CE1248" s="81"/>
      <c r="CF1248" s="81"/>
      <c r="CH1248" s="9"/>
      <c r="CK1248" s="81"/>
      <c r="CL1248" s="81"/>
      <c r="CR1248" s="9"/>
      <c r="CS1248" s="9"/>
      <c r="CT1248" s="9"/>
      <c r="CU1248" s="9"/>
      <c r="CV1248" s="9"/>
      <c r="CW1248" s="129"/>
      <c r="CX1248" s="9"/>
    </row>
    <row r="1249" spans="1:102">
      <c r="A1249" s="6" t="str">
        <f t="shared" si="191"/>
        <v>02480999</v>
      </c>
      <c r="B1249" s="6" t="s">
        <v>1898</v>
      </c>
      <c r="C1249" s="6" t="s">
        <v>2092</v>
      </c>
      <c r="D1249" s="6">
        <v>1240</v>
      </c>
      <c r="E1249" s="10">
        <v>248</v>
      </c>
      <c r="F1249" s="10" t="s">
        <v>1366</v>
      </c>
      <c r="G1249" s="10">
        <v>999</v>
      </c>
      <c r="H1249" s="10" t="s">
        <v>593</v>
      </c>
      <c r="I1249" s="92">
        <v>148855794.15998852</v>
      </c>
      <c r="J1249" s="472">
        <v>1</v>
      </c>
      <c r="K1249" s="53">
        <f>SUM(K1245:K1248)</f>
        <v>157271350.79600716</v>
      </c>
      <c r="L1249" s="91">
        <f>SUM(L1245:L1248)</f>
        <v>1</v>
      </c>
      <c r="M1249" s="79">
        <f>VLOOKUP(E1249,town351,24)</f>
        <v>50632986</v>
      </c>
      <c r="N1249" s="79">
        <f>SUM(N1245:N1248)</f>
        <v>50632986</v>
      </c>
      <c r="O1249" s="79">
        <v>46384194</v>
      </c>
      <c r="P1249" s="79">
        <f>SUM(P1245:P1248)</f>
        <v>4248792</v>
      </c>
      <c r="Q1249" s="39">
        <f t="shared" si="199"/>
        <v>9.1599996326334789</v>
      </c>
      <c r="R1249" s="9">
        <v>8210.9999999944794</v>
      </c>
      <c r="S1249" s="9">
        <f t="shared" si="197"/>
        <v>8286.0000000046493</v>
      </c>
      <c r="T1249" s="90">
        <f t="shared" si="192"/>
        <v>248</v>
      </c>
      <c r="U1249" s="90">
        <f t="shared" si="193"/>
        <v>999</v>
      </c>
      <c r="V1249" s="373">
        <f t="shared" si="194"/>
        <v>1240</v>
      </c>
      <c r="W1249" s="90">
        <f t="shared" si="195"/>
        <v>8286.0000000046493</v>
      </c>
      <c r="X1249" s="90">
        <f t="shared" si="196"/>
        <v>157271350.79600716</v>
      </c>
      <c r="Y1249" s="141">
        <f t="shared" si="198"/>
        <v>1240</v>
      </c>
      <c r="Z1249" s="298">
        <v>248</v>
      </c>
      <c r="AA1249" s="299">
        <v>999</v>
      </c>
      <c r="AB1249" s="299">
        <v>1240</v>
      </c>
      <c r="AC1249" s="301">
        <v>8286.0000000046493</v>
      </c>
      <c r="AD1249" s="301">
        <v>157271350.79600716</v>
      </c>
      <c r="AE1249" s="126"/>
      <c r="AF1249" s="298"/>
      <c r="AG1249" s="299"/>
      <c r="AH1249" s="299"/>
      <c r="AI1249" s="301"/>
      <c r="AJ1249" s="301"/>
      <c r="AK1249" s="426"/>
      <c r="AL1249" s="298"/>
      <c r="AM1249" s="299"/>
      <c r="AN1249" s="299"/>
      <c r="AO1249" s="301"/>
      <c r="AP1249" s="301"/>
      <c r="AQ1249" s="426"/>
      <c r="AR1249" s="298"/>
      <c r="AS1249" s="299"/>
      <c r="AT1249" s="299"/>
      <c r="AU1249" s="301"/>
      <c r="AV1249" s="301"/>
      <c r="AW1249" s="91"/>
      <c r="AX1249" s="298"/>
      <c r="AY1249" s="299"/>
      <c r="AZ1249" s="299"/>
      <c r="BA1249" s="301"/>
      <c r="BB1249" s="301"/>
      <c r="BC1249" s="426"/>
      <c r="BD1249" s="298"/>
      <c r="BE1249" s="299"/>
      <c r="BF1249" s="299"/>
      <c r="BG1249" s="301"/>
      <c r="BH1249" s="301"/>
      <c r="BI1249" s="91"/>
      <c r="BJ1249" s="298"/>
      <c r="BK1249" s="299"/>
      <c r="BL1249" s="299"/>
      <c r="BM1249" s="301"/>
      <c r="BN1249" s="301"/>
      <c r="BO1249" s="91"/>
      <c r="BP1249" s="9"/>
      <c r="BS1249" s="81"/>
      <c r="BT1249" s="81"/>
      <c r="BV1249" s="9"/>
      <c r="BY1249" s="81"/>
      <c r="BZ1249" s="81"/>
      <c r="CB1249" s="9"/>
      <c r="CE1249" s="81"/>
      <c r="CF1249" s="81"/>
      <c r="CH1249" s="9"/>
      <c r="CK1249" s="81"/>
      <c r="CL1249" s="81"/>
      <c r="CR1249" s="9"/>
      <c r="CS1249" s="9"/>
      <c r="CT1249" s="9"/>
      <c r="CU1249" s="9"/>
      <c r="CV1249" s="9"/>
      <c r="CW1249" s="129"/>
      <c r="CX1249" s="9"/>
    </row>
    <row r="1250" spans="1:102">
      <c r="A1250" s="6" t="str">
        <f t="shared" si="191"/>
        <v>02490249</v>
      </c>
      <c r="B1250" s="6" t="s">
        <v>1899</v>
      </c>
      <c r="C1250" s="6" t="s">
        <v>1899</v>
      </c>
      <c r="D1250" s="6">
        <v>1241</v>
      </c>
      <c r="E1250" s="6">
        <v>249</v>
      </c>
      <c r="F1250" s="6" t="s">
        <v>1367</v>
      </c>
      <c r="G1250" s="6">
        <v>249</v>
      </c>
      <c r="H1250" s="6" t="s">
        <v>930</v>
      </c>
      <c r="I1250" s="33">
        <v>1653453.7499999998</v>
      </c>
      <c r="J1250" s="88">
        <v>1</v>
      </c>
      <c r="K1250" s="89">
        <f t="shared" ref="K1250:K1313" si="200">X1250</f>
        <v>1660447.3899999997</v>
      </c>
      <c r="L1250" s="88">
        <f>IF(K1254&gt;0, K1250/K1254, 0)</f>
        <v>1</v>
      </c>
      <c r="M1250" s="58"/>
      <c r="N1250" s="9">
        <f>ROUND(M1254*L1250,0)</f>
        <v>1369869</v>
      </c>
      <c r="O1250" s="9">
        <v>1364099</v>
      </c>
      <c r="P1250" s="9">
        <f>N1250-O1250</f>
        <v>5770</v>
      </c>
      <c r="Q1250" s="40">
        <f t="shared" si="199"/>
        <v>0.42298982698469834</v>
      </c>
      <c r="R1250" s="9">
        <v>120</v>
      </c>
      <c r="S1250" s="9">
        <f t="shared" si="197"/>
        <v>122</v>
      </c>
      <c r="T1250" s="90">
        <f t="shared" si="192"/>
        <v>249</v>
      </c>
      <c r="U1250" s="90">
        <f t="shared" si="193"/>
        <v>249</v>
      </c>
      <c r="V1250" s="373">
        <f t="shared" si="194"/>
        <v>1241</v>
      </c>
      <c r="W1250" s="90">
        <f t="shared" si="195"/>
        <v>122</v>
      </c>
      <c r="X1250" s="90">
        <f t="shared" si="196"/>
        <v>1660447.3899999997</v>
      </c>
      <c r="Y1250" s="141">
        <f t="shared" si="198"/>
        <v>1241</v>
      </c>
      <c r="Z1250" s="298">
        <v>249</v>
      </c>
      <c r="AA1250" s="299">
        <v>249</v>
      </c>
      <c r="AB1250" s="299">
        <v>1241</v>
      </c>
      <c r="AC1250" s="301">
        <v>122</v>
      </c>
      <c r="AD1250" s="301">
        <v>1660447.3899999997</v>
      </c>
      <c r="AE1250" s="126"/>
      <c r="AF1250" s="298"/>
      <c r="AG1250" s="299"/>
      <c r="AH1250" s="299"/>
      <c r="AI1250" s="301"/>
      <c r="AJ1250" s="301"/>
      <c r="AK1250" s="426"/>
      <c r="AL1250" s="298"/>
      <c r="AM1250" s="299"/>
      <c r="AN1250" s="299"/>
      <c r="AO1250" s="301"/>
      <c r="AP1250" s="301"/>
      <c r="AQ1250" s="426"/>
      <c r="AR1250" s="298"/>
      <c r="AS1250" s="299"/>
      <c r="AT1250" s="299"/>
      <c r="AU1250" s="301"/>
      <c r="AV1250" s="301"/>
      <c r="AW1250" s="88"/>
      <c r="AX1250" s="298"/>
      <c r="AY1250" s="299"/>
      <c r="AZ1250" s="299"/>
      <c r="BA1250" s="301"/>
      <c r="BB1250" s="301"/>
      <c r="BC1250" s="426"/>
      <c r="BD1250" s="298"/>
      <c r="BE1250" s="299"/>
      <c r="BF1250" s="299"/>
      <c r="BG1250" s="301"/>
      <c r="BH1250" s="301"/>
      <c r="BI1250" s="88"/>
      <c r="BJ1250" s="298"/>
      <c r="BK1250" s="299"/>
      <c r="BL1250" s="299"/>
      <c r="BM1250" s="301"/>
      <c r="BN1250" s="301"/>
      <c r="BO1250" s="88"/>
      <c r="BP1250" s="9"/>
      <c r="BS1250" s="81"/>
      <c r="BT1250" s="81"/>
      <c r="BV1250" s="9"/>
      <c r="BY1250" s="81"/>
      <c r="BZ1250" s="81"/>
      <c r="CB1250" s="9"/>
      <c r="CE1250" s="81"/>
      <c r="CF1250" s="81"/>
      <c r="CH1250" s="9"/>
      <c r="CK1250" s="81"/>
      <c r="CL1250" s="81"/>
      <c r="CR1250" s="9"/>
      <c r="CS1250" s="9"/>
      <c r="CT1250" s="9"/>
      <c r="CU1250" s="9"/>
      <c r="CV1250" s="9"/>
      <c r="CW1250" s="129"/>
      <c r="CX1250" s="9"/>
    </row>
    <row r="1251" spans="1:102">
      <c r="A1251" s="6" t="str">
        <f t="shared" si="191"/>
        <v>02490998</v>
      </c>
      <c r="B1251" s="6" t="s">
        <v>1899</v>
      </c>
      <c r="C1251" s="6" t="s">
        <v>2091</v>
      </c>
      <c r="D1251" s="6">
        <v>1242</v>
      </c>
      <c r="E1251" s="6">
        <v>249</v>
      </c>
      <c r="F1251" s="6" t="s">
        <v>1547</v>
      </c>
      <c r="G1251" s="6">
        <v>998</v>
      </c>
      <c r="H1251" s="6" t="s">
        <v>1547</v>
      </c>
      <c r="I1251" s="33">
        <v>0</v>
      </c>
      <c r="J1251" s="88">
        <v>0</v>
      </c>
      <c r="K1251" s="89">
        <f t="shared" si="200"/>
        <v>0</v>
      </c>
      <c r="L1251" s="88">
        <f>IF(K1254&gt;0, K1251/K1254, 0)</f>
        <v>0</v>
      </c>
      <c r="M1251" s="58"/>
      <c r="N1251" s="9">
        <f>ROUND(M1254*L1251,0)</f>
        <v>0</v>
      </c>
      <c r="O1251" s="9">
        <v>0</v>
      </c>
      <c r="P1251" s="9">
        <f>N1251-O1251</f>
        <v>0</v>
      </c>
      <c r="Q1251" s="40">
        <f t="shared" si="199"/>
        <v>0</v>
      </c>
      <c r="R1251" s="9">
        <v>0</v>
      </c>
      <c r="S1251" s="9">
        <f t="shared" si="197"/>
        <v>0</v>
      </c>
      <c r="T1251" s="90">
        <f t="shared" si="192"/>
        <v>249</v>
      </c>
      <c r="U1251" s="90">
        <f t="shared" si="193"/>
        <v>998</v>
      </c>
      <c r="V1251" s="373">
        <f t="shared" si="194"/>
        <v>1242</v>
      </c>
      <c r="W1251" s="90">
        <f t="shared" si="195"/>
        <v>0</v>
      </c>
      <c r="X1251" s="90">
        <f t="shared" si="196"/>
        <v>0</v>
      </c>
      <c r="Y1251" s="141">
        <f t="shared" si="198"/>
        <v>1242</v>
      </c>
      <c r="Z1251" s="298">
        <v>249</v>
      </c>
      <c r="AA1251" s="299">
        <v>998</v>
      </c>
      <c r="AB1251" s="299">
        <v>1242</v>
      </c>
      <c r="AC1251" s="301">
        <v>0</v>
      </c>
      <c r="AD1251" s="301">
        <v>0</v>
      </c>
      <c r="AE1251" s="126"/>
      <c r="AF1251" s="298"/>
      <c r="AG1251" s="299"/>
      <c r="AH1251" s="299"/>
      <c r="AI1251" s="301"/>
      <c r="AJ1251" s="301"/>
      <c r="AK1251" s="426"/>
      <c r="AL1251" s="298"/>
      <c r="AM1251" s="299"/>
      <c r="AN1251" s="299"/>
      <c r="AO1251" s="301"/>
      <c r="AP1251" s="301"/>
      <c r="AQ1251" s="426"/>
      <c r="AR1251" s="298"/>
      <c r="AS1251" s="299"/>
      <c r="AT1251" s="299"/>
      <c r="AU1251" s="301"/>
      <c r="AV1251" s="301"/>
      <c r="AW1251" s="88"/>
      <c r="AX1251" s="298"/>
      <c r="AY1251" s="299"/>
      <c r="AZ1251" s="299"/>
      <c r="BA1251" s="301"/>
      <c r="BB1251" s="301"/>
      <c r="BC1251" s="426"/>
      <c r="BD1251" s="298"/>
      <c r="BE1251" s="299"/>
      <c r="BF1251" s="299"/>
      <c r="BG1251" s="301"/>
      <c r="BH1251" s="301"/>
      <c r="BI1251" s="88"/>
      <c r="BJ1251" s="298"/>
      <c r="BK1251" s="299"/>
      <c r="BL1251" s="299"/>
      <c r="BM1251" s="301"/>
      <c r="BN1251" s="301"/>
      <c r="BO1251" s="88"/>
      <c r="BP1251" s="9"/>
      <c r="BS1251" s="81"/>
      <c r="BT1251" s="81"/>
      <c r="BV1251" s="9"/>
      <c r="BY1251" s="81"/>
      <c r="BZ1251" s="81"/>
      <c r="CB1251" s="9"/>
      <c r="CE1251" s="81"/>
      <c r="CF1251" s="81"/>
      <c r="CH1251" s="9"/>
      <c r="CK1251" s="81"/>
      <c r="CL1251" s="81"/>
      <c r="CR1251" s="9"/>
      <c r="CS1251" s="9"/>
      <c r="CT1251" s="9"/>
      <c r="CU1251" s="9"/>
      <c r="CV1251" s="9"/>
      <c r="CW1251" s="129"/>
      <c r="CX1251" s="9"/>
    </row>
    <row r="1252" spans="1:102">
      <c r="A1252" s="6" t="str">
        <f t="shared" si="191"/>
        <v>02490998</v>
      </c>
      <c r="B1252" s="6" t="s">
        <v>1899</v>
      </c>
      <c r="C1252" s="6" t="s">
        <v>2091</v>
      </c>
      <c r="D1252" s="6">
        <v>1243</v>
      </c>
      <c r="E1252" s="6">
        <v>249</v>
      </c>
      <c r="F1252" s="6" t="s">
        <v>1547</v>
      </c>
      <c r="G1252" s="6">
        <v>998</v>
      </c>
      <c r="H1252" s="6" t="s">
        <v>1547</v>
      </c>
      <c r="I1252" s="33">
        <v>0</v>
      </c>
      <c r="J1252" s="88">
        <v>0</v>
      </c>
      <c r="K1252" s="89">
        <f t="shared" si="200"/>
        <v>0</v>
      </c>
      <c r="L1252" s="88">
        <f>IF(K1254&gt;0, K1252/K1254, 0)</f>
        <v>0</v>
      </c>
      <c r="M1252" s="58"/>
      <c r="N1252" s="9">
        <f>ROUND(M1254*L1252,0)</f>
        <v>0</v>
      </c>
      <c r="O1252" s="9">
        <v>0</v>
      </c>
      <c r="P1252" s="9">
        <f>N1252-O1252</f>
        <v>0</v>
      </c>
      <c r="Q1252" s="40">
        <f t="shared" si="199"/>
        <v>0</v>
      </c>
      <c r="R1252" s="9">
        <v>0</v>
      </c>
      <c r="S1252" s="9">
        <f t="shared" si="197"/>
        <v>0</v>
      </c>
      <c r="T1252" s="90">
        <f t="shared" si="192"/>
        <v>249</v>
      </c>
      <c r="U1252" s="90">
        <f t="shared" si="193"/>
        <v>998</v>
      </c>
      <c r="V1252" s="373">
        <f t="shared" si="194"/>
        <v>1243</v>
      </c>
      <c r="W1252" s="90">
        <f t="shared" si="195"/>
        <v>0</v>
      </c>
      <c r="X1252" s="90">
        <f t="shared" si="196"/>
        <v>0</v>
      </c>
      <c r="Y1252" s="141">
        <f t="shared" si="198"/>
        <v>1243</v>
      </c>
      <c r="Z1252" s="298">
        <v>249</v>
      </c>
      <c r="AA1252" s="299">
        <v>998</v>
      </c>
      <c r="AB1252" s="299">
        <v>1243</v>
      </c>
      <c r="AC1252" s="301">
        <v>0</v>
      </c>
      <c r="AD1252" s="301">
        <v>0</v>
      </c>
      <c r="AE1252" s="126"/>
      <c r="AF1252" s="298"/>
      <c r="AG1252" s="299"/>
      <c r="AH1252" s="299"/>
      <c r="AI1252" s="301"/>
      <c r="AJ1252" s="301"/>
      <c r="AK1252" s="426"/>
      <c r="AL1252" s="298"/>
      <c r="AM1252" s="299"/>
      <c r="AN1252" s="299"/>
      <c r="AO1252" s="301"/>
      <c r="AP1252" s="301"/>
      <c r="AQ1252" s="426"/>
      <c r="AR1252" s="298"/>
      <c r="AS1252" s="299"/>
      <c r="AT1252" s="299"/>
      <c r="AU1252" s="301"/>
      <c r="AV1252" s="301"/>
      <c r="AW1252" s="88"/>
      <c r="AX1252" s="298"/>
      <c r="AY1252" s="299"/>
      <c r="AZ1252" s="299"/>
      <c r="BA1252" s="301"/>
      <c r="BB1252" s="301"/>
      <c r="BC1252" s="426"/>
      <c r="BD1252" s="298"/>
      <c r="BE1252" s="299"/>
      <c r="BF1252" s="299"/>
      <c r="BG1252" s="301"/>
      <c r="BH1252" s="301"/>
      <c r="BI1252" s="88"/>
      <c r="BJ1252" s="298"/>
      <c r="BK1252" s="299"/>
      <c r="BL1252" s="299"/>
      <c r="BM1252" s="301"/>
      <c r="BN1252" s="301"/>
      <c r="BO1252" s="88"/>
      <c r="BP1252" s="9"/>
      <c r="BS1252" s="81"/>
      <c r="BT1252" s="81"/>
      <c r="BV1252" s="9"/>
      <c r="BY1252" s="81"/>
      <c r="BZ1252" s="81"/>
      <c r="CB1252" s="9"/>
      <c r="CE1252" s="81"/>
      <c r="CF1252" s="81"/>
      <c r="CH1252" s="9"/>
      <c r="CK1252" s="81"/>
      <c r="CL1252" s="81"/>
      <c r="CR1252" s="9"/>
      <c r="CS1252" s="9"/>
      <c r="CT1252" s="9"/>
      <c r="CU1252" s="9"/>
      <c r="CV1252" s="9"/>
      <c r="CW1252" s="129"/>
      <c r="CX1252" s="9"/>
    </row>
    <row r="1253" spans="1:102">
      <c r="A1253" s="6" t="str">
        <f t="shared" si="191"/>
        <v>02490998</v>
      </c>
      <c r="B1253" s="6" t="s">
        <v>1899</v>
      </c>
      <c r="C1253" s="6" t="s">
        <v>2091</v>
      </c>
      <c r="D1253" s="6">
        <v>1244</v>
      </c>
      <c r="E1253" s="6">
        <v>249</v>
      </c>
      <c r="F1253" s="6" t="s">
        <v>1547</v>
      </c>
      <c r="G1253" s="6">
        <v>998</v>
      </c>
      <c r="H1253" s="6" t="s">
        <v>1547</v>
      </c>
      <c r="I1253" s="33">
        <v>0</v>
      </c>
      <c r="J1253" s="88">
        <v>0</v>
      </c>
      <c r="K1253" s="89">
        <f t="shared" si="200"/>
        <v>0</v>
      </c>
      <c r="L1253" s="88">
        <f>IF(K1254&gt;0, K1253/K1254, 0)</f>
        <v>0</v>
      </c>
      <c r="M1253" s="58"/>
      <c r="N1253" s="9">
        <f>ROUND(M1254*L1253,0)</f>
        <v>0</v>
      </c>
      <c r="O1253" s="9">
        <v>0</v>
      </c>
      <c r="P1253" s="9">
        <f>N1253-O1253</f>
        <v>0</v>
      </c>
      <c r="Q1253" s="40">
        <f t="shared" si="199"/>
        <v>0</v>
      </c>
      <c r="R1253" s="9">
        <v>0</v>
      </c>
      <c r="S1253" s="9">
        <f t="shared" si="197"/>
        <v>0</v>
      </c>
      <c r="T1253" s="90">
        <f t="shared" si="192"/>
        <v>249</v>
      </c>
      <c r="U1253" s="90">
        <f t="shared" si="193"/>
        <v>998</v>
      </c>
      <c r="V1253" s="373">
        <f t="shared" si="194"/>
        <v>1244</v>
      </c>
      <c r="W1253" s="90">
        <f t="shared" si="195"/>
        <v>0</v>
      </c>
      <c r="X1253" s="90">
        <f t="shared" si="196"/>
        <v>0</v>
      </c>
      <c r="Y1253" s="141">
        <f t="shared" si="198"/>
        <v>1244</v>
      </c>
      <c r="Z1253" s="298">
        <v>249</v>
      </c>
      <c r="AA1253" s="299">
        <v>998</v>
      </c>
      <c r="AB1253" s="299">
        <v>1244</v>
      </c>
      <c r="AC1253" s="301">
        <v>0</v>
      </c>
      <c r="AD1253" s="301">
        <v>0</v>
      </c>
      <c r="AE1253" s="126"/>
      <c r="AF1253" s="298"/>
      <c r="AG1253" s="299"/>
      <c r="AH1253" s="299"/>
      <c r="AI1253" s="301"/>
      <c r="AJ1253" s="301"/>
      <c r="AK1253" s="426"/>
      <c r="AL1253" s="298"/>
      <c r="AM1253" s="299"/>
      <c r="AN1253" s="299"/>
      <c r="AO1253" s="301"/>
      <c r="AP1253" s="301"/>
      <c r="AQ1253" s="426"/>
      <c r="AR1253" s="298"/>
      <c r="AS1253" s="299"/>
      <c r="AT1253" s="299"/>
      <c r="AU1253" s="301"/>
      <c r="AV1253" s="301"/>
      <c r="AW1253" s="88"/>
      <c r="AX1253" s="298"/>
      <c r="AY1253" s="299"/>
      <c r="AZ1253" s="299"/>
      <c r="BA1253" s="301"/>
      <c r="BB1253" s="301"/>
      <c r="BC1253" s="426"/>
      <c r="BD1253" s="298"/>
      <c r="BE1253" s="299"/>
      <c r="BF1253" s="299"/>
      <c r="BG1253" s="301"/>
      <c r="BH1253" s="301"/>
      <c r="BI1253" s="88"/>
      <c r="BJ1253" s="298"/>
      <c r="BK1253" s="299"/>
      <c r="BL1253" s="299"/>
      <c r="BM1253" s="301"/>
      <c r="BN1253" s="301"/>
      <c r="BO1253" s="88"/>
      <c r="BP1253" s="9"/>
      <c r="BS1253" s="81"/>
      <c r="BT1253" s="81"/>
      <c r="BV1253" s="9"/>
      <c r="BY1253" s="81"/>
      <c r="BZ1253" s="81"/>
      <c r="CB1253" s="9"/>
      <c r="CE1253" s="81"/>
      <c r="CF1253" s="81"/>
      <c r="CH1253" s="9"/>
      <c r="CK1253" s="81"/>
      <c r="CL1253" s="81"/>
      <c r="CR1253" s="9"/>
      <c r="CS1253" s="9"/>
      <c r="CT1253" s="9"/>
      <c r="CU1253" s="9"/>
      <c r="CV1253" s="9"/>
      <c r="CW1253" s="129"/>
      <c r="CX1253" s="9"/>
    </row>
    <row r="1254" spans="1:102">
      <c r="A1254" s="6" t="str">
        <f t="shared" si="191"/>
        <v>02490999</v>
      </c>
      <c r="B1254" s="6" t="s">
        <v>1899</v>
      </c>
      <c r="C1254" s="6" t="s">
        <v>2092</v>
      </c>
      <c r="D1254" s="6">
        <v>1245</v>
      </c>
      <c r="E1254" s="10">
        <v>249</v>
      </c>
      <c r="F1254" s="10" t="s">
        <v>1367</v>
      </c>
      <c r="G1254" s="10">
        <v>999</v>
      </c>
      <c r="H1254" s="10" t="s">
        <v>593</v>
      </c>
      <c r="I1254" s="92">
        <v>1653453.7499999998</v>
      </c>
      <c r="J1254" s="472">
        <v>1</v>
      </c>
      <c r="K1254" s="53">
        <f>SUM(K1250:K1253)</f>
        <v>1660447.3899999997</v>
      </c>
      <c r="L1254" s="91">
        <f>SUM(L1250:L1253)</f>
        <v>1</v>
      </c>
      <c r="M1254" s="79">
        <f>VLOOKUP(E1254,town351,24)</f>
        <v>1369869</v>
      </c>
      <c r="N1254" s="79">
        <f>SUM(N1250:N1253)</f>
        <v>1369869</v>
      </c>
      <c r="O1254" s="79">
        <v>1364099</v>
      </c>
      <c r="P1254" s="79">
        <f>SUM(P1250:P1253)</f>
        <v>5770</v>
      </c>
      <c r="Q1254" s="39">
        <f t="shared" si="199"/>
        <v>0.42298982698469834</v>
      </c>
      <c r="R1254" s="9">
        <v>120</v>
      </c>
      <c r="S1254" s="9">
        <f t="shared" si="197"/>
        <v>122</v>
      </c>
      <c r="T1254" s="90">
        <f t="shared" si="192"/>
        <v>249</v>
      </c>
      <c r="U1254" s="90">
        <f t="shared" si="193"/>
        <v>999</v>
      </c>
      <c r="V1254" s="373">
        <f t="shared" si="194"/>
        <v>1245</v>
      </c>
      <c r="W1254" s="90">
        <f t="shared" si="195"/>
        <v>122</v>
      </c>
      <c r="X1254" s="90">
        <f t="shared" si="196"/>
        <v>1660447.3899999997</v>
      </c>
      <c r="Y1254" s="141">
        <f t="shared" si="198"/>
        <v>1245</v>
      </c>
      <c r="Z1254" s="298">
        <v>249</v>
      </c>
      <c r="AA1254" s="299">
        <v>999</v>
      </c>
      <c r="AB1254" s="299">
        <v>1245</v>
      </c>
      <c r="AC1254" s="301">
        <v>122</v>
      </c>
      <c r="AD1254" s="301">
        <v>1660447.3899999997</v>
      </c>
      <c r="AE1254" s="126"/>
      <c r="AF1254" s="298"/>
      <c r="AG1254" s="299"/>
      <c r="AH1254" s="299"/>
      <c r="AI1254" s="301"/>
      <c r="AJ1254" s="301"/>
      <c r="AK1254" s="426"/>
      <c r="AL1254" s="298"/>
      <c r="AM1254" s="299"/>
      <c r="AN1254" s="299"/>
      <c r="AO1254" s="301"/>
      <c r="AP1254" s="301"/>
      <c r="AQ1254" s="426"/>
      <c r="AR1254" s="298"/>
      <c r="AS1254" s="299"/>
      <c r="AT1254" s="299"/>
      <c r="AU1254" s="301"/>
      <c r="AV1254" s="301"/>
      <c r="AW1254" s="91"/>
      <c r="AX1254" s="298"/>
      <c r="AY1254" s="299"/>
      <c r="AZ1254" s="299"/>
      <c r="BA1254" s="301"/>
      <c r="BB1254" s="301"/>
      <c r="BC1254" s="426"/>
      <c r="BD1254" s="298"/>
      <c r="BE1254" s="299"/>
      <c r="BF1254" s="299"/>
      <c r="BG1254" s="301"/>
      <c r="BH1254" s="301"/>
      <c r="BI1254" s="91"/>
      <c r="BJ1254" s="298"/>
      <c r="BK1254" s="299"/>
      <c r="BL1254" s="299"/>
      <c r="BM1254" s="301"/>
      <c r="BN1254" s="301"/>
      <c r="BO1254" s="91"/>
      <c r="BP1254" s="9"/>
      <c r="BS1254" s="81"/>
      <c r="BT1254" s="81"/>
      <c r="BV1254" s="9"/>
      <c r="BY1254" s="81"/>
      <c r="BZ1254" s="81"/>
      <c r="CB1254" s="9"/>
      <c r="CE1254" s="81"/>
      <c r="CF1254" s="81"/>
      <c r="CH1254" s="9"/>
      <c r="CK1254" s="81"/>
      <c r="CL1254" s="81"/>
      <c r="CR1254" s="9"/>
      <c r="CS1254" s="9"/>
      <c r="CT1254" s="9"/>
      <c r="CU1254" s="9"/>
      <c r="CV1254" s="9"/>
      <c r="CW1254" s="129"/>
      <c r="CX1254" s="9"/>
    </row>
    <row r="1255" spans="1:102">
      <c r="A1255" s="6" t="str">
        <f t="shared" si="191"/>
        <v>02500250</v>
      </c>
      <c r="B1255" s="6" t="s">
        <v>1900</v>
      </c>
      <c r="C1255" s="6" t="s">
        <v>1900</v>
      </c>
      <c r="D1255" s="6">
        <v>1246</v>
      </c>
      <c r="E1255" s="6">
        <v>250</v>
      </c>
      <c r="F1255" s="6" t="s">
        <v>1368</v>
      </c>
      <c r="G1255" s="6">
        <v>250</v>
      </c>
      <c r="H1255" s="6" t="s">
        <v>931</v>
      </c>
      <c r="I1255" s="33">
        <v>6163095.8600000003</v>
      </c>
      <c r="J1255" s="88">
        <v>0.49332215827298564</v>
      </c>
      <c r="K1255" s="89">
        <f>X1255</f>
        <v>6292946.6200000001</v>
      </c>
      <c r="L1255" s="88">
        <f>IF(K1259&gt;0, K1255/K1259, 0)</f>
        <v>0.49941438485949302</v>
      </c>
      <c r="M1255" s="58"/>
      <c r="N1255" s="9">
        <f>ROUND(M1259*L1255,0)</f>
        <v>4161563</v>
      </c>
      <c r="O1255" s="9">
        <v>3840072</v>
      </c>
      <c r="P1255" s="9">
        <f>N1255-O1255</f>
        <v>321491</v>
      </c>
      <c r="Q1255" s="40">
        <f t="shared" si="199"/>
        <v>8.3720044832492722</v>
      </c>
      <c r="R1255" s="9">
        <v>499</v>
      </c>
      <c r="S1255" s="9">
        <f t="shared" si="197"/>
        <v>500</v>
      </c>
      <c r="T1255" s="90">
        <f t="shared" si="192"/>
        <v>250</v>
      </c>
      <c r="U1255" s="90">
        <f t="shared" si="193"/>
        <v>250</v>
      </c>
      <c r="V1255" s="373">
        <f t="shared" si="194"/>
        <v>1246</v>
      </c>
      <c r="W1255" s="90">
        <f t="shared" si="195"/>
        <v>500</v>
      </c>
      <c r="X1255" s="90">
        <f t="shared" si="196"/>
        <v>6292946.6200000001</v>
      </c>
      <c r="Y1255" s="141">
        <f t="shared" si="198"/>
        <v>1246</v>
      </c>
      <c r="Z1255" s="298">
        <v>250</v>
      </c>
      <c r="AA1255" s="299">
        <v>250</v>
      </c>
      <c r="AB1255" s="299">
        <v>1246</v>
      </c>
      <c r="AC1255" s="301">
        <v>500</v>
      </c>
      <c r="AD1255" s="301">
        <v>6292946.6200000001</v>
      </c>
      <c r="AE1255" s="126"/>
      <c r="AF1255" s="298"/>
      <c r="AG1255" s="299"/>
      <c r="AH1255" s="299"/>
      <c r="AI1255" s="301"/>
      <c r="AJ1255" s="301"/>
      <c r="AK1255" s="426"/>
      <c r="AL1255" s="298"/>
      <c r="AM1255" s="299"/>
      <c r="AN1255" s="299"/>
      <c r="AO1255" s="301"/>
      <c r="AP1255" s="301"/>
      <c r="AQ1255" s="426"/>
      <c r="AR1255" s="298"/>
      <c r="AS1255" s="299"/>
      <c r="AT1255" s="299"/>
      <c r="AU1255" s="301"/>
      <c r="AV1255" s="301"/>
      <c r="AW1255" s="88"/>
      <c r="AX1255" s="298"/>
      <c r="AY1255" s="299"/>
      <c r="AZ1255" s="299"/>
      <c r="BA1255" s="301"/>
      <c r="BB1255" s="301"/>
      <c r="BC1255" s="426"/>
      <c r="BD1255" s="298"/>
      <c r="BE1255" s="299"/>
      <c r="BF1255" s="299"/>
      <c r="BG1255" s="301"/>
      <c r="BH1255" s="301"/>
      <c r="BI1255" s="88"/>
      <c r="BJ1255" s="298"/>
      <c r="BK1255" s="299"/>
      <c r="BL1255" s="299"/>
      <c r="BM1255" s="301"/>
      <c r="BN1255" s="301"/>
      <c r="BO1255" s="88"/>
      <c r="BP1255" s="9"/>
      <c r="BS1255" s="81"/>
      <c r="BT1255" s="81"/>
      <c r="BV1255" s="9"/>
      <c r="BY1255" s="81"/>
      <c r="BZ1255" s="81"/>
      <c r="CB1255" s="9"/>
      <c r="CE1255" s="81"/>
      <c r="CF1255" s="81"/>
      <c r="CH1255" s="9"/>
      <c r="CK1255" s="81"/>
      <c r="CL1255" s="81"/>
      <c r="CR1255" s="9"/>
      <c r="CS1255" s="9"/>
      <c r="CT1255" s="9"/>
      <c r="CU1255" s="9"/>
      <c r="CV1255" s="9"/>
      <c r="CW1255" s="129"/>
      <c r="CX1255" s="9"/>
    </row>
    <row r="1256" spans="1:102">
      <c r="A1256" s="6" t="str">
        <f t="shared" si="191"/>
        <v>02500740</v>
      </c>
      <c r="B1256" s="6" t="s">
        <v>1900</v>
      </c>
      <c r="C1256" s="6" t="s">
        <v>2046</v>
      </c>
      <c r="D1256" s="6">
        <v>1247</v>
      </c>
      <c r="E1256" s="6">
        <v>250</v>
      </c>
      <c r="F1256" s="6" t="s">
        <v>1368</v>
      </c>
      <c r="G1256" s="6">
        <v>740</v>
      </c>
      <c r="H1256" s="6" t="s">
        <v>1076</v>
      </c>
      <c r="I1256" s="33">
        <v>4522876.8329250934</v>
      </c>
      <c r="J1256" s="88">
        <v>0.36203158469475644</v>
      </c>
      <c r="K1256" s="89">
        <f t="shared" si="200"/>
        <v>4374845.4707159204</v>
      </c>
      <c r="L1256" s="88">
        <f>IF(K1259&gt;0, K1256/K1259, 0)</f>
        <v>0.34719200583540477</v>
      </c>
      <c r="M1256" s="58"/>
      <c r="N1256" s="9">
        <f>ROUND(M1259*L1256,0)</f>
        <v>2893111</v>
      </c>
      <c r="O1256" s="9">
        <v>2818093</v>
      </c>
      <c r="P1256" s="9">
        <f>N1256-O1256</f>
        <v>75018</v>
      </c>
      <c r="Q1256" s="40">
        <f t="shared" si="199"/>
        <v>2.6620129286010079</v>
      </c>
      <c r="R1256" s="9">
        <v>338.00000000430998</v>
      </c>
      <c r="S1256" s="9">
        <f t="shared" si="197"/>
        <v>312.00000000221002</v>
      </c>
      <c r="T1256" s="90">
        <f t="shared" si="192"/>
        <v>250</v>
      </c>
      <c r="U1256" s="90">
        <f t="shared" si="193"/>
        <v>740</v>
      </c>
      <c r="V1256" s="373">
        <f t="shared" si="194"/>
        <v>1247</v>
      </c>
      <c r="W1256" s="90">
        <f t="shared" si="195"/>
        <v>312.00000000221002</v>
      </c>
      <c r="X1256" s="90">
        <f t="shared" si="196"/>
        <v>4374845.4707159204</v>
      </c>
      <c r="Y1256" s="141">
        <f t="shared" si="198"/>
        <v>1247</v>
      </c>
      <c r="Z1256" s="298">
        <v>250</v>
      </c>
      <c r="AA1256" s="299">
        <v>740</v>
      </c>
      <c r="AB1256" s="299">
        <v>1247</v>
      </c>
      <c r="AC1256" s="301">
        <v>312.00000000221002</v>
      </c>
      <c r="AD1256" s="301">
        <v>4374845.4707159204</v>
      </c>
      <c r="AE1256" s="126"/>
      <c r="AF1256" s="298"/>
      <c r="AG1256" s="299"/>
      <c r="AH1256" s="299"/>
      <c r="AI1256" s="301"/>
      <c r="AJ1256" s="301"/>
      <c r="AK1256" s="426"/>
      <c r="AL1256" s="298"/>
      <c r="AM1256" s="299"/>
      <c r="AN1256" s="299"/>
      <c r="AO1256" s="301"/>
      <c r="AP1256" s="301"/>
      <c r="AQ1256" s="426"/>
      <c r="AR1256" s="298"/>
      <c r="AS1256" s="299"/>
      <c r="AT1256" s="299"/>
      <c r="AU1256" s="301"/>
      <c r="AV1256" s="301"/>
      <c r="AW1256" s="88"/>
      <c r="AX1256" s="298"/>
      <c r="AY1256" s="299"/>
      <c r="AZ1256" s="299"/>
      <c r="BA1256" s="301"/>
      <c r="BB1256" s="301"/>
      <c r="BC1256" s="426"/>
      <c r="BD1256" s="298"/>
      <c r="BE1256" s="299"/>
      <c r="BF1256" s="299"/>
      <c r="BG1256" s="301"/>
      <c r="BH1256" s="301"/>
      <c r="BI1256" s="88"/>
      <c r="BJ1256" s="298"/>
      <c r="BK1256" s="299"/>
      <c r="BL1256" s="299"/>
      <c r="BM1256" s="301"/>
      <c r="BN1256" s="301"/>
      <c r="BO1256" s="88"/>
      <c r="BP1256" s="9"/>
      <c r="BS1256" s="81"/>
      <c r="BT1256" s="81"/>
      <c r="BV1256" s="9"/>
      <c r="BY1256" s="81"/>
      <c r="BZ1256" s="81"/>
      <c r="CB1256" s="9"/>
      <c r="CE1256" s="81"/>
      <c r="CF1256" s="81"/>
      <c r="CH1256" s="9"/>
      <c r="CK1256" s="81"/>
      <c r="CL1256" s="81"/>
      <c r="CR1256" s="9"/>
      <c r="CS1256" s="9"/>
      <c r="CT1256" s="9"/>
      <c r="CU1256" s="9"/>
      <c r="CV1256" s="9"/>
      <c r="CW1256" s="129"/>
      <c r="CX1256" s="9"/>
    </row>
    <row r="1257" spans="1:102">
      <c r="A1257" s="6" t="str">
        <f t="shared" si="191"/>
        <v>02500855</v>
      </c>
      <c r="B1257" s="6" t="s">
        <v>1900</v>
      </c>
      <c r="C1257" s="6" t="s">
        <v>2079</v>
      </c>
      <c r="D1257" s="6">
        <v>1248</v>
      </c>
      <c r="E1257" s="6">
        <v>250</v>
      </c>
      <c r="F1257" s="6" t="s">
        <v>1368</v>
      </c>
      <c r="G1257" s="6">
        <v>855</v>
      </c>
      <c r="H1257" s="6" t="s">
        <v>1109</v>
      </c>
      <c r="I1257" s="33">
        <v>1807072.179771621</v>
      </c>
      <c r="J1257" s="88">
        <v>0.14464625703225792</v>
      </c>
      <c r="K1257" s="89">
        <f t="shared" si="200"/>
        <v>1932859.4138867743</v>
      </c>
      <c r="L1257" s="88">
        <f>IF(K1259&gt;0, K1257/K1259, 0)</f>
        <v>0.15339360930510224</v>
      </c>
      <c r="M1257" s="58"/>
      <c r="N1257" s="9">
        <f>ROUND(M1259*L1257,0)</f>
        <v>1278211</v>
      </c>
      <c r="O1257" s="9">
        <v>1125942</v>
      </c>
      <c r="P1257" s="9">
        <f>N1257-O1257</f>
        <v>152269</v>
      </c>
      <c r="Q1257" s="40">
        <f t="shared" si="199"/>
        <v>13.523698378779724</v>
      </c>
      <c r="R1257" s="9">
        <v>93.000000001539988</v>
      </c>
      <c r="S1257" s="9">
        <f t="shared" si="197"/>
        <v>97.999999998110013</v>
      </c>
      <c r="T1257" s="90">
        <f t="shared" si="192"/>
        <v>250</v>
      </c>
      <c r="U1257" s="90">
        <f t="shared" si="193"/>
        <v>855</v>
      </c>
      <c r="V1257" s="373">
        <f t="shared" si="194"/>
        <v>1248</v>
      </c>
      <c r="W1257" s="90">
        <f t="shared" si="195"/>
        <v>97.999999998110013</v>
      </c>
      <c r="X1257" s="90">
        <f t="shared" si="196"/>
        <v>1932859.4138867743</v>
      </c>
      <c r="Y1257" s="141">
        <f t="shared" si="198"/>
        <v>1248</v>
      </c>
      <c r="Z1257" s="298">
        <v>250</v>
      </c>
      <c r="AA1257" s="299">
        <v>855</v>
      </c>
      <c r="AB1257" s="299">
        <v>1248</v>
      </c>
      <c r="AC1257" s="301">
        <v>97.999999998110013</v>
      </c>
      <c r="AD1257" s="301">
        <v>1932859.4138867743</v>
      </c>
      <c r="AE1257" s="126"/>
      <c r="AF1257" s="298"/>
      <c r="AG1257" s="299"/>
      <c r="AH1257" s="299"/>
      <c r="AI1257" s="301"/>
      <c r="AJ1257" s="301"/>
      <c r="AK1257" s="426"/>
      <c r="AL1257" s="298"/>
      <c r="AM1257" s="299"/>
      <c r="AN1257" s="299"/>
      <c r="AO1257" s="301"/>
      <c r="AP1257" s="301"/>
      <c r="AQ1257" s="426"/>
      <c r="AR1257" s="298"/>
      <c r="AS1257" s="299"/>
      <c r="AT1257" s="299"/>
      <c r="AU1257" s="301"/>
      <c r="AV1257" s="301"/>
      <c r="AW1257" s="88"/>
      <c r="AX1257" s="298"/>
      <c r="AY1257" s="299"/>
      <c r="AZ1257" s="299"/>
      <c r="BA1257" s="301"/>
      <c r="BB1257" s="301"/>
      <c r="BC1257" s="426"/>
      <c r="BD1257" s="298"/>
      <c r="BE1257" s="299"/>
      <c r="BF1257" s="299"/>
      <c r="BG1257" s="301"/>
      <c r="BH1257" s="301"/>
      <c r="BI1257" s="88"/>
      <c r="BJ1257" s="298"/>
      <c r="BK1257" s="299"/>
      <c r="BL1257" s="299"/>
      <c r="BM1257" s="301"/>
      <c r="BN1257" s="301"/>
      <c r="BO1257" s="88"/>
      <c r="BP1257" s="9"/>
      <c r="BS1257" s="81"/>
      <c r="BT1257" s="81"/>
      <c r="BV1257" s="9"/>
      <c r="BY1257" s="81"/>
      <c r="BZ1257" s="81"/>
      <c r="CB1257" s="9"/>
      <c r="CE1257" s="81"/>
      <c r="CF1257" s="81"/>
      <c r="CH1257" s="9"/>
      <c r="CK1257" s="81"/>
      <c r="CL1257" s="81"/>
      <c r="CR1257" s="9"/>
      <c r="CS1257" s="9"/>
      <c r="CT1257" s="9"/>
      <c r="CU1257" s="9"/>
      <c r="CV1257" s="9"/>
      <c r="CW1257" s="129"/>
      <c r="CX1257" s="9"/>
    </row>
    <row r="1258" spans="1:102">
      <c r="A1258" s="6" t="str">
        <f t="shared" si="191"/>
        <v>02500998</v>
      </c>
      <c r="B1258" s="6" t="s">
        <v>1900</v>
      </c>
      <c r="C1258" s="6" t="s">
        <v>2091</v>
      </c>
      <c r="D1258" s="6">
        <v>1249</v>
      </c>
      <c r="E1258" s="6">
        <v>250</v>
      </c>
      <c r="F1258" s="6" t="s">
        <v>1547</v>
      </c>
      <c r="G1258" s="6">
        <v>998</v>
      </c>
      <c r="H1258" s="6" t="s">
        <v>1547</v>
      </c>
      <c r="I1258" s="33">
        <v>0</v>
      </c>
      <c r="J1258" s="88">
        <v>0</v>
      </c>
      <c r="K1258" s="89">
        <f t="shared" si="200"/>
        <v>0</v>
      </c>
      <c r="L1258" s="88">
        <f>IF(K1259&gt;0, K1258/K1259, 0)</f>
        <v>0</v>
      </c>
      <c r="M1258" s="58"/>
      <c r="N1258" s="9">
        <f>ROUND(M1259*L1258,0)</f>
        <v>0</v>
      </c>
      <c r="O1258" s="9">
        <v>0</v>
      </c>
      <c r="P1258" s="9">
        <f>N1258-O1258</f>
        <v>0</v>
      </c>
      <c r="Q1258" s="40">
        <f t="shared" si="199"/>
        <v>0</v>
      </c>
      <c r="R1258" s="9">
        <v>0</v>
      </c>
      <c r="S1258" s="9">
        <f t="shared" si="197"/>
        <v>0</v>
      </c>
      <c r="T1258" s="90">
        <f t="shared" si="192"/>
        <v>250</v>
      </c>
      <c r="U1258" s="90">
        <f t="shared" si="193"/>
        <v>998</v>
      </c>
      <c r="V1258" s="373">
        <f t="shared" si="194"/>
        <v>1249</v>
      </c>
      <c r="W1258" s="90">
        <f t="shared" si="195"/>
        <v>0</v>
      </c>
      <c r="X1258" s="90">
        <f t="shared" si="196"/>
        <v>0</v>
      </c>
      <c r="Y1258" s="141">
        <f t="shared" si="198"/>
        <v>1249</v>
      </c>
      <c r="Z1258" s="298">
        <v>250</v>
      </c>
      <c r="AA1258" s="299">
        <v>998</v>
      </c>
      <c r="AB1258" s="299">
        <v>1249</v>
      </c>
      <c r="AC1258" s="301">
        <v>0</v>
      </c>
      <c r="AD1258" s="301">
        <v>0</v>
      </c>
      <c r="AE1258" s="126"/>
      <c r="AF1258" s="298"/>
      <c r="AG1258" s="299"/>
      <c r="AH1258" s="299"/>
      <c r="AI1258" s="301"/>
      <c r="AJ1258" s="301"/>
      <c r="AK1258" s="426"/>
      <c r="AL1258" s="298"/>
      <c r="AM1258" s="299"/>
      <c r="AN1258" s="299"/>
      <c r="AO1258" s="301"/>
      <c r="AP1258" s="301"/>
      <c r="AQ1258" s="426"/>
      <c r="AR1258" s="298"/>
      <c r="AS1258" s="299"/>
      <c r="AT1258" s="299"/>
      <c r="AU1258" s="301"/>
      <c r="AV1258" s="301"/>
      <c r="AW1258" s="88"/>
      <c r="AX1258" s="298"/>
      <c r="AY1258" s="299"/>
      <c r="AZ1258" s="299"/>
      <c r="BA1258" s="301"/>
      <c r="BB1258" s="301"/>
      <c r="BC1258" s="426"/>
      <c r="BD1258" s="298"/>
      <c r="BE1258" s="299"/>
      <c r="BF1258" s="299"/>
      <c r="BG1258" s="301"/>
      <c r="BH1258" s="301"/>
      <c r="BI1258" s="88"/>
      <c r="BJ1258" s="298"/>
      <c r="BK1258" s="299"/>
      <c r="BL1258" s="299"/>
      <c r="BM1258" s="301"/>
      <c r="BN1258" s="301"/>
      <c r="BO1258" s="88"/>
      <c r="BP1258" s="9"/>
      <c r="BS1258" s="81"/>
      <c r="BT1258" s="81"/>
      <c r="BV1258" s="9"/>
      <c r="BY1258" s="81"/>
      <c r="BZ1258" s="81"/>
      <c r="CB1258" s="9"/>
      <c r="CE1258" s="81"/>
      <c r="CF1258" s="81"/>
      <c r="CH1258" s="9"/>
      <c r="CK1258" s="81"/>
      <c r="CL1258" s="81"/>
      <c r="CR1258" s="9"/>
      <c r="CS1258" s="9"/>
      <c r="CT1258" s="9"/>
      <c r="CU1258" s="9"/>
      <c r="CV1258" s="9"/>
      <c r="CW1258" s="129"/>
      <c r="CX1258" s="9"/>
    </row>
    <row r="1259" spans="1:102">
      <c r="A1259" s="6" t="str">
        <f t="shared" si="191"/>
        <v>02500999</v>
      </c>
      <c r="B1259" s="6" t="s">
        <v>1900</v>
      </c>
      <c r="C1259" s="6" t="s">
        <v>2092</v>
      </c>
      <c r="D1259" s="6">
        <v>1250</v>
      </c>
      <c r="E1259" s="10">
        <v>250</v>
      </c>
      <c r="F1259" s="10" t="s">
        <v>1368</v>
      </c>
      <c r="G1259" s="10">
        <v>999</v>
      </c>
      <c r="H1259" s="10" t="s">
        <v>593</v>
      </c>
      <c r="I1259" s="92">
        <v>12493044.872696714</v>
      </c>
      <c r="J1259" s="472">
        <v>1</v>
      </c>
      <c r="K1259" s="53">
        <f>SUM(K1255:K1258)</f>
        <v>12600651.504602695</v>
      </c>
      <c r="L1259" s="91">
        <f>SUM(L1255:L1258)</f>
        <v>1</v>
      </c>
      <c r="M1259" s="79">
        <f>VLOOKUP(E1259,town351,24)</f>
        <v>8332886</v>
      </c>
      <c r="N1259" s="79">
        <f>SUM(N1255:N1258)</f>
        <v>8332885</v>
      </c>
      <c r="O1259" s="79">
        <v>7784107</v>
      </c>
      <c r="P1259" s="79">
        <f>SUM(P1255:P1258)</f>
        <v>548778</v>
      </c>
      <c r="Q1259" s="39">
        <f t="shared" si="199"/>
        <v>7.0499801711358794</v>
      </c>
      <c r="R1259" s="9">
        <v>930.00000000584998</v>
      </c>
      <c r="S1259" s="9">
        <f t="shared" si="197"/>
        <v>910.00000000032014</v>
      </c>
      <c r="T1259" s="90">
        <f t="shared" si="192"/>
        <v>250</v>
      </c>
      <c r="U1259" s="90">
        <f t="shared" si="193"/>
        <v>999</v>
      </c>
      <c r="V1259" s="373">
        <f t="shared" si="194"/>
        <v>1250</v>
      </c>
      <c r="W1259" s="90">
        <f t="shared" si="195"/>
        <v>910.00000000032014</v>
      </c>
      <c r="X1259" s="90">
        <f t="shared" si="196"/>
        <v>12600651.504602695</v>
      </c>
      <c r="Y1259" s="141">
        <f t="shared" si="198"/>
        <v>1250</v>
      </c>
      <c r="Z1259" s="298">
        <v>250</v>
      </c>
      <c r="AA1259" s="299">
        <v>999</v>
      </c>
      <c r="AB1259" s="299">
        <v>1250</v>
      </c>
      <c r="AC1259" s="301">
        <v>910.00000000032014</v>
      </c>
      <c r="AD1259" s="301">
        <v>12600651.504602695</v>
      </c>
      <c r="AE1259" s="126"/>
      <c r="AF1259" s="298"/>
      <c r="AG1259" s="299"/>
      <c r="AH1259" s="299"/>
      <c r="AI1259" s="301"/>
      <c r="AJ1259" s="301"/>
      <c r="AK1259" s="426"/>
      <c r="AL1259" s="298"/>
      <c r="AM1259" s="299"/>
      <c r="AN1259" s="299"/>
      <c r="AO1259" s="301"/>
      <c r="AP1259" s="301"/>
      <c r="AQ1259" s="426"/>
      <c r="AR1259" s="298"/>
      <c r="AS1259" s="299"/>
      <c r="AT1259" s="299"/>
      <c r="AU1259" s="301"/>
      <c r="AV1259" s="301"/>
      <c r="AW1259" s="91"/>
      <c r="AX1259" s="298"/>
      <c r="AY1259" s="299"/>
      <c r="AZ1259" s="299"/>
      <c r="BA1259" s="301"/>
      <c r="BB1259" s="301"/>
      <c r="BC1259" s="426"/>
      <c r="BD1259" s="298"/>
      <c r="BE1259" s="299"/>
      <c r="BF1259" s="299"/>
      <c r="BG1259" s="301"/>
      <c r="BH1259" s="301"/>
      <c r="BI1259" s="91"/>
      <c r="BJ1259" s="298"/>
      <c r="BK1259" s="299"/>
      <c r="BL1259" s="299"/>
      <c r="BM1259" s="301"/>
      <c r="BN1259" s="301"/>
      <c r="BO1259" s="91"/>
      <c r="BP1259" s="9"/>
      <c r="BS1259" s="81"/>
      <c r="BT1259" s="81"/>
      <c r="BV1259" s="9"/>
      <c r="BY1259" s="81"/>
      <c r="BZ1259" s="81"/>
      <c r="CB1259" s="9"/>
      <c r="CE1259" s="81"/>
      <c r="CF1259" s="81"/>
      <c r="CH1259" s="9"/>
      <c r="CK1259" s="81"/>
      <c r="CL1259" s="81"/>
      <c r="CR1259" s="9"/>
      <c r="CS1259" s="9"/>
      <c r="CT1259" s="9"/>
      <c r="CU1259" s="9"/>
      <c r="CV1259" s="9"/>
      <c r="CW1259" s="129"/>
      <c r="CX1259" s="9"/>
    </row>
    <row r="1260" spans="1:102">
      <c r="A1260" s="6" t="str">
        <f t="shared" si="191"/>
        <v>02510251</v>
      </c>
      <c r="B1260" s="6" t="s">
        <v>1901</v>
      </c>
      <c r="C1260" s="6" t="s">
        <v>1901</v>
      </c>
      <c r="D1260" s="6">
        <v>1251</v>
      </c>
      <c r="E1260" s="6">
        <v>251</v>
      </c>
      <c r="F1260" s="6" t="s">
        <v>1369</v>
      </c>
      <c r="G1260" s="6">
        <v>251</v>
      </c>
      <c r="H1260" s="6" t="s">
        <v>932</v>
      </c>
      <c r="I1260" s="33">
        <v>34848972.482560009</v>
      </c>
      <c r="J1260" s="88">
        <v>0.92486352898542601</v>
      </c>
      <c r="K1260" s="89">
        <f>X1260</f>
        <v>35665890.654100001</v>
      </c>
      <c r="L1260" s="88">
        <f>IF(K1264&gt;0, K1260/K1264, 0)</f>
        <v>0.92478484020586849</v>
      </c>
      <c r="M1260" s="58"/>
      <c r="N1260" s="9">
        <f>ROUND(M1264*L1260,0)</f>
        <v>17102717</v>
      </c>
      <c r="O1260" s="9">
        <v>16311436</v>
      </c>
      <c r="P1260" s="9">
        <f>N1260-O1260</f>
        <v>791281</v>
      </c>
      <c r="Q1260" s="40">
        <f t="shared" si="199"/>
        <v>4.851081167838319</v>
      </c>
      <c r="R1260" s="9">
        <v>2213</v>
      </c>
      <c r="S1260" s="9">
        <f t="shared" si="197"/>
        <v>2186</v>
      </c>
      <c r="T1260" s="90">
        <f t="shared" si="192"/>
        <v>251</v>
      </c>
      <c r="U1260" s="90">
        <f t="shared" si="193"/>
        <v>251</v>
      </c>
      <c r="V1260" s="373">
        <f t="shared" si="194"/>
        <v>1251</v>
      </c>
      <c r="W1260" s="90">
        <f t="shared" si="195"/>
        <v>2186</v>
      </c>
      <c r="X1260" s="90">
        <f t="shared" si="196"/>
        <v>35665890.654100001</v>
      </c>
      <c r="Y1260" s="141">
        <f t="shared" si="198"/>
        <v>1251</v>
      </c>
      <c r="Z1260" s="298">
        <v>251</v>
      </c>
      <c r="AA1260" s="299">
        <v>251</v>
      </c>
      <c r="AB1260" s="299">
        <v>1251</v>
      </c>
      <c r="AC1260" s="301">
        <v>2186</v>
      </c>
      <c r="AD1260" s="301">
        <v>35665890.654100001</v>
      </c>
      <c r="AE1260" s="126"/>
      <c r="AF1260" s="298"/>
      <c r="AG1260" s="299"/>
      <c r="AH1260" s="299"/>
      <c r="AI1260" s="301"/>
      <c r="AJ1260" s="301"/>
      <c r="AK1260" s="426"/>
      <c r="AL1260" s="298"/>
      <c r="AM1260" s="299"/>
      <c r="AN1260" s="299"/>
      <c r="AO1260" s="301"/>
      <c r="AP1260" s="301"/>
      <c r="AQ1260" s="426"/>
      <c r="AR1260" s="298"/>
      <c r="AS1260" s="299"/>
      <c r="AT1260" s="299"/>
      <c r="AU1260" s="301"/>
      <c r="AV1260" s="301"/>
      <c r="AW1260" s="88"/>
      <c r="AX1260" s="298"/>
      <c r="AY1260" s="299"/>
      <c r="AZ1260" s="299"/>
      <c r="BA1260" s="301"/>
      <c r="BB1260" s="301"/>
      <c r="BC1260" s="426"/>
      <c r="BD1260" s="298"/>
      <c r="BE1260" s="299"/>
      <c r="BF1260" s="299"/>
      <c r="BG1260" s="301"/>
      <c r="BH1260" s="301"/>
      <c r="BI1260" s="88"/>
      <c r="BJ1260" s="298"/>
      <c r="BK1260" s="299"/>
      <c r="BL1260" s="299"/>
      <c r="BM1260" s="301"/>
      <c r="BN1260" s="301"/>
      <c r="BO1260" s="88"/>
      <c r="BP1260" s="9"/>
      <c r="BS1260" s="81"/>
      <c r="BT1260" s="81"/>
      <c r="BV1260" s="9"/>
      <c r="BY1260" s="81"/>
      <c r="BZ1260" s="81"/>
      <c r="CB1260" s="9"/>
      <c r="CE1260" s="81"/>
      <c r="CF1260" s="81"/>
      <c r="CH1260" s="9"/>
      <c r="CK1260" s="81"/>
      <c r="CL1260" s="81"/>
      <c r="CR1260" s="9"/>
      <c r="CS1260" s="9"/>
      <c r="CT1260" s="9"/>
      <c r="CU1260" s="9"/>
      <c r="CV1260" s="9"/>
      <c r="CW1260" s="129"/>
      <c r="CX1260" s="9"/>
    </row>
    <row r="1261" spans="1:102">
      <c r="A1261" s="6" t="str">
        <f t="shared" si="191"/>
        <v>02510873</v>
      </c>
      <c r="B1261" s="6" t="s">
        <v>1901</v>
      </c>
      <c r="C1261" s="6" t="s">
        <v>2083</v>
      </c>
      <c r="D1261" s="6">
        <v>1252</v>
      </c>
      <c r="E1261" s="6">
        <v>251</v>
      </c>
      <c r="F1261" s="6" t="s">
        <v>1369</v>
      </c>
      <c r="G1261" s="6">
        <v>873</v>
      </c>
      <c r="H1261" s="6" t="s">
        <v>1113</v>
      </c>
      <c r="I1261" s="33">
        <v>2831151.5469703567</v>
      </c>
      <c r="J1261" s="88">
        <v>7.5136471014573866E-2</v>
      </c>
      <c r="K1261" s="89">
        <f t="shared" si="200"/>
        <v>2900799.784035142</v>
      </c>
      <c r="L1261" s="88">
        <f>IF(K1264&gt;0, K1261/K1264, 0)</f>
        <v>7.5215159794131611E-2</v>
      </c>
      <c r="M1261" s="58"/>
      <c r="N1261" s="9">
        <f>ROUND(M1264*L1261,0)</f>
        <v>1391008</v>
      </c>
      <c r="O1261" s="9">
        <v>1325151</v>
      </c>
      <c r="P1261" s="9">
        <f>N1261-O1261</f>
        <v>65857</v>
      </c>
      <c r="Q1261" s="40">
        <f t="shared" si="199"/>
        <v>4.9697732560289358</v>
      </c>
      <c r="R1261" s="9">
        <v>136.0000000002</v>
      </c>
      <c r="S1261" s="9">
        <f t="shared" si="197"/>
        <v>139.00000000263</v>
      </c>
      <c r="T1261" s="90">
        <f t="shared" si="192"/>
        <v>251</v>
      </c>
      <c r="U1261" s="90">
        <f t="shared" si="193"/>
        <v>873</v>
      </c>
      <c r="V1261" s="373">
        <f t="shared" si="194"/>
        <v>1252</v>
      </c>
      <c r="W1261" s="90">
        <f t="shared" si="195"/>
        <v>139.00000000263</v>
      </c>
      <c r="X1261" s="90">
        <f t="shared" si="196"/>
        <v>2900799.784035142</v>
      </c>
      <c r="Y1261" s="141">
        <f t="shared" si="198"/>
        <v>1252</v>
      </c>
      <c r="Z1261" s="298">
        <v>251</v>
      </c>
      <c r="AA1261" s="299">
        <v>873</v>
      </c>
      <c r="AB1261" s="299">
        <v>1252</v>
      </c>
      <c r="AC1261" s="301">
        <v>139.00000000263</v>
      </c>
      <c r="AD1261" s="301">
        <v>2900799.784035142</v>
      </c>
      <c r="AE1261" s="126"/>
      <c r="AF1261" s="298"/>
      <c r="AG1261" s="299"/>
      <c r="AH1261" s="299"/>
      <c r="AI1261" s="301"/>
      <c r="AJ1261" s="301"/>
      <c r="AK1261" s="426"/>
      <c r="AL1261" s="298"/>
      <c r="AM1261" s="299"/>
      <c r="AN1261" s="299"/>
      <c r="AO1261" s="301"/>
      <c r="AP1261" s="301"/>
      <c r="AQ1261" s="426"/>
      <c r="AR1261" s="298"/>
      <c r="AS1261" s="299"/>
      <c r="AT1261" s="299"/>
      <c r="AU1261" s="301"/>
      <c r="AV1261" s="301"/>
      <c r="AW1261" s="88"/>
      <c r="AX1261" s="298"/>
      <c r="AY1261" s="299"/>
      <c r="AZ1261" s="299"/>
      <c r="BA1261" s="301"/>
      <c r="BB1261" s="301"/>
      <c r="BC1261" s="426"/>
      <c r="BD1261" s="298"/>
      <c r="BE1261" s="299"/>
      <c r="BF1261" s="299"/>
      <c r="BG1261" s="301"/>
      <c r="BH1261" s="301"/>
      <c r="BI1261" s="88"/>
      <c r="BJ1261" s="298"/>
      <c r="BK1261" s="299"/>
      <c r="BL1261" s="299"/>
      <c r="BM1261" s="301"/>
      <c r="BN1261" s="301"/>
      <c r="BO1261" s="88"/>
      <c r="BP1261" s="9"/>
      <c r="BS1261" s="81"/>
      <c r="BT1261" s="81"/>
      <c r="BV1261" s="9"/>
      <c r="BY1261" s="81"/>
      <c r="BZ1261" s="81"/>
      <c r="CB1261" s="9"/>
      <c r="CE1261" s="81"/>
      <c r="CF1261" s="81"/>
      <c r="CH1261" s="9"/>
      <c r="CK1261" s="81"/>
      <c r="CL1261" s="81"/>
      <c r="CR1261" s="9"/>
      <c r="CS1261" s="9"/>
      <c r="CT1261" s="9"/>
      <c r="CU1261" s="9"/>
      <c r="CV1261" s="9"/>
      <c r="CW1261" s="129"/>
      <c r="CX1261" s="9"/>
    </row>
    <row r="1262" spans="1:102">
      <c r="A1262" s="6" t="str">
        <f t="shared" si="191"/>
        <v>02510998</v>
      </c>
      <c r="B1262" s="6" t="s">
        <v>1901</v>
      </c>
      <c r="C1262" s="6" t="s">
        <v>2091</v>
      </c>
      <c r="D1262" s="6">
        <v>1253</v>
      </c>
      <c r="E1262" s="6">
        <v>251</v>
      </c>
      <c r="F1262" s="6" t="s">
        <v>1547</v>
      </c>
      <c r="G1262" s="6">
        <v>998</v>
      </c>
      <c r="H1262" s="6" t="s">
        <v>1547</v>
      </c>
      <c r="I1262" s="33">
        <v>0</v>
      </c>
      <c r="J1262" s="88">
        <v>0</v>
      </c>
      <c r="K1262" s="89">
        <f t="shared" si="200"/>
        <v>0</v>
      </c>
      <c r="L1262" s="88">
        <f>IF(K1264&gt;0, K1262/K1264, 0)</f>
        <v>0</v>
      </c>
      <c r="M1262" s="58"/>
      <c r="N1262" s="9">
        <f>ROUND(M1264*L1262,0)</f>
        <v>0</v>
      </c>
      <c r="O1262" s="9">
        <v>0</v>
      </c>
      <c r="P1262" s="9">
        <f>N1262-O1262</f>
        <v>0</v>
      </c>
      <c r="Q1262" s="40">
        <f t="shared" si="199"/>
        <v>0</v>
      </c>
      <c r="R1262" s="9">
        <v>0</v>
      </c>
      <c r="S1262" s="9">
        <f t="shared" si="197"/>
        <v>0</v>
      </c>
      <c r="T1262" s="90">
        <f t="shared" si="192"/>
        <v>251</v>
      </c>
      <c r="U1262" s="90">
        <f t="shared" si="193"/>
        <v>998</v>
      </c>
      <c r="V1262" s="373">
        <f t="shared" si="194"/>
        <v>1253</v>
      </c>
      <c r="W1262" s="90">
        <f t="shared" si="195"/>
        <v>0</v>
      </c>
      <c r="X1262" s="90">
        <f t="shared" si="196"/>
        <v>0</v>
      </c>
      <c r="Y1262" s="141">
        <f t="shared" si="198"/>
        <v>1253</v>
      </c>
      <c r="Z1262" s="298">
        <v>251</v>
      </c>
      <c r="AA1262" s="299">
        <v>998</v>
      </c>
      <c r="AB1262" s="299">
        <v>1253</v>
      </c>
      <c r="AC1262" s="301">
        <v>0</v>
      </c>
      <c r="AD1262" s="301">
        <v>0</v>
      </c>
      <c r="AE1262" s="126"/>
      <c r="AF1262" s="298"/>
      <c r="AG1262" s="299"/>
      <c r="AH1262" s="299"/>
      <c r="AI1262" s="301"/>
      <c r="AJ1262" s="301"/>
      <c r="AK1262" s="426"/>
      <c r="AL1262" s="298"/>
      <c r="AM1262" s="299"/>
      <c r="AN1262" s="299"/>
      <c r="AO1262" s="301"/>
      <c r="AP1262" s="301"/>
      <c r="AQ1262" s="426"/>
      <c r="AR1262" s="298"/>
      <c r="AS1262" s="299"/>
      <c r="AT1262" s="299"/>
      <c r="AU1262" s="301"/>
      <c r="AV1262" s="301"/>
      <c r="AW1262" s="88"/>
      <c r="AX1262" s="298"/>
      <c r="AY1262" s="299"/>
      <c r="AZ1262" s="299"/>
      <c r="BA1262" s="301"/>
      <c r="BB1262" s="301"/>
      <c r="BC1262" s="426"/>
      <c r="BD1262" s="298"/>
      <c r="BE1262" s="299"/>
      <c r="BF1262" s="299"/>
      <c r="BG1262" s="301"/>
      <c r="BH1262" s="301"/>
      <c r="BI1262" s="88"/>
      <c r="BJ1262" s="298"/>
      <c r="BK1262" s="299"/>
      <c r="BL1262" s="299"/>
      <c r="BM1262" s="301"/>
      <c r="BN1262" s="301"/>
      <c r="BO1262" s="88"/>
      <c r="BP1262" s="9"/>
      <c r="BS1262" s="81"/>
      <c r="BT1262" s="81"/>
      <c r="BV1262" s="9"/>
      <c r="BY1262" s="81"/>
      <c r="BZ1262" s="81"/>
      <c r="CB1262" s="9"/>
      <c r="CE1262" s="81"/>
      <c r="CF1262" s="81"/>
      <c r="CH1262" s="9"/>
      <c r="CK1262" s="81"/>
      <c r="CL1262" s="81"/>
      <c r="CR1262" s="9"/>
      <c r="CS1262" s="9"/>
      <c r="CT1262" s="9"/>
      <c r="CU1262" s="9"/>
      <c r="CV1262" s="9"/>
      <c r="CW1262" s="129"/>
      <c r="CX1262" s="9"/>
    </row>
    <row r="1263" spans="1:102">
      <c r="A1263" s="6" t="str">
        <f t="shared" si="191"/>
        <v>02510998</v>
      </c>
      <c r="B1263" s="6" t="s">
        <v>1901</v>
      </c>
      <c r="C1263" s="6" t="s">
        <v>2091</v>
      </c>
      <c r="D1263" s="6">
        <v>1254</v>
      </c>
      <c r="E1263" s="6">
        <v>251</v>
      </c>
      <c r="F1263" s="6" t="s">
        <v>1547</v>
      </c>
      <c r="G1263" s="6">
        <v>998</v>
      </c>
      <c r="H1263" s="6" t="s">
        <v>1547</v>
      </c>
      <c r="I1263" s="33">
        <v>0</v>
      </c>
      <c r="J1263" s="88">
        <v>0</v>
      </c>
      <c r="K1263" s="89">
        <f t="shared" si="200"/>
        <v>0</v>
      </c>
      <c r="L1263" s="88">
        <f>IF(K1264&gt;0, K1263/K1264, 0)</f>
        <v>0</v>
      </c>
      <c r="M1263" s="58"/>
      <c r="N1263" s="9">
        <f>ROUND(M1264*L1263,0)</f>
        <v>0</v>
      </c>
      <c r="O1263" s="9">
        <v>0</v>
      </c>
      <c r="P1263" s="9">
        <f>N1263-O1263</f>
        <v>0</v>
      </c>
      <c r="Q1263" s="40">
        <f t="shared" si="199"/>
        <v>0</v>
      </c>
      <c r="R1263" s="9">
        <v>0</v>
      </c>
      <c r="S1263" s="9">
        <f t="shared" si="197"/>
        <v>0</v>
      </c>
      <c r="T1263" s="90">
        <f t="shared" si="192"/>
        <v>251</v>
      </c>
      <c r="U1263" s="90">
        <f t="shared" si="193"/>
        <v>998</v>
      </c>
      <c r="V1263" s="373">
        <f t="shared" si="194"/>
        <v>1254</v>
      </c>
      <c r="W1263" s="90">
        <f t="shared" si="195"/>
        <v>0</v>
      </c>
      <c r="X1263" s="90">
        <f t="shared" si="196"/>
        <v>0</v>
      </c>
      <c r="Y1263" s="141">
        <f t="shared" si="198"/>
        <v>1254</v>
      </c>
      <c r="Z1263" s="298">
        <v>251</v>
      </c>
      <c r="AA1263" s="299">
        <v>998</v>
      </c>
      <c r="AB1263" s="299">
        <v>1254</v>
      </c>
      <c r="AC1263" s="301">
        <v>0</v>
      </c>
      <c r="AD1263" s="301">
        <v>0</v>
      </c>
      <c r="AE1263" s="126"/>
      <c r="AF1263" s="298"/>
      <c r="AG1263" s="299"/>
      <c r="AH1263" s="299"/>
      <c r="AI1263" s="301"/>
      <c r="AJ1263" s="301"/>
      <c r="AK1263" s="426"/>
      <c r="AL1263" s="298"/>
      <c r="AM1263" s="299"/>
      <c r="AN1263" s="299"/>
      <c r="AO1263" s="301"/>
      <c r="AP1263" s="301"/>
      <c r="AQ1263" s="426"/>
      <c r="AR1263" s="298"/>
      <c r="AS1263" s="299"/>
      <c r="AT1263" s="299"/>
      <c r="AU1263" s="301"/>
      <c r="AV1263" s="301"/>
      <c r="AW1263" s="88"/>
      <c r="AX1263" s="298"/>
      <c r="AY1263" s="299"/>
      <c r="AZ1263" s="299"/>
      <c r="BA1263" s="301"/>
      <c r="BB1263" s="301"/>
      <c r="BC1263" s="426"/>
      <c r="BD1263" s="298"/>
      <c r="BE1263" s="299"/>
      <c r="BF1263" s="299"/>
      <c r="BG1263" s="301"/>
      <c r="BH1263" s="301"/>
      <c r="BI1263" s="88"/>
      <c r="BJ1263" s="298"/>
      <c r="BK1263" s="299"/>
      <c r="BL1263" s="299"/>
      <c r="BM1263" s="301"/>
      <c r="BN1263" s="301"/>
      <c r="BO1263" s="88"/>
      <c r="BP1263" s="9"/>
      <c r="BS1263" s="81"/>
      <c r="BT1263" s="81"/>
      <c r="BV1263" s="9"/>
      <c r="BY1263" s="81"/>
      <c r="BZ1263" s="81"/>
      <c r="CB1263" s="9"/>
      <c r="CE1263" s="81"/>
      <c r="CF1263" s="81"/>
      <c r="CH1263" s="9"/>
      <c r="CK1263" s="81"/>
      <c r="CL1263" s="81"/>
      <c r="CR1263" s="9"/>
      <c r="CS1263" s="9"/>
      <c r="CT1263" s="9"/>
      <c r="CU1263" s="9"/>
      <c r="CV1263" s="9"/>
      <c r="CW1263" s="129"/>
      <c r="CX1263" s="9"/>
    </row>
    <row r="1264" spans="1:102">
      <c r="A1264" s="6" t="str">
        <f t="shared" si="191"/>
        <v>02510999</v>
      </c>
      <c r="B1264" s="6" t="s">
        <v>1901</v>
      </c>
      <c r="C1264" s="6" t="s">
        <v>2092</v>
      </c>
      <c r="D1264" s="6">
        <v>1255</v>
      </c>
      <c r="E1264" s="10">
        <v>251</v>
      </c>
      <c r="F1264" s="10" t="s">
        <v>1369</v>
      </c>
      <c r="G1264" s="10">
        <v>999</v>
      </c>
      <c r="H1264" s="10" t="s">
        <v>593</v>
      </c>
      <c r="I1264" s="92">
        <v>37680124.029530369</v>
      </c>
      <c r="J1264" s="472">
        <v>0.99999999999999989</v>
      </c>
      <c r="K1264" s="53">
        <f>SUM(K1260:K1263)</f>
        <v>38566690.43813514</v>
      </c>
      <c r="L1264" s="91">
        <f>SUM(L1260:L1263)</f>
        <v>1</v>
      </c>
      <c r="M1264" s="79">
        <f>VLOOKUP(E1264,town351,24)</f>
        <v>18493725</v>
      </c>
      <c r="N1264" s="79">
        <f>SUM(N1260:N1263)</f>
        <v>18493725</v>
      </c>
      <c r="O1264" s="79">
        <v>17636587</v>
      </c>
      <c r="P1264" s="79">
        <f>SUM(P1260:P1263)</f>
        <v>857138</v>
      </c>
      <c r="Q1264" s="39">
        <f t="shared" si="199"/>
        <v>4.8599992731019892</v>
      </c>
      <c r="R1264" s="9">
        <v>2349.0000000002001</v>
      </c>
      <c r="S1264" s="9">
        <f t="shared" si="197"/>
        <v>2325.0000000026298</v>
      </c>
      <c r="T1264" s="90">
        <f t="shared" si="192"/>
        <v>251</v>
      </c>
      <c r="U1264" s="90">
        <f t="shared" si="193"/>
        <v>999</v>
      </c>
      <c r="V1264" s="373">
        <f t="shared" si="194"/>
        <v>1255</v>
      </c>
      <c r="W1264" s="90">
        <f t="shared" si="195"/>
        <v>2325.0000000026298</v>
      </c>
      <c r="X1264" s="90">
        <f t="shared" si="196"/>
        <v>38566690.43813514</v>
      </c>
      <c r="Y1264" s="141">
        <f t="shared" si="198"/>
        <v>1255</v>
      </c>
      <c r="Z1264" s="298">
        <v>251</v>
      </c>
      <c r="AA1264" s="299">
        <v>999</v>
      </c>
      <c r="AB1264" s="299">
        <v>1255</v>
      </c>
      <c r="AC1264" s="301">
        <v>2325.0000000026298</v>
      </c>
      <c r="AD1264" s="301">
        <v>38566690.43813514</v>
      </c>
      <c r="AE1264" s="126"/>
      <c r="AF1264" s="298"/>
      <c r="AG1264" s="299"/>
      <c r="AH1264" s="299"/>
      <c r="AI1264" s="301"/>
      <c r="AJ1264" s="301"/>
      <c r="AK1264" s="426"/>
      <c r="AL1264" s="298"/>
      <c r="AM1264" s="299"/>
      <c r="AN1264" s="299"/>
      <c r="AO1264" s="301"/>
      <c r="AP1264" s="301"/>
      <c r="AQ1264" s="426"/>
      <c r="AR1264" s="298"/>
      <c r="AS1264" s="299"/>
      <c r="AT1264" s="299"/>
      <c r="AU1264" s="301"/>
      <c r="AV1264" s="301"/>
      <c r="AW1264" s="91"/>
      <c r="AX1264" s="298"/>
      <c r="AY1264" s="299"/>
      <c r="AZ1264" s="299"/>
      <c r="BA1264" s="301"/>
      <c r="BB1264" s="301"/>
      <c r="BC1264" s="426"/>
      <c r="BD1264" s="298"/>
      <c r="BE1264" s="299"/>
      <c r="BF1264" s="299"/>
      <c r="BG1264" s="301"/>
      <c r="BH1264" s="301"/>
      <c r="BI1264" s="91"/>
      <c r="BJ1264" s="298"/>
      <c r="BK1264" s="299"/>
      <c r="BL1264" s="299"/>
      <c r="BM1264" s="301"/>
      <c r="BN1264" s="301"/>
      <c r="BO1264" s="91"/>
      <c r="BP1264" s="9"/>
      <c r="BS1264" s="81"/>
      <c r="BT1264" s="81"/>
      <c r="BV1264" s="9"/>
      <c r="BY1264" s="81"/>
      <c r="BZ1264" s="81"/>
      <c r="CB1264" s="9"/>
      <c r="CE1264" s="81"/>
      <c r="CF1264" s="81"/>
      <c r="CH1264" s="9"/>
      <c r="CK1264" s="81"/>
      <c r="CL1264" s="81"/>
      <c r="CR1264" s="9"/>
      <c r="CS1264" s="9"/>
      <c r="CT1264" s="9"/>
      <c r="CU1264" s="9"/>
      <c r="CV1264" s="9"/>
      <c r="CW1264" s="129"/>
      <c r="CX1264" s="9"/>
    </row>
    <row r="1265" spans="1:102">
      <c r="A1265" s="6" t="str">
        <f t="shared" si="191"/>
        <v>02520252</v>
      </c>
      <c r="B1265" s="6" t="s">
        <v>1902</v>
      </c>
      <c r="C1265" s="6" t="s">
        <v>1902</v>
      </c>
      <c r="D1265" s="6">
        <v>1256</v>
      </c>
      <c r="E1265" s="6">
        <v>252</v>
      </c>
      <c r="F1265" s="6" t="s">
        <v>1370</v>
      </c>
      <c r="G1265" s="6">
        <v>252</v>
      </c>
      <c r="H1265" s="6" t="s">
        <v>933</v>
      </c>
      <c r="I1265" s="33">
        <v>8129580.1188599998</v>
      </c>
      <c r="J1265" s="88">
        <v>0.97171509977583193</v>
      </c>
      <c r="K1265" s="89">
        <f>X1265</f>
        <v>7652804.31757</v>
      </c>
      <c r="L1265" s="88">
        <f>IF(K1269&gt;0, K1265/K1269, 0)</f>
        <v>0.96195760157204468</v>
      </c>
      <c r="M1265" s="58"/>
      <c r="N1265" s="9">
        <f>ROUND(M1269*L1265,0)</f>
        <v>6313563</v>
      </c>
      <c r="O1265" s="9">
        <v>6706904</v>
      </c>
      <c r="P1265" s="9">
        <f>N1265-O1265</f>
        <v>-393341</v>
      </c>
      <c r="Q1265" s="40">
        <f t="shared" si="199"/>
        <v>-5.8647179085909089</v>
      </c>
      <c r="R1265" s="9">
        <v>587</v>
      </c>
      <c r="S1265" s="9">
        <f t="shared" si="197"/>
        <v>555</v>
      </c>
      <c r="T1265" s="90">
        <f t="shared" si="192"/>
        <v>252</v>
      </c>
      <c r="U1265" s="90">
        <f t="shared" si="193"/>
        <v>252</v>
      </c>
      <c r="V1265" s="373">
        <f t="shared" si="194"/>
        <v>1256</v>
      </c>
      <c r="W1265" s="90">
        <f t="shared" si="195"/>
        <v>555</v>
      </c>
      <c r="X1265" s="90">
        <f t="shared" si="196"/>
        <v>7652804.31757</v>
      </c>
      <c r="Y1265" s="141">
        <f t="shared" si="198"/>
        <v>1256</v>
      </c>
      <c r="Z1265" s="298">
        <v>252</v>
      </c>
      <c r="AA1265" s="299">
        <v>252</v>
      </c>
      <c r="AB1265" s="299">
        <v>1256</v>
      </c>
      <c r="AC1265" s="301">
        <v>555</v>
      </c>
      <c r="AD1265" s="301">
        <v>7652804.31757</v>
      </c>
      <c r="AE1265" s="126"/>
      <c r="AF1265" s="298"/>
      <c r="AG1265" s="299"/>
      <c r="AH1265" s="299"/>
      <c r="AI1265" s="301"/>
      <c r="AJ1265" s="301"/>
      <c r="AK1265" s="426"/>
      <c r="AL1265" s="298"/>
      <c r="AM1265" s="299"/>
      <c r="AN1265" s="299"/>
      <c r="AO1265" s="301"/>
      <c r="AP1265" s="301"/>
      <c r="AQ1265" s="426"/>
      <c r="AR1265" s="298"/>
      <c r="AS1265" s="299"/>
      <c r="AT1265" s="299"/>
      <c r="AU1265" s="301"/>
      <c r="AV1265" s="301"/>
      <c r="AW1265" s="88"/>
      <c r="AX1265" s="298"/>
      <c r="AY1265" s="299"/>
      <c r="AZ1265" s="299"/>
      <c r="BA1265" s="301"/>
      <c r="BB1265" s="301"/>
      <c r="BC1265" s="426"/>
      <c r="BD1265" s="298"/>
      <c r="BE1265" s="299"/>
      <c r="BF1265" s="299"/>
      <c r="BG1265" s="301"/>
      <c r="BH1265" s="301"/>
      <c r="BI1265" s="88"/>
      <c r="BJ1265" s="298"/>
      <c r="BK1265" s="299"/>
      <c r="BL1265" s="299"/>
      <c r="BM1265" s="301"/>
      <c r="BN1265" s="301"/>
      <c r="BO1265" s="88"/>
      <c r="BP1265" s="9"/>
      <c r="BS1265" s="81"/>
      <c r="BT1265" s="81"/>
      <c r="BV1265" s="9"/>
      <c r="BY1265" s="81"/>
      <c r="BZ1265" s="81"/>
      <c r="CB1265" s="9"/>
      <c r="CE1265" s="81"/>
      <c r="CF1265" s="81"/>
      <c r="CH1265" s="9"/>
      <c r="CK1265" s="81"/>
      <c r="CL1265" s="81"/>
      <c r="CR1265" s="9"/>
      <c r="CS1265" s="9"/>
      <c r="CT1265" s="9"/>
      <c r="CU1265" s="9"/>
      <c r="CV1265" s="9"/>
      <c r="CW1265" s="129"/>
      <c r="CX1265" s="9"/>
    </row>
    <row r="1266" spans="1:102">
      <c r="A1266" s="6" t="str">
        <f t="shared" si="191"/>
        <v>02520817</v>
      </c>
      <c r="B1266" s="6" t="s">
        <v>1902</v>
      </c>
      <c r="C1266" s="6" t="s">
        <v>2067</v>
      </c>
      <c r="D1266" s="6">
        <v>1257</v>
      </c>
      <c r="E1266" s="6">
        <v>252</v>
      </c>
      <c r="F1266" s="6" t="s">
        <v>1370</v>
      </c>
      <c r="G1266" s="6">
        <v>817</v>
      </c>
      <c r="H1266" s="6" t="s">
        <v>1097</v>
      </c>
      <c r="I1266" s="33">
        <v>236637.63440475694</v>
      </c>
      <c r="J1266" s="88">
        <v>2.828490022416804E-2</v>
      </c>
      <c r="K1266" s="89">
        <f t="shared" si="200"/>
        <v>302644.34780119668</v>
      </c>
      <c r="L1266" s="88">
        <f>IF(K1269&gt;0, K1266/K1269, 0)</f>
        <v>3.804239842795535E-2</v>
      </c>
      <c r="M1266" s="58"/>
      <c r="N1266" s="9">
        <f>ROUND(M1269*L1266,0)</f>
        <v>249682</v>
      </c>
      <c r="O1266" s="9">
        <v>195226</v>
      </c>
      <c r="P1266" s="9">
        <f>N1266-O1266</f>
        <v>54456</v>
      </c>
      <c r="Q1266" s="40">
        <f t="shared" si="199"/>
        <v>27.893825617489473</v>
      </c>
      <c r="R1266" s="9">
        <v>12.000000000329999</v>
      </c>
      <c r="S1266" s="9">
        <f t="shared" si="197"/>
        <v>14.999999996249999</v>
      </c>
      <c r="T1266" s="90">
        <f t="shared" si="192"/>
        <v>252</v>
      </c>
      <c r="U1266" s="90">
        <f t="shared" si="193"/>
        <v>817</v>
      </c>
      <c r="V1266" s="373">
        <f t="shared" si="194"/>
        <v>1257</v>
      </c>
      <c r="W1266" s="90">
        <f t="shared" si="195"/>
        <v>14.999999996249999</v>
      </c>
      <c r="X1266" s="90">
        <f t="shared" si="196"/>
        <v>302644.34780119668</v>
      </c>
      <c r="Y1266" s="141">
        <f t="shared" si="198"/>
        <v>1257</v>
      </c>
      <c r="Z1266" s="298">
        <v>252</v>
      </c>
      <c r="AA1266" s="299">
        <v>817</v>
      </c>
      <c r="AB1266" s="299">
        <v>1257</v>
      </c>
      <c r="AC1266" s="301">
        <v>14.999999996249999</v>
      </c>
      <c r="AD1266" s="301">
        <v>302644.34780119668</v>
      </c>
      <c r="AE1266" s="126"/>
      <c r="AF1266" s="298"/>
      <c r="AG1266" s="299"/>
      <c r="AH1266" s="299"/>
      <c r="AI1266" s="301"/>
      <c r="AJ1266" s="301"/>
      <c r="AK1266" s="426"/>
      <c r="AL1266" s="298"/>
      <c r="AM1266" s="299"/>
      <c r="AN1266" s="299"/>
      <c r="AO1266" s="301"/>
      <c r="AP1266" s="301"/>
      <c r="AQ1266" s="426"/>
      <c r="AR1266" s="298"/>
      <c r="AS1266" s="299"/>
      <c r="AT1266" s="299"/>
      <c r="AU1266" s="301"/>
      <c r="AV1266" s="301"/>
      <c r="AW1266" s="88"/>
      <c r="AX1266" s="298"/>
      <c r="AY1266" s="299"/>
      <c r="AZ1266" s="299"/>
      <c r="BA1266" s="301"/>
      <c r="BB1266" s="301"/>
      <c r="BC1266" s="426"/>
      <c r="BD1266" s="298"/>
      <c r="BE1266" s="299"/>
      <c r="BF1266" s="299"/>
      <c r="BG1266" s="301"/>
      <c r="BH1266" s="301"/>
      <c r="BI1266" s="88"/>
      <c r="BJ1266" s="298"/>
      <c r="BK1266" s="299"/>
      <c r="BL1266" s="299"/>
      <c r="BM1266" s="301"/>
      <c r="BN1266" s="301"/>
      <c r="BO1266" s="88"/>
      <c r="BP1266" s="9"/>
      <c r="BS1266" s="81"/>
      <c r="BT1266" s="81"/>
      <c r="BV1266" s="9"/>
      <c r="BY1266" s="81"/>
      <c r="BZ1266" s="81"/>
      <c r="CB1266" s="9"/>
      <c r="CE1266" s="81"/>
      <c r="CF1266" s="81"/>
      <c r="CH1266" s="9"/>
      <c r="CK1266" s="81"/>
      <c r="CL1266" s="81"/>
      <c r="CR1266" s="9"/>
      <c r="CS1266" s="9"/>
      <c r="CT1266" s="9"/>
      <c r="CU1266" s="9"/>
      <c r="CV1266" s="9"/>
      <c r="CW1266" s="129"/>
      <c r="CX1266" s="9"/>
    </row>
    <row r="1267" spans="1:102">
      <c r="A1267" s="6" t="str">
        <f t="shared" si="191"/>
        <v>02520998</v>
      </c>
      <c r="B1267" s="6" t="s">
        <v>1902</v>
      </c>
      <c r="C1267" s="6" t="s">
        <v>2091</v>
      </c>
      <c r="D1267" s="6">
        <v>1258</v>
      </c>
      <c r="E1267" s="6">
        <v>252</v>
      </c>
      <c r="F1267" s="6" t="s">
        <v>1547</v>
      </c>
      <c r="G1267" s="6">
        <v>998</v>
      </c>
      <c r="I1267" s="33">
        <v>0</v>
      </c>
      <c r="J1267" s="88">
        <v>0</v>
      </c>
      <c r="K1267" s="89">
        <f t="shared" si="200"/>
        <v>0</v>
      </c>
      <c r="L1267" s="88">
        <f>IF(K1269&gt;0, K1267/K1269, 0)</f>
        <v>0</v>
      </c>
      <c r="M1267" s="58"/>
      <c r="N1267" s="9">
        <f>ROUND(M1269*L1267,0)</f>
        <v>0</v>
      </c>
      <c r="O1267" s="9">
        <v>0</v>
      </c>
      <c r="P1267" s="9">
        <f>N1267-O1267</f>
        <v>0</v>
      </c>
      <c r="Q1267" s="40">
        <f t="shared" si="199"/>
        <v>0</v>
      </c>
      <c r="R1267" s="9">
        <v>0</v>
      </c>
      <c r="S1267" s="9">
        <f t="shared" si="197"/>
        <v>0</v>
      </c>
      <c r="T1267" s="90">
        <f t="shared" si="192"/>
        <v>252</v>
      </c>
      <c r="U1267" s="90">
        <f t="shared" si="193"/>
        <v>998</v>
      </c>
      <c r="V1267" s="373">
        <f t="shared" si="194"/>
        <v>1258</v>
      </c>
      <c r="W1267" s="90">
        <f t="shared" si="195"/>
        <v>0</v>
      </c>
      <c r="X1267" s="90">
        <f t="shared" si="196"/>
        <v>0</v>
      </c>
      <c r="Y1267" s="141">
        <f t="shared" si="198"/>
        <v>1258</v>
      </c>
      <c r="Z1267" s="298">
        <v>252</v>
      </c>
      <c r="AA1267" s="299">
        <v>998</v>
      </c>
      <c r="AB1267" s="299">
        <v>1258</v>
      </c>
      <c r="AC1267" s="301">
        <v>0</v>
      </c>
      <c r="AD1267" s="301">
        <v>0</v>
      </c>
      <c r="AE1267" s="126"/>
      <c r="AF1267" s="298"/>
      <c r="AG1267" s="299"/>
      <c r="AH1267" s="299"/>
      <c r="AI1267" s="301"/>
      <c r="AJ1267" s="301"/>
      <c r="AK1267" s="426"/>
      <c r="AL1267" s="298"/>
      <c r="AM1267" s="299"/>
      <c r="AN1267" s="299"/>
      <c r="AO1267" s="301"/>
      <c r="AP1267" s="301"/>
      <c r="AQ1267" s="426"/>
      <c r="AR1267" s="298"/>
      <c r="AS1267" s="299"/>
      <c r="AT1267" s="299"/>
      <c r="AU1267" s="301"/>
      <c r="AV1267" s="301"/>
      <c r="AW1267" s="88"/>
      <c r="AX1267" s="298"/>
      <c r="AY1267" s="299"/>
      <c r="AZ1267" s="299"/>
      <c r="BA1267" s="301"/>
      <c r="BB1267" s="301"/>
      <c r="BC1267" s="426"/>
      <c r="BD1267" s="298"/>
      <c r="BE1267" s="299"/>
      <c r="BF1267" s="299"/>
      <c r="BG1267" s="301"/>
      <c r="BH1267" s="301"/>
      <c r="BI1267" s="88"/>
      <c r="BJ1267" s="298"/>
      <c r="BK1267" s="299"/>
      <c r="BL1267" s="299"/>
      <c r="BM1267" s="301"/>
      <c r="BN1267" s="301"/>
      <c r="BO1267" s="88"/>
      <c r="BP1267" s="9"/>
      <c r="BS1267" s="81"/>
      <c r="BT1267" s="81"/>
      <c r="BV1267" s="9"/>
      <c r="BY1267" s="81"/>
      <c r="BZ1267" s="81"/>
      <c r="CB1267" s="9"/>
      <c r="CE1267" s="81"/>
      <c r="CF1267" s="81"/>
      <c r="CH1267" s="9"/>
      <c r="CK1267" s="81"/>
      <c r="CL1267" s="81"/>
      <c r="CR1267" s="9"/>
      <c r="CS1267" s="9"/>
      <c r="CT1267" s="9"/>
      <c r="CU1267" s="9"/>
      <c r="CV1267" s="9"/>
      <c r="CW1267" s="129"/>
      <c r="CX1267" s="9"/>
    </row>
    <row r="1268" spans="1:102">
      <c r="A1268" s="6" t="str">
        <f t="shared" si="191"/>
        <v>02520998</v>
      </c>
      <c r="B1268" s="6" t="s">
        <v>1902</v>
      </c>
      <c r="C1268" s="6" t="s">
        <v>2091</v>
      </c>
      <c r="D1268" s="6">
        <v>1259</v>
      </c>
      <c r="E1268" s="6">
        <v>252</v>
      </c>
      <c r="F1268" s="6" t="s">
        <v>1547</v>
      </c>
      <c r="G1268" s="6">
        <v>998</v>
      </c>
      <c r="H1268" s="6" t="s">
        <v>1547</v>
      </c>
      <c r="I1268" s="33">
        <v>0</v>
      </c>
      <c r="J1268" s="88">
        <v>0</v>
      </c>
      <c r="K1268" s="89">
        <f t="shared" si="200"/>
        <v>0</v>
      </c>
      <c r="L1268" s="88">
        <f>IF(K1269&gt;0, K1268/K1269, 0)</f>
        <v>0</v>
      </c>
      <c r="M1268" s="58"/>
      <c r="N1268" s="9">
        <f>ROUND(M1269*L1268,0)</f>
        <v>0</v>
      </c>
      <c r="O1268" s="9">
        <v>0</v>
      </c>
      <c r="P1268" s="9">
        <f>N1268-O1268</f>
        <v>0</v>
      </c>
      <c r="Q1268" s="40">
        <f t="shared" si="199"/>
        <v>0</v>
      </c>
      <c r="R1268" s="9">
        <v>0</v>
      </c>
      <c r="S1268" s="9">
        <f t="shared" si="197"/>
        <v>0</v>
      </c>
      <c r="T1268" s="90">
        <f t="shared" si="192"/>
        <v>252</v>
      </c>
      <c r="U1268" s="90">
        <f t="shared" si="193"/>
        <v>998</v>
      </c>
      <c r="V1268" s="373">
        <f t="shared" si="194"/>
        <v>1259</v>
      </c>
      <c r="W1268" s="90">
        <f t="shared" si="195"/>
        <v>0</v>
      </c>
      <c r="X1268" s="90">
        <f t="shared" si="196"/>
        <v>0</v>
      </c>
      <c r="Y1268" s="141">
        <f t="shared" si="198"/>
        <v>1259</v>
      </c>
      <c r="Z1268" s="298">
        <v>252</v>
      </c>
      <c r="AA1268" s="299">
        <v>998</v>
      </c>
      <c r="AB1268" s="299">
        <v>1259</v>
      </c>
      <c r="AC1268" s="301">
        <v>0</v>
      </c>
      <c r="AD1268" s="301">
        <v>0</v>
      </c>
      <c r="AE1268" s="126"/>
      <c r="AF1268" s="298"/>
      <c r="AG1268" s="299"/>
      <c r="AH1268" s="299"/>
      <c r="AI1268" s="301"/>
      <c r="AJ1268" s="301"/>
      <c r="AK1268" s="426"/>
      <c r="AL1268" s="298"/>
      <c r="AM1268" s="299"/>
      <c r="AN1268" s="299"/>
      <c r="AO1268" s="301"/>
      <c r="AP1268" s="301"/>
      <c r="AQ1268" s="426"/>
      <c r="AR1268" s="298"/>
      <c r="AS1268" s="299"/>
      <c r="AT1268" s="299"/>
      <c r="AU1268" s="301"/>
      <c r="AV1268" s="301"/>
      <c r="AW1268" s="88"/>
      <c r="AX1268" s="298"/>
      <c r="AY1268" s="299"/>
      <c r="AZ1268" s="299"/>
      <c r="BA1268" s="301"/>
      <c r="BB1268" s="301"/>
      <c r="BC1268" s="426"/>
      <c r="BD1268" s="298"/>
      <c r="BE1268" s="299"/>
      <c r="BF1268" s="299"/>
      <c r="BG1268" s="301"/>
      <c r="BH1268" s="301"/>
      <c r="BI1268" s="88"/>
      <c r="BJ1268" s="298"/>
      <c r="BK1268" s="299"/>
      <c r="BL1268" s="299"/>
      <c r="BM1268" s="301"/>
      <c r="BN1268" s="301"/>
      <c r="BO1268" s="88"/>
      <c r="BP1268" s="9"/>
      <c r="BS1268" s="81"/>
      <c r="BT1268" s="81"/>
      <c r="BV1268" s="9"/>
      <c r="BY1268" s="81"/>
      <c r="BZ1268" s="81"/>
      <c r="CB1268" s="9"/>
      <c r="CE1268" s="81"/>
      <c r="CF1268" s="81"/>
      <c r="CH1268" s="9"/>
      <c r="CK1268" s="81"/>
      <c r="CL1268" s="81"/>
      <c r="CR1268" s="9"/>
      <c r="CS1268" s="9"/>
      <c r="CT1268" s="9"/>
      <c r="CU1268" s="9"/>
      <c r="CV1268" s="9"/>
      <c r="CW1268" s="129"/>
      <c r="CX1268" s="9"/>
    </row>
    <row r="1269" spans="1:102">
      <c r="A1269" s="6" t="str">
        <f t="shared" si="191"/>
        <v>02520999</v>
      </c>
      <c r="B1269" s="6" t="s">
        <v>1902</v>
      </c>
      <c r="C1269" s="6" t="s">
        <v>2092</v>
      </c>
      <c r="D1269" s="6">
        <v>1260</v>
      </c>
      <c r="E1269" s="10">
        <v>252</v>
      </c>
      <c r="F1269" s="10" t="s">
        <v>1370</v>
      </c>
      <c r="G1269" s="10">
        <v>999</v>
      </c>
      <c r="H1269" s="10" t="s">
        <v>593</v>
      </c>
      <c r="I1269" s="92">
        <v>8366217.7532647569</v>
      </c>
      <c r="J1269" s="472">
        <v>1</v>
      </c>
      <c r="K1269" s="53">
        <f>SUM(K1265:K1268)</f>
        <v>7955448.6653711963</v>
      </c>
      <c r="L1269" s="91">
        <f>SUM(L1265:L1268)</f>
        <v>1</v>
      </c>
      <c r="M1269" s="79">
        <f>VLOOKUP(E1269,town351,24)</f>
        <v>6563245</v>
      </c>
      <c r="N1269" s="79">
        <f>SUM(N1265:N1268)</f>
        <v>6563245</v>
      </c>
      <c r="O1269" s="79">
        <v>6902130</v>
      </c>
      <c r="P1269" s="79">
        <f>SUM(P1265:P1268)</f>
        <v>-338885</v>
      </c>
      <c r="Q1269" s="39">
        <f t="shared" si="199"/>
        <v>-4.9098611588017036</v>
      </c>
      <c r="R1269" s="9">
        <v>599.00000000033003</v>
      </c>
      <c r="S1269" s="9">
        <f t="shared" si="197"/>
        <v>569.99999999625004</v>
      </c>
      <c r="T1269" s="90">
        <f t="shared" si="192"/>
        <v>252</v>
      </c>
      <c r="U1269" s="90">
        <f t="shared" si="193"/>
        <v>999</v>
      </c>
      <c r="V1269" s="373">
        <f t="shared" si="194"/>
        <v>1260</v>
      </c>
      <c r="W1269" s="90">
        <f t="shared" si="195"/>
        <v>569.99999999625004</v>
      </c>
      <c r="X1269" s="90">
        <f t="shared" si="196"/>
        <v>7955448.6653711963</v>
      </c>
      <c r="Y1269" s="141">
        <f t="shared" si="198"/>
        <v>1260</v>
      </c>
      <c r="Z1269" s="298">
        <v>252</v>
      </c>
      <c r="AA1269" s="299">
        <v>999</v>
      </c>
      <c r="AB1269" s="299">
        <v>1260</v>
      </c>
      <c r="AC1269" s="301">
        <v>569.99999999625004</v>
      </c>
      <c r="AD1269" s="301">
        <v>7955448.6653711963</v>
      </c>
      <c r="AE1269" s="126"/>
      <c r="AF1269" s="298"/>
      <c r="AG1269" s="299"/>
      <c r="AH1269" s="299"/>
      <c r="AI1269" s="301"/>
      <c r="AJ1269" s="301"/>
      <c r="AK1269" s="426"/>
      <c r="AL1269" s="298"/>
      <c r="AM1269" s="299"/>
      <c r="AN1269" s="299"/>
      <c r="AO1269" s="301"/>
      <c r="AP1269" s="301"/>
      <c r="AQ1269" s="426"/>
      <c r="AR1269" s="298"/>
      <c r="AS1269" s="299"/>
      <c r="AT1269" s="299"/>
      <c r="AU1269" s="301"/>
      <c r="AV1269" s="301"/>
      <c r="AW1269" s="91"/>
      <c r="AX1269" s="298"/>
      <c r="AY1269" s="299"/>
      <c r="AZ1269" s="299"/>
      <c r="BA1269" s="301"/>
      <c r="BB1269" s="301"/>
      <c r="BC1269" s="426"/>
      <c r="BD1269" s="298"/>
      <c r="BE1269" s="299"/>
      <c r="BF1269" s="299"/>
      <c r="BG1269" s="301"/>
      <c r="BH1269" s="301"/>
      <c r="BI1269" s="91"/>
      <c r="BJ1269" s="298"/>
      <c r="BK1269" s="299"/>
      <c r="BL1269" s="299"/>
      <c r="BM1269" s="301"/>
      <c r="BN1269" s="301"/>
      <c r="BO1269" s="91"/>
      <c r="BP1269" s="9"/>
      <c r="BS1269" s="81"/>
      <c r="BT1269" s="81"/>
      <c r="BV1269" s="9"/>
      <c r="BY1269" s="81"/>
      <c r="BZ1269" s="81"/>
      <c r="CB1269" s="9"/>
      <c r="CE1269" s="81"/>
      <c r="CF1269" s="81"/>
      <c r="CH1269" s="9"/>
      <c r="CK1269" s="81"/>
      <c r="CL1269" s="81"/>
      <c r="CR1269" s="9"/>
      <c r="CS1269" s="9"/>
      <c r="CT1269" s="9"/>
      <c r="CU1269" s="9"/>
      <c r="CV1269" s="9"/>
      <c r="CW1269" s="129"/>
      <c r="CX1269" s="9"/>
    </row>
    <row r="1270" spans="1:102">
      <c r="A1270" s="6" t="str">
        <f t="shared" si="191"/>
        <v>02530253</v>
      </c>
      <c r="B1270" s="6" t="s">
        <v>1903</v>
      </c>
      <c r="C1270" s="6" t="s">
        <v>1903</v>
      </c>
      <c r="D1270" s="6">
        <v>1261</v>
      </c>
      <c r="E1270" s="6">
        <v>253</v>
      </c>
      <c r="F1270" s="6" t="s">
        <v>1371</v>
      </c>
      <c r="G1270" s="6">
        <v>253</v>
      </c>
      <c r="H1270" s="6" t="s">
        <v>934</v>
      </c>
      <c r="I1270" s="33">
        <v>751366.82</v>
      </c>
      <c r="J1270" s="88">
        <v>1</v>
      </c>
      <c r="K1270" s="89">
        <f>X1270</f>
        <v>784243.28</v>
      </c>
      <c r="L1270" s="88">
        <f>IF(K1274&gt;0, K1270/K1274, 0)</f>
        <v>1</v>
      </c>
      <c r="M1270" s="58"/>
      <c r="N1270" s="9">
        <f>ROUND(M1274*L1270,0)</f>
        <v>647001</v>
      </c>
      <c r="O1270" s="9">
        <v>619878</v>
      </c>
      <c r="P1270" s="9">
        <f>N1270-O1270</f>
        <v>27123</v>
      </c>
      <c r="Q1270" s="40">
        <f t="shared" si="199"/>
        <v>4.3755384123972778</v>
      </c>
      <c r="R1270" s="9">
        <v>41</v>
      </c>
      <c r="S1270" s="9">
        <f t="shared" si="197"/>
        <v>45</v>
      </c>
      <c r="T1270" s="90">
        <f t="shared" si="192"/>
        <v>253</v>
      </c>
      <c r="U1270" s="90">
        <f t="shared" si="193"/>
        <v>253</v>
      </c>
      <c r="V1270" s="373">
        <f t="shared" si="194"/>
        <v>1261</v>
      </c>
      <c r="W1270" s="90">
        <f t="shared" si="195"/>
        <v>45</v>
      </c>
      <c r="X1270" s="90">
        <f t="shared" si="196"/>
        <v>784243.28</v>
      </c>
      <c r="Y1270" s="141">
        <f t="shared" si="198"/>
        <v>1261</v>
      </c>
      <c r="Z1270" s="298">
        <v>253</v>
      </c>
      <c r="AA1270" s="299">
        <v>253</v>
      </c>
      <c r="AB1270" s="299">
        <v>1261</v>
      </c>
      <c r="AC1270" s="301">
        <v>45</v>
      </c>
      <c r="AD1270" s="301">
        <v>784243.28</v>
      </c>
      <c r="AE1270" s="126"/>
      <c r="AF1270" s="298"/>
      <c r="AG1270" s="299"/>
      <c r="AH1270" s="299"/>
      <c r="AI1270" s="301"/>
      <c r="AJ1270" s="301"/>
      <c r="AK1270" s="426"/>
      <c r="AL1270" s="298"/>
      <c r="AM1270" s="299"/>
      <c r="AN1270" s="299"/>
      <c r="AO1270" s="301"/>
      <c r="AP1270" s="301"/>
      <c r="AQ1270" s="426"/>
      <c r="AR1270" s="298"/>
      <c r="AS1270" s="299"/>
      <c r="AT1270" s="299"/>
      <c r="AU1270" s="301"/>
      <c r="AV1270" s="301"/>
      <c r="AW1270" s="88"/>
      <c r="AX1270" s="298"/>
      <c r="AY1270" s="299"/>
      <c r="AZ1270" s="299"/>
      <c r="BA1270" s="301"/>
      <c r="BB1270" s="301"/>
      <c r="BC1270" s="426"/>
      <c r="BD1270" s="298"/>
      <c r="BE1270" s="299"/>
      <c r="BF1270" s="299"/>
      <c r="BG1270" s="301"/>
      <c r="BH1270" s="301"/>
      <c r="BI1270" s="88"/>
      <c r="BJ1270" s="298"/>
      <c r="BK1270" s="299"/>
      <c r="BL1270" s="299"/>
      <c r="BM1270" s="301"/>
      <c r="BN1270" s="301"/>
      <c r="BO1270" s="88"/>
      <c r="BP1270" s="9"/>
      <c r="BS1270" s="81"/>
      <c r="BT1270" s="81"/>
      <c r="BV1270" s="9"/>
      <c r="BY1270" s="81"/>
      <c r="BZ1270" s="81"/>
      <c r="CB1270" s="9"/>
      <c r="CE1270" s="81"/>
      <c r="CF1270" s="81"/>
      <c r="CH1270" s="9"/>
      <c r="CK1270" s="81"/>
      <c r="CL1270" s="81"/>
      <c r="CR1270" s="9"/>
      <c r="CS1270" s="9"/>
      <c r="CT1270" s="9"/>
      <c r="CU1270" s="9"/>
      <c r="CV1270" s="9"/>
      <c r="CW1270" s="129"/>
      <c r="CX1270" s="9"/>
    </row>
    <row r="1271" spans="1:102">
      <c r="A1271" s="6" t="str">
        <f t="shared" si="191"/>
        <v>02530998</v>
      </c>
      <c r="B1271" s="6" t="s">
        <v>1903</v>
      </c>
      <c r="C1271" s="6" t="s">
        <v>2091</v>
      </c>
      <c r="D1271" s="6">
        <v>1262</v>
      </c>
      <c r="E1271" s="6">
        <v>253</v>
      </c>
      <c r="F1271" s="6" t="s">
        <v>1547</v>
      </c>
      <c r="G1271" s="6">
        <v>998</v>
      </c>
      <c r="H1271" s="6" t="s">
        <v>1547</v>
      </c>
      <c r="I1271" s="33">
        <v>0</v>
      </c>
      <c r="J1271" s="88">
        <v>0</v>
      </c>
      <c r="K1271" s="89">
        <f t="shared" si="200"/>
        <v>0</v>
      </c>
      <c r="L1271" s="88">
        <f>IF(K1274&gt;0, K1271/K1274, 0)</f>
        <v>0</v>
      </c>
      <c r="M1271" s="58"/>
      <c r="N1271" s="9">
        <f>ROUND(M1274*L1271,0)</f>
        <v>0</v>
      </c>
      <c r="O1271" s="9">
        <v>0</v>
      </c>
      <c r="P1271" s="9">
        <f>N1271-O1271</f>
        <v>0</v>
      </c>
      <c r="Q1271" s="40">
        <f t="shared" si="199"/>
        <v>0</v>
      </c>
      <c r="R1271" s="9">
        <v>0</v>
      </c>
      <c r="S1271" s="9">
        <f t="shared" si="197"/>
        <v>0</v>
      </c>
      <c r="T1271" s="90">
        <f t="shared" si="192"/>
        <v>253</v>
      </c>
      <c r="U1271" s="90">
        <f t="shared" si="193"/>
        <v>998</v>
      </c>
      <c r="V1271" s="373">
        <f t="shared" si="194"/>
        <v>1262</v>
      </c>
      <c r="W1271" s="90">
        <f t="shared" si="195"/>
        <v>0</v>
      </c>
      <c r="X1271" s="90">
        <f t="shared" si="196"/>
        <v>0</v>
      </c>
      <c r="Y1271" s="141">
        <f t="shared" si="198"/>
        <v>1262</v>
      </c>
      <c r="Z1271" s="298">
        <v>253</v>
      </c>
      <c r="AA1271" s="299">
        <v>998</v>
      </c>
      <c r="AB1271" s="299">
        <v>1262</v>
      </c>
      <c r="AC1271" s="301">
        <v>0</v>
      </c>
      <c r="AD1271" s="301">
        <v>0</v>
      </c>
      <c r="AE1271" s="126"/>
      <c r="AF1271" s="298"/>
      <c r="AG1271" s="299"/>
      <c r="AH1271" s="299"/>
      <c r="AI1271" s="301"/>
      <c r="AJ1271" s="301"/>
      <c r="AK1271" s="426"/>
      <c r="AL1271" s="298"/>
      <c r="AM1271" s="299"/>
      <c r="AN1271" s="299"/>
      <c r="AO1271" s="301"/>
      <c r="AP1271" s="301"/>
      <c r="AQ1271" s="426"/>
      <c r="AR1271" s="298"/>
      <c r="AS1271" s="299"/>
      <c r="AT1271" s="299"/>
      <c r="AU1271" s="301"/>
      <c r="AV1271" s="301"/>
      <c r="AW1271" s="88"/>
      <c r="AX1271" s="298"/>
      <c r="AY1271" s="299"/>
      <c r="AZ1271" s="299"/>
      <c r="BA1271" s="301"/>
      <c r="BB1271" s="301"/>
      <c r="BC1271" s="426"/>
      <c r="BD1271" s="298"/>
      <c r="BE1271" s="299"/>
      <c r="BF1271" s="299"/>
      <c r="BG1271" s="301"/>
      <c r="BH1271" s="301"/>
      <c r="BI1271" s="88"/>
      <c r="BJ1271" s="298"/>
      <c r="BK1271" s="299"/>
      <c r="BL1271" s="299"/>
      <c r="BM1271" s="301"/>
      <c r="BN1271" s="301"/>
      <c r="BO1271" s="88"/>
      <c r="BP1271" s="9"/>
      <c r="BS1271" s="81"/>
      <c r="BT1271" s="81"/>
      <c r="BV1271" s="9"/>
      <c r="BY1271" s="81"/>
      <c r="BZ1271" s="81"/>
      <c r="CB1271" s="9"/>
      <c r="CE1271" s="81"/>
      <c r="CF1271" s="81"/>
      <c r="CH1271" s="9"/>
      <c r="CK1271" s="81"/>
      <c r="CL1271" s="81"/>
      <c r="CR1271" s="9"/>
      <c r="CS1271" s="9"/>
      <c r="CT1271" s="9"/>
      <c r="CU1271" s="9"/>
      <c r="CV1271" s="9"/>
      <c r="CW1271" s="129"/>
      <c r="CX1271" s="9"/>
    </row>
    <row r="1272" spans="1:102">
      <c r="A1272" s="6" t="str">
        <f t="shared" si="191"/>
        <v>02530998</v>
      </c>
      <c r="B1272" s="6" t="s">
        <v>1903</v>
      </c>
      <c r="C1272" s="6" t="s">
        <v>2091</v>
      </c>
      <c r="D1272" s="6">
        <v>1263</v>
      </c>
      <c r="E1272" s="6">
        <v>253</v>
      </c>
      <c r="F1272" s="6" t="s">
        <v>1547</v>
      </c>
      <c r="G1272" s="6">
        <v>998</v>
      </c>
      <c r="H1272" s="6" t="s">
        <v>1547</v>
      </c>
      <c r="I1272" s="33">
        <v>0</v>
      </c>
      <c r="J1272" s="88">
        <v>0</v>
      </c>
      <c r="K1272" s="89">
        <f t="shared" si="200"/>
        <v>0</v>
      </c>
      <c r="L1272" s="88">
        <f>IF(K1274&gt;0, K1272/K1274, 0)</f>
        <v>0</v>
      </c>
      <c r="M1272" s="58"/>
      <c r="N1272" s="9">
        <f>ROUND(M1274*L1272,0)</f>
        <v>0</v>
      </c>
      <c r="O1272" s="9">
        <v>0</v>
      </c>
      <c r="P1272" s="9">
        <f>N1272-O1272</f>
        <v>0</v>
      </c>
      <c r="Q1272" s="40">
        <f t="shared" si="199"/>
        <v>0</v>
      </c>
      <c r="R1272" s="9">
        <v>0</v>
      </c>
      <c r="S1272" s="9">
        <f t="shared" si="197"/>
        <v>0</v>
      </c>
      <c r="T1272" s="90">
        <f t="shared" si="192"/>
        <v>253</v>
      </c>
      <c r="U1272" s="90">
        <f t="shared" si="193"/>
        <v>998</v>
      </c>
      <c r="V1272" s="373">
        <f t="shared" si="194"/>
        <v>1263</v>
      </c>
      <c r="W1272" s="90">
        <f t="shared" si="195"/>
        <v>0</v>
      </c>
      <c r="X1272" s="90">
        <f t="shared" si="196"/>
        <v>0</v>
      </c>
      <c r="Y1272" s="141">
        <f t="shared" si="198"/>
        <v>1263</v>
      </c>
      <c r="Z1272" s="298">
        <v>253</v>
      </c>
      <c r="AA1272" s="299">
        <v>998</v>
      </c>
      <c r="AB1272" s="299">
        <v>1263</v>
      </c>
      <c r="AC1272" s="301">
        <v>0</v>
      </c>
      <c r="AD1272" s="301">
        <v>0</v>
      </c>
      <c r="AE1272" s="126"/>
      <c r="AF1272" s="298"/>
      <c r="AG1272" s="299"/>
      <c r="AH1272" s="299"/>
      <c r="AI1272" s="301"/>
      <c r="AJ1272" s="301"/>
      <c r="AK1272" s="426"/>
      <c r="AL1272" s="298"/>
      <c r="AM1272" s="299"/>
      <c r="AN1272" s="299"/>
      <c r="AO1272" s="301"/>
      <c r="AP1272" s="301"/>
      <c r="AQ1272" s="426"/>
      <c r="AR1272" s="298"/>
      <c r="AS1272" s="299"/>
      <c r="AT1272" s="299"/>
      <c r="AU1272" s="301"/>
      <c r="AV1272" s="301"/>
      <c r="AW1272" s="88"/>
      <c r="AX1272" s="298"/>
      <c r="AY1272" s="299"/>
      <c r="AZ1272" s="299"/>
      <c r="BA1272" s="301"/>
      <c r="BB1272" s="301"/>
      <c r="BC1272" s="426"/>
      <c r="BD1272" s="298"/>
      <c r="BE1272" s="299"/>
      <c r="BF1272" s="299"/>
      <c r="BG1272" s="301"/>
      <c r="BH1272" s="301"/>
      <c r="BI1272" s="88"/>
      <c r="BJ1272" s="298"/>
      <c r="BK1272" s="299"/>
      <c r="BL1272" s="299"/>
      <c r="BM1272" s="301"/>
      <c r="BN1272" s="301"/>
      <c r="BO1272" s="88"/>
      <c r="BP1272" s="9"/>
      <c r="BS1272" s="81"/>
      <c r="BT1272" s="81"/>
      <c r="BV1272" s="9"/>
      <c r="BY1272" s="81"/>
      <c r="BZ1272" s="81"/>
      <c r="CB1272" s="9"/>
      <c r="CE1272" s="81"/>
      <c r="CF1272" s="81"/>
      <c r="CH1272" s="9"/>
      <c r="CK1272" s="81"/>
      <c r="CL1272" s="81"/>
      <c r="CR1272" s="9"/>
      <c r="CS1272" s="9"/>
      <c r="CT1272" s="9"/>
      <c r="CU1272" s="9"/>
      <c r="CV1272" s="9"/>
      <c r="CW1272" s="129"/>
      <c r="CX1272" s="9"/>
    </row>
    <row r="1273" spans="1:102">
      <c r="A1273" s="6" t="str">
        <f t="shared" si="191"/>
        <v>02530998</v>
      </c>
      <c r="B1273" s="6" t="s">
        <v>1903</v>
      </c>
      <c r="C1273" s="6" t="s">
        <v>2091</v>
      </c>
      <c r="D1273" s="6">
        <v>1264</v>
      </c>
      <c r="E1273" s="6">
        <v>253</v>
      </c>
      <c r="F1273" s="6" t="s">
        <v>1547</v>
      </c>
      <c r="G1273" s="6">
        <v>998</v>
      </c>
      <c r="H1273" s="6" t="s">
        <v>1547</v>
      </c>
      <c r="I1273" s="33">
        <v>0</v>
      </c>
      <c r="J1273" s="88">
        <v>0</v>
      </c>
      <c r="K1273" s="89">
        <f t="shared" si="200"/>
        <v>0</v>
      </c>
      <c r="L1273" s="88">
        <f>IF(K1274&gt;0, K1273/K1274, 0)</f>
        <v>0</v>
      </c>
      <c r="M1273" s="58"/>
      <c r="N1273" s="9">
        <f>ROUND(M1274*L1273,0)</f>
        <v>0</v>
      </c>
      <c r="O1273" s="9">
        <v>0</v>
      </c>
      <c r="P1273" s="9">
        <f>N1273-O1273</f>
        <v>0</v>
      </c>
      <c r="Q1273" s="40">
        <f t="shared" si="199"/>
        <v>0</v>
      </c>
      <c r="R1273" s="9">
        <v>0</v>
      </c>
      <c r="S1273" s="9">
        <f t="shared" si="197"/>
        <v>0</v>
      </c>
      <c r="T1273" s="90">
        <f t="shared" si="192"/>
        <v>253</v>
      </c>
      <c r="U1273" s="90">
        <f t="shared" si="193"/>
        <v>998</v>
      </c>
      <c r="V1273" s="373">
        <f t="shared" si="194"/>
        <v>1264</v>
      </c>
      <c r="W1273" s="90">
        <f t="shared" si="195"/>
        <v>0</v>
      </c>
      <c r="X1273" s="90">
        <f t="shared" si="196"/>
        <v>0</v>
      </c>
      <c r="Y1273" s="141">
        <f t="shared" si="198"/>
        <v>1264</v>
      </c>
      <c r="Z1273" s="298">
        <v>253</v>
      </c>
      <c r="AA1273" s="299">
        <v>998</v>
      </c>
      <c r="AB1273" s="299">
        <v>1264</v>
      </c>
      <c r="AC1273" s="301">
        <v>0</v>
      </c>
      <c r="AD1273" s="301">
        <v>0</v>
      </c>
      <c r="AE1273" s="126"/>
      <c r="AF1273" s="298"/>
      <c r="AG1273" s="299"/>
      <c r="AH1273" s="299"/>
      <c r="AI1273" s="301"/>
      <c r="AJ1273" s="301"/>
      <c r="AK1273" s="426"/>
      <c r="AL1273" s="298"/>
      <c r="AM1273" s="299"/>
      <c r="AN1273" s="299"/>
      <c r="AO1273" s="301"/>
      <c r="AP1273" s="301"/>
      <c r="AQ1273" s="426"/>
      <c r="AR1273" s="298"/>
      <c r="AS1273" s="299"/>
      <c r="AT1273" s="299"/>
      <c r="AU1273" s="301"/>
      <c r="AV1273" s="301"/>
      <c r="AW1273" s="88"/>
      <c r="AX1273" s="298"/>
      <c r="AY1273" s="299"/>
      <c r="AZ1273" s="299"/>
      <c r="BA1273" s="301"/>
      <c r="BB1273" s="301"/>
      <c r="BC1273" s="426"/>
      <c r="BD1273" s="298"/>
      <c r="BE1273" s="299"/>
      <c r="BF1273" s="299"/>
      <c r="BG1273" s="301"/>
      <c r="BH1273" s="301"/>
      <c r="BI1273" s="88"/>
      <c r="BJ1273" s="298"/>
      <c r="BK1273" s="299"/>
      <c r="BL1273" s="299"/>
      <c r="BM1273" s="301"/>
      <c r="BN1273" s="301"/>
      <c r="BO1273" s="88"/>
      <c r="BP1273" s="9"/>
      <c r="BS1273" s="81"/>
      <c r="BT1273" s="81"/>
      <c r="BV1273" s="9"/>
      <c r="BY1273" s="81"/>
      <c r="BZ1273" s="81"/>
      <c r="CB1273" s="9"/>
      <c r="CE1273" s="81"/>
      <c r="CF1273" s="81"/>
      <c r="CH1273" s="9"/>
      <c r="CK1273" s="81"/>
      <c r="CL1273" s="81"/>
      <c r="CR1273" s="9"/>
      <c r="CS1273" s="9"/>
      <c r="CT1273" s="9"/>
      <c r="CU1273" s="9"/>
      <c r="CV1273" s="9"/>
      <c r="CW1273" s="129"/>
      <c r="CX1273" s="9"/>
    </row>
    <row r="1274" spans="1:102">
      <c r="A1274" s="6" t="str">
        <f t="shared" si="191"/>
        <v>02530999</v>
      </c>
      <c r="B1274" s="6" t="s">
        <v>1903</v>
      </c>
      <c r="C1274" s="6" t="s">
        <v>2092</v>
      </c>
      <c r="D1274" s="6">
        <v>1265</v>
      </c>
      <c r="E1274" s="10">
        <v>253</v>
      </c>
      <c r="F1274" s="10" t="s">
        <v>1371</v>
      </c>
      <c r="G1274" s="10">
        <v>999</v>
      </c>
      <c r="H1274" s="10" t="s">
        <v>593</v>
      </c>
      <c r="I1274" s="92">
        <v>751366.82</v>
      </c>
      <c r="J1274" s="472">
        <v>1</v>
      </c>
      <c r="K1274" s="53">
        <f>SUM(K1270:K1273)</f>
        <v>784243.28</v>
      </c>
      <c r="L1274" s="91">
        <f>SUM(L1270:L1273)</f>
        <v>1</v>
      </c>
      <c r="M1274" s="79">
        <f>VLOOKUP(E1274,town351,24)</f>
        <v>647001</v>
      </c>
      <c r="N1274" s="79">
        <f>SUM(N1270:N1273)</f>
        <v>647001</v>
      </c>
      <c r="O1274" s="79">
        <v>619878</v>
      </c>
      <c r="P1274" s="79">
        <f>SUM(P1270:P1273)</f>
        <v>27123</v>
      </c>
      <c r="Q1274" s="39">
        <f t="shared" si="199"/>
        <v>4.3755384123972778</v>
      </c>
      <c r="R1274" s="9">
        <v>41</v>
      </c>
      <c r="S1274" s="9">
        <f t="shared" si="197"/>
        <v>45</v>
      </c>
      <c r="T1274" s="90">
        <f t="shared" si="192"/>
        <v>253</v>
      </c>
      <c r="U1274" s="90">
        <f t="shared" si="193"/>
        <v>999</v>
      </c>
      <c r="V1274" s="373">
        <f t="shared" si="194"/>
        <v>1265</v>
      </c>
      <c r="W1274" s="90">
        <f t="shared" si="195"/>
        <v>45</v>
      </c>
      <c r="X1274" s="90">
        <f t="shared" si="196"/>
        <v>784243.28</v>
      </c>
      <c r="Y1274" s="141">
        <f t="shared" si="198"/>
        <v>1265</v>
      </c>
      <c r="Z1274" s="298">
        <v>253</v>
      </c>
      <c r="AA1274" s="299">
        <v>999</v>
      </c>
      <c r="AB1274" s="299">
        <v>1265</v>
      </c>
      <c r="AC1274" s="301">
        <v>45</v>
      </c>
      <c r="AD1274" s="301">
        <v>784243.28</v>
      </c>
      <c r="AE1274" s="126"/>
      <c r="AF1274" s="298"/>
      <c r="AG1274" s="299"/>
      <c r="AH1274" s="299"/>
      <c r="AI1274" s="301"/>
      <c r="AJ1274" s="301"/>
      <c r="AK1274" s="426"/>
      <c r="AL1274" s="298"/>
      <c r="AM1274" s="299"/>
      <c r="AN1274" s="299"/>
      <c r="AO1274" s="301"/>
      <c r="AP1274" s="301"/>
      <c r="AQ1274" s="426"/>
      <c r="AR1274" s="298"/>
      <c r="AS1274" s="299"/>
      <c r="AT1274" s="299"/>
      <c r="AU1274" s="301"/>
      <c r="AV1274" s="301"/>
      <c r="AW1274" s="91"/>
      <c r="AX1274" s="298"/>
      <c r="AY1274" s="299"/>
      <c r="AZ1274" s="299"/>
      <c r="BA1274" s="301"/>
      <c r="BB1274" s="301"/>
      <c r="BC1274" s="426"/>
      <c r="BD1274" s="298"/>
      <c r="BE1274" s="299"/>
      <c r="BF1274" s="299"/>
      <c r="BG1274" s="301"/>
      <c r="BH1274" s="301"/>
      <c r="BI1274" s="91"/>
      <c r="BJ1274" s="298"/>
      <c r="BK1274" s="299"/>
      <c r="BL1274" s="299"/>
      <c r="BM1274" s="301"/>
      <c r="BN1274" s="301"/>
      <c r="BO1274" s="91"/>
      <c r="BP1274" s="9"/>
      <c r="BS1274" s="81"/>
      <c r="BT1274" s="81"/>
      <c r="BV1274" s="9"/>
      <c r="BY1274" s="81"/>
      <c r="BZ1274" s="81"/>
      <c r="CB1274" s="9"/>
      <c r="CE1274" s="81"/>
      <c r="CF1274" s="81"/>
      <c r="CH1274" s="9"/>
      <c r="CK1274" s="81"/>
      <c r="CL1274" s="81"/>
      <c r="CR1274" s="9"/>
      <c r="CS1274" s="9"/>
      <c r="CT1274" s="9"/>
      <c r="CU1274" s="9"/>
      <c r="CV1274" s="9"/>
      <c r="CW1274" s="129"/>
      <c r="CX1274" s="9"/>
    </row>
    <row r="1275" spans="1:102">
      <c r="A1275" s="6" t="str">
        <f t="shared" si="191"/>
        <v>02540254</v>
      </c>
      <c r="B1275" s="6" t="s">
        <v>1904</v>
      </c>
      <c r="C1275" s="6" t="s">
        <v>1904</v>
      </c>
      <c r="D1275" s="6">
        <v>1266</v>
      </c>
      <c r="E1275" s="6">
        <v>254</v>
      </c>
      <c r="F1275" s="6" t="s">
        <v>1372</v>
      </c>
      <c r="G1275" s="6">
        <v>254</v>
      </c>
      <c r="H1275" s="6" t="s">
        <v>935</v>
      </c>
      <c r="I1275" s="33">
        <v>102026.38446</v>
      </c>
      <c r="J1275" s="88">
        <v>9.712732958471585E-3</v>
      </c>
      <c r="K1275" s="89">
        <f>X1275</f>
        <v>86837.768100000001</v>
      </c>
      <c r="L1275" s="88">
        <f>IF(K1279&gt;0, K1275/K1279, 0)</f>
        <v>8.3438112156503756E-3</v>
      </c>
      <c r="M1275" s="58"/>
      <c r="N1275" s="9">
        <f>ROUND(M1279*L1275,0)</f>
        <v>67825</v>
      </c>
      <c r="O1275" s="9">
        <v>75107</v>
      </c>
      <c r="P1275" s="9">
        <f>N1275-O1275</f>
        <v>-7282</v>
      </c>
      <c r="Q1275" s="40">
        <f t="shared" si="199"/>
        <v>-9.6955010851185648</v>
      </c>
      <c r="R1275" s="9">
        <v>6</v>
      </c>
      <c r="S1275" s="9">
        <f t="shared" si="197"/>
        <v>5</v>
      </c>
      <c r="T1275" s="90">
        <f t="shared" si="192"/>
        <v>254</v>
      </c>
      <c r="U1275" s="90">
        <f t="shared" si="193"/>
        <v>254</v>
      </c>
      <c r="V1275" s="373">
        <f t="shared" si="194"/>
        <v>1266</v>
      </c>
      <c r="W1275" s="90">
        <f t="shared" si="195"/>
        <v>5</v>
      </c>
      <c r="X1275" s="90">
        <f t="shared" si="196"/>
        <v>86837.768100000001</v>
      </c>
      <c r="Y1275" s="141">
        <f t="shared" si="198"/>
        <v>1266</v>
      </c>
      <c r="Z1275" s="298">
        <v>254</v>
      </c>
      <c r="AA1275" s="299">
        <v>254</v>
      </c>
      <c r="AB1275" s="299">
        <v>1266</v>
      </c>
      <c r="AC1275" s="301">
        <v>5</v>
      </c>
      <c r="AD1275" s="301">
        <v>86837.768100000001</v>
      </c>
      <c r="AE1275" s="126"/>
      <c r="AF1275" s="298"/>
      <c r="AG1275" s="299"/>
      <c r="AH1275" s="299"/>
      <c r="AI1275" s="301"/>
      <c r="AJ1275" s="301"/>
      <c r="AK1275" s="426"/>
      <c r="AL1275" s="298"/>
      <c r="AM1275" s="299"/>
      <c r="AN1275" s="299"/>
      <c r="AO1275" s="301"/>
      <c r="AP1275" s="301"/>
      <c r="AQ1275" s="426"/>
      <c r="AR1275" s="298"/>
      <c r="AS1275" s="299"/>
      <c r="AT1275" s="299"/>
      <c r="AU1275" s="301"/>
      <c r="AV1275" s="301"/>
      <c r="AW1275" s="88"/>
      <c r="AX1275" s="298"/>
      <c r="AY1275" s="299"/>
      <c r="AZ1275" s="299"/>
      <c r="BA1275" s="301"/>
      <c r="BB1275" s="301"/>
      <c r="BC1275" s="426"/>
      <c r="BD1275" s="298"/>
      <c r="BE1275" s="299"/>
      <c r="BF1275" s="299"/>
      <c r="BG1275" s="301"/>
      <c r="BH1275" s="301"/>
      <c r="BI1275" s="88"/>
      <c r="BJ1275" s="298"/>
      <c r="BK1275" s="299"/>
      <c r="BL1275" s="299"/>
      <c r="BM1275" s="301"/>
      <c r="BN1275" s="301"/>
      <c r="BO1275" s="88"/>
      <c r="BP1275" s="9"/>
      <c r="BS1275" s="81"/>
      <c r="BT1275" s="81"/>
      <c r="BV1275" s="9"/>
      <c r="BY1275" s="81"/>
      <c r="BZ1275" s="81"/>
      <c r="CB1275" s="9"/>
      <c r="CE1275" s="81"/>
      <c r="CF1275" s="81"/>
      <c r="CH1275" s="9"/>
      <c r="CK1275" s="81"/>
      <c r="CL1275" s="81"/>
      <c r="CR1275" s="9"/>
      <c r="CS1275" s="9"/>
      <c r="CT1275" s="9"/>
      <c r="CU1275" s="9"/>
      <c r="CV1275" s="9"/>
      <c r="CW1275" s="129"/>
      <c r="CX1275" s="9"/>
    </row>
    <row r="1276" spans="1:102">
      <c r="A1276" s="6" t="str">
        <f t="shared" si="191"/>
        <v>02540773</v>
      </c>
      <c r="B1276" s="6" t="s">
        <v>1904</v>
      </c>
      <c r="C1276" s="6" t="s">
        <v>2057</v>
      </c>
      <c r="D1276" s="6">
        <v>1267</v>
      </c>
      <c r="E1276" s="6">
        <v>254</v>
      </c>
      <c r="F1276" s="6" t="s">
        <v>1372</v>
      </c>
      <c r="G1276" s="6">
        <v>773</v>
      </c>
      <c r="H1276" s="6" t="s">
        <v>1087</v>
      </c>
      <c r="I1276" s="33">
        <v>9923979.5564909633</v>
      </c>
      <c r="J1276" s="88">
        <v>0.94474545802725973</v>
      </c>
      <c r="K1276" s="89">
        <f t="shared" si="200"/>
        <v>9893691.7141481172</v>
      </c>
      <c r="L1276" s="88">
        <f>IF(K1279&gt;0, K1276/K1279, 0)</f>
        <v>0.95063585459304589</v>
      </c>
      <c r="M1276" s="58"/>
      <c r="N1276" s="9">
        <f>ROUND(M1279*L1276,0)</f>
        <v>7727538</v>
      </c>
      <c r="O1276" s="9">
        <v>7305609</v>
      </c>
      <c r="P1276" s="9">
        <f>N1276-O1276</f>
        <v>421929</v>
      </c>
      <c r="Q1276" s="40">
        <f t="shared" si="199"/>
        <v>5.7754117418547857</v>
      </c>
      <c r="R1276" s="9">
        <v>725.84081813216005</v>
      </c>
      <c r="S1276" s="9">
        <f t="shared" si="197"/>
        <v>708.04434179555994</v>
      </c>
      <c r="T1276" s="90">
        <f t="shared" si="192"/>
        <v>254</v>
      </c>
      <c r="U1276" s="90">
        <f t="shared" si="193"/>
        <v>773</v>
      </c>
      <c r="V1276" s="373">
        <f t="shared" si="194"/>
        <v>1267</v>
      </c>
      <c r="W1276" s="90">
        <f t="shared" si="195"/>
        <v>708.04434179555994</v>
      </c>
      <c r="X1276" s="90">
        <f t="shared" si="196"/>
        <v>9893691.7141481172</v>
      </c>
      <c r="Y1276" s="141">
        <f t="shared" si="198"/>
        <v>1267</v>
      </c>
      <c r="Z1276" s="298">
        <v>254</v>
      </c>
      <c r="AA1276" s="299">
        <v>773</v>
      </c>
      <c r="AB1276" s="299">
        <v>1267</v>
      </c>
      <c r="AC1276" s="301">
        <v>708.04434179555994</v>
      </c>
      <c r="AD1276" s="301">
        <v>9893691.7141481172</v>
      </c>
      <c r="AE1276" s="126"/>
      <c r="AF1276" s="298"/>
      <c r="AG1276" s="299"/>
      <c r="AH1276" s="299"/>
      <c r="AI1276" s="301"/>
      <c r="AJ1276" s="301"/>
      <c r="AK1276" s="426"/>
      <c r="AL1276" s="298"/>
      <c r="AM1276" s="299"/>
      <c r="AN1276" s="299"/>
      <c r="AO1276" s="301"/>
      <c r="AP1276" s="301"/>
      <c r="AQ1276" s="426"/>
      <c r="AR1276" s="298"/>
      <c r="AS1276" s="299"/>
      <c r="AT1276" s="299"/>
      <c r="AU1276" s="301"/>
      <c r="AV1276" s="301"/>
      <c r="AW1276" s="88"/>
      <c r="AX1276" s="298"/>
      <c r="AY1276" s="299"/>
      <c r="AZ1276" s="299"/>
      <c r="BA1276" s="301"/>
      <c r="BB1276" s="301"/>
      <c r="BC1276" s="426"/>
      <c r="BD1276" s="298"/>
      <c r="BE1276" s="299"/>
      <c r="BF1276" s="299"/>
      <c r="BG1276" s="301"/>
      <c r="BH1276" s="301"/>
      <c r="BI1276" s="88"/>
      <c r="BJ1276" s="298"/>
      <c r="BK1276" s="299"/>
      <c r="BL1276" s="299"/>
      <c r="BM1276" s="301"/>
      <c r="BN1276" s="301"/>
      <c r="BO1276" s="88"/>
      <c r="BP1276" s="9"/>
      <c r="BS1276" s="81"/>
      <c r="BT1276" s="81"/>
      <c r="BV1276" s="9"/>
      <c r="BY1276" s="81"/>
      <c r="BZ1276" s="81"/>
      <c r="CB1276" s="9"/>
      <c r="CE1276" s="81"/>
      <c r="CF1276" s="81"/>
      <c r="CH1276" s="9"/>
      <c r="CK1276" s="81"/>
      <c r="CL1276" s="81"/>
      <c r="CR1276" s="9"/>
      <c r="CS1276" s="9"/>
      <c r="CT1276" s="9"/>
      <c r="CU1276" s="9"/>
      <c r="CV1276" s="9"/>
      <c r="CW1276" s="129"/>
      <c r="CX1276" s="9"/>
    </row>
    <row r="1277" spans="1:102">
      <c r="A1277" s="6" t="str">
        <f t="shared" si="191"/>
        <v>02540885</v>
      </c>
      <c r="B1277" s="6" t="s">
        <v>1904</v>
      </c>
      <c r="C1277" s="6" t="s">
        <v>2087</v>
      </c>
      <c r="D1277" s="6">
        <v>1268</v>
      </c>
      <c r="E1277" s="6">
        <v>254</v>
      </c>
      <c r="F1277" s="6" t="s">
        <v>1372</v>
      </c>
      <c r="G1277" s="6">
        <v>885</v>
      </c>
      <c r="H1277" s="6" t="s">
        <v>1117</v>
      </c>
      <c r="I1277" s="33">
        <v>478389.15528311144</v>
      </c>
      <c r="J1277" s="88">
        <v>4.5541809014268554E-2</v>
      </c>
      <c r="K1277" s="89">
        <f t="shared" si="200"/>
        <v>426916.92990458745</v>
      </c>
      <c r="L1277" s="88">
        <f>IF(K1279&gt;0, K1277/K1279, 0)</f>
        <v>4.1020334191303583E-2</v>
      </c>
      <c r="M1277" s="58"/>
      <c r="N1277" s="9">
        <f>ROUND(M1279*L1277,0)</f>
        <v>333447</v>
      </c>
      <c r="O1277" s="9">
        <v>352170</v>
      </c>
      <c r="P1277" s="9">
        <f>N1277-O1277</f>
        <v>-18723</v>
      </c>
      <c r="Q1277" s="40">
        <f t="shared" si="199"/>
        <v>-5.3164664792571772</v>
      </c>
      <c r="R1277" s="9">
        <v>23.00000000475</v>
      </c>
      <c r="S1277" s="9">
        <f t="shared" si="197"/>
        <v>20.047095765009999</v>
      </c>
      <c r="T1277" s="90">
        <f t="shared" si="192"/>
        <v>254</v>
      </c>
      <c r="U1277" s="90">
        <f t="shared" si="193"/>
        <v>885</v>
      </c>
      <c r="V1277" s="373">
        <f t="shared" si="194"/>
        <v>1268</v>
      </c>
      <c r="W1277" s="90">
        <f t="shared" si="195"/>
        <v>20.047095765009999</v>
      </c>
      <c r="X1277" s="90">
        <f t="shared" si="196"/>
        <v>426916.92990458745</v>
      </c>
      <c r="Y1277" s="141">
        <f t="shared" si="198"/>
        <v>1268</v>
      </c>
      <c r="Z1277" s="298">
        <v>254</v>
      </c>
      <c r="AA1277" s="299">
        <v>885</v>
      </c>
      <c r="AB1277" s="299">
        <v>1268</v>
      </c>
      <c r="AC1277" s="301">
        <v>20.047095765009999</v>
      </c>
      <c r="AD1277" s="301">
        <v>426916.92990458745</v>
      </c>
      <c r="AE1277" s="126"/>
      <c r="AF1277" s="298"/>
      <c r="AG1277" s="299"/>
      <c r="AH1277" s="299"/>
      <c r="AI1277" s="301"/>
      <c r="AJ1277" s="301"/>
      <c r="AK1277" s="426"/>
      <c r="AL1277" s="298"/>
      <c r="AM1277" s="299"/>
      <c r="AN1277" s="299"/>
      <c r="AO1277" s="301"/>
      <c r="AP1277" s="301"/>
      <c r="AQ1277" s="426"/>
      <c r="AR1277" s="298"/>
      <c r="AS1277" s="299"/>
      <c r="AT1277" s="299"/>
      <c r="AU1277" s="301"/>
      <c r="AV1277" s="301"/>
      <c r="AW1277" s="88"/>
      <c r="AX1277" s="298"/>
      <c r="AY1277" s="299"/>
      <c r="AZ1277" s="299"/>
      <c r="BA1277" s="301"/>
      <c r="BB1277" s="301"/>
      <c r="BC1277" s="426"/>
      <c r="BD1277" s="298"/>
      <c r="BE1277" s="299"/>
      <c r="BF1277" s="299"/>
      <c r="BG1277" s="301"/>
      <c r="BH1277" s="301"/>
      <c r="BI1277" s="88"/>
      <c r="BJ1277" s="298"/>
      <c r="BK1277" s="299"/>
      <c r="BL1277" s="299"/>
      <c r="BM1277" s="301"/>
      <c r="BN1277" s="301"/>
      <c r="BO1277" s="88"/>
      <c r="BP1277" s="9"/>
      <c r="BS1277" s="81"/>
      <c r="BT1277" s="81"/>
      <c r="BV1277" s="9"/>
      <c r="BY1277" s="81"/>
      <c r="BZ1277" s="81"/>
      <c r="CB1277" s="9"/>
      <c r="CE1277" s="81"/>
      <c r="CF1277" s="81"/>
      <c r="CH1277" s="9"/>
      <c r="CK1277" s="81"/>
      <c r="CL1277" s="81"/>
      <c r="CR1277" s="9"/>
      <c r="CS1277" s="9"/>
      <c r="CT1277" s="9"/>
      <c r="CU1277" s="9"/>
      <c r="CV1277" s="9"/>
      <c r="CW1277" s="129"/>
      <c r="CX1277" s="9"/>
    </row>
    <row r="1278" spans="1:102">
      <c r="A1278" s="6" t="str">
        <f t="shared" si="191"/>
        <v>02540998</v>
      </c>
      <c r="B1278" s="6" t="s">
        <v>1904</v>
      </c>
      <c r="C1278" s="6" t="s">
        <v>2091</v>
      </c>
      <c r="D1278" s="6">
        <v>1269</v>
      </c>
      <c r="E1278" s="6">
        <v>254</v>
      </c>
      <c r="F1278" s="6" t="s">
        <v>1547</v>
      </c>
      <c r="G1278" s="6">
        <v>998</v>
      </c>
      <c r="I1278" s="33">
        <v>0</v>
      </c>
      <c r="J1278" s="88">
        <v>0</v>
      </c>
      <c r="K1278" s="89">
        <f t="shared" si="200"/>
        <v>0</v>
      </c>
      <c r="L1278" s="88">
        <f>IF(K1279&gt;0, K1278/K1279, 0)</f>
        <v>0</v>
      </c>
      <c r="M1278" s="58"/>
      <c r="N1278" s="9">
        <f>ROUND(M1279*L1278,0)</f>
        <v>0</v>
      </c>
      <c r="O1278" s="9">
        <v>0</v>
      </c>
      <c r="P1278" s="9">
        <f>N1278-O1278</f>
        <v>0</v>
      </c>
      <c r="Q1278" s="40">
        <f t="shared" si="199"/>
        <v>0</v>
      </c>
      <c r="R1278" s="9">
        <v>0</v>
      </c>
      <c r="S1278" s="9">
        <f t="shared" si="197"/>
        <v>0</v>
      </c>
      <c r="T1278" s="90">
        <f t="shared" si="192"/>
        <v>254</v>
      </c>
      <c r="U1278" s="90">
        <f t="shared" si="193"/>
        <v>998</v>
      </c>
      <c r="V1278" s="373">
        <f t="shared" si="194"/>
        <v>1269</v>
      </c>
      <c r="W1278" s="90">
        <f t="shared" si="195"/>
        <v>0</v>
      </c>
      <c r="X1278" s="90">
        <f t="shared" si="196"/>
        <v>0</v>
      </c>
      <c r="Y1278" s="141">
        <f t="shared" si="198"/>
        <v>1269</v>
      </c>
      <c r="Z1278" s="298">
        <v>254</v>
      </c>
      <c r="AA1278" s="299">
        <v>998</v>
      </c>
      <c r="AB1278" s="299">
        <v>1269</v>
      </c>
      <c r="AC1278" s="301">
        <v>0</v>
      </c>
      <c r="AD1278" s="301">
        <v>0</v>
      </c>
      <c r="AE1278" s="126"/>
      <c r="AF1278" s="298"/>
      <c r="AG1278" s="299"/>
      <c r="AH1278" s="299"/>
      <c r="AI1278" s="301"/>
      <c r="AJ1278" s="301"/>
      <c r="AK1278" s="426"/>
      <c r="AL1278" s="298"/>
      <c r="AM1278" s="299"/>
      <c r="AN1278" s="299"/>
      <c r="AO1278" s="301"/>
      <c r="AP1278" s="301"/>
      <c r="AQ1278" s="426"/>
      <c r="AR1278" s="298"/>
      <c r="AS1278" s="299"/>
      <c r="AT1278" s="299"/>
      <c r="AU1278" s="301"/>
      <c r="AV1278" s="301"/>
      <c r="AW1278" s="88"/>
      <c r="AX1278" s="298"/>
      <c r="AY1278" s="299"/>
      <c r="AZ1278" s="299"/>
      <c r="BA1278" s="301"/>
      <c r="BB1278" s="301"/>
      <c r="BC1278" s="426"/>
      <c r="BD1278" s="298"/>
      <c r="BE1278" s="299"/>
      <c r="BF1278" s="299"/>
      <c r="BG1278" s="301"/>
      <c r="BH1278" s="301"/>
      <c r="BI1278" s="88"/>
      <c r="BJ1278" s="298"/>
      <c r="BK1278" s="299"/>
      <c r="BL1278" s="299"/>
      <c r="BM1278" s="301"/>
      <c r="BN1278" s="301"/>
      <c r="BO1278" s="88"/>
      <c r="BP1278" s="9"/>
      <c r="BS1278" s="81"/>
      <c r="BT1278" s="81"/>
      <c r="BV1278" s="9"/>
      <c r="BY1278" s="81"/>
      <c r="BZ1278" s="81"/>
      <c r="CB1278" s="9"/>
      <c r="CE1278" s="81"/>
      <c r="CF1278" s="81"/>
      <c r="CH1278" s="9"/>
      <c r="CK1278" s="81"/>
      <c r="CL1278" s="81"/>
      <c r="CR1278" s="9"/>
      <c r="CS1278" s="9"/>
      <c r="CT1278" s="9"/>
      <c r="CU1278" s="9"/>
      <c r="CV1278" s="9"/>
      <c r="CW1278" s="129"/>
      <c r="CX1278" s="9"/>
    </row>
    <row r="1279" spans="1:102">
      <c r="A1279" s="6" t="str">
        <f t="shared" si="191"/>
        <v>02540999</v>
      </c>
      <c r="B1279" s="6" t="s">
        <v>1904</v>
      </c>
      <c r="C1279" s="6" t="s">
        <v>2092</v>
      </c>
      <c r="D1279" s="6">
        <v>1270</v>
      </c>
      <c r="E1279" s="10">
        <v>254</v>
      </c>
      <c r="F1279" s="10" t="s">
        <v>1372</v>
      </c>
      <c r="G1279" s="10">
        <v>999</v>
      </c>
      <c r="H1279" s="10" t="s">
        <v>593</v>
      </c>
      <c r="I1279" s="92">
        <v>10504395.096234076</v>
      </c>
      <c r="J1279" s="472">
        <v>0.99999999999999989</v>
      </c>
      <c r="K1279" s="53">
        <f>SUM(K1275:K1278)</f>
        <v>10407446.412152706</v>
      </c>
      <c r="L1279" s="91">
        <f>SUM(L1275:L1278)</f>
        <v>0.99999999999999989</v>
      </c>
      <c r="M1279" s="79">
        <f>VLOOKUP(E1279,town351,24)</f>
        <v>8128810</v>
      </c>
      <c r="N1279" s="79">
        <f>SUM(N1275:N1278)</f>
        <v>8128810</v>
      </c>
      <c r="O1279" s="79">
        <v>7732886</v>
      </c>
      <c r="P1279" s="79">
        <f>SUM(P1275:P1278)</f>
        <v>395924</v>
      </c>
      <c r="Q1279" s="39">
        <f t="shared" si="199"/>
        <v>5.1200030622461004</v>
      </c>
      <c r="R1279" s="9">
        <v>754.84081813691</v>
      </c>
      <c r="S1279" s="9">
        <f t="shared" si="197"/>
        <v>733.09143756056994</v>
      </c>
      <c r="T1279" s="90">
        <f t="shared" si="192"/>
        <v>254</v>
      </c>
      <c r="U1279" s="90">
        <f t="shared" si="193"/>
        <v>999</v>
      </c>
      <c r="V1279" s="373">
        <f t="shared" si="194"/>
        <v>1270</v>
      </c>
      <c r="W1279" s="90">
        <f t="shared" si="195"/>
        <v>733.09143756056994</v>
      </c>
      <c r="X1279" s="90">
        <f t="shared" si="196"/>
        <v>10407446.412152706</v>
      </c>
      <c r="Y1279" s="141">
        <f t="shared" si="198"/>
        <v>1270</v>
      </c>
      <c r="Z1279" s="298">
        <v>254</v>
      </c>
      <c r="AA1279" s="299">
        <v>999</v>
      </c>
      <c r="AB1279" s="299">
        <v>1270</v>
      </c>
      <c r="AC1279" s="301">
        <v>733.09143756056994</v>
      </c>
      <c r="AD1279" s="301">
        <v>10407446.412152706</v>
      </c>
      <c r="AE1279" s="126"/>
      <c r="AF1279" s="298"/>
      <c r="AG1279" s="299"/>
      <c r="AH1279" s="299"/>
      <c r="AI1279" s="301"/>
      <c r="AJ1279" s="301"/>
      <c r="AK1279" s="426"/>
      <c r="AL1279" s="298"/>
      <c r="AM1279" s="299"/>
      <c r="AN1279" s="299"/>
      <c r="AO1279" s="301"/>
      <c r="AP1279" s="301"/>
      <c r="AQ1279" s="426"/>
      <c r="AR1279" s="298"/>
      <c r="AS1279" s="299"/>
      <c r="AT1279" s="299"/>
      <c r="AU1279" s="301"/>
      <c r="AV1279" s="301"/>
      <c r="AW1279" s="91"/>
      <c r="AX1279" s="298"/>
      <c r="AY1279" s="299"/>
      <c r="AZ1279" s="299"/>
      <c r="BA1279" s="301"/>
      <c r="BB1279" s="301"/>
      <c r="BC1279" s="426"/>
      <c r="BD1279" s="298"/>
      <c r="BE1279" s="299"/>
      <c r="BF1279" s="299"/>
      <c r="BG1279" s="301"/>
      <c r="BH1279" s="301"/>
      <c r="BI1279" s="91"/>
      <c r="BJ1279" s="298"/>
      <c r="BK1279" s="299"/>
      <c r="BL1279" s="299"/>
      <c r="BM1279" s="301"/>
      <c r="BN1279" s="301"/>
      <c r="BO1279" s="91"/>
      <c r="BP1279" s="9"/>
      <c r="BS1279" s="81"/>
      <c r="BT1279" s="81"/>
      <c r="BV1279" s="9"/>
      <c r="BY1279" s="81"/>
      <c r="BZ1279" s="81"/>
      <c r="CB1279" s="9"/>
      <c r="CE1279" s="81"/>
      <c r="CF1279" s="81"/>
      <c r="CH1279" s="9"/>
      <c r="CK1279" s="81"/>
      <c r="CL1279" s="81"/>
      <c r="CR1279" s="9"/>
      <c r="CS1279" s="9"/>
      <c r="CT1279" s="9"/>
      <c r="CU1279" s="9"/>
      <c r="CV1279" s="9"/>
      <c r="CW1279" s="129"/>
      <c r="CX1279" s="9"/>
    </row>
    <row r="1280" spans="1:102">
      <c r="A1280" s="6" t="str">
        <f t="shared" si="191"/>
        <v>02550255</v>
      </c>
      <c r="B1280" s="6" t="s">
        <v>1905</v>
      </c>
      <c r="C1280" s="6" t="s">
        <v>1905</v>
      </c>
      <c r="D1280" s="6">
        <v>1271</v>
      </c>
      <c r="E1280" s="6">
        <v>255</v>
      </c>
      <c r="F1280" s="6" t="s">
        <v>1373</v>
      </c>
      <c r="G1280" s="6">
        <v>255</v>
      </c>
      <c r="H1280" s="6" t="s">
        <v>936</v>
      </c>
      <c r="I1280" s="33">
        <v>0</v>
      </c>
      <c r="J1280" s="88">
        <v>0</v>
      </c>
      <c r="K1280" s="89">
        <f>X1280</f>
        <v>0</v>
      </c>
      <c r="L1280" s="88">
        <f>IF(K1284&gt;0, K1280/K1284, 0)</f>
        <v>0</v>
      </c>
      <c r="M1280" s="58"/>
      <c r="N1280" s="9">
        <f>ROUND(M1284*L1280,0)</f>
        <v>0</v>
      </c>
      <c r="O1280" s="9">
        <v>0</v>
      </c>
      <c r="P1280" s="9">
        <f>N1280-O1280</f>
        <v>0</v>
      </c>
      <c r="Q1280" s="40">
        <f t="shared" si="199"/>
        <v>0</v>
      </c>
      <c r="R1280" s="9">
        <v>0</v>
      </c>
      <c r="S1280" s="9">
        <f t="shared" si="197"/>
        <v>0</v>
      </c>
      <c r="T1280" s="90">
        <f t="shared" si="192"/>
        <v>255</v>
      </c>
      <c r="U1280" s="90">
        <f t="shared" si="193"/>
        <v>255</v>
      </c>
      <c r="V1280" s="373">
        <f t="shared" si="194"/>
        <v>1271</v>
      </c>
      <c r="W1280" s="90">
        <f t="shared" si="195"/>
        <v>0</v>
      </c>
      <c r="X1280" s="90">
        <f t="shared" si="196"/>
        <v>0</v>
      </c>
      <c r="Y1280" s="141">
        <f t="shared" si="198"/>
        <v>1271</v>
      </c>
      <c r="Z1280" s="298">
        <v>255</v>
      </c>
      <c r="AA1280" s="299">
        <v>255</v>
      </c>
      <c r="AB1280" s="299">
        <v>1271</v>
      </c>
      <c r="AC1280" s="301">
        <v>0</v>
      </c>
      <c r="AD1280" s="301">
        <v>0</v>
      </c>
      <c r="AE1280" s="126"/>
      <c r="AF1280" s="298"/>
      <c r="AG1280" s="299"/>
      <c r="AH1280" s="299"/>
      <c r="AI1280" s="301"/>
      <c r="AJ1280" s="301"/>
      <c r="AK1280" s="426"/>
      <c r="AL1280" s="298"/>
      <c r="AM1280" s="299"/>
      <c r="AN1280" s="299"/>
      <c r="AO1280" s="301"/>
      <c r="AP1280" s="301"/>
      <c r="AQ1280" s="426"/>
      <c r="AR1280" s="298"/>
      <c r="AS1280" s="299"/>
      <c r="AT1280" s="299"/>
      <c r="AU1280" s="301"/>
      <c r="AV1280" s="301"/>
      <c r="AW1280" s="88"/>
      <c r="AX1280" s="298"/>
      <c r="AY1280" s="299"/>
      <c r="AZ1280" s="299"/>
      <c r="BA1280" s="301"/>
      <c r="BB1280" s="301"/>
      <c r="BC1280" s="426"/>
      <c r="BD1280" s="298"/>
      <c r="BE1280" s="299"/>
      <c r="BF1280" s="299"/>
      <c r="BG1280" s="301"/>
      <c r="BH1280" s="301"/>
      <c r="BI1280" s="88"/>
      <c r="BJ1280" s="298"/>
      <c r="BK1280" s="299"/>
      <c r="BL1280" s="299"/>
      <c r="BM1280" s="301"/>
      <c r="BN1280" s="301"/>
      <c r="BO1280" s="88"/>
      <c r="BP1280" s="9"/>
      <c r="BS1280" s="81"/>
      <c r="BT1280" s="81"/>
      <c r="BV1280" s="9"/>
      <c r="BY1280" s="81"/>
      <c r="BZ1280" s="81"/>
      <c r="CB1280" s="9"/>
      <c r="CE1280" s="81"/>
      <c r="CF1280" s="81"/>
      <c r="CH1280" s="9"/>
      <c r="CK1280" s="81"/>
      <c r="CL1280" s="81"/>
      <c r="CR1280" s="9"/>
      <c r="CS1280" s="9"/>
      <c r="CT1280" s="9"/>
      <c r="CU1280" s="9"/>
      <c r="CV1280" s="9"/>
      <c r="CW1280" s="129"/>
      <c r="CX1280" s="9"/>
    </row>
    <row r="1281" spans="1:102">
      <c r="A1281" s="6" t="str">
        <f t="shared" si="191"/>
        <v>02550615</v>
      </c>
      <c r="B1281" s="6" t="s">
        <v>1905</v>
      </c>
      <c r="C1281" s="6" t="s">
        <v>2008</v>
      </c>
      <c r="D1281" s="6">
        <v>1272</v>
      </c>
      <c r="E1281" s="6">
        <v>255</v>
      </c>
      <c r="F1281" s="6" t="s">
        <v>1373</v>
      </c>
      <c r="G1281" s="6">
        <v>615</v>
      </c>
      <c r="H1281" s="6" t="s">
        <v>1038</v>
      </c>
      <c r="I1281" s="33">
        <v>1811048.0943022633</v>
      </c>
      <c r="J1281" s="88">
        <v>0.89985808566260717</v>
      </c>
      <c r="K1281" s="89">
        <f t="shared" si="200"/>
        <v>1888291.608356575</v>
      </c>
      <c r="L1281" s="88">
        <f>IF(K1284&gt;0, K1281/K1284, 0)</f>
        <v>0.89443064607913358</v>
      </c>
      <c r="M1281" s="58"/>
      <c r="N1281" s="9">
        <f>ROUND(M1284*L1281,0)</f>
        <v>677650</v>
      </c>
      <c r="O1281" s="9">
        <v>643839</v>
      </c>
      <c r="P1281" s="9">
        <f>N1281-O1281</f>
        <v>33811</v>
      </c>
      <c r="Q1281" s="40">
        <f t="shared" si="199"/>
        <v>5.2514681465397404</v>
      </c>
      <c r="R1281" s="9">
        <v>113.91226096842</v>
      </c>
      <c r="S1281" s="9">
        <f t="shared" si="197"/>
        <v>116.69634955611001</v>
      </c>
      <c r="T1281" s="90">
        <f t="shared" si="192"/>
        <v>255</v>
      </c>
      <c r="U1281" s="90">
        <f t="shared" si="193"/>
        <v>615</v>
      </c>
      <c r="V1281" s="373">
        <f t="shared" si="194"/>
        <v>1272</v>
      </c>
      <c r="W1281" s="90">
        <f t="shared" si="195"/>
        <v>116.69634955611001</v>
      </c>
      <c r="X1281" s="90">
        <f t="shared" si="196"/>
        <v>1888291.608356575</v>
      </c>
      <c r="Y1281" s="141">
        <f t="shared" si="198"/>
        <v>1272</v>
      </c>
      <c r="Z1281" s="298">
        <v>255</v>
      </c>
      <c r="AA1281" s="299">
        <v>615</v>
      </c>
      <c r="AB1281" s="299">
        <v>1272</v>
      </c>
      <c r="AC1281" s="301">
        <v>116.69634955611001</v>
      </c>
      <c r="AD1281" s="301">
        <v>1888291.608356575</v>
      </c>
      <c r="AE1281" s="126"/>
      <c r="AF1281" s="298"/>
      <c r="AG1281" s="299"/>
      <c r="AH1281" s="299"/>
      <c r="AI1281" s="301"/>
      <c r="AJ1281" s="301"/>
      <c r="AK1281" s="426"/>
      <c r="AL1281" s="298"/>
      <c r="AM1281" s="299"/>
      <c r="AN1281" s="299"/>
      <c r="AO1281" s="301"/>
      <c r="AP1281" s="301"/>
      <c r="AQ1281" s="426"/>
      <c r="AR1281" s="298"/>
      <c r="AS1281" s="299"/>
      <c r="AT1281" s="299"/>
      <c r="AU1281" s="301"/>
      <c r="AV1281" s="301"/>
      <c r="AW1281" s="88"/>
      <c r="AX1281" s="298"/>
      <c r="AY1281" s="299"/>
      <c r="AZ1281" s="299"/>
      <c r="BA1281" s="301"/>
      <c r="BB1281" s="301"/>
      <c r="BC1281" s="426"/>
      <c r="BD1281" s="298"/>
      <c r="BE1281" s="299"/>
      <c r="BF1281" s="299"/>
      <c r="BG1281" s="301"/>
      <c r="BH1281" s="301"/>
      <c r="BI1281" s="88"/>
      <c r="BJ1281" s="298"/>
      <c r="BK1281" s="299"/>
      <c r="BL1281" s="299"/>
      <c r="BM1281" s="301"/>
      <c r="BN1281" s="301"/>
      <c r="BO1281" s="88"/>
      <c r="BP1281" s="9"/>
      <c r="BS1281" s="81"/>
      <c r="BT1281" s="81"/>
      <c r="BV1281" s="9"/>
      <c r="BY1281" s="81"/>
      <c r="BZ1281" s="81"/>
      <c r="CB1281" s="9"/>
      <c r="CE1281" s="81"/>
      <c r="CF1281" s="81"/>
      <c r="CH1281" s="9"/>
      <c r="CK1281" s="81"/>
      <c r="CL1281" s="81"/>
      <c r="CR1281" s="9"/>
      <c r="CS1281" s="9"/>
      <c r="CT1281" s="9"/>
      <c r="CU1281" s="9"/>
      <c r="CV1281" s="9"/>
      <c r="CW1281" s="129"/>
      <c r="CX1281" s="9"/>
    </row>
    <row r="1282" spans="1:102">
      <c r="A1282" s="6" t="str">
        <f t="shared" si="191"/>
        <v>02550832</v>
      </c>
      <c r="B1282" s="6" t="s">
        <v>1905</v>
      </c>
      <c r="C1282" s="6" t="s">
        <v>2075</v>
      </c>
      <c r="D1282" s="6">
        <v>1273</v>
      </c>
      <c r="E1282" s="6">
        <v>255</v>
      </c>
      <c r="F1282" s="6" t="s">
        <v>1373</v>
      </c>
      <c r="G1282" s="6">
        <v>832</v>
      </c>
      <c r="H1282" s="6" t="s">
        <v>1105</v>
      </c>
      <c r="I1282" s="33">
        <v>201544.91692650699</v>
      </c>
      <c r="J1282" s="88">
        <v>0.10014191433739283</v>
      </c>
      <c r="K1282" s="89">
        <f t="shared" si="200"/>
        <v>222874.43524241718</v>
      </c>
      <c r="L1282" s="88">
        <f>IF(K1284&gt;0, K1282/K1284, 0)</f>
        <v>0.10556935392086635</v>
      </c>
      <c r="M1282" s="58"/>
      <c r="N1282" s="9">
        <f>ROUND(M1284*L1282,0)</f>
        <v>79983</v>
      </c>
      <c r="O1282" s="9">
        <v>71651</v>
      </c>
      <c r="P1282" s="9">
        <f>N1282-O1282</f>
        <v>8332</v>
      </c>
      <c r="Q1282" s="40">
        <f t="shared" si="199"/>
        <v>11.628588575176899</v>
      </c>
      <c r="R1282" s="9">
        <v>10.01367053535</v>
      </c>
      <c r="S1282" s="9">
        <f t="shared" si="197"/>
        <v>11.000000006279999</v>
      </c>
      <c r="T1282" s="90">
        <f t="shared" si="192"/>
        <v>255</v>
      </c>
      <c r="U1282" s="90">
        <f t="shared" si="193"/>
        <v>832</v>
      </c>
      <c r="V1282" s="373">
        <f t="shared" si="194"/>
        <v>1273</v>
      </c>
      <c r="W1282" s="90">
        <f t="shared" si="195"/>
        <v>11.000000006279999</v>
      </c>
      <c r="X1282" s="90">
        <f t="shared" si="196"/>
        <v>222874.43524241718</v>
      </c>
      <c r="Y1282" s="141">
        <f t="shared" si="198"/>
        <v>1273</v>
      </c>
      <c r="Z1282" s="298">
        <v>255</v>
      </c>
      <c r="AA1282" s="299">
        <v>832</v>
      </c>
      <c r="AB1282" s="299">
        <v>1273</v>
      </c>
      <c r="AC1282" s="301">
        <v>11.000000006279999</v>
      </c>
      <c r="AD1282" s="301">
        <v>222874.43524241718</v>
      </c>
      <c r="AE1282" s="126"/>
      <c r="AF1282" s="298"/>
      <c r="AG1282" s="299"/>
      <c r="AH1282" s="299"/>
      <c r="AI1282" s="301"/>
      <c r="AJ1282" s="301"/>
      <c r="AK1282" s="426"/>
      <c r="AL1282" s="298"/>
      <c r="AM1282" s="299"/>
      <c r="AN1282" s="299"/>
      <c r="AO1282" s="301"/>
      <c r="AP1282" s="301"/>
      <c r="AQ1282" s="426"/>
      <c r="AR1282" s="298"/>
      <c r="AS1282" s="299"/>
      <c r="AT1282" s="299"/>
      <c r="AU1282" s="301"/>
      <c r="AV1282" s="301"/>
      <c r="AW1282" s="88"/>
      <c r="AX1282" s="298"/>
      <c r="AY1282" s="299"/>
      <c r="AZ1282" s="299"/>
      <c r="BA1282" s="301"/>
      <c r="BB1282" s="301"/>
      <c r="BC1282" s="426"/>
      <c r="BD1282" s="298"/>
      <c r="BE1282" s="299"/>
      <c r="BF1282" s="299"/>
      <c r="BG1282" s="301"/>
      <c r="BH1282" s="301"/>
      <c r="BI1282" s="88"/>
      <c r="BJ1282" s="298"/>
      <c r="BK1282" s="299"/>
      <c r="BL1282" s="299"/>
      <c r="BM1282" s="301"/>
      <c r="BN1282" s="301"/>
      <c r="BO1282" s="88"/>
      <c r="BP1282" s="9"/>
      <c r="BS1282" s="81"/>
      <c r="BT1282" s="81"/>
      <c r="BV1282" s="9"/>
      <c r="BY1282" s="81"/>
      <c r="BZ1282" s="81"/>
      <c r="CB1282" s="9"/>
      <c r="CE1282" s="81"/>
      <c r="CF1282" s="81"/>
      <c r="CH1282" s="9"/>
      <c r="CK1282" s="81"/>
      <c r="CL1282" s="81"/>
      <c r="CR1282" s="9"/>
      <c r="CS1282" s="9"/>
      <c r="CT1282" s="9"/>
      <c r="CU1282" s="9"/>
      <c r="CV1282" s="9"/>
      <c r="CW1282" s="129"/>
      <c r="CX1282" s="9"/>
    </row>
    <row r="1283" spans="1:102">
      <c r="A1283" s="6" t="str">
        <f t="shared" si="191"/>
        <v>02550998</v>
      </c>
      <c r="B1283" s="6" t="s">
        <v>1905</v>
      </c>
      <c r="C1283" s="6" t="s">
        <v>2091</v>
      </c>
      <c r="D1283" s="6">
        <v>1274</v>
      </c>
      <c r="E1283" s="6">
        <v>255</v>
      </c>
      <c r="F1283" s="6" t="s">
        <v>1547</v>
      </c>
      <c r="G1283" s="6">
        <v>998</v>
      </c>
      <c r="H1283" s="6" t="s">
        <v>1547</v>
      </c>
      <c r="I1283" s="33">
        <v>0</v>
      </c>
      <c r="J1283" s="88">
        <v>0</v>
      </c>
      <c r="K1283" s="89">
        <f t="shared" si="200"/>
        <v>0</v>
      </c>
      <c r="L1283" s="88">
        <f>IF(K1284&gt;0, K1283/K1284, 0)</f>
        <v>0</v>
      </c>
      <c r="M1283" s="58"/>
      <c r="N1283" s="9">
        <f>ROUND(M1284*L1283,0)</f>
        <v>0</v>
      </c>
      <c r="O1283" s="9">
        <v>0</v>
      </c>
      <c r="P1283" s="9">
        <f>N1283-O1283</f>
        <v>0</v>
      </c>
      <c r="Q1283" s="40">
        <f t="shared" si="199"/>
        <v>0</v>
      </c>
      <c r="R1283" s="9">
        <v>0</v>
      </c>
      <c r="S1283" s="9">
        <f t="shared" si="197"/>
        <v>0</v>
      </c>
      <c r="T1283" s="90">
        <f t="shared" si="192"/>
        <v>255</v>
      </c>
      <c r="U1283" s="90">
        <f t="shared" si="193"/>
        <v>998</v>
      </c>
      <c r="V1283" s="373">
        <f t="shared" si="194"/>
        <v>1274</v>
      </c>
      <c r="W1283" s="90">
        <f t="shared" si="195"/>
        <v>0</v>
      </c>
      <c r="X1283" s="90">
        <f t="shared" si="196"/>
        <v>0</v>
      </c>
      <c r="Y1283" s="141">
        <f t="shared" si="198"/>
        <v>1274</v>
      </c>
      <c r="Z1283" s="298">
        <v>255</v>
      </c>
      <c r="AA1283" s="299">
        <v>998</v>
      </c>
      <c r="AB1283" s="299">
        <v>1274</v>
      </c>
      <c r="AC1283" s="301">
        <v>0</v>
      </c>
      <c r="AD1283" s="301">
        <v>0</v>
      </c>
      <c r="AE1283" s="126"/>
      <c r="AF1283" s="298"/>
      <c r="AG1283" s="299"/>
      <c r="AH1283" s="299"/>
      <c r="AI1283" s="301"/>
      <c r="AJ1283" s="301"/>
      <c r="AK1283" s="426"/>
      <c r="AL1283" s="298"/>
      <c r="AM1283" s="299"/>
      <c r="AN1283" s="299"/>
      <c r="AO1283" s="301"/>
      <c r="AP1283" s="301"/>
      <c r="AQ1283" s="426"/>
      <c r="AR1283" s="298"/>
      <c r="AS1283" s="299"/>
      <c r="AT1283" s="299"/>
      <c r="AU1283" s="301"/>
      <c r="AV1283" s="301"/>
      <c r="AW1283" s="88"/>
      <c r="AX1283" s="298"/>
      <c r="AY1283" s="299"/>
      <c r="AZ1283" s="299"/>
      <c r="BA1283" s="301"/>
      <c r="BB1283" s="301"/>
      <c r="BC1283" s="426"/>
      <c r="BD1283" s="298"/>
      <c r="BE1283" s="299"/>
      <c r="BF1283" s="299"/>
      <c r="BG1283" s="301"/>
      <c r="BH1283" s="301"/>
      <c r="BI1283" s="88"/>
      <c r="BJ1283" s="298"/>
      <c r="BK1283" s="299"/>
      <c r="BL1283" s="299"/>
      <c r="BM1283" s="301"/>
      <c r="BN1283" s="301"/>
      <c r="BO1283" s="88"/>
      <c r="BP1283" s="9"/>
      <c r="BS1283" s="81"/>
      <c r="BT1283" s="81"/>
      <c r="BV1283" s="9"/>
      <c r="BY1283" s="81"/>
      <c r="BZ1283" s="81"/>
      <c r="CB1283" s="9"/>
      <c r="CE1283" s="81"/>
      <c r="CF1283" s="81"/>
      <c r="CH1283" s="9"/>
      <c r="CK1283" s="81"/>
      <c r="CL1283" s="81"/>
      <c r="CR1283" s="9"/>
      <c r="CS1283" s="9"/>
      <c r="CT1283" s="9"/>
      <c r="CU1283" s="9"/>
      <c r="CV1283" s="9"/>
      <c r="CW1283" s="129"/>
      <c r="CX1283" s="9"/>
    </row>
    <row r="1284" spans="1:102">
      <c r="A1284" s="6" t="str">
        <f t="shared" si="191"/>
        <v>02550999</v>
      </c>
      <c r="B1284" s="6" t="s">
        <v>1905</v>
      </c>
      <c r="C1284" s="6" t="s">
        <v>2092</v>
      </c>
      <c r="D1284" s="6">
        <v>1275</v>
      </c>
      <c r="E1284" s="10">
        <v>255</v>
      </c>
      <c r="F1284" s="10" t="s">
        <v>1373</v>
      </c>
      <c r="G1284" s="10">
        <v>999</v>
      </c>
      <c r="H1284" s="10" t="s">
        <v>593</v>
      </c>
      <c r="I1284" s="92">
        <v>2012593.0112287703</v>
      </c>
      <c r="J1284" s="472">
        <v>1</v>
      </c>
      <c r="K1284" s="53">
        <f>SUM(K1280:K1283)</f>
        <v>2111166.0435989923</v>
      </c>
      <c r="L1284" s="91">
        <f>SUM(L1280:L1283)</f>
        <v>0.99999999999999989</v>
      </c>
      <c r="M1284" s="79">
        <f>VLOOKUP(E1284,town351,24)</f>
        <v>757633</v>
      </c>
      <c r="N1284" s="79">
        <f>SUM(N1280:N1283)</f>
        <v>757633</v>
      </c>
      <c r="O1284" s="79">
        <v>715490</v>
      </c>
      <c r="P1284" s="79">
        <f>SUM(P1280:P1283)</f>
        <v>42143</v>
      </c>
      <c r="Q1284" s="39">
        <f t="shared" si="199"/>
        <v>5.8900893094243107</v>
      </c>
      <c r="R1284" s="9">
        <v>123.92593150377</v>
      </c>
      <c r="S1284" s="9">
        <f t="shared" si="197"/>
        <v>127.69634956239001</v>
      </c>
      <c r="T1284" s="90">
        <f t="shared" si="192"/>
        <v>255</v>
      </c>
      <c r="U1284" s="90">
        <f t="shared" si="193"/>
        <v>999</v>
      </c>
      <c r="V1284" s="373">
        <f t="shared" si="194"/>
        <v>1275</v>
      </c>
      <c r="W1284" s="90">
        <f t="shared" si="195"/>
        <v>127.69634956239001</v>
      </c>
      <c r="X1284" s="90">
        <f t="shared" si="196"/>
        <v>2111166.0435989923</v>
      </c>
      <c r="Y1284" s="141">
        <f t="shared" si="198"/>
        <v>1275</v>
      </c>
      <c r="Z1284" s="298">
        <v>255</v>
      </c>
      <c r="AA1284" s="299">
        <v>999</v>
      </c>
      <c r="AB1284" s="299">
        <v>1275</v>
      </c>
      <c r="AC1284" s="301">
        <v>127.69634956239001</v>
      </c>
      <c r="AD1284" s="301">
        <v>2111166.0435989923</v>
      </c>
      <c r="AE1284" s="126"/>
      <c r="AF1284" s="298"/>
      <c r="AG1284" s="299"/>
      <c r="AH1284" s="299"/>
      <c r="AI1284" s="301"/>
      <c r="AJ1284" s="301"/>
      <c r="AK1284" s="426"/>
      <c r="AL1284" s="298"/>
      <c r="AM1284" s="299"/>
      <c r="AN1284" s="299"/>
      <c r="AO1284" s="301"/>
      <c r="AP1284" s="301"/>
      <c r="AQ1284" s="426"/>
      <c r="AR1284" s="298"/>
      <c r="AS1284" s="299"/>
      <c r="AT1284" s="299"/>
      <c r="AU1284" s="301"/>
      <c r="AV1284" s="301"/>
      <c r="AW1284" s="91"/>
      <c r="AX1284" s="298"/>
      <c r="AY1284" s="299"/>
      <c r="AZ1284" s="299"/>
      <c r="BA1284" s="301"/>
      <c r="BB1284" s="301"/>
      <c r="BC1284" s="426"/>
      <c r="BD1284" s="298"/>
      <c r="BE1284" s="299"/>
      <c r="BF1284" s="299"/>
      <c r="BG1284" s="301"/>
      <c r="BH1284" s="301"/>
      <c r="BI1284" s="91"/>
      <c r="BJ1284" s="298"/>
      <c r="BK1284" s="299"/>
      <c r="BL1284" s="299"/>
      <c r="BM1284" s="301"/>
      <c r="BN1284" s="301"/>
      <c r="BO1284" s="91"/>
      <c r="BP1284" s="9"/>
      <c r="BS1284" s="81"/>
      <c r="BT1284" s="81"/>
      <c r="BV1284" s="9"/>
      <c r="BY1284" s="81"/>
      <c r="BZ1284" s="81"/>
      <c r="CB1284" s="9"/>
      <c r="CE1284" s="81"/>
      <c r="CF1284" s="81"/>
      <c r="CH1284" s="9"/>
      <c r="CK1284" s="81"/>
      <c r="CL1284" s="81"/>
      <c r="CR1284" s="9"/>
      <c r="CS1284" s="9"/>
      <c r="CT1284" s="9"/>
      <c r="CU1284" s="9"/>
      <c r="CV1284" s="9"/>
      <c r="CW1284" s="129"/>
      <c r="CX1284" s="9"/>
    </row>
    <row r="1285" spans="1:102">
      <c r="A1285" s="6" t="str">
        <f t="shared" si="191"/>
        <v>02560256</v>
      </c>
      <c r="B1285" s="6" t="s">
        <v>1906</v>
      </c>
      <c r="C1285" s="6" t="s">
        <v>1906</v>
      </c>
      <c r="D1285" s="6">
        <v>1276</v>
      </c>
      <c r="E1285" s="6">
        <v>256</v>
      </c>
      <c r="F1285" s="6" t="s">
        <v>1374</v>
      </c>
      <c r="G1285" s="6">
        <v>256</v>
      </c>
      <c r="H1285" s="6" t="s">
        <v>937</v>
      </c>
      <c r="I1285" s="33">
        <v>344095.56</v>
      </c>
      <c r="J1285" s="88">
        <v>0.10359098136308685</v>
      </c>
      <c r="K1285" s="89">
        <f>X1285</f>
        <v>267378.24</v>
      </c>
      <c r="L1285" s="88">
        <f>IF(K1289&gt;0, K1285/K1289, 0)</f>
        <v>7.6286861965782937E-2</v>
      </c>
      <c r="M1285" s="58"/>
      <c r="N1285" s="9">
        <f>ROUND(M1289*L1285,0)</f>
        <v>106157</v>
      </c>
      <c r="O1285" s="9">
        <v>136909</v>
      </c>
      <c r="P1285" s="9">
        <f>N1285-O1285</f>
        <v>-30752</v>
      </c>
      <c r="Q1285" s="40">
        <f t="shared" si="199"/>
        <v>-22.461635100687317</v>
      </c>
      <c r="R1285" s="9">
        <v>19</v>
      </c>
      <c r="S1285" s="9">
        <f t="shared" si="197"/>
        <v>14</v>
      </c>
      <c r="T1285" s="90">
        <f t="shared" si="192"/>
        <v>256</v>
      </c>
      <c r="U1285" s="90">
        <f t="shared" si="193"/>
        <v>256</v>
      </c>
      <c r="V1285" s="373">
        <f t="shared" si="194"/>
        <v>1276</v>
      </c>
      <c r="W1285" s="90">
        <f t="shared" si="195"/>
        <v>14</v>
      </c>
      <c r="X1285" s="90">
        <f t="shared" si="196"/>
        <v>267378.24</v>
      </c>
      <c r="Y1285" s="141">
        <f t="shared" si="198"/>
        <v>1276</v>
      </c>
      <c r="Z1285" s="298">
        <v>256</v>
      </c>
      <c r="AA1285" s="299">
        <v>256</v>
      </c>
      <c r="AB1285" s="299">
        <v>1276</v>
      </c>
      <c r="AC1285" s="301">
        <v>14</v>
      </c>
      <c r="AD1285" s="301">
        <v>267378.24</v>
      </c>
      <c r="AE1285" s="126"/>
      <c r="AF1285" s="298"/>
      <c r="AG1285" s="299"/>
      <c r="AH1285" s="299"/>
      <c r="AI1285" s="301"/>
      <c r="AJ1285" s="301"/>
      <c r="AK1285" s="426"/>
      <c r="AL1285" s="298"/>
      <c r="AM1285" s="299"/>
      <c r="AN1285" s="299"/>
      <c r="AO1285" s="301"/>
      <c r="AP1285" s="301"/>
      <c r="AQ1285" s="426"/>
      <c r="AR1285" s="298"/>
      <c r="AS1285" s="299"/>
      <c r="AT1285" s="299"/>
      <c r="AU1285" s="301"/>
      <c r="AV1285" s="301"/>
      <c r="AW1285" s="88"/>
      <c r="AX1285" s="298"/>
      <c r="AY1285" s="299"/>
      <c r="AZ1285" s="299"/>
      <c r="BA1285" s="301"/>
      <c r="BB1285" s="301"/>
      <c r="BC1285" s="426"/>
      <c r="BD1285" s="298"/>
      <c r="BE1285" s="299"/>
      <c r="BF1285" s="299"/>
      <c r="BG1285" s="301"/>
      <c r="BH1285" s="301"/>
      <c r="BI1285" s="88"/>
      <c r="BJ1285" s="298"/>
      <c r="BK1285" s="299"/>
      <c r="BL1285" s="299"/>
      <c r="BM1285" s="301"/>
      <c r="BN1285" s="301"/>
      <c r="BO1285" s="88"/>
      <c r="BP1285" s="9"/>
      <c r="BS1285" s="81"/>
      <c r="BT1285" s="81"/>
      <c r="BV1285" s="9"/>
      <c r="BY1285" s="81"/>
      <c r="BZ1285" s="81"/>
      <c r="CB1285" s="9"/>
      <c r="CE1285" s="81"/>
      <c r="CF1285" s="81"/>
      <c r="CH1285" s="9"/>
      <c r="CK1285" s="81"/>
      <c r="CL1285" s="81"/>
      <c r="CR1285" s="9"/>
      <c r="CS1285" s="9"/>
      <c r="CT1285" s="9"/>
      <c r="CU1285" s="9"/>
      <c r="CV1285" s="9"/>
      <c r="CW1285" s="129"/>
      <c r="CX1285" s="9"/>
    </row>
    <row r="1286" spans="1:102">
      <c r="A1286" s="6" t="str">
        <f t="shared" si="191"/>
        <v>02560672</v>
      </c>
      <c r="B1286" s="6" t="s">
        <v>1906</v>
      </c>
      <c r="C1286" s="6" t="s">
        <v>2025</v>
      </c>
      <c r="D1286" s="6">
        <v>1277</v>
      </c>
      <c r="E1286" s="6">
        <v>256</v>
      </c>
      <c r="F1286" s="6" t="s">
        <v>1374</v>
      </c>
      <c r="G1286" s="6">
        <v>672</v>
      </c>
      <c r="H1286" s="6" t="s">
        <v>1055</v>
      </c>
      <c r="I1286" s="33">
        <v>2977579.3143208013</v>
      </c>
      <c r="J1286" s="88">
        <v>0.89640901863691314</v>
      </c>
      <c r="K1286" s="89">
        <f t="shared" si="200"/>
        <v>3237527.2327133431</v>
      </c>
      <c r="L1286" s="88">
        <f>IF(K1289&gt;0, K1286/K1289, 0)</f>
        <v>0.92371313803421717</v>
      </c>
      <c r="M1286" s="58"/>
      <c r="N1286" s="9">
        <f>ROUND(M1289*L1286,0)</f>
        <v>1285387</v>
      </c>
      <c r="O1286" s="9">
        <v>1184721</v>
      </c>
      <c r="P1286" s="9">
        <f>N1286-O1286</f>
        <v>100666</v>
      </c>
      <c r="Q1286" s="40">
        <f t="shared" si="199"/>
        <v>8.4970216616401668</v>
      </c>
      <c r="R1286" s="9">
        <v>202.25121951162001</v>
      </c>
      <c r="S1286" s="9">
        <f t="shared" si="197"/>
        <v>206.98757763849997</v>
      </c>
      <c r="T1286" s="90">
        <f t="shared" si="192"/>
        <v>256</v>
      </c>
      <c r="U1286" s="90">
        <f t="shared" si="193"/>
        <v>672</v>
      </c>
      <c r="V1286" s="373">
        <f t="shared" si="194"/>
        <v>1277</v>
      </c>
      <c r="W1286" s="90">
        <f t="shared" si="195"/>
        <v>206.98757763849997</v>
      </c>
      <c r="X1286" s="90">
        <f t="shared" si="196"/>
        <v>3237527.2327133431</v>
      </c>
      <c r="Y1286" s="141">
        <f t="shared" si="198"/>
        <v>1277</v>
      </c>
      <c r="Z1286" s="298">
        <v>256</v>
      </c>
      <c r="AA1286" s="299">
        <v>672</v>
      </c>
      <c r="AB1286" s="299">
        <v>1277</v>
      </c>
      <c r="AC1286" s="301">
        <v>206.98757763849997</v>
      </c>
      <c r="AD1286" s="301">
        <v>3237527.2327133431</v>
      </c>
      <c r="AE1286" s="126"/>
      <c r="AF1286" s="298"/>
      <c r="AG1286" s="299"/>
      <c r="AH1286" s="299"/>
      <c r="AI1286" s="301"/>
      <c r="AJ1286" s="301"/>
      <c r="AK1286" s="426"/>
      <c r="AL1286" s="298"/>
      <c r="AM1286" s="299"/>
      <c r="AN1286" s="299"/>
      <c r="AO1286" s="301"/>
      <c r="AP1286" s="301"/>
      <c r="AQ1286" s="426"/>
      <c r="AR1286" s="298"/>
      <c r="AS1286" s="299"/>
      <c r="AT1286" s="299"/>
      <c r="AU1286" s="301"/>
      <c r="AV1286" s="301"/>
      <c r="AW1286" s="88"/>
      <c r="AX1286" s="298"/>
      <c r="AY1286" s="299"/>
      <c r="AZ1286" s="299"/>
      <c r="BA1286" s="301"/>
      <c r="BB1286" s="301"/>
      <c r="BC1286" s="426"/>
      <c r="BD1286" s="298"/>
      <c r="BE1286" s="299"/>
      <c r="BF1286" s="299"/>
      <c r="BG1286" s="301"/>
      <c r="BH1286" s="301"/>
      <c r="BI1286" s="88"/>
      <c r="BJ1286" s="298"/>
      <c r="BK1286" s="299"/>
      <c r="BL1286" s="299"/>
      <c r="BM1286" s="301"/>
      <c r="BN1286" s="301"/>
      <c r="BO1286" s="88"/>
      <c r="BP1286" s="9"/>
      <c r="BS1286" s="81"/>
      <c r="BT1286" s="81"/>
      <c r="BV1286" s="9"/>
      <c r="BY1286" s="81"/>
      <c r="BZ1286" s="81"/>
      <c r="CB1286" s="9"/>
      <c r="CE1286" s="81"/>
      <c r="CF1286" s="81"/>
      <c r="CH1286" s="9"/>
      <c r="CK1286" s="81"/>
      <c r="CL1286" s="81"/>
      <c r="CR1286" s="9"/>
      <c r="CS1286" s="9"/>
      <c r="CT1286" s="9"/>
      <c r="CU1286" s="9"/>
      <c r="CV1286" s="9"/>
      <c r="CW1286" s="129"/>
      <c r="CX1286" s="9"/>
    </row>
    <row r="1287" spans="1:102">
      <c r="A1287" s="6" t="str">
        <f t="shared" si="191"/>
        <v>02560998</v>
      </c>
      <c r="B1287" s="6" t="s">
        <v>1906</v>
      </c>
      <c r="C1287" s="6" t="s">
        <v>2091</v>
      </c>
      <c r="D1287" s="6">
        <v>1278</v>
      </c>
      <c r="E1287" s="6">
        <v>256</v>
      </c>
      <c r="F1287" s="6" t="s">
        <v>1547</v>
      </c>
      <c r="G1287" s="6">
        <v>998</v>
      </c>
      <c r="H1287" s="6" t="s">
        <v>1547</v>
      </c>
      <c r="I1287" s="33">
        <v>0</v>
      </c>
      <c r="J1287" s="88">
        <v>0</v>
      </c>
      <c r="K1287" s="89">
        <f t="shared" si="200"/>
        <v>0</v>
      </c>
      <c r="L1287" s="88">
        <f>IF(K1289&gt;0, K1287/K1289, 0)</f>
        <v>0</v>
      </c>
      <c r="M1287" s="58"/>
      <c r="N1287" s="9">
        <f>ROUND(M1289*L1287,0)</f>
        <v>0</v>
      </c>
      <c r="O1287" s="9">
        <v>0</v>
      </c>
      <c r="P1287" s="9">
        <f>N1287-O1287</f>
        <v>0</v>
      </c>
      <c r="Q1287" s="40">
        <f t="shared" si="199"/>
        <v>0</v>
      </c>
      <c r="R1287" s="9">
        <v>0</v>
      </c>
      <c r="S1287" s="9">
        <f t="shared" si="197"/>
        <v>0</v>
      </c>
      <c r="T1287" s="90">
        <f t="shared" si="192"/>
        <v>256</v>
      </c>
      <c r="U1287" s="90">
        <f t="shared" si="193"/>
        <v>998</v>
      </c>
      <c r="V1287" s="373">
        <f t="shared" si="194"/>
        <v>1278</v>
      </c>
      <c r="W1287" s="90">
        <f t="shared" si="195"/>
        <v>0</v>
      </c>
      <c r="X1287" s="90">
        <f t="shared" si="196"/>
        <v>0</v>
      </c>
      <c r="Y1287" s="141">
        <f t="shared" si="198"/>
        <v>1278</v>
      </c>
      <c r="Z1287" s="298">
        <v>256</v>
      </c>
      <c r="AA1287" s="299">
        <v>998</v>
      </c>
      <c r="AB1287" s="299">
        <v>1278</v>
      </c>
      <c r="AC1287" s="301">
        <v>0</v>
      </c>
      <c r="AD1287" s="301">
        <v>0</v>
      </c>
      <c r="AE1287" s="126"/>
      <c r="AF1287" s="298"/>
      <c r="AG1287" s="299"/>
      <c r="AH1287" s="299"/>
      <c r="AI1287" s="301"/>
      <c r="AJ1287" s="301"/>
      <c r="AK1287" s="426"/>
      <c r="AL1287" s="298"/>
      <c r="AM1287" s="299"/>
      <c r="AN1287" s="299"/>
      <c r="AO1287" s="301"/>
      <c r="AP1287" s="301"/>
      <c r="AQ1287" s="426"/>
      <c r="AR1287" s="298"/>
      <c r="AS1287" s="299"/>
      <c r="AT1287" s="299"/>
      <c r="AU1287" s="301"/>
      <c r="AV1287" s="301"/>
      <c r="AW1287" s="88"/>
      <c r="AX1287" s="298"/>
      <c r="AY1287" s="299"/>
      <c r="AZ1287" s="299"/>
      <c r="BA1287" s="301"/>
      <c r="BB1287" s="301"/>
      <c r="BC1287" s="426"/>
      <c r="BD1287" s="298"/>
      <c r="BE1287" s="299"/>
      <c r="BF1287" s="299"/>
      <c r="BG1287" s="301"/>
      <c r="BH1287" s="301"/>
      <c r="BI1287" s="88"/>
      <c r="BJ1287" s="298"/>
      <c r="BK1287" s="299"/>
      <c r="BL1287" s="299"/>
      <c r="BM1287" s="301"/>
      <c r="BN1287" s="301"/>
      <c r="BO1287" s="88"/>
      <c r="BP1287" s="9"/>
      <c r="BS1287" s="81"/>
      <c r="BT1287" s="81"/>
      <c r="BV1287" s="9"/>
      <c r="BY1287" s="81"/>
      <c r="BZ1287" s="81"/>
      <c r="CB1287" s="9"/>
      <c r="CE1287" s="81"/>
      <c r="CF1287" s="81"/>
      <c r="CH1287" s="9"/>
      <c r="CK1287" s="81"/>
      <c r="CL1287" s="81"/>
      <c r="CR1287" s="9"/>
      <c r="CS1287" s="9"/>
      <c r="CT1287" s="9"/>
      <c r="CU1287" s="9"/>
      <c r="CV1287" s="9"/>
      <c r="CW1287" s="129"/>
      <c r="CX1287" s="9"/>
    </row>
    <row r="1288" spans="1:102">
      <c r="A1288" s="6" t="str">
        <f t="shared" si="191"/>
        <v>02560998</v>
      </c>
      <c r="B1288" s="6" t="s">
        <v>1906</v>
      </c>
      <c r="C1288" s="6" t="s">
        <v>2091</v>
      </c>
      <c r="D1288" s="6">
        <v>1279</v>
      </c>
      <c r="E1288" s="6">
        <v>256</v>
      </c>
      <c r="F1288" s="6" t="s">
        <v>1547</v>
      </c>
      <c r="G1288" s="6">
        <v>998</v>
      </c>
      <c r="H1288" s="6" t="s">
        <v>1547</v>
      </c>
      <c r="I1288" s="33">
        <v>0</v>
      </c>
      <c r="J1288" s="88">
        <v>0</v>
      </c>
      <c r="K1288" s="89">
        <f t="shared" si="200"/>
        <v>0</v>
      </c>
      <c r="L1288" s="88">
        <f>IF(K1289&gt;0, K1288/K1289, 0)</f>
        <v>0</v>
      </c>
      <c r="M1288" s="58"/>
      <c r="N1288" s="9">
        <f>ROUND(M1289*L1288,0)</f>
        <v>0</v>
      </c>
      <c r="O1288" s="9">
        <v>0</v>
      </c>
      <c r="P1288" s="9">
        <f>N1288-O1288</f>
        <v>0</v>
      </c>
      <c r="Q1288" s="40">
        <f t="shared" si="199"/>
        <v>0</v>
      </c>
      <c r="R1288" s="9">
        <v>0</v>
      </c>
      <c r="S1288" s="9">
        <f t="shared" si="197"/>
        <v>0</v>
      </c>
      <c r="T1288" s="90">
        <f t="shared" si="192"/>
        <v>256</v>
      </c>
      <c r="U1288" s="90">
        <f t="shared" si="193"/>
        <v>998</v>
      </c>
      <c r="V1288" s="373">
        <f t="shared" si="194"/>
        <v>1279</v>
      </c>
      <c r="W1288" s="90">
        <f t="shared" si="195"/>
        <v>0</v>
      </c>
      <c r="X1288" s="90">
        <f t="shared" si="196"/>
        <v>0</v>
      </c>
      <c r="Y1288" s="141">
        <f t="shared" si="198"/>
        <v>1279</v>
      </c>
      <c r="Z1288" s="298">
        <v>256</v>
      </c>
      <c r="AA1288" s="299">
        <v>998</v>
      </c>
      <c r="AB1288" s="299">
        <v>1279</v>
      </c>
      <c r="AC1288" s="301">
        <v>0</v>
      </c>
      <c r="AD1288" s="301">
        <v>0</v>
      </c>
      <c r="AE1288" s="126"/>
      <c r="AF1288" s="298"/>
      <c r="AG1288" s="299"/>
      <c r="AH1288" s="299"/>
      <c r="AI1288" s="301"/>
      <c r="AJ1288" s="301"/>
      <c r="AK1288" s="426"/>
      <c r="AL1288" s="298"/>
      <c r="AM1288" s="299"/>
      <c r="AN1288" s="299"/>
      <c r="AO1288" s="301"/>
      <c r="AP1288" s="301"/>
      <c r="AQ1288" s="426"/>
      <c r="AR1288" s="298"/>
      <c r="AS1288" s="299"/>
      <c r="AT1288" s="299"/>
      <c r="AU1288" s="301"/>
      <c r="AV1288" s="301"/>
      <c r="AW1288" s="88"/>
      <c r="AX1288" s="298"/>
      <c r="AY1288" s="299"/>
      <c r="AZ1288" s="299"/>
      <c r="BA1288" s="301"/>
      <c r="BB1288" s="301"/>
      <c r="BC1288" s="426"/>
      <c r="BD1288" s="298"/>
      <c r="BE1288" s="299"/>
      <c r="BF1288" s="299"/>
      <c r="BG1288" s="301"/>
      <c r="BH1288" s="301"/>
      <c r="BI1288" s="88"/>
      <c r="BJ1288" s="298"/>
      <c r="BK1288" s="299"/>
      <c r="BL1288" s="299"/>
      <c r="BM1288" s="301"/>
      <c r="BN1288" s="301"/>
      <c r="BO1288" s="88"/>
      <c r="BP1288" s="9"/>
      <c r="BS1288" s="81"/>
      <c r="BT1288" s="81"/>
      <c r="BV1288" s="9"/>
      <c r="BY1288" s="81"/>
      <c r="BZ1288" s="81"/>
      <c r="CB1288" s="9"/>
      <c r="CE1288" s="81"/>
      <c r="CF1288" s="81"/>
      <c r="CH1288" s="9"/>
      <c r="CK1288" s="81"/>
      <c r="CL1288" s="81"/>
      <c r="CR1288" s="9"/>
      <c r="CS1288" s="9"/>
      <c r="CT1288" s="9"/>
      <c r="CU1288" s="9"/>
      <c r="CV1288" s="9"/>
      <c r="CW1288" s="129"/>
      <c r="CX1288" s="9"/>
    </row>
    <row r="1289" spans="1:102">
      <c r="A1289" s="6" t="str">
        <f t="shared" si="191"/>
        <v>02560999</v>
      </c>
      <c r="B1289" s="6" t="s">
        <v>1906</v>
      </c>
      <c r="C1289" s="6" t="s">
        <v>2092</v>
      </c>
      <c r="D1289" s="6">
        <v>1280</v>
      </c>
      <c r="E1289" s="10">
        <v>256</v>
      </c>
      <c r="F1289" s="10" t="s">
        <v>1374</v>
      </c>
      <c r="G1289" s="10">
        <v>999</v>
      </c>
      <c r="H1289" s="10" t="s">
        <v>593</v>
      </c>
      <c r="I1289" s="92">
        <v>3321674.8743208013</v>
      </c>
      <c r="J1289" s="472">
        <v>1</v>
      </c>
      <c r="K1289" s="53">
        <f>SUM(K1285:K1288)</f>
        <v>3504905.4727133429</v>
      </c>
      <c r="L1289" s="91">
        <f>SUM(L1285:L1288)</f>
        <v>1</v>
      </c>
      <c r="M1289" s="79">
        <f>VLOOKUP(E1289,town351,24)</f>
        <v>1391544</v>
      </c>
      <c r="N1289" s="79">
        <f>SUM(N1285:N1288)</f>
        <v>1391544</v>
      </c>
      <c r="O1289" s="79">
        <v>1321630</v>
      </c>
      <c r="P1289" s="79">
        <f>SUM(P1285:P1288)</f>
        <v>69914</v>
      </c>
      <c r="Q1289" s="39">
        <f t="shared" si="199"/>
        <v>5.2899828242397646</v>
      </c>
      <c r="R1289" s="9">
        <v>221.25121951162001</v>
      </c>
      <c r="S1289" s="9">
        <f t="shared" si="197"/>
        <v>220.98757763849997</v>
      </c>
      <c r="T1289" s="90">
        <f t="shared" si="192"/>
        <v>256</v>
      </c>
      <c r="U1289" s="90">
        <f t="shared" si="193"/>
        <v>999</v>
      </c>
      <c r="V1289" s="373">
        <f t="shared" si="194"/>
        <v>1280</v>
      </c>
      <c r="W1289" s="90">
        <f t="shared" si="195"/>
        <v>220.98757763849997</v>
      </c>
      <c r="X1289" s="90">
        <f t="shared" si="196"/>
        <v>3504905.4727133429</v>
      </c>
      <c r="Y1289" s="141">
        <f t="shared" si="198"/>
        <v>1280</v>
      </c>
      <c r="Z1289" s="298">
        <v>256</v>
      </c>
      <c r="AA1289" s="299">
        <v>999</v>
      </c>
      <c r="AB1289" s="299">
        <v>1280</v>
      </c>
      <c r="AC1289" s="301">
        <v>220.98757763849997</v>
      </c>
      <c r="AD1289" s="301">
        <v>3504905.4727133429</v>
      </c>
      <c r="AE1289" s="126"/>
      <c r="AF1289" s="298"/>
      <c r="AG1289" s="299"/>
      <c r="AH1289" s="299"/>
      <c r="AI1289" s="301"/>
      <c r="AJ1289" s="301"/>
      <c r="AK1289" s="426"/>
      <c r="AL1289" s="298"/>
      <c r="AM1289" s="299"/>
      <c r="AN1289" s="299"/>
      <c r="AO1289" s="301"/>
      <c r="AP1289" s="301"/>
      <c r="AQ1289" s="426"/>
      <c r="AR1289" s="298"/>
      <c r="AS1289" s="299"/>
      <c r="AT1289" s="299"/>
      <c r="AU1289" s="301"/>
      <c r="AV1289" s="301"/>
      <c r="AW1289" s="91"/>
      <c r="AX1289" s="298"/>
      <c r="AY1289" s="299"/>
      <c r="AZ1289" s="299"/>
      <c r="BA1289" s="301"/>
      <c r="BB1289" s="301"/>
      <c r="BC1289" s="426"/>
      <c r="BD1289" s="298"/>
      <c r="BE1289" s="299"/>
      <c r="BF1289" s="299"/>
      <c r="BG1289" s="301"/>
      <c r="BH1289" s="301"/>
      <c r="BI1289" s="91"/>
      <c r="BJ1289" s="298"/>
      <c r="BK1289" s="299"/>
      <c r="BL1289" s="299"/>
      <c r="BM1289" s="301"/>
      <c r="BN1289" s="301"/>
      <c r="BO1289" s="91"/>
      <c r="BP1289" s="9"/>
      <c r="BS1289" s="81"/>
      <c r="BT1289" s="81"/>
      <c r="BV1289" s="9"/>
      <c r="BY1289" s="81"/>
      <c r="BZ1289" s="81"/>
      <c r="CB1289" s="9"/>
      <c r="CE1289" s="81"/>
      <c r="CF1289" s="81"/>
      <c r="CH1289" s="9"/>
      <c r="CK1289" s="81"/>
      <c r="CL1289" s="81"/>
      <c r="CR1289" s="9"/>
      <c r="CS1289" s="9"/>
      <c r="CT1289" s="9"/>
      <c r="CU1289" s="9"/>
      <c r="CV1289" s="9"/>
      <c r="CW1289" s="129"/>
      <c r="CX1289" s="9"/>
    </row>
    <row r="1290" spans="1:102">
      <c r="A1290" s="6" t="str">
        <f t="shared" ref="A1290:A1353" si="201">B1290&amp;C1290</f>
        <v>02570257</v>
      </c>
      <c r="B1290" s="6" t="s">
        <v>1907</v>
      </c>
      <c r="C1290" s="6" t="s">
        <v>1907</v>
      </c>
      <c r="D1290" s="6">
        <v>1281</v>
      </c>
      <c r="E1290" s="6">
        <v>257</v>
      </c>
      <c r="F1290" s="6" t="s">
        <v>1375</v>
      </c>
      <c r="G1290" s="6">
        <v>257</v>
      </c>
      <c r="H1290" s="6" t="s">
        <v>938</v>
      </c>
      <c r="I1290" s="33">
        <v>0</v>
      </c>
      <c r="J1290" s="88">
        <v>0</v>
      </c>
      <c r="K1290" s="89">
        <f>X1290</f>
        <v>0</v>
      </c>
      <c r="L1290" s="88">
        <f>IF(K1294&gt;0, K1290/K1294, 0)</f>
        <v>0</v>
      </c>
      <c r="M1290" s="58"/>
      <c r="N1290" s="9">
        <f>ROUND(M1294*L1290,0)</f>
        <v>0</v>
      </c>
      <c r="O1290" s="9">
        <v>0</v>
      </c>
      <c r="P1290" s="9">
        <f>N1290-O1290</f>
        <v>0</v>
      </c>
      <c r="Q1290" s="40">
        <f t="shared" si="199"/>
        <v>0</v>
      </c>
      <c r="R1290" s="9">
        <v>0</v>
      </c>
      <c r="S1290" s="9">
        <f t="shared" si="197"/>
        <v>0</v>
      </c>
      <c r="T1290" s="90">
        <f t="shared" ref="T1290:T1353" si="202">VLOOKUP($D1290, foundoptions, VLOOKUP($T$6, foundoptcell, 2, FALSE), FALSE)</f>
        <v>257</v>
      </c>
      <c r="U1290" s="90">
        <f t="shared" ref="U1290:U1353" si="203">VLOOKUP($D1290, foundoptions, VLOOKUP($T$6, foundoptcell, 2, FALSE)+1, FALSE)</f>
        <v>257</v>
      </c>
      <c r="V1290" s="373">
        <f t="shared" ref="V1290:V1353" si="204">VLOOKUP($D1290, foundoptions, VLOOKUP($T$6, foundoptcell, 2, FALSE)+2, FALSE)</f>
        <v>1281</v>
      </c>
      <c r="W1290" s="90">
        <f t="shared" ref="W1290:W1353" si="205">VLOOKUP($D1290, foundoptions, VLOOKUP($T$6, foundoptcell, 2, FALSE)+3, FALSE)</f>
        <v>0</v>
      </c>
      <c r="X1290" s="90">
        <f t="shared" ref="X1290:X1353" si="206">VLOOKUP($D1290, foundoptions, VLOOKUP($T$6, foundoptcell, 2, FALSE)+4, FALSE)</f>
        <v>0</v>
      </c>
      <c r="Y1290" s="141">
        <f t="shared" si="198"/>
        <v>1281</v>
      </c>
      <c r="Z1290" s="298">
        <v>257</v>
      </c>
      <c r="AA1290" s="299">
        <v>257</v>
      </c>
      <c r="AB1290" s="299">
        <v>1281</v>
      </c>
      <c r="AC1290" s="301">
        <v>0</v>
      </c>
      <c r="AD1290" s="301">
        <v>0</v>
      </c>
      <c r="AE1290" s="126"/>
      <c r="AF1290" s="298"/>
      <c r="AG1290" s="299"/>
      <c r="AH1290" s="299"/>
      <c r="AI1290" s="301"/>
      <c r="AJ1290" s="301"/>
      <c r="AK1290" s="426"/>
      <c r="AL1290" s="298"/>
      <c r="AM1290" s="299"/>
      <c r="AN1290" s="299"/>
      <c r="AO1290" s="301"/>
      <c r="AP1290" s="301"/>
      <c r="AQ1290" s="426"/>
      <c r="AR1290" s="298"/>
      <c r="AS1290" s="299"/>
      <c r="AT1290" s="299"/>
      <c r="AU1290" s="301"/>
      <c r="AV1290" s="301"/>
      <c r="AW1290" s="88"/>
      <c r="AX1290" s="298"/>
      <c r="AY1290" s="299"/>
      <c r="AZ1290" s="299"/>
      <c r="BA1290" s="301"/>
      <c r="BB1290" s="301"/>
      <c r="BC1290" s="426"/>
      <c r="BD1290" s="298"/>
      <c r="BE1290" s="299"/>
      <c r="BF1290" s="299"/>
      <c r="BG1290" s="301"/>
      <c r="BH1290" s="301"/>
      <c r="BI1290" s="88"/>
      <c r="BJ1290" s="298"/>
      <c r="BK1290" s="299"/>
      <c r="BL1290" s="299"/>
      <c r="BM1290" s="301"/>
      <c r="BN1290" s="301"/>
      <c r="BO1290" s="88"/>
      <c r="BP1290" s="9"/>
      <c r="BS1290" s="81"/>
      <c r="BT1290" s="81"/>
      <c r="BV1290" s="9"/>
      <c r="BY1290" s="81"/>
      <c r="BZ1290" s="81"/>
      <c r="CB1290" s="9"/>
      <c r="CE1290" s="81"/>
      <c r="CF1290" s="81"/>
      <c r="CH1290" s="9"/>
      <c r="CK1290" s="81"/>
      <c r="CL1290" s="81"/>
      <c r="CR1290" s="9"/>
      <c r="CS1290" s="9"/>
      <c r="CT1290" s="9"/>
      <c r="CU1290" s="9"/>
      <c r="CV1290" s="9"/>
      <c r="CW1290" s="129"/>
      <c r="CX1290" s="9"/>
    </row>
    <row r="1291" spans="1:102">
      <c r="A1291" s="6" t="str">
        <f t="shared" si="201"/>
        <v>02570775</v>
      </c>
      <c r="B1291" s="6" t="s">
        <v>1907</v>
      </c>
      <c r="C1291" s="6" t="s">
        <v>2059</v>
      </c>
      <c r="D1291" s="6">
        <v>1282</v>
      </c>
      <c r="E1291" s="6">
        <v>257</v>
      </c>
      <c r="F1291" s="6" t="s">
        <v>1375</v>
      </c>
      <c r="G1291" s="6">
        <v>775</v>
      </c>
      <c r="H1291" s="6" t="s">
        <v>1089</v>
      </c>
      <c r="I1291" s="33">
        <v>20238492.623528376</v>
      </c>
      <c r="J1291" s="88">
        <v>0.94611330573455787</v>
      </c>
      <c r="K1291" s="89">
        <f t="shared" si="200"/>
        <v>20906014.656237829</v>
      </c>
      <c r="L1291" s="88">
        <f>IF(K1294&gt;0, K1291/K1294, 0)</f>
        <v>0.9361670674379956</v>
      </c>
      <c r="M1291" s="58"/>
      <c r="N1291" s="9">
        <f>ROUND(M1294*L1291,0)</f>
        <v>9185777</v>
      </c>
      <c r="O1291" s="9">
        <v>8718417</v>
      </c>
      <c r="P1291" s="9">
        <f>N1291-O1291</f>
        <v>467360</v>
      </c>
      <c r="Q1291" s="40">
        <f t="shared" si="199"/>
        <v>5.3606061742630571</v>
      </c>
      <c r="R1291" s="9">
        <v>1636.1853728931601</v>
      </c>
      <c r="S1291" s="9">
        <f t="shared" ref="S1291:S1354" si="207">W1291</f>
        <v>1645.29855327204</v>
      </c>
      <c r="T1291" s="90">
        <f t="shared" si="202"/>
        <v>257</v>
      </c>
      <c r="U1291" s="90">
        <f t="shared" si="203"/>
        <v>775</v>
      </c>
      <c r="V1291" s="373">
        <f t="shared" si="204"/>
        <v>1282</v>
      </c>
      <c r="W1291" s="90">
        <f t="shared" si="205"/>
        <v>1645.29855327204</v>
      </c>
      <c r="X1291" s="90">
        <f t="shared" si="206"/>
        <v>20906014.656237829</v>
      </c>
      <c r="Y1291" s="141">
        <f t="shared" ref="Y1291:Y1354" si="208">D1291</f>
        <v>1282</v>
      </c>
      <c r="Z1291" s="298">
        <v>257</v>
      </c>
      <c r="AA1291" s="299">
        <v>775</v>
      </c>
      <c r="AB1291" s="299">
        <v>1282</v>
      </c>
      <c r="AC1291" s="301">
        <v>1645.29855327204</v>
      </c>
      <c r="AD1291" s="301">
        <v>20906014.656237829</v>
      </c>
      <c r="AE1291" s="126"/>
      <c r="AF1291" s="298"/>
      <c r="AG1291" s="299"/>
      <c r="AH1291" s="299"/>
      <c r="AI1291" s="301"/>
      <c r="AJ1291" s="301"/>
      <c r="AK1291" s="426"/>
      <c r="AL1291" s="298"/>
      <c r="AM1291" s="299"/>
      <c r="AN1291" s="299"/>
      <c r="AO1291" s="301"/>
      <c r="AP1291" s="301"/>
      <c r="AQ1291" s="426"/>
      <c r="AR1291" s="298"/>
      <c r="AS1291" s="299"/>
      <c r="AT1291" s="299"/>
      <c r="AU1291" s="301"/>
      <c r="AV1291" s="301"/>
      <c r="AW1291" s="88"/>
      <c r="AX1291" s="298"/>
      <c r="AY1291" s="299"/>
      <c r="AZ1291" s="299"/>
      <c r="BA1291" s="301"/>
      <c r="BB1291" s="301"/>
      <c r="BC1291" s="426"/>
      <c r="BD1291" s="298"/>
      <c r="BE1291" s="299"/>
      <c r="BF1291" s="299"/>
      <c r="BG1291" s="301"/>
      <c r="BH1291" s="301"/>
      <c r="BI1291" s="88"/>
      <c r="BJ1291" s="298"/>
      <c r="BK1291" s="299"/>
      <c r="BL1291" s="299"/>
      <c r="BM1291" s="301"/>
      <c r="BN1291" s="301"/>
      <c r="BO1291" s="88"/>
      <c r="BP1291" s="9"/>
      <c r="BS1291" s="81"/>
      <c r="BT1291" s="81"/>
      <c r="BV1291" s="9"/>
      <c r="BY1291" s="81"/>
      <c r="BZ1291" s="81"/>
      <c r="CB1291" s="9"/>
      <c r="CE1291" s="81"/>
      <c r="CF1291" s="81"/>
      <c r="CH1291" s="9"/>
      <c r="CK1291" s="81"/>
      <c r="CL1291" s="81"/>
      <c r="CR1291" s="9"/>
      <c r="CS1291" s="9"/>
      <c r="CT1291" s="9"/>
      <c r="CU1291" s="9"/>
      <c r="CV1291" s="9"/>
      <c r="CW1291" s="129"/>
      <c r="CX1291" s="9"/>
    </row>
    <row r="1292" spans="1:102">
      <c r="A1292" s="6" t="str">
        <f t="shared" si="201"/>
        <v>02570876</v>
      </c>
      <c r="B1292" s="6" t="s">
        <v>1907</v>
      </c>
      <c r="C1292" s="6" t="s">
        <v>2084</v>
      </c>
      <c r="D1292" s="6">
        <v>1283</v>
      </c>
      <c r="E1292" s="6">
        <v>257</v>
      </c>
      <c r="F1292" s="6" t="s">
        <v>1375</v>
      </c>
      <c r="G1292" s="6">
        <v>876</v>
      </c>
      <c r="H1292" s="6" t="s">
        <v>1114</v>
      </c>
      <c r="I1292" s="33">
        <v>1152700.6942902626</v>
      </c>
      <c r="J1292" s="88">
        <v>5.3886694265442181E-2</v>
      </c>
      <c r="K1292" s="89">
        <f t="shared" si="200"/>
        <v>1425485.1191721619</v>
      </c>
      <c r="L1292" s="88">
        <f>IF(K1294&gt;0, K1292/K1294, 0)</f>
        <v>6.3832932562004369E-2</v>
      </c>
      <c r="M1292" s="58"/>
      <c r="N1292" s="9">
        <f>ROUND(M1294*L1292,0)</f>
        <v>626336</v>
      </c>
      <c r="O1292" s="9">
        <v>496565</v>
      </c>
      <c r="P1292" s="9">
        <f>N1292-O1292</f>
        <v>129771</v>
      </c>
      <c r="Q1292" s="40">
        <f t="shared" si="199"/>
        <v>26.133738785456082</v>
      </c>
      <c r="R1292" s="9">
        <v>57.00000000464</v>
      </c>
      <c r="S1292" s="9">
        <f t="shared" si="207"/>
        <v>68.999999999259998</v>
      </c>
      <c r="T1292" s="90">
        <f t="shared" si="202"/>
        <v>257</v>
      </c>
      <c r="U1292" s="90">
        <f t="shared" si="203"/>
        <v>876</v>
      </c>
      <c r="V1292" s="373">
        <f t="shared" si="204"/>
        <v>1283</v>
      </c>
      <c r="W1292" s="90">
        <f t="shared" si="205"/>
        <v>68.999999999259998</v>
      </c>
      <c r="X1292" s="90">
        <f t="shared" si="206"/>
        <v>1425485.1191721619</v>
      </c>
      <c r="Y1292" s="141">
        <f t="shared" si="208"/>
        <v>1283</v>
      </c>
      <c r="Z1292" s="298">
        <v>257</v>
      </c>
      <c r="AA1292" s="299">
        <v>876</v>
      </c>
      <c r="AB1292" s="299">
        <v>1283</v>
      </c>
      <c r="AC1292" s="301">
        <v>68.999999999259998</v>
      </c>
      <c r="AD1292" s="301">
        <v>1425485.1191721619</v>
      </c>
      <c r="AE1292" s="126"/>
      <c r="AF1292" s="298"/>
      <c r="AG1292" s="299"/>
      <c r="AH1292" s="299"/>
      <c r="AI1292" s="301"/>
      <c r="AJ1292" s="301"/>
      <c r="AK1292" s="426"/>
      <c r="AL1292" s="298"/>
      <c r="AM1292" s="299"/>
      <c r="AN1292" s="299"/>
      <c r="AO1292" s="301"/>
      <c r="AP1292" s="301"/>
      <c r="AQ1292" s="426"/>
      <c r="AR1292" s="298"/>
      <c r="AS1292" s="299"/>
      <c r="AT1292" s="299"/>
      <c r="AU1292" s="301"/>
      <c r="AV1292" s="301"/>
      <c r="AW1292" s="88"/>
      <c r="AX1292" s="298"/>
      <c r="AY1292" s="299"/>
      <c r="AZ1292" s="299"/>
      <c r="BA1292" s="301"/>
      <c r="BB1292" s="301"/>
      <c r="BC1292" s="426"/>
      <c r="BD1292" s="298"/>
      <c r="BE1292" s="299"/>
      <c r="BF1292" s="299"/>
      <c r="BG1292" s="301"/>
      <c r="BH1292" s="301"/>
      <c r="BI1292" s="88"/>
      <c r="BJ1292" s="298"/>
      <c r="BK1292" s="299"/>
      <c r="BL1292" s="299"/>
      <c r="BM1292" s="301"/>
      <c r="BN1292" s="301"/>
      <c r="BO1292" s="88"/>
      <c r="BP1292" s="9"/>
      <c r="BS1292" s="81"/>
      <c r="BT1292" s="81"/>
      <c r="BV1292" s="9"/>
      <c r="BY1292" s="81"/>
      <c r="BZ1292" s="81"/>
      <c r="CB1292" s="9"/>
      <c r="CE1292" s="81"/>
      <c r="CF1292" s="81"/>
      <c r="CH1292" s="9"/>
      <c r="CK1292" s="81"/>
      <c r="CL1292" s="81"/>
      <c r="CR1292" s="9"/>
      <c r="CS1292" s="9"/>
      <c r="CT1292" s="9"/>
      <c r="CU1292" s="9"/>
      <c r="CV1292" s="9"/>
      <c r="CW1292" s="129"/>
      <c r="CX1292" s="9"/>
    </row>
    <row r="1293" spans="1:102">
      <c r="A1293" s="6" t="str">
        <f t="shared" si="201"/>
        <v>02570998</v>
      </c>
      <c r="B1293" s="6" t="s">
        <v>1907</v>
      </c>
      <c r="C1293" s="6" t="s">
        <v>2091</v>
      </c>
      <c r="D1293" s="6">
        <v>1284</v>
      </c>
      <c r="E1293" s="6">
        <v>257</v>
      </c>
      <c r="F1293" s="6" t="s">
        <v>1547</v>
      </c>
      <c r="G1293" s="6">
        <v>998</v>
      </c>
      <c r="H1293" s="6" t="s">
        <v>1547</v>
      </c>
      <c r="I1293" s="33">
        <v>0</v>
      </c>
      <c r="J1293" s="88">
        <v>0</v>
      </c>
      <c r="K1293" s="89">
        <f t="shared" si="200"/>
        <v>0</v>
      </c>
      <c r="L1293" s="88">
        <f>IF(K1294&gt;0, K1293/K1294, 0)</f>
        <v>0</v>
      </c>
      <c r="M1293" s="58"/>
      <c r="N1293" s="9">
        <f>ROUND(M1294*L1293,0)</f>
        <v>0</v>
      </c>
      <c r="O1293" s="9">
        <v>0</v>
      </c>
      <c r="P1293" s="9">
        <f>N1293-O1293</f>
        <v>0</v>
      </c>
      <c r="Q1293" s="40">
        <f t="shared" si="199"/>
        <v>0</v>
      </c>
      <c r="R1293" s="9">
        <v>0</v>
      </c>
      <c r="S1293" s="9">
        <f t="shared" si="207"/>
        <v>0</v>
      </c>
      <c r="T1293" s="90">
        <f t="shared" si="202"/>
        <v>257</v>
      </c>
      <c r="U1293" s="90">
        <f t="shared" si="203"/>
        <v>998</v>
      </c>
      <c r="V1293" s="373">
        <f t="shared" si="204"/>
        <v>1284</v>
      </c>
      <c r="W1293" s="90">
        <f t="shared" si="205"/>
        <v>0</v>
      </c>
      <c r="X1293" s="90">
        <f t="shared" si="206"/>
        <v>0</v>
      </c>
      <c r="Y1293" s="141">
        <f t="shared" si="208"/>
        <v>1284</v>
      </c>
      <c r="Z1293" s="298">
        <v>257</v>
      </c>
      <c r="AA1293" s="299">
        <v>998</v>
      </c>
      <c r="AB1293" s="299">
        <v>1284</v>
      </c>
      <c r="AC1293" s="301">
        <v>0</v>
      </c>
      <c r="AD1293" s="301">
        <v>0</v>
      </c>
      <c r="AE1293" s="126"/>
      <c r="AF1293" s="298"/>
      <c r="AG1293" s="299"/>
      <c r="AH1293" s="299"/>
      <c r="AI1293" s="301"/>
      <c r="AJ1293" s="301"/>
      <c r="AK1293" s="426"/>
      <c r="AL1293" s="298"/>
      <c r="AM1293" s="299"/>
      <c r="AN1293" s="299"/>
      <c r="AO1293" s="301"/>
      <c r="AP1293" s="301"/>
      <c r="AQ1293" s="426"/>
      <c r="AR1293" s="298"/>
      <c r="AS1293" s="299"/>
      <c r="AT1293" s="299"/>
      <c r="AU1293" s="301"/>
      <c r="AV1293" s="301"/>
      <c r="AW1293" s="88"/>
      <c r="AX1293" s="298"/>
      <c r="AY1293" s="299"/>
      <c r="AZ1293" s="299"/>
      <c r="BA1293" s="301"/>
      <c r="BB1293" s="301"/>
      <c r="BC1293" s="426"/>
      <c r="BD1293" s="298"/>
      <c r="BE1293" s="299"/>
      <c r="BF1293" s="299"/>
      <c r="BG1293" s="301"/>
      <c r="BH1293" s="301"/>
      <c r="BI1293" s="88"/>
      <c r="BJ1293" s="298"/>
      <c r="BK1293" s="299"/>
      <c r="BL1293" s="299"/>
      <c r="BM1293" s="301"/>
      <c r="BN1293" s="301"/>
      <c r="BO1293" s="88"/>
      <c r="BP1293" s="9"/>
      <c r="BS1293" s="81"/>
      <c r="BT1293" s="81"/>
      <c r="BV1293" s="9"/>
      <c r="BY1293" s="81"/>
      <c r="BZ1293" s="81"/>
      <c r="CB1293" s="9"/>
      <c r="CE1293" s="81"/>
      <c r="CF1293" s="81"/>
      <c r="CH1293" s="9"/>
      <c r="CK1293" s="81"/>
      <c r="CL1293" s="81"/>
      <c r="CR1293" s="9"/>
      <c r="CS1293" s="9"/>
      <c r="CT1293" s="9"/>
      <c r="CU1293" s="9"/>
      <c r="CV1293" s="9"/>
      <c r="CW1293" s="129"/>
      <c r="CX1293" s="9"/>
    </row>
    <row r="1294" spans="1:102">
      <c r="A1294" s="6" t="str">
        <f t="shared" si="201"/>
        <v>02570999</v>
      </c>
      <c r="B1294" s="6" t="s">
        <v>1907</v>
      </c>
      <c r="C1294" s="6" t="s">
        <v>2092</v>
      </c>
      <c r="D1294" s="6">
        <v>1285</v>
      </c>
      <c r="E1294" s="10">
        <v>257</v>
      </c>
      <c r="F1294" s="10" t="s">
        <v>1375</v>
      </c>
      <c r="G1294" s="10">
        <v>999</v>
      </c>
      <c r="H1294" s="10" t="s">
        <v>593</v>
      </c>
      <c r="I1294" s="92">
        <v>21391193.317818638</v>
      </c>
      <c r="J1294" s="472">
        <v>1</v>
      </c>
      <c r="K1294" s="53">
        <f>SUM(K1290:K1293)</f>
        <v>22331499.775409993</v>
      </c>
      <c r="L1294" s="91">
        <f>SUM(L1290:L1293)</f>
        <v>1</v>
      </c>
      <c r="M1294" s="79">
        <f>VLOOKUP(E1294,town351,24)</f>
        <v>9812113</v>
      </c>
      <c r="N1294" s="79">
        <f>SUM(N1290:N1293)</f>
        <v>9812113</v>
      </c>
      <c r="O1294" s="79">
        <v>9214982</v>
      </c>
      <c r="P1294" s="79">
        <f>SUM(P1290:P1293)</f>
        <v>597131</v>
      </c>
      <c r="Q1294" s="39">
        <f t="shared" si="199"/>
        <v>6.4800018057550197</v>
      </c>
      <c r="R1294" s="9">
        <v>1693.1853728978001</v>
      </c>
      <c r="S1294" s="9">
        <f t="shared" si="207"/>
        <v>1714.2985532712999</v>
      </c>
      <c r="T1294" s="90">
        <f t="shared" si="202"/>
        <v>257</v>
      </c>
      <c r="U1294" s="90">
        <f t="shared" si="203"/>
        <v>999</v>
      </c>
      <c r="V1294" s="373">
        <f t="shared" si="204"/>
        <v>1285</v>
      </c>
      <c r="W1294" s="90">
        <f t="shared" si="205"/>
        <v>1714.2985532712999</v>
      </c>
      <c r="X1294" s="90">
        <f t="shared" si="206"/>
        <v>22331499.775409993</v>
      </c>
      <c r="Y1294" s="141">
        <f t="shared" si="208"/>
        <v>1285</v>
      </c>
      <c r="Z1294" s="298">
        <v>257</v>
      </c>
      <c r="AA1294" s="299">
        <v>999</v>
      </c>
      <c r="AB1294" s="299">
        <v>1285</v>
      </c>
      <c r="AC1294" s="301">
        <v>1714.2985532712999</v>
      </c>
      <c r="AD1294" s="301">
        <v>22331499.775409993</v>
      </c>
      <c r="AE1294" s="126"/>
      <c r="AF1294" s="298"/>
      <c r="AG1294" s="299"/>
      <c r="AH1294" s="299"/>
      <c r="AI1294" s="301"/>
      <c r="AJ1294" s="301"/>
      <c r="AK1294" s="426"/>
      <c r="AL1294" s="298"/>
      <c r="AM1294" s="299"/>
      <c r="AN1294" s="299"/>
      <c r="AO1294" s="301"/>
      <c r="AP1294" s="301"/>
      <c r="AQ1294" s="426"/>
      <c r="AR1294" s="298"/>
      <c r="AS1294" s="299"/>
      <c r="AT1294" s="299"/>
      <c r="AU1294" s="301"/>
      <c r="AV1294" s="301"/>
      <c r="AW1294" s="91"/>
      <c r="AX1294" s="298"/>
      <c r="AY1294" s="299"/>
      <c r="AZ1294" s="299"/>
      <c r="BA1294" s="301"/>
      <c r="BB1294" s="301"/>
      <c r="BC1294" s="426"/>
      <c r="BD1294" s="298"/>
      <c r="BE1294" s="299"/>
      <c r="BF1294" s="299"/>
      <c r="BG1294" s="301"/>
      <c r="BH1294" s="301"/>
      <c r="BI1294" s="91"/>
      <c r="BJ1294" s="298"/>
      <c r="BK1294" s="299"/>
      <c r="BL1294" s="299"/>
      <c r="BM1294" s="301"/>
      <c r="BN1294" s="301"/>
      <c r="BO1294" s="91"/>
      <c r="BP1294" s="9"/>
      <c r="BS1294" s="81"/>
      <c r="BT1294" s="81"/>
      <c r="BV1294" s="9"/>
      <c r="BY1294" s="81"/>
      <c r="BZ1294" s="81"/>
      <c r="CB1294" s="9"/>
      <c r="CE1294" s="81"/>
      <c r="CF1294" s="81"/>
      <c r="CH1294" s="9"/>
      <c r="CK1294" s="81"/>
      <c r="CL1294" s="81"/>
      <c r="CR1294" s="9"/>
      <c r="CS1294" s="9"/>
      <c r="CT1294" s="9"/>
      <c r="CU1294" s="9"/>
      <c r="CV1294" s="9"/>
      <c r="CW1294" s="129"/>
      <c r="CX1294" s="9"/>
    </row>
    <row r="1295" spans="1:102">
      <c r="A1295" s="6" t="str">
        <f t="shared" si="201"/>
        <v>02580258</v>
      </c>
      <c r="B1295" s="6" t="s">
        <v>1908</v>
      </c>
      <c r="C1295" s="6" t="s">
        <v>1908</v>
      </c>
      <c r="D1295" s="6">
        <v>1286</v>
      </c>
      <c r="E1295" s="6">
        <v>258</v>
      </c>
      <c r="F1295" s="6" t="s">
        <v>1376</v>
      </c>
      <c r="G1295" s="6">
        <v>258</v>
      </c>
      <c r="H1295" s="6" t="s">
        <v>939</v>
      </c>
      <c r="I1295" s="33">
        <v>69935642.150000006</v>
      </c>
      <c r="J1295" s="88">
        <v>0.94991251578742397</v>
      </c>
      <c r="K1295" s="89">
        <f>X1295</f>
        <v>75190968.379999995</v>
      </c>
      <c r="L1295" s="88">
        <f>IF(K1299&gt;0, K1295/K1299, 0)</f>
        <v>0.95637333542068947</v>
      </c>
      <c r="M1295" s="58"/>
      <c r="N1295" s="9">
        <f>ROUND(M1299*L1295,0)</f>
        <v>45548652</v>
      </c>
      <c r="O1295" s="9">
        <v>42479762</v>
      </c>
      <c r="P1295" s="9">
        <f>N1295-O1295</f>
        <v>3068890</v>
      </c>
      <c r="Q1295" s="40">
        <f t="shared" si="199"/>
        <v>7.224357801251335</v>
      </c>
      <c r="R1295" s="9">
        <v>4202</v>
      </c>
      <c r="S1295" s="9">
        <f t="shared" si="207"/>
        <v>4290</v>
      </c>
      <c r="T1295" s="90">
        <f t="shared" si="202"/>
        <v>258</v>
      </c>
      <c r="U1295" s="90">
        <f t="shared" si="203"/>
        <v>258</v>
      </c>
      <c r="V1295" s="373">
        <f t="shared" si="204"/>
        <v>1286</v>
      </c>
      <c r="W1295" s="90">
        <f t="shared" si="205"/>
        <v>4290</v>
      </c>
      <c r="X1295" s="90">
        <f t="shared" si="206"/>
        <v>75190968.379999995</v>
      </c>
      <c r="Y1295" s="141">
        <f t="shared" si="208"/>
        <v>1286</v>
      </c>
      <c r="Z1295" s="298">
        <v>258</v>
      </c>
      <c r="AA1295" s="299">
        <v>258</v>
      </c>
      <c r="AB1295" s="299">
        <v>1286</v>
      </c>
      <c r="AC1295" s="301">
        <v>4290</v>
      </c>
      <c r="AD1295" s="301">
        <v>75190968.379999995</v>
      </c>
      <c r="AE1295" s="126"/>
      <c r="AF1295" s="298"/>
      <c r="AG1295" s="299"/>
      <c r="AH1295" s="299"/>
      <c r="AI1295" s="301"/>
      <c r="AJ1295" s="301"/>
      <c r="AK1295" s="426"/>
      <c r="AL1295" s="298"/>
      <c r="AM1295" s="299"/>
      <c r="AN1295" s="299"/>
      <c r="AO1295" s="301"/>
      <c r="AP1295" s="301"/>
      <c r="AQ1295" s="426"/>
      <c r="AR1295" s="298"/>
      <c r="AS1295" s="299"/>
      <c r="AT1295" s="299"/>
      <c r="AU1295" s="301"/>
      <c r="AV1295" s="301"/>
      <c r="AW1295" s="88"/>
      <c r="AX1295" s="298"/>
      <c r="AY1295" s="299"/>
      <c r="AZ1295" s="299"/>
      <c r="BA1295" s="301"/>
      <c r="BB1295" s="301"/>
      <c r="BC1295" s="426"/>
      <c r="BD1295" s="298"/>
      <c r="BE1295" s="299"/>
      <c r="BF1295" s="299"/>
      <c r="BG1295" s="301"/>
      <c r="BH1295" s="301"/>
      <c r="BI1295" s="88"/>
      <c r="BJ1295" s="298"/>
      <c r="BK1295" s="299"/>
      <c r="BL1295" s="299"/>
      <c r="BM1295" s="301"/>
      <c r="BN1295" s="301"/>
      <c r="BO1295" s="88"/>
      <c r="BP1295" s="9"/>
      <c r="BS1295" s="81"/>
      <c r="BT1295" s="81"/>
      <c r="BV1295" s="9"/>
      <c r="BY1295" s="81"/>
      <c r="BZ1295" s="81"/>
      <c r="CB1295" s="9"/>
      <c r="CE1295" s="81"/>
      <c r="CF1295" s="81"/>
      <c r="CH1295" s="9"/>
      <c r="CK1295" s="81"/>
      <c r="CL1295" s="81"/>
      <c r="CR1295" s="9"/>
      <c r="CS1295" s="9"/>
      <c r="CT1295" s="9"/>
      <c r="CU1295" s="9"/>
      <c r="CV1295" s="9"/>
      <c r="CW1295" s="129"/>
      <c r="CX1295" s="9"/>
    </row>
    <row r="1296" spans="1:102">
      <c r="A1296" s="6" t="str">
        <f t="shared" si="201"/>
        <v>02580817</v>
      </c>
      <c r="B1296" s="6" t="s">
        <v>1908</v>
      </c>
      <c r="C1296" s="6" t="s">
        <v>2067</v>
      </c>
      <c r="D1296" s="6">
        <v>1287</v>
      </c>
      <c r="E1296" s="6">
        <v>258</v>
      </c>
      <c r="F1296" s="6" t="s">
        <v>1376</v>
      </c>
      <c r="G1296" s="6">
        <v>817</v>
      </c>
      <c r="H1296" s="6" t="s">
        <v>1097</v>
      </c>
      <c r="I1296" s="33">
        <v>3687603.1359380269</v>
      </c>
      <c r="J1296" s="88">
        <v>5.0087484212575931E-2</v>
      </c>
      <c r="K1296" s="89">
        <f t="shared" si="200"/>
        <v>3429969.2760305321</v>
      </c>
      <c r="L1296" s="88">
        <f>IF(K1299&gt;0, K1296/K1299, 0)</f>
        <v>4.3626664579310581E-2</v>
      </c>
      <c r="M1296" s="58"/>
      <c r="N1296" s="9">
        <f>ROUND(M1299*L1296,0)</f>
        <v>2077783</v>
      </c>
      <c r="O1296" s="9">
        <v>2239895</v>
      </c>
      <c r="P1296" s="9">
        <f>N1296-O1296</f>
        <v>-162112</v>
      </c>
      <c r="Q1296" s="40">
        <f>IF(O1296&gt;0,P1296*100/O1296,IF(P1296&gt;0,100,0))</f>
        <v>-7.2374821141169567</v>
      </c>
      <c r="R1296" s="9">
        <v>186.99999999485999</v>
      </c>
      <c r="S1296" s="9">
        <f t="shared" si="207"/>
        <v>170.0000000046</v>
      </c>
      <c r="T1296" s="90">
        <f t="shared" si="202"/>
        <v>258</v>
      </c>
      <c r="U1296" s="90">
        <f t="shared" si="203"/>
        <v>817</v>
      </c>
      <c r="V1296" s="373">
        <f t="shared" si="204"/>
        <v>1287</v>
      </c>
      <c r="W1296" s="90">
        <f t="shared" si="205"/>
        <v>170.0000000046</v>
      </c>
      <c r="X1296" s="90">
        <f t="shared" si="206"/>
        <v>3429969.2760305321</v>
      </c>
      <c r="Y1296" s="141">
        <f t="shared" si="208"/>
        <v>1287</v>
      </c>
      <c r="Z1296" s="298">
        <v>258</v>
      </c>
      <c r="AA1296" s="299">
        <v>817</v>
      </c>
      <c r="AB1296" s="299">
        <v>1287</v>
      </c>
      <c r="AC1296" s="301">
        <v>170.0000000046</v>
      </c>
      <c r="AD1296" s="301">
        <v>3429969.2760305321</v>
      </c>
      <c r="AE1296" s="126"/>
      <c r="AF1296" s="298"/>
      <c r="AG1296" s="299"/>
      <c r="AH1296" s="299"/>
      <c r="AI1296" s="301"/>
      <c r="AJ1296" s="301"/>
      <c r="AK1296" s="426"/>
      <c r="AL1296" s="298"/>
      <c r="AM1296" s="299"/>
      <c r="AN1296" s="299"/>
      <c r="AO1296" s="301"/>
      <c r="AP1296" s="301"/>
      <c r="AQ1296" s="426"/>
      <c r="AR1296" s="298"/>
      <c r="AS1296" s="299"/>
      <c r="AT1296" s="299"/>
      <c r="AU1296" s="301"/>
      <c r="AV1296" s="301"/>
      <c r="AW1296" s="88"/>
      <c r="AX1296" s="298"/>
      <c r="AY1296" s="299"/>
      <c r="AZ1296" s="299"/>
      <c r="BA1296" s="301"/>
      <c r="BB1296" s="301"/>
      <c r="BC1296" s="426"/>
      <c r="BD1296" s="298"/>
      <c r="BE1296" s="299"/>
      <c r="BF1296" s="299"/>
      <c r="BG1296" s="301"/>
      <c r="BH1296" s="301"/>
      <c r="BI1296" s="88"/>
      <c r="BJ1296" s="298"/>
      <c r="BK1296" s="299"/>
      <c r="BL1296" s="299"/>
      <c r="BM1296" s="301"/>
      <c r="BN1296" s="301"/>
      <c r="BO1296" s="88"/>
      <c r="BP1296" s="9"/>
      <c r="BS1296" s="81"/>
      <c r="BT1296" s="81"/>
      <c r="BV1296" s="9"/>
      <c r="BY1296" s="81"/>
      <c r="BZ1296" s="81"/>
      <c r="CB1296" s="9"/>
      <c r="CE1296" s="81"/>
      <c r="CF1296" s="81"/>
      <c r="CH1296" s="9"/>
      <c r="CK1296" s="81"/>
      <c r="CL1296" s="81"/>
      <c r="CR1296" s="9"/>
      <c r="CS1296" s="9"/>
      <c r="CT1296" s="9"/>
      <c r="CU1296" s="9"/>
      <c r="CV1296" s="9"/>
      <c r="CW1296" s="129"/>
      <c r="CX1296" s="9"/>
    </row>
    <row r="1297" spans="1:102">
      <c r="A1297" s="6" t="str">
        <f t="shared" si="201"/>
        <v>02580998</v>
      </c>
      <c r="B1297" s="6" t="s">
        <v>1908</v>
      </c>
      <c r="C1297" s="6" t="s">
        <v>2091</v>
      </c>
      <c r="D1297" s="6">
        <v>1288</v>
      </c>
      <c r="E1297" s="6">
        <v>258</v>
      </c>
      <c r="F1297" s="6" t="s">
        <v>1547</v>
      </c>
      <c r="G1297" s="6">
        <v>998</v>
      </c>
      <c r="I1297" s="33">
        <v>0</v>
      </c>
      <c r="J1297" s="88">
        <v>0</v>
      </c>
      <c r="K1297" s="89">
        <f t="shared" si="200"/>
        <v>0</v>
      </c>
      <c r="L1297" s="88">
        <f>IF(K1299&gt;0, K1297/K1299, 0)</f>
        <v>0</v>
      </c>
      <c r="M1297" s="58"/>
      <c r="N1297" s="9">
        <f>ROUND(M1299*L1297,0)</f>
        <v>0</v>
      </c>
      <c r="O1297" s="9">
        <v>0</v>
      </c>
      <c r="P1297" s="9">
        <f>N1297-O1297</f>
        <v>0</v>
      </c>
      <c r="Q1297" s="40">
        <f>IF(O1297&gt;0,P1297*100/O1297,IF(P1297&gt;0,100,0))</f>
        <v>0</v>
      </c>
      <c r="R1297" s="9">
        <v>0</v>
      </c>
      <c r="S1297" s="9">
        <f t="shared" si="207"/>
        <v>0</v>
      </c>
      <c r="T1297" s="90">
        <f t="shared" si="202"/>
        <v>258</v>
      </c>
      <c r="U1297" s="90">
        <f t="shared" si="203"/>
        <v>998</v>
      </c>
      <c r="V1297" s="373">
        <f t="shared" si="204"/>
        <v>1288</v>
      </c>
      <c r="W1297" s="90">
        <f t="shared" si="205"/>
        <v>0</v>
      </c>
      <c r="X1297" s="90">
        <f t="shared" si="206"/>
        <v>0</v>
      </c>
      <c r="Y1297" s="141">
        <f t="shared" si="208"/>
        <v>1288</v>
      </c>
      <c r="Z1297" s="298">
        <v>258</v>
      </c>
      <c r="AA1297" s="299">
        <v>998</v>
      </c>
      <c r="AB1297" s="299">
        <v>1288</v>
      </c>
      <c r="AC1297" s="301">
        <v>0</v>
      </c>
      <c r="AD1297" s="301">
        <v>0</v>
      </c>
      <c r="AE1297" s="126"/>
      <c r="AF1297" s="298"/>
      <c r="AG1297" s="299"/>
      <c r="AH1297" s="299"/>
      <c r="AI1297" s="301"/>
      <c r="AJ1297" s="301"/>
      <c r="AK1297" s="426"/>
      <c r="AL1297" s="298"/>
      <c r="AM1297" s="299"/>
      <c r="AN1297" s="299"/>
      <c r="AO1297" s="301"/>
      <c r="AP1297" s="301"/>
      <c r="AQ1297" s="426"/>
      <c r="AR1297" s="298"/>
      <c r="AS1297" s="299"/>
      <c r="AT1297" s="299"/>
      <c r="AU1297" s="301"/>
      <c r="AV1297" s="301"/>
      <c r="AW1297" s="88"/>
      <c r="AX1297" s="298"/>
      <c r="AY1297" s="299"/>
      <c r="AZ1297" s="299"/>
      <c r="BA1297" s="301"/>
      <c r="BB1297" s="301"/>
      <c r="BC1297" s="426"/>
      <c r="BD1297" s="298"/>
      <c r="BE1297" s="299"/>
      <c r="BF1297" s="299"/>
      <c r="BG1297" s="301"/>
      <c r="BH1297" s="301"/>
      <c r="BI1297" s="88"/>
      <c r="BJ1297" s="298"/>
      <c r="BK1297" s="299"/>
      <c r="BL1297" s="299"/>
      <c r="BM1297" s="301"/>
      <c r="BN1297" s="301"/>
      <c r="BO1297" s="88"/>
      <c r="BP1297" s="9"/>
      <c r="BS1297" s="81"/>
      <c r="BT1297" s="81"/>
      <c r="BV1297" s="9"/>
      <c r="BY1297" s="81"/>
      <c r="BZ1297" s="81"/>
      <c r="CB1297" s="9"/>
      <c r="CE1297" s="81"/>
      <c r="CF1297" s="81"/>
      <c r="CH1297" s="9"/>
      <c r="CK1297" s="81"/>
      <c r="CL1297" s="81"/>
      <c r="CR1297" s="9"/>
      <c r="CS1297" s="9"/>
      <c r="CT1297" s="9"/>
      <c r="CU1297" s="9"/>
      <c r="CV1297" s="9"/>
      <c r="CW1297" s="129"/>
      <c r="CX1297" s="9"/>
    </row>
    <row r="1298" spans="1:102">
      <c r="A1298" s="6" t="str">
        <f t="shared" si="201"/>
        <v>02580998</v>
      </c>
      <c r="B1298" s="6" t="s">
        <v>1908</v>
      </c>
      <c r="C1298" s="6" t="s">
        <v>2091</v>
      </c>
      <c r="D1298" s="6">
        <v>1289</v>
      </c>
      <c r="E1298" s="6">
        <v>258</v>
      </c>
      <c r="F1298" s="6" t="s">
        <v>1547</v>
      </c>
      <c r="G1298" s="6">
        <v>998</v>
      </c>
      <c r="H1298" s="6" t="s">
        <v>1547</v>
      </c>
      <c r="I1298" s="33">
        <v>0</v>
      </c>
      <c r="J1298" s="88">
        <v>0</v>
      </c>
      <c r="K1298" s="89">
        <f t="shared" si="200"/>
        <v>0</v>
      </c>
      <c r="L1298" s="88">
        <f>IF(K1299&gt;0, K1298/K1299, 0)</f>
        <v>0</v>
      </c>
      <c r="M1298" s="58"/>
      <c r="N1298" s="9">
        <f>ROUND(M1299*L1298,0)</f>
        <v>0</v>
      </c>
      <c r="O1298" s="9">
        <v>0</v>
      </c>
      <c r="P1298" s="9">
        <f>N1298-O1298</f>
        <v>0</v>
      </c>
      <c r="Q1298" s="40">
        <f>IF(O1298&gt;0,P1298*100/O1298,IF(P1298&gt;0,100,0))</f>
        <v>0</v>
      </c>
      <c r="R1298" s="9">
        <v>0</v>
      </c>
      <c r="S1298" s="9">
        <f t="shared" si="207"/>
        <v>0</v>
      </c>
      <c r="T1298" s="90">
        <f t="shared" si="202"/>
        <v>258</v>
      </c>
      <c r="U1298" s="90">
        <f t="shared" si="203"/>
        <v>998</v>
      </c>
      <c r="V1298" s="373">
        <f t="shared" si="204"/>
        <v>1289</v>
      </c>
      <c r="W1298" s="90">
        <f t="shared" si="205"/>
        <v>0</v>
      </c>
      <c r="X1298" s="90">
        <f t="shared" si="206"/>
        <v>0</v>
      </c>
      <c r="Y1298" s="141">
        <f t="shared" si="208"/>
        <v>1289</v>
      </c>
      <c r="Z1298" s="298">
        <v>258</v>
      </c>
      <c r="AA1298" s="299">
        <v>998</v>
      </c>
      <c r="AB1298" s="299">
        <v>1289</v>
      </c>
      <c r="AC1298" s="301">
        <v>0</v>
      </c>
      <c r="AD1298" s="301">
        <v>0</v>
      </c>
      <c r="AE1298" s="126"/>
      <c r="AF1298" s="298"/>
      <c r="AG1298" s="299"/>
      <c r="AH1298" s="299"/>
      <c r="AI1298" s="301"/>
      <c r="AJ1298" s="301"/>
      <c r="AK1298" s="426"/>
      <c r="AL1298" s="298"/>
      <c r="AM1298" s="299"/>
      <c r="AN1298" s="299"/>
      <c r="AO1298" s="301"/>
      <c r="AP1298" s="301"/>
      <c r="AQ1298" s="426"/>
      <c r="AR1298" s="298"/>
      <c r="AS1298" s="299"/>
      <c r="AT1298" s="299"/>
      <c r="AU1298" s="301"/>
      <c r="AV1298" s="301"/>
      <c r="AW1298" s="88"/>
      <c r="AX1298" s="298"/>
      <c r="AY1298" s="299"/>
      <c r="AZ1298" s="299"/>
      <c r="BA1298" s="301"/>
      <c r="BB1298" s="301"/>
      <c r="BC1298" s="426"/>
      <c r="BD1298" s="298"/>
      <c r="BE1298" s="299"/>
      <c r="BF1298" s="299"/>
      <c r="BG1298" s="301"/>
      <c r="BH1298" s="301"/>
      <c r="BI1298" s="88"/>
      <c r="BJ1298" s="298"/>
      <c r="BK1298" s="299"/>
      <c r="BL1298" s="299"/>
      <c r="BM1298" s="301"/>
      <c r="BN1298" s="301"/>
      <c r="BO1298" s="88"/>
      <c r="BP1298" s="9"/>
      <c r="BS1298" s="81"/>
      <c r="BT1298" s="81"/>
      <c r="BV1298" s="9"/>
      <c r="BY1298" s="81"/>
      <c r="BZ1298" s="81"/>
      <c r="CB1298" s="9"/>
      <c r="CE1298" s="81"/>
      <c r="CF1298" s="81"/>
      <c r="CH1298" s="9"/>
      <c r="CK1298" s="81"/>
      <c r="CL1298" s="81"/>
      <c r="CR1298" s="9"/>
      <c r="CS1298" s="9"/>
      <c r="CT1298" s="9"/>
      <c r="CU1298" s="9"/>
      <c r="CV1298" s="9"/>
      <c r="CW1298" s="129"/>
      <c r="CX1298" s="9"/>
    </row>
    <row r="1299" spans="1:102">
      <c r="A1299" s="6" t="str">
        <f t="shared" si="201"/>
        <v>02580999</v>
      </c>
      <c r="B1299" s="6" t="s">
        <v>1908</v>
      </c>
      <c r="C1299" s="6" t="s">
        <v>2092</v>
      </c>
      <c r="D1299" s="6">
        <v>1290</v>
      </c>
      <c r="E1299" s="10">
        <v>258</v>
      </c>
      <c r="F1299" s="10" t="s">
        <v>1376</v>
      </c>
      <c r="G1299" s="10">
        <v>999</v>
      </c>
      <c r="H1299" s="10" t="s">
        <v>593</v>
      </c>
      <c r="I1299" s="92">
        <v>73623245.285938039</v>
      </c>
      <c r="J1299" s="472">
        <v>0.99999999999999989</v>
      </c>
      <c r="K1299" s="53">
        <f>SUM(K1295:K1298)</f>
        <v>78620937.656030521</v>
      </c>
      <c r="L1299" s="91">
        <f>SUM(L1295:L1298)</f>
        <v>1</v>
      </c>
      <c r="M1299" s="79">
        <f>VLOOKUP(E1299,town351,24)</f>
        <v>47626435</v>
      </c>
      <c r="N1299" s="79">
        <f>SUM(N1295:N1298)</f>
        <v>47626435</v>
      </c>
      <c r="O1299" s="79">
        <v>44719657</v>
      </c>
      <c r="P1299" s="79">
        <f>SUM(P1295:P1298)</f>
        <v>2906778</v>
      </c>
      <c r="Q1299" s="39">
        <f t="shared" ref="Q1299:Q1359" si="209">IF(O1299&gt;0,P1299*100/O1299,IF(P1299&gt;0,100,0))</f>
        <v>6.5000006596651669</v>
      </c>
      <c r="R1299" s="9">
        <v>4388.9999999948595</v>
      </c>
      <c r="S1299" s="9">
        <f t="shared" si="207"/>
        <v>4460.0000000046002</v>
      </c>
      <c r="T1299" s="90">
        <f t="shared" si="202"/>
        <v>258</v>
      </c>
      <c r="U1299" s="90">
        <f t="shared" si="203"/>
        <v>999</v>
      </c>
      <c r="V1299" s="373">
        <f t="shared" si="204"/>
        <v>1290</v>
      </c>
      <c r="W1299" s="90">
        <f t="shared" si="205"/>
        <v>4460.0000000046002</v>
      </c>
      <c r="X1299" s="90">
        <f t="shared" si="206"/>
        <v>78620937.656030521</v>
      </c>
      <c r="Y1299" s="141">
        <f t="shared" si="208"/>
        <v>1290</v>
      </c>
      <c r="Z1299" s="298">
        <v>258</v>
      </c>
      <c r="AA1299" s="299">
        <v>999</v>
      </c>
      <c r="AB1299" s="299">
        <v>1290</v>
      </c>
      <c r="AC1299" s="301">
        <v>4460.0000000046002</v>
      </c>
      <c r="AD1299" s="301">
        <v>78620937.656030521</v>
      </c>
      <c r="AE1299" s="126"/>
      <c r="AF1299" s="298"/>
      <c r="AG1299" s="299"/>
      <c r="AH1299" s="299"/>
      <c r="AI1299" s="301"/>
      <c r="AJ1299" s="301"/>
      <c r="AK1299" s="426"/>
      <c r="AL1299" s="298"/>
      <c r="AM1299" s="299"/>
      <c r="AN1299" s="299"/>
      <c r="AO1299" s="301"/>
      <c r="AP1299" s="301"/>
      <c r="AQ1299" s="426"/>
      <c r="AR1299" s="298"/>
      <c r="AS1299" s="299"/>
      <c r="AT1299" s="299"/>
      <c r="AU1299" s="301"/>
      <c r="AV1299" s="301"/>
      <c r="AW1299" s="91"/>
      <c r="AX1299" s="298"/>
      <c r="AY1299" s="299"/>
      <c r="AZ1299" s="299"/>
      <c r="BA1299" s="301"/>
      <c r="BB1299" s="301"/>
      <c r="BC1299" s="426"/>
      <c r="BD1299" s="298"/>
      <c r="BE1299" s="299"/>
      <c r="BF1299" s="299"/>
      <c r="BG1299" s="301"/>
      <c r="BH1299" s="301"/>
      <c r="BI1299" s="91"/>
      <c r="BJ1299" s="298"/>
      <c r="BK1299" s="299"/>
      <c r="BL1299" s="299"/>
      <c r="BM1299" s="301"/>
      <c r="BN1299" s="301"/>
      <c r="BO1299" s="91"/>
      <c r="BP1299" s="9"/>
      <c r="BS1299" s="81"/>
      <c r="BT1299" s="81"/>
      <c r="BV1299" s="9"/>
      <c r="BY1299" s="81"/>
      <c r="BZ1299" s="81"/>
      <c r="CB1299" s="9"/>
      <c r="CE1299" s="81"/>
      <c r="CF1299" s="81"/>
      <c r="CH1299" s="9"/>
      <c r="CK1299" s="81"/>
      <c r="CL1299" s="81"/>
      <c r="CR1299" s="9"/>
      <c r="CS1299" s="9"/>
      <c r="CT1299" s="9"/>
      <c r="CU1299" s="9"/>
      <c r="CV1299" s="9"/>
      <c r="CW1299" s="129"/>
      <c r="CX1299" s="9"/>
    </row>
    <row r="1300" spans="1:102">
      <c r="A1300" s="6" t="str">
        <f t="shared" si="201"/>
        <v>02590259</v>
      </c>
      <c r="B1300" s="6" t="s">
        <v>1909</v>
      </c>
      <c r="C1300" s="6" t="s">
        <v>1909</v>
      </c>
      <c r="D1300" s="6">
        <v>1291</v>
      </c>
      <c r="E1300" s="6">
        <v>259</v>
      </c>
      <c r="F1300" s="6" t="s">
        <v>1377</v>
      </c>
      <c r="G1300" s="6">
        <v>259</v>
      </c>
      <c r="H1300" s="6" t="s">
        <v>940</v>
      </c>
      <c r="I1300" s="33">
        <v>32981.520000000004</v>
      </c>
      <c r="J1300" s="88">
        <v>2.5587312233614312E-3</v>
      </c>
      <c r="K1300" s="89">
        <f>X1300</f>
        <v>50580.990000000005</v>
      </c>
      <c r="L1300" s="88">
        <f>IF(K1304&gt;0, K1300/K1304, 0)</f>
        <v>3.9556048773559706E-3</v>
      </c>
      <c r="M1300" s="58"/>
      <c r="N1300" s="9">
        <f>ROUND(M1304*L1300,0)</f>
        <v>40556</v>
      </c>
      <c r="O1300" s="9">
        <v>25025</v>
      </c>
      <c r="P1300" s="9">
        <f>N1300-O1300</f>
        <v>15531</v>
      </c>
      <c r="Q1300" s="40">
        <f t="shared" si="209"/>
        <v>62.061938061938065</v>
      </c>
      <c r="R1300" s="9">
        <v>2</v>
      </c>
      <c r="S1300" s="9">
        <f t="shared" si="207"/>
        <v>3</v>
      </c>
      <c r="T1300" s="90">
        <f t="shared" si="202"/>
        <v>259</v>
      </c>
      <c r="U1300" s="90">
        <f t="shared" si="203"/>
        <v>259</v>
      </c>
      <c r="V1300" s="373">
        <f t="shared" si="204"/>
        <v>1291</v>
      </c>
      <c r="W1300" s="90">
        <f t="shared" si="205"/>
        <v>3</v>
      </c>
      <c r="X1300" s="90">
        <f t="shared" si="206"/>
        <v>50580.990000000005</v>
      </c>
      <c r="Y1300" s="141">
        <f t="shared" si="208"/>
        <v>1291</v>
      </c>
      <c r="Z1300" s="298">
        <v>259</v>
      </c>
      <c r="AA1300" s="299">
        <v>259</v>
      </c>
      <c r="AB1300" s="299">
        <v>1291</v>
      </c>
      <c r="AC1300" s="301">
        <v>3</v>
      </c>
      <c r="AD1300" s="301">
        <v>50580.990000000005</v>
      </c>
      <c r="AE1300" s="126"/>
      <c r="AF1300" s="298"/>
      <c r="AG1300" s="299"/>
      <c r="AH1300" s="299"/>
      <c r="AI1300" s="301"/>
      <c r="AJ1300" s="301"/>
      <c r="AK1300" s="426"/>
      <c r="AL1300" s="298"/>
      <c r="AM1300" s="299"/>
      <c r="AN1300" s="299"/>
      <c r="AO1300" s="301"/>
      <c r="AP1300" s="301"/>
      <c r="AQ1300" s="426"/>
      <c r="AR1300" s="298"/>
      <c r="AS1300" s="299"/>
      <c r="AT1300" s="299"/>
      <c r="AU1300" s="301"/>
      <c r="AV1300" s="301"/>
      <c r="AW1300" s="88"/>
      <c r="AX1300" s="298"/>
      <c r="AY1300" s="299"/>
      <c r="AZ1300" s="299"/>
      <c r="BA1300" s="301"/>
      <c r="BB1300" s="301"/>
      <c r="BC1300" s="426"/>
      <c r="BD1300" s="298"/>
      <c r="BE1300" s="299"/>
      <c r="BF1300" s="299"/>
      <c r="BG1300" s="301"/>
      <c r="BH1300" s="301"/>
      <c r="BI1300" s="88"/>
      <c r="BJ1300" s="298"/>
      <c r="BK1300" s="299"/>
      <c r="BL1300" s="299"/>
      <c r="BM1300" s="301"/>
      <c r="BN1300" s="301"/>
      <c r="BO1300" s="88"/>
      <c r="BP1300" s="9"/>
      <c r="BS1300" s="81"/>
      <c r="BT1300" s="81"/>
      <c r="BV1300" s="9"/>
      <c r="BY1300" s="81"/>
      <c r="BZ1300" s="81"/>
      <c r="CB1300" s="9"/>
      <c r="CE1300" s="81"/>
      <c r="CF1300" s="81"/>
      <c r="CH1300" s="9"/>
      <c r="CK1300" s="81"/>
      <c r="CL1300" s="81"/>
      <c r="CR1300" s="9"/>
      <c r="CS1300" s="9"/>
      <c r="CT1300" s="9"/>
      <c r="CU1300" s="9"/>
      <c r="CV1300" s="9"/>
      <c r="CW1300" s="129"/>
      <c r="CX1300" s="9"/>
    </row>
    <row r="1301" spans="1:102">
      <c r="A1301" s="6" t="str">
        <f t="shared" si="201"/>
        <v>02590773</v>
      </c>
      <c r="B1301" s="6" t="s">
        <v>1909</v>
      </c>
      <c r="C1301" s="6" t="s">
        <v>2057</v>
      </c>
      <c r="D1301" s="6">
        <v>1292</v>
      </c>
      <c r="E1301" s="6">
        <v>259</v>
      </c>
      <c r="F1301" s="6" t="s">
        <v>1377</v>
      </c>
      <c r="G1301" s="6">
        <v>773</v>
      </c>
      <c r="H1301" s="6" t="s">
        <v>1087</v>
      </c>
      <c r="I1301" s="33">
        <v>11816836.692646176</v>
      </c>
      <c r="J1301" s="88">
        <v>0.9167591125829494</v>
      </c>
      <c r="K1301" s="89">
        <f t="shared" si="200"/>
        <v>11605258.635313623</v>
      </c>
      <c r="L1301" s="88">
        <f>IF(K1304&gt;0, K1301/K1304, 0)</f>
        <v>0.90757056476799003</v>
      </c>
      <c r="M1301" s="58"/>
      <c r="N1301" s="9">
        <f>ROUND(M1304*L1301,0)</f>
        <v>9305123</v>
      </c>
      <c r="O1301" s="9">
        <v>8966261</v>
      </c>
      <c r="P1301" s="9">
        <f>N1301-O1301</f>
        <v>338862</v>
      </c>
      <c r="Q1301" s="40">
        <f t="shared" si="209"/>
        <v>3.7793010932873803</v>
      </c>
      <c r="R1301" s="9">
        <v>864.28457091231996</v>
      </c>
      <c r="S1301" s="9">
        <f t="shared" si="207"/>
        <v>830.53302540824006</v>
      </c>
      <c r="T1301" s="90">
        <f t="shared" si="202"/>
        <v>259</v>
      </c>
      <c r="U1301" s="90">
        <f t="shared" si="203"/>
        <v>773</v>
      </c>
      <c r="V1301" s="373">
        <f t="shared" si="204"/>
        <v>1292</v>
      </c>
      <c r="W1301" s="90">
        <f t="shared" si="205"/>
        <v>830.53302540824006</v>
      </c>
      <c r="X1301" s="90">
        <f t="shared" si="206"/>
        <v>11605258.635313623</v>
      </c>
      <c r="Y1301" s="141">
        <f t="shared" si="208"/>
        <v>1292</v>
      </c>
      <c r="Z1301" s="298">
        <v>259</v>
      </c>
      <c r="AA1301" s="299">
        <v>773</v>
      </c>
      <c r="AB1301" s="299">
        <v>1292</v>
      </c>
      <c r="AC1301" s="301">
        <v>830.53302540824006</v>
      </c>
      <c r="AD1301" s="301">
        <v>11605258.635313623</v>
      </c>
      <c r="AE1301" s="126"/>
      <c r="AF1301" s="298"/>
      <c r="AG1301" s="299"/>
      <c r="AH1301" s="299"/>
      <c r="AI1301" s="301"/>
      <c r="AJ1301" s="301"/>
      <c r="AK1301" s="426"/>
      <c r="AL1301" s="298"/>
      <c r="AM1301" s="299"/>
      <c r="AN1301" s="299"/>
      <c r="AO1301" s="301"/>
      <c r="AP1301" s="301"/>
      <c r="AQ1301" s="426"/>
      <c r="AR1301" s="298"/>
      <c r="AS1301" s="299"/>
      <c r="AT1301" s="299"/>
      <c r="AU1301" s="301"/>
      <c r="AV1301" s="301"/>
      <c r="AW1301" s="88"/>
      <c r="AX1301" s="298"/>
      <c r="AY1301" s="299"/>
      <c r="AZ1301" s="299"/>
      <c r="BA1301" s="301"/>
      <c r="BB1301" s="301"/>
      <c r="BC1301" s="426"/>
      <c r="BD1301" s="298"/>
      <c r="BE1301" s="299"/>
      <c r="BF1301" s="299"/>
      <c r="BG1301" s="301"/>
      <c r="BH1301" s="301"/>
      <c r="BI1301" s="88"/>
      <c r="BJ1301" s="298"/>
      <c r="BK1301" s="299"/>
      <c r="BL1301" s="299"/>
      <c r="BM1301" s="301"/>
      <c r="BN1301" s="301"/>
      <c r="BO1301" s="88"/>
      <c r="BP1301" s="9"/>
      <c r="BS1301" s="81"/>
      <c r="BT1301" s="81"/>
      <c r="BV1301" s="9"/>
      <c r="BY1301" s="81"/>
      <c r="BZ1301" s="81"/>
      <c r="CB1301" s="9"/>
      <c r="CE1301" s="81"/>
      <c r="CF1301" s="81"/>
      <c r="CH1301" s="9"/>
      <c r="CK1301" s="81"/>
      <c r="CL1301" s="81"/>
      <c r="CR1301" s="9"/>
      <c r="CS1301" s="9"/>
      <c r="CT1301" s="9"/>
      <c r="CU1301" s="9"/>
      <c r="CV1301" s="9"/>
      <c r="CW1301" s="129"/>
      <c r="CX1301" s="9"/>
    </row>
    <row r="1302" spans="1:102">
      <c r="A1302" s="6" t="str">
        <f t="shared" si="201"/>
        <v>02590885</v>
      </c>
      <c r="B1302" s="6" t="s">
        <v>1909</v>
      </c>
      <c r="C1302" s="6" t="s">
        <v>2087</v>
      </c>
      <c r="D1302" s="6">
        <v>1293</v>
      </c>
      <c r="E1302" s="6">
        <v>259</v>
      </c>
      <c r="F1302" s="6" t="s">
        <v>1377</v>
      </c>
      <c r="G1302" s="6">
        <v>885</v>
      </c>
      <c r="H1302" s="6" t="s">
        <v>1117</v>
      </c>
      <c r="I1302" s="33">
        <v>1039976.4241941283</v>
      </c>
      <c r="J1302" s="88">
        <v>8.0682156193689319E-2</v>
      </c>
      <c r="K1302" s="89">
        <f t="shared" si="200"/>
        <v>1131329.864124781</v>
      </c>
      <c r="L1302" s="88">
        <f>IF(K1304&gt;0, K1302/K1304, 0)</f>
        <v>8.8473830354654004E-2</v>
      </c>
      <c r="M1302" s="58"/>
      <c r="N1302" s="9">
        <f>ROUND(M1304*L1302,0)</f>
        <v>907103</v>
      </c>
      <c r="O1302" s="9">
        <v>789103</v>
      </c>
      <c r="P1302" s="9">
        <f>N1302-O1302</f>
        <v>118000</v>
      </c>
      <c r="Q1302" s="40">
        <f t="shared" si="209"/>
        <v>14.953687921602123</v>
      </c>
      <c r="R1302" s="9">
        <v>49.999999994250004</v>
      </c>
      <c r="S1302" s="9">
        <f t="shared" si="207"/>
        <v>53.124803771530004</v>
      </c>
      <c r="T1302" s="90">
        <f t="shared" si="202"/>
        <v>259</v>
      </c>
      <c r="U1302" s="90">
        <f t="shared" si="203"/>
        <v>885</v>
      </c>
      <c r="V1302" s="373">
        <f t="shared" si="204"/>
        <v>1293</v>
      </c>
      <c r="W1302" s="90">
        <f t="shared" si="205"/>
        <v>53.124803771530004</v>
      </c>
      <c r="X1302" s="90">
        <f t="shared" si="206"/>
        <v>1131329.864124781</v>
      </c>
      <c r="Y1302" s="141">
        <f t="shared" si="208"/>
        <v>1293</v>
      </c>
      <c r="Z1302" s="298">
        <v>259</v>
      </c>
      <c r="AA1302" s="299">
        <v>885</v>
      </c>
      <c r="AB1302" s="299">
        <v>1293</v>
      </c>
      <c r="AC1302" s="301">
        <v>53.124803771530004</v>
      </c>
      <c r="AD1302" s="301">
        <v>1131329.864124781</v>
      </c>
      <c r="AE1302" s="126"/>
      <c r="AF1302" s="298"/>
      <c r="AG1302" s="299"/>
      <c r="AH1302" s="299"/>
      <c r="AI1302" s="301"/>
      <c r="AJ1302" s="301"/>
      <c r="AK1302" s="426"/>
      <c r="AL1302" s="298"/>
      <c r="AM1302" s="299"/>
      <c r="AN1302" s="299"/>
      <c r="AO1302" s="301"/>
      <c r="AP1302" s="301"/>
      <c r="AQ1302" s="426"/>
      <c r="AR1302" s="298"/>
      <c r="AS1302" s="299"/>
      <c r="AT1302" s="299"/>
      <c r="AU1302" s="301"/>
      <c r="AV1302" s="301"/>
      <c r="AW1302" s="88"/>
      <c r="AX1302" s="298"/>
      <c r="AY1302" s="299"/>
      <c r="AZ1302" s="299"/>
      <c r="BA1302" s="301"/>
      <c r="BB1302" s="301"/>
      <c r="BC1302" s="426"/>
      <c r="BD1302" s="298"/>
      <c r="BE1302" s="299"/>
      <c r="BF1302" s="299"/>
      <c r="BG1302" s="301"/>
      <c r="BH1302" s="301"/>
      <c r="BI1302" s="88"/>
      <c r="BJ1302" s="298"/>
      <c r="BK1302" s="299"/>
      <c r="BL1302" s="299"/>
      <c r="BM1302" s="301"/>
      <c r="BN1302" s="301"/>
      <c r="BO1302" s="88"/>
      <c r="BP1302" s="9"/>
      <c r="BS1302" s="81"/>
      <c r="BT1302" s="81"/>
      <c r="BV1302" s="9"/>
      <c r="BY1302" s="81"/>
      <c r="BZ1302" s="81"/>
      <c r="CB1302" s="9"/>
      <c r="CE1302" s="81"/>
      <c r="CF1302" s="81"/>
      <c r="CH1302" s="9"/>
      <c r="CK1302" s="81"/>
      <c r="CL1302" s="81"/>
      <c r="CR1302" s="9"/>
      <c r="CS1302" s="9"/>
      <c r="CT1302" s="9"/>
      <c r="CU1302" s="9"/>
      <c r="CV1302" s="9"/>
      <c r="CW1302" s="129"/>
      <c r="CX1302" s="9"/>
    </row>
    <row r="1303" spans="1:102">
      <c r="A1303" s="6" t="str">
        <f t="shared" si="201"/>
        <v>02590998</v>
      </c>
      <c r="B1303" s="6" t="s">
        <v>1909</v>
      </c>
      <c r="C1303" s="6" t="s">
        <v>2091</v>
      </c>
      <c r="D1303" s="6">
        <v>1294</v>
      </c>
      <c r="E1303" s="6">
        <v>259</v>
      </c>
      <c r="F1303" s="6" t="s">
        <v>1547</v>
      </c>
      <c r="G1303" s="6">
        <v>998</v>
      </c>
      <c r="I1303" s="33">
        <v>0</v>
      </c>
      <c r="J1303" s="88">
        <v>0</v>
      </c>
      <c r="K1303" s="89">
        <f t="shared" si="200"/>
        <v>0</v>
      </c>
      <c r="L1303" s="88">
        <f>IF(K1304&gt;0, K1303/K1304, 0)</f>
        <v>0</v>
      </c>
      <c r="M1303" s="58"/>
      <c r="N1303" s="9">
        <f>ROUND(M1304*L1303,0)</f>
        <v>0</v>
      </c>
      <c r="O1303" s="9">
        <v>0</v>
      </c>
      <c r="P1303" s="9">
        <f>N1303-O1303</f>
        <v>0</v>
      </c>
      <c r="Q1303" s="40">
        <f t="shared" si="209"/>
        <v>0</v>
      </c>
      <c r="R1303" s="9">
        <v>0</v>
      </c>
      <c r="S1303" s="9">
        <f t="shared" si="207"/>
        <v>0</v>
      </c>
      <c r="T1303" s="90">
        <f t="shared" si="202"/>
        <v>259</v>
      </c>
      <c r="U1303" s="90">
        <f t="shared" si="203"/>
        <v>998</v>
      </c>
      <c r="V1303" s="373">
        <f t="shared" si="204"/>
        <v>1294</v>
      </c>
      <c r="W1303" s="90">
        <f t="shared" si="205"/>
        <v>0</v>
      </c>
      <c r="X1303" s="90">
        <f t="shared" si="206"/>
        <v>0</v>
      </c>
      <c r="Y1303" s="141">
        <f t="shared" si="208"/>
        <v>1294</v>
      </c>
      <c r="Z1303" s="298">
        <v>259</v>
      </c>
      <c r="AA1303" s="299">
        <v>998</v>
      </c>
      <c r="AB1303" s="299">
        <v>1294</v>
      </c>
      <c r="AC1303" s="301">
        <v>0</v>
      </c>
      <c r="AD1303" s="301">
        <v>0</v>
      </c>
      <c r="AE1303" s="126"/>
      <c r="AF1303" s="298"/>
      <c r="AG1303" s="299"/>
      <c r="AH1303" s="299"/>
      <c r="AI1303" s="301"/>
      <c r="AJ1303" s="301"/>
      <c r="AK1303" s="426"/>
      <c r="AL1303" s="298"/>
      <c r="AM1303" s="299"/>
      <c r="AN1303" s="299"/>
      <c r="AO1303" s="301"/>
      <c r="AP1303" s="301"/>
      <c r="AQ1303" s="426"/>
      <c r="AR1303" s="298"/>
      <c r="AS1303" s="299"/>
      <c r="AT1303" s="299"/>
      <c r="AU1303" s="301"/>
      <c r="AV1303" s="301"/>
      <c r="AW1303" s="88"/>
      <c r="AX1303" s="298"/>
      <c r="AY1303" s="299"/>
      <c r="AZ1303" s="299"/>
      <c r="BA1303" s="301"/>
      <c r="BB1303" s="301"/>
      <c r="BC1303" s="426"/>
      <c r="BD1303" s="298"/>
      <c r="BE1303" s="299"/>
      <c r="BF1303" s="299"/>
      <c r="BG1303" s="301"/>
      <c r="BH1303" s="301"/>
      <c r="BI1303" s="88"/>
      <c r="BJ1303" s="298"/>
      <c r="BK1303" s="299"/>
      <c r="BL1303" s="299"/>
      <c r="BM1303" s="301"/>
      <c r="BN1303" s="301"/>
      <c r="BO1303" s="88"/>
      <c r="BP1303" s="9"/>
      <c r="BS1303" s="81"/>
      <c r="BT1303" s="81"/>
      <c r="BV1303" s="9"/>
      <c r="BY1303" s="81"/>
      <c r="BZ1303" s="81"/>
      <c r="CB1303" s="9"/>
      <c r="CE1303" s="81"/>
      <c r="CF1303" s="81"/>
      <c r="CH1303" s="9"/>
      <c r="CK1303" s="81"/>
      <c r="CL1303" s="81"/>
      <c r="CR1303" s="9"/>
      <c r="CS1303" s="9"/>
      <c r="CT1303" s="9"/>
      <c r="CU1303" s="9"/>
      <c r="CV1303" s="9"/>
      <c r="CW1303" s="129"/>
      <c r="CX1303" s="9"/>
    </row>
    <row r="1304" spans="1:102">
      <c r="A1304" s="6" t="str">
        <f t="shared" si="201"/>
        <v>02590999</v>
      </c>
      <c r="B1304" s="6" t="s">
        <v>1909</v>
      </c>
      <c r="C1304" s="6" t="s">
        <v>2092</v>
      </c>
      <c r="D1304" s="6">
        <v>1295</v>
      </c>
      <c r="E1304" s="10">
        <v>259</v>
      </c>
      <c r="F1304" s="10" t="s">
        <v>1377</v>
      </c>
      <c r="G1304" s="10">
        <v>999</v>
      </c>
      <c r="H1304" s="10" t="s">
        <v>593</v>
      </c>
      <c r="I1304" s="92">
        <v>12889794.636840302</v>
      </c>
      <c r="J1304" s="472">
        <v>1.0000000000000002</v>
      </c>
      <c r="K1304" s="53">
        <f>SUM(K1300:K1303)</f>
        <v>12787169.489438403</v>
      </c>
      <c r="L1304" s="91">
        <f>SUM(L1300:L1303)</f>
        <v>1</v>
      </c>
      <c r="M1304" s="79">
        <f>VLOOKUP(E1304,town351,24)</f>
        <v>10252782</v>
      </c>
      <c r="N1304" s="79">
        <f>SUM(N1300:N1303)</f>
        <v>10252782</v>
      </c>
      <c r="O1304" s="79">
        <v>9780389</v>
      </c>
      <c r="P1304" s="79">
        <f>SUM(P1300:P1303)</f>
        <v>472393</v>
      </c>
      <c r="Q1304" s="39">
        <f t="shared" si="209"/>
        <v>4.8300021604457655</v>
      </c>
      <c r="R1304" s="9">
        <v>916.28457090657002</v>
      </c>
      <c r="S1304" s="9">
        <f t="shared" si="207"/>
        <v>886.65782917977003</v>
      </c>
      <c r="T1304" s="90">
        <f t="shared" si="202"/>
        <v>259</v>
      </c>
      <c r="U1304" s="90">
        <f t="shared" si="203"/>
        <v>999</v>
      </c>
      <c r="V1304" s="373">
        <f t="shared" si="204"/>
        <v>1295</v>
      </c>
      <c r="W1304" s="90">
        <f t="shared" si="205"/>
        <v>886.65782917977003</v>
      </c>
      <c r="X1304" s="90">
        <f t="shared" si="206"/>
        <v>12787169.489438403</v>
      </c>
      <c r="Y1304" s="141">
        <f t="shared" si="208"/>
        <v>1295</v>
      </c>
      <c r="Z1304" s="298">
        <v>259</v>
      </c>
      <c r="AA1304" s="299">
        <v>999</v>
      </c>
      <c r="AB1304" s="299">
        <v>1295</v>
      </c>
      <c r="AC1304" s="301">
        <v>886.65782917977003</v>
      </c>
      <c r="AD1304" s="301">
        <v>12787169.489438403</v>
      </c>
      <c r="AE1304" s="126"/>
      <c r="AF1304" s="298"/>
      <c r="AG1304" s="299"/>
      <c r="AH1304" s="299"/>
      <c r="AI1304" s="301"/>
      <c r="AJ1304" s="301"/>
      <c r="AK1304" s="426"/>
      <c r="AL1304" s="298"/>
      <c r="AM1304" s="299"/>
      <c r="AN1304" s="299"/>
      <c r="AO1304" s="301"/>
      <c r="AP1304" s="301"/>
      <c r="AQ1304" s="426"/>
      <c r="AR1304" s="298"/>
      <c r="AS1304" s="299"/>
      <c r="AT1304" s="299"/>
      <c r="AU1304" s="301"/>
      <c r="AV1304" s="301"/>
      <c r="AW1304" s="91"/>
      <c r="AX1304" s="298"/>
      <c r="AY1304" s="299"/>
      <c r="AZ1304" s="299"/>
      <c r="BA1304" s="301"/>
      <c r="BB1304" s="301"/>
      <c r="BC1304" s="426"/>
      <c r="BD1304" s="298"/>
      <c r="BE1304" s="299"/>
      <c r="BF1304" s="299"/>
      <c r="BG1304" s="301"/>
      <c r="BH1304" s="301"/>
      <c r="BI1304" s="91"/>
      <c r="BJ1304" s="298"/>
      <c r="BK1304" s="299"/>
      <c r="BL1304" s="299"/>
      <c r="BM1304" s="301"/>
      <c r="BN1304" s="301"/>
      <c r="BO1304" s="91"/>
      <c r="BP1304" s="9"/>
      <c r="BS1304" s="81"/>
      <c r="BT1304" s="81"/>
      <c r="BV1304" s="9"/>
      <c r="BY1304" s="81"/>
      <c r="BZ1304" s="81"/>
      <c r="CB1304" s="9"/>
      <c r="CE1304" s="81"/>
      <c r="CF1304" s="81"/>
      <c r="CH1304" s="9"/>
      <c r="CK1304" s="81"/>
      <c r="CL1304" s="81"/>
      <c r="CR1304" s="9"/>
      <c r="CS1304" s="9"/>
      <c r="CT1304" s="9"/>
      <c r="CU1304" s="9"/>
      <c r="CV1304" s="9"/>
      <c r="CW1304" s="129"/>
      <c r="CX1304" s="9"/>
    </row>
    <row r="1305" spans="1:102">
      <c r="A1305" s="6" t="str">
        <f t="shared" si="201"/>
        <v>02600260</v>
      </c>
      <c r="B1305" s="6" t="s">
        <v>1910</v>
      </c>
      <c r="C1305" s="6" t="s">
        <v>1910</v>
      </c>
      <c r="D1305" s="6">
        <v>1296</v>
      </c>
      <c r="E1305" s="6">
        <v>260</v>
      </c>
      <c r="F1305" s="6" t="s">
        <v>1378</v>
      </c>
      <c r="G1305" s="6">
        <v>260</v>
      </c>
      <c r="H1305" s="6" t="s">
        <v>941</v>
      </c>
      <c r="I1305" s="33">
        <v>0</v>
      </c>
      <c r="J1305" s="88">
        <v>0</v>
      </c>
      <c r="K1305" s="89">
        <f>X1305</f>
        <v>0</v>
      </c>
      <c r="L1305" s="88">
        <f>IF(K1309&gt;0, K1305/K1309, 0)</f>
        <v>0</v>
      </c>
      <c r="M1305" s="58"/>
      <c r="N1305" s="9">
        <f>ROUND(M1309*L1305,0)</f>
        <v>0</v>
      </c>
      <c r="O1305" s="9">
        <v>0</v>
      </c>
      <c r="P1305" s="9">
        <f>N1305-O1305</f>
        <v>0</v>
      </c>
      <c r="Q1305" s="40">
        <f t="shared" si="209"/>
        <v>0</v>
      </c>
      <c r="R1305" s="9">
        <v>0</v>
      </c>
      <c r="S1305" s="9">
        <f t="shared" si="207"/>
        <v>0</v>
      </c>
      <c r="T1305" s="90">
        <f t="shared" si="202"/>
        <v>260</v>
      </c>
      <c r="U1305" s="90">
        <f t="shared" si="203"/>
        <v>260</v>
      </c>
      <c r="V1305" s="373">
        <f t="shared" si="204"/>
        <v>1296</v>
      </c>
      <c r="W1305" s="90">
        <f t="shared" si="205"/>
        <v>0</v>
      </c>
      <c r="X1305" s="90">
        <f t="shared" si="206"/>
        <v>0</v>
      </c>
      <c r="Y1305" s="141">
        <f t="shared" si="208"/>
        <v>1296</v>
      </c>
      <c r="Z1305" s="298">
        <v>260</v>
      </c>
      <c r="AA1305" s="299">
        <v>260</v>
      </c>
      <c r="AB1305" s="299">
        <v>1296</v>
      </c>
      <c r="AC1305" s="301">
        <v>0</v>
      </c>
      <c r="AD1305" s="301">
        <v>0</v>
      </c>
      <c r="AE1305" s="126"/>
      <c r="AF1305" s="298"/>
      <c r="AG1305" s="299"/>
      <c r="AH1305" s="299"/>
      <c r="AI1305" s="301"/>
      <c r="AJ1305" s="301"/>
      <c r="AK1305" s="426"/>
      <c r="AL1305" s="298"/>
      <c r="AM1305" s="299"/>
      <c r="AN1305" s="299"/>
      <c r="AO1305" s="301"/>
      <c r="AP1305" s="301"/>
      <c r="AQ1305" s="426"/>
      <c r="AR1305" s="298"/>
      <c r="AS1305" s="299"/>
      <c r="AT1305" s="299"/>
      <c r="AU1305" s="301"/>
      <c r="AV1305" s="301"/>
      <c r="AW1305" s="88"/>
      <c r="AX1305" s="298"/>
      <c r="AY1305" s="299"/>
      <c r="AZ1305" s="299"/>
      <c r="BA1305" s="301"/>
      <c r="BB1305" s="301"/>
      <c r="BC1305" s="426"/>
      <c r="BD1305" s="298"/>
      <c r="BE1305" s="299"/>
      <c r="BF1305" s="299"/>
      <c r="BG1305" s="301"/>
      <c r="BH1305" s="301"/>
      <c r="BI1305" s="88"/>
      <c r="BJ1305" s="298"/>
      <c r="BK1305" s="299"/>
      <c r="BL1305" s="299"/>
      <c r="BM1305" s="301"/>
      <c r="BN1305" s="301"/>
      <c r="BO1305" s="88"/>
      <c r="BP1305" s="9"/>
      <c r="BS1305" s="81"/>
      <c r="BT1305" s="81"/>
      <c r="BV1305" s="9"/>
      <c r="BY1305" s="81"/>
      <c r="BZ1305" s="81"/>
      <c r="CB1305" s="9"/>
      <c r="CE1305" s="81"/>
      <c r="CF1305" s="81"/>
      <c r="CH1305" s="9"/>
      <c r="CK1305" s="81"/>
      <c r="CL1305" s="81"/>
      <c r="CR1305" s="9"/>
      <c r="CS1305" s="9"/>
      <c r="CT1305" s="9"/>
      <c r="CU1305" s="9"/>
      <c r="CV1305" s="9"/>
      <c r="CW1305" s="129"/>
      <c r="CX1305" s="9"/>
    </row>
    <row r="1306" spans="1:102">
      <c r="A1306" s="6" t="str">
        <f t="shared" si="201"/>
        <v>02600662</v>
      </c>
      <c r="B1306" s="6" t="s">
        <v>1910</v>
      </c>
      <c r="C1306" s="6" t="s">
        <v>2022</v>
      </c>
      <c r="D1306" s="6">
        <v>1297</v>
      </c>
      <c r="E1306" s="6">
        <v>260</v>
      </c>
      <c r="F1306" s="6" t="s">
        <v>1378</v>
      </c>
      <c r="G1306" s="6">
        <v>662</v>
      </c>
      <c r="H1306" s="6" t="s">
        <v>1052</v>
      </c>
      <c r="I1306" s="33">
        <v>1219861.7935586995</v>
      </c>
      <c r="J1306" s="88">
        <v>1</v>
      </c>
      <c r="K1306" s="89">
        <f t="shared" si="200"/>
        <v>1371734.9503945918</v>
      </c>
      <c r="L1306" s="88">
        <f>IF(K1309&gt;0, K1306/K1309, 0)</f>
        <v>1</v>
      </c>
      <c r="M1306" s="58"/>
      <c r="N1306" s="9">
        <f>ROUND(M1309*L1306,0)</f>
        <v>964037</v>
      </c>
      <c r="O1306" s="9">
        <v>907243</v>
      </c>
      <c r="P1306" s="9">
        <f>N1306-O1306</f>
        <v>56794</v>
      </c>
      <c r="Q1306" s="40">
        <f t="shared" si="209"/>
        <v>6.2600648337876406</v>
      </c>
      <c r="R1306" s="9">
        <v>89.124999999069999</v>
      </c>
      <c r="S1306" s="9">
        <f t="shared" si="207"/>
        <v>94.76923076992</v>
      </c>
      <c r="T1306" s="90">
        <f t="shared" si="202"/>
        <v>260</v>
      </c>
      <c r="U1306" s="90">
        <f t="shared" si="203"/>
        <v>662</v>
      </c>
      <c r="V1306" s="373">
        <f t="shared" si="204"/>
        <v>1297</v>
      </c>
      <c r="W1306" s="90">
        <f t="shared" si="205"/>
        <v>94.76923076992</v>
      </c>
      <c r="X1306" s="90">
        <f t="shared" si="206"/>
        <v>1371734.9503945918</v>
      </c>
      <c r="Y1306" s="141">
        <f t="shared" si="208"/>
        <v>1297</v>
      </c>
      <c r="Z1306" s="298">
        <v>260</v>
      </c>
      <c r="AA1306" s="299">
        <v>662</v>
      </c>
      <c r="AB1306" s="299">
        <v>1297</v>
      </c>
      <c r="AC1306" s="301">
        <v>94.76923076992</v>
      </c>
      <c r="AD1306" s="301">
        <v>1371734.9503945918</v>
      </c>
      <c r="AE1306" s="126"/>
      <c r="AF1306" s="298"/>
      <c r="AG1306" s="299"/>
      <c r="AH1306" s="299"/>
      <c r="AI1306" s="301"/>
      <c r="AJ1306" s="301"/>
      <c r="AK1306" s="426"/>
      <c r="AL1306" s="298"/>
      <c r="AM1306" s="299"/>
      <c r="AN1306" s="299"/>
      <c r="AO1306" s="301"/>
      <c r="AP1306" s="301"/>
      <c r="AQ1306" s="426"/>
      <c r="AR1306" s="298"/>
      <c r="AS1306" s="299"/>
      <c r="AT1306" s="299"/>
      <c r="AU1306" s="301"/>
      <c r="AV1306" s="301"/>
      <c r="AW1306" s="88"/>
      <c r="AX1306" s="298"/>
      <c r="AY1306" s="299"/>
      <c r="AZ1306" s="299"/>
      <c r="BA1306" s="301"/>
      <c r="BB1306" s="301"/>
      <c r="BC1306" s="426"/>
      <c r="BD1306" s="298"/>
      <c r="BE1306" s="299"/>
      <c r="BF1306" s="299"/>
      <c r="BG1306" s="301"/>
      <c r="BH1306" s="301"/>
      <c r="BI1306" s="88"/>
      <c r="BJ1306" s="298"/>
      <c r="BK1306" s="299"/>
      <c r="BL1306" s="299"/>
      <c r="BM1306" s="301"/>
      <c r="BN1306" s="301"/>
      <c r="BO1306" s="88"/>
      <c r="BP1306" s="9"/>
      <c r="BS1306" s="81"/>
      <c r="BT1306" s="81"/>
      <c r="BV1306" s="9"/>
      <c r="BY1306" s="81"/>
      <c r="BZ1306" s="81"/>
      <c r="CB1306" s="9"/>
      <c r="CE1306" s="81"/>
      <c r="CF1306" s="81"/>
      <c r="CH1306" s="9"/>
      <c r="CK1306" s="81"/>
      <c r="CL1306" s="81"/>
      <c r="CR1306" s="9"/>
      <c r="CS1306" s="9"/>
      <c r="CT1306" s="9"/>
      <c r="CU1306" s="9"/>
      <c r="CV1306" s="9"/>
      <c r="CW1306" s="129"/>
      <c r="CX1306" s="9"/>
    </row>
    <row r="1307" spans="1:102">
      <c r="A1307" s="6" t="str">
        <f t="shared" si="201"/>
        <v>02600998</v>
      </c>
      <c r="B1307" s="6" t="s">
        <v>1910</v>
      </c>
      <c r="C1307" s="6" t="s">
        <v>2091</v>
      </c>
      <c r="D1307" s="6">
        <v>1298</v>
      </c>
      <c r="E1307" s="6">
        <v>260</v>
      </c>
      <c r="F1307" s="6" t="s">
        <v>1547</v>
      </c>
      <c r="G1307" s="6">
        <v>998</v>
      </c>
      <c r="H1307" s="6" t="s">
        <v>1547</v>
      </c>
      <c r="I1307" s="33">
        <v>0</v>
      </c>
      <c r="J1307" s="88">
        <v>0</v>
      </c>
      <c r="K1307" s="89">
        <f t="shared" si="200"/>
        <v>0</v>
      </c>
      <c r="L1307" s="88">
        <f>IF(K1309&gt;0, K1307/K1309, 0)</f>
        <v>0</v>
      </c>
      <c r="M1307" s="58"/>
      <c r="N1307" s="9">
        <f>ROUND(M1309*L1307,0)</f>
        <v>0</v>
      </c>
      <c r="O1307" s="9">
        <v>0</v>
      </c>
      <c r="P1307" s="9">
        <f>N1307-O1307</f>
        <v>0</v>
      </c>
      <c r="Q1307" s="40">
        <f t="shared" si="209"/>
        <v>0</v>
      </c>
      <c r="R1307" s="9">
        <v>0</v>
      </c>
      <c r="S1307" s="9">
        <f t="shared" si="207"/>
        <v>0</v>
      </c>
      <c r="T1307" s="90">
        <f t="shared" si="202"/>
        <v>260</v>
      </c>
      <c r="U1307" s="90">
        <f t="shared" si="203"/>
        <v>998</v>
      </c>
      <c r="V1307" s="373">
        <f t="shared" si="204"/>
        <v>1298</v>
      </c>
      <c r="W1307" s="90">
        <f t="shared" si="205"/>
        <v>0</v>
      </c>
      <c r="X1307" s="90">
        <f t="shared" si="206"/>
        <v>0</v>
      </c>
      <c r="Y1307" s="141">
        <f t="shared" si="208"/>
        <v>1298</v>
      </c>
      <c r="Z1307" s="298">
        <v>260</v>
      </c>
      <c r="AA1307" s="299">
        <v>998</v>
      </c>
      <c r="AB1307" s="299">
        <v>1298</v>
      </c>
      <c r="AC1307" s="301">
        <v>0</v>
      </c>
      <c r="AD1307" s="301">
        <v>0</v>
      </c>
      <c r="AE1307" s="126"/>
      <c r="AF1307" s="298"/>
      <c r="AG1307" s="299"/>
      <c r="AH1307" s="299"/>
      <c r="AI1307" s="301"/>
      <c r="AJ1307" s="301"/>
      <c r="AK1307" s="426"/>
      <c r="AL1307" s="298"/>
      <c r="AM1307" s="299"/>
      <c r="AN1307" s="299"/>
      <c r="AO1307" s="301"/>
      <c r="AP1307" s="301"/>
      <c r="AQ1307" s="426"/>
      <c r="AR1307" s="298"/>
      <c r="AS1307" s="299"/>
      <c r="AT1307" s="299"/>
      <c r="AU1307" s="301"/>
      <c r="AV1307" s="301"/>
      <c r="AW1307" s="88"/>
      <c r="AX1307" s="298"/>
      <c r="AY1307" s="299"/>
      <c r="AZ1307" s="299"/>
      <c r="BA1307" s="301"/>
      <c r="BB1307" s="301"/>
      <c r="BC1307" s="426"/>
      <c r="BD1307" s="298"/>
      <c r="BE1307" s="299"/>
      <c r="BF1307" s="299"/>
      <c r="BG1307" s="301"/>
      <c r="BH1307" s="301"/>
      <c r="BI1307" s="88"/>
      <c r="BJ1307" s="298"/>
      <c r="BK1307" s="299"/>
      <c r="BL1307" s="299"/>
      <c r="BM1307" s="301"/>
      <c r="BN1307" s="301"/>
      <c r="BO1307" s="88"/>
      <c r="BP1307" s="9"/>
      <c r="BS1307" s="81"/>
      <c r="BT1307" s="81"/>
      <c r="BV1307" s="9"/>
      <c r="BY1307" s="81"/>
      <c r="BZ1307" s="81"/>
      <c r="CB1307" s="9"/>
      <c r="CE1307" s="81"/>
      <c r="CF1307" s="81"/>
      <c r="CH1307" s="9"/>
      <c r="CK1307" s="81"/>
      <c r="CL1307" s="81"/>
      <c r="CR1307" s="9"/>
      <c r="CS1307" s="9"/>
      <c r="CT1307" s="9"/>
      <c r="CU1307" s="9"/>
      <c r="CV1307" s="9"/>
      <c r="CW1307" s="129"/>
      <c r="CX1307" s="9"/>
    </row>
    <row r="1308" spans="1:102">
      <c r="A1308" s="6" t="str">
        <f t="shared" si="201"/>
        <v>02600998</v>
      </c>
      <c r="B1308" s="6" t="s">
        <v>1910</v>
      </c>
      <c r="C1308" s="6" t="s">
        <v>2091</v>
      </c>
      <c r="D1308" s="6">
        <v>1299</v>
      </c>
      <c r="E1308" s="6">
        <v>260</v>
      </c>
      <c r="F1308" s="6" t="s">
        <v>1547</v>
      </c>
      <c r="G1308" s="6">
        <v>998</v>
      </c>
      <c r="H1308" s="6" t="s">
        <v>1547</v>
      </c>
      <c r="I1308" s="33">
        <v>0</v>
      </c>
      <c r="J1308" s="88">
        <v>0</v>
      </c>
      <c r="K1308" s="89">
        <f t="shared" si="200"/>
        <v>0</v>
      </c>
      <c r="L1308" s="88">
        <f>IF(K1309&gt;0, K1308/K1309, 0)</f>
        <v>0</v>
      </c>
      <c r="M1308" s="58"/>
      <c r="N1308" s="9">
        <f>ROUND(M1309*L1308,0)</f>
        <v>0</v>
      </c>
      <c r="O1308" s="9">
        <v>0</v>
      </c>
      <c r="P1308" s="9">
        <f>N1308-O1308</f>
        <v>0</v>
      </c>
      <c r="Q1308" s="40">
        <f t="shared" si="209"/>
        <v>0</v>
      </c>
      <c r="R1308" s="9">
        <v>0</v>
      </c>
      <c r="S1308" s="9">
        <f t="shared" si="207"/>
        <v>0</v>
      </c>
      <c r="T1308" s="90">
        <f t="shared" si="202"/>
        <v>260</v>
      </c>
      <c r="U1308" s="90">
        <f t="shared" si="203"/>
        <v>998</v>
      </c>
      <c r="V1308" s="373">
        <f t="shared" si="204"/>
        <v>1299</v>
      </c>
      <c r="W1308" s="90">
        <f t="shared" si="205"/>
        <v>0</v>
      </c>
      <c r="X1308" s="90">
        <f t="shared" si="206"/>
        <v>0</v>
      </c>
      <c r="Y1308" s="141">
        <f t="shared" si="208"/>
        <v>1299</v>
      </c>
      <c r="Z1308" s="298">
        <v>260</v>
      </c>
      <c r="AA1308" s="299">
        <v>998</v>
      </c>
      <c r="AB1308" s="299">
        <v>1299</v>
      </c>
      <c r="AC1308" s="301">
        <v>0</v>
      </c>
      <c r="AD1308" s="301">
        <v>0</v>
      </c>
      <c r="AE1308" s="126"/>
      <c r="AF1308" s="298"/>
      <c r="AG1308" s="299"/>
      <c r="AH1308" s="299"/>
      <c r="AI1308" s="301"/>
      <c r="AJ1308" s="301"/>
      <c r="AK1308" s="426"/>
      <c r="AL1308" s="298"/>
      <c r="AM1308" s="299"/>
      <c r="AN1308" s="299"/>
      <c r="AO1308" s="301"/>
      <c r="AP1308" s="301"/>
      <c r="AQ1308" s="426"/>
      <c r="AR1308" s="298"/>
      <c r="AS1308" s="299"/>
      <c r="AT1308" s="299"/>
      <c r="AU1308" s="301"/>
      <c r="AV1308" s="301"/>
      <c r="AW1308" s="88"/>
      <c r="AX1308" s="298"/>
      <c r="AY1308" s="299"/>
      <c r="AZ1308" s="299"/>
      <c r="BA1308" s="301"/>
      <c r="BB1308" s="301"/>
      <c r="BC1308" s="426"/>
      <c r="BD1308" s="298"/>
      <c r="BE1308" s="299"/>
      <c r="BF1308" s="299"/>
      <c r="BG1308" s="301"/>
      <c r="BH1308" s="301"/>
      <c r="BI1308" s="88"/>
      <c r="BJ1308" s="298"/>
      <c r="BK1308" s="299"/>
      <c r="BL1308" s="299"/>
      <c r="BM1308" s="301"/>
      <c r="BN1308" s="301"/>
      <c r="BO1308" s="88"/>
      <c r="BP1308" s="9"/>
      <c r="BS1308" s="81"/>
      <c r="BT1308" s="81"/>
      <c r="BV1308" s="9"/>
      <c r="BY1308" s="81"/>
      <c r="BZ1308" s="81"/>
      <c r="CB1308" s="9"/>
      <c r="CE1308" s="81"/>
      <c r="CF1308" s="81"/>
      <c r="CH1308" s="9"/>
      <c r="CK1308" s="81"/>
      <c r="CL1308" s="81"/>
      <c r="CR1308" s="9"/>
      <c r="CS1308" s="9"/>
      <c r="CT1308" s="9"/>
      <c r="CU1308" s="9"/>
      <c r="CV1308" s="9"/>
      <c r="CW1308" s="129"/>
      <c r="CX1308" s="9"/>
    </row>
    <row r="1309" spans="1:102">
      <c r="A1309" s="6" t="str">
        <f t="shared" si="201"/>
        <v>02600999</v>
      </c>
      <c r="B1309" s="6" t="s">
        <v>1910</v>
      </c>
      <c r="C1309" s="6" t="s">
        <v>2092</v>
      </c>
      <c r="D1309" s="6">
        <v>1300</v>
      </c>
      <c r="E1309" s="10">
        <v>260</v>
      </c>
      <c r="F1309" s="10" t="s">
        <v>1378</v>
      </c>
      <c r="G1309" s="10">
        <v>999</v>
      </c>
      <c r="H1309" s="10" t="s">
        <v>593</v>
      </c>
      <c r="I1309" s="92">
        <v>1219861.7935586995</v>
      </c>
      <c r="J1309" s="472">
        <v>1</v>
      </c>
      <c r="K1309" s="53">
        <f>SUM(K1305:K1308)</f>
        <v>1371734.9503945918</v>
      </c>
      <c r="L1309" s="91">
        <f>SUM(L1305:L1308)</f>
        <v>1</v>
      </c>
      <c r="M1309" s="79">
        <f>VLOOKUP(E1309,town351,24)</f>
        <v>964037</v>
      </c>
      <c r="N1309" s="79">
        <f>SUM(N1305:N1308)</f>
        <v>964037</v>
      </c>
      <c r="O1309" s="79">
        <v>907243</v>
      </c>
      <c r="P1309" s="79">
        <f>SUM(P1305:P1308)</f>
        <v>56794</v>
      </c>
      <c r="Q1309" s="39">
        <f t="shared" si="209"/>
        <v>6.2600648337876406</v>
      </c>
      <c r="R1309" s="9">
        <v>89.124999999069999</v>
      </c>
      <c r="S1309" s="9">
        <f t="shared" si="207"/>
        <v>94.76923076992</v>
      </c>
      <c r="T1309" s="90">
        <f t="shared" si="202"/>
        <v>260</v>
      </c>
      <c r="U1309" s="90">
        <f t="shared" si="203"/>
        <v>999</v>
      </c>
      <c r="V1309" s="373">
        <f t="shared" si="204"/>
        <v>1300</v>
      </c>
      <c r="W1309" s="90">
        <f t="shared" si="205"/>
        <v>94.76923076992</v>
      </c>
      <c r="X1309" s="90">
        <f t="shared" si="206"/>
        <v>1371734.9503945918</v>
      </c>
      <c r="Y1309" s="141">
        <f t="shared" si="208"/>
        <v>1300</v>
      </c>
      <c r="Z1309" s="298">
        <v>260</v>
      </c>
      <c r="AA1309" s="299">
        <v>999</v>
      </c>
      <c r="AB1309" s="299">
        <v>1300</v>
      </c>
      <c r="AC1309" s="301">
        <v>94.76923076992</v>
      </c>
      <c r="AD1309" s="301">
        <v>1371734.9503945918</v>
      </c>
      <c r="AE1309" s="126"/>
      <c r="AF1309" s="298"/>
      <c r="AG1309" s="299"/>
      <c r="AH1309" s="299"/>
      <c r="AI1309" s="301"/>
      <c r="AJ1309" s="301"/>
      <c r="AK1309" s="426"/>
      <c r="AL1309" s="298"/>
      <c r="AM1309" s="299"/>
      <c r="AN1309" s="299"/>
      <c r="AO1309" s="301"/>
      <c r="AP1309" s="301"/>
      <c r="AQ1309" s="426"/>
      <c r="AR1309" s="298"/>
      <c r="AS1309" s="299"/>
      <c r="AT1309" s="299"/>
      <c r="AU1309" s="301"/>
      <c r="AV1309" s="301"/>
      <c r="AW1309" s="91"/>
      <c r="AX1309" s="298"/>
      <c r="AY1309" s="299"/>
      <c r="AZ1309" s="299"/>
      <c r="BA1309" s="301"/>
      <c r="BB1309" s="301"/>
      <c r="BC1309" s="426"/>
      <c r="BD1309" s="298"/>
      <c r="BE1309" s="299"/>
      <c r="BF1309" s="299"/>
      <c r="BG1309" s="301"/>
      <c r="BH1309" s="301"/>
      <c r="BI1309" s="91"/>
      <c r="BJ1309" s="298"/>
      <c r="BK1309" s="299"/>
      <c r="BL1309" s="299"/>
      <c r="BM1309" s="301"/>
      <c r="BN1309" s="301"/>
      <c r="BO1309" s="91"/>
      <c r="BP1309" s="9"/>
      <c r="BS1309" s="81"/>
      <c r="BT1309" s="81"/>
      <c r="BV1309" s="9"/>
      <c r="BY1309" s="81"/>
      <c r="BZ1309" s="81"/>
      <c r="CB1309" s="9"/>
      <c r="CE1309" s="81"/>
      <c r="CF1309" s="81"/>
      <c r="CH1309" s="9"/>
      <c r="CK1309" s="81"/>
      <c r="CL1309" s="81"/>
      <c r="CR1309" s="9"/>
      <c r="CS1309" s="9"/>
      <c r="CT1309" s="9"/>
      <c r="CU1309" s="9"/>
      <c r="CV1309" s="9"/>
      <c r="CW1309" s="129"/>
      <c r="CX1309" s="9"/>
    </row>
    <row r="1310" spans="1:102">
      <c r="A1310" s="6" t="str">
        <f t="shared" si="201"/>
        <v>02610261</v>
      </c>
      <c r="B1310" s="6" t="s">
        <v>1911</v>
      </c>
      <c r="C1310" s="6" t="s">
        <v>1911</v>
      </c>
      <c r="D1310" s="6">
        <v>1301</v>
      </c>
      <c r="E1310" s="6">
        <v>261</v>
      </c>
      <c r="F1310" s="6" t="s">
        <v>1379</v>
      </c>
      <c r="G1310" s="6">
        <v>261</v>
      </c>
      <c r="H1310" s="6" t="s">
        <v>942</v>
      </c>
      <c r="I1310" s="33">
        <v>29251950.23</v>
      </c>
      <c r="J1310" s="88">
        <v>0.90437286150311991</v>
      </c>
      <c r="K1310" s="89">
        <f>X1310</f>
        <v>29473433.750000004</v>
      </c>
      <c r="L1310" s="88">
        <f>IF(K1314&gt;0, K1310/K1314, 0)</f>
        <v>0.89829264325415181</v>
      </c>
      <c r="M1310" s="58"/>
      <c r="N1310" s="9">
        <f>ROUND(M1314*L1310,0)</f>
        <v>24315583</v>
      </c>
      <c r="O1310" s="9">
        <v>24132859</v>
      </c>
      <c r="P1310" s="9">
        <f>N1310-O1310</f>
        <v>182724</v>
      </c>
      <c r="Q1310" s="40">
        <f t="shared" si="209"/>
        <v>0.75715852812963436</v>
      </c>
      <c r="R1310" s="9">
        <v>2276</v>
      </c>
      <c r="S1310" s="9">
        <f t="shared" si="207"/>
        <v>2227</v>
      </c>
      <c r="T1310" s="90">
        <f t="shared" si="202"/>
        <v>261</v>
      </c>
      <c r="U1310" s="90">
        <f t="shared" si="203"/>
        <v>261</v>
      </c>
      <c r="V1310" s="373">
        <f t="shared" si="204"/>
        <v>1301</v>
      </c>
      <c r="W1310" s="90">
        <f t="shared" si="205"/>
        <v>2227</v>
      </c>
      <c r="X1310" s="90">
        <f t="shared" si="206"/>
        <v>29473433.750000004</v>
      </c>
      <c r="Y1310" s="141">
        <f t="shared" si="208"/>
        <v>1301</v>
      </c>
      <c r="Z1310" s="298">
        <v>261</v>
      </c>
      <c r="AA1310" s="299">
        <v>261</v>
      </c>
      <c r="AB1310" s="299">
        <v>1301</v>
      </c>
      <c r="AC1310" s="301">
        <v>2227</v>
      </c>
      <c r="AD1310" s="301">
        <v>29473433.750000004</v>
      </c>
      <c r="AE1310" s="126"/>
      <c r="AF1310" s="298"/>
      <c r="AG1310" s="299"/>
      <c r="AH1310" s="299"/>
      <c r="AI1310" s="301"/>
      <c r="AJ1310" s="301"/>
      <c r="AK1310" s="426"/>
      <c r="AL1310" s="298"/>
      <c r="AM1310" s="299"/>
      <c r="AN1310" s="299"/>
      <c r="AO1310" s="301"/>
      <c r="AP1310" s="301"/>
      <c r="AQ1310" s="426"/>
      <c r="AR1310" s="298"/>
      <c r="AS1310" s="299"/>
      <c r="AT1310" s="299"/>
      <c r="AU1310" s="301"/>
      <c r="AV1310" s="301"/>
      <c r="AW1310" s="88"/>
      <c r="AX1310" s="298"/>
      <c r="AY1310" s="299"/>
      <c r="AZ1310" s="299"/>
      <c r="BA1310" s="301"/>
      <c r="BB1310" s="301"/>
      <c r="BC1310" s="426"/>
      <c r="BD1310" s="298"/>
      <c r="BE1310" s="299"/>
      <c r="BF1310" s="299"/>
      <c r="BG1310" s="301"/>
      <c r="BH1310" s="301"/>
      <c r="BI1310" s="88"/>
      <c r="BJ1310" s="298"/>
      <c r="BK1310" s="299"/>
      <c r="BL1310" s="299"/>
      <c r="BM1310" s="301"/>
      <c r="BN1310" s="301"/>
      <c r="BO1310" s="88"/>
      <c r="BP1310" s="9"/>
      <c r="BS1310" s="81"/>
      <c r="BT1310" s="81"/>
      <c r="BV1310" s="9"/>
      <c r="BY1310" s="81"/>
      <c r="BZ1310" s="81"/>
      <c r="CB1310" s="9"/>
      <c r="CE1310" s="81"/>
      <c r="CF1310" s="81"/>
      <c r="CH1310" s="9"/>
      <c r="CK1310" s="81"/>
      <c r="CL1310" s="81"/>
      <c r="CR1310" s="9"/>
      <c r="CS1310" s="9"/>
      <c r="CT1310" s="9"/>
      <c r="CU1310" s="9"/>
      <c r="CV1310" s="9"/>
      <c r="CW1310" s="129"/>
      <c r="CX1310" s="9"/>
    </row>
    <row r="1311" spans="1:102">
      <c r="A1311" s="6" t="str">
        <f t="shared" si="201"/>
        <v>02610879</v>
      </c>
      <c r="B1311" s="6" t="s">
        <v>1911</v>
      </c>
      <c r="C1311" s="6" t="s">
        <v>2086</v>
      </c>
      <c r="D1311" s="6">
        <v>1302</v>
      </c>
      <c r="E1311" s="6">
        <v>261</v>
      </c>
      <c r="F1311" s="6" t="s">
        <v>1379</v>
      </c>
      <c r="G1311" s="6">
        <v>879</v>
      </c>
      <c r="H1311" s="6" t="s">
        <v>1116</v>
      </c>
      <c r="I1311" s="33">
        <v>3093060.8546775854</v>
      </c>
      <c r="J1311" s="88">
        <v>9.5627138496880107E-2</v>
      </c>
      <c r="K1311" s="89">
        <f t="shared" si="200"/>
        <v>3337069.5657453467</v>
      </c>
      <c r="L1311" s="88">
        <f>IF(K1314&gt;0, K1311/K1314, 0)</f>
        <v>0.10170735674584817</v>
      </c>
      <c r="M1311" s="58"/>
      <c r="N1311" s="9">
        <f>ROUND(M1314*L1311,0)</f>
        <v>2753082</v>
      </c>
      <c r="O1311" s="9">
        <v>2551775</v>
      </c>
      <c r="P1311" s="9">
        <f>N1311-O1311</f>
        <v>201307</v>
      </c>
      <c r="Q1311" s="40">
        <f t="shared" si="209"/>
        <v>7.8889008631246877</v>
      </c>
      <c r="R1311" s="9">
        <v>147.74524714651</v>
      </c>
      <c r="S1311" s="9">
        <f t="shared" si="207"/>
        <v>157.55216881487999</v>
      </c>
      <c r="T1311" s="90">
        <f t="shared" si="202"/>
        <v>261</v>
      </c>
      <c r="U1311" s="90">
        <f t="shared" si="203"/>
        <v>879</v>
      </c>
      <c r="V1311" s="373">
        <f t="shared" si="204"/>
        <v>1302</v>
      </c>
      <c r="W1311" s="90">
        <f t="shared" si="205"/>
        <v>157.55216881487999</v>
      </c>
      <c r="X1311" s="90">
        <f t="shared" si="206"/>
        <v>3337069.5657453467</v>
      </c>
      <c r="Y1311" s="141">
        <f t="shared" si="208"/>
        <v>1302</v>
      </c>
      <c r="Z1311" s="298">
        <v>261</v>
      </c>
      <c r="AA1311" s="299">
        <v>879</v>
      </c>
      <c r="AB1311" s="299">
        <v>1302</v>
      </c>
      <c r="AC1311" s="301">
        <v>157.55216881487999</v>
      </c>
      <c r="AD1311" s="301">
        <v>3337069.5657453467</v>
      </c>
      <c r="AE1311" s="126"/>
      <c r="AF1311" s="298"/>
      <c r="AG1311" s="299"/>
      <c r="AH1311" s="299"/>
      <c r="AI1311" s="301"/>
      <c r="AJ1311" s="301"/>
      <c r="AK1311" s="426"/>
      <c r="AL1311" s="298"/>
      <c r="AM1311" s="299"/>
      <c r="AN1311" s="299"/>
      <c r="AO1311" s="301"/>
      <c r="AP1311" s="301"/>
      <c r="AQ1311" s="426"/>
      <c r="AR1311" s="298"/>
      <c r="AS1311" s="299"/>
      <c r="AT1311" s="299"/>
      <c r="AU1311" s="301"/>
      <c r="AV1311" s="301"/>
      <c r="AW1311" s="88"/>
      <c r="AX1311" s="298"/>
      <c r="AY1311" s="299"/>
      <c r="AZ1311" s="299"/>
      <c r="BA1311" s="301"/>
      <c r="BB1311" s="301"/>
      <c r="BC1311" s="426"/>
      <c r="BD1311" s="298"/>
      <c r="BE1311" s="299"/>
      <c r="BF1311" s="299"/>
      <c r="BG1311" s="301"/>
      <c r="BH1311" s="301"/>
      <c r="BI1311" s="88"/>
      <c r="BJ1311" s="298"/>
      <c r="BK1311" s="299"/>
      <c r="BL1311" s="299"/>
      <c r="BM1311" s="301"/>
      <c r="BN1311" s="301"/>
      <c r="BO1311" s="88"/>
      <c r="BP1311" s="9"/>
      <c r="BS1311" s="81"/>
      <c r="BT1311" s="81"/>
      <c r="BV1311" s="9"/>
      <c r="BY1311" s="81"/>
      <c r="BZ1311" s="81"/>
      <c r="CB1311" s="9"/>
      <c r="CE1311" s="81"/>
      <c r="CF1311" s="81"/>
      <c r="CH1311" s="9"/>
      <c r="CK1311" s="81"/>
      <c r="CL1311" s="81"/>
      <c r="CR1311" s="9"/>
      <c r="CS1311" s="9"/>
      <c r="CT1311" s="9"/>
      <c r="CU1311" s="9"/>
      <c r="CV1311" s="9"/>
      <c r="CW1311" s="129"/>
      <c r="CX1311" s="9"/>
    </row>
    <row r="1312" spans="1:102">
      <c r="A1312" s="6" t="str">
        <f t="shared" si="201"/>
        <v>02610998</v>
      </c>
      <c r="B1312" s="6" t="s">
        <v>1911</v>
      </c>
      <c r="C1312" s="6" t="s">
        <v>2091</v>
      </c>
      <c r="D1312" s="6">
        <v>1303</v>
      </c>
      <c r="E1312" s="6">
        <v>261</v>
      </c>
      <c r="F1312" s="6" t="s">
        <v>1547</v>
      </c>
      <c r="G1312" s="6">
        <v>998</v>
      </c>
      <c r="H1312" s="6" t="s">
        <v>1547</v>
      </c>
      <c r="I1312" s="33">
        <v>0</v>
      </c>
      <c r="J1312" s="88">
        <v>0</v>
      </c>
      <c r="K1312" s="89">
        <f t="shared" si="200"/>
        <v>0</v>
      </c>
      <c r="L1312" s="88">
        <f>IF(K1314&gt;0, K1312/K1314, 0)</f>
        <v>0</v>
      </c>
      <c r="M1312" s="58"/>
      <c r="N1312" s="9">
        <f>ROUND(M1314*L1312,0)</f>
        <v>0</v>
      </c>
      <c r="O1312" s="9">
        <v>0</v>
      </c>
      <c r="P1312" s="9">
        <f>N1312-O1312</f>
        <v>0</v>
      </c>
      <c r="Q1312" s="40">
        <f t="shared" si="209"/>
        <v>0</v>
      </c>
      <c r="R1312" s="9">
        <v>0</v>
      </c>
      <c r="S1312" s="9">
        <f t="shared" si="207"/>
        <v>0</v>
      </c>
      <c r="T1312" s="90">
        <f t="shared" si="202"/>
        <v>261</v>
      </c>
      <c r="U1312" s="90">
        <f t="shared" si="203"/>
        <v>998</v>
      </c>
      <c r="V1312" s="373">
        <f t="shared" si="204"/>
        <v>1303</v>
      </c>
      <c r="W1312" s="90">
        <f t="shared" si="205"/>
        <v>0</v>
      </c>
      <c r="X1312" s="90">
        <f t="shared" si="206"/>
        <v>0</v>
      </c>
      <c r="Y1312" s="141">
        <f t="shared" si="208"/>
        <v>1303</v>
      </c>
      <c r="Z1312" s="298">
        <v>261</v>
      </c>
      <c r="AA1312" s="299">
        <v>998</v>
      </c>
      <c r="AB1312" s="299">
        <v>1303</v>
      </c>
      <c r="AC1312" s="301">
        <v>0</v>
      </c>
      <c r="AD1312" s="301">
        <v>0</v>
      </c>
      <c r="AE1312" s="126"/>
      <c r="AF1312" s="298"/>
      <c r="AG1312" s="299"/>
      <c r="AH1312" s="299"/>
      <c r="AI1312" s="301"/>
      <c r="AJ1312" s="301"/>
      <c r="AK1312" s="426"/>
      <c r="AL1312" s="298"/>
      <c r="AM1312" s="299"/>
      <c r="AN1312" s="299"/>
      <c r="AO1312" s="301"/>
      <c r="AP1312" s="301"/>
      <c r="AQ1312" s="426"/>
      <c r="AR1312" s="298"/>
      <c r="AS1312" s="299"/>
      <c r="AT1312" s="299"/>
      <c r="AU1312" s="301"/>
      <c r="AV1312" s="301"/>
      <c r="AW1312" s="88"/>
      <c r="AX1312" s="298"/>
      <c r="AY1312" s="299"/>
      <c r="AZ1312" s="299"/>
      <c r="BA1312" s="301"/>
      <c r="BB1312" s="301"/>
      <c r="BC1312" s="426"/>
      <c r="BD1312" s="298"/>
      <c r="BE1312" s="299"/>
      <c r="BF1312" s="299"/>
      <c r="BG1312" s="301"/>
      <c r="BH1312" s="301"/>
      <c r="BI1312" s="88"/>
      <c r="BJ1312" s="298"/>
      <c r="BK1312" s="299"/>
      <c r="BL1312" s="299"/>
      <c r="BM1312" s="301"/>
      <c r="BN1312" s="301"/>
      <c r="BO1312" s="88"/>
      <c r="BP1312" s="9"/>
      <c r="BS1312" s="81"/>
      <c r="BT1312" s="81"/>
      <c r="BV1312" s="9"/>
      <c r="BY1312" s="81"/>
      <c r="BZ1312" s="81"/>
      <c r="CB1312" s="9"/>
      <c r="CE1312" s="81"/>
      <c r="CF1312" s="81"/>
      <c r="CH1312" s="9"/>
      <c r="CK1312" s="81"/>
      <c r="CL1312" s="81"/>
      <c r="CR1312" s="9"/>
      <c r="CS1312" s="9"/>
      <c r="CT1312" s="9"/>
      <c r="CU1312" s="9"/>
      <c r="CV1312" s="9"/>
      <c r="CW1312" s="129"/>
      <c r="CX1312" s="9"/>
    </row>
    <row r="1313" spans="1:102">
      <c r="A1313" s="6" t="str">
        <f t="shared" si="201"/>
        <v>02610998</v>
      </c>
      <c r="B1313" s="6" t="s">
        <v>1911</v>
      </c>
      <c r="C1313" s="6" t="s">
        <v>2091</v>
      </c>
      <c r="D1313" s="6">
        <v>1304</v>
      </c>
      <c r="E1313" s="6">
        <v>261</v>
      </c>
      <c r="F1313" s="6" t="s">
        <v>1547</v>
      </c>
      <c r="G1313" s="6">
        <v>998</v>
      </c>
      <c r="H1313" s="6" t="s">
        <v>1547</v>
      </c>
      <c r="I1313" s="33">
        <v>0</v>
      </c>
      <c r="J1313" s="88">
        <v>0</v>
      </c>
      <c r="K1313" s="89">
        <f t="shared" si="200"/>
        <v>0</v>
      </c>
      <c r="L1313" s="88">
        <f>IF(K1314&gt;0, K1313/K1314, 0)</f>
        <v>0</v>
      </c>
      <c r="M1313" s="58"/>
      <c r="N1313" s="9">
        <f>ROUND(M1314*L1313,0)</f>
        <v>0</v>
      </c>
      <c r="O1313" s="9">
        <v>0</v>
      </c>
      <c r="P1313" s="9">
        <f>N1313-O1313</f>
        <v>0</v>
      </c>
      <c r="Q1313" s="40">
        <f t="shared" si="209"/>
        <v>0</v>
      </c>
      <c r="R1313" s="9">
        <v>0</v>
      </c>
      <c r="S1313" s="9">
        <f t="shared" si="207"/>
        <v>0</v>
      </c>
      <c r="T1313" s="90">
        <f t="shared" si="202"/>
        <v>261</v>
      </c>
      <c r="U1313" s="90">
        <f t="shared" si="203"/>
        <v>998</v>
      </c>
      <c r="V1313" s="373">
        <f t="shared" si="204"/>
        <v>1304</v>
      </c>
      <c r="W1313" s="90">
        <f t="shared" si="205"/>
        <v>0</v>
      </c>
      <c r="X1313" s="90">
        <f t="shared" si="206"/>
        <v>0</v>
      </c>
      <c r="Y1313" s="141">
        <f t="shared" si="208"/>
        <v>1304</v>
      </c>
      <c r="Z1313" s="298">
        <v>261</v>
      </c>
      <c r="AA1313" s="299">
        <v>998</v>
      </c>
      <c r="AB1313" s="299">
        <v>1304</v>
      </c>
      <c r="AC1313" s="301">
        <v>0</v>
      </c>
      <c r="AD1313" s="301">
        <v>0</v>
      </c>
      <c r="AE1313" s="126"/>
      <c r="AF1313" s="298"/>
      <c r="AG1313" s="299"/>
      <c r="AH1313" s="299"/>
      <c r="AI1313" s="301"/>
      <c r="AJ1313" s="301"/>
      <c r="AK1313" s="426"/>
      <c r="AL1313" s="298"/>
      <c r="AM1313" s="299"/>
      <c r="AN1313" s="299"/>
      <c r="AO1313" s="301"/>
      <c r="AP1313" s="301"/>
      <c r="AQ1313" s="426"/>
      <c r="AR1313" s="298"/>
      <c r="AS1313" s="299"/>
      <c r="AT1313" s="299"/>
      <c r="AU1313" s="301"/>
      <c r="AV1313" s="301"/>
      <c r="AW1313" s="88"/>
      <c r="AX1313" s="298"/>
      <c r="AY1313" s="299"/>
      <c r="AZ1313" s="299"/>
      <c r="BA1313" s="301"/>
      <c r="BB1313" s="301"/>
      <c r="BC1313" s="426"/>
      <c r="BD1313" s="298"/>
      <c r="BE1313" s="299"/>
      <c r="BF1313" s="299"/>
      <c r="BG1313" s="301"/>
      <c r="BH1313" s="301"/>
      <c r="BI1313" s="88"/>
      <c r="BJ1313" s="298"/>
      <c r="BK1313" s="299"/>
      <c r="BL1313" s="299"/>
      <c r="BM1313" s="301"/>
      <c r="BN1313" s="301"/>
      <c r="BO1313" s="88"/>
      <c r="BP1313" s="9"/>
      <c r="BS1313" s="81"/>
      <c r="BT1313" s="81"/>
      <c r="BV1313" s="9"/>
      <c r="BY1313" s="81"/>
      <c r="BZ1313" s="81"/>
      <c r="CB1313" s="9"/>
      <c r="CE1313" s="81"/>
      <c r="CF1313" s="81"/>
      <c r="CH1313" s="9"/>
      <c r="CK1313" s="81"/>
      <c r="CL1313" s="81"/>
      <c r="CR1313" s="9"/>
      <c r="CS1313" s="9"/>
      <c r="CT1313" s="9"/>
      <c r="CU1313" s="9"/>
      <c r="CV1313" s="9"/>
      <c r="CW1313" s="129"/>
      <c r="CX1313" s="9"/>
    </row>
    <row r="1314" spans="1:102">
      <c r="A1314" s="6" t="str">
        <f t="shared" si="201"/>
        <v>02610999</v>
      </c>
      <c r="B1314" s="6" t="s">
        <v>1911</v>
      </c>
      <c r="C1314" s="6" t="s">
        <v>2092</v>
      </c>
      <c r="D1314" s="6">
        <v>1305</v>
      </c>
      <c r="E1314" s="10">
        <v>261</v>
      </c>
      <c r="F1314" s="10" t="s">
        <v>1379</v>
      </c>
      <c r="G1314" s="10">
        <v>999</v>
      </c>
      <c r="H1314" s="10" t="s">
        <v>593</v>
      </c>
      <c r="I1314" s="92">
        <v>32345011.084677584</v>
      </c>
      <c r="J1314" s="472">
        <v>1</v>
      </c>
      <c r="K1314" s="53">
        <f>SUM(K1310:K1313)</f>
        <v>32810503.31574535</v>
      </c>
      <c r="L1314" s="91">
        <f>SUM(L1310:L1313)</f>
        <v>1</v>
      </c>
      <c r="M1314" s="79">
        <f>VLOOKUP(E1314,town351,24)</f>
        <v>27068665</v>
      </c>
      <c r="N1314" s="79">
        <f>SUM(N1310:N1313)</f>
        <v>27068665</v>
      </c>
      <c r="O1314" s="79">
        <v>26684634</v>
      </c>
      <c r="P1314" s="79">
        <f>SUM(P1310:P1313)</f>
        <v>384031</v>
      </c>
      <c r="Q1314" s="39">
        <f t="shared" si="209"/>
        <v>1.4391465890069919</v>
      </c>
      <c r="R1314" s="9">
        <v>2423.7452471465099</v>
      </c>
      <c r="S1314" s="9">
        <f t="shared" si="207"/>
        <v>2384.5521688148801</v>
      </c>
      <c r="T1314" s="90">
        <f t="shared" si="202"/>
        <v>261</v>
      </c>
      <c r="U1314" s="90">
        <f t="shared" si="203"/>
        <v>999</v>
      </c>
      <c r="V1314" s="373">
        <f t="shared" si="204"/>
        <v>1305</v>
      </c>
      <c r="W1314" s="90">
        <f t="shared" si="205"/>
        <v>2384.5521688148801</v>
      </c>
      <c r="X1314" s="90">
        <f t="shared" si="206"/>
        <v>32810503.31574535</v>
      </c>
      <c r="Y1314" s="141">
        <f t="shared" si="208"/>
        <v>1305</v>
      </c>
      <c r="Z1314" s="298">
        <v>261</v>
      </c>
      <c r="AA1314" s="299">
        <v>999</v>
      </c>
      <c r="AB1314" s="299">
        <v>1305</v>
      </c>
      <c r="AC1314" s="301">
        <v>2384.5521688148801</v>
      </c>
      <c r="AD1314" s="301">
        <v>32810503.31574535</v>
      </c>
      <c r="AE1314" s="126"/>
      <c r="AF1314" s="298"/>
      <c r="AG1314" s="299"/>
      <c r="AH1314" s="299"/>
      <c r="AI1314" s="301"/>
      <c r="AJ1314" s="301"/>
      <c r="AK1314" s="426"/>
      <c r="AL1314" s="298"/>
      <c r="AM1314" s="299"/>
      <c r="AN1314" s="299"/>
      <c r="AO1314" s="301"/>
      <c r="AP1314" s="301"/>
      <c r="AQ1314" s="426"/>
      <c r="AR1314" s="298"/>
      <c r="AS1314" s="299"/>
      <c r="AT1314" s="299"/>
      <c r="AU1314" s="301"/>
      <c r="AV1314" s="301"/>
      <c r="AW1314" s="91"/>
      <c r="AX1314" s="298"/>
      <c r="AY1314" s="299"/>
      <c r="AZ1314" s="299"/>
      <c r="BA1314" s="301"/>
      <c r="BB1314" s="301"/>
      <c r="BC1314" s="426"/>
      <c r="BD1314" s="298"/>
      <c r="BE1314" s="299"/>
      <c r="BF1314" s="299"/>
      <c r="BG1314" s="301"/>
      <c r="BH1314" s="301"/>
      <c r="BI1314" s="91"/>
      <c r="BJ1314" s="298"/>
      <c r="BK1314" s="299"/>
      <c r="BL1314" s="299"/>
      <c r="BM1314" s="301"/>
      <c r="BN1314" s="301"/>
      <c r="BO1314" s="91"/>
      <c r="BP1314" s="9"/>
      <c r="BS1314" s="81"/>
      <c r="BT1314" s="81"/>
      <c r="BV1314" s="9"/>
      <c r="BY1314" s="81"/>
      <c r="BZ1314" s="81"/>
      <c r="CB1314" s="9"/>
      <c r="CE1314" s="81"/>
      <c r="CF1314" s="81"/>
      <c r="CH1314" s="9"/>
      <c r="CK1314" s="81"/>
      <c r="CL1314" s="81"/>
      <c r="CR1314" s="9"/>
      <c r="CS1314" s="9"/>
      <c r="CT1314" s="9"/>
      <c r="CU1314" s="9"/>
      <c r="CV1314" s="9"/>
      <c r="CW1314" s="129"/>
      <c r="CX1314" s="9"/>
    </row>
    <row r="1315" spans="1:102">
      <c r="A1315" s="6" t="str">
        <f t="shared" si="201"/>
        <v>02620262</v>
      </c>
      <c r="B1315" s="6" t="s">
        <v>1912</v>
      </c>
      <c r="C1315" s="6" t="s">
        <v>1912</v>
      </c>
      <c r="D1315" s="6">
        <v>1306</v>
      </c>
      <c r="E1315" s="6">
        <v>262</v>
      </c>
      <c r="F1315" s="6" t="s">
        <v>1380</v>
      </c>
      <c r="G1315" s="6">
        <v>262</v>
      </c>
      <c r="H1315" s="6" t="s">
        <v>943</v>
      </c>
      <c r="I1315" s="33">
        <v>42085454.029999994</v>
      </c>
      <c r="J1315" s="88">
        <v>0.92704189686558125</v>
      </c>
      <c r="K1315" s="89">
        <f t="shared" ref="K1315:K1378" si="210">X1315</f>
        <v>46319897.799999997</v>
      </c>
      <c r="L1315" s="88">
        <f>IF(K1319&gt;0, K1315/K1319, 0)</f>
        <v>0.93931596579316268</v>
      </c>
      <c r="M1315" s="58"/>
      <c r="N1315" s="9">
        <f>ROUND(M1319*L1315,0)</f>
        <v>32254007</v>
      </c>
      <c r="O1315" s="9">
        <v>30096004</v>
      </c>
      <c r="P1315" s="9">
        <f>N1315-O1315</f>
        <v>2158003</v>
      </c>
      <c r="Q1315" s="40">
        <f t="shared" si="209"/>
        <v>7.1703971065394594</v>
      </c>
      <c r="R1315" s="9">
        <v>2830</v>
      </c>
      <c r="S1315" s="9">
        <f t="shared" si="207"/>
        <v>2977</v>
      </c>
      <c r="T1315" s="90">
        <f t="shared" si="202"/>
        <v>262</v>
      </c>
      <c r="U1315" s="90">
        <f t="shared" si="203"/>
        <v>262</v>
      </c>
      <c r="V1315" s="373">
        <f t="shared" si="204"/>
        <v>1306</v>
      </c>
      <c r="W1315" s="90">
        <f t="shared" si="205"/>
        <v>2977</v>
      </c>
      <c r="X1315" s="90">
        <f t="shared" si="206"/>
        <v>46319897.799999997</v>
      </c>
      <c r="Y1315" s="141">
        <f t="shared" si="208"/>
        <v>1306</v>
      </c>
      <c r="Z1315" s="298">
        <v>262</v>
      </c>
      <c r="AA1315" s="299">
        <v>262</v>
      </c>
      <c r="AB1315" s="299">
        <v>1306</v>
      </c>
      <c r="AC1315" s="301">
        <v>2977</v>
      </c>
      <c r="AD1315" s="301">
        <v>46319897.799999997</v>
      </c>
      <c r="AE1315" s="126"/>
      <c r="AF1315" s="298"/>
      <c r="AG1315" s="299"/>
      <c r="AH1315" s="299"/>
      <c r="AI1315" s="301"/>
      <c r="AJ1315" s="301"/>
      <c r="AK1315" s="426"/>
      <c r="AL1315" s="298"/>
      <c r="AM1315" s="299"/>
      <c r="AN1315" s="299"/>
      <c r="AO1315" s="301"/>
      <c r="AP1315" s="301"/>
      <c r="AQ1315" s="426"/>
      <c r="AR1315" s="298"/>
      <c r="AS1315" s="299"/>
      <c r="AT1315" s="299"/>
      <c r="AU1315" s="301"/>
      <c r="AV1315" s="301"/>
      <c r="AW1315" s="88"/>
      <c r="AX1315" s="298"/>
      <c r="AY1315" s="299"/>
      <c r="AZ1315" s="299"/>
      <c r="BA1315" s="301"/>
      <c r="BB1315" s="301"/>
      <c r="BC1315" s="426"/>
      <c r="BD1315" s="298"/>
      <c r="BE1315" s="299"/>
      <c r="BF1315" s="299"/>
      <c r="BG1315" s="301"/>
      <c r="BH1315" s="301"/>
      <c r="BI1315" s="88"/>
      <c r="BJ1315" s="298"/>
      <c r="BK1315" s="299"/>
      <c r="BL1315" s="299"/>
      <c r="BM1315" s="301"/>
      <c r="BN1315" s="301"/>
      <c r="BO1315" s="88"/>
      <c r="BP1315" s="9"/>
      <c r="BS1315" s="81"/>
      <c r="BT1315" s="81"/>
      <c r="BV1315" s="9"/>
      <c r="BY1315" s="81"/>
      <c r="BZ1315" s="81"/>
      <c r="CB1315" s="9"/>
      <c r="CE1315" s="81"/>
      <c r="CF1315" s="81"/>
      <c r="CH1315" s="9"/>
      <c r="CK1315" s="81"/>
      <c r="CL1315" s="81"/>
      <c r="CR1315" s="9"/>
      <c r="CS1315" s="9"/>
      <c r="CT1315" s="9"/>
      <c r="CU1315" s="9"/>
      <c r="CV1315" s="9"/>
      <c r="CW1315" s="129"/>
      <c r="CX1315" s="9"/>
    </row>
    <row r="1316" spans="1:102">
      <c r="A1316" s="6" t="str">
        <f t="shared" si="201"/>
        <v>02620853</v>
      </c>
      <c r="B1316" s="6" t="s">
        <v>1912</v>
      </c>
      <c r="C1316" s="6" t="s">
        <v>2078</v>
      </c>
      <c r="D1316" s="6">
        <v>1307</v>
      </c>
      <c r="E1316" s="6">
        <v>262</v>
      </c>
      <c r="F1316" s="6" t="s">
        <v>1380</v>
      </c>
      <c r="G1316" s="6">
        <v>853</v>
      </c>
      <c r="H1316" s="6" t="s">
        <v>1108</v>
      </c>
      <c r="I1316" s="33">
        <v>3312120.9580291361</v>
      </c>
      <c r="J1316" s="88">
        <v>7.2958103134418695E-2</v>
      </c>
      <c r="K1316" s="89">
        <f t="shared" si="210"/>
        <v>2992473.6349806311</v>
      </c>
      <c r="L1316" s="88">
        <f>IF(K1319&gt;0, K1316/K1319, 0)</f>
        <v>6.0684034206837295E-2</v>
      </c>
      <c r="M1316" s="58"/>
      <c r="N1316" s="9">
        <f>ROUND(M1319*L1316,0)</f>
        <v>2083754</v>
      </c>
      <c r="O1316" s="9">
        <v>2368552</v>
      </c>
      <c r="P1316" s="9">
        <f>N1316-O1316</f>
        <v>-284798</v>
      </c>
      <c r="Q1316" s="40">
        <f t="shared" si="209"/>
        <v>-12.024139643123732</v>
      </c>
      <c r="R1316" s="9">
        <v>143.99999999366</v>
      </c>
      <c r="S1316" s="9">
        <f t="shared" si="207"/>
        <v>126.000000003</v>
      </c>
      <c r="T1316" s="90">
        <f t="shared" si="202"/>
        <v>262</v>
      </c>
      <c r="U1316" s="90">
        <f t="shared" si="203"/>
        <v>853</v>
      </c>
      <c r="V1316" s="373">
        <f t="shared" si="204"/>
        <v>1307</v>
      </c>
      <c r="W1316" s="90">
        <f t="shared" si="205"/>
        <v>126.000000003</v>
      </c>
      <c r="X1316" s="90">
        <f t="shared" si="206"/>
        <v>2992473.6349806311</v>
      </c>
      <c r="Y1316" s="141">
        <f t="shared" si="208"/>
        <v>1307</v>
      </c>
      <c r="Z1316" s="298">
        <v>262</v>
      </c>
      <c r="AA1316" s="299">
        <v>853</v>
      </c>
      <c r="AB1316" s="299">
        <v>1307</v>
      </c>
      <c r="AC1316" s="301">
        <v>126.000000003</v>
      </c>
      <c r="AD1316" s="301">
        <v>2992473.6349806311</v>
      </c>
      <c r="AE1316" s="126"/>
      <c r="AF1316" s="298"/>
      <c r="AG1316" s="299"/>
      <c r="AH1316" s="299"/>
      <c r="AI1316" s="301"/>
      <c r="AJ1316" s="301"/>
      <c r="AK1316" s="426"/>
      <c r="AL1316" s="298"/>
      <c r="AM1316" s="299"/>
      <c r="AN1316" s="299"/>
      <c r="AO1316" s="301"/>
      <c r="AP1316" s="301"/>
      <c r="AQ1316" s="426"/>
      <c r="AR1316" s="298"/>
      <c r="AS1316" s="299"/>
      <c r="AT1316" s="299"/>
      <c r="AU1316" s="301"/>
      <c r="AV1316" s="301"/>
      <c r="AW1316" s="88"/>
      <c r="AX1316" s="298"/>
      <c r="AY1316" s="299"/>
      <c r="AZ1316" s="299"/>
      <c r="BA1316" s="301"/>
      <c r="BB1316" s="301"/>
      <c r="BC1316" s="426"/>
      <c r="BD1316" s="298"/>
      <c r="BE1316" s="299"/>
      <c r="BF1316" s="299"/>
      <c r="BG1316" s="301"/>
      <c r="BH1316" s="301"/>
      <c r="BI1316" s="88"/>
      <c r="BJ1316" s="298"/>
      <c r="BK1316" s="299"/>
      <c r="BL1316" s="299"/>
      <c r="BM1316" s="301"/>
      <c r="BN1316" s="301"/>
      <c r="BO1316" s="88"/>
      <c r="BP1316" s="9"/>
      <c r="BS1316" s="81"/>
      <c r="BT1316" s="81"/>
      <c r="BV1316" s="9"/>
      <c r="BY1316" s="81"/>
      <c r="BZ1316" s="81"/>
      <c r="CB1316" s="9"/>
      <c r="CE1316" s="81"/>
      <c r="CF1316" s="81"/>
      <c r="CH1316" s="9"/>
      <c r="CK1316" s="81"/>
      <c r="CL1316" s="81"/>
      <c r="CR1316" s="9"/>
      <c r="CS1316" s="9"/>
      <c r="CT1316" s="9"/>
      <c r="CU1316" s="9"/>
      <c r="CV1316" s="9"/>
      <c r="CW1316" s="129"/>
      <c r="CX1316" s="9"/>
    </row>
    <row r="1317" spans="1:102">
      <c r="A1317" s="6" t="str">
        <f t="shared" si="201"/>
        <v>02620998</v>
      </c>
      <c r="B1317" s="6" t="s">
        <v>1912</v>
      </c>
      <c r="C1317" s="6" t="s">
        <v>2091</v>
      </c>
      <c r="D1317" s="6">
        <v>1308</v>
      </c>
      <c r="E1317" s="6">
        <v>262</v>
      </c>
      <c r="F1317" s="6" t="s">
        <v>1547</v>
      </c>
      <c r="G1317" s="6">
        <v>998</v>
      </c>
      <c r="I1317" s="33">
        <v>0</v>
      </c>
      <c r="J1317" s="88">
        <v>0</v>
      </c>
      <c r="K1317" s="89">
        <f t="shared" si="210"/>
        <v>0</v>
      </c>
      <c r="L1317" s="88">
        <f>IF(K1319&gt;0, K1317/K1319, 0)</f>
        <v>0</v>
      </c>
      <c r="M1317" s="58"/>
      <c r="N1317" s="9">
        <f>ROUND(M1319*L1317,0)</f>
        <v>0</v>
      </c>
      <c r="O1317" s="9">
        <v>0</v>
      </c>
      <c r="P1317" s="9">
        <f>N1317-O1317</f>
        <v>0</v>
      </c>
      <c r="Q1317" s="40">
        <f t="shared" si="209"/>
        <v>0</v>
      </c>
      <c r="R1317" s="9">
        <v>0</v>
      </c>
      <c r="S1317" s="9">
        <f t="shared" si="207"/>
        <v>0</v>
      </c>
      <c r="T1317" s="90">
        <f t="shared" si="202"/>
        <v>262</v>
      </c>
      <c r="U1317" s="90">
        <f t="shared" si="203"/>
        <v>998</v>
      </c>
      <c r="V1317" s="373">
        <f t="shared" si="204"/>
        <v>1308</v>
      </c>
      <c r="W1317" s="90">
        <f t="shared" si="205"/>
        <v>0</v>
      </c>
      <c r="X1317" s="90">
        <f t="shared" si="206"/>
        <v>0</v>
      </c>
      <c r="Y1317" s="141">
        <f t="shared" si="208"/>
        <v>1308</v>
      </c>
      <c r="Z1317" s="298">
        <v>262</v>
      </c>
      <c r="AA1317" s="299">
        <v>998</v>
      </c>
      <c r="AB1317" s="299">
        <v>1308</v>
      </c>
      <c r="AC1317" s="301">
        <v>0</v>
      </c>
      <c r="AD1317" s="301">
        <v>0</v>
      </c>
      <c r="AE1317" s="126"/>
      <c r="AF1317" s="298"/>
      <c r="AG1317" s="299"/>
      <c r="AH1317" s="299"/>
      <c r="AI1317" s="301"/>
      <c r="AJ1317" s="301"/>
      <c r="AK1317" s="426"/>
      <c r="AL1317" s="298"/>
      <c r="AM1317" s="299"/>
      <c r="AN1317" s="299"/>
      <c r="AO1317" s="301"/>
      <c r="AP1317" s="301"/>
      <c r="AQ1317" s="426"/>
      <c r="AR1317" s="298"/>
      <c r="AS1317" s="299"/>
      <c r="AT1317" s="299"/>
      <c r="AU1317" s="301"/>
      <c r="AV1317" s="301"/>
      <c r="AW1317" s="88"/>
      <c r="AX1317" s="298"/>
      <c r="AY1317" s="299"/>
      <c r="AZ1317" s="299"/>
      <c r="BA1317" s="301"/>
      <c r="BB1317" s="301"/>
      <c r="BC1317" s="426"/>
      <c r="BD1317" s="298"/>
      <c r="BE1317" s="299"/>
      <c r="BF1317" s="299"/>
      <c r="BG1317" s="301"/>
      <c r="BH1317" s="301"/>
      <c r="BI1317" s="88"/>
      <c r="BJ1317" s="298"/>
      <c r="BK1317" s="299"/>
      <c r="BL1317" s="299"/>
      <c r="BM1317" s="301"/>
      <c r="BN1317" s="301"/>
      <c r="BO1317" s="88"/>
      <c r="BP1317" s="9"/>
      <c r="BS1317" s="81"/>
      <c r="BT1317" s="81"/>
      <c r="BV1317" s="9"/>
      <c r="BY1317" s="81"/>
      <c r="BZ1317" s="81"/>
      <c r="CB1317" s="9"/>
      <c r="CE1317" s="81"/>
      <c r="CF1317" s="81"/>
      <c r="CH1317" s="9"/>
      <c r="CK1317" s="81"/>
      <c r="CL1317" s="81"/>
      <c r="CR1317" s="9"/>
      <c r="CS1317" s="9"/>
      <c r="CT1317" s="9"/>
      <c r="CU1317" s="9"/>
      <c r="CV1317" s="9"/>
      <c r="CW1317" s="129"/>
      <c r="CX1317" s="9"/>
    </row>
    <row r="1318" spans="1:102">
      <c r="A1318" s="6" t="str">
        <f t="shared" si="201"/>
        <v>02620998</v>
      </c>
      <c r="B1318" s="6" t="s">
        <v>1912</v>
      </c>
      <c r="C1318" s="6" t="s">
        <v>2091</v>
      </c>
      <c r="D1318" s="6">
        <v>1309</v>
      </c>
      <c r="E1318" s="6">
        <v>262</v>
      </c>
      <c r="F1318" s="6" t="s">
        <v>1547</v>
      </c>
      <c r="G1318" s="6">
        <v>998</v>
      </c>
      <c r="H1318" s="6" t="s">
        <v>1547</v>
      </c>
      <c r="I1318" s="33">
        <v>0</v>
      </c>
      <c r="J1318" s="88">
        <v>0</v>
      </c>
      <c r="K1318" s="89">
        <f t="shared" si="210"/>
        <v>0</v>
      </c>
      <c r="L1318" s="88">
        <f>IF(K1319&gt;0, K1318/K1319, 0)</f>
        <v>0</v>
      </c>
      <c r="M1318" s="58"/>
      <c r="N1318" s="9">
        <f>ROUND(M1319*L1318,0)</f>
        <v>0</v>
      </c>
      <c r="O1318" s="9">
        <v>0</v>
      </c>
      <c r="P1318" s="9">
        <f>N1318-O1318</f>
        <v>0</v>
      </c>
      <c r="Q1318" s="40">
        <f t="shared" si="209"/>
        <v>0</v>
      </c>
      <c r="R1318" s="9">
        <v>0</v>
      </c>
      <c r="S1318" s="9">
        <f t="shared" si="207"/>
        <v>0</v>
      </c>
      <c r="T1318" s="90">
        <f t="shared" si="202"/>
        <v>262</v>
      </c>
      <c r="U1318" s="90">
        <f t="shared" si="203"/>
        <v>998</v>
      </c>
      <c r="V1318" s="373">
        <f t="shared" si="204"/>
        <v>1309</v>
      </c>
      <c r="W1318" s="90">
        <f t="shared" si="205"/>
        <v>0</v>
      </c>
      <c r="X1318" s="90">
        <f t="shared" si="206"/>
        <v>0</v>
      </c>
      <c r="Y1318" s="141">
        <f t="shared" si="208"/>
        <v>1309</v>
      </c>
      <c r="Z1318" s="298">
        <v>262</v>
      </c>
      <c r="AA1318" s="299">
        <v>998</v>
      </c>
      <c r="AB1318" s="299">
        <v>1309</v>
      </c>
      <c r="AC1318" s="301">
        <v>0</v>
      </c>
      <c r="AD1318" s="301">
        <v>0</v>
      </c>
      <c r="AE1318" s="126"/>
      <c r="AF1318" s="298"/>
      <c r="AG1318" s="299"/>
      <c r="AH1318" s="299"/>
      <c r="AI1318" s="301"/>
      <c r="AJ1318" s="301"/>
      <c r="AK1318" s="426"/>
      <c r="AL1318" s="298"/>
      <c r="AM1318" s="299"/>
      <c r="AN1318" s="299"/>
      <c r="AO1318" s="301"/>
      <c r="AP1318" s="301"/>
      <c r="AQ1318" s="426"/>
      <c r="AR1318" s="298"/>
      <c r="AS1318" s="299"/>
      <c r="AT1318" s="299"/>
      <c r="AU1318" s="301"/>
      <c r="AV1318" s="301"/>
      <c r="AW1318" s="88"/>
      <c r="AX1318" s="298"/>
      <c r="AY1318" s="299"/>
      <c r="AZ1318" s="299"/>
      <c r="BA1318" s="301"/>
      <c r="BB1318" s="301"/>
      <c r="BC1318" s="426"/>
      <c r="BD1318" s="298"/>
      <c r="BE1318" s="299"/>
      <c r="BF1318" s="299"/>
      <c r="BG1318" s="301"/>
      <c r="BH1318" s="301"/>
      <c r="BI1318" s="88"/>
      <c r="BJ1318" s="298"/>
      <c r="BK1318" s="299"/>
      <c r="BL1318" s="299"/>
      <c r="BM1318" s="301"/>
      <c r="BN1318" s="301"/>
      <c r="BO1318" s="88"/>
      <c r="BP1318" s="9"/>
      <c r="BS1318" s="81"/>
      <c r="BT1318" s="81"/>
      <c r="BV1318" s="9"/>
      <c r="BY1318" s="81"/>
      <c r="BZ1318" s="81"/>
      <c r="CB1318" s="9"/>
      <c r="CE1318" s="81"/>
      <c r="CF1318" s="81"/>
      <c r="CH1318" s="9"/>
      <c r="CK1318" s="81"/>
      <c r="CL1318" s="81"/>
      <c r="CR1318" s="9"/>
      <c r="CS1318" s="9"/>
      <c r="CT1318" s="9"/>
      <c r="CU1318" s="9"/>
      <c r="CV1318" s="9"/>
      <c r="CW1318" s="129"/>
      <c r="CX1318" s="9"/>
    </row>
    <row r="1319" spans="1:102">
      <c r="A1319" s="6" t="str">
        <f t="shared" si="201"/>
        <v>02620999</v>
      </c>
      <c r="B1319" s="6" t="s">
        <v>1912</v>
      </c>
      <c r="C1319" s="6" t="s">
        <v>2092</v>
      </c>
      <c r="D1319" s="6">
        <v>1310</v>
      </c>
      <c r="E1319" s="10">
        <v>262</v>
      </c>
      <c r="F1319" s="10" t="s">
        <v>1380</v>
      </c>
      <c r="G1319" s="10">
        <v>999</v>
      </c>
      <c r="H1319" s="10" t="s">
        <v>593</v>
      </c>
      <c r="I1319" s="92">
        <v>45397574.98802913</v>
      </c>
      <c r="J1319" s="472">
        <v>1</v>
      </c>
      <c r="K1319" s="53">
        <f>SUM(K1315:K1318)</f>
        <v>49312371.434980631</v>
      </c>
      <c r="L1319" s="91">
        <f>SUM(L1315:L1318)</f>
        <v>1</v>
      </c>
      <c r="M1319" s="79">
        <f>VLOOKUP(E1319,town351,24)</f>
        <v>34337761</v>
      </c>
      <c r="N1319" s="79">
        <f>SUM(N1315:N1318)</f>
        <v>34337761</v>
      </c>
      <c r="O1319" s="79">
        <v>32464556</v>
      </c>
      <c r="P1319" s="79">
        <f>SUM(P1315:P1318)</f>
        <v>1873205</v>
      </c>
      <c r="Q1319" s="39">
        <f t="shared" si="209"/>
        <v>5.7700003659375474</v>
      </c>
      <c r="R1319" s="9">
        <v>2973.9999999936599</v>
      </c>
      <c r="S1319" s="9">
        <f t="shared" si="207"/>
        <v>3103.000000003</v>
      </c>
      <c r="T1319" s="90">
        <f t="shared" si="202"/>
        <v>262</v>
      </c>
      <c r="U1319" s="90">
        <f t="shared" si="203"/>
        <v>999</v>
      </c>
      <c r="V1319" s="373">
        <f t="shared" si="204"/>
        <v>1310</v>
      </c>
      <c r="W1319" s="90">
        <f t="shared" si="205"/>
        <v>3103.000000003</v>
      </c>
      <c r="X1319" s="90">
        <f t="shared" si="206"/>
        <v>49312371.434980631</v>
      </c>
      <c r="Y1319" s="141">
        <f t="shared" si="208"/>
        <v>1310</v>
      </c>
      <c r="Z1319" s="298">
        <v>262</v>
      </c>
      <c r="AA1319" s="299">
        <v>999</v>
      </c>
      <c r="AB1319" s="299">
        <v>1310</v>
      </c>
      <c r="AC1319" s="301">
        <v>3103.000000003</v>
      </c>
      <c r="AD1319" s="301">
        <v>49312371.434980631</v>
      </c>
      <c r="AE1319" s="126"/>
      <c r="AF1319" s="298"/>
      <c r="AG1319" s="299"/>
      <c r="AH1319" s="299"/>
      <c r="AI1319" s="301"/>
      <c r="AJ1319" s="301"/>
      <c r="AK1319" s="426"/>
      <c r="AL1319" s="298"/>
      <c r="AM1319" s="299"/>
      <c r="AN1319" s="299"/>
      <c r="AO1319" s="301"/>
      <c r="AP1319" s="301"/>
      <c r="AQ1319" s="426"/>
      <c r="AR1319" s="298"/>
      <c r="AS1319" s="299"/>
      <c r="AT1319" s="299"/>
      <c r="AU1319" s="301"/>
      <c r="AV1319" s="301"/>
      <c r="AW1319" s="91"/>
      <c r="AX1319" s="298"/>
      <c r="AY1319" s="299"/>
      <c r="AZ1319" s="299"/>
      <c r="BA1319" s="301"/>
      <c r="BB1319" s="301"/>
      <c r="BC1319" s="426"/>
      <c r="BD1319" s="298"/>
      <c r="BE1319" s="299"/>
      <c r="BF1319" s="299"/>
      <c r="BG1319" s="301"/>
      <c r="BH1319" s="301"/>
      <c r="BI1319" s="91"/>
      <c r="BJ1319" s="298"/>
      <c r="BK1319" s="299"/>
      <c r="BL1319" s="299"/>
      <c r="BM1319" s="301"/>
      <c r="BN1319" s="301"/>
      <c r="BO1319" s="91"/>
      <c r="BP1319" s="9"/>
      <c r="BS1319" s="81"/>
      <c r="BT1319" s="81"/>
      <c r="BV1319" s="9"/>
      <c r="BY1319" s="81"/>
      <c r="BZ1319" s="81"/>
      <c r="CB1319" s="9"/>
      <c r="CE1319" s="81"/>
      <c r="CF1319" s="81"/>
      <c r="CH1319" s="9"/>
      <c r="CK1319" s="81"/>
      <c r="CL1319" s="81"/>
      <c r="CR1319" s="9"/>
      <c r="CS1319" s="9"/>
      <c r="CT1319" s="9"/>
      <c r="CU1319" s="9"/>
      <c r="CV1319" s="9"/>
      <c r="CW1319" s="129"/>
      <c r="CX1319" s="9"/>
    </row>
    <row r="1320" spans="1:102">
      <c r="A1320" s="6" t="str">
        <f t="shared" si="201"/>
        <v>02630263</v>
      </c>
      <c r="B1320" s="6" t="s">
        <v>1913</v>
      </c>
      <c r="C1320" s="6" t="s">
        <v>1913</v>
      </c>
      <c r="D1320" s="6">
        <v>1311</v>
      </c>
      <c r="E1320" s="6">
        <v>263</v>
      </c>
      <c r="F1320" s="6" t="s">
        <v>1381</v>
      </c>
      <c r="G1320" s="6">
        <v>263</v>
      </c>
      <c r="H1320" s="6" t="s">
        <v>944</v>
      </c>
      <c r="I1320" s="33">
        <v>576479.4</v>
      </c>
      <c r="J1320" s="88">
        <v>0.75170632204625454</v>
      </c>
      <c r="K1320" s="89">
        <f>X1320</f>
        <v>622293.56000000006</v>
      </c>
      <c r="L1320" s="88">
        <f>IF(K1324&gt;0, K1320/K1324, 0)</f>
        <v>0.72069917101605163</v>
      </c>
      <c r="M1320" s="58"/>
      <c r="N1320" s="9">
        <f>ROUND(M1324*L1320,0)</f>
        <v>425422</v>
      </c>
      <c r="O1320" s="9">
        <v>429924</v>
      </c>
      <c r="P1320" s="9">
        <f>N1320-O1320</f>
        <v>-4502</v>
      </c>
      <c r="Q1320" s="40">
        <f t="shared" si="209"/>
        <v>-1.0471618239502796</v>
      </c>
      <c r="R1320" s="9">
        <v>40</v>
      </c>
      <c r="S1320" s="9">
        <f t="shared" si="207"/>
        <v>35</v>
      </c>
      <c r="T1320" s="90">
        <f t="shared" si="202"/>
        <v>263</v>
      </c>
      <c r="U1320" s="90">
        <f t="shared" si="203"/>
        <v>263</v>
      </c>
      <c r="V1320" s="373">
        <f t="shared" si="204"/>
        <v>1311</v>
      </c>
      <c r="W1320" s="90">
        <f t="shared" si="205"/>
        <v>35</v>
      </c>
      <c r="X1320" s="90">
        <f t="shared" si="206"/>
        <v>622293.56000000006</v>
      </c>
      <c r="Y1320" s="141">
        <f t="shared" si="208"/>
        <v>1311</v>
      </c>
      <c r="Z1320" s="298">
        <v>263</v>
      </c>
      <c r="AA1320" s="299">
        <v>263</v>
      </c>
      <c r="AB1320" s="299">
        <v>1311</v>
      </c>
      <c r="AC1320" s="301">
        <v>35</v>
      </c>
      <c r="AD1320" s="301">
        <v>622293.56000000006</v>
      </c>
      <c r="AE1320" s="126"/>
      <c r="AF1320" s="298"/>
      <c r="AG1320" s="299"/>
      <c r="AH1320" s="299"/>
      <c r="AI1320" s="301"/>
      <c r="AJ1320" s="301"/>
      <c r="AK1320" s="426"/>
      <c r="AL1320" s="298"/>
      <c r="AM1320" s="299"/>
      <c r="AN1320" s="299"/>
      <c r="AO1320" s="301"/>
      <c r="AP1320" s="301"/>
      <c r="AQ1320" s="426"/>
      <c r="AR1320" s="298"/>
      <c r="AS1320" s="299"/>
      <c r="AT1320" s="299"/>
      <c r="AU1320" s="301"/>
      <c r="AV1320" s="301"/>
      <c r="AW1320" s="88"/>
      <c r="AX1320" s="298"/>
      <c r="AY1320" s="299"/>
      <c r="AZ1320" s="299"/>
      <c r="BA1320" s="301"/>
      <c r="BB1320" s="301"/>
      <c r="BC1320" s="426"/>
      <c r="BD1320" s="298"/>
      <c r="BE1320" s="299"/>
      <c r="BF1320" s="299"/>
      <c r="BG1320" s="301"/>
      <c r="BH1320" s="301"/>
      <c r="BI1320" s="88"/>
      <c r="BJ1320" s="298"/>
      <c r="BK1320" s="299"/>
      <c r="BL1320" s="299"/>
      <c r="BM1320" s="301"/>
      <c r="BN1320" s="301"/>
      <c r="BO1320" s="88"/>
      <c r="BP1320" s="9"/>
      <c r="BS1320" s="81"/>
      <c r="BT1320" s="81"/>
      <c r="BV1320" s="9"/>
      <c r="BY1320" s="81"/>
      <c r="BZ1320" s="81"/>
      <c r="CB1320" s="9"/>
      <c r="CE1320" s="81"/>
      <c r="CF1320" s="81"/>
      <c r="CH1320" s="9"/>
      <c r="CK1320" s="81"/>
      <c r="CL1320" s="81"/>
      <c r="CR1320" s="9"/>
      <c r="CS1320" s="9"/>
      <c r="CT1320" s="9"/>
      <c r="CU1320" s="9"/>
      <c r="CV1320" s="9"/>
      <c r="CW1320" s="129"/>
      <c r="CX1320" s="9"/>
    </row>
    <row r="1321" spans="1:102">
      <c r="A1321" s="6" t="str">
        <f t="shared" si="201"/>
        <v>02630851</v>
      </c>
      <c r="B1321" s="6" t="s">
        <v>1913</v>
      </c>
      <c r="C1321" s="6" t="s">
        <v>2076</v>
      </c>
      <c r="D1321" s="6">
        <v>1312</v>
      </c>
      <c r="E1321" s="6">
        <v>263</v>
      </c>
      <c r="F1321" s="6" t="s">
        <v>1381</v>
      </c>
      <c r="G1321" s="6">
        <v>851</v>
      </c>
      <c r="H1321" s="6" t="s">
        <v>1106</v>
      </c>
      <c r="I1321" s="33">
        <v>190415.04147647819</v>
      </c>
      <c r="J1321" s="88">
        <v>0.24829367795374546</v>
      </c>
      <c r="K1321" s="89">
        <f t="shared" si="210"/>
        <v>241164.57208398994</v>
      </c>
      <c r="L1321" s="88">
        <f>IF(K1324&gt;0, K1321/K1324, 0)</f>
        <v>0.27930082898394831</v>
      </c>
      <c r="M1321" s="58"/>
      <c r="N1321" s="9">
        <f>ROUND(M1324*L1321,0)</f>
        <v>164868</v>
      </c>
      <c r="O1321" s="9">
        <v>142007</v>
      </c>
      <c r="P1321" s="9">
        <f>N1321-O1321</f>
        <v>22861</v>
      </c>
      <c r="Q1321" s="40">
        <f t="shared" si="209"/>
        <v>16.098502186511933</v>
      </c>
      <c r="R1321" s="9">
        <v>9.0000000018600002</v>
      </c>
      <c r="S1321" s="9">
        <f t="shared" si="207"/>
        <v>11.00000000182</v>
      </c>
      <c r="T1321" s="90">
        <f t="shared" si="202"/>
        <v>263</v>
      </c>
      <c r="U1321" s="90">
        <f t="shared" si="203"/>
        <v>851</v>
      </c>
      <c r="V1321" s="373">
        <f t="shared" si="204"/>
        <v>1312</v>
      </c>
      <c r="W1321" s="90">
        <f t="shared" si="205"/>
        <v>11.00000000182</v>
      </c>
      <c r="X1321" s="90">
        <f t="shared" si="206"/>
        <v>241164.57208398994</v>
      </c>
      <c r="Y1321" s="141">
        <f t="shared" si="208"/>
        <v>1312</v>
      </c>
      <c r="Z1321" s="298">
        <v>263</v>
      </c>
      <c r="AA1321" s="299">
        <v>851</v>
      </c>
      <c r="AB1321" s="299">
        <v>1312</v>
      </c>
      <c r="AC1321" s="301">
        <v>11.00000000182</v>
      </c>
      <c r="AD1321" s="301">
        <v>241164.57208398994</v>
      </c>
      <c r="AE1321" s="126"/>
      <c r="AF1321" s="298"/>
      <c r="AG1321" s="299"/>
      <c r="AH1321" s="299"/>
      <c r="AI1321" s="301"/>
      <c r="AJ1321" s="301"/>
      <c r="AK1321" s="426"/>
      <c r="AL1321" s="298"/>
      <c r="AM1321" s="299"/>
      <c r="AN1321" s="299"/>
      <c r="AO1321" s="301"/>
      <c r="AP1321" s="301"/>
      <c r="AQ1321" s="426"/>
      <c r="AR1321" s="298"/>
      <c r="AS1321" s="299"/>
      <c r="AT1321" s="299"/>
      <c r="AU1321" s="301"/>
      <c r="AV1321" s="301"/>
      <c r="AW1321" s="88"/>
      <c r="AX1321" s="298"/>
      <c r="AY1321" s="299"/>
      <c r="AZ1321" s="299"/>
      <c r="BA1321" s="301"/>
      <c r="BB1321" s="301"/>
      <c r="BC1321" s="426"/>
      <c r="BD1321" s="298"/>
      <c r="BE1321" s="299"/>
      <c r="BF1321" s="299"/>
      <c r="BG1321" s="301"/>
      <c r="BH1321" s="301"/>
      <c r="BI1321" s="88"/>
      <c r="BJ1321" s="298"/>
      <c r="BK1321" s="299"/>
      <c r="BL1321" s="299"/>
      <c r="BM1321" s="301"/>
      <c r="BN1321" s="301"/>
      <c r="BO1321" s="88"/>
      <c r="BP1321" s="9"/>
      <c r="BS1321" s="81"/>
      <c r="BT1321" s="81"/>
      <c r="BV1321" s="9"/>
      <c r="BY1321" s="81"/>
      <c r="BZ1321" s="81"/>
      <c r="CB1321" s="9"/>
      <c r="CE1321" s="81"/>
      <c r="CF1321" s="81"/>
      <c r="CH1321" s="9"/>
      <c r="CK1321" s="81"/>
      <c r="CL1321" s="81"/>
      <c r="CR1321" s="9"/>
      <c r="CS1321" s="9"/>
      <c r="CT1321" s="9"/>
      <c r="CU1321" s="9"/>
      <c r="CV1321" s="9"/>
      <c r="CW1321" s="129"/>
      <c r="CX1321" s="9"/>
    </row>
    <row r="1322" spans="1:102">
      <c r="A1322" s="6" t="str">
        <f t="shared" si="201"/>
        <v>02630998</v>
      </c>
      <c r="B1322" s="6" t="s">
        <v>1913</v>
      </c>
      <c r="C1322" s="6" t="s">
        <v>2091</v>
      </c>
      <c r="D1322" s="6">
        <v>1313</v>
      </c>
      <c r="E1322" s="6">
        <v>263</v>
      </c>
      <c r="F1322" s="6" t="s">
        <v>1547</v>
      </c>
      <c r="G1322" s="6">
        <v>998</v>
      </c>
      <c r="H1322" s="6" t="s">
        <v>1547</v>
      </c>
      <c r="I1322" s="33">
        <v>0</v>
      </c>
      <c r="J1322" s="88">
        <v>0</v>
      </c>
      <c r="K1322" s="89">
        <f t="shared" si="210"/>
        <v>0</v>
      </c>
      <c r="L1322" s="88">
        <f>IF(K1324&gt;0, K1322/K1324, 0)</f>
        <v>0</v>
      </c>
      <c r="M1322" s="58"/>
      <c r="N1322" s="9">
        <f>ROUND(M1324*L1322,0)</f>
        <v>0</v>
      </c>
      <c r="O1322" s="9">
        <v>0</v>
      </c>
      <c r="P1322" s="9">
        <f>N1322-O1322</f>
        <v>0</v>
      </c>
      <c r="Q1322" s="40">
        <f t="shared" si="209"/>
        <v>0</v>
      </c>
      <c r="R1322" s="9">
        <v>0</v>
      </c>
      <c r="S1322" s="9">
        <f t="shared" si="207"/>
        <v>0</v>
      </c>
      <c r="T1322" s="90">
        <f t="shared" si="202"/>
        <v>263</v>
      </c>
      <c r="U1322" s="90">
        <f t="shared" si="203"/>
        <v>998</v>
      </c>
      <c r="V1322" s="373">
        <f t="shared" si="204"/>
        <v>1313</v>
      </c>
      <c r="W1322" s="90">
        <f t="shared" si="205"/>
        <v>0</v>
      </c>
      <c r="X1322" s="90">
        <f t="shared" si="206"/>
        <v>0</v>
      </c>
      <c r="Y1322" s="141">
        <f t="shared" si="208"/>
        <v>1313</v>
      </c>
      <c r="Z1322" s="298">
        <v>263</v>
      </c>
      <c r="AA1322" s="299">
        <v>998</v>
      </c>
      <c r="AB1322" s="299">
        <v>1313</v>
      </c>
      <c r="AC1322" s="301">
        <v>0</v>
      </c>
      <c r="AD1322" s="301">
        <v>0</v>
      </c>
      <c r="AE1322" s="126"/>
      <c r="AF1322" s="298"/>
      <c r="AG1322" s="299"/>
      <c r="AH1322" s="299"/>
      <c r="AI1322" s="301"/>
      <c r="AJ1322" s="301"/>
      <c r="AK1322" s="426"/>
      <c r="AL1322" s="298"/>
      <c r="AM1322" s="299"/>
      <c r="AN1322" s="299"/>
      <c r="AO1322" s="301"/>
      <c r="AP1322" s="301"/>
      <c r="AQ1322" s="426"/>
      <c r="AR1322" s="298"/>
      <c r="AS1322" s="299"/>
      <c r="AT1322" s="299"/>
      <c r="AU1322" s="301"/>
      <c r="AV1322" s="301"/>
      <c r="AW1322" s="88"/>
      <c r="AX1322" s="298"/>
      <c r="AY1322" s="299"/>
      <c r="AZ1322" s="299"/>
      <c r="BA1322" s="301"/>
      <c r="BB1322" s="301"/>
      <c r="BC1322" s="426"/>
      <c r="BD1322" s="298"/>
      <c r="BE1322" s="299"/>
      <c r="BF1322" s="299"/>
      <c r="BG1322" s="301"/>
      <c r="BH1322" s="301"/>
      <c r="BI1322" s="88"/>
      <c r="BJ1322" s="298"/>
      <c r="BK1322" s="299"/>
      <c r="BL1322" s="299"/>
      <c r="BM1322" s="301"/>
      <c r="BN1322" s="301"/>
      <c r="BO1322" s="88"/>
      <c r="BP1322" s="9"/>
      <c r="BS1322" s="81"/>
      <c r="BT1322" s="81"/>
      <c r="BV1322" s="9"/>
      <c r="BY1322" s="81"/>
      <c r="BZ1322" s="81"/>
      <c r="CB1322" s="9"/>
      <c r="CE1322" s="81"/>
      <c r="CF1322" s="81"/>
      <c r="CH1322" s="9"/>
      <c r="CK1322" s="81"/>
      <c r="CL1322" s="81"/>
      <c r="CR1322" s="9"/>
      <c r="CS1322" s="9"/>
      <c r="CT1322" s="9"/>
      <c r="CU1322" s="9"/>
      <c r="CV1322" s="9"/>
      <c r="CW1322" s="129"/>
      <c r="CX1322" s="9"/>
    </row>
    <row r="1323" spans="1:102">
      <c r="A1323" s="6" t="str">
        <f t="shared" si="201"/>
        <v>02630998</v>
      </c>
      <c r="B1323" s="6" t="s">
        <v>1913</v>
      </c>
      <c r="C1323" s="6" t="s">
        <v>2091</v>
      </c>
      <c r="D1323" s="6">
        <v>1314</v>
      </c>
      <c r="E1323" s="6">
        <v>263</v>
      </c>
      <c r="F1323" s="6" t="s">
        <v>1547</v>
      </c>
      <c r="G1323" s="6">
        <v>998</v>
      </c>
      <c r="H1323" s="6" t="s">
        <v>1547</v>
      </c>
      <c r="I1323" s="33">
        <v>0</v>
      </c>
      <c r="J1323" s="88">
        <v>0</v>
      </c>
      <c r="K1323" s="89">
        <f t="shared" si="210"/>
        <v>0</v>
      </c>
      <c r="L1323" s="88">
        <f>IF(K1324&gt;0, K1323/K1324, 0)</f>
        <v>0</v>
      </c>
      <c r="M1323" s="58"/>
      <c r="N1323" s="9">
        <f>ROUND(M1324*L1323,0)</f>
        <v>0</v>
      </c>
      <c r="O1323" s="9">
        <v>0</v>
      </c>
      <c r="P1323" s="9">
        <f>N1323-O1323</f>
        <v>0</v>
      </c>
      <c r="Q1323" s="40">
        <f t="shared" si="209"/>
        <v>0</v>
      </c>
      <c r="R1323" s="9">
        <v>0</v>
      </c>
      <c r="S1323" s="9">
        <f t="shared" si="207"/>
        <v>0</v>
      </c>
      <c r="T1323" s="90">
        <f t="shared" si="202"/>
        <v>263</v>
      </c>
      <c r="U1323" s="90">
        <f t="shared" si="203"/>
        <v>998</v>
      </c>
      <c r="V1323" s="373">
        <f t="shared" si="204"/>
        <v>1314</v>
      </c>
      <c r="W1323" s="90">
        <f t="shared" si="205"/>
        <v>0</v>
      </c>
      <c r="X1323" s="90">
        <f t="shared" si="206"/>
        <v>0</v>
      </c>
      <c r="Y1323" s="141">
        <f t="shared" si="208"/>
        <v>1314</v>
      </c>
      <c r="Z1323" s="298">
        <v>263</v>
      </c>
      <c r="AA1323" s="299">
        <v>998</v>
      </c>
      <c r="AB1323" s="299">
        <v>1314</v>
      </c>
      <c r="AC1323" s="301">
        <v>0</v>
      </c>
      <c r="AD1323" s="301">
        <v>0</v>
      </c>
      <c r="AE1323" s="126"/>
      <c r="AF1323" s="298"/>
      <c r="AG1323" s="299"/>
      <c r="AH1323" s="299"/>
      <c r="AI1323" s="301"/>
      <c r="AJ1323" s="301"/>
      <c r="AK1323" s="426"/>
      <c r="AL1323" s="298"/>
      <c r="AM1323" s="299"/>
      <c r="AN1323" s="299"/>
      <c r="AO1323" s="301"/>
      <c r="AP1323" s="301"/>
      <c r="AQ1323" s="426"/>
      <c r="AR1323" s="298"/>
      <c r="AS1323" s="299"/>
      <c r="AT1323" s="299"/>
      <c r="AU1323" s="301"/>
      <c r="AV1323" s="301"/>
      <c r="AW1323" s="88"/>
      <c r="AX1323" s="298"/>
      <c r="AY1323" s="299"/>
      <c r="AZ1323" s="299"/>
      <c r="BA1323" s="301"/>
      <c r="BB1323" s="301"/>
      <c r="BC1323" s="426"/>
      <c r="BD1323" s="298"/>
      <c r="BE1323" s="299"/>
      <c r="BF1323" s="299"/>
      <c r="BG1323" s="301"/>
      <c r="BH1323" s="301"/>
      <c r="BI1323" s="88"/>
      <c r="BJ1323" s="298"/>
      <c r="BK1323" s="299"/>
      <c r="BL1323" s="299"/>
      <c r="BM1323" s="301"/>
      <c r="BN1323" s="301"/>
      <c r="BO1323" s="88"/>
      <c r="BP1323" s="9"/>
      <c r="BS1323" s="81"/>
      <c r="BT1323" s="81"/>
      <c r="BV1323" s="9"/>
      <c r="BY1323" s="81"/>
      <c r="BZ1323" s="81"/>
      <c r="CB1323" s="9"/>
      <c r="CE1323" s="81"/>
      <c r="CF1323" s="81"/>
      <c r="CH1323" s="9"/>
      <c r="CK1323" s="81"/>
      <c r="CL1323" s="81"/>
      <c r="CR1323" s="9"/>
      <c r="CS1323" s="9"/>
      <c r="CT1323" s="9"/>
      <c r="CU1323" s="9"/>
      <c r="CV1323" s="9"/>
      <c r="CW1323" s="129"/>
      <c r="CX1323" s="9"/>
    </row>
    <row r="1324" spans="1:102">
      <c r="A1324" s="6" t="str">
        <f t="shared" si="201"/>
        <v>02630999</v>
      </c>
      <c r="B1324" s="6" t="s">
        <v>1913</v>
      </c>
      <c r="C1324" s="6" t="s">
        <v>2092</v>
      </c>
      <c r="D1324" s="6">
        <v>1315</v>
      </c>
      <c r="E1324" s="10">
        <v>263</v>
      </c>
      <c r="F1324" s="10" t="s">
        <v>1381</v>
      </c>
      <c r="G1324" s="10">
        <v>999</v>
      </c>
      <c r="H1324" s="10" t="s">
        <v>593</v>
      </c>
      <c r="I1324" s="92">
        <v>766894.44147647824</v>
      </c>
      <c r="J1324" s="472">
        <v>1</v>
      </c>
      <c r="K1324" s="53">
        <f>SUM(K1320:K1323)</f>
        <v>863458.13208399003</v>
      </c>
      <c r="L1324" s="91">
        <f>SUM(L1320:L1323)</f>
        <v>1</v>
      </c>
      <c r="M1324" s="79">
        <f>VLOOKUP(E1324,town351,24)</f>
        <v>590290</v>
      </c>
      <c r="N1324" s="79">
        <f>SUM(N1320:N1323)</f>
        <v>590290</v>
      </c>
      <c r="O1324" s="79">
        <v>571931</v>
      </c>
      <c r="P1324" s="79">
        <f>SUM(P1320:P1323)</f>
        <v>18359</v>
      </c>
      <c r="Q1324" s="39">
        <f t="shared" si="209"/>
        <v>3.2100026052093695</v>
      </c>
      <c r="R1324" s="9">
        <v>49.000000001860002</v>
      </c>
      <c r="S1324" s="9">
        <f t="shared" si="207"/>
        <v>46.000000001819998</v>
      </c>
      <c r="T1324" s="90">
        <f t="shared" si="202"/>
        <v>263</v>
      </c>
      <c r="U1324" s="90">
        <f t="shared" si="203"/>
        <v>999</v>
      </c>
      <c r="V1324" s="373">
        <f t="shared" si="204"/>
        <v>1315</v>
      </c>
      <c r="W1324" s="90">
        <f t="shared" si="205"/>
        <v>46.000000001819998</v>
      </c>
      <c r="X1324" s="90">
        <f t="shared" si="206"/>
        <v>863458.13208399003</v>
      </c>
      <c r="Y1324" s="141">
        <f t="shared" si="208"/>
        <v>1315</v>
      </c>
      <c r="Z1324" s="298">
        <v>263</v>
      </c>
      <c r="AA1324" s="299">
        <v>999</v>
      </c>
      <c r="AB1324" s="299">
        <v>1315</v>
      </c>
      <c r="AC1324" s="301">
        <v>46.000000001819998</v>
      </c>
      <c r="AD1324" s="301">
        <v>863458.13208399003</v>
      </c>
      <c r="AE1324" s="126"/>
      <c r="AF1324" s="298"/>
      <c r="AG1324" s="299"/>
      <c r="AH1324" s="299"/>
      <c r="AI1324" s="301"/>
      <c r="AJ1324" s="301"/>
      <c r="AK1324" s="426"/>
      <c r="AL1324" s="298"/>
      <c r="AM1324" s="299"/>
      <c r="AN1324" s="299"/>
      <c r="AO1324" s="301"/>
      <c r="AP1324" s="301"/>
      <c r="AQ1324" s="426"/>
      <c r="AR1324" s="298"/>
      <c r="AS1324" s="299"/>
      <c r="AT1324" s="299"/>
      <c r="AU1324" s="301"/>
      <c r="AV1324" s="301"/>
      <c r="AW1324" s="91"/>
      <c r="AX1324" s="298"/>
      <c r="AY1324" s="299"/>
      <c r="AZ1324" s="299"/>
      <c r="BA1324" s="301"/>
      <c r="BB1324" s="301"/>
      <c r="BC1324" s="426"/>
      <c r="BD1324" s="298"/>
      <c r="BE1324" s="299"/>
      <c r="BF1324" s="299"/>
      <c r="BG1324" s="301"/>
      <c r="BH1324" s="301"/>
      <c r="BI1324" s="91"/>
      <c r="BJ1324" s="298"/>
      <c r="BK1324" s="299"/>
      <c r="BL1324" s="299"/>
      <c r="BM1324" s="301"/>
      <c r="BN1324" s="301"/>
      <c r="BO1324" s="91"/>
      <c r="BP1324" s="9"/>
      <c r="BS1324" s="81"/>
      <c r="BT1324" s="81"/>
      <c r="BV1324" s="9"/>
      <c r="BY1324" s="81"/>
      <c r="BZ1324" s="81"/>
      <c r="CB1324" s="9"/>
      <c r="CE1324" s="81"/>
      <c r="CF1324" s="81"/>
      <c r="CH1324" s="9"/>
      <c r="CK1324" s="81"/>
      <c r="CL1324" s="81"/>
      <c r="CR1324" s="9"/>
      <c r="CS1324" s="9"/>
      <c r="CT1324" s="9"/>
      <c r="CU1324" s="9"/>
      <c r="CV1324" s="9"/>
      <c r="CW1324" s="129"/>
      <c r="CX1324" s="9"/>
    </row>
    <row r="1325" spans="1:102">
      <c r="A1325" s="6" t="str">
        <f t="shared" si="201"/>
        <v>02640264</v>
      </c>
      <c r="B1325" s="6" t="s">
        <v>1914</v>
      </c>
      <c r="C1325" s="6" t="s">
        <v>1914</v>
      </c>
      <c r="D1325" s="6">
        <v>1316</v>
      </c>
      <c r="E1325" s="6">
        <v>264</v>
      </c>
      <c r="F1325" s="6" t="s">
        <v>1382</v>
      </c>
      <c r="G1325" s="6">
        <v>264</v>
      </c>
      <c r="H1325" s="6" t="s">
        <v>945</v>
      </c>
      <c r="I1325" s="33">
        <v>34295600.022</v>
      </c>
      <c r="J1325" s="88">
        <v>0.97629569807587968</v>
      </c>
      <c r="K1325" s="89">
        <f>X1325</f>
        <v>35051638.613499999</v>
      </c>
      <c r="L1325" s="88">
        <f>IF(K1329&gt;0, K1325/K1329, 0)</f>
        <v>0.96885091163198878</v>
      </c>
      <c r="M1325" s="58"/>
      <c r="N1325" s="9">
        <f>ROUND(M1329*L1325,0)</f>
        <v>28917602</v>
      </c>
      <c r="O1325" s="9">
        <v>27754773</v>
      </c>
      <c r="P1325" s="9">
        <f>N1325-O1325</f>
        <v>1162829</v>
      </c>
      <c r="Q1325" s="40">
        <f t="shared" si="209"/>
        <v>4.1896541542602419</v>
      </c>
      <c r="R1325" s="9">
        <v>2763</v>
      </c>
      <c r="S1325" s="9">
        <f t="shared" si="207"/>
        <v>2752</v>
      </c>
      <c r="T1325" s="90">
        <f t="shared" si="202"/>
        <v>264</v>
      </c>
      <c r="U1325" s="90">
        <f t="shared" si="203"/>
        <v>264</v>
      </c>
      <c r="V1325" s="373">
        <f t="shared" si="204"/>
        <v>1316</v>
      </c>
      <c r="W1325" s="90">
        <f t="shared" si="205"/>
        <v>2752</v>
      </c>
      <c r="X1325" s="90">
        <f t="shared" si="206"/>
        <v>35051638.613499999</v>
      </c>
      <c r="Y1325" s="141">
        <f t="shared" si="208"/>
        <v>1316</v>
      </c>
      <c r="Z1325" s="298">
        <v>264</v>
      </c>
      <c r="AA1325" s="299">
        <v>264</v>
      </c>
      <c r="AB1325" s="299">
        <v>1316</v>
      </c>
      <c r="AC1325" s="301">
        <v>2752</v>
      </c>
      <c r="AD1325" s="301">
        <v>35051638.613499999</v>
      </c>
      <c r="AE1325" s="126"/>
      <c r="AF1325" s="298"/>
      <c r="AG1325" s="299"/>
      <c r="AH1325" s="299"/>
      <c r="AI1325" s="301"/>
      <c r="AJ1325" s="301"/>
      <c r="AK1325" s="426"/>
      <c r="AL1325" s="298"/>
      <c r="AM1325" s="299"/>
      <c r="AN1325" s="299"/>
      <c r="AO1325" s="301"/>
      <c r="AP1325" s="301"/>
      <c r="AQ1325" s="426"/>
      <c r="AR1325" s="298"/>
      <c r="AS1325" s="299"/>
      <c r="AT1325" s="299"/>
      <c r="AU1325" s="301"/>
      <c r="AV1325" s="301"/>
      <c r="AW1325" s="88"/>
      <c r="AX1325" s="298"/>
      <c r="AY1325" s="299"/>
      <c r="AZ1325" s="299"/>
      <c r="BA1325" s="301"/>
      <c r="BB1325" s="301"/>
      <c r="BC1325" s="426"/>
      <c r="BD1325" s="298"/>
      <c r="BE1325" s="299"/>
      <c r="BF1325" s="299"/>
      <c r="BG1325" s="301"/>
      <c r="BH1325" s="301"/>
      <c r="BI1325" s="88"/>
      <c r="BJ1325" s="298"/>
      <c r="BK1325" s="299"/>
      <c r="BL1325" s="299"/>
      <c r="BM1325" s="301"/>
      <c r="BN1325" s="301"/>
      <c r="BO1325" s="88"/>
      <c r="BP1325" s="9"/>
      <c r="BS1325" s="81"/>
      <c r="BT1325" s="81"/>
      <c r="BV1325" s="9"/>
      <c r="BY1325" s="81"/>
      <c r="BZ1325" s="81"/>
      <c r="CB1325" s="9"/>
      <c r="CE1325" s="81"/>
      <c r="CF1325" s="81"/>
      <c r="CH1325" s="9"/>
      <c r="CK1325" s="81"/>
      <c r="CL1325" s="81"/>
      <c r="CR1325" s="9"/>
      <c r="CS1325" s="9"/>
      <c r="CT1325" s="9"/>
      <c r="CU1325" s="9"/>
      <c r="CV1325" s="9"/>
      <c r="CW1325" s="129"/>
      <c r="CX1325" s="9"/>
    </row>
    <row r="1326" spans="1:102">
      <c r="A1326" s="6" t="str">
        <f t="shared" si="201"/>
        <v>02640873</v>
      </c>
      <c r="B1326" s="6" t="s">
        <v>1914</v>
      </c>
      <c r="C1326" s="6" t="s">
        <v>2083</v>
      </c>
      <c r="D1326" s="6">
        <v>1317</v>
      </c>
      <c r="E1326" s="6">
        <v>264</v>
      </c>
      <c r="F1326" s="6" t="s">
        <v>1382</v>
      </c>
      <c r="G1326" s="6">
        <v>873</v>
      </c>
      <c r="H1326" s="6" t="s">
        <v>1113</v>
      </c>
      <c r="I1326" s="33">
        <v>832691.63143150089</v>
      </c>
      <c r="J1326" s="88">
        <v>2.3704301924120458E-2</v>
      </c>
      <c r="K1326" s="89">
        <f t="shared" si="210"/>
        <v>1126929.4124690169</v>
      </c>
      <c r="L1326" s="88">
        <f>IF(K1329&gt;0, K1326/K1329, 0)</f>
        <v>3.1149088368011297E-2</v>
      </c>
      <c r="M1326" s="58"/>
      <c r="N1326" s="9">
        <f>ROUND(M1329*L1326,0)</f>
        <v>929717</v>
      </c>
      <c r="O1326" s="9">
        <v>673881</v>
      </c>
      <c r="P1326" s="9">
        <f>N1326-O1326</f>
        <v>255836</v>
      </c>
      <c r="Q1326" s="40">
        <f t="shared" si="209"/>
        <v>37.964566444223834</v>
      </c>
      <c r="R1326" s="9">
        <v>39.999999998599996</v>
      </c>
      <c r="S1326" s="9">
        <f t="shared" si="207"/>
        <v>53.999999999399996</v>
      </c>
      <c r="T1326" s="90">
        <f t="shared" si="202"/>
        <v>264</v>
      </c>
      <c r="U1326" s="90">
        <f t="shared" si="203"/>
        <v>873</v>
      </c>
      <c r="V1326" s="373">
        <f t="shared" si="204"/>
        <v>1317</v>
      </c>
      <c r="W1326" s="90">
        <f t="shared" si="205"/>
        <v>53.999999999399996</v>
      </c>
      <c r="X1326" s="90">
        <f t="shared" si="206"/>
        <v>1126929.4124690169</v>
      </c>
      <c r="Y1326" s="141">
        <f t="shared" si="208"/>
        <v>1317</v>
      </c>
      <c r="Z1326" s="298">
        <v>264</v>
      </c>
      <c r="AA1326" s="299">
        <v>873</v>
      </c>
      <c r="AB1326" s="299">
        <v>1317</v>
      </c>
      <c r="AC1326" s="301">
        <v>53.999999999399996</v>
      </c>
      <c r="AD1326" s="301">
        <v>1126929.4124690169</v>
      </c>
      <c r="AE1326" s="126"/>
      <c r="AF1326" s="298"/>
      <c r="AG1326" s="299"/>
      <c r="AH1326" s="299"/>
      <c r="AI1326" s="301"/>
      <c r="AJ1326" s="301"/>
      <c r="AK1326" s="426"/>
      <c r="AL1326" s="298"/>
      <c r="AM1326" s="299"/>
      <c r="AN1326" s="299"/>
      <c r="AO1326" s="301"/>
      <c r="AP1326" s="301"/>
      <c r="AQ1326" s="426"/>
      <c r="AR1326" s="298"/>
      <c r="AS1326" s="299"/>
      <c r="AT1326" s="299"/>
      <c r="AU1326" s="301"/>
      <c r="AV1326" s="301"/>
      <c r="AW1326" s="88"/>
      <c r="AX1326" s="298"/>
      <c r="AY1326" s="299"/>
      <c r="AZ1326" s="299"/>
      <c r="BA1326" s="301"/>
      <c r="BB1326" s="301"/>
      <c r="BC1326" s="426"/>
      <c r="BD1326" s="298"/>
      <c r="BE1326" s="299"/>
      <c r="BF1326" s="299"/>
      <c r="BG1326" s="301"/>
      <c r="BH1326" s="301"/>
      <c r="BI1326" s="88"/>
      <c r="BJ1326" s="298"/>
      <c r="BK1326" s="299"/>
      <c r="BL1326" s="299"/>
      <c r="BM1326" s="301"/>
      <c r="BN1326" s="301"/>
      <c r="BO1326" s="88"/>
      <c r="BP1326" s="9"/>
      <c r="BS1326" s="81"/>
      <c r="BT1326" s="81"/>
      <c r="BV1326" s="9"/>
      <c r="BY1326" s="81"/>
      <c r="BZ1326" s="81"/>
      <c r="CB1326" s="9"/>
      <c r="CE1326" s="81"/>
      <c r="CF1326" s="81"/>
      <c r="CH1326" s="9"/>
      <c r="CK1326" s="81"/>
      <c r="CL1326" s="81"/>
      <c r="CR1326" s="9"/>
      <c r="CS1326" s="9"/>
      <c r="CT1326" s="9"/>
      <c r="CU1326" s="9"/>
      <c r="CV1326" s="9"/>
      <c r="CW1326" s="129"/>
      <c r="CX1326" s="9"/>
    </row>
    <row r="1327" spans="1:102">
      <c r="A1327" s="6" t="str">
        <f t="shared" si="201"/>
        <v>02640998</v>
      </c>
      <c r="B1327" s="6" t="s">
        <v>1914</v>
      </c>
      <c r="C1327" s="6" t="s">
        <v>2091</v>
      </c>
      <c r="D1327" s="6">
        <v>1318</v>
      </c>
      <c r="E1327" s="6">
        <v>264</v>
      </c>
      <c r="F1327" s="6" t="s">
        <v>1547</v>
      </c>
      <c r="G1327" s="6">
        <v>998</v>
      </c>
      <c r="H1327" s="6" t="s">
        <v>1547</v>
      </c>
      <c r="I1327" s="33">
        <v>0</v>
      </c>
      <c r="J1327" s="88">
        <v>0</v>
      </c>
      <c r="K1327" s="89">
        <f t="shared" si="210"/>
        <v>0</v>
      </c>
      <c r="L1327" s="88">
        <f>IF(K1329&gt;0, K1327/K1329, 0)</f>
        <v>0</v>
      </c>
      <c r="M1327" s="58"/>
      <c r="N1327" s="9">
        <f>ROUND(M1329*L1327,0)</f>
        <v>0</v>
      </c>
      <c r="O1327" s="9">
        <v>0</v>
      </c>
      <c r="P1327" s="9">
        <f>N1327-O1327</f>
        <v>0</v>
      </c>
      <c r="Q1327" s="40">
        <f t="shared" si="209"/>
        <v>0</v>
      </c>
      <c r="R1327" s="9">
        <v>0</v>
      </c>
      <c r="S1327" s="9">
        <f t="shared" si="207"/>
        <v>0</v>
      </c>
      <c r="T1327" s="90">
        <f t="shared" si="202"/>
        <v>264</v>
      </c>
      <c r="U1327" s="90">
        <f t="shared" si="203"/>
        <v>998</v>
      </c>
      <c r="V1327" s="373">
        <f t="shared" si="204"/>
        <v>1318</v>
      </c>
      <c r="W1327" s="90">
        <f t="shared" si="205"/>
        <v>0</v>
      </c>
      <c r="X1327" s="90">
        <f t="shared" si="206"/>
        <v>0</v>
      </c>
      <c r="Y1327" s="141">
        <f t="shared" si="208"/>
        <v>1318</v>
      </c>
      <c r="Z1327" s="298">
        <v>264</v>
      </c>
      <c r="AA1327" s="299">
        <v>998</v>
      </c>
      <c r="AB1327" s="299">
        <v>1318</v>
      </c>
      <c r="AC1327" s="301">
        <v>0</v>
      </c>
      <c r="AD1327" s="301">
        <v>0</v>
      </c>
      <c r="AE1327" s="126"/>
      <c r="AF1327" s="298"/>
      <c r="AG1327" s="299"/>
      <c r="AH1327" s="299"/>
      <c r="AI1327" s="301"/>
      <c r="AJ1327" s="301"/>
      <c r="AK1327" s="426"/>
      <c r="AL1327" s="298"/>
      <c r="AM1327" s="299"/>
      <c r="AN1327" s="299"/>
      <c r="AO1327" s="301"/>
      <c r="AP1327" s="301"/>
      <c r="AQ1327" s="426"/>
      <c r="AR1327" s="298"/>
      <c r="AS1327" s="299"/>
      <c r="AT1327" s="299"/>
      <c r="AU1327" s="301"/>
      <c r="AV1327" s="301"/>
      <c r="AW1327" s="88"/>
      <c r="AX1327" s="298"/>
      <c r="AY1327" s="299"/>
      <c r="AZ1327" s="299"/>
      <c r="BA1327" s="301"/>
      <c r="BB1327" s="301"/>
      <c r="BC1327" s="426"/>
      <c r="BD1327" s="298"/>
      <c r="BE1327" s="299"/>
      <c r="BF1327" s="299"/>
      <c r="BG1327" s="301"/>
      <c r="BH1327" s="301"/>
      <c r="BI1327" s="88"/>
      <c r="BJ1327" s="298"/>
      <c r="BK1327" s="299"/>
      <c r="BL1327" s="299"/>
      <c r="BM1327" s="301"/>
      <c r="BN1327" s="301"/>
      <c r="BO1327" s="88"/>
      <c r="BP1327" s="9"/>
      <c r="BS1327" s="81"/>
      <c r="BT1327" s="81"/>
      <c r="BV1327" s="9"/>
      <c r="BY1327" s="81"/>
      <c r="BZ1327" s="81"/>
      <c r="CB1327" s="9"/>
      <c r="CE1327" s="81"/>
      <c r="CF1327" s="81"/>
      <c r="CH1327" s="9"/>
      <c r="CK1327" s="81"/>
      <c r="CL1327" s="81"/>
      <c r="CR1327" s="9"/>
      <c r="CS1327" s="9"/>
      <c r="CT1327" s="9"/>
      <c r="CU1327" s="9"/>
      <c r="CV1327" s="9"/>
      <c r="CW1327" s="129"/>
      <c r="CX1327" s="9"/>
    </row>
    <row r="1328" spans="1:102">
      <c r="A1328" s="6" t="str">
        <f t="shared" si="201"/>
        <v>02640998</v>
      </c>
      <c r="B1328" s="6" t="s">
        <v>1914</v>
      </c>
      <c r="C1328" s="6" t="s">
        <v>2091</v>
      </c>
      <c r="D1328" s="6">
        <v>1319</v>
      </c>
      <c r="E1328" s="6">
        <v>264</v>
      </c>
      <c r="F1328" s="6" t="s">
        <v>1547</v>
      </c>
      <c r="G1328" s="6">
        <v>998</v>
      </c>
      <c r="H1328" s="6" t="s">
        <v>1547</v>
      </c>
      <c r="I1328" s="33">
        <v>0</v>
      </c>
      <c r="J1328" s="88">
        <v>0</v>
      </c>
      <c r="K1328" s="89">
        <f t="shared" si="210"/>
        <v>0</v>
      </c>
      <c r="L1328" s="88">
        <f>IF(K1329&gt;0, K1328/K1329, 0)</f>
        <v>0</v>
      </c>
      <c r="M1328" s="58"/>
      <c r="N1328" s="9">
        <f>ROUND(M1329*L1328,0)</f>
        <v>0</v>
      </c>
      <c r="O1328" s="9">
        <v>0</v>
      </c>
      <c r="P1328" s="9">
        <f>N1328-O1328</f>
        <v>0</v>
      </c>
      <c r="Q1328" s="40">
        <f t="shared" si="209"/>
        <v>0</v>
      </c>
      <c r="R1328" s="9">
        <v>0</v>
      </c>
      <c r="S1328" s="9">
        <f t="shared" si="207"/>
        <v>0</v>
      </c>
      <c r="T1328" s="90">
        <f t="shared" si="202"/>
        <v>264</v>
      </c>
      <c r="U1328" s="90">
        <f t="shared" si="203"/>
        <v>998</v>
      </c>
      <c r="V1328" s="373">
        <f t="shared" si="204"/>
        <v>1319</v>
      </c>
      <c r="W1328" s="90">
        <f t="shared" si="205"/>
        <v>0</v>
      </c>
      <c r="X1328" s="90">
        <f t="shared" si="206"/>
        <v>0</v>
      </c>
      <c r="Y1328" s="141">
        <f t="shared" si="208"/>
        <v>1319</v>
      </c>
      <c r="Z1328" s="298">
        <v>264</v>
      </c>
      <c r="AA1328" s="299">
        <v>998</v>
      </c>
      <c r="AB1328" s="299">
        <v>1319</v>
      </c>
      <c r="AC1328" s="301">
        <v>0</v>
      </c>
      <c r="AD1328" s="301">
        <v>0</v>
      </c>
      <c r="AE1328" s="126"/>
      <c r="AF1328" s="298"/>
      <c r="AG1328" s="299"/>
      <c r="AH1328" s="299"/>
      <c r="AI1328" s="301"/>
      <c r="AJ1328" s="301"/>
      <c r="AK1328" s="426"/>
      <c r="AL1328" s="298"/>
      <c r="AM1328" s="299"/>
      <c r="AN1328" s="299"/>
      <c r="AO1328" s="301"/>
      <c r="AP1328" s="301"/>
      <c r="AQ1328" s="426"/>
      <c r="AR1328" s="298"/>
      <c r="AS1328" s="299"/>
      <c r="AT1328" s="299"/>
      <c r="AU1328" s="301"/>
      <c r="AV1328" s="301"/>
      <c r="AW1328" s="88"/>
      <c r="AX1328" s="298"/>
      <c r="AY1328" s="299"/>
      <c r="AZ1328" s="299"/>
      <c r="BA1328" s="301"/>
      <c r="BB1328" s="301"/>
      <c r="BC1328" s="426"/>
      <c r="BD1328" s="298"/>
      <c r="BE1328" s="299"/>
      <c r="BF1328" s="299"/>
      <c r="BG1328" s="301"/>
      <c r="BH1328" s="301"/>
      <c r="BI1328" s="88"/>
      <c r="BJ1328" s="298"/>
      <c r="BK1328" s="299"/>
      <c r="BL1328" s="299"/>
      <c r="BM1328" s="301"/>
      <c r="BN1328" s="301"/>
      <c r="BO1328" s="88"/>
      <c r="BP1328" s="9"/>
      <c r="BS1328" s="81"/>
      <c r="BT1328" s="81"/>
      <c r="BV1328" s="9"/>
      <c r="BY1328" s="81"/>
      <c r="BZ1328" s="81"/>
      <c r="CB1328" s="9"/>
      <c r="CE1328" s="81"/>
      <c r="CF1328" s="81"/>
      <c r="CH1328" s="9"/>
      <c r="CK1328" s="81"/>
      <c r="CL1328" s="81"/>
      <c r="CR1328" s="9"/>
      <c r="CS1328" s="9"/>
      <c r="CT1328" s="9"/>
      <c r="CU1328" s="9"/>
      <c r="CV1328" s="9"/>
      <c r="CW1328" s="129"/>
      <c r="CX1328" s="9"/>
    </row>
    <row r="1329" spans="1:102">
      <c r="A1329" s="6" t="str">
        <f t="shared" si="201"/>
        <v>02640999</v>
      </c>
      <c r="B1329" s="6" t="s">
        <v>1914</v>
      </c>
      <c r="C1329" s="6" t="s">
        <v>2092</v>
      </c>
      <c r="D1329" s="6">
        <v>1320</v>
      </c>
      <c r="E1329" s="10">
        <v>264</v>
      </c>
      <c r="F1329" s="10" t="s">
        <v>1382</v>
      </c>
      <c r="G1329" s="10">
        <v>999</v>
      </c>
      <c r="H1329" s="10" t="s">
        <v>593</v>
      </c>
      <c r="I1329" s="92">
        <v>35128291.653431498</v>
      </c>
      <c r="J1329" s="472">
        <v>1.0000000000000002</v>
      </c>
      <c r="K1329" s="53">
        <f>SUM(K1325:K1328)</f>
        <v>36178568.025969014</v>
      </c>
      <c r="L1329" s="91">
        <f>SUM(L1325:L1328)</f>
        <v>1</v>
      </c>
      <c r="M1329" s="79">
        <f>VLOOKUP(E1329,town351,24)</f>
        <v>29847319</v>
      </c>
      <c r="N1329" s="79">
        <f>SUM(N1325:N1328)</f>
        <v>29847319</v>
      </c>
      <c r="O1329" s="79">
        <v>28428654</v>
      </c>
      <c r="P1329" s="79">
        <f>SUM(P1325:P1328)</f>
        <v>1418665</v>
      </c>
      <c r="Q1329" s="39">
        <f t="shared" si="209"/>
        <v>4.9902644001365664</v>
      </c>
      <c r="R1329" s="9">
        <v>2802.9999999985998</v>
      </c>
      <c r="S1329" s="9">
        <f t="shared" si="207"/>
        <v>2805.9999999994002</v>
      </c>
      <c r="T1329" s="90">
        <f t="shared" si="202"/>
        <v>264</v>
      </c>
      <c r="U1329" s="90">
        <f t="shared" si="203"/>
        <v>999</v>
      </c>
      <c r="V1329" s="373">
        <f t="shared" si="204"/>
        <v>1320</v>
      </c>
      <c r="W1329" s="90">
        <f t="shared" si="205"/>
        <v>2805.9999999994002</v>
      </c>
      <c r="X1329" s="90">
        <f t="shared" si="206"/>
        <v>36178568.025969014</v>
      </c>
      <c r="Y1329" s="141">
        <f t="shared" si="208"/>
        <v>1320</v>
      </c>
      <c r="Z1329" s="298">
        <v>264</v>
      </c>
      <c r="AA1329" s="299">
        <v>999</v>
      </c>
      <c r="AB1329" s="299">
        <v>1320</v>
      </c>
      <c r="AC1329" s="301">
        <v>2805.9999999994002</v>
      </c>
      <c r="AD1329" s="301">
        <v>36178568.025969014</v>
      </c>
      <c r="AE1329" s="126"/>
      <c r="AF1329" s="298"/>
      <c r="AG1329" s="299"/>
      <c r="AH1329" s="299"/>
      <c r="AI1329" s="301"/>
      <c r="AJ1329" s="301"/>
      <c r="AK1329" s="426"/>
      <c r="AL1329" s="298"/>
      <c r="AM1329" s="299"/>
      <c r="AN1329" s="299"/>
      <c r="AO1329" s="301"/>
      <c r="AP1329" s="301"/>
      <c r="AQ1329" s="426"/>
      <c r="AR1329" s="298"/>
      <c r="AS1329" s="299"/>
      <c r="AT1329" s="299"/>
      <c r="AU1329" s="301"/>
      <c r="AV1329" s="301"/>
      <c r="AW1329" s="91"/>
      <c r="AX1329" s="298"/>
      <c r="AY1329" s="299"/>
      <c r="AZ1329" s="299"/>
      <c r="BA1329" s="301"/>
      <c r="BB1329" s="301"/>
      <c r="BC1329" s="426"/>
      <c r="BD1329" s="298"/>
      <c r="BE1329" s="299"/>
      <c r="BF1329" s="299"/>
      <c r="BG1329" s="301"/>
      <c r="BH1329" s="301"/>
      <c r="BI1329" s="91"/>
      <c r="BJ1329" s="298"/>
      <c r="BK1329" s="299"/>
      <c r="BL1329" s="299"/>
      <c r="BM1329" s="301"/>
      <c r="BN1329" s="301"/>
      <c r="BO1329" s="91"/>
      <c r="BP1329" s="9"/>
      <c r="BS1329" s="81"/>
      <c r="BT1329" s="81"/>
      <c r="BV1329" s="9"/>
      <c r="BY1329" s="81"/>
      <c r="BZ1329" s="81"/>
      <c r="CB1329" s="9"/>
      <c r="CE1329" s="81"/>
      <c r="CF1329" s="81"/>
      <c r="CH1329" s="9"/>
      <c r="CK1329" s="81"/>
      <c r="CL1329" s="81"/>
      <c r="CR1329" s="9"/>
      <c r="CS1329" s="9"/>
      <c r="CT1329" s="9"/>
      <c r="CU1329" s="9"/>
      <c r="CV1329" s="9"/>
      <c r="CW1329" s="129"/>
      <c r="CX1329" s="9"/>
    </row>
    <row r="1330" spans="1:102">
      <c r="A1330" s="6" t="str">
        <f t="shared" si="201"/>
        <v>02650265</v>
      </c>
      <c r="B1330" s="6" t="s">
        <v>1915</v>
      </c>
      <c r="C1330" s="6" t="s">
        <v>1915</v>
      </c>
      <c r="D1330" s="6">
        <v>1321</v>
      </c>
      <c r="E1330" s="6">
        <v>265</v>
      </c>
      <c r="F1330" s="6" t="s">
        <v>1383</v>
      </c>
      <c r="G1330" s="6">
        <v>265</v>
      </c>
      <c r="H1330" s="6" t="s">
        <v>946</v>
      </c>
      <c r="I1330" s="33">
        <v>25865534.950000003</v>
      </c>
      <c r="J1330" s="88">
        <v>0.92324376836521682</v>
      </c>
      <c r="K1330" s="89">
        <f>X1330</f>
        <v>26822442.259999998</v>
      </c>
      <c r="L1330" s="88">
        <f>IF(K1334&gt;0, K1330/K1334, 0)</f>
        <v>0.93039500131864028</v>
      </c>
      <c r="M1330" s="58"/>
      <c r="N1330" s="9">
        <f>ROUND(M1334*L1330,0)</f>
        <v>19300371</v>
      </c>
      <c r="O1330" s="9">
        <v>18110661</v>
      </c>
      <c r="P1330" s="9">
        <f>N1330-O1330</f>
        <v>1189710</v>
      </c>
      <c r="Q1330" s="40">
        <f t="shared" si="209"/>
        <v>6.5691141808683851</v>
      </c>
      <c r="R1330" s="9">
        <v>2067</v>
      </c>
      <c r="S1330" s="9">
        <f t="shared" si="207"/>
        <v>2076</v>
      </c>
      <c r="T1330" s="90">
        <f t="shared" si="202"/>
        <v>265</v>
      </c>
      <c r="U1330" s="90">
        <f t="shared" si="203"/>
        <v>265</v>
      </c>
      <c r="V1330" s="373">
        <f t="shared" si="204"/>
        <v>1321</v>
      </c>
      <c r="W1330" s="90">
        <f t="shared" si="205"/>
        <v>2076</v>
      </c>
      <c r="X1330" s="90">
        <f t="shared" si="206"/>
        <v>26822442.259999998</v>
      </c>
      <c r="Y1330" s="141">
        <f t="shared" si="208"/>
        <v>1321</v>
      </c>
      <c r="Z1330" s="298">
        <v>265</v>
      </c>
      <c r="AA1330" s="299">
        <v>265</v>
      </c>
      <c r="AB1330" s="299">
        <v>1321</v>
      </c>
      <c r="AC1330" s="301">
        <v>2076</v>
      </c>
      <c r="AD1330" s="301">
        <v>26822442.259999998</v>
      </c>
      <c r="AE1330" s="126"/>
      <c r="AF1330" s="298"/>
      <c r="AG1330" s="299"/>
      <c r="AH1330" s="299"/>
      <c r="AI1330" s="301"/>
      <c r="AJ1330" s="301"/>
      <c r="AK1330" s="426"/>
      <c r="AL1330" s="298"/>
      <c r="AM1330" s="299"/>
      <c r="AN1330" s="299"/>
      <c r="AO1330" s="301"/>
      <c r="AP1330" s="301"/>
      <c r="AQ1330" s="426"/>
      <c r="AR1330" s="298"/>
      <c r="AS1330" s="299"/>
      <c r="AT1330" s="299"/>
      <c r="AU1330" s="301"/>
      <c r="AV1330" s="301"/>
      <c r="AW1330" s="88"/>
      <c r="AX1330" s="298"/>
      <c r="AY1330" s="299"/>
      <c r="AZ1330" s="299"/>
      <c r="BA1330" s="301"/>
      <c r="BB1330" s="301"/>
      <c r="BC1330" s="426"/>
      <c r="BD1330" s="298"/>
      <c r="BE1330" s="299"/>
      <c r="BF1330" s="299"/>
      <c r="BG1330" s="301"/>
      <c r="BH1330" s="301"/>
      <c r="BI1330" s="88"/>
      <c r="BJ1330" s="298"/>
      <c r="BK1330" s="299"/>
      <c r="BL1330" s="299"/>
      <c r="BM1330" s="301"/>
      <c r="BN1330" s="301"/>
      <c r="BO1330" s="88"/>
      <c r="BP1330" s="9"/>
      <c r="BS1330" s="81"/>
      <c r="BT1330" s="81"/>
      <c r="BV1330" s="9"/>
      <c r="BY1330" s="81"/>
      <c r="BZ1330" s="81"/>
      <c r="CB1330" s="9"/>
      <c r="CE1330" s="81"/>
      <c r="CF1330" s="81"/>
      <c r="CH1330" s="9"/>
      <c r="CK1330" s="81"/>
      <c r="CL1330" s="81"/>
      <c r="CR1330" s="9"/>
      <c r="CS1330" s="9"/>
      <c r="CT1330" s="9"/>
      <c r="CU1330" s="9"/>
      <c r="CV1330" s="9"/>
      <c r="CW1330" s="129"/>
      <c r="CX1330" s="9"/>
    </row>
    <row r="1331" spans="1:102">
      <c r="A1331" s="6" t="str">
        <f t="shared" si="201"/>
        <v>02650878</v>
      </c>
      <c r="B1331" s="6" t="s">
        <v>1915</v>
      </c>
      <c r="C1331" s="6" t="s">
        <v>2085</v>
      </c>
      <c r="D1331" s="6">
        <v>1322</v>
      </c>
      <c r="E1331" s="6">
        <v>265</v>
      </c>
      <c r="F1331" s="6" t="s">
        <v>1383</v>
      </c>
      <c r="G1331" s="6">
        <v>878</v>
      </c>
      <c r="H1331" s="6" t="s">
        <v>1115</v>
      </c>
      <c r="I1331" s="33">
        <v>1763511.4318062789</v>
      </c>
      <c r="J1331" s="88">
        <v>6.294673367488067E-2</v>
      </c>
      <c r="K1331" s="89">
        <f t="shared" si="210"/>
        <v>1735630.3582239018</v>
      </c>
      <c r="L1331" s="88">
        <f>IF(K1334&gt;0, K1331/K1334, 0)</f>
        <v>6.0204130323977416E-2</v>
      </c>
      <c r="M1331" s="58"/>
      <c r="N1331" s="9">
        <f>ROUND(M1334*L1331,0)</f>
        <v>1248891</v>
      </c>
      <c r="O1331" s="9">
        <v>1234784</v>
      </c>
      <c r="P1331" s="9">
        <f>N1331-O1331</f>
        <v>14107</v>
      </c>
      <c r="Q1331" s="40">
        <f t="shared" si="209"/>
        <v>1.142467022572369</v>
      </c>
      <c r="R1331" s="9">
        <v>86.000000004049994</v>
      </c>
      <c r="S1331" s="9">
        <f t="shared" si="207"/>
        <v>83.000000002799993</v>
      </c>
      <c r="T1331" s="90">
        <f t="shared" si="202"/>
        <v>265</v>
      </c>
      <c r="U1331" s="90">
        <f t="shared" si="203"/>
        <v>878</v>
      </c>
      <c r="V1331" s="373">
        <f t="shared" si="204"/>
        <v>1322</v>
      </c>
      <c r="W1331" s="90">
        <f t="shared" si="205"/>
        <v>83.000000002799993</v>
      </c>
      <c r="X1331" s="90">
        <f t="shared" si="206"/>
        <v>1735630.3582239018</v>
      </c>
      <c r="Y1331" s="141">
        <f t="shared" si="208"/>
        <v>1322</v>
      </c>
      <c r="Z1331" s="298">
        <v>265</v>
      </c>
      <c r="AA1331" s="299">
        <v>878</v>
      </c>
      <c r="AB1331" s="299">
        <v>1322</v>
      </c>
      <c r="AC1331" s="301">
        <v>83.000000002799993</v>
      </c>
      <c r="AD1331" s="301">
        <v>1735630.3582239018</v>
      </c>
      <c r="AE1331" s="126"/>
      <c r="AF1331" s="298"/>
      <c r="AG1331" s="299"/>
      <c r="AH1331" s="299"/>
      <c r="AI1331" s="301"/>
      <c r="AJ1331" s="301"/>
      <c r="AK1331" s="426"/>
      <c r="AL1331" s="298"/>
      <c r="AM1331" s="299"/>
      <c r="AN1331" s="299"/>
      <c r="AO1331" s="301"/>
      <c r="AP1331" s="301"/>
      <c r="AQ1331" s="426"/>
      <c r="AR1331" s="298"/>
      <c r="AS1331" s="299"/>
      <c r="AT1331" s="299"/>
      <c r="AU1331" s="301"/>
      <c r="AV1331" s="301"/>
      <c r="AW1331" s="88"/>
      <c r="AX1331" s="298"/>
      <c r="AY1331" s="299"/>
      <c r="AZ1331" s="299"/>
      <c r="BA1331" s="301"/>
      <c r="BB1331" s="301"/>
      <c r="BC1331" s="426"/>
      <c r="BD1331" s="298"/>
      <c r="BE1331" s="299"/>
      <c r="BF1331" s="299"/>
      <c r="BG1331" s="301"/>
      <c r="BH1331" s="301"/>
      <c r="BI1331" s="88"/>
      <c r="BJ1331" s="298"/>
      <c r="BK1331" s="299"/>
      <c r="BL1331" s="299"/>
      <c r="BM1331" s="301"/>
      <c r="BN1331" s="301"/>
      <c r="BO1331" s="88"/>
      <c r="BP1331" s="9"/>
      <c r="BS1331" s="81"/>
      <c r="BT1331" s="81"/>
      <c r="BV1331" s="9"/>
      <c r="BY1331" s="81"/>
      <c r="BZ1331" s="81"/>
      <c r="CB1331" s="9"/>
      <c r="CE1331" s="81"/>
      <c r="CF1331" s="81"/>
      <c r="CH1331" s="9"/>
      <c r="CK1331" s="81"/>
      <c r="CL1331" s="81"/>
      <c r="CR1331" s="9"/>
      <c r="CS1331" s="9"/>
      <c r="CT1331" s="9"/>
      <c r="CU1331" s="9"/>
      <c r="CV1331" s="9"/>
      <c r="CW1331" s="129"/>
      <c r="CX1331" s="9"/>
    </row>
    <row r="1332" spans="1:102">
      <c r="A1332" s="6" t="str">
        <f t="shared" si="201"/>
        <v>02650910</v>
      </c>
      <c r="B1332" s="6" t="s">
        <v>1915</v>
      </c>
      <c r="C1332" s="6" t="s">
        <v>2088</v>
      </c>
      <c r="D1332" s="6">
        <v>1323</v>
      </c>
      <c r="E1332" s="6">
        <v>265</v>
      </c>
      <c r="F1332" s="6" t="s">
        <v>1383</v>
      </c>
      <c r="G1332" s="6">
        <v>910</v>
      </c>
      <c r="H1332" s="6" t="s">
        <v>1118</v>
      </c>
      <c r="I1332" s="33">
        <v>386885.96052620758</v>
      </c>
      <c r="J1332" s="88">
        <v>1.3809497959902521E-2</v>
      </c>
      <c r="K1332" s="89">
        <f t="shared" si="210"/>
        <v>271018.49037491984</v>
      </c>
      <c r="L1332" s="88">
        <f>IF(K1334&gt;0, K1332/K1334, 0)</f>
        <v>9.400868357382363E-3</v>
      </c>
      <c r="M1332" s="58"/>
      <c r="N1332" s="9">
        <f>ROUND(M1334*L1332,0)</f>
        <v>195014</v>
      </c>
      <c r="O1332" s="9">
        <v>270892</v>
      </c>
      <c r="P1332" s="9">
        <f>N1332-O1332</f>
        <v>-75878</v>
      </c>
      <c r="Q1332" s="40">
        <f t="shared" si="209"/>
        <v>-28.010424818746955</v>
      </c>
      <c r="R1332" s="9">
        <v>19.00000000164</v>
      </c>
      <c r="S1332" s="9">
        <f t="shared" si="207"/>
        <v>12.999999999210001</v>
      </c>
      <c r="T1332" s="90">
        <f t="shared" si="202"/>
        <v>265</v>
      </c>
      <c r="U1332" s="90">
        <f t="shared" si="203"/>
        <v>910</v>
      </c>
      <c r="V1332" s="373">
        <f t="shared" si="204"/>
        <v>1323</v>
      </c>
      <c r="W1332" s="90">
        <f t="shared" si="205"/>
        <v>12.999999999210001</v>
      </c>
      <c r="X1332" s="90">
        <f t="shared" si="206"/>
        <v>271018.49037491984</v>
      </c>
      <c r="Y1332" s="141">
        <f t="shared" si="208"/>
        <v>1323</v>
      </c>
      <c r="Z1332" s="298">
        <v>265</v>
      </c>
      <c r="AA1332" s="299">
        <v>910</v>
      </c>
      <c r="AB1332" s="299">
        <v>1323</v>
      </c>
      <c r="AC1332" s="301">
        <v>12.999999999210001</v>
      </c>
      <c r="AD1332" s="301">
        <v>271018.49037491984</v>
      </c>
      <c r="AE1332" s="126"/>
      <c r="AF1332" s="298"/>
      <c r="AG1332" s="299"/>
      <c r="AH1332" s="299"/>
      <c r="AI1332" s="301"/>
      <c r="AJ1332" s="301"/>
      <c r="AK1332" s="426"/>
      <c r="AL1332" s="298"/>
      <c r="AM1332" s="299"/>
      <c r="AN1332" s="299"/>
      <c r="AO1332" s="301"/>
      <c r="AP1332" s="301"/>
      <c r="AQ1332" s="426"/>
      <c r="AR1332" s="298"/>
      <c r="AS1332" s="299"/>
      <c r="AT1332" s="299"/>
      <c r="AU1332" s="301"/>
      <c r="AV1332" s="301"/>
      <c r="AW1332" s="88"/>
      <c r="AX1332" s="298"/>
      <c r="AY1332" s="299"/>
      <c r="AZ1332" s="299"/>
      <c r="BA1332" s="301"/>
      <c r="BB1332" s="301"/>
      <c r="BC1332" s="426"/>
      <c r="BD1332" s="298"/>
      <c r="BE1332" s="299"/>
      <c r="BF1332" s="299"/>
      <c r="BG1332" s="301"/>
      <c r="BH1332" s="301"/>
      <c r="BI1332" s="88"/>
      <c r="BJ1332" s="298"/>
      <c r="BK1332" s="299"/>
      <c r="BL1332" s="299"/>
      <c r="BM1332" s="301"/>
      <c r="BN1332" s="301"/>
      <c r="BO1332" s="88"/>
      <c r="BP1332" s="9"/>
      <c r="BS1332" s="81"/>
      <c r="BT1332" s="81"/>
      <c r="BV1332" s="9"/>
      <c r="BY1332" s="81"/>
      <c r="BZ1332" s="81"/>
      <c r="CB1332" s="9"/>
      <c r="CE1332" s="81"/>
      <c r="CF1332" s="81"/>
      <c r="CH1332" s="9"/>
      <c r="CK1332" s="81"/>
      <c r="CL1332" s="81"/>
      <c r="CR1332" s="9"/>
      <c r="CS1332" s="9"/>
      <c r="CT1332" s="9"/>
      <c r="CU1332" s="9"/>
      <c r="CV1332" s="9"/>
      <c r="CW1332" s="129"/>
      <c r="CX1332" s="9"/>
    </row>
    <row r="1333" spans="1:102">
      <c r="A1333" s="6" t="str">
        <f t="shared" si="201"/>
        <v>02650998</v>
      </c>
      <c r="B1333" s="6" t="s">
        <v>1915</v>
      </c>
      <c r="C1333" s="6" t="s">
        <v>2091</v>
      </c>
      <c r="D1333" s="6">
        <v>1324</v>
      </c>
      <c r="E1333" s="6">
        <v>265</v>
      </c>
      <c r="F1333" s="6" t="s">
        <v>1547</v>
      </c>
      <c r="G1333" s="6">
        <v>998</v>
      </c>
      <c r="H1333" s="6" t="s">
        <v>1547</v>
      </c>
      <c r="I1333" s="33">
        <v>0</v>
      </c>
      <c r="J1333" s="88">
        <v>0</v>
      </c>
      <c r="K1333" s="89">
        <f t="shared" si="210"/>
        <v>0</v>
      </c>
      <c r="L1333" s="88">
        <f>IF(K1334&gt;0, K1333/K1334, 0)</f>
        <v>0</v>
      </c>
      <c r="M1333" s="58"/>
      <c r="N1333" s="9">
        <f>ROUND(M1334*L1333,0)</f>
        <v>0</v>
      </c>
      <c r="O1333" s="9">
        <v>0</v>
      </c>
      <c r="P1333" s="9">
        <f>N1333-O1333</f>
        <v>0</v>
      </c>
      <c r="Q1333" s="40">
        <f t="shared" si="209"/>
        <v>0</v>
      </c>
      <c r="R1333" s="9">
        <v>0</v>
      </c>
      <c r="S1333" s="9">
        <f t="shared" si="207"/>
        <v>0</v>
      </c>
      <c r="T1333" s="90">
        <f t="shared" si="202"/>
        <v>265</v>
      </c>
      <c r="U1333" s="90">
        <f t="shared" si="203"/>
        <v>998</v>
      </c>
      <c r="V1333" s="373">
        <f t="shared" si="204"/>
        <v>1324</v>
      </c>
      <c r="W1333" s="90">
        <f t="shared" si="205"/>
        <v>0</v>
      </c>
      <c r="X1333" s="90">
        <f t="shared" si="206"/>
        <v>0</v>
      </c>
      <c r="Y1333" s="141">
        <f t="shared" si="208"/>
        <v>1324</v>
      </c>
      <c r="Z1333" s="298">
        <v>265</v>
      </c>
      <c r="AA1333" s="299">
        <v>998</v>
      </c>
      <c r="AB1333" s="299">
        <v>1324</v>
      </c>
      <c r="AC1333" s="301">
        <v>0</v>
      </c>
      <c r="AD1333" s="301">
        <v>0</v>
      </c>
      <c r="AE1333" s="126"/>
      <c r="AF1333" s="298"/>
      <c r="AG1333" s="299"/>
      <c r="AH1333" s="299"/>
      <c r="AI1333" s="301"/>
      <c r="AJ1333" s="301"/>
      <c r="AK1333" s="426"/>
      <c r="AL1333" s="298"/>
      <c r="AM1333" s="299"/>
      <c r="AN1333" s="299"/>
      <c r="AO1333" s="301"/>
      <c r="AP1333" s="301"/>
      <c r="AQ1333" s="426"/>
      <c r="AR1333" s="298"/>
      <c r="AS1333" s="299"/>
      <c r="AT1333" s="299"/>
      <c r="AU1333" s="301"/>
      <c r="AV1333" s="301"/>
      <c r="AW1333" s="88"/>
      <c r="AX1333" s="298"/>
      <c r="AY1333" s="299"/>
      <c r="AZ1333" s="299"/>
      <c r="BA1333" s="301"/>
      <c r="BB1333" s="301"/>
      <c r="BC1333" s="426"/>
      <c r="BD1333" s="298"/>
      <c r="BE1333" s="299"/>
      <c r="BF1333" s="299"/>
      <c r="BG1333" s="301"/>
      <c r="BH1333" s="301"/>
      <c r="BI1333" s="88"/>
      <c r="BJ1333" s="298"/>
      <c r="BK1333" s="299"/>
      <c r="BL1333" s="299"/>
      <c r="BM1333" s="301"/>
      <c r="BN1333" s="301"/>
      <c r="BO1333" s="88"/>
      <c r="BP1333" s="9"/>
      <c r="BS1333" s="81"/>
      <c r="BT1333" s="81"/>
      <c r="BV1333" s="9"/>
      <c r="BY1333" s="81"/>
      <c r="BZ1333" s="81"/>
      <c r="CB1333" s="9"/>
      <c r="CE1333" s="81"/>
      <c r="CF1333" s="81"/>
      <c r="CH1333" s="9"/>
      <c r="CK1333" s="81"/>
      <c r="CL1333" s="81"/>
      <c r="CR1333" s="9"/>
      <c r="CS1333" s="9"/>
      <c r="CT1333" s="9"/>
      <c r="CU1333" s="9"/>
      <c r="CV1333" s="9"/>
      <c r="CW1333" s="129"/>
      <c r="CX1333" s="9"/>
    </row>
    <row r="1334" spans="1:102">
      <c r="A1334" s="6" t="str">
        <f t="shared" si="201"/>
        <v>02650999</v>
      </c>
      <c r="B1334" s="6" t="s">
        <v>1915</v>
      </c>
      <c r="C1334" s="6" t="s">
        <v>2092</v>
      </c>
      <c r="D1334" s="6">
        <v>1325</v>
      </c>
      <c r="E1334" s="10">
        <v>265</v>
      </c>
      <c r="F1334" s="10" t="s">
        <v>1383</v>
      </c>
      <c r="G1334" s="10">
        <v>999</v>
      </c>
      <c r="H1334" s="10" t="s">
        <v>593</v>
      </c>
      <c r="I1334" s="92">
        <v>28015932.34233249</v>
      </c>
      <c r="J1334" s="472">
        <v>1</v>
      </c>
      <c r="K1334" s="53">
        <f>SUM(K1330:K1333)</f>
        <v>28829091.108598817</v>
      </c>
      <c r="L1334" s="91">
        <f>SUM(L1330:L1333)</f>
        <v>1</v>
      </c>
      <c r="M1334" s="79">
        <f>VLOOKUP(E1334,town351,24)</f>
        <v>20744276</v>
      </c>
      <c r="N1334" s="79">
        <f>SUM(N1330:N1333)</f>
        <v>20744276</v>
      </c>
      <c r="O1334" s="79">
        <v>19616337</v>
      </c>
      <c r="P1334" s="79">
        <f>SUM(P1330:P1333)</f>
        <v>1127939</v>
      </c>
      <c r="Q1334" s="39">
        <f t="shared" si="209"/>
        <v>5.7499980755836324</v>
      </c>
      <c r="R1334" s="9">
        <v>2172.0000000056898</v>
      </c>
      <c r="S1334" s="9">
        <f t="shared" si="207"/>
        <v>2172.00000000201</v>
      </c>
      <c r="T1334" s="90">
        <f t="shared" si="202"/>
        <v>265</v>
      </c>
      <c r="U1334" s="90">
        <f t="shared" si="203"/>
        <v>999</v>
      </c>
      <c r="V1334" s="373">
        <f t="shared" si="204"/>
        <v>1325</v>
      </c>
      <c r="W1334" s="90">
        <f t="shared" si="205"/>
        <v>2172.00000000201</v>
      </c>
      <c r="X1334" s="90">
        <f t="shared" si="206"/>
        <v>28829091.108598817</v>
      </c>
      <c r="Y1334" s="141">
        <f t="shared" si="208"/>
        <v>1325</v>
      </c>
      <c r="Z1334" s="298">
        <v>265</v>
      </c>
      <c r="AA1334" s="299">
        <v>999</v>
      </c>
      <c r="AB1334" s="299">
        <v>1325</v>
      </c>
      <c r="AC1334" s="301">
        <v>2172.00000000201</v>
      </c>
      <c r="AD1334" s="301">
        <v>28829091.108598817</v>
      </c>
      <c r="AE1334" s="126"/>
      <c r="AF1334" s="298"/>
      <c r="AG1334" s="299"/>
      <c r="AH1334" s="299"/>
      <c r="AI1334" s="301"/>
      <c r="AJ1334" s="301"/>
      <c r="AK1334" s="426"/>
      <c r="AL1334" s="298"/>
      <c r="AM1334" s="299"/>
      <c r="AN1334" s="299"/>
      <c r="AO1334" s="301"/>
      <c r="AP1334" s="301"/>
      <c r="AQ1334" s="426"/>
      <c r="AR1334" s="298"/>
      <c r="AS1334" s="299"/>
      <c r="AT1334" s="299"/>
      <c r="AU1334" s="301"/>
      <c r="AV1334" s="301"/>
      <c r="AW1334" s="91"/>
      <c r="AX1334" s="298"/>
      <c r="AY1334" s="299"/>
      <c r="AZ1334" s="299"/>
      <c r="BA1334" s="301"/>
      <c r="BB1334" s="301"/>
      <c r="BC1334" s="426"/>
      <c r="BD1334" s="298"/>
      <c r="BE1334" s="299"/>
      <c r="BF1334" s="299"/>
      <c r="BG1334" s="301"/>
      <c r="BH1334" s="301"/>
      <c r="BI1334" s="91"/>
      <c r="BJ1334" s="298"/>
      <c r="BK1334" s="299"/>
      <c r="BL1334" s="299"/>
      <c r="BM1334" s="301"/>
      <c r="BN1334" s="301"/>
      <c r="BO1334" s="91"/>
      <c r="BP1334" s="9"/>
      <c r="BS1334" s="81"/>
      <c r="BT1334" s="81"/>
      <c r="BV1334" s="9"/>
      <c r="BY1334" s="81"/>
      <c r="BZ1334" s="81"/>
      <c r="CB1334" s="9"/>
      <c r="CE1334" s="81"/>
      <c r="CF1334" s="81"/>
      <c r="CH1334" s="9"/>
      <c r="CK1334" s="81"/>
      <c r="CL1334" s="81"/>
      <c r="CR1334" s="9"/>
      <c r="CS1334" s="9"/>
      <c r="CT1334" s="9"/>
      <c r="CU1334" s="9"/>
      <c r="CV1334" s="9"/>
      <c r="CW1334" s="129"/>
      <c r="CX1334" s="9"/>
    </row>
    <row r="1335" spans="1:102">
      <c r="A1335" s="6" t="str">
        <f t="shared" si="201"/>
        <v>02660266</v>
      </c>
      <c r="B1335" s="6" t="s">
        <v>1916</v>
      </c>
      <c r="C1335" s="6" t="s">
        <v>1916</v>
      </c>
      <c r="D1335" s="6">
        <v>1326</v>
      </c>
      <c r="E1335" s="6">
        <v>266</v>
      </c>
      <c r="F1335" s="6" t="s">
        <v>1384</v>
      </c>
      <c r="G1335" s="6">
        <v>266</v>
      </c>
      <c r="H1335" s="6" t="s">
        <v>947</v>
      </c>
      <c r="I1335" s="33">
        <v>44179615.271480002</v>
      </c>
      <c r="J1335" s="88">
        <v>0.98757164081525839</v>
      </c>
      <c r="K1335" s="89">
        <f>X1335</f>
        <v>45602230.371939994</v>
      </c>
      <c r="L1335" s="88">
        <f>IF(K1339&gt;0, K1335/K1339, 0)</f>
        <v>0.98531006109176866</v>
      </c>
      <c r="M1335" s="58"/>
      <c r="N1335" s="9">
        <f>ROUND(M1339*L1335,0)</f>
        <v>35374920</v>
      </c>
      <c r="O1335" s="9">
        <v>33681121</v>
      </c>
      <c r="P1335" s="9">
        <f>N1335-O1335</f>
        <v>1693799</v>
      </c>
      <c r="Q1335" s="40">
        <f t="shared" si="209"/>
        <v>5.0289270360092821</v>
      </c>
      <c r="R1335" s="9">
        <v>3495</v>
      </c>
      <c r="S1335" s="9">
        <f t="shared" si="207"/>
        <v>3518</v>
      </c>
      <c r="T1335" s="90">
        <f t="shared" si="202"/>
        <v>266</v>
      </c>
      <c r="U1335" s="90">
        <f t="shared" si="203"/>
        <v>266</v>
      </c>
      <c r="V1335" s="373">
        <f t="shared" si="204"/>
        <v>1326</v>
      </c>
      <c r="W1335" s="90">
        <f t="shared" si="205"/>
        <v>3518</v>
      </c>
      <c r="X1335" s="90">
        <f t="shared" si="206"/>
        <v>45602230.371939994</v>
      </c>
      <c r="Y1335" s="141">
        <f t="shared" si="208"/>
        <v>1326</v>
      </c>
      <c r="Z1335" s="298">
        <v>266</v>
      </c>
      <c r="AA1335" s="299">
        <v>266</v>
      </c>
      <c r="AB1335" s="299">
        <v>1326</v>
      </c>
      <c r="AC1335" s="301">
        <v>3518</v>
      </c>
      <c r="AD1335" s="301">
        <v>45602230.371939994</v>
      </c>
      <c r="AE1335" s="126"/>
      <c r="AF1335" s="298"/>
      <c r="AG1335" s="299"/>
      <c r="AH1335" s="299"/>
      <c r="AI1335" s="301"/>
      <c r="AJ1335" s="301"/>
      <c r="AK1335" s="426"/>
      <c r="AL1335" s="298"/>
      <c r="AM1335" s="299"/>
      <c r="AN1335" s="299"/>
      <c r="AO1335" s="301"/>
      <c r="AP1335" s="301"/>
      <c r="AQ1335" s="426"/>
      <c r="AR1335" s="298"/>
      <c r="AS1335" s="299"/>
      <c r="AT1335" s="299"/>
      <c r="AU1335" s="301"/>
      <c r="AV1335" s="301"/>
      <c r="AW1335" s="88"/>
      <c r="AX1335" s="298"/>
      <c r="AY1335" s="299"/>
      <c r="AZ1335" s="299"/>
      <c r="BA1335" s="301"/>
      <c r="BB1335" s="301"/>
      <c r="BC1335" s="426"/>
      <c r="BD1335" s="298"/>
      <c r="BE1335" s="299"/>
      <c r="BF1335" s="299"/>
      <c r="BG1335" s="301"/>
      <c r="BH1335" s="301"/>
      <c r="BI1335" s="88"/>
      <c r="BJ1335" s="298"/>
      <c r="BK1335" s="299"/>
      <c r="BL1335" s="299"/>
      <c r="BM1335" s="301"/>
      <c r="BN1335" s="301"/>
      <c r="BO1335" s="88"/>
      <c r="BP1335" s="9"/>
      <c r="BS1335" s="81"/>
      <c r="BT1335" s="81"/>
      <c r="BV1335" s="9"/>
      <c r="BY1335" s="81"/>
      <c r="BZ1335" s="81"/>
      <c r="CB1335" s="9"/>
      <c r="CE1335" s="81"/>
      <c r="CF1335" s="81"/>
      <c r="CH1335" s="9"/>
      <c r="CK1335" s="81"/>
      <c r="CL1335" s="81"/>
      <c r="CR1335" s="9"/>
      <c r="CS1335" s="9"/>
      <c r="CT1335" s="9"/>
      <c r="CU1335" s="9"/>
      <c r="CV1335" s="9"/>
      <c r="CW1335" s="129"/>
      <c r="CX1335" s="9"/>
    </row>
    <row r="1336" spans="1:102">
      <c r="A1336" s="6" t="str">
        <f t="shared" si="201"/>
        <v>02660872</v>
      </c>
      <c r="B1336" s="6" t="s">
        <v>1916</v>
      </c>
      <c r="C1336" s="6" t="s">
        <v>2082</v>
      </c>
      <c r="D1336" s="6">
        <v>1327</v>
      </c>
      <c r="E1336" s="6">
        <v>266</v>
      </c>
      <c r="F1336" s="6" t="s">
        <v>1384</v>
      </c>
      <c r="G1336" s="6">
        <v>872</v>
      </c>
      <c r="H1336" s="6" t="s">
        <v>1112</v>
      </c>
      <c r="I1336" s="33">
        <v>426830.07508135383</v>
      </c>
      <c r="J1336" s="88">
        <v>9.5411713073360951E-3</v>
      </c>
      <c r="K1336" s="89">
        <f t="shared" si="210"/>
        <v>481665.64745926013</v>
      </c>
      <c r="L1336" s="88">
        <f>IF(K1339&gt;0, K1336/K1339, 0)</f>
        <v>1.0407166593674222E-2</v>
      </c>
      <c r="M1336" s="58"/>
      <c r="N1336" s="9">
        <f>ROUND(M1339*L1336,0)</f>
        <v>373641</v>
      </c>
      <c r="O1336" s="9">
        <v>325402</v>
      </c>
      <c r="P1336" s="9">
        <f>N1336-O1336</f>
        <v>48239</v>
      </c>
      <c r="Q1336" s="40">
        <f t="shared" si="209"/>
        <v>14.824432548048261</v>
      </c>
      <c r="R1336" s="9">
        <v>20.08588957005</v>
      </c>
      <c r="S1336" s="9">
        <f t="shared" si="207"/>
        <v>22.039426519110002</v>
      </c>
      <c r="T1336" s="90">
        <f t="shared" si="202"/>
        <v>266</v>
      </c>
      <c r="U1336" s="90">
        <f t="shared" si="203"/>
        <v>872</v>
      </c>
      <c r="V1336" s="373">
        <f t="shared" si="204"/>
        <v>1327</v>
      </c>
      <c r="W1336" s="90">
        <f t="shared" si="205"/>
        <v>22.039426519110002</v>
      </c>
      <c r="X1336" s="90">
        <f t="shared" si="206"/>
        <v>481665.64745926013</v>
      </c>
      <c r="Y1336" s="141">
        <f t="shared" si="208"/>
        <v>1327</v>
      </c>
      <c r="Z1336" s="298">
        <v>266</v>
      </c>
      <c r="AA1336" s="299">
        <v>872</v>
      </c>
      <c r="AB1336" s="299">
        <v>1327</v>
      </c>
      <c r="AC1336" s="301">
        <v>22.039426519110002</v>
      </c>
      <c r="AD1336" s="301">
        <v>481665.64745926013</v>
      </c>
      <c r="AE1336" s="126"/>
      <c r="AF1336" s="298"/>
      <c r="AG1336" s="299"/>
      <c r="AH1336" s="299"/>
      <c r="AI1336" s="301"/>
      <c r="AJ1336" s="301"/>
      <c r="AK1336" s="426"/>
      <c r="AL1336" s="298"/>
      <c r="AM1336" s="299"/>
      <c r="AN1336" s="299"/>
      <c r="AO1336" s="301"/>
      <c r="AP1336" s="301"/>
      <c r="AQ1336" s="426"/>
      <c r="AR1336" s="298"/>
      <c r="AS1336" s="299"/>
      <c r="AT1336" s="299"/>
      <c r="AU1336" s="301"/>
      <c r="AV1336" s="301"/>
      <c r="AW1336" s="88"/>
      <c r="AX1336" s="298"/>
      <c r="AY1336" s="299"/>
      <c r="AZ1336" s="299"/>
      <c r="BA1336" s="301"/>
      <c r="BB1336" s="301"/>
      <c r="BC1336" s="426"/>
      <c r="BD1336" s="298"/>
      <c r="BE1336" s="299"/>
      <c r="BF1336" s="299"/>
      <c r="BG1336" s="301"/>
      <c r="BH1336" s="301"/>
      <c r="BI1336" s="88"/>
      <c r="BJ1336" s="298"/>
      <c r="BK1336" s="299"/>
      <c r="BL1336" s="299"/>
      <c r="BM1336" s="301"/>
      <c r="BN1336" s="301"/>
      <c r="BO1336" s="88"/>
      <c r="BP1336" s="9"/>
      <c r="BS1336" s="81"/>
      <c r="BT1336" s="81"/>
      <c r="BV1336" s="9"/>
      <c r="BY1336" s="81"/>
      <c r="BZ1336" s="81"/>
      <c r="CB1336" s="9"/>
      <c r="CE1336" s="81"/>
      <c r="CF1336" s="81"/>
      <c r="CH1336" s="9"/>
      <c r="CK1336" s="81"/>
      <c r="CL1336" s="81"/>
      <c r="CR1336" s="9"/>
      <c r="CS1336" s="9"/>
      <c r="CT1336" s="9"/>
      <c r="CU1336" s="9"/>
      <c r="CV1336" s="9"/>
      <c r="CW1336" s="129"/>
      <c r="CX1336" s="9"/>
    </row>
    <row r="1337" spans="1:102">
      <c r="A1337" s="6" t="str">
        <f t="shared" si="201"/>
        <v>02660915</v>
      </c>
      <c r="B1337" s="6" t="s">
        <v>1916</v>
      </c>
      <c r="C1337" s="6" t="s">
        <v>2089</v>
      </c>
      <c r="D1337" s="6">
        <v>1328</v>
      </c>
      <c r="E1337" s="6">
        <v>266</v>
      </c>
      <c r="F1337" s="6" t="s">
        <v>1384</v>
      </c>
      <c r="G1337" s="6">
        <v>915</v>
      </c>
      <c r="H1337" s="6" t="s">
        <v>1119</v>
      </c>
      <c r="I1337" s="33">
        <v>129160.09772714142</v>
      </c>
      <c r="J1337" s="88">
        <v>2.8871878774054146E-3</v>
      </c>
      <c r="K1337" s="89">
        <f t="shared" si="210"/>
        <v>198215.74693208101</v>
      </c>
      <c r="L1337" s="88">
        <f>IF(K1339&gt;0, K1337/K1339, 0)</f>
        <v>4.2827723145570946E-3</v>
      </c>
      <c r="M1337" s="58"/>
      <c r="N1337" s="9">
        <f>ROUND(M1339*L1337,0)</f>
        <v>153761</v>
      </c>
      <c r="O1337" s="9">
        <v>98468</v>
      </c>
      <c r="P1337" s="9">
        <f>N1337-O1337</f>
        <v>55293</v>
      </c>
      <c r="Q1337" s="40">
        <f t="shared" si="209"/>
        <v>56.15326806678312</v>
      </c>
      <c r="R1337" s="9">
        <v>6.00000000006</v>
      </c>
      <c r="S1337" s="9">
        <f t="shared" si="207"/>
        <v>8.99999999984</v>
      </c>
      <c r="T1337" s="90">
        <f t="shared" si="202"/>
        <v>266</v>
      </c>
      <c r="U1337" s="90">
        <f t="shared" si="203"/>
        <v>915</v>
      </c>
      <c r="V1337" s="373">
        <f t="shared" si="204"/>
        <v>1328</v>
      </c>
      <c r="W1337" s="90">
        <f t="shared" si="205"/>
        <v>8.99999999984</v>
      </c>
      <c r="X1337" s="90">
        <f t="shared" si="206"/>
        <v>198215.74693208101</v>
      </c>
      <c r="Y1337" s="141">
        <f t="shared" si="208"/>
        <v>1328</v>
      </c>
      <c r="Z1337" s="298">
        <v>266</v>
      </c>
      <c r="AA1337" s="299">
        <v>915</v>
      </c>
      <c r="AB1337" s="299">
        <v>1328</v>
      </c>
      <c r="AC1337" s="301">
        <v>8.99999999984</v>
      </c>
      <c r="AD1337" s="301">
        <v>198215.74693208101</v>
      </c>
      <c r="AE1337" s="126"/>
      <c r="AF1337" s="298"/>
      <c r="AG1337" s="299"/>
      <c r="AH1337" s="299"/>
      <c r="AI1337" s="301"/>
      <c r="AJ1337" s="301"/>
      <c r="AK1337" s="426"/>
      <c r="AL1337" s="298"/>
      <c r="AM1337" s="299"/>
      <c r="AN1337" s="299"/>
      <c r="AO1337" s="301"/>
      <c r="AP1337" s="301"/>
      <c r="AQ1337" s="426"/>
      <c r="AR1337" s="298"/>
      <c r="AS1337" s="299"/>
      <c r="AT1337" s="299"/>
      <c r="AU1337" s="301"/>
      <c r="AV1337" s="301"/>
      <c r="AW1337" s="88"/>
      <c r="AX1337" s="298"/>
      <c r="AY1337" s="299"/>
      <c r="AZ1337" s="299"/>
      <c r="BA1337" s="301"/>
      <c r="BB1337" s="301"/>
      <c r="BC1337" s="426"/>
      <c r="BD1337" s="298"/>
      <c r="BE1337" s="299"/>
      <c r="BF1337" s="299"/>
      <c r="BG1337" s="301"/>
      <c r="BH1337" s="301"/>
      <c r="BI1337" s="88"/>
      <c r="BJ1337" s="298"/>
      <c r="BK1337" s="299"/>
      <c r="BL1337" s="299"/>
      <c r="BM1337" s="301"/>
      <c r="BN1337" s="301"/>
      <c r="BO1337" s="88"/>
      <c r="BP1337" s="9"/>
      <c r="BS1337" s="81"/>
      <c r="BT1337" s="81"/>
      <c r="BV1337" s="9"/>
      <c r="BY1337" s="81"/>
      <c r="BZ1337" s="81"/>
      <c r="CB1337" s="9"/>
      <c r="CE1337" s="81"/>
      <c r="CF1337" s="81"/>
      <c r="CH1337" s="9"/>
      <c r="CK1337" s="81"/>
      <c r="CL1337" s="81"/>
      <c r="CR1337" s="9"/>
      <c r="CS1337" s="9"/>
      <c r="CT1337" s="9"/>
      <c r="CU1337" s="9"/>
      <c r="CV1337" s="9"/>
      <c r="CW1337" s="129"/>
      <c r="CX1337" s="9"/>
    </row>
    <row r="1338" spans="1:102">
      <c r="A1338" s="6" t="str">
        <f t="shared" si="201"/>
        <v>02660998</v>
      </c>
      <c r="B1338" s="6" t="s">
        <v>1916</v>
      </c>
      <c r="C1338" s="6" t="s">
        <v>2091</v>
      </c>
      <c r="D1338" s="6">
        <v>1329</v>
      </c>
      <c r="E1338" s="6">
        <v>266</v>
      </c>
      <c r="F1338" s="6" t="s">
        <v>1547</v>
      </c>
      <c r="G1338" s="6">
        <v>998</v>
      </c>
      <c r="H1338" s="6" t="s">
        <v>1547</v>
      </c>
      <c r="I1338" s="33">
        <v>0</v>
      </c>
      <c r="J1338" s="88">
        <v>0</v>
      </c>
      <c r="K1338" s="89">
        <f t="shared" si="210"/>
        <v>0</v>
      </c>
      <c r="L1338" s="88">
        <f>IF(K1339&gt;0, K1338/K1339, 0)</f>
        <v>0</v>
      </c>
      <c r="M1338" s="58"/>
      <c r="N1338" s="9">
        <f>ROUND(M1339*L1338,0)</f>
        <v>0</v>
      </c>
      <c r="O1338" s="9">
        <v>0</v>
      </c>
      <c r="P1338" s="9">
        <f>N1338-O1338</f>
        <v>0</v>
      </c>
      <c r="Q1338" s="40">
        <f t="shared" si="209"/>
        <v>0</v>
      </c>
      <c r="R1338" s="9">
        <v>0</v>
      </c>
      <c r="S1338" s="9">
        <f t="shared" si="207"/>
        <v>0</v>
      </c>
      <c r="T1338" s="90">
        <f t="shared" si="202"/>
        <v>266</v>
      </c>
      <c r="U1338" s="90">
        <f t="shared" si="203"/>
        <v>998</v>
      </c>
      <c r="V1338" s="373">
        <f t="shared" si="204"/>
        <v>1329</v>
      </c>
      <c r="W1338" s="90">
        <f t="shared" si="205"/>
        <v>0</v>
      </c>
      <c r="X1338" s="90">
        <f t="shared" si="206"/>
        <v>0</v>
      </c>
      <c r="Y1338" s="141">
        <f t="shared" si="208"/>
        <v>1329</v>
      </c>
      <c r="Z1338" s="298">
        <v>266</v>
      </c>
      <c r="AA1338" s="299">
        <v>998</v>
      </c>
      <c r="AB1338" s="299">
        <v>1329</v>
      </c>
      <c r="AC1338" s="301">
        <v>0</v>
      </c>
      <c r="AD1338" s="301">
        <v>0</v>
      </c>
      <c r="AE1338" s="126"/>
      <c r="AF1338" s="298"/>
      <c r="AG1338" s="299"/>
      <c r="AH1338" s="299"/>
      <c r="AI1338" s="301"/>
      <c r="AJ1338" s="301"/>
      <c r="AK1338" s="426"/>
      <c r="AL1338" s="298"/>
      <c r="AM1338" s="299"/>
      <c r="AN1338" s="299"/>
      <c r="AO1338" s="301"/>
      <c r="AP1338" s="301"/>
      <c r="AQ1338" s="426"/>
      <c r="AR1338" s="298"/>
      <c r="AS1338" s="299"/>
      <c r="AT1338" s="299"/>
      <c r="AU1338" s="301"/>
      <c r="AV1338" s="301"/>
      <c r="AW1338" s="88"/>
      <c r="AX1338" s="298"/>
      <c r="AY1338" s="299"/>
      <c r="AZ1338" s="299"/>
      <c r="BA1338" s="301"/>
      <c r="BB1338" s="301"/>
      <c r="BC1338" s="426"/>
      <c r="BD1338" s="298"/>
      <c r="BE1338" s="299"/>
      <c r="BF1338" s="299"/>
      <c r="BG1338" s="301"/>
      <c r="BH1338" s="301"/>
      <c r="BI1338" s="88"/>
      <c r="BJ1338" s="298"/>
      <c r="BK1338" s="299"/>
      <c r="BL1338" s="299"/>
      <c r="BM1338" s="301"/>
      <c r="BN1338" s="301"/>
      <c r="BO1338" s="88"/>
      <c r="BP1338" s="9"/>
      <c r="BS1338" s="81"/>
      <c r="BT1338" s="81"/>
      <c r="BV1338" s="9"/>
      <c r="BY1338" s="81"/>
      <c r="BZ1338" s="81"/>
      <c r="CB1338" s="9"/>
      <c r="CE1338" s="81"/>
      <c r="CF1338" s="81"/>
      <c r="CH1338" s="9"/>
      <c r="CK1338" s="81"/>
      <c r="CL1338" s="81"/>
      <c r="CR1338" s="9"/>
      <c r="CS1338" s="9"/>
      <c r="CT1338" s="9"/>
      <c r="CU1338" s="9"/>
      <c r="CV1338" s="9"/>
      <c r="CW1338" s="129"/>
      <c r="CX1338" s="9"/>
    </row>
    <row r="1339" spans="1:102">
      <c r="A1339" s="6" t="str">
        <f t="shared" si="201"/>
        <v>02660999</v>
      </c>
      <c r="B1339" s="6" t="s">
        <v>1916</v>
      </c>
      <c r="C1339" s="6" t="s">
        <v>2092</v>
      </c>
      <c r="D1339" s="6">
        <v>1330</v>
      </c>
      <c r="E1339" s="10">
        <v>266</v>
      </c>
      <c r="F1339" s="10" t="s">
        <v>1384</v>
      </c>
      <c r="G1339" s="10">
        <v>999</v>
      </c>
      <c r="H1339" s="10" t="s">
        <v>593</v>
      </c>
      <c r="I1339" s="92">
        <v>44735605.4442885</v>
      </c>
      <c r="J1339" s="472">
        <v>0.99999999999999989</v>
      </c>
      <c r="K1339" s="53">
        <f>SUM(K1335:K1338)</f>
        <v>46282111.766331337</v>
      </c>
      <c r="L1339" s="91">
        <f>SUM(L1335:L1338)</f>
        <v>1</v>
      </c>
      <c r="M1339" s="79">
        <f>VLOOKUP(E1339,town351,24)</f>
        <v>35902323</v>
      </c>
      <c r="N1339" s="79">
        <f>SUM(N1335:N1338)</f>
        <v>35902322</v>
      </c>
      <c r="O1339" s="79">
        <v>34104991</v>
      </c>
      <c r="P1339" s="79">
        <f>SUM(P1335:P1338)</f>
        <v>1797331</v>
      </c>
      <c r="Q1339" s="39">
        <f t="shared" si="209"/>
        <v>5.2699940604001334</v>
      </c>
      <c r="R1339" s="9">
        <v>3521.0858895701099</v>
      </c>
      <c r="S1339" s="9">
        <f t="shared" si="207"/>
        <v>3549.0394265189498</v>
      </c>
      <c r="T1339" s="90">
        <f t="shared" si="202"/>
        <v>266</v>
      </c>
      <c r="U1339" s="90">
        <f t="shared" si="203"/>
        <v>999</v>
      </c>
      <c r="V1339" s="373">
        <f t="shared" si="204"/>
        <v>1330</v>
      </c>
      <c r="W1339" s="90">
        <f t="shared" si="205"/>
        <v>3549.0394265189498</v>
      </c>
      <c r="X1339" s="90">
        <f t="shared" si="206"/>
        <v>46282111.766331337</v>
      </c>
      <c r="Y1339" s="141">
        <f t="shared" si="208"/>
        <v>1330</v>
      </c>
      <c r="Z1339" s="298">
        <v>266</v>
      </c>
      <c r="AA1339" s="299">
        <v>999</v>
      </c>
      <c r="AB1339" s="299">
        <v>1330</v>
      </c>
      <c r="AC1339" s="301">
        <v>3549.0394265189498</v>
      </c>
      <c r="AD1339" s="301">
        <v>46282111.766331337</v>
      </c>
      <c r="AE1339" s="126"/>
      <c r="AF1339" s="298"/>
      <c r="AG1339" s="299"/>
      <c r="AH1339" s="299"/>
      <c r="AI1339" s="301"/>
      <c r="AJ1339" s="301"/>
      <c r="AK1339" s="426"/>
      <c r="AL1339" s="298"/>
      <c r="AM1339" s="299"/>
      <c r="AN1339" s="299"/>
      <c r="AO1339" s="301"/>
      <c r="AP1339" s="301"/>
      <c r="AQ1339" s="426"/>
      <c r="AR1339" s="298"/>
      <c r="AS1339" s="299"/>
      <c r="AT1339" s="299"/>
      <c r="AU1339" s="301"/>
      <c r="AV1339" s="301"/>
      <c r="AW1339" s="91"/>
      <c r="AX1339" s="298"/>
      <c r="AY1339" s="299"/>
      <c r="AZ1339" s="299"/>
      <c r="BA1339" s="301"/>
      <c r="BB1339" s="301"/>
      <c r="BC1339" s="426"/>
      <c r="BD1339" s="298"/>
      <c r="BE1339" s="299"/>
      <c r="BF1339" s="299"/>
      <c r="BG1339" s="301"/>
      <c r="BH1339" s="301"/>
      <c r="BI1339" s="91"/>
      <c r="BJ1339" s="298"/>
      <c r="BK1339" s="299"/>
      <c r="BL1339" s="299"/>
      <c r="BM1339" s="301"/>
      <c r="BN1339" s="301"/>
      <c r="BO1339" s="91"/>
      <c r="BP1339" s="9"/>
      <c r="BS1339" s="81"/>
      <c r="BT1339" s="81"/>
      <c r="BV1339" s="9"/>
      <c r="BY1339" s="81"/>
      <c r="BZ1339" s="81"/>
      <c r="CB1339" s="9"/>
      <c r="CE1339" s="81"/>
      <c r="CF1339" s="81"/>
      <c r="CH1339" s="9"/>
      <c r="CK1339" s="81"/>
      <c r="CL1339" s="81"/>
      <c r="CR1339" s="9"/>
      <c r="CS1339" s="9"/>
      <c r="CT1339" s="9"/>
      <c r="CU1339" s="9"/>
      <c r="CV1339" s="9"/>
      <c r="CW1339" s="129"/>
      <c r="CX1339" s="9"/>
    </row>
    <row r="1340" spans="1:102">
      <c r="A1340" s="6" t="str">
        <f t="shared" si="201"/>
        <v>02670267</v>
      </c>
      <c r="B1340" s="6" t="s">
        <v>1917</v>
      </c>
      <c r="C1340" s="6" t="s">
        <v>1917</v>
      </c>
      <c r="D1340" s="6">
        <v>1331</v>
      </c>
      <c r="E1340" s="6">
        <v>267</v>
      </c>
      <c r="F1340" s="6" t="s">
        <v>1385</v>
      </c>
      <c r="G1340" s="6">
        <v>267</v>
      </c>
      <c r="H1340" s="6" t="s">
        <v>948</v>
      </c>
      <c r="I1340" s="33">
        <v>65963.040000000008</v>
      </c>
      <c r="J1340" s="88">
        <v>1.3070239468660745E-2</v>
      </c>
      <c r="K1340" s="89">
        <f>X1340</f>
        <v>45335.72</v>
      </c>
      <c r="L1340" s="88">
        <f>IF(K1344&gt;0, K1340/K1344, 0)</f>
        <v>9.3846148427266501E-3</v>
      </c>
      <c r="M1340" s="58"/>
      <c r="N1340" s="9">
        <f>ROUND(M1344*L1340,0)</f>
        <v>37402</v>
      </c>
      <c r="O1340" s="9">
        <v>51793</v>
      </c>
      <c r="P1340" s="9">
        <f>N1340-O1340</f>
        <v>-14391</v>
      </c>
      <c r="Q1340" s="40">
        <f t="shared" si="209"/>
        <v>-27.785608093757844</v>
      </c>
      <c r="R1340" s="9">
        <v>4</v>
      </c>
      <c r="S1340" s="9">
        <f t="shared" si="207"/>
        <v>4</v>
      </c>
      <c r="T1340" s="90">
        <f t="shared" si="202"/>
        <v>267</v>
      </c>
      <c r="U1340" s="90">
        <f t="shared" si="203"/>
        <v>267</v>
      </c>
      <c r="V1340" s="373">
        <f t="shared" si="204"/>
        <v>1331</v>
      </c>
      <c r="W1340" s="90">
        <f t="shared" si="205"/>
        <v>4</v>
      </c>
      <c r="X1340" s="90">
        <f t="shared" si="206"/>
        <v>45335.72</v>
      </c>
      <c r="Y1340" s="141">
        <f t="shared" si="208"/>
        <v>1331</v>
      </c>
      <c r="Z1340" s="298">
        <v>267</v>
      </c>
      <c r="AA1340" s="299">
        <v>267</v>
      </c>
      <c r="AB1340" s="299">
        <v>1331</v>
      </c>
      <c r="AC1340" s="301">
        <v>4</v>
      </c>
      <c r="AD1340" s="301">
        <v>45335.72</v>
      </c>
      <c r="AE1340" s="126"/>
      <c r="AF1340" s="298"/>
      <c r="AG1340" s="299"/>
      <c r="AH1340" s="299"/>
      <c r="AI1340" s="301"/>
      <c r="AJ1340" s="301"/>
      <c r="AK1340" s="426"/>
      <c r="AL1340" s="298"/>
      <c r="AM1340" s="299"/>
      <c r="AN1340" s="299"/>
      <c r="AO1340" s="301"/>
      <c r="AP1340" s="301"/>
      <c r="AQ1340" s="426"/>
      <c r="AR1340" s="298"/>
      <c r="AS1340" s="299"/>
      <c r="AT1340" s="299"/>
      <c r="AU1340" s="301"/>
      <c r="AV1340" s="301"/>
      <c r="AW1340" s="88"/>
      <c r="AX1340" s="298"/>
      <c r="AY1340" s="299"/>
      <c r="AZ1340" s="299"/>
      <c r="BA1340" s="301"/>
      <c r="BB1340" s="301"/>
      <c r="BC1340" s="426"/>
      <c r="BD1340" s="298"/>
      <c r="BE1340" s="299"/>
      <c r="BF1340" s="299"/>
      <c r="BG1340" s="301"/>
      <c r="BH1340" s="301"/>
      <c r="BI1340" s="88"/>
      <c r="BJ1340" s="298"/>
      <c r="BK1340" s="299"/>
      <c r="BL1340" s="299"/>
      <c r="BM1340" s="301"/>
      <c r="BN1340" s="301"/>
      <c r="BO1340" s="88"/>
      <c r="BP1340" s="9"/>
      <c r="BS1340" s="81"/>
      <c r="BT1340" s="81"/>
      <c r="BV1340" s="9"/>
      <c r="BY1340" s="81"/>
      <c r="BZ1340" s="81"/>
      <c r="CB1340" s="9"/>
      <c r="CE1340" s="81"/>
      <c r="CF1340" s="81"/>
      <c r="CH1340" s="9"/>
      <c r="CK1340" s="81"/>
      <c r="CL1340" s="81"/>
      <c r="CR1340" s="9"/>
      <c r="CS1340" s="9"/>
      <c r="CT1340" s="9"/>
      <c r="CU1340" s="9"/>
      <c r="CV1340" s="9"/>
      <c r="CW1340" s="129"/>
      <c r="CX1340" s="9"/>
    </row>
    <row r="1341" spans="1:102">
      <c r="A1341" s="6" t="str">
        <f t="shared" si="201"/>
        <v>02670765</v>
      </c>
      <c r="B1341" s="6" t="s">
        <v>1917</v>
      </c>
      <c r="C1341" s="6" t="s">
        <v>2053</v>
      </c>
      <c r="D1341" s="6">
        <v>1332</v>
      </c>
      <c r="E1341" s="6">
        <v>267</v>
      </c>
      <c r="F1341" s="6" t="s">
        <v>1385</v>
      </c>
      <c r="G1341" s="6">
        <v>765</v>
      </c>
      <c r="H1341" s="6" t="s">
        <v>1083</v>
      </c>
      <c r="I1341" s="33">
        <v>4980848.8533982299</v>
      </c>
      <c r="J1341" s="88">
        <v>0.9869297605313393</v>
      </c>
      <c r="K1341" s="89">
        <f t="shared" si="210"/>
        <v>4785519.9687805055</v>
      </c>
      <c r="L1341" s="88">
        <f>IF(K1344&gt;0, K1341/K1344, 0)</f>
        <v>0.99061538515727343</v>
      </c>
      <c r="M1341" s="58"/>
      <c r="N1341" s="9">
        <f>ROUND(M1344*L1341,0)</f>
        <v>3948054</v>
      </c>
      <c r="O1341" s="9">
        <v>3910882</v>
      </c>
      <c r="P1341" s="9">
        <f>N1341-O1341</f>
        <v>37172</v>
      </c>
      <c r="Q1341" s="40">
        <f t="shared" si="209"/>
        <v>0.95047613300529143</v>
      </c>
      <c r="R1341" s="9">
        <v>347.23308270569999</v>
      </c>
      <c r="S1341" s="9">
        <f t="shared" si="207"/>
        <v>328.81776416261999</v>
      </c>
      <c r="T1341" s="90">
        <f t="shared" si="202"/>
        <v>267</v>
      </c>
      <c r="U1341" s="90">
        <f t="shared" si="203"/>
        <v>765</v>
      </c>
      <c r="V1341" s="373">
        <f t="shared" si="204"/>
        <v>1332</v>
      </c>
      <c r="W1341" s="90">
        <f t="shared" si="205"/>
        <v>328.81776416261999</v>
      </c>
      <c r="X1341" s="90">
        <f t="shared" si="206"/>
        <v>4785519.9687805055</v>
      </c>
      <c r="Y1341" s="141">
        <f t="shared" si="208"/>
        <v>1332</v>
      </c>
      <c r="Z1341" s="298">
        <v>267</v>
      </c>
      <c r="AA1341" s="299">
        <v>765</v>
      </c>
      <c r="AB1341" s="299">
        <v>1332</v>
      </c>
      <c r="AC1341" s="301">
        <v>328.81776416261999</v>
      </c>
      <c r="AD1341" s="301">
        <v>4785519.9687805055</v>
      </c>
      <c r="AE1341" s="126"/>
      <c r="AF1341" s="298"/>
      <c r="AG1341" s="299"/>
      <c r="AH1341" s="299"/>
      <c r="AI1341" s="301"/>
      <c r="AJ1341" s="301"/>
      <c r="AK1341" s="426"/>
      <c r="AL1341" s="298"/>
      <c r="AM1341" s="299"/>
      <c r="AN1341" s="299"/>
      <c r="AO1341" s="301"/>
      <c r="AP1341" s="301"/>
      <c r="AQ1341" s="426"/>
      <c r="AR1341" s="298"/>
      <c r="AS1341" s="299"/>
      <c r="AT1341" s="299"/>
      <c r="AU1341" s="301"/>
      <c r="AV1341" s="301"/>
      <c r="AW1341" s="88"/>
      <c r="AX1341" s="298"/>
      <c r="AY1341" s="299"/>
      <c r="AZ1341" s="299"/>
      <c r="BA1341" s="301"/>
      <c r="BB1341" s="301"/>
      <c r="BC1341" s="426"/>
      <c r="BD1341" s="298"/>
      <c r="BE1341" s="299"/>
      <c r="BF1341" s="299"/>
      <c r="BG1341" s="301"/>
      <c r="BH1341" s="301"/>
      <c r="BI1341" s="88"/>
      <c r="BJ1341" s="298"/>
      <c r="BK1341" s="299"/>
      <c r="BL1341" s="299"/>
      <c r="BM1341" s="301"/>
      <c r="BN1341" s="301"/>
      <c r="BO1341" s="88"/>
      <c r="BP1341" s="9"/>
      <c r="BS1341" s="81"/>
      <c r="BT1341" s="81"/>
      <c r="BV1341" s="9"/>
      <c r="BY1341" s="81"/>
      <c r="BZ1341" s="81"/>
      <c r="CB1341" s="9"/>
      <c r="CE1341" s="81"/>
      <c r="CF1341" s="81"/>
      <c r="CH1341" s="9"/>
      <c r="CK1341" s="81"/>
      <c r="CL1341" s="81"/>
      <c r="CR1341" s="9"/>
      <c r="CS1341" s="9"/>
      <c r="CT1341" s="9"/>
      <c r="CU1341" s="9"/>
      <c r="CV1341" s="9"/>
      <c r="CW1341" s="129"/>
      <c r="CX1341" s="9"/>
    </row>
    <row r="1342" spans="1:102">
      <c r="A1342" s="6" t="str">
        <f t="shared" si="201"/>
        <v>02670998</v>
      </c>
      <c r="B1342" s="6" t="s">
        <v>1917</v>
      </c>
      <c r="C1342" s="6" t="s">
        <v>2091</v>
      </c>
      <c r="D1342" s="6">
        <v>1333</v>
      </c>
      <c r="E1342" s="6">
        <v>267</v>
      </c>
      <c r="F1342" s="6" t="s">
        <v>1547</v>
      </c>
      <c r="G1342" s="6">
        <v>998</v>
      </c>
      <c r="H1342" s="6" t="s">
        <v>1547</v>
      </c>
      <c r="I1342" s="33">
        <v>0</v>
      </c>
      <c r="J1342" s="88">
        <v>0</v>
      </c>
      <c r="K1342" s="89">
        <f t="shared" si="210"/>
        <v>0</v>
      </c>
      <c r="L1342" s="88">
        <f>IF(K1344&gt;0, K1342/K1344, 0)</f>
        <v>0</v>
      </c>
      <c r="M1342" s="58"/>
      <c r="N1342" s="9">
        <f>ROUND(M1344*L1342,0)</f>
        <v>0</v>
      </c>
      <c r="O1342" s="9">
        <v>0</v>
      </c>
      <c r="P1342" s="9">
        <f>N1342-O1342</f>
        <v>0</v>
      </c>
      <c r="Q1342" s="40">
        <f t="shared" si="209"/>
        <v>0</v>
      </c>
      <c r="R1342" s="9">
        <v>0</v>
      </c>
      <c r="S1342" s="9">
        <f t="shared" si="207"/>
        <v>0</v>
      </c>
      <c r="T1342" s="90">
        <f t="shared" si="202"/>
        <v>267</v>
      </c>
      <c r="U1342" s="90">
        <f t="shared" si="203"/>
        <v>998</v>
      </c>
      <c r="V1342" s="373">
        <f t="shared" si="204"/>
        <v>1333</v>
      </c>
      <c r="W1342" s="90">
        <f t="shared" si="205"/>
        <v>0</v>
      </c>
      <c r="X1342" s="90">
        <f t="shared" si="206"/>
        <v>0</v>
      </c>
      <c r="Y1342" s="141">
        <f t="shared" si="208"/>
        <v>1333</v>
      </c>
      <c r="Z1342" s="298">
        <v>267</v>
      </c>
      <c r="AA1342" s="299">
        <v>998</v>
      </c>
      <c r="AB1342" s="299">
        <v>1333</v>
      </c>
      <c r="AC1342" s="301">
        <v>0</v>
      </c>
      <c r="AD1342" s="301">
        <v>0</v>
      </c>
      <c r="AE1342" s="126"/>
      <c r="AF1342" s="298"/>
      <c r="AG1342" s="299"/>
      <c r="AH1342" s="299"/>
      <c r="AI1342" s="301"/>
      <c r="AJ1342" s="301"/>
      <c r="AK1342" s="426"/>
      <c r="AL1342" s="298"/>
      <c r="AM1342" s="299"/>
      <c r="AN1342" s="299"/>
      <c r="AO1342" s="301"/>
      <c r="AP1342" s="301"/>
      <c r="AQ1342" s="426"/>
      <c r="AR1342" s="298"/>
      <c r="AS1342" s="299"/>
      <c r="AT1342" s="299"/>
      <c r="AU1342" s="301"/>
      <c r="AV1342" s="301"/>
      <c r="AW1342" s="88"/>
      <c r="AX1342" s="298"/>
      <c r="AY1342" s="299"/>
      <c r="AZ1342" s="299"/>
      <c r="BA1342" s="301"/>
      <c r="BB1342" s="301"/>
      <c r="BC1342" s="426"/>
      <c r="BD1342" s="298"/>
      <c r="BE1342" s="299"/>
      <c r="BF1342" s="299"/>
      <c r="BG1342" s="301"/>
      <c r="BH1342" s="301"/>
      <c r="BI1342" s="88"/>
      <c r="BJ1342" s="298"/>
      <c r="BK1342" s="299"/>
      <c r="BL1342" s="299"/>
      <c r="BM1342" s="301"/>
      <c r="BN1342" s="301"/>
      <c r="BO1342" s="88"/>
      <c r="BP1342" s="9"/>
      <c r="BS1342" s="81"/>
      <c r="BT1342" s="81"/>
      <c r="BV1342" s="9"/>
      <c r="BY1342" s="81"/>
      <c r="BZ1342" s="81"/>
      <c r="CB1342" s="9"/>
      <c r="CE1342" s="81"/>
      <c r="CF1342" s="81"/>
      <c r="CH1342" s="9"/>
      <c r="CK1342" s="81"/>
      <c r="CL1342" s="81"/>
      <c r="CR1342" s="9"/>
      <c r="CS1342" s="9"/>
      <c r="CT1342" s="9"/>
      <c r="CU1342" s="9"/>
      <c r="CV1342" s="9"/>
      <c r="CW1342" s="129"/>
      <c r="CX1342" s="9"/>
    </row>
    <row r="1343" spans="1:102">
      <c r="A1343" s="6" t="str">
        <f t="shared" si="201"/>
        <v>02670998</v>
      </c>
      <c r="B1343" s="6" t="s">
        <v>1917</v>
      </c>
      <c r="C1343" s="6" t="s">
        <v>2091</v>
      </c>
      <c r="D1343" s="6">
        <v>1334</v>
      </c>
      <c r="E1343" s="6">
        <v>267</v>
      </c>
      <c r="F1343" s="6" t="s">
        <v>1547</v>
      </c>
      <c r="G1343" s="6">
        <v>998</v>
      </c>
      <c r="H1343" s="6" t="s">
        <v>1547</v>
      </c>
      <c r="I1343" s="33">
        <v>0</v>
      </c>
      <c r="J1343" s="88">
        <v>0</v>
      </c>
      <c r="K1343" s="89">
        <f t="shared" si="210"/>
        <v>0</v>
      </c>
      <c r="L1343" s="88">
        <f>IF(K1344&gt;0, K1343/K1344, 0)</f>
        <v>0</v>
      </c>
      <c r="M1343" s="58"/>
      <c r="N1343" s="9">
        <f>ROUND(M1344*L1343,0)</f>
        <v>0</v>
      </c>
      <c r="O1343" s="9">
        <v>0</v>
      </c>
      <c r="P1343" s="9">
        <f>N1343-O1343</f>
        <v>0</v>
      </c>
      <c r="Q1343" s="40">
        <f t="shared" si="209"/>
        <v>0</v>
      </c>
      <c r="R1343" s="9">
        <v>0</v>
      </c>
      <c r="S1343" s="9">
        <f t="shared" si="207"/>
        <v>0</v>
      </c>
      <c r="T1343" s="90">
        <f t="shared" si="202"/>
        <v>267</v>
      </c>
      <c r="U1343" s="90">
        <f t="shared" si="203"/>
        <v>998</v>
      </c>
      <c r="V1343" s="373">
        <f t="shared" si="204"/>
        <v>1334</v>
      </c>
      <c r="W1343" s="90">
        <f t="shared" si="205"/>
        <v>0</v>
      </c>
      <c r="X1343" s="90">
        <f t="shared" si="206"/>
        <v>0</v>
      </c>
      <c r="Y1343" s="141">
        <f t="shared" si="208"/>
        <v>1334</v>
      </c>
      <c r="Z1343" s="298">
        <v>267</v>
      </c>
      <c r="AA1343" s="299">
        <v>998</v>
      </c>
      <c r="AB1343" s="299">
        <v>1334</v>
      </c>
      <c r="AC1343" s="301">
        <v>0</v>
      </c>
      <c r="AD1343" s="301">
        <v>0</v>
      </c>
      <c r="AE1343" s="126"/>
      <c r="AF1343" s="298"/>
      <c r="AG1343" s="299"/>
      <c r="AH1343" s="299"/>
      <c r="AI1343" s="301"/>
      <c r="AJ1343" s="301"/>
      <c r="AK1343" s="426"/>
      <c r="AL1343" s="298"/>
      <c r="AM1343" s="299"/>
      <c r="AN1343" s="299"/>
      <c r="AO1343" s="301"/>
      <c r="AP1343" s="301"/>
      <c r="AQ1343" s="426"/>
      <c r="AR1343" s="298"/>
      <c r="AS1343" s="299"/>
      <c r="AT1343" s="299"/>
      <c r="AU1343" s="301"/>
      <c r="AV1343" s="301"/>
      <c r="AW1343" s="88"/>
      <c r="AX1343" s="298"/>
      <c r="AY1343" s="299"/>
      <c r="AZ1343" s="299"/>
      <c r="BA1343" s="301"/>
      <c r="BB1343" s="301"/>
      <c r="BC1343" s="426"/>
      <c r="BD1343" s="298"/>
      <c r="BE1343" s="299"/>
      <c r="BF1343" s="299"/>
      <c r="BG1343" s="301"/>
      <c r="BH1343" s="301"/>
      <c r="BI1343" s="88"/>
      <c r="BJ1343" s="298"/>
      <c r="BK1343" s="299"/>
      <c r="BL1343" s="299"/>
      <c r="BM1343" s="301"/>
      <c r="BN1343" s="301"/>
      <c r="BO1343" s="88"/>
      <c r="BP1343" s="9"/>
      <c r="BS1343" s="81"/>
      <c r="BT1343" s="81"/>
      <c r="BV1343" s="9"/>
      <c r="BY1343" s="81"/>
      <c r="BZ1343" s="81"/>
      <c r="CB1343" s="9"/>
      <c r="CE1343" s="81"/>
      <c r="CF1343" s="81"/>
      <c r="CH1343" s="9"/>
      <c r="CK1343" s="81"/>
      <c r="CL1343" s="81"/>
      <c r="CR1343" s="9"/>
      <c r="CS1343" s="9"/>
      <c r="CT1343" s="9"/>
      <c r="CU1343" s="9"/>
      <c r="CV1343" s="9"/>
      <c r="CW1343" s="129"/>
      <c r="CX1343" s="9"/>
    </row>
    <row r="1344" spans="1:102">
      <c r="A1344" s="6" t="str">
        <f t="shared" si="201"/>
        <v>02670999</v>
      </c>
      <c r="B1344" s="6" t="s">
        <v>1917</v>
      </c>
      <c r="C1344" s="6" t="s">
        <v>2092</v>
      </c>
      <c r="D1344" s="6">
        <v>1335</v>
      </c>
      <c r="E1344" s="10">
        <v>267</v>
      </c>
      <c r="F1344" s="10" t="s">
        <v>1385</v>
      </c>
      <c r="G1344" s="10">
        <v>999</v>
      </c>
      <c r="H1344" s="10" t="s">
        <v>593</v>
      </c>
      <c r="I1344" s="92">
        <v>5046811.89339823</v>
      </c>
      <c r="J1344" s="472">
        <v>1</v>
      </c>
      <c r="K1344" s="53">
        <f>SUM(K1340:K1343)</f>
        <v>4830855.6887805052</v>
      </c>
      <c r="L1344" s="91">
        <f>SUM(L1340:L1343)</f>
        <v>1</v>
      </c>
      <c r="M1344" s="79">
        <f>VLOOKUP(E1344,town351,24)</f>
        <v>3985456</v>
      </c>
      <c r="N1344" s="79">
        <f>SUM(N1340:N1343)</f>
        <v>3985456</v>
      </c>
      <c r="O1344" s="79">
        <v>3962675</v>
      </c>
      <c r="P1344" s="79">
        <f>SUM(P1340:P1343)</f>
        <v>22781</v>
      </c>
      <c r="Q1344" s="39">
        <f t="shared" si="209"/>
        <v>0.57488943705956208</v>
      </c>
      <c r="R1344" s="9">
        <v>351.23308270569999</v>
      </c>
      <c r="S1344" s="9">
        <f t="shared" si="207"/>
        <v>332.81776416261999</v>
      </c>
      <c r="T1344" s="90">
        <f t="shared" si="202"/>
        <v>267</v>
      </c>
      <c r="U1344" s="90">
        <f t="shared" si="203"/>
        <v>999</v>
      </c>
      <c r="V1344" s="373">
        <f t="shared" si="204"/>
        <v>1335</v>
      </c>
      <c r="W1344" s="90">
        <f t="shared" si="205"/>
        <v>332.81776416261999</v>
      </c>
      <c r="X1344" s="90">
        <f t="shared" si="206"/>
        <v>4830855.6887805052</v>
      </c>
      <c r="Y1344" s="141">
        <f t="shared" si="208"/>
        <v>1335</v>
      </c>
      <c r="Z1344" s="298">
        <v>267</v>
      </c>
      <c r="AA1344" s="299">
        <v>999</v>
      </c>
      <c r="AB1344" s="299">
        <v>1335</v>
      </c>
      <c r="AC1344" s="301">
        <v>332.81776416261999</v>
      </c>
      <c r="AD1344" s="301">
        <v>4830855.6887805052</v>
      </c>
      <c r="AE1344" s="126"/>
      <c r="AF1344" s="298"/>
      <c r="AG1344" s="299"/>
      <c r="AH1344" s="299"/>
      <c r="AI1344" s="301"/>
      <c r="AJ1344" s="301"/>
      <c r="AK1344" s="426"/>
      <c r="AL1344" s="298"/>
      <c r="AM1344" s="299"/>
      <c r="AN1344" s="299"/>
      <c r="AO1344" s="301"/>
      <c r="AP1344" s="301"/>
      <c r="AQ1344" s="426"/>
      <c r="AR1344" s="298"/>
      <c r="AS1344" s="299"/>
      <c r="AT1344" s="299"/>
      <c r="AU1344" s="301"/>
      <c r="AV1344" s="301"/>
      <c r="AW1344" s="91"/>
      <c r="AX1344" s="298"/>
      <c r="AY1344" s="299"/>
      <c r="AZ1344" s="299"/>
      <c r="BA1344" s="301"/>
      <c r="BB1344" s="301"/>
      <c r="BC1344" s="426"/>
      <c r="BD1344" s="298"/>
      <c r="BE1344" s="299"/>
      <c r="BF1344" s="299"/>
      <c r="BG1344" s="301"/>
      <c r="BH1344" s="301"/>
      <c r="BI1344" s="91"/>
      <c r="BJ1344" s="298"/>
      <c r="BK1344" s="299"/>
      <c r="BL1344" s="299"/>
      <c r="BM1344" s="301"/>
      <c r="BN1344" s="301"/>
      <c r="BO1344" s="91"/>
      <c r="BP1344" s="9"/>
      <c r="BS1344" s="81"/>
      <c r="BT1344" s="81"/>
      <c r="BV1344" s="9"/>
      <c r="BY1344" s="81"/>
      <c r="BZ1344" s="81"/>
      <c r="CB1344" s="9"/>
      <c r="CE1344" s="81"/>
      <c r="CF1344" s="81"/>
      <c r="CH1344" s="9"/>
      <c r="CK1344" s="81"/>
      <c r="CL1344" s="81"/>
      <c r="CR1344" s="9"/>
      <c r="CS1344" s="9"/>
      <c r="CT1344" s="9"/>
      <c r="CU1344" s="9"/>
      <c r="CV1344" s="9"/>
      <c r="CW1344" s="129"/>
      <c r="CX1344" s="9"/>
    </row>
    <row r="1345" spans="1:102">
      <c r="A1345" s="6" t="str">
        <f t="shared" si="201"/>
        <v>02680268</v>
      </c>
      <c r="B1345" s="6" t="s">
        <v>1918</v>
      </c>
      <c r="C1345" s="6" t="s">
        <v>1918</v>
      </c>
      <c r="D1345" s="6">
        <v>1336</v>
      </c>
      <c r="E1345" s="6">
        <v>268</v>
      </c>
      <c r="F1345" s="6" t="s">
        <v>1386</v>
      </c>
      <c r="G1345" s="6">
        <v>268</v>
      </c>
      <c r="H1345" s="6" t="s">
        <v>949</v>
      </c>
      <c r="I1345" s="33">
        <v>0</v>
      </c>
      <c r="J1345" s="88">
        <v>0</v>
      </c>
      <c r="K1345" s="89">
        <f>X1345</f>
        <v>0</v>
      </c>
      <c r="L1345" s="88">
        <f>IF(K1349&gt;0, K1345/K1349, 0)</f>
        <v>0</v>
      </c>
      <c r="M1345" s="58"/>
      <c r="N1345" s="9">
        <f>ROUND(M1349*L1345,0)</f>
        <v>0</v>
      </c>
      <c r="O1345" s="9">
        <v>0</v>
      </c>
      <c r="P1345" s="9">
        <f>N1345-O1345</f>
        <v>0</v>
      </c>
      <c r="Q1345" s="40">
        <f t="shared" si="209"/>
        <v>0</v>
      </c>
      <c r="R1345" s="9">
        <v>0</v>
      </c>
      <c r="S1345" s="9">
        <f t="shared" si="207"/>
        <v>0</v>
      </c>
      <c r="T1345" s="90">
        <f t="shared" si="202"/>
        <v>268</v>
      </c>
      <c r="U1345" s="90">
        <f t="shared" si="203"/>
        <v>268</v>
      </c>
      <c r="V1345" s="373">
        <f t="shared" si="204"/>
        <v>1336</v>
      </c>
      <c r="W1345" s="90">
        <f t="shared" si="205"/>
        <v>0</v>
      </c>
      <c r="X1345" s="90">
        <f t="shared" si="206"/>
        <v>0</v>
      </c>
      <c r="Y1345" s="141">
        <f t="shared" si="208"/>
        <v>1336</v>
      </c>
      <c r="Z1345" s="298">
        <v>268</v>
      </c>
      <c r="AA1345" s="299">
        <v>268</v>
      </c>
      <c r="AB1345" s="299">
        <v>1336</v>
      </c>
      <c r="AC1345" s="301">
        <v>0</v>
      </c>
      <c r="AD1345" s="301">
        <v>0</v>
      </c>
      <c r="AE1345" s="126"/>
      <c r="AF1345" s="298"/>
      <c r="AG1345" s="299"/>
      <c r="AH1345" s="299"/>
      <c r="AI1345" s="301"/>
      <c r="AJ1345" s="301"/>
      <c r="AK1345" s="426"/>
      <c r="AL1345" s="298"/>
      <c r="AM1345" s="299"/>
      <c r="AN1345" s="299"/>
      <c r="AO1345" s="301"/>
      <c r="AP1345" s="301"/>
      <c r="AQ1345" s="426"/>
      <c r="AR1345" s="298"/>
      <c r="AS1345" s="299"/>
      <c r="AT1345" s="299"/>
      <c r="AU1345" s="301"/>
      <c r="AV1345" s="301"/>
      <c r="AW1345" s="88"/>
      <c r="AX1345" s="298"/>
      <c r="AY1345" s="299"/>
      <c r="AZ1345" s="299"/>
      <c r="BA1345" s="301"/>
      <c r="BB1345" s="301"/>
      <c r="BC1345" s="426"/>
      <c r="BD1345" s="298"/>
      <c r="BE1345" s="299"/>
      <c r="BF1345" s="299"/>
      <c r="BG1345" s="301"/>
      <c r="BH1345" s="301"/>
      <c r="BI1345" s="88"/>
      <c r="BJ1345" s="298"/>
      <c r="BK1345" s="299"/>
      <c r="BL1345" s="299"/>
      <c r="BM1345" s="301"/>
      <c r="BN1345" s="301"/>
      <c r="BO1345" s="88"/>
      <c r="BP1345" s="9"/>
      <c r="BS1345" s="81"/>
      <c r="BT1345" s="81"/>
      <c r="BV1345" s="9"/>
      <c r="BY1345" s="81"/>
      <c r="BZ1345" s="81"/>
      <c r="CB1345" s="9"/>
      <c r="CE1345" s="81"/>
      <c r="CF1345" s="81"/>
      <c r="CH1345" s="9"/>
      <c r="CK1345" s="81"/>
      <c r="CL1345" s="81"/>
      <c r="CR1345" s="9"/>
      <c r="CS1345" s="9"/>
      <c r="CT1345" s="9"/>
      <c r="CU1345" s="9"/>
      <c r="CV1345" s="9"/>
      <c r="CW1345" s="129"/>
      <c r="CX1345" s="9"/>
    </row>
    <row r="1346" spans="1:102">
      <c r="A1346" s="6" t="str">
        <f t="shared" si="201"/>
        <v>02680717</v>
      </c>
      <c r="B1346" s="6" t="s">
        <v>1918</v>
      </c>
      <c r="C1346" s="6" t="s">
        <v>2040</v>
      </c>
      <c r="D1346" s="6">
        <v>1337</v>
      </c>
      <c r="E1346" s="6">
        <v>268</v>
      </c>
      <c r="F1346" s="6" t="s">
        <v>1386</v>
      </c>
      <c r="G1346" s="6">
        <v>717</v>
      </c>
      <c r="H1346" s="6" t="s">
        <v>1070</v>
      </c>
      <c r="I1346" s="33">
        <v>2179138.8432454914</v>
      </c>
      <c r="J1346" s="88">
        <v>0.91893790144350818</v>
      </c>
      <c r="K1346" s="89">
        <f t="shared" si="210"/>
        <v>2164794.6948750364</v>
      </c>
      <c r="L1346" s="88">
        <f>IF(K1349&gt;0, K1346/K1349, 0)</f>
        <v>0.90829377466219319</v>
      </c>
      <c r="M1346" s="58"/>
      <c r="N1346" s="9">
        <f>ROUND(M1349*L1346,0)</f>
        <v>1644483</v>
      </c>
      <c r="O1346" s="9">
        <v>1579713</v>
      </c>
      <c r="P1346" s="9">
        <f>N1346-O1346</f>
        <v>64770</v>
      </c>
      <c r="Q1346" s="40">
        <f t="shared" si="209"/>
        <v>4.1001118557611411</v>
      </c>
      <c r="R1346" s="9">
        <v>151.44756097233</v>
      </c>
      <c r="S1346" s="9">
        <f t="shared" si="207"/>
        <v>143.58208955220002</v>
      </c>
      <c r="T1346" s="90">
        <f t="shared" si="202"/>
        <v>268</v>
      </c>
      <c r="U1346" s="90">
        <f t="shared" si="203"/>
        <v>717</v>
      </c>
      <c r="V1346" s="373">
        <f t="shared" si="204"/>
        <v>1337</v>
      </c>
      <c r="W1346" s="90">
        <f t="shared" si="205"/>
        <v>143.58208955220002</v>
      </c>
      <c r="X1346" s="90">
        <f t="shared" si="206"/>
        <v>2164794.6948750364</v>
      </c>
      <c r="Y1346" s="141">
        <f t="shared" si="208"/>
        <v>1337</v>
      </c>
      <c r="Z1346" s="298">
        <v>268</v>
      </c>
      <c r="AA1346" s="299">
        <v>717</v>
      </c>
      <c r="AB1346" s="299">
        <v>1337</v>
      </c>
      <c r="AC1346" s="301">
        <v>143.58208955220002</v>
      </c>
      <c r="AD1346" s="301">
        <v>2164794.6948750364</v>
      </c>
      <c r="AE1346" s="126"/>
      <c r="AF1346" s="298"/>
      <c r="AG1346" s="299"/>
      <c r="AH1346" s="299"/>
      <c r="AI1346" s="301"/>
      <c r="AJ1346" s="301"/>
      <c r="AK1346" s="426"/>
      <c r="AL1346" s="298"/>
      <c r="AM1346" s="299"/>
      <c r="AN1346" s="299"/>
      <c r="AO1346" s="301"/>
      <c r="AP1346" s="301"/>
      <c r="AQ1346" s="426"/>
      <c r="AR1346" s="298"/>
      <c r="AS1346" s="299"/>
      <c r="AT1346" s="299"/>
      <c r="AU1346" s="301"/>
      <c r="AV1346" s="301"/>
      <c r="AW1346" s="88"/>
      <c r="AX1346" s="298"/>
      <c r="AY1346" s="299"/>
      <c r="AZ1346" s="299"/>
      <c r="BA1346" s="301"/>
      <c r="BB1346" s="301"/>
      <c r="BC1346" s="426"/>
      <c r="BD1346" s="298"/>
      <c r="BE1346" s="299"/>
      <c r="BF1346" s="299"/>
      <c r="BG1346" s="301"/>
      <c r="BH1346" s="301"/>
      <c r="BI1346" s="88"/>
      <c r="BJ1346" s="298"/>
      <c r="BK1346" s="299"/>
      <c r="BL1346" s="299"/>
      <c r="BM1346" s="301"/>
      <c r="BN1346" s="301"/>
      <c r="BO1346" s="88"/>
      <c r="BP1346" s="9"/>
      <c r="BS1346" s="81"/>
      <c r="BT1346" s="81"/>
      <c r="BV1346" s="9"/>
      <c r="BY1346" s="81"/>
      <c r="BZ1346" s="81"/>
      <c r="CB1346" s="9"/>
      <c r="CE1346" s="81"/>
      <c r="CF1346" s="81"/>
      <c r="CH1346" s="9"/>
      <c r="CK1346" s="81"/>
      <c r="CL1346" s="81"/>
      <c r="CR1346" s="9"/>
      <c r="CS1346" s="9"/>
      <c r="CT1346" s="9"/>
      <c r="CU1346" s="9"/>
      <c r="CV1346" s="9"/>
      <c r="CW1346" s="129"/>
      <c r="CX1346" s="9"/>
    </row>
    <row r="1347" spans="1:102">
      <c r="A1347" s="6" t="str">
        <f t="shared" si="201"/>
        <v>02680818</v>
      </c>
      <c r="B1347" s="6" t="s">
        <v>1918</v>
      </c>
      <c r="C1347" s="6" t="s">
        <v>2068</v>
      </c>
      <c r="D1347" s="6">
        <v>1338</v>
      </c>
      <c r="E1347" s="6">
        <v>268</v>
      </c>
      <c r="F1347" s="6" t="s">
        <v>1386</v>
      </c>
      <c r="G1347" s="6">
        <v>818</v>
      </c>
      <c r="H1347" s="6" t="s">
        <v>1098</v>
      </c>
      <c r="I1347" s="33">
        <v>192227.97035791312</v>
      </c>
      <c r="J1347" s="88">
        <v>8.106209855649181E-2</v>
      </c>
      <c r="K1347" s="89">
        <f t="shared" si="210"/>
        <v>218569.31714866514</v>
      </c>
      <c r="L1347" s="88">
        <f>IF(K1349&gt;0, K1347/K1349, 0)</f>
        <v>9.1706225337806924E-2</v>
      </c>
      <c r="M1347" s="58"/>
      <c r="N1347" s="9">
        <f>ROUND(M1349*L1347,0)</f>
        <v>166036</v>
      </c>
      <c r="O1347" s="9">
        <v>139351</v>
      </c>
      <c r="P1347" s="9">
        <f>N1347-O1347</f>
        <v>26685</v>
      </c>
      <c r="Q1347" s="40">
        <f t="shared" si="209"/>
        <v>19.149485830743949</v>
      </c>
      <c r="R1347" s="9">
        <v>8.9999999991999999</v>
      </c>
      <c r="S1347" s="9">
        <f t="shared" si="207"/>
        <v>9.9999999993500008</v>
      </c>
      <c r="T1347" s="90">
        <f t="shared" si="202"/>
        <v>268</v>
      </c>
      <c r="U1347" s="90">
        <f t="shared" si="203"/>
        <v>818</v>
      </c>
      <c r="V1347" s="373">
        <f t="shared" si="204"/>
        <v>1338</v>
      </c>
      <c r="W1347" s="90">
        <f t="shared" si="205"/>
        <v>9.9999999993500008</v>
      </c>
      <c r="X1347" s="90">
        <f t="shared" si="206"/>
        <v>218569.31714866514</v>
      </c>
      <c r="Y1347" s="141">
        <f t="shared" si="208"/>
        <v>1338</v>
      </c>
      <c r="Z1347" s="298">
        <v>268</v>
      </c>
      <c r="AA1347" s="299">
        <v>818</v>
      </c>
      <c r="AB1347" s="299">
        <v>1338</v>
      </c>
      <c r="AC1347" s="301">
        <v>9.9999999993500008</v>
      </c>
      <c r="AD1347" s="301">
        <v>218569.31714866514</v>
      </c>
      <c r="AE1347" s="126"/>
      <c r="AF1347" s="298"/>
      <c r="AG1347" s="299"/>
      <c r="AH1347" s="299"/>
      <c r="AI1347" s="301"/>
      <c r="AJ1347" s="301"/>
      <c r="AK1347" s="426"/>
      <c r="AL1347" s="298"/>
      <c r="AM1347" s="299"/>
      <c r="AN1347" s="299"/>
      <c r="AO1347" s="301"/>
      <c r="AP1347" s="301"/>
      <c r="AQ1347" s="426"/>
      <c r="AR1347" s="298"/>
      <c r="AS1347" s="299"/>
      <c r="AT1347" s="299"/>
      <c r="AU1347" s="301"/>
      <c r="AV1347" s="301"/>
      <c r="AW1347" s="88"/>
      <c r="AX1347" s="298"/>
      <c r="AY1347" s="299"/>
      <c r="AZ1347" s="299"/>
      <c r="BA1347" s="301"/>
      <c r="BB1347" s="301"/>
      <c r="BC1347" s="426"/>
      <c r="BD1347" s="298"/>
      <c r="BE1347" s="299"/>
      <c r="BF1347" s="299"/>
      <c r="BG1347" s="301"/>
      <c r="BH1347" s="301"/>
      <c r="BI1347" s="88"/>
      <c r="BJ1347" s="298"/>
      <c r="BK1347" s="299"/>
      <c r="BL1347" s="299"/>
      <c r="BM1347" s="301"/>
      <c r="BN1347" s="301"/>
      <c r="BO1347" s="88"/>
      <c r="BP1347" s="9"/>
      <c r="BS1347" s="81"/>
      <c r="BT1347" s="81"/>
      <c r="BV1347" s="9"/>
      <c r="BY1347" s="81"/>
      <c r="BZ1347" s="81"/>
      <c r="CB1347" s="9"/>
      <c r="CE1347" s="81"/>
      <c r="CF1347" s="81"/>
      <c r="CH1347" s="9"/>
      <c r="CK1347" s="81"/>
      <c r="CL1347" s="81"/>
      <c r="CR1347" s="9"/>
      <c r="CS1347" s="9"/>
      <c r="CT1347" s="9"/>
      <c r="CU1347" s="9"/>
      <c r="CV1347" s="9"/>
      <c r="CW1347" s="129"/>
      <c r="CX1347" s="9"/>
    </row>
    <row r="1348" spans="1:102">
      <c r="A1348" s="6" t="str">
        <f t="shared" si="201"/>
        <v>02680998</v>
      </c>
      <c r="B1348" s="6" t="s">
        <v>1918</v>
      </c>
      <c r="C1348" s="6" t="s">
        <v>2091</v>
      </c>
      <c r="D1348" s="6">
        <v>1339</v>
      </c>
      <c r="E1348" s="6">
        <v>268</v>
      </c>
      <c r="F1348" s="6" t="s">
        <v>1547</v>
      </c>
      <c r="G1348" s="6">
        <v>998</v>
      </c>
      <c r="H1348" s="6" t="s">
        <v>1547</v>
      </c>
      <c r="I1348" s="33">
        <v>0</v>
      </c>
      <c r="J1348" s="88">
        <v>0</v>
      </c>
      <c r="K1348" s="89">
        <f t="shared" si="210"/>
        <v>0</v>
      </c>
      <c r="L1348" s="88">
        <f>IF(K1349&gt;0, K1348/K1349, 0)</f>
        <v>0</v>
      </c>
      <c r="M1348" s="58"/>
      <c r="N1348" s="9">
        <f>ROUND(M1349*L1348,0)</f>
        <v>0</v>
      </c>
      <c r="O1348" s="9">
        <v>0</v>
      </c>
      <c r="P1348" s="9">
        <f>N1348-O1348</f>
        <v>0</v>
      </c>
      <c r="Q1348" s="40">
        <f t="shared" si="209"/>
        <v>0</v>
      </c>
      <c r="R1348" s="9">
        <v>0</v>
      </c>
      <c r="S1348" s="9">
        <f t="shared" si="207"/>
        <v>0</v>
      </c>
      <c r="T1348" s="90">
        <f t="shared" si="202"/>
        <v>268</v>
      </c>
      <c r="U1348" s="90">
        <f t="shared" si="203"/>
        <v>998</v>
      </c>
      <c r="V1348" s="373">
        <f t="shared" si="204"/>
        <v>1339</v>
      </c>
      <c r="W1348" s="90">
        <f t="shared" si="205"/>
        <v>0</v>
      </c>
      <c r="X1348" s="90">
        <f t="shared" si="206"/>
        <v>0</v>
      </c>
      <c r="Y1348" s="141">
        <f t="shared" si="208"/>
        <v>1339</v>
      </c>
      <c r="Z1348" s="298">
        <v>268</v>
      </c>
      <c r="AA1348" s="299">
        <v>998</v>
      </c>
      <c r="AB1348" s="299">
        <v>1339</v>
      </c>
      <c r="AC1348" s="301">
        <v>0</v>
      </c>
      <c r="AD1348" s="301">
        <v>0</v>
      </c>
      <c r="AE1348" s="126"/>
      <c r="AF1348" s="298"/>
      <c r="AG1348" s="299"/>
      <c r="AH1348" s="299"/>
      <c r="AI1348" s="301"/>
      <c r="AJ1348" s="301"/>
      <c r="AK1348" s="426"/>
      <c r="AL1348" s="298"/>
      <c r="AM1348" s="299"/>
      <c r="AN1348" s="299"/>
      <c r="AO1348" s="301"/>
      <c r="AP1348" s="301"/>
      <c r="AQ1348" s="426"/>
      <c r="AR1348" s="298"/>
      <c r="AS1348" s="299"/>
      <c r="AT1348" s="299"/>
      <c r="AU1348" s="301"/>
      <c r="AV1348" s="301"/>
      <c r="AW1348" s="88"/>
      <c r="AX1348" s="298"/>
      <c r="AY1348" s="299"/>
      <c r="AZ1348" s="299"/>
      <c r="BA1348" s="301"/>
      <c r="BB1348" s="301"/>
      <c r="BC1348" s="426"/>
      <c r="BD1348" s="298"/>
      <c r="BE1348" s="299"/>
      <c r="BF1348" s="299"/>
      <c r="BG1348" s="301"/>
      <c r="BH1348" s="301"/>
      <c r="BI1348" s="88"/>
      <c r="BJ1348" s="298"/>
      <c r="BK1348" s="299"/>
      <c r="BL1348" s="299"/>
      <c r="BM1348" s="301"/>
      <c r="BN1348" s="301"/>
      <c r="BO1348" s="88"/>
      <c r="BP1348" s="9"/>
      <c r="BS1348" s="81"/>
      <c r="BT1348" s="81"/>
      <c r="BV1348" s="9"/>
      <c r="BY1348" s="81"/>
      <c r="BZ1348" s="81"/>
      <c r="CB1348" s="9"/>
      <c r="CE1348" s="81"/>
      <c r="CF1348" s="81"/>
      <c r="CH1348" s="9"/>
      <c r="CK1348" s="81"/>
      <c r="CL1348" s="81"/>
      <c r="CR1348" s="9"/>
      <c r="CS1348" s="9"/>
      <c r="CT1348" s="9"/>
      <c r="CU1348" s="9"/>
      <c r="CV1348" s="9"/>
      <c r="CW1348" s="129"/>
      <c r="CX1348" s="9"/>
    </row>
    <row r="1349" spans="1:102">
      <c r="A1349" s="6" t="str">
        <f t="shared" si="201"/>
        <v>02680999</v>
      </c>
      <c r="B1349" s="6" t="s">
        <v>1918</v>
      </c>
      <c r="C1349" s="6" t="s">
        <v>2092</v>
      </c>
      <c r="D1349" s="6">
        <v>1340</v>
      </c>
      <c r="E1349" s="10">
        <v>268</v>
      </c>
      <c r="F1349" s="10" t="s">
        <v>1386</v>
      </c>
      <c r="G1349" s="10">
        <v>999</v>
      </c>
      <c r="H1349" s="10" t="s">
        <v>593</v>
      </c>
      <c r="I1349" s="92">
        <v>2371366.8136034044</v>
      </c>
      <c r="J1349" s="472">
        <v>1</v>
      </c>
      <c r="K1349" s="53">
        <f>SUM(K1345:K1348)</f>
        <v>2383364.0120237013</v>
      </c>
      <c r="L1349" s="91">
        <f>SUM(L1345:L1348)</f>
        <v>1</v>
      </c>
      <c r="M1349" s="79">
        <f>VLOOKUP(E1349,town351,24)</f>
        <v>1810519</v>
      </c>
      <c r="N1349" s="79">
        <f>SUM(N1345:N1348)</f>
        <v>1810519</v>
      </c>
      <c r="O1349" s="79">
        <v>1719064</v>
      </c>
      <c r="P1349" s="79">
        <f>SUM(P1345:P1348)</f>
        <v>91455</v>
      </c>
      <c r="Q1349" s="39">
        <f t="shared" si="209"/>
        <v>5.3200462577309509</v>
      </c>
      <c r="R1349" s="9">
        <v>160.44756097152998</v>
      </c>
      <c r="S1349" s="9">
        <f t="shared" si="207"/>
        <v>153.58208955155001</v>
      </c>
      <c r="T1349" s="90">
        <f t="shared" si="202"/>
        <v>268</v>
      </c>
      <c r="U1349" s="90">
        <f t="shared" si="203"/>
        <v>999</v>
      </c>
      <c r="V1349" s="373">
        <f t="shared" si="204"/>
        <v>1340</v>
      </c>
      <c r="W1349" s="90">
        <f t="shared" si="205"/>
        <v>153.58208955155001</v>
      </c>
      <c r="X1349" s="90">
        <f t="shared" si="206"/>
        <v>2383364.0120237013</v>
      </c>
      <c r="Y1349" s="141">
        <f t="shared" si="208"/>
        <v>1340</v>
      </c>
      <c r="Z1349" s="298">
        <v>268</v>
      </c>
      <c r="AA1349" s="299">
        <v>999</v>
      </c>
      <c r="AB1349" s="299">
        <v>1340</v>
      </c>
      <c r="AC1349" s="301">
        <v>153.58208955155001</v>
      </c>
      <c r="AD1349" s="301">
        <v>2383364.0120237013</v>
      </c>
      <c r="AE1349" s="126"/>
      <c r="AF1349" s="298"/>
      <c r="AG1349" s="299"/>
      <c r="AH1349" s="299"/>
      <c r="AI1349" s="301"/>
      <c r="AJ1349" s="301"/>
      <c r="AK1349" s="426"/>
      <c r="AL1349" s="298"/>
      <c r="AM1349" s="299"/>
      <c r="AN1349" s="299"/>
      <c r="AO1349" s="301"/>
      <c r="AP1349" s="301"/>
      <c r="AQ1349" s="426"/>
      <c r="AR1349" s="298"/>
      <c r="AS1349" s="299"/>
      <c r="AT1349" s="299"/>
      <c r="AU1349" s="301"/>
      <c r="AV1349" s="301"/>
      <c r="AW1349" s="91"/>
      <c r="AX1349" s="298"/>
      <c r="AY1349" s="299"/>
      <c r="AZ1349" s="299"/>
      <c r="BA1349" s="301"/>
      <c r="BB1349" s="301"/>
      <c r="BC1349" s="426"/>
      <c r="BD1349" s="298"/>
      <c r="BE1349" s="299"/>
      <c r="BF1349" s="299"/>
      <c r="BG1349" s="301"/>
      <c r="BH1349" s="301"/>
      <c r="BI1349" s="91"/>
      <c r="BJ1349" s="298"/>
      <c r="BK1349" s="299"/>
      <c r="BL1349" s="299"/>
      <c r="BM1349" s="301"/>
      <c r="BN1349" s="301"/>
      <c r="BO1349" s="91"/>
      <c r="BP1349" s="9"/>
      <c r="BS1349" s="81"/>
      <c r="BT1349" s="81"/>
      <c r="BV1349" s="9"/>
      <c r="BY1349" s="81"/>
      <c r="BZ1349" s="81"/>
      <c r="CB1349" s="9"/>
      <c r="CE1349" s="81"/>
      <c r="CF1349" s="81"/>
      <c r="CH1349" s="9"/>
      <c r="CK1349" s="81"/>
      <c r="CL1349" s="81"/>
      <c r="CR1349" s="9"/>
      <c r="CS1349" s="9"/>
      <c r="CT1349" s="9"/>
      <c r="CU1349" s="9"/>
      <c r="CV1349" s="9"/>
      <c r="CW1349" s="129"/>
      <c r="CX1349" s="9"/>
    </row>
    <row r="1350" spans="1:102">
      <c r="A1350" s="6" t="str">
        <f t="shared" si="201"/>
        <v>02690269</v>
      </c>
      <c r="B1350" s="6" t="s">
        <v>1919</v>
      </c>
      <c r="C1350" s="6" t="s">
        <v>1919</v>
      </c>
      <c r="D1350" s="6">
        <v>1341</v>
      </c>
      <c r="E1350" s="6">
        <v>269</v>
      </c>
      <c r="F1350" s="6" t="s">
        <v>1387</v>
      </c>
      <c r="G1350" s="6">
        <v>269</v>
      </c>
      <c r="H1350" s="6" t="s">
        <v>950</v>
      </c>
      <c r="I1350" s="33">
        <v>4685609.0321299993</v>
      </c>
      <c r="J1350" s="88">
        <v>0.40087755522888491</v>
      </c>
      <c r="K1350" s="89">
        <f>X1350</f>
        <v>4869362.1741699995</v>
      </c>
      <c r="L1350" s="88">
        <f>IF(K1354&gt;0, K1350/K1354, 0)</f>
        <v>0.40728792437023731</v>
      </c>
      <c r="M1350" s="58"/>
      <c r="N1350" s="9">
        <f>ROUND(M1354*L1350,0)</f>
        <v>4017224</v>
      </c>
      <c r="O1350" s="9">
        <v>3865627</v>
      </c>
      <c r="P1350" s="9">
        <f>N1350-O1350</f>
        <v>151597</v>
      </c>
      <c r="Q1350" s="40">
        <f t="shared" si="209"/>
        <v>3.921666523955881</v>
      </c>
      <c r="R1350" s="9">
        <v>401</v>
      </c>
      <c r="S1350" s="9">
        <f t="shared" si="207"/>
        <v>402</v>
      </c>
      <c r="T1350" s="90">
        <f t="shared" si="202"/>
        <v>269</v>
      </c>
      <c r="U1350" s="90">
        <f t="shared" si="203"/>
        <v>269</v>
      </c>
      <c r="V1350" s="373">
        <f t="shared" si="204"/>
        <v>1341</v>
      </c>
      <c r="W1350" s="90">
        <f t="shared" si="205"/>
        <v>402</v>
      </c>
      <c r="X1350" s="90">
        <f t="shared" si="206"/>
        <v>4869362.1741699995</v>
      </c>
      <c r="Y1350" s="141">
        <f t="shared" si="208"/>
        <v>1341</v>
      </c>
      <c r="Z1350" s="298">
        <v>269</v>
      </c>
      <c r="AA1350" s="299">
        <v>269</v>
      </c>
      <c r="AB1350" s="299">
        <v>1341</v>
      </c>
      <c r="AC1350" s="301">
        <v>402</v>
      </c>
      <c r="AD1350" s="301">
        <v>4869362.1741699995</v>
      </c>
      <c r="AE1350" s="126"/>
      <c r="AF1350" s="298"/>
      <c r="AG1350" s="299"/>
      <c r="AH1350" s="299"/>
      <c r="AI1350" s="301"/>
      <c r="AJ1350" s="301"/>
      <c r="AK1350" s="426"/>
      <c r="AL1350" s="298"/>
      <c r="AM1350" s="299"/>
      <c r="AN1350" s="299"/>
      <c r="AO1350" s="301"/>
      <c r="AP1350" s="301"/>
      <c r="AQ1350" s="426"/>
      <c r="AR1350" s="298"/>
      <c r="AS1350" s="299"/>
      <c r="AT1350" s="299"/>
      <c r="AU1350" s="301"/>
      <c r="AV1350" s="301"/>
      <c r="AW1350" s="88"/>
      <c r="AX1350" s="298"/>
      <c r="AY1350" s="299"/>
      <c r="AZ1350" s="299"/>
      <c r="BA1350" s="301"/>
      <c r="BB1350" s="301"/>
      <c r="BC1350" s="426"/>
      <c r="BD1350" s="298"/>
      <c r="BE1350" s="299"/>
      <c r="BF1350" s="299"/>
      <c r="BG1350" s="301"/>
      <c r="BH1350" s="301"/>
      <c r="BI1350" s="88"/>
      <c r="BJ1350" s="298"/>
      <c r="BK1350" s="299"/>
      <c r="BL1350" s="299"/>
      <c r="BM1350" s="301"/>
      <c r="BN1350" s="301"/>
      <c r="BO1350" s="88"/>
      <c r="BP1350" s="9"/>
      <c r="BS1350" s="81"/>
      <c r="BT1350" s="81"/>
      <c r="BV1350" s="9"/>
      <c r="BY1350" s="81"/>
      <c r="BZ1350" s="81"/>
      <c r="CB1350" s="9"/>
      <c r="CE1350" s="81"/>
      <c r="CF1350" s="81"/>
      <c r="CH1350" s="9"/>
      <c r="CK1350" s="81"/>
      <c r="CL1350" s="81"/>
      <c r="CR1350" s="9"/>
      <c r="CS1350" s="9"/>
      <c r="CT1350" s="9"/>
      <c r="CU1350" s="9"/>
      <c r="CV1350" s="9"/>
      <c r="CW1350" s="129"/>
      <c r="CX1350" s="9"/>
    </row>
    <row r="1351" spans="1:102">
      <c r="A1351" s="6" t="str">
        <f t="shared" si="201"/>
        <v>02690655</v>
      </c>
      <c r="B1351" s="6" t="s">
        <v>1919</v>
      </c>
      <c r="C1351" s="6" t="s">
        <v>2019</v>
      </c>
      <c r="D1351" s="6">
        <v>1342</v>
      </c>
      <c r="E1351" s="6">
        <v>269</v>
      </c>
      <c r="F1351" s="6" t="s">
        <v>1387</v>
      </c>
      <c r="G1351" s="6">
        <v>655</v>
      </c>
      <c r="H1351" s="6" t="s">
        <v>1049</v>
      </c>
      <c r="I1351" s="33">
        <v>6982264.6046965495</v>
      </c>
      <c r="J1351" s="88">
        <v>0.59736805727889242</v>
      </c>
      <c r="K1351" s="89">
        <f t="shared" si="210"/>
        <v>7002570.0708066486</v>
      </c>
      <c r="L1351" s="88">
        <f>IF(K1354&gt;0, K1351/K1354, 0)</f>
        <v>0.58571577290451393</v>
      </c>
      <c r="M1351" s="58"/>
      <c r="N1351" s="9">
        <f>ROUND(M1354*L1351,0)</f>
        <v>5777120</v>
      </c>
      <c r="O1351" s="9">
        <v>5760368</v>
      </c>
      <c r="P1351" s="9">
        <f>N1351-O1351</f>
        <v>16752</v>
      </c>
      <c r="Q1351" s="40">
        <f t="shared" si="209"/>
        <v>0.29081475350185959</v>
      </c>
      <c r="R1351" s="9">
        <v>551.19880034063999</v>
      </c>
      <c r="S1351" s="9">
        <f t="shared" si="207"/>
        <v>534.64292074816001</v>
      </c>
      <c r="T1351" s="90">
        <f t="shared" si="202"/>
        <v>269</v>
      </c>
      <c r="U1351" s="90">
        <f t="shared" si="203"/>
        <v>655</v>
      </c>
      <c r="V1351" s="373">
        <f t="shared" si="204"/>
        <v>1342</v>
      </c>
      <c r="W1351" s="90">
        <f t="shared" si="205"/>
        <v>534.64292074816001</v>
      </c>
      <c r="X1351" s="90">
        <f t="shared" si="206"/>
        <v>7002570.0708066486</v>
      </c>
      <c r="Y1351" s="141">
        <f t="shared" si="208"/>
        <v>1342</v>
      </c>
      <c r="Z1351" s="298">
        <v>269</v>
      </c>
      <c r="AA1351" s="299">
        <v>655</v>
      </c>
      <c r="AB1351" s="299">
        <v>1342</v>
      </c>
      <c r="AC1351" s="301">
        <v>534.64292074816001</v>
      </c>
      <c r="AD1351" s="301">
        <v>7002570.0708066486</v>
      </c>
      <c r="AE1351" s="126"/>
      <c r="AF1351" s="298"/>
      <c r="AG1351" s="299"/>
      <c r="AH1351" s="299"/>
      <c r="AI1351" s="301"/>
      <c r="AJ1351" s="301"/>
      <c r="AK1351" s="426"/>
      <c r="AL1351" s="298"/>
      <c r="AM1351" s="299"/>
      <c r="AN1351" s="299"/>
      <c r="AO1351" s="301"/>
      <c r="AP1351" s="301"/>
      <c r="AQ1351" s="426"/>
      <c r="AR1351" s="298"/>
      <c r="AS1351" s="299"/>
      <c r="AT1351" s="299"/>
      <c r="AU1351" s="301"/>
      <c r="AV1351" s="301"/>
      <c r="AW1351" s="88"/>
      <c r="AX1351" s="298"/>
      <c r="AY1351" s="299"/>
      <c r="AZ1351" s="299"/>
      <c r="BA1351" s="301"/>
      <c r="BB1351" s="301"/>
      <c r="BC1351" s="426"/>
      <c r="BD1351" s="298"/>
      <c r="BE1351" s="299"/>
      <c r="BF1351" s="299"/>
      <c r="BG1351" s="301"/>
      <c r="BH1351" s="301"/>
      <c r="BI1351" s="88"/>
      <c r="BJ1351" s="298"/>
      <c r="BK1351" s="299"/>
      <c r="BL1351" s="299"/>
      <c r="BM1351" s="301"/>
      <c r="BN1351" s="301"/>
      <c r="BO1351" s="88"/>
      <c r="BP1351" s="9"/>
      <c r="BS1351" s="81"/>
      <c r="BT1351" s="81"/>
      <c r="BV1351" s="9"/>
      <c r="BY1351" s="81"/>
      <c r="BZ1351" s="81"/>
      <c r="CB1351" s="9"/>
      <c r="CE1351" s="81"/>
      <c r="CF1351" s="81"/>
      <c r="CH1351" s="9"/>
      <c r="CK1351" s="81"/>
      <c r="CL1351" s="81"/>
      <c r="CR1351" s="9"/>
      <c r="CS1351" s="9"/>
      <c r="CT1351" s="9"/>
      <c r="CU1351" s="9"/>
      <c r="CV1351" s="9"/>
      <c r="CW1351" s="129"/>
      <c r="CX1351" s="9"/>
    </row>
    <row r="1352" spans="1:102">
      <c r="A1352" s="6" t="str">
        <f t="shared" si="201"/>
        <v>02690878</v>
      </c>
      <c r="B1352" s="6" t="s">
        <v>1919</v>
      </c>
      <c r="C1352" s="6" t="s">
        <v>2085</v>
      </c>
      <c r="D1352" s="6">
        <v>1343</v>
      </c>
      <c r="E1352" s="6">
        <v>269</v>
      </c>
      <c r="F1352" s="6" t="s">
        <v>1387</v>
      </c>
      <c r="G1352" s="6">
        <v>878</v>
      </c>
      <c r="H1352" s="6" t="s">
        <v>1115</v>
      </c>
      <c r="I1352" s="33">
        <v>20505.946946121701</v>
      </c>
      <c r="J1352" s="88">
        <v>1.7543874922226795E-3</v>
      </c>
      <c r="K1352" s="89">
        <f t="shared" si="210"/>
        <v>83644.836517177973</v>
      </c>
      <c r="L1352" s="88">
        <f>IF(K1354&gt;0, K1352/K1354, 0)</f>
        <v>6.9963027252488525E-3</v>
      </c>
      <c r="M1352" s="58"/>
      <c r="N1352" s="9">
        <f>ROUND(M1354*L1352,0)</f>
        <v>69007</v>
      </c>
      <c r="O1352" s="9">
        <v>16917</v>
      </c>
      <c r="P1352" s="9">
        <f>N1352-O1352</f>
        <v>52090</v>
      </c>
      <c r="Q1352" s="40">
        <f t="shared" si="209"/>
        <v>307.91511497310398</v>
      </c>
      <c r="R1352" s="9">
        <v>1.0000000032</v>
      </c>
      <c r="S1352" s="9">
        <f t="shared" si="207"/>
        <v>3.9999999989999999</v>
      </c>
      <c r="T1352" s="90">
        <f t="shared" si="202"/>
        <v>269</v>
      </c>
      <c r="U1352" s="90">
        <f t="shared" si="203"/>
        <v>878</v>
      </c>
      <c r="V1352" s="373">
        <f t="shared" si="204"/>
        <v>1343</v>
      </c>
      <c r="W1352" s="90">
        <f t="shared" si="205"/>
        <v>3.9999999989999999</v>
      </c>
      <c r="X1352" s="90">
        <f t="shared" si="206"/>
        <v>83644.836517177973</v>
      </c>
      <c r="Y1352" s="141">
        <f t="shared" si="208"/>
        <v>1343</v>
      </c>
      <c r="Z1352" s="298">
        <v>269</v>
      </c>
      <c r="AA1352" s="299">
        <v>878</v>
      </c>
      <c r="AB1352" s="299">
        <v>1343</v>
      </c>
      <c r="AC1352" s="301">
        <v>3.9999999989999999</v>
      </c>
      <c r="AD1352" s="301">
        <v>83644.836517177973</v>
      </c>
      <c r="AE1352" s="126"/>
      <c r="AF1352" s="298"/>
      <c r="AG1352" s="299"/>
      <c r="AH1352" s="299"/>
      <c r="AI1352" s="301"/>
      <c r="AJ1352" s="301"/>
      <c r="AK1352" s="426"/>
      <c r="AL1352" s="298"/>
      <c r="AM1352" s="299"/>
      <c r="AN1352" s="299"/>
      <c r="AO1352" s="301"/>
      <c r="AP1352" s="301"/>
      <c r="AQ1352" s="426"/>
      <c r="AR1352" s="298"/>
      <c r="AS1352" s="299"/>
      <c r="AT1352" s="299"/>
      <c r="AU1352" s="301"/>
      <c r="AV1352" s="301"/>
      <c r="AW1352" s="88"/>
      <c r="AX1352" s="298"/>
      <c r="AY1352" s="299"/>
      <c r="AZ1352" s="299"/>
      <c r="BA1352" s="301"/>
      <c r="BB1352" s="301"/>
      <c r="BC1352" s="426"/>
      <c r="BD1352" s="298"/>
      <c r="BE1352" s="299"/>
      <c r="BF1352" s="299"/>
      <c r="BG1352" s="301"/>
      <c r="BH1352" s="301"/>
      <c r="BI1352" s="88"/>
      <c r="BJ1352" s="298"/>
      <c r="BK1352" s="299"/>
      <c r="BL1352" s="299"/>
      <c r="BM1352" s="301"/>
      <c r="BN1352" s="301"/>
      <c r="BO1352" s="88"/>
      <c r="BP1352" s="9"/>
      <c r="BS1352" s="81"/>
      <c r="BT1352" s="81"/>
      <c r="BV1352" s="9"/>
      <c r="BY1352" s="81"/>
      <c r="BZ1352" s="81"/>
      <c r="CB1352" s="9"/>
      <c r="CE1352" s="81"/>
      <c r="CF1352" s="81"/>
      <c r="CH1352" s="9"/>
      <c r="CK1352" s="81"/>
      <c r="CL1352" s="81"/>
      <c r="CR1352" s="9"/>
      <c r="CS1352" s="9"/>
      <c r="CT1352" s="9"/>
      <c r="CU1352" s="9"/>
      <c r="CV1352" s="9"/>
      <c r="CW1352" s="129"/>
      <c r="CX1352" s="9"/>
    </row>
    <row r="1353" spans="1:102">
      <c r="A1353" s="6" t="str">
        <f t="shared" si="201"/>
        <v>02690998</v>
      </c>
      <c r="B1353" s="6" t="s">
        <v>1919</v>
      </c>
      <c r="C1353" s="6" t="s">
        <v>2091</v>
      </c>
      <c r="D1353" s="6">
        <v>1344</v>
      </c>
      <c r="E1353" s="6">
        <v>269</v>
      </c>
      <c r="F1353" s="6" t="s">
        <v>1547</v>
      </c>
      <c r="G1353" s="6">
        <v>998</v>
      </c>
      <c r="H1353" s="6" t="s">
        <v>1547</v>
      </c>
      <c r="I1353" s="33">
        <v>0</v>
      </c>
      <c r="J1353" s="88">
        <v>0</v>
      </c>
      <c r="K1353" s="89">
        <f t="shared" si="210"/>
        <v>0</v>
      </c>
      <c r="L1353" s="88">
        <f>IF(K1354&gt;0, K1353/K1354, 0)</f>
        <v>0</v>
      </c>
      <c r="M1353" s="58"/>
      <c r="N1353" s="9">
        <f>ROUND(M1354*L1353,0)</f>
        <v>0</v>
      </c>
      <c r="O1353" s="9">
        <v>0</v>
      </c>
      <c r="P1353" s="9">
        <f>N1353-O1353</f>
        <v>0</v>
      </c>
      <c r="Q1353" s="40">
        <f t="shared" si="209"/>
        <v>0</v>
      </c>
      <c r="R1353" s="9">
        <v>0</v>
      </c>
      <c r="S1353" s="9">
        <f t="shared" si="207"/>
        <v>0</v>
      </c>
      <c r="T1353" s="90">
        <f t="shared" si="202"/>
        <v>269</v>
      </c>
      <c r="U1353" s="90">
        <f t="shared" si="203"/>
        <v>998</v>
      </c>
      <c r="V1353" s="373">
        <f t="shared" si="204"/>
        <v>1344</v>
      </c>
      <c r="W1353" s="90">
        <f t="shared" si="205"/>
        <v>0</v>
      </c>
      <c r="X1353" s="90">
        <f t="shared" si="206"/>
        <v>0</v>
      </c>
      <c r="Y1353" s="141">
        <f t="shared" si="208"/>
        <v>1344</v>
      </c>
      <c r="Z1353" s="298">
        <v>269</v>
      </c>
      <c r="AA1353" s="299">
        <v>998</v>
      </c>
      <c r="AB1353" s="299">
        <v>1344</v>
      </c>
      <c r="AC1353" s="301">
        <v>0</v>
      </c>
      <c r="AD1353" s="301">
        <v>0</v>
      </c>
      <c r="AE1353" s="126"/>
      <c r="AF1353" s="298"/>
      <c r="AG1353" s="299"/>
      <c r="AH1353" s="299"/>
      <c r="AI1353" s="301"/>
      <c r="AJ1353" s="301"/>
      <c r="AK1353" s="426"/>
      <c r="AL1353" s="298"/>
      <c r="AM1353" s="299"/>
      <c r="AN1353" s="299"/>
      <c r="AO1353" s="301"/>
      <c r="AP1353" s="301"/>
      <c r="AQ1353" s="426"/>
      <c r="AR1353" s="298"/>
      <c r="AS1353" s="299"/>
      <c r="AT1353" s="299"/>
      <c r="AU1353" s="301"/>
      <c r="AV1353" s="301"/>
      <c r="AW1353" s="88"/>
      <c r="AX1353" s="298"/>
      <c r="AY1353" s="299"/>
      <c r="AZ1353" s="299"/>
      <c r="BA1353" s="301"/>
      <c r="BB1353" s="301"/>
      <c r="BC1353" s="426"/>
      <c r="BD1353" s="298"/>
      <c r="BE1353" s="299"/>
      <c r="BF1353" s="299"/>
      <c r="BG1353" s="301"/>
      <c r="BH1353" s="301"/>
      <c r="BI1353" s="88"/>
      <c r="BJ1353" s="298"/>
      <c r="BK1353" s="299"/>
      <c r="BL1353" s="299"/>
      <c r="BM1353" s="301"/>
      <c r="BN1353" s="301"/>
      <c r="BO1353" s="88"/>
      <c r="BP1353" s="9"/>
      <c r="BS1353" s="81"/>
      <c r="BT1353" s="81"/>
      <c r="BV1353" s="9"/>
      <c r="BY1353" s="81"/>
      <c r="BZ1353" s="81"/>
      <c r="CB1353" s="9"/>
      <c r="CE1353" s="81"/>
      <c r="CF1353" s="81"/>
      <c r="CH1353" s="9"/>
      <c r="CK1353" s="81"/>
      <c r="CL1353" s="81"/>
      <c r="CR1353" s="9"/>
      <c r="CS1353" s="9"/>
      <c r="CT1353" s="9"/>
      <c r="CU1353" s="9"/>
      <c r="CV1353" s="9"/>
      <c r="CW1353" s="129"/>
      <c r="CX1353" s="9"/>
    </row>
    <row r="1354" spans="1:102">
      <c r="A1354" s="6" t="str">
        <f t="shared" ref="A1354:A1417" si="211">B1354&amp;C1354</f>
        <v>02690999</v>
      </c>
      <c r="B1354" s="6" t="s">
        <v>1919</v>
      </c>
      <c r="C1354" s="6" t="s">
        <v>2092</v>
      </c>
      <c r="D1354" s="6">
        <v>1345</v>
      </c>
      <c r="E1354" s="10">
        <v>269</v>
      </c>
      <c r="F1354" s="10" t="s">
        <v>1387</v>
      </c>
      <c r="G1354" s="10">
        <v>999</v>
      </c>
      <c r="H1354" s="10" t="s">
        <v>593</v>
      </c>
      <c r="I1354" s="92">
        <v>11688379.58377267</v>
      </c>
      <c r="J1354" s="472">
        <v>1</v>
      </c>
      <c r="K1354" s="53">
        <f>SUM(K1350:K1353)</f>
        <v>11955577.081493825</v>
      </c>
      <c r="L1354" s="91">
        <f>SUM(L1350:L1353)</f>
        <v>1</v>
      </c>
      <c r="M1354" s="79">
        <f>VLOOKUP(E1354,town351,24)</f>
        <v>9863351</v>
      </c>
      <c r="N1354" s="79">
        <f>SUM(N1350:N1353)</f>
        <v>9863351</v>
      </c>
      <c r="O1354" s="79">
        <v>9642912</v>
      </c>
      <c r="P1354" s="79">
        <f>SUM(P1350:P1353)</f>
        <v>220439</v>
      </c>
      <c r="Q1354" s="39">
        <f t="shared" si="209"/>
        <v>2.2860210691542142</v>
      </c>
      <c r="R1354" s="9">
        <v>953.19880034383993</v>
      </c>
      <c r="S1354" s="9">
        <f t="shared" si="207"/>
        <v>940.64292074716002</v>
      </c>
      <c r="T1354" s="90">
        <f t="shared" ref="T1354:T1417" si="212">VLOOKUP($D1354, foundoptions, VLOOKUP($T$6, foundoptcell, 2, FALSE), FALSE)</f>
        <v>269</v>
      </c>
      <c r="U1354" s="90">
        <f t="shared" ref="U1354:U1417" si="213">VLOOKUP($D1354, foundoptions, VLOOKUP($T$6, foundoptcell, 2, FALSE)+1, FALSE)</f>
        <v>999</v>
      </c>
      <c r="V1354" s="373">
        <f t="shared" ref="V1354:V1417" si="214">VLOOKUP($D1354, foundoptions, VLOOKUP($T$6, foundoptcell, 2, FALSE)+2, FALSE)</f>
        <v>1345</v>
      </c>
      <c r="W1354" s="90">
        <f t="shared" ref="W1354:W1417" si="215">VLOOKUP($D1354, foundoptions, VLOOKUP($T$6, foundoptcell, 2, FALSE)+3, FALSE)</f>
        <v>940.64292074716002</v>
      </c>
      <c r="X1354" s="90">
        <f t="shared" ref="X1354:X1417" si="216">VLOOKUP($D1354, foundoptions, VLOOKUP($T$6, foundoptcell, 2, FALSE)+4, FALSE)</f>
        <v>11955577.081493825</v>
      </c>
      <c r="Y1354" s="141">
        <f t="shared" si="208"/>
        <v>1345</v>
      </c>
      <c r="Z1354" s="298">
        <v>269</v>
      </c>
      <c r="AA1354" s="299">
        <v>999</v>
      </c>
      <c r="AB1354" s="299">
        <v>1345</v>
      </c>
      <c r="AC1354" s="301">
        <v>940.64292074716002</v>
      </c>
      <c r="AD1354" s="301">
        <v>11955577.081493825</v>
      </c>
      <c r="AE1354" s="126"/>
      <c r="AF1354" s="298"/>
      <c r="AG1354" s="299"/>
      <c r="AH1354" s="299"/>
      <c r="AI1354" s="301"/>
      <c r="AJ1354" s="301"/>
      <c r="AK1354" s="426"/>
      <c r="AL1354" s="298"/>
      <c r="AM1354" s="299"/>
      <c r="AN1354" s="299"/>
      <c r="AO1354" s="301"/>
      <c r="AP1354" s="301"/>
      <c r="AQ1354" s="426"/>
      <c r="AR1354" s="298"/>
      <c r="AS1354" s="299"/>
      <c r="AT1354" s="299"/>
      <c r="AU1354" s="301"/>
      <c r="AV1354" s="301"/>
      <c r="AW1354" s="91"/>
      <c r="AX1354" s="298"/>
      <c r="AY1354" s="299"/>
      <c r="AZ1354" s="299"/>
      <c r="BA1354" s="301"/>
      <c r="BB1354" s="301"/>
      <c r="BC1354" s="426"/>
      <c r="BD1354" s="298"/>
      <c r="BE1354" s="299"/>
      <c r="BF1354" s="299"/>
      <c r="BG1354" s="301"/>
      <c r="BH1354" s="301"/>
      <c r="BI1354" s="91"/>
      <c r="BJ1354" s="298"/>
      <c r="BK1354" s="299"/>
      <c r="BL1354" s="299"/>
      <c r="BM1354" s="301"/>
      <c r="BN1354" s="301"/>
      <c r="BO1354" s="91"/>
      <c r="BP1354" s="9"/>
      <c r="BS1354" s="81"/>
      <c r="BT1354" s="81"/>
      <c r="BV1354" s="9"/>
      <c r="BY1354" s="81"/>
      <c r="BZ1354" s="81"/>
      <c r="CB1354" s="9"/>
      <c r="CE1354" s="81"/>
      <c r="CF1354" s="81"/>
      <c r="CH1354" s="9"/>
      <c r="CK1354" s="81"/>
      <c r="CL1354" s="81"/>
      <c r="CR1354" s="9"/>
      <c r="CS1354" s="9"/>
      <c r="CT1354" s="9"/>
      <c r="CU1354" s="9"/>
      <c r="CV1354" s="9"/>
      <c r="CW1354" s="129"/>
      <c r="CX1354" s="9"/>
    </row>
    <row r="1355" spans="1:102">
      <c r="A1355" s="6" t="str">
        <f t="shared" si="211"/>
        <v>02700270</v>
      </c>
      <c r="B1355" s="6" t="s">
        <v>1920</v>
      </c>
      <c r="C1355" s="6" t="s">
        <v>1920</v>
      </c>
      <c r="D1355" s="6">
        <v>1346</v>
      </c>
      <c r="E1355" s="6">
        <v>270</v>
      </c>
      <c r="F1355" s="6" t="s">
        <v>1388</v>
      </c>
      <c r="G1355" s="6">
        <v>270</v>
      </c>
      <c r="H1355" s="6" t="s">
        <v>951</v>
      </c>
      <c r="I1355" s="33">
        <v>0</v>
      </c>
      <c r="J1355" s="88">
        <v>0</v>
      </c>
      <c r="K1355" s="89">
        <f>X1355</f>
        <v>0</v>
      </c>
      <c r="L1355" s="88">
        <f>IF(K1359&gt;0, K1355/K1359, 0)</f>
        <v>0</v>
      </c>
      <c r="M1355" s="58"/>
      <c r="N1355" s="9">
        <f>ROUND(M1359*L1355,0)</f>
        <v>0</v>
      </c>
      <c r="O1355" s="9">
        <v>0</v>
      </c>
      <c r="P1355" s="9">
        <f>N1355-O1355</f>
        <v>0</v>
      </c>
      <c r="Q1355" s="40">
        <f t="shared" si="209"/>
        <v>0</v>
      </c>
      <c r="R1355" s="9">
        <v>0</v>
      </c>
      <c r="S1355" s="9">
        <f t="shared" ref="S1355:S1418" si="217">W1355</f>
        <v>0</v>
      </c>
      <c r="T1355" s="90">
        <f t="shared" si="212"/>
        <v>270</v>
      </c>
      <c r="U1355" s="90">
        <f t="shared" si="213"/>
        <v>270</v>
      </c>
      <c r="V1355" s="373">
        <f t="shared" si="214"/>
        <v>1346</v>
      </c>
      <c r="W1355" s="90">
        <f t="shared" si="215"/>
        <v>0</v>
      </c>
      <c r="X1355" s="90">
        <f t="shared" si="216"/>
        <v>0</v>
      </c>
      <c r="Y1355" s="141">
        <f t="shared" ref="Y1355:Y1418" si="218">D1355</f>
        <v>1346</v>
      </c>
      <c r="Z1355" s="298">
        <v>270</v>
      </c>
      <c r="AA1355" s="299">
        <v>270</v>
      </c>
      <c r="AB1355" s="299">
        <v>1346</v>
      </c>
      <c r="AC1355" s="301">
        <v>0</v>
      </c>
      <c r="AD1355" s="301">
        <v>0</v>
      </c>
      <c r="AE1355" s="126"/>
      <c r="AF1355" s="298"/>
      <c r="AG1355" s="299"/>
      <c r="AH1355" s="299"/>
      <c r="AI1355" s="301"/>
      <c r="AJ1355" s="301"/>
      <c r="AK1355" s="426"/>
      <c r="AL1355" s="298"/>
      <c r="AM1355" s="299"/>
      <c r="AN1355" s="299"/>
      <c r="AO1355" s="301"/>
      <c r="AP1355" s="301"/>
      <c r="AQ1355" s="426"/>
      <c r="AR1355" s="298"/>
      <c r="AS1355" s="299"/>
      <c r="AT1355" s="299"/>
      <c r="AU1355" s="301"/>
      <c r="AV1355" s="301"/>
      <c r="AW1355" s="88"/>
      <c r="AX1355" s="298"/>
      <c r="AY1355" s="299"/>
      <c r="AZ1355" s="299"/>
      <c r="BA1355" s="301"/>
      <c r="BB1355" s="301"/>
      <c r="BC1355" s="426"/>
      <c r="BD1355" s="298"/>
      <c r="BE1355" s="299"/>
      <c r="BF1355" s="299"/>
      <c r="BG1355" s="301"/>
      <c r="BH1355" s="301"/>
      <c r="BI1355" s="88"/>
      <c r="BJ1355" s="298"/>
      <c r="BK1355" s="299"/>
      <c r="BL1355" s="299"/>
      <c r="BM1355" s="301"/>
      <c r="BN1355" s="301"/>
      <c r="BO1355" s="88"/>
      <c r="BP1355" s="9"/>
      <c r="BS1355" s="81"/>
      <c r="BT1355" s="81"/>
      <c r="BV1355" s="9"/>
      <c r="BY1355" s="81"/>
      <c r="BZ1355" s="81"/>
      <c r="CB1355" s="9"/>
      <c r="CE1355" s="81"/>
      <c r="CF1355" s="81"/>
      <c r="CH1355" s="9"/>
      <c r="CK1355" s="81"/>
      <c r="CL1355" s="81"/>
      <c r="CR1355" s="9"/>
      <c r="CS1355" s="9"/>
      <c r="CT1355" s="9"/>
      <c r="CU1355" s="9"/>
      <c r="CV1355" s="9"/>
      <c r="CW1355" s="129"/>
      <c r="CX1355" s="9"/>
    </row>
    <row r="1356" spans="1:102">
      <c r="A1356" s="6" t="str">
        <f t="shared" si="211"/>
        <v>02700616</v>
      </c>
      <c r="B1356" s="6" t="s">
        <v>1920</v>
      </c>
      <c r="C1356" s="6" t="s">
        <v>2009</v>
      </c>
      <c r="D1356" s="6">
        <v>1347</v>
      </c>
      <c r="E1356" s="6">
        <v>270</v>
      </c>
      <c r="F1356" s="6" t="s">
        <v>1388</v>
      </c>
      <c r="G1356" s="6">
        <v>616</v>
      </c>
      <c r="H1356" s="6" t="s">
        <v>1039</v>
      </c>
      <c r="I1356" s="33">
        <v>10010903.501197919</v>
      </c>
      <c r="J1356" s="88">
        <v>0.91791182348737821</v>
      </c>
      <c r="K1356" s="89">
        <f t="shared" si="210"/>
        <v>10200598.994762033</v>
      </c>
      <c r="L1356" s="88">
        <f>IF(K1359&gt;0, K1356/K1359, 0)</f>
        <v>0.90825195514557255</v>
      </c>
      <c r="M1356" s="58"/>
      <c r="N1356" s="9">
        <f>ROUND(M1359*L1356,0)</f>
        <v>5916983</v>
      </c>
      <c r="O1356" s="9">
        <v>5727338</v>
      </c>
      <c r="P1356" s="9">
        <f>N1356-O1356</f>
        <v>189645</v>
      </c>
      <c r="Q1356" s="40">
        <f t="shared" si="209"/>
        <v>3.3112241673182199</v>
      </c>
      <c r="R1356" s="9">
        <v>741.30879815872004</v>
      </c>
      <c r="S1356" s="9">
        <f t="shared" si="217"/>
        <v>726.15114234911994</v>
      </c>
      <c r="T1356" s="90">
        <f t="shared" si="212"/>
        <v>270</v>
      </c>
      <c r="U1356" s="90">
        <f t="shared" si="213"/>
        <v>616</v>
      </c>
      <c r="V1356" s="373">
        <f t="shared" si="214"/>
        <v>1347</v>
      </c>
      <c r="W1356" s="90">
        <f t="shared" si="215"/>
        <v>726.15114234911994</v>
      </c>
      <c r="X1356" s="90">
        <f t="shared" si="216"/>
        <v>10200598.994762033</v>
      </c>
      <c r="Y1356" s="141">
        <f t="shared" si="218"/>
        <v>1347</v>
      </c>
      <c r="Z1356" s="298">
        <v>270</v>
      </c>
      <c r="AA1356" s="299">
        <v>616</v>
      </c>
      <c r="AB1356" s="299">
        <v>1347</v>
      </c>
      <c r="AC1356" s="301">
        <v>726.15114234911994</v>
      </c>
      <c r="AD1356" s="301">
        <v>10200598.994762033</v>
      </c>
      <c r="AE1356" s="126"/>
      <c r="AF1356" s="298"/>
      <c r="AG1356" s="299"/>
      <c r="AH1356" s="299"/>
      <c r="AI1356" s="301"/>
      <c r="AJ1356" s="301"/>
      <c r="AK1356" s="426"/>
      <c r="AL1356" s="298"/>
      <c r="AM1356" s="299"/>
      <c r="AN1356" s="299"/>
      <c r="AO1356" s="301"/>
      <c r="AP1356" s="301"/>
      <c r="AQ1356" s="426"/>
      <c r="AR1356" s="298"/>
      <c r="AS1356" s="299"/>
      <c r="AT1356" s="299"/>
      <c r="AU1356" s="301"/>
      <c r="AV1356" s="301"/>
      <c r="AW1356" s="88"/>
      <c r="AX1356" s="298"/>
      <c r="AY1356" s="299"/>
      <c r="AZ1356" s="299"/>
      <c r="BA1356" s="301"/>
      <c r="BB1356" s="301"/>
      <c r="BC1356" s="426"/>
      <c r="BD1356" s="298"/>
      <c r="BE1356" s="299"/>
      <c r="BF1356" s="299"/>
      <c r="BG1356" s="301"/>
      <c r="BH1356" s="301"/>
      <c r="BI1356" s="88"/>
      <c r="BJ1356" s="298"/>
      <c r="BK1356" s="299"/>
      <c r="BL1356" s="299"/>
      <c r="BM1356" s="301"/>
      <c r="BN1356" s="301"/>
      <c r="BO1356" s="88"/>
      <c r="BP1356" s="9"/>
      <c r="BS1356" s="81"/>
      <c r="BT1356" s="81"/>
      <c r="BV1356" s="9"/>
      <c r="BY1356" s="81"/>
      <c r="BZ1356" s="81"/>
      <c r="CB1356" s="9"/>
      <c r="CE1356" s="81"/>
      <c r="CF1356" s="81"/>
      <c r="CH1356" s="9"/>
      <c r="CK1356" s="81"/>
      <c r="CL1356" s="81"/>
      <c r="CR1356" s="9"/>
      <c r="CS1356" s="9"/>
      <c r="CT1356" s="9"/>
      <c r="CU1356" s="9"/>
      <c r="CV1356" s="9"/>
      <c r="CW1356" s="129"/>
      <c r="CX1356" s="9"/>
    </row>
    <row r="1357" spans="1:102">
      <c r="A1357" s="6" t="str">
        <f t="shared" si="211"/>
        <v>02700852</v>
      </c>
      <c r="B1357" s="6" t="s">
        <v>1920</v>
      </c>
      <c r="C1357" s="6" t="s">
        <v>2077</v>
      </c>
      <c r="D1357" s="6">
        <v>1348</v>
      </c>
      <c r="E1357" s="6">
        <v>270</v>
      </c>
      <c r="F1357" s="6" t="s">
        <v>1388</v>
      </c>
      <c r="G1357" s="6">
        <v>852</v>
      </c>
      <c r="H1357" s="6" t="s">
        <v>1107</v>
      </c>
      <c r="I1357" s="33">
        <v>895267.70723468927</v>
      </c>
      <c r="J1357" s="88">
        <v>8.2088176512621749E-2</v>
      </c>
      <c r="K1357" s="89">
        <f t="shared" si="210"/>
        <v>1030424.4420409243</v>
      </c>
      <c r="L1357" s="88">
        <f>IF(K1359&gt;0, K1357/K1359, 0)</f>
        <v>9.1748044854427516E-2</v>
      </c>
      <c r="M1357" s="58"/>
      <c r="N1357" s="9">
        <f>ROUND(M1359*L1357,0)</f>
        <v>597710</v>
      </c>
      <c r="O1357" s="9">
        <v>512192</v>
      </c>
      <c r="P1357" s="9">
        <f>N1357-O1357</f>
        <v>85518</v>
      </c>
      <c r="Q1357" s="40">
        <f t="shared" si="209"/>
        <v>16.696473197550919</v>
      </c>
      <c r="R1357" s="9">
        <v>44.000000001099998</v>
      </c>
      <c r="S1357" s="9">
        <f t="shared" si="217"/>
        <v>49.999999999549999</v>
      </c>
      <c r="T1357" s="90">
        <f t="shared" si="212"/>
        <v>270</v>
      </c>
      <c r="U1357" s="90">
        <f t="shared" si="213"/>
        <v>852</v>
      </c>
      <c r="V1357" s="373">
        <f t="shared" si="214"/>
        <v>1348</v>
      </c>
      <c r="W1357" s="90">
        <f t="shared" si="215"/>
        <v>49.999999999549999</v>
      </c>
      <c r="X1357" s="90">
        <f t="shared" si="216"/>
        <v>1030424.4420409243</v>
      </c>
      <c r="Y1357" s="141">
        <f t="shared" si="218"/>
        <v>1348</v>
      </c>
      <c r="Z1357" s="298">
        <v>270</v>
      </c>
      <c r="AA1357" s="299">
        <v>852</v>
      </c>
      <c r="AB1357" s="299">
        <v>1348</v>
      </c>
      <c r="AC1357" s="301">
        <v>49.999999999549999</v>
      </c>
      <c r="AD1357" s="301">
        <v>1030424.4420409243</v>
      </c>
      <c r="AE1357" s="126"/>
      <c r="AF1357" s="298"/>
      <c r="AG1357" s="299"/>
      <c r="AH1357" s="299"/>
      <c r="AI1357" s="301"/>
      <c r="AJ1357" s="301"/>
      <c r="AK1357" s="426"/>
      <c r="AL1357" s="298"/>
      <c r="AM1357" s="299"/>
      <c r="AN1357" s="299"/>
      <c r="AO1357" s="301"/>
      <c r="AP1357" s="301"/>
      <c r="AQ1357" s="426"/>
      <c r="AR1357" s="298"/>
      <c r="AS1357" s="299"/>
      <c r="AT1357" s="299"/>
      <c r="AU1357" s="301"/>
      <c r="AV1357" s="301"/>
      <c r="AW1357" s="88"/>
      <c r="AX1357" s="298"/>
      <c r="AY1357" s="299"/>
      <c r="AZ1357" s="299"/>
      <c r="BA1357" s="301"/>
      <c r="BB1357" s="301"/>
      <c r="BC1357" s="426"/>
      <c r="BD1357" s="298"/>
      <c r="BE1357" s="299"/>
      <c r="BF1357" s="299"/>
      <c r="BG1357" s="301"/>
      <c r="BH1357" s="301"/>
      <c r="BI1357" s="88"/>
      <c r="BJ1357" s="298"/>
      <c r="BK1357" s="299"/>
      <c r="BL1357" s="299"/>
      <c r="BM1357" s="301"/>
      <c r="BN1357" s="301"/>
      <c r="BO1357" s="88"/>
      <c r="BP1357" s="9"/>
      <c r="BS1357" s="81"/>
      <c r="BT1357" s="81"/>
      <c r="BV1357" s="9"/>
      <c r="BY1357" s="81"/>
      <c r="BZ1357" s="81"/>
      <c r="CB1357" s="9"/>
      <c r="CE1357" s="81"/>
      <c r="CF1357" s="81"/>
      <c r="CH1357" s="9"/>
      <c r="CK1357" s="81"/>
      <c r="CL1357" s="81"/>
      <c r="CR1357" s="9"/>
      <c r="CS1357" s="9"/>
      <c r="CT1357" s="9"/>
      <c r="CU1357" s="9"/>
      <c r="CV1357" s="9"/>
      <c r="CW1357" s="129"/>
      <c r="CX1357" s="9"/>
    </row>
    <row r="1358" spans="1:102">
      <c r="A1358" s="6" t="str">
        <f t="shared" si="211"/>
        <v>02700998</v>
      </c>
      <c r="B1358" s="6" t="s">
        <v>1920</v>
      </c>
      <c r="C1358" s="6" t="s">
        <v>2091</v>
      </c>
      <c r="D1358" s="6">
        <v>1349</v>
      </c>
      <c r="E1358" s="6">
        <v>270</v>
      </c>
      <c r="F1358" s="6" t="s">
        <v>1547</v>
      </c>
      <c r="G1358" s="6">
        <v>998</v>
      </c>
      <c r="H1358" s="6" t="s">
        <v>1547</v>
      </c>
      <c r="I1358" s="33">
        <v>0</v>
      </c>
      <c r="J1358" s="88">
        <v>0</v>
      </c>
      <c r="K1358" s="89">
        <f t="shared" si="210"/>
        <v>0</v>
      </c>
      <c r="L1358" s="88">
        <f>IF(K1359&gt;0, K1358/K1359, 0)</f>
        <v>0</v>
      </c>
      <c r="M1358" s="58"/>
      <c r="N1358" s="9">
        <f>ROUND(M1359*L1358,0)</f>
        <v>0</v>
      </c>
      <c r="O1358" s="9">
        <v>0</v>
      </c>
      <c r="P1358" s="9">
        <f>N1358-O1358</f>
        <v>0</v>
      </c>
      <c r="Q1358" s="40">
        <f t="shared" si="209"/>
        <v>0</v>
      </c>
      <c r="R1358" s="9">
        <v>0</v>
      </c>
      <c r="S1358" s="9">
        <f t="shared" si="217"/>
        <v>0</v>
      </c>
      <c r="T1358" s="90">
        <f t="shared" si="212"/>
        <v>270</v>
      </c>
      <c r="U1358" s="90">
        <f t="shared" si="213"/>
        <v>998</v>
      </c>
      <c r="V1358" s="373">
        <f t="shared" si="214"/>
        <v>1349</v>
      </c>
      <c r="W1358" s="90">
        <f t="shared" si="215"/>
        <v>0</v>
      </c>
      <c r="X1358" s="90">
        <f t="shared" si="216"/>
        <v>0</v>
      </c>
      <c r="Y1358" s="141">
        <f t="shared" si="218"/>
        <v>1349</v>
      </c>
      <c r="Z1358" s="298">
        <v>270</v>
      </c>
      <c r="AA1358" s="299">
        <v>998</v>
      </c>
      <c r="AB1358" s="299">
        <v>1349</v>
      </c>
      <c r="AC1358" s="301">
        <v>0</v>
      </c>
      <c r="AD1358" s="301">
        <v>0</v>
      </c>
      <c r="AE1358" s="126"/>
      <c r="AF1358" s="298"/>
      <c r="AG1358" s="299"/>
      <c r="AH1358" s="299"/>
      <c r="AI1358" s="301"/>
      <c r="AJ1358" s="301"/>
      <c r="AK1358" s="426"/>
      <c r="AL1358" s="298"/>
      <c r="AM1358" s="299"/>
      <c r="AN1358" s="299"/>
      <c r="AO1358" s="301"/>
      <c r="AP1358" s="301"/>
      <c r="AQ1358" s="426"/>
      <c r="AR1358" s="298"/>
      <c r="AS1358" s="299"/>
      <c r="AT1358" s="299"/>
      <c r="AU1358" s="301"/>
      <c r="AV1358" s="301"/>
      <c r="AW1358" s="88"/>
      <c r="AX1358" s="298"/>
      <c r="AY1358" s="299"/>
      <c r="AZ1358" s="299"/>
      <c r="BA1358" s="301"/>
      <c r="BB1358" s="301"/>
      <c r="BC1358" s="426"/>
      <c r="BD1358" s="298"/>
      <c r="BE1358" s="299"/>
      <c r="BF1358" s="299"/>
      <c r="BG1358" s="301"/>
      <c r="BH1358" s="301"/>
      <c r="BI1358" s="88"/>
      <c r="BJ1358" s="298"/>
      <c r="BK1358" s="299"/>
      <c r="BL1358" s="299"/>
      <c r="BM1358" s="301"/>
      <c r="BN1358" s="301"/>
      <c r="BO1358" s="88"/>
      <c r="BP1358" s="9"/>
      <c r="BS1358" s="81"/>
      <c r="BT1358" s="81"/>
      <c r="BV1358" s="9"/>
      <c r="BY1358" s="81"/>
      <c r="BZ1358" s="81"/>
      <c r="CB1358" s="9"/>
      <c r="CE1358" s="81"/>
      <c r="CF1358" s="81"/>
      <c r="CH1358" s="9"/>
      <c r="CK1358" s="81"/>
      <c r="CL1358" s="81"/>
      <c r="CR1358" s="9"/>
      <c r="CS1358" s="9"/>
      <c r="CT1358" s="9"/>
      <c r="CU1358" s="9"/>
      <c r="CV1358" s="9"/>
      <c r="CW1358" s="129"/>
      <c r="CX1358" s="9"/>
    </row>
    <row r="1359" spans="1:102">
      <c r="A1359" s="6" t="str">
        <f t="shared" si="211"/>
        <v>02700999</v>
      </c>
      <c r="B1359" s="6" t="s">
        <v>1920</v>
      </c>
      <c r="C1359" s="6" t="s">
        <v>2092</v>
      </c>
      <c r="D1359" s="6">
        <v>1350</v>
      </c>
      <c r="E1359" s="10">
        <v>270</v>
      </c>
      <c r="F1359" s="10" t="s">
        <v>1388</v>
      </c>
      <c r="G1359" s="10">
        <v>999</v>
      </c>
      <c r="H1359" s="10" t="s">
        <v>593</v>
      </c>
      <c r="I1359" s="92">
        <v>10906171.208432609</v>
      </c>
      <c r="J1359" s="472">
        <v>1</v>
      </c>
      <c r="K1359" s="53">
        <f>SUM(K1355:K1358)</f>
        <v>11231023.436802957</v>
      </c>
      <c r="L1359" s="91">
        <f>SUM(L1355:L1358)</f>
        <v>1</v>
      </c>
      <c r="M1359" s="79">
        <f>VLOOKUP(E1359,town351,24)</f>
        <v>6514693</v>
      </c>
      <c r="N1359" s="79">
        <f>SUM(N1355:N1358)</f>
        <v>6514693</v>
      </c>
      <c r="O1359" s="79">
        <v>6239530</v>
      </c>
      <c r="P1359" s="79">
        <f>SUM(P1355:P1358)</f>
        <v>275163</v>
      </c>
      <c r="Q1359" s="39">
        <f t="shared" si="209"/>
        <v>4.4099956246704481</v>
      </c>
      <c r="R1359" s="9">
        <v>785.30879815982007</v>
      </c>
      <c r="S1359" s="9">
        <f t="shared" si="217"/>
        <v>776.15114234866996</v>
      </c>
      <c r="T1359" s="90">
        <f t="shared" si="212"/>
        <v>270</v>
      </c>
      <c r="U1359" s="90">
        <f t="shared" si="213"/>
        <v>999</v>
      </c>
      <c r="V1359" s="373">
        <f t="shared" si="214"/>
        <v>1350</v>
      </c>
      <c r="W1359" s="90">
        <f t="shared" si="215"/>
        <v>776.15114234866996</v>
      </c>
      <c r="X1359" s="90">
        <f t="shared" si="216"/>
        <v>11231023.436802957</v>
      </c>
      <c r="Y1359" s="141">
        <f t="shared" si="218"/>
        <v>1350</v>
      </c>
      <c r="Z1359" s="298">
        <v>270</v>
      </c>
      <c r="AA1359" s="299">
        <v>999</v>
      </c>
      <c r="AB1359" s="299">
        <v>1350</v>
      </c>
      <c r="AC1359" s="301">
        <v>776.15114234866996</v>
      </c>
      <c r="AD1359" s="301">
        <v>11231023.436802957</v>
      </c>
      <c r="AE1359" s="126"/>
      <c r="AF1359" s="298"/>
      <c r="AG1359" s="299"/>
      <c r="AH1359" s="299"/>
      <c r="AI1359" s="301"/>
      <c r="AJ1359" s="301"/>
      <c r="AK1359" s="426"/>
      <c r="AL1359" s="298"/>
      <c r="AM1359" s="299"/>
      <c r="AN1359" s="299"/>
      <c r="AO1359" s="301"/>
      <c r="AP1359" s="301"/>
      <c r="AQ1359" s="426"/>
      <c r="AR1359" s="298"/>
      <c r="AS1359" s="299"/>
      <c r="AT1359" s="299"/>
      <c r="AU1359" s="301"/>
      <c r="AV1359" s="301"/>
      <c r="AW1359" s="91"/>
      <c r="AX1359" s="298"/>
      <c r="AY1359" s="299"/>
      <c r="AZ1359" s="299"/>
      <c r="BA1359" s="301"/>
      <c r="BB1359" s="301"/>
      <c r="BC1359" s="426"/>
      <c r="BD1359" s="298"/>
      <c r="BE1359" s="299"/>
      <c r="BF1359" s="299"/>
      <c r="BG1359" s="301"/>
      <c r="BH1359" s="301"/>
      <c r="BI1359" s="91"/>
      <c r="BJ1359" s="298"/>
      <c r="BK1359" s="299"/>
      <c r="BL1359" s="299"/>
      <c r="BM1359" s="301"/>
      <c r="BN1359" s="301"/>
      <c r="BO1359" s="91"/>
      <c r="BP1359" s="9"/>
      <c r="BS1359" s="81"/>
      <c r="BT1359" s="81"/>
      <c r="BV1359" s="9"/>
      <c r="BY1359" s="81"/>
      <c r="BZ1359" s="81"/>
      <c r="CB1359" s="9"/>
      <c r="CE1359" s="81"/>
      <c r="CF1359" s="81"/>
      <c r="CH1359" s="9"/>
      <c r="CK1359" s="81"/>
      <c r="CL1359" s="81"/>
      <c r="CR1359" s="9"/>
      <c r="CS1359" s="9"/>
      <c r="CT1359" s="9"/>
      <c r="CU1359" s="9"/>
      <c r="CV1359" s="9"/>
      <c r="CW1359" s="129"/>
      <c r="CX1359" s="9"/>
    </row>
    <row r="1360" spans="1:102">
      <c r="A1360" s="6" t="str">
        <f t="shared" si="211"/>
        <v>02710271</v>
      </c>
      <c r="B1360" s="6" t="s">
        <v>1921</v>
      </c>
      <c r="C1360" s="6" t="s">
        <v>1921</v>
      </c>
      <c r="D1360" s="6">
        <v>1351</v>
      </c>
      <c r="E1360" s="6">
        <v>271</v>
      </c>
      <c r="F1360" s="6" t="s">
        <v>1389</v>
      </c>
      <c r="G1360" s="6">
        <v>271</v>
      </c>
      <c r="H1360" s="6" t="s">
        <v>952</v>
      </c>
      <c r="I1360" s="33">
        <v>74633713.99000001</v>
      </c>
      <c r="J1360" s="88">
        <v>1</v>
      </c>
      <c r="K1360" s="89">
        <f>X1360</f>
        <v>77754351.169999987</v>
      </c>
      <c r="L1360" s="88">
        <f>IF(K1364&gt;0, K1360/K1364, 0)</f>
        <v>1</v>
      </c>
      <c r="M1360" s="58"/>
      <c r="N1360" s="9">
        <f>ROUND(M1364*L1360,0)</f>
        <v>60858729</v>
      </c>
      <c r="O1360" s="9">
        <v>57993834</v>
      </c>
      <c r="P1360" s="9">
        <f>N1360-O1360</f>
        <v>2864895</v>
      </c>
      <c r="Q1360" s="40">
        <f>IF(O1360&gt;0,P1360*100/O1360,IF(P1360&gt;0,100,0))</f>
        <v>4.9399993109612312</v>
      </c>
      <c r="R1360" s="9">
        <v>5972</v>
      </c>
      <c r="S1360" s="9">
        <f t="shared" si="217"/>
        <v>5998</v>
      </c>
      <c r="T1360" s="90">
        <f t="shared" si="212"/>
        <v>271</v>
      </c>
      <c r="U1360" s="90">
        <f t="shared" si="213"/>
        <v>271</v>
      </c>
      <c r="V1360" s="373">
        <f t="shared" si="214"/>
        <v>1351</v>
      </c>
      <c r="W1360" s="90">
        <f t="shared" si="215"/>
        <v>5998</v>
      </c>
      <c r="X1360" s="90">
        <f t="shared" si="216"/>
        <v>77754351.169999987</v>
      </c>
      <c r="Y1360" s="141">
        <f t="shared" si="218"/>
        <v>1351</v>
      </c>
      <c r="Z1360" s="298">
        <v>271</v>
      </c>
      <c r="AA1360" s="299">
        <v>271</v>
      </c>
      <c r="AB1360" s="299">
        <v>1351</v>
      </c>
      <c r="AC1360" s="301">
        <v>5998</v>
      </c>
      <c r="AD1360" s="301">
        <v>77754351.169999987</v>
      </c>
      <c r="AE1360" s="126"/>
      <c r="AF1360" s="298"/>
      <c r="AG1360" s="299"/>
      <c r="AH1360" s="299"/>
      <c r="AI1360" s="301"/>
      <c r="AJ1360" s="301"/>
      <c r="AK1360" s="426"/>
      <c r="AL1360" s="298"/>
      <c r="AM1360" s="299"/>
      <c r="AN1360" s="299"/>
      <c r="AO1360" s="301"/>
      <c r="AP1360" s="301"/>
      <c r="AQ1360" s="426"/>
      <c r="AR1360" s="298"/>
      <c r="AS1360" s="299"/>
      <c r="AT1360" s="299"/>
      <c r="AU1360" s="301"/>
      <c r="AV1360" s="301"/>
      <c r="AW1360" s="88"/>
      <c r="AX1360" s="298"/>
      <c r="AY1360" s="299"/>
      <c r="AZ1360" s="299"/>
      <c r="BA1360" s="301"/>
      <c r="BB1360" s="301"/>
      <c r="BC1360" s="426"/>
      <c r="BD1360" s="298"/>
      <c r="BE1360" s="299"/>
      <c r="BF1360" s="299"/>
      <c r="BG1360" s="301"/>
      <c r="BH1360" s="301"/>
      <c r="BI1360" s="88"/>
      <c r="BJ1360" s="298"/>
      <c r="BK1360" s="299"/>
      <c r="BL1360" s="299"/>
      <c r="BM1360" s="301"/>
      <c r="BN1360" s="301"/>
      <c r="BO1360" s="88"/>
      <c r="BP1360" s="9"/>
      <c r="BS1360" s="81"/>
      <c r="BT1360" s="81"/>
      <c r="BV1360" s="9"/>
      <c r="BY1360" s="81"/>
      <c r="BZ1360" s="81"/>
      <c r="CB1360" s="9"/>
      <c r="CE1360" s="81"/>
      <c r="CF1360" s="81"/>
      <c r="CH1360" s="9"/>
      <c r="CK1360" s="81"/>
      <c r="CL1360" s="81"/>
      <c r="CR1360" s="9"/>
      <c r="CS1360" s="9"/>
      <c r="CT1360" s="9"/>
      <c r="CU1360" s="9"/>
      <c r="CV1360" s="9"/>
      <c r="CW1360" s="129"/>
      <c r="CX1360" s="9"/>
    </row>
    <row r="1361" spans="1:102">
      <c r="A1361" s="6" t="str">
        <f t="shared" si="211"/>
        <v>02710998</v>
      </c>
      <c r="B1361" s="6" t="s">
        <v>1921</v>
      </c>
      <c r="C1361" s="6" t="s">
        <v>2091</v>
      </c>
      <c r="D1361" s="6">
        <v>1352</v>
      </c>
      <c r="E1361" s="6">
        <v>271</v>
      </c>
      <c r="F1361" s="6" t="s">
        <v>1547</v>
      </c>
      <c r="G1361" s="6">
        <v>998</v>
      </c>
      <c r="H1361" s="6" t="s">
        <v>1547</v>
      </c>
      <c r="I1361" s="33">
        <v>0</v>
      </c>
      <c r="J1361" s="88">
        <v>0</v>
      </c>
      <c r="K1361" s="89">
        <f t="shared" si="210"/>
        <v>0</v>
      </c>
      <c r="L1361" s="88">
        <f>IF(K1364&gt;0, K1361/K1364, 0)</f>
        <v>0</v>
      </c>
      <c r="M1361" s="58"/>
      <c r="N1361" s="9">
        <f>ROUND(M1364*L1361,0)</f>
        <v>0</v>
      </c>
      <c r="O1361" s="9">
        <v>0</v>
      </c>
      <c r="P1361" s="9">
        <f>N1361-O1361</f>
        <v>0</v>
      </c>
      <c r="Q1361" s="40">
        <f>IF(O1361&gt;0,P1361*100/O1361,IF(P1361&gt;0,100,0))</f>
        <v>0</v>
      </c>
      <c r="R1361" s="9">
        <v>0</v>
      </c>
      <c r="S1361" s="9">
        <f t="shared" si="217"/>
        <v>0</v>
      </c>
      <c r="T1361" s="90">
        <f t="shared" si="212"/>
        <v>271</v>
      </c>
      <c r="U1361" s="90">
        <f t="shared" si="213"/>
        <v>998</v>
      </c>
      <c r="V1361" s="373">
        <f t="shared" si="214"/>
        <v>1352</v>
      </c>
      <c r="W1361" s="90">
        <f t="shared" si="215"/>
        <v>0</v>
      </c>
      <c r="X1361" s="90">
        <f t="shared" si="216"/>
        <v>0</v>
      </c>
      <c r="Y1361" s="141">
        <f t="shared" si="218"/>
        <v>1352</v>
      </c>
      <c r="Z1361" s="298">
        <v>271</v>
      </c>
      <c r="AA1361" s="299">
        <v>998</v>
      </c>
      <c r="AB1361" s="299">
        <v>1352</v>
      </c>
      <c r="AC1361" s="301">
        <v>0</v>
      </c>
      <c r="AD1361" s="301">
        <v>0</v>
      </c>
      <c r="AE1361" s="126"/>
      <c r="AF1361" s="298"/>
      <c r="AG1361" s="299"/>
      <c r="AH1361" s="299"/>
      <c r="AI1361" s="301"/>
      <c r="AJ1361" s="301"/>
      <c r="AK1361" s="426"/>
      <c r="AL1361" s="298"/>
      <c r="AM1361" s="299"/>
      <c r="AN1361" s="299"/>
      <c r="AO1361" s="301"/>
      <c r="AP1361" s="301"/>
      <c r="AQ1361" s="426"/>
      <c r="AR1361" s="298"/>
      <c r="AS1361" s="299"/>
      <c r="AT1361" s="299"/>
      <c r="AU1361" s="301"/>
      <c r="AV1361" s="301"/>
      <c r="AW1361" s="88"/>
      <c r="AX1361" s="298"/>
      <c r="AY1361" s="299"/>
      <c r="AZ1361" s="299"/>
      <c r="BA1361" s="301"/>
      <c r="BB1361" s="301"/>
      <c r="BC1361" s="426"/>
      <c r="BD1361" s="298"/>
      <c r="BE1361" s="299"/>
      <c r="BF1361" s="299"/>
      <c r="BG1361" s="301"/>
      <c r="BH1361" s="301"/>
      <c r="BI1361" s="88"/>
      <c r="BJ1361" s="298"/>
      <c r="BK1361" s="299"/>
      <c r="BL1361" s="299"/>
      <c r="BM1361" s="301"/>
      <c r="BN1361" s="301"/>
      <c r="BO1361" s="88"/>
      <c r="BP1361" s="9"/>
      <c r="BS1361" s="81"/>
      <c r="BT1361" s="81"/>
      <c r="BV1361" s="9"/>
      <c r="BY1361" s="81"/>
      <c r="BZ1361" s="81"/>
      <c r="CB1361" s="9"/>
      <c r="CE1361" s="81"/>
      <c r="CF1361" s="81"/>
      <c r="CH1361" s="9"/>
      <c r="CK1361" s="81"/>
      <c r="CL1361" s="81"/>
      <c r="CR1361" s="9"/>
      <c r="CS1361" s="9"/>
      <c r="CT1361" s="9"/>
      <c r="CU1361" s="9"/>
      <c r="CV1361" s="9"/>
      <c r="CW1361" s="129"/>
      <c r="CX1361" s="9"/>
    </row>
    <row r="1362" spans="1:102">
      <c r="A1362" s="6" t="str">
        <f t="shared" si="211"/>
        <v>02710998</v>
      </c>
      <c r="B1362" s="6" t="s">
        <v>1921</v>
      </c>
      <c r="C1362" s="6" t="s">
        <v>2091</v>
      </c>
      <c r="D1362" s="6">
        <v>1353</v>
      </c>
      <c r="E1362" s="6">
        <v>271</v>
      </c>
      <c r="F1362" s="6" t="s">
        <v>1547</v>
      </c>
      <c r="G1362" s="6">
        <v>998</v>
      </c>
      <c r="H1362" s="6" t="s">
        <v>1547</v>
      </c>
      <c r="I1362" s="33">
        <v>0</v>
      </c>
      <c r="J1362" s="88">
        <v>0</v>
      </c>
      <c r="K1362" s="89">
        <f t="shared" si="210"/>
        <v>0</v>
      </c>
      <c r="L1362" s="88">
        <f>IF(K1364&gt;0, K1362/K1364, 0)</f>
        <v>0</v>
      </c>
      <c r="M1362" s="58"/>
      <c r="N1362" s="9">
        <f>ROUND(M1364*L1362,0)</f>
        <v>0</v>
      </c>
      <c r="O1362" s="9">
        <v>0</v>
      </c>
      <c r="P1362" s="9">
        <f>N1362-O1362</f>
        <v>0</v>
      </c>
      <c r="Q1362" s="40">
        <f>IF(O1362&gt;0,P1362*100/O1362,IF(P1362&gt;0,100,0))</f>
        <v>0</v>
      </c>
      <c r="R1362" s="9">
        <v>0</v>
      </c>
      <c r="S1362" s="9">
        <f t="shared" si="217"/>
        <v>0</v>
      </c>
      <c r="T1362" s="90">
        <f t="shared" si="212"/>
        <v>271</v>
      </c>
      <c r="U1362" s="90">
        <f t="shared" si="213"/>
        <v>998</v>
      </c>
      <c r="V1362" s="373">
        <f t="shared" si="214"/>
        <v>1353</v>
      </c>
      <c r="W1362" s="90">
        <f t="shared" si="215"/>
        <v>0</v>
      </c>
      <c r="X1362" s="90">
        <f t="shared" si="216"/>
        <v>0</v>
      </c>
      <c r="Y1362" s="141">
        <f t="shared" si="218"/>
        <v>1353</v>
      </c>
      <c r="Z1362" s="298">
        <v>271</v>
      </c>
      <c r="AA1362" s="299">
        <v>998</v>
      </c>
      <c r="AB1362" s="299">
        <v>1353</v>
      </c>
      <c r="AC1362" s="301">
        <v>0</v>
      </c>
      <c r="AD1362" s="301">
        <v>0</v>
      </c>
      <c r="AE1362" s="126"/>
      <c r="AF1362" s="298"/>
      <c r="AG1362" s="299"/>
      <c r="AH1362" s="299"/>
      <c r="AI1362" s="301"/>
      <c r="AJ1362" s="301"/>
      <c r="AK1362" s="426"/>
      <c r="AL1362" s="298"/>
      <c r="AM1362" s="299"/>
      <c r="AN1362" s="299"/>
      <c r="AO1362" s="301"/>
      <c r="AP1362" s="301"/>
      <c r="AQ1362" s="426"/>
      <c r="AR1362" s="298"/>
      <c r="AS1362" s="299"/>
      <c r="AT1362" s="299"/>
      <c r="AU1362" s="301"/>
      <c r="AV1362" s="301"/>
      <c r="AW1362" s="88"/>
      <c r="AX1362" s="298"/>
      <c r="AY1362" s="299"/>
      <c r="AZ1362" s="299"/>
      <c r="BA1362" s="301"/>
      <c r="BB1362" s="301"/>
      <c r="BC1362" s="426"/>
      <c r="BD1362" s="298"/>
      <c r="BE1362" s="299"/>
      <c r="BF1362" s="299"/>
      <c r="BG1362" s="301"/>
      <c r="BH1362" s="301"/>
      <c r="BI1362" s="88"/>
      <c r="BJ1362" s="298"/>
      <c r="BK1362" s="299"/>
      <c r="BL1362" s="299"/>
      <c r="BM1362" s="301"/>
      <c r="BN1362" s="301"/>
      <c r="BO1362" s="88"/>
      <c r="BP1362" s="9"/>
      <c r="BS1362" s="81"/>
      <c r="BT1362" s="81"/>
      <c r="BV1362" s="9"/>
      <c r="BY1362" s="81"/>
      <c r="BZ1362" s="81"/>
      <c r="CB1362" s="9"/>
      <c r="CE1362" s="81"/>
      <c r="CF1362" s="81"/>
      <c r="CH1362" s="9"/>
      <c r="CK1362" s="81"/>
      <c r="CL1362" s="81"/>
      <c r="CR1362" s="9"/>
      <c r="CS1362" s="9"/>
      <c r="CT1362" s="9"/>
      <c r="CU1362" s="9"/>
      <c r="CV1362" s="9"/>
      <c r="CW1362" s="129"/>
      <c r="CX1362" s="9"/>
    </row>
    <row r="1363" spans="1:102">
      <c r="A1363" s="6" t="str">
        <f t="shared" si="211"/>
        <v>02710998</v>
      </c>
      <c r="B1363" s="6" t="s">
        <v>1921</v>
      </c>
      <c r="C1363" s="6" t="s">
        <v>2091</v>
      </c>
      <c r="D1363" s="6">
        <v>1354</v>
      </c>
      <c r="E1363" s="6">
        <v>271</v>
      </c>
      <c r="F1363" s="6" t="s">
        <v>1547</v>
      </c>
      <c r="G1363" s="6">
        <v>998</v>
      </c>
      <c r="H1363" s="6" t="s">
        <v>1547</v>
      </c>
      <c r="I1363" s="33">
        <v>0</v>
      </c>
      <c r="J1363" s="88">
        <v>0</v>
      </c>
      <c r="K1363" s="89">
        <f t="shared" si="210"/>
        <v>0</v>
      </c>
      <c r="L1363" s="88">
        <f>IF(K1364&gt;0, K1363/K1364, 0)</f>
        <v>0</v>
      </c>
      <c r="M1363" s="58"/>
      <c r="N1363" s="9">
        <f>ROUND(M1364*L1363,0)</f>
        <v>0</v>
      </c>
      <c r="O1363" s="9">
        <v>0</v>
      </c>
      <c r="P1363" s="9">
        <f>N1363-O1363</f>
        <v>0</v>
      </c>
      <c r="Q1363" s="40">
        <f>IF(O1363&gt;0,P1363*100/O1363,IF(P1363&gt;0,100,0))</f>
        <v>0</v>
      </c>
      <c r="R1363" s="9">
        <v>0</v>
      </c>
      <c r="S1363" s="9">
        <f t="shared" si="217"/>
        <v>0</v>
      </c>
      <c r="T1363" s="90">
        <f t="shared" si="212"/>
        <v>271</v>
      </c>
      <c r="U1363" s="90">
        <f t="shared" si="213"/>
        <v>998</v>
      </c>
      <c r="V1363" s="373">
        <f t="shared" si="214"/>
        <v>1354</v>
      </c>
      <c r="W1363" s="90">
        <f t="shared" si="215"/>
        <v>0</v>
      </c>
      <c r="X1363" s="90">
        <f t="shared" si="216"/>
        <v>0</v>
      </c>
      <c r="Y1363" s="141">
        <f t="shared" si="218"/>
        <v>1354</v>
      </c>
      <c r="Z1363" s="298">
        <v>271</v>
      </c>
      <c r="AA1363" s="299">
        <v>998</v>
      </c>
      <c r="AB1363" s="299">
        <v>1354</v>
      </c>
      <c r="AC1363" s="301">
        <v>0</v>
      </c>
      <c r="AD1363" s="301">
        <v>0</v>
      </c>
      <c r="AE1363" s="126"/>
      <c r="AF1363" s="298"/>
      <c r="AG1363" s="299"/>
      <c r="AH1363" s="299"/>
      <c r="AI1363" s="301"/>
      <c r="AJ1363" s="301"/>
      <c r="AK1363" s="426"/>
      <c r="AL1363" s="298"/>
      <c r="AM1363" s="299"/>
      <c r="AN1363" s="299"/>
      <c r="AO1363" s="301"/>
      <c r="AP1363" s="301"/>
      <c r="AQ1363" s="426"/>
      <c r="AR1363" s="298"/>
      <c r="AS1363" s="299"/>
      <c r="AT1363" s="299"/>
      <c r="AU1363" s="301"/>
      <c r="AV1363" s="301"/>
      <c r="AW1363" s="88"/>
      <c r="AX1363" s="298"/>
      <c r="AY1363" s="299"/>
      <c r="AZ1363" s="299"/>
      <c r="BA1363" s="301"/>
      <c r="BB1363" s="301"/>
      <c r="BC1363" s="426"/>
      <c r="BD1363" s="298"/>
      <c r="BE1363" s="299"/>
      <c r="BF1363" s="299"/>
      <c r="BG1363" s="301"/>
      <c r="BH1363" s="301"/>
      <c r="BI1363" s="88"/>
      <c r="BJ1363" s="298"/>
      <c r="BK1363" s="299"/>
      <c r="BL1363" s="299"/>
      <c r="BM1363" s="301"/>
      <c r="BN1363" s="301"/>
      <c r="BO1363" s="88"/>
      <c r="BP1363" s="9"/>
      <c r="BS1363" s="81"/>
      <c r="BT1363" s="81"/>
      <c r="BV1363" s="9"/>
      <c r="BY1363" s="81"/>
      <c r="BZ1363" s="81"/>
      <c r="CB1363" s="9"/>
      <c r="CE1363" s="81"/>
      <c r="CF1363" s="81"/>
      <c r="CH1363" s="9"/>
      <c r="CK1363" s="81"/>
      <c r="CL1363" s="81"/>
      <c r="CR1363" s="9"/>
      <c r="CS1363" s="9"/>
      <c r="CT1363" s="9"/>
      <c r="CU1363" s="9"/>
      <c r="CV1363" s="9"/>
      <c r="CW1363" s="129"/>
      <c r="CX1363" s="9"/>
    </row>
    <row r="1364" spans="1:102">
      <c r="A1364" s="6" t="str">
        <f t="shared" si="211"/>
        <v>02710999</v>
      </c>
      <c r="B1364" s="6" t="s">
        <v>1921</v>
      </c>
      <c r="C1364" s="6" t="s">
        <v>2092</v>
      </c>
      <c r="D1364" s="6">
        <v>1355</v>
      </c>
      <c r="E1364" s="10">
        <v>271</v>
      </c>
      <c r="F1364" s="10" t="s">
        <v>1389</v>
      </c>
      <c r="G1364" s="10">
        <v>999</v>
      </c>
      <c r="H1364" s="10" t="s">
        <v>593</v>
      </c>
      <c r="I1364" s="92">
        <v>74633713.99000001</v>
      </c>
      <c r="J1364" s="472">
        <v>1</v>
      </c>
      <c r="K1364" s="53">
        <f>SUM(K1360:K1363)</f>
        <v>77754351.169999987</v>
      </c>
      <c r="L1364" s="91">
        <f>SUM(L1360:L1363)</f>
        <v>1</v>
      </c>
      <c r="M1364" s="79">
        <f>VLOOKUP(E1364,town351,24)</f>
        <v>60858729</v>
      </c>
      <c r="N1364" s="79">
        <f>SUM(N1360:N1363)</f>
        <v>60858729</v>
      </c>
      <c r="O1364" s="79">
        <v>57993834</v>
      </c>
      <c r="P1364" s="79">
        <f>SUM(P1360:P1363)</f>
        <v>2864895</v>
      </c>
      <c r="Q1364" s="39">
        <f t="shared" ref="Q1364:Q1423" si="219">IF(O1364&gt;0,P1364*100/O1364,IF(P1364&gt;0,100,0))</f>
        <v>4.9399993109612312</v>
      </c>
      <c r="R1364" s="9">
        <v>5972</v>
      </c>
      <c r="S1364" s="9">
        <f t="shared" si="217"/>
        <v>5998</v>
      </c>
      <c r="T1364" s="90">
        <f t="shared" si="212"/>
        <v>271</v>
      </c>
      <c r="U1364" s="90">
        <f t="shared" si="213"/>
        <v>999</v>
      </c>
      <c r="V1364" s="373">
        <f t="shared" si="214"/>
        <v>1355</v>
      </c>
      <c r="W1364" s="90">
        <f t="shared" si="215"/>
        <v>5998</v>
      </c>
      <c r="X1364" s="90">
        <f t="shared" si="216"/>
        <v>77754351.169999987</v>
      </c>
      <c r="Y1364" s="141">
        <f t="shared" si="218"/>
        <v>1355</v>
      </c>
      <c r="Z1364" s="298">
        <v>271</v>
      </c>
      <c r="AA1364" s="299">
        <v>999</v>
      </c>
      <c r="AB1364" s="299">
        <v>1355</v>
      </c>
      <c r="AC1364" s="301">
        <v>5998</v>
      </c>
      <c r="AD1364" s="301">
        <v>77754351.169999987</v>
      </c>
      <c r="AE1364" s="126"/>
      <c r="AF1364" s="298"/>
      <c r="AG1364" s="299"/>
      <c r="AH1364" s="299"/>
      <c r="AI1364" s="301"/>
      <c r="AJ1364" s="301"/>
      <c r="AK1364" s="426"/>
      <c r="AL1364" s="298"/>
      <c r="AM1364" s="299"/>
      <c r="AN1364" s="299"/>
      <c r="AO1364" s="301"/>
      <c r="AP1364" s="301"/>
      <c r="AQ1364" s="426"/>
      <c r="AR1364" s="298"/>
      <c r="AS1364" s="299"/>
      <c r="AT1364" s="299"/>
      <c r="AU1364" s="301"/>
      <c r="AV1364" s="301"/>
      <c r="AW1364" s="91"/>
      <c r="AX1364" s="298"/>
      <c r="AY1364" s="299"/>
      <c r="AZ1364" s="299"/>
      <c r="BA1364" s="301"/>
      <c r="BB1364" s="301"/>
      <c r="BC1364" s="426"/>
      <c r="BD1364" s="298"/>
      <c r="BE1364" s="299"/>
      <c r="BF1364" s="299"/>
      <c r="BG1364" s="301"/>
      <c r="BH1364" s="301"/>
      <c r="BI1364" s="91"/>
      <c r="BJ1364" s="298"/>
      <c r="BK1364" s="299"/>
      <c r="BL1364" s="299"/>
      <c r="BM1364" s="301"/>
      <c r="BN1364" s="301"/>
      <c r="BO1364" s="91"/>
      <c r="BP1364" s="9"/>
      <c r="BS1364" s="81"/>
      <c r="BT1364" s="81"/>
      <c r="BV1364" s="9"/>
      <c r="BY1364" s="81"/>
      <c r="BZ1364" s="81"/>
      <c r="CB1364" s="9"/>
      <c r="CE1364" s="81"/>
      <c r="CF1364" s="81"/>
      <c r="CH1364" s="9"/>
      <c r="CK1364" s="81"/>
      <c r="CL1364" s="81"/>
      <c r="CR1364" s="9"/>
      <c r="CS1364" s="9"/>
      <c r="CT1364" s="9"/>
      <c r="CU1364" s="9"/>
      <c r="CV1364" s="9"/>
      <c r="CW1364" s="129"/>
      <c r="CX1364" s="9"/>
    </row>
    <row r="1365" spans="1:102">
      <c r="A1365" s="6" t="str">
        <f t="shared" si="211"/>
        <v>02720272</v>
      </c>
      <c r="B1365" s="6" t="s">
        <v>1922</v>
      </c>
      <c r="C1365" s="6" t="s">
        <v>1922</v>
      </c>
      <c r="D1365" s="6">
        <v>1356</v>
      </c>
      <c r="E1365" s="6">
        <v>272</v>
      </c>
      <c r="F1365" s="6" t="s">
        <v>1390</v>
      </c>
      <c r="G1365" s="6">
        <v>272</v>
      </c>
      <c r="H1365" s="6" t="s">
        <v>953</v>
      </c>
      <c r="I1365" s="33">
        <v>1442294.2199999997</v>
      </c>
      <c r="J1365" s="88">
        <v>0.4942592908746648</v>
      </c>
      <c r="K1365" s="89">
        <f>X1365</f>
        <v>1330308.4500000002</v>
      </c>
      <c r="L1365" s="88">
        <f>IF(K1369&gt;0, K1365/K1369, 0)</f>
        <v>0.46947397351595516</v>
      </c>
      <c r="M1365" s="58"/>
      <c r="N1365" s="9">
        <f>ROUND(M1369*L1365,0)</f>
        <v>822355</v>
      </c>
      <c r="O1365" s="9">
        <v>820401</v>
      </c>
      <c r="P1365" s="9">
        <f>N1365-O1365</f>
        <v>1954</v>
      </c>
      <c r="Q1365" s="40">
        <f t="shared" si="219"/>
        <v>0.23817620895147618</v>
      </c>
      <c r="R1365" s="9">
        <v>111</v>
      </c>
      <c r="S1365" s="9">
        <f t="shared" si="217"/>
        <v>99</v>
      </c>
      <c r="T1365" s="90">
        <f t="shared" si="212"/>
        <v>272</v>
      </c>
      <c r="U1365" s="90">
        <f t="shared" si="213"/>
        <v>272</v>
      </c>
      <c r="V1365" s="373">
        <f t="shared" si="214"/>
        <v>1356</v>
      </c>
      <c r="W1365" s="90">
        <f t="shared" si="215"/>
        <v>99</v>
      </c>
      <c r="X1365" s="90">
        <f t="shared" si="216"/>
        <v>1330308.4500000002</v>
      </c>
      <c r="Y1365" s="141">
        <f t="shared" si="218"/>
        <v>1356</v>
      </c>
      <c r="Z1365" s="298">
        <v>272</v>
      </c>
      <c r="AA1365" s="299">
        <v>272</v>
      </c>
      <c r="AB1365" s="299">
        <v>1356</v>
      </c>
      <c r="AC1365" s="301">
        <v>99</v>
      </c>
      <c r="AD1365" s="301">
        <v>1330308.4500000002</v>
      </c>
      <c r="AE1365" s="126"/>
      <c r="AF1365" s="298"/>
      <c r="AG1365" s="299"/>
      <c r="AH1365" s="299"/>
      <c r="AI1365" s="301"/>
      <c r="AJ1365" s="301"/>
      <c r="AK1365" s="426"/>
      <c r="AL1365" s="298"/>
      <c r="AM1365" s="299"/>
      <c r="AN1365" s="299"/>
      <c r="AO1365" s="301"/>
      <c r="AP1365" s="301"/>
      <c r="AQ1365" s="426"/>
      <c r="AR1365" s="298"/>
      <c r="AS1365" s="299"/>
      <c r="AT1365" s="299"/>
      <c r="AU1365" s="301"/>
      <c r="AV1365" s="301"/>
      <c r="AW1365" s="88"/>
      <c r="AX1365" s="298"/>
      <c r="AY1365" s="299"/>
      <c r="AZ1365" s="299"/>
      <c r="BA1365" s="301"/>
      <c r="BB1365" s="301"/>
      <c r="BC1365" s="426"/>
      <c r="BD1365" s="298"/>
      <c r="BE1365" s="299"/>
      <c r="BF1365" s="299"/>
      <c r="BG1365" s="301"/>
      <c r="BH1365" s="301"/>
      <c r="BI1365" s="88"/>
      <c r="BJ1365" s="298"/>
      <c r="BK1365" s="299"/>
      <c r="BL1365" s="299"/>
      <c r="BM1365" s="301"/>
      <c r="BN1365" s="301"/>
      <c r="BO1365" s="88"/>
      <c r="BP1365" s="9"/>
      <c r="BS1365" s="81"/>
      <c r="BT1365" s="81"/>
      <c r="BV1365" s="9"/>
      <c r="BY1365" s="81"/>
      <c r="BZ1365" s="81"/>
      <c r="CB1365" s="9"/>
      <c r="CE1365" s="81"/>
      <c r="CF1365" s="81"/>
      <c r="CH1365" s="9"/>
      <c r="CK1365" s="81"/>
      <c r="CL1365" s="81"/>
      <c r="CR1365" s="9"/>
      <c r="CS1365" s="9"/>
      <c r="CT1365" s="9"/>
      <c r="CU1365" s="9"/>
      <c r="CV1365" s="9"/>
      <c r="CW1365" s="129"/>
      <c r="CX1365" s="9"/>
    </row>
    <row r="1366" spans="1:102">
      <c r="A1366" s="6" t="str">
        <f t="shared" si="211"/>
        <v>02720605</v>
      </c>
      <c r="B1366" s="6" t="s">
        <v>1922</v>
      </c>
      <c r="C1366" s="6" t="s">
        <v>2006</v>
      </c>
      <c r="D1366" s="6">
        <v>1357</v>
      </c>
      <c r="E1366" s="6">
        <v>272</v>
      </c>
      <c r="F1366" s="6" t="s">
        <v>1390</v>
      </c>
      <c r="G1366" s="6">
        <v>605</v>
      </c>
      <c r="H1366" s="6" t="s">
        <v>1036</v>
      </c>
      <c r="I1366" s="33">
        <v>1475798.0579370467</v>
      </c>
      <c r="J1366" s="88">
        <v>0.50574070912533531</v>
      </c>
      <c r="K1366" s="89">
        <f t="shared" si="210"/>
        <v>1503306.4574189079</v>
      </c>
      <c r="L1366" s="88">
        <f>IF(K1369&gt;0, K1366/K1369, 0)</f>
        <v>0.53052602648404479</v>
      </c>
      <c r="M1366" s="58"/>
      <c r="N1366" s="9">
        <f>ROUND(M1369*L1366,0)</f>
        <v>929296</v>
      </c>
      <c r="O1366" s="9">
        <v>839459</v>
      </c>
      <c r="P1366" s="9">
        <f>N1366-O1366</f>
        <v>89837</v>
      </c>
      <c r="Q1366" s="40">
        <f t="shared" si="219"/>
        <v>10.701773404061425</v>
      </c>
      <c r="R1366" s="9">
        <v>103.99999999844</v>
      </c>
      <c r="S1366" s="9">
        <f t="shared" si="217"/>
        <v>104.00000000317</v>
      </c>
      <c r="T1366" s="90">
        <f t="shared" si="212"/>
        <v>272</v>
      </c>
      <c r="U1366" s="90">
        <f t="shared" si="213"/>
        <v>605</v>
      </c>
      <c r="V1366" s="373">
        <f t="shared" si="214"/>
        <v>1357</v>
      </c>
      <c r="W1366" s="90">
        <f t="shared" si="215"/>
        <v>104.00000000317</v>
      </c>
      <c r="X1366" s="90">
        <f t="shared" si="216"/>
        <v>1503306.4574189079</v>
      </c>
      <c r="Y1366" s="141">
        <f t="shared" si="218"/>
        <v>1357</v>
      </c>
      <c r="Z1366" s="298">
        <v>272</v>
      </c>
      <c r="AA1366" s="299">
        <v>605</v>
      </c>
      <c r="AB1366" s="299">
        <v>1357</v>
      </c>
      <c r="AC1366" s="301">
        <v>104.00000000317</v>
      </c>
      <c r="AD1366" s="301">
        <v>1503306.4574189079</v>
      </c>
      <c r="AE1366" s="126"/>
      <c r="AF1366" s="298"/>
      <c r="AG1366" s="299"/>
      <c r="AH1366" s="299"/>
      <c r="AI1366" s="301"/>
      <c r="AJ1366" s="301"/>
      <c r="AK1366" s="426"/>
      <c r="AL1366" s="298"/>
      <c r="AM1366" s="299"/>
      <c r="AN1366" s="299"/>
      <c r="AO1366" s="301"/>
      <c r="AP1366" s="301"/>
      <c r="AQ1366" s="426"/>
      <c r="AR1366" s="298"/>
      <c r="AS1366" s="299"/>
      <c r="AT1366" s="299"/>
      <c r="AU1366" s="301"/>
      <c r="AV1366" s="301"/>
      <c r="AW1366" s="88"/>
      <c r="AX1366" s="298"/>
      <c r="AY1366" s="299"/>
      <c r="AZ1366" s="299"/>
      <c r="BA1366" s="301"/>
      <c r="BB1366" s="301"/>
      <c r="BC1366" s="426"/>
      <c r="BD1366" s="298"/>
      <c r="BE1366" s="299"/>
      <c r="BF1366" s="299"/>
      <c r="BG1366" s="301"/>
      <c r="BH1366" s="301"/>
      <c r="BI1366" s="88"/>
      <c r="BJ1366" s="298"/>
      <c r="BK1366" s="299"/>
      <c r="BL1366" s="299"/>
      <c r="BM1366" s="301"/>
      <c r="BN1366" s="301"/>
      <c r="BO1366" s="88"/>
      <c r="BP1366" s="9"/>
      <c r="BS1366" s="81"/>
      <c r="BT1366" s="81"/>
      <c r="BV1366" s="9"/>
      <c r="BY1366" s="81"/>
      <c r="BZ1366" s="81"/>
      <c r="CB1366" s="9"/>
      <c r="CE1366" s="81"/>
      <c r="CF1366" s="81"/>
      <c r="CH1366" s="9"/>
      <c r="CK1366" s="81"/>
      <c r="CL1366" s="81"/>
      <c r="CR1366" s="9"/>
      <c r="CS1366" s="9"/>
      <c r="CT1366" s="9"/>
      <c r="CU1366" s="9"/>
      <c r="CV1366" s="9"/>
      <c r="CW1366" s="129"/>
      <c r="CX1366" s="9"/>
    </row>
    <row r="1367" spans="1:102">
      <c r="A1367" s="6" t="str">
        <f t="shared" si="211"/>
        <v>02720998</v>
      </c>
      <c r="B1367" s="6" t="s">
        <v>1922</v>
      </c>
      <c r="C1367" s="6" t="s">
        <v>2091</v>
      </c>
      <c r="D1367" s="6">
        <v>1358</v>
      </c>
      <c r="E1367" s="6">
        <v>272</v>
      </c>
      <c r="F1367" s="6" t="s">
        <v>1547</v>
      </c>
      <c r="G1367" s="6">
        <v>998</v>
      </c>
      <c r="H1367" s="6" t="s">
        <v>1547</v>
      </c>
      <c r="I1367" s="33">
        <v>0</v>
      </c>
      <c r="J1367" s="88">
        <v>0</v>
      </c>
      <c r="K1367" s="89">
        <f t="shared" si="210"/>
        <v>0</v>
      </c>
      <c r="L1367" s="88">
        <f>IF(K1369&gt;0, K1367/K1369, 0)</f>
        <v>0</v>
      </c>
      <c r="M1367" s="58"/>
      <c r="N1367" s="9">
        <f>ROUND(M1369*L1367,0)</f>
        <v>0</v>
      </c>
      <c r="O1367" s="9">
        <v>0</v>
      </c>
      <c r="P1367" s="9">
        <f>N1367-O1367</f>
        <v>0</v>
      </c>
      <c r="Q1367" s="40">
        <f t="shared" si="219"/>
        <v>0</v>
      </c>
      <c r="R1367" s="9">
        <v>0</v>
      </c>
      <c r="S1367" s="9">
        <f t="shared" si="217"/>
        <v>0</v>
      </c>
      <c r="T1367" s="90">
        <f t="shared" si="212"/>
        <v>272</v>
      </c>
      <c r="U1367" s="90">
        <f t="shared" si="213"/>
        <v>998</v>
      </c>
      <c r="V1367" s="373">
        <f t="shared" si="214"/>
        <v>1358</v>
      </c>
      <c r="W1367" s="90">
        <f t="shared" si="215"/>
        <v>0</v>
      </c>
      <c r="X1367" s="90">
        <f t="shared" si="216"/>
        <v>0</v>
      </c>
      <c r="Y1367" s="141">
        <f t="shared" si="218"/>
        <v>1358</v>
      </c>
      <c r="Z1367" s="298">
        <v>272</v>
      </c>
      <c r="AA1367" s="299">
        <v>998</v>
      </c>
      <c r="AB1367" s="299">
        <v>1358</v>
      </c>
      <c r="AC1367" s="301">
        <v>0</v>
      </c>
      <c r="AD1367" s="301">
        <v>0</v>
      </c>
      <c r="AE1367" s="126"/>
      <c r="AF1367" s="298"/>
      <c r="AG1367" s="299"/>
      <c r="AH1367" s="299"/>
      <c r="AI1367" s="301"/>
      <c r="AJ1367" s="301"/>
      <c r="AK1367" s="426"/>
      <c r="AL1367" s="298"/>
      <c r="AM1367" s="299"/>
      <c r="AN1367" s="299"/>
      <c r="AO1367" s="301"/>
      <c r="AP1367" s="301"/>
      <c r="AQ1367" s="426"/>
      <c r="AR1367" s="298"/>
      <c r="AS1367" s="299"/>
      <c r="AT1367" s="299"/>
      <c r="AU1367" s="301"/>
      <c r="AV1367" s="301"/>
      <c r="AW1367" s="88"/>
      <c r="AX1367" s="298"/>
      <c r="AY1367" s="299"/>
      <c r="AZ1367" s="299"/>
      <c r="BA1367" s="301"/>
      <c r="BB1367" s="301"/>
      <c r="BC1367" s="426"/>
      <c r="BD1367" s="298"/>
      <c r="BE1367" s="299"/>
      <c r="BF1367" s="299"/>
      <c r="BG1367" s="301"/>
      <c r="BH1367" s="301"/>
      <c r="BI1367" s="88"/>
      <c r="BJ1367" s="298"/>
      <c r="BK1367" s="299"/>
      <c r="BL1367" s="299"/>
      <c r="BM1367" s="301"/>
      <c r="BN1367" s="301"/>
      <c r="BO1367" s="88"/>
      <c r="BP1367" s="9"/>
      <c r="BS1367" s="81"/>
      <c r="BT1367" s="81"/>
      <c r="BV1367" s="9"/>
      <c r="BY1367" s="81"/>
      <c r="BZ1367" s="81"/>
      <c r="CB1367" s="9"/>
      <c r="CE1367" s="81"/>
      <c r="CF1367" s="81"/>
      <c r="CH1367" s="9"/>
      <c r="CK1367" s="81"/>
      <c r="CL1367" s="81"/>
      <c r="CR1367" s="9"/>
      <c r="CS1367" s="9"/>
      <c r="CT1367" s="9"/>
      <c r="CU1367" s="9"/>
      <c r="CV1367" s="9"/>
      <c r="CW1367" s="129"/>
      <c r="CX1367" s="9"/>
    </row>
    <row r="1368" spans="1:102">
      <c r="A1368" s="6" t="str">
        <f t="shared" si="211"/>
        <v>02720998</v>
      </c>
      <c r="B1368" s="6" t="s">
        <v>1922</v>
      </c>
      <c r="C1368" s="6" t="s">
        <v>2091</v>
      </c>
      <c r="D1368" s="6">
        <v>1359</v>
      </c>
      <c r="E1368" s="6">
        <v>272</v>
      </c>
      <c r="F1368" s="6" t="s">
        <v>1547</v>
      </c>
      <c r="G1368" s="6">
        <v>998</v>
      </c>
      <c r="H1368" s="6" t="s">
        <v>1547</v>
      </c>
      <c r="I1368" s="33">
        <v>0</v>
      </c>
      <c r="J1368" s="88">
        <v>0</v>
      </c>
      <c r="K1368" s="89">
        <f t="shared" si="210"/>
        <v>0</v>
      </c>
      <c r="L1368" s="88">
        <f>IF(K1369&gt;0, K1368/K1369, 0)</f>
        <v>0</v>
      </c>
      <c r="M1368" s="58"/>
      <c r="N1368" s="9">
        <f>ROUND(M1369*L1368,0)</f>
        <v>0</v>
      </c>
      <c r="O1368" s="9">
        <v>0</v>
      </c>
      <c r="P1368" s="9">
        <f>N1368-O1368</f>
        <v>0</v>
      </c>
      <c r="Q1368" s="40">
        <f t="shared" si="219"/>
        <v>0</v>
      </c>
      <c r="R1368" s="9">
        <v>0</v>
      </c>
      <c r="S1368" s="9">
        <f t="shared" si="217"/>
        <v>0</v>
      </c>
      <c r="T1368" s="90">
        <f t="shared" si="212"/>
        <v>272</v>
      </c>
      <c r="U1368" s="90">
        <f t="shared" si="213"/>
        <v>998</v>
      </c>
      <c r="V1368" s="373">
        <f t="shared" si="214"/>
        <v>1359</v>
      </c>
      <c r="W1368" s="90">
        <f t="shared" si="215"/>
        <v>0</v>
      </c>
      <c r="X1368" s="90">
        <f t="shared" si="216"/>
        <v>0</v>
      </c>
      <c r="Y1368" s="141">
        <f t="shared" si="218"/>
        <v>1359</v>
      </c>
      <c r="Z1368" s="298">
        <v>272</v>
      </c>
      <c r="AA1368" s="299">
        <v>998</v>
      </c>
      <c r="AB1368" s="299">
        <v>1359</v>
      </c>
      <c r="AC1368" s="301">
        <v>0</v>
      </c>
      <c r="AD1368" s="301">
        <v>0</v>
      </c>
      <c r="AE1368" s="126"/>
      <c r="AF1368" s="298"/>
      <c r="AG1368" s="299"/>
      <c r="AH1368" s="299"/>
      <c r="AI1368" s="301"/>
      <c r="AJ1368" s="301"/>
      <c r="AK1368" s="426"/>
      <c r="AL1368" s="298"/>
      <c r="AM1368" s="299"/>
      <c r="AN1368" s="299"/>
      <c r="AO1368" s="301"/>
      <c r="AP1368" s="301"/>
      <c r="AQ1368" s="426"/>
      <c r="AR1368" s="298"/>
      <c r="AS1368" s="299"/>
      <c r="AT1368" s="299"/>
      <c r="AU1368" s="301"/>
      <c r="AV1368" s="301"/>
      <c r="AW1368" s="88"/>
      <c r="AX1368" s="298"/>
      <c r="AY1368" s="299"/>
      <c r="AZ1368" s="299"/>
      <c r="BA1368" s="301"/>
      <c r="BB1368" s="301"/>
      <c r="BC1368" s="426"/>
      <c r="BD1368" s="298"/>
      <c r="BE1368" s="299"/>
      <c r="BF1368" s="299"/>
      <c r="BG1368" s="301"/>
      <c r="BH1368" s="301"/>
      <c r="BI1368" s="88"/>
      <c r="BJ1368" s="298"/>
      <c r="BK1368" s="299"/>
      <c r="BL1368" s="299"/>
      <c r="BM1368" s="301"/>
      <c r="BN1368" s="301"/>
      <c r="BO1368" s="88"/>
      <c r="BP1368" s="9"/>
      <c r="BS1368" s="81"/>
      <c r="BT1368" s="81"/>
      <c r="BV1368" s="9"/>
      <c r="BY1368" s="81"/>
      <c r="BZ1368" s="81"/>
      <c r="CB1368" s="9"/>
      <c r="CE1368" s="81"/>
      <c r="CF1368" s="81"/>
      <c r="CH1368" s="9"/>
      <c r="CK1368" s="81"/>
      <c r="CL1368" s="81"/>
      <c r="CR1368" s="9"/>
      <c r="CS1368" s="9"/>
      <c r="CT1368" s="9"/>
      <c r="CU1368" s="9"/>
      <c r="CV1368" s="9"/>
      <c r="CW1368" s="129"/>
      <c r="CX1368" s="9"/>
    </row>
    <row r="1369" spans="1:102">
      <c r="A1369" s="6" t="str">
        <f t="shared" si="211"/>
        <v>02720999</v>
      </c>
      <c r="B1369" s="6" t="s">
        <v>1922</v>
      </c>
      <c r="C1369" s="6" t="s">
        <v>2092</v>
      </c>
      <c r="D1369" s="6">
        <v>1360</v>
      </c>
      <c r="E1369" s="10">
        <v>272</v>
      </c>
      <c r="F1369" s="10" t="s">
        <v>1390</v>
      </c>
      <c r="G1369" s="10">
        <v>999</v>
      </c>
      <c r="H1369" s="10" t="s">
        <v>593</v>
      </c>
      <c r="I1369" s="92">
        <v>2918092.2779370463</v>
      </c>
      <c r="J1369" s="472">
        <v>1</v>
      </c>
      <c r="K1369" s="53">
        <f>SUM(K1365:K1368)</f>
        <v>2833614.9074189081</v>
      </c>
      <c r="L1369" s="91">
        <f>SUM(L1365:L1368)</f>
        <v>1</v>
      </c>
      <c r="M1369" s="79">
        <f>VLOOKUP(E1369,town351,24)</f>
        <v>1751651</v>
      </c>
      <c r="N1369" s="79">
        <f>SUM(N1365:N1368)</f>
        <v>1751651</v>
      </c>
      <c r="O1369" s="79">
        <v>1659860</v>
      </c>
      <c r="P1369" s="79">
        <f>SUM(P1365:P1368)</f>
        <v>91791</v>
      </c>
      <c r="Q1369" s="39">
        <f t="shared" si="219"/>
        <v>5.5300447025652764</v>
      </c>
      <c r="R1369" s="9">
        <v>214.99999999843999</v>
      </c>
      <c r="S1369" s="9">
        <f t="shared" si="217"/>
        <v>203.00000000316999</v>
      </c>
      <c r="T1369" s="90">
        <f t="shared" si="212"/>
        <v>272</v>
      </c>
      <c r="U1369" s="90">
        <f t="shared" si="213"/>
        <v>999</v>
      </c>
      <c r="V1369" s="373">
        <f t="shared" si="214"/>
        <v>1360</v>
      </c>
      <c r="W1369" s="90">
        <f t="shared" si="215"/>
        <v>203.00000000316999</v>
      </c>
      <c r="X1369" s="90">
        <f t="shared" si="216"/>
        <v>2833614.9074189081</v>
      </c>
      <c r="Y1369" s="141">
        <f t="shared" si="218"/>
        <v>1360</v>
      </c>
      <c r="Z1369" s="298">
        <v>272</v>
      </c>
      <c r="AA1369" s="299">
        <v>999</v>
      </c>
      <c r="AB1369" s="299">
        <v>1360</v>
      </c>
      <c r="AC1369" s="301">
        <v>203.00000000316999</v>
      </c>
      <c r="AD1369" s="301">
        <v>2833614.9074189081</v>
      </c>
      <c r="AE1369" s="126"/>
      <c r="AF1369" s="298"/>
      <c r="AG1369" s="299"/>
      <c r="AH1369" s="299"/>
      <c r="AI1369" s="301"/>
      <c r="AJ1369" s="301"/>
      <c r="AK1369" s="426"/>
      <c r="AL1369" s="298"/>
      <c r="AM1369" s="299"/>
      <c r="AN1369" s="299"/>
      <c r="AO1369" s="301"/>
      <c r="AP1369" s="301"/>
      <c r="AQ1369" s="426"/>
      <c r="AR1369" s="298"/>
      <c r="AS1369" s="299"/>
      <c r="AT1369" s="299"/>
      <c r="AU1369" s="301"/>
      <c r="AV1369" s="301"/>
      <c r="AW1369" s="91"/>
      <c r="AX1369" s="298"/>
      <c r="AY1369" s="299"/>
      <c r="AZ1369" s="299"/>
      <c r="BA1369" s="301"/>
      <c r="BB1369" s="301"/>
      <c r="BC1369" s="426"/>
      <c r="BD1369" s="298"/>
      <c r="BE1369" s="299"/>
      <c r="BF1369" s="299"/>
      <c r="BG1369" s="301"/>
      <c r="BH1369" s="301"/>
      <c r="BI1369" s="91"/>
      <c r="BJ1369" s="298"/>
      <c r="BK1369" s="299"/>
      <c r="BL1369" s="299"/>
      <c r="BM1369" s="301"/>
      <c r="BN1369" s="301"/>
      <c r="BO1369" s="91"/>
      <c r="BP1369" s="9"/>
      <c r="BS1369" s="81"/>
      <c r="BT1369" s="81"/>
      <c r="BV1369" s="9"/>
      <c r="BY1369" s="81"/>
      <c r="BZ1369" s="81"/>
      <c r="CB1369" s="9"/>
      <c r="CE1369" s="81"/>
      <c r="CF1369" s="81"/>
      <c r="CH1369" s="9"/>
      <c r="CK1369" s="81"/>
      <c r="CL1369" s="81"/>
      <c r="CR1369" s="9"/>
      <c r="CS1369" s="9"/>
      <c r="CT1369" s="9"/>
      <c r="CU1369" s="9"/>
      <c r="CV1369" s="9"/>
      <c r="CW1369" s="129"/>
      <c r="CX1369" s="9"/>
    </row>
    <row r="1370" spans="1:102">
      <c r="A1370" s="6" t="str">
        <f t="shared" si="211"/>
        <v>02730273</v>
      </c>
      <c r="B1370" s="6" t="s">
        <v>1923</v>
      </c>
      <c r="C1370" s="6" t="s">
        <v>1923</v>
      </c>
      <c r="D1370" s="6">
        <v>1361</v>
      </c>
      <c r="E1370" s="6">
        <v>273</v>
      </c>
      <c r="F1370" s="6" t="s">
        <v>1391</v>
      </c>
      <c r="G1370" s="6">
        <v>273</v>
      </c>
      <c r="H1370" s="6" t="s">
        <v>954</v>
      </c>
      <c r="I1370" s="33">
        <v>21144659.59</v>
      </c>
      <c r="J1370" s="88">
        <v>0.5980789586843801</v>
      </c>
      <c r="K1370" s="89">
        <f>X1370</f>
        <v>20961593.84</v>
      </c>
      <c r="L1370" s="88">
        <f>IF(K1374&gt;0, K1370/K1374, 0)</f>
        <v>0.58762237270291107</v>
      </c>
      <c r="M1370" s="58"/>
      <c r="N1370" s="9">
        <f>ROUND(M1374*L1370,0)</f>
        <v>10906308</v>
      </c>
      <c r="O1370" s="9">
        <v>10510731</v>
      </c>
      <c r="P1370" s="9">
        <f>N1370-O1370</f>
        <v>395577</v>
      </c>
      <c r="Q1370" s="40">
        <f t="shared" si="219"/>
        <v>3.7635536481715688</v>
      </c>
      <c r="R1370" s="9">
        <v>1628</v>
      </c>
      <c r="S1370" s="9">
        <f t="shared" si="217"/>
        <v>1587</v>
      </c>
      <c r="T1370" s="90">
        <f t="shared" si="212"/>
        <v>273</v>
      </c>
      <c r="U1370" s="90">
        <f t="shared" si="213"/>
        <v>273</v>
      </c>
      <c r="V1370" s="373">
        <f t="shared" si="214"/>
        <v>1361</v>
      </c>
      <c r="W1370" s="90">
        <f t="shared" si="215"/>
        <v>1587</v>
      </c>
      <c r="X1370" s="90">
        <f t="shared" si="216"/>
        <v>20961593.84</v>
      </c>
      <c r="Y1370" s="141">
        <f t="shared" si="218"/>
        <v>1361</v>
      </c>
      <c r="Z1370" s="298">
        <v>273</v>
      </c>
      <c r="AA1370" s="299">
        <v>273</v>
      </c>
      <c r="AB1370" s="299">
        <v>1361</v>
      </c>
      <c r="AC1370" s="301">
        <v>1587</v>
      </c>
      <c r="AD1370" s="301">
        <v>20961593.84</v>
      </c>
      <c r="AE1370" s="126"/>
      <c r="AF1370" s="298"/>
      <c r="AG1370" s="299"/>
      <c r="AH1370" s="299"/>
      <c r="AI1370" s="301"/>
      <c r="AJ1370" s="301"/>
      <c r="AK1370" s="426"/>
      <c r="AL1370" s="298"/>
      <c r="AM1370" s="299"/>
      <c r="AN1370" s="299"/>
      <c r="AO1370" s="301"/>
      <c r="AP1370" s="301"/>
      <c r="AQ1370" s="426"/>
      <c r="AR1370" s="298"/>
      <c r="AS1370" s="299"/>
      <c r="AT1370" s="299"/>
      <c r="AU1370" s="301"/>
      <c r="AV1370" s="301"/>
      <c r="AW1370" s="88"/>
      <c r="AX1370" s="298"/>
      <c r="AY1370" s="299"/>
      <c r="AZ1370" s="299"/>
      <c r="BA1370" s="301"/>
      <c r="BB1370" s="301"/>
      <c r="BC1370" s="426"/>
      <c r="BD1370" s="298"/>
      <c r="BE1370" s="299"/>
      <c r="BF1370" s="299"/>
      <c r="BG1370" s="301"/>
      <c r="BH1370" s="301"/>
      <c r="BI1370" s="88"/>
      <c r="BJ1370" s="298"/>
      <c r="BK1370" s="299"/>
      <c r="BL1370" s="299"/>
      <c r="BM1370" s="301"/>
      <c r="BN1370" s="301"/>
      <c r="BO1370" s="88"/>
      <c r="BP1370" s="9"/>
      <c r="BS1370" s="81"/>
      <c r="BT1370" s="81"/>
      <c r="BV1370" s="9"/>
      <c r="BY1370" s="81"/>
      <c r="BZ1370" s="81"/>
      <c r="CB1370" s="9"/>
      <c r="CE1370" s="81"/>
      <c r="CF1370" s="81"/>
      <c r="CH1370" s="9"/>
      <c r="CK1370" s="81"/>
      <c r="CL1370" s="81"/>
      <c r="CR1370" s="9"/>
      <c r="CS1370" s="9"/>
      <c r="CT1370" s="9"/>
      <c r="CU1370" s="9"/>
      <c r="CV1370" s="9"/>
      <c r="CW1370" s="129"/>
      <c r="CX1370" s="9"/>
    </row>
    <row r="1371" spans="1:102">
      <c r="A1371" s="6" t="str">
        <f t="shared" si="211"/>
        <v>02730763</v>
      </c>
      <c r="B1371" s="6" t="s">
        <v>1923</v>
      </c>
      <c r="C1371" s="6" t="s">
        <v>2052</v>
      </c>
      <c r="D1371" s="6">
        <v>1362</v>
      </c>
      <c r="E1371" s="6">
        <v>273</v>
      </c>
      <c r="F1371" s="6" t="s">
        <v>1391</v>
      </c>
      <c r="G1371" s="6">
        <v>763</v>
      </c>
      <c r="H1371" s="6" t="s">
        <v>1082</v>
      </c>
      <c r="I1371" s="33">
        <v>10487953.708732035</v>
      </c>
      <c r="J1371" s="88">
        <v>0.29665289271504597</v>
      </c>
      <c r="K1371" s="89">
        <f t="shared" si="210"/>
        <v>10709243.985871717</v>
      </c>
      <c r="L1371" s="88">
        <f>IF(K1374&gt;0, K1371/K1374, 0)</f>
        <v>0.30021530847638633</v>
      </c>
      <c r="M1371" s="58"/>
      <c r="N1371" s="9">
        <f>ROUND(M1374*L1371,0)</f>
        <v>5572015</v>
      </c>
      <c r="O1371" s="9">
        <v>5213423</v>
      </c>
      <c r="P1371" s="9">
        <f>N1371-O1371</f>
        <v>358592</v>
      </c>
      <c r="Q1371" s="40">
        <f t="shared" si="219"/>
        <v>6.8782448690620344</v>
      </c>
      <c r="R1371" s="9">
        <v>740.48393574702004</v>
      </c>
      <c r="S1371" s="9">
        <f t="shared" si="217"/>
        <v>723.00000000265004</v>
      </c>
      <c r="T1371" s="90">
        <f t="shared" si="212"/>
        <v>273</v>
      </c>
      <c r="U1371" s="90">
        <f t="shared" si="213"/>
        <v>763</v>
      </c>
      <c r="V1371" s="373">
        <f t="shared" si="214"/>
        <v>1362</v>
      </c>
      <c r="W1371" s="90">
        <f t="shared" si="215"/>
        <v>723.00000000265004</v>
      </c>
      <c r="X1371" s="90">
        <f t="shared" si="216"/>
        <v>10709243.985871717</v>
      </c>
      <c r="Y1371" s="141">
        <f t="shared" si="218"/>
        <v>1362</v>
      </c>
      <c r="Z1371" s="298">
        <v>273</v>
      </c>
      <c r="AA1371" s="299">
        <v>763</v>
      </c>
      <c r="AB1371" s="299">
        <v>1362</v>
      </c>
      <c r="AC1371" s="301">
        <v>723.00000000265004</v>
      </c>
      <c r="AD1371" s="301">
        <v>10709243.985871717</v>
      </c>
      <c r="AE1371" s="126"/>
      <c r="AF1371" s="298"/>
      <c r="AG1371" s="299"/>
      <c r="AH1371" s="299"/>
      <c r="AI1371" s="301"/>
      <c r="AJ1371" s="301"/>
      <c r="AK1371" s="426"/>
      <c r="AL1371" s="298"/>
      <c r="AM1371" s="299"/>
      <c r="AN1371" s="299"/>
      <c r="AO1371" s="301"/>
      <c r="AP1371" s="301"/>
      <c r="AQ1371" s="426"/>
      <c r="AR1371" s="298"/>
      <c r="AS1371" s="299"/>
      <c r="AT1371" s="299"/>
      <c r="AU1371" s="301"/>
      <c r="AV1371" s="301"/>
      <c r="AW1371" s="88"/>
      <c r="AX1371" s="298"/>
      <c r="AY1371" s="299"/>
      <c r="AZ1371" s="299"/>
      <c r="BA1371" s="301"/>
      <c r="BB1371" s="301"/>
      <c r="BC1371" s="426"/>
      <c r="BD1371" s="298"/>
      <c r="BE1371" s="299"/>
      <c r="BF1371" s="299"/>
      <c r="BG1371" s="301"/>
      <c r="BH1371" s="301"/>
      <c r="BI1371" s="88"/>
      <c r="BJ1371" s="298"/>
      <c r="BK1371" s="299"/>
      <c r="BL1371" s="299"/>
      <c r="BM1371" s="301"/>
      <c r="BN1371" s="301"/>
      <c r="BO1371" s="88"/>
      <c r="BP1371" s="9"/>
      <c r="BS1371" s="81"/>
      <c r="BT1371" s="81"/>
      <c r="BV1371" s="9"/>
      <c r="BY1371" s="81"/>
      <c r="BZ1371" s="81"/>
      <c r="CB1371" s="9"/>
      <c r="CE1371" s="81"/>
      <c r="CF1371" s="81"/>
      <c r="CH1371" s="9"/>
      <c r="CK1371" s="81"/>
      <c r="CL1371" s="81"/>
      <c r="CR1371" s="9"/>
      <c r="CS1371" s="9"/>
      <c r="CT1371" s="9"/>
      <c r="CU1371" s="9"/>
      <c r="CV1371" s="9"/>
      <c r="CW1371" s="129"/>
      <c r="CX1371" s="9"/>
    </row>
    <row r="1372" spans="1:102">
      <c r="A1372" s="6" t="str">
        <f t="shared" si="211"/>
        <v>02730821</v>
      </c>
      <c r="B1372" s="6" t="s">
        <v>1923</v>
      </c>
      <c r="C1372" s="6" t="s">
        <v>2069</v>
      </c>
      <c r="D1372" s="6">
        <v>1363</v>
      </c>
      <c r="E1372" s="6">
        <v>273</v>
      </c>
      <c r="F1372" s="6" t="s">
        <v>1391</v>
      </c>
      <c r="G1372" s="6">
        <v>821</v>
      </c>
      <c r="H1372" s="6" t="s">
        <v>1099</v>
      </c>
      <c r="I1372" s="33">
        <v>3232983.062992265</v>
      </c>
      <c r="J1372" s="88">
        <v>9.144527182046025E-2</v>
      </c>
      <c r="K1372" s="89">
        <f t="shared" si="210"/>
        <v>3313070.5869845925</v>
      </c>
      <c r="L1372" s="88">
        <f>IF(K1374&gt;0, K1372/K1374, 0)</f>
        <v>9.2876258080197227E-2</v>
      </c>
      <c r="M1372" s="58"/>
      <c r="N1372" s="9">
        <f>ROUND(M1374*L1372,0)</f>
        <v>1723789</v>
      </c>
      <c r="O1372" s="9">
        <v>1607073</v>
      </c>
      <c r="P1372" s="9">
        <f>N1372-O1372</f>
        <v>116716</v>
      </c>
      <c r="Q1372" s="40">
        <f t="shared" si="219"/>
        <v>7.2626445718396111</v>
      </c>
      <c r="R1372" s="9">
        <v>152.00000000450001</v>
      </c>
      <c r="S1372" s="9">
        <f t="shared" si="217"/>
        <v>151.00000000278001</v>
      </c>
      <c r="T1372" s="90">
        <f t="shared" si="212"/>
        <v>273</v>
      </c>
      <c r="U1372" s="90">
        <f t="shared" si="213"/>
        <v>821</v>
      </c>
      <c r="V1372" s="373">
        <f t="shared" si="214"/>
        <v>1363</v>
      </c>
      <c r="W1372" s="90">
        <f t="shared" si="215"/>
        <v>151.00000000278001</v>
      </c>
      <c r="X1372" s="90">
        <f t="shared" si="216"/>
        <v>3313070.5869845925</v>
      </c>
      <c r="Y1372" s="141">
        <f t="shared" si="218"/>
        <v>1363</v>
      </c>
      <c r="Z1372" s="298">
        <v>273</v>
      </c>
      <c r="AA1372" s="299">
        <v>821</v>
      </c>
      <c r="AB1372" s="299">
        <v>1363</v>
      </c>
      <c r="AC1372" s="301">
        <v>151.00000000278001</v>
      </c>
      <c r="AD1372" s="301">
        <v>3313070.5869845925</v>
      </c>
      <c r="AE1372" s="126"/>
      <c r="AF1372" s="298"/>
      <c r="AG1372" s="299"/>
      <c r="AH1372" s="299"/>
      <c r="AI1372" s="301"/>
      <c r="AJ1372" s="301"/>
      <c r="AK1372" s="426"/>
      <c r="AL1372" s="298"/>
      <c r="AM1372" s="299"/>
      <c r="AN1372" s="299"/>
      <c r="AO1372" s="301"/>
      <c r="AP1372" s="301"/>
      <c r="AQ1372" s="426"/>
      <c r="AR1372" s="298"/>
      <c r="AS1372" s="299"/>
      <c r="AT1372" s="299"/>
      <c r="AU1372" s="301"/>
      <c r="AV1372" s="301"/>
      <c r="AW1372" s="88"/>
      <c r="AX1372" s="298"/>
      <c r="AY1372" s="299"/>
      <c r="AZ1372" s="299"/>
      <c r="BA1372" s="301"/>
      <c r="BB1372" s="301"/>
      <c r="BC1372" s="426"/>
      <c r="BD1372" s="298"/>
      <c r="BE1372" s="299"/>
      <c r="BF1372" s="299"/>
      <c r="BG1372" s="301"/>
      <c r="BH1372" s="301"/>
      <c r="BI1372" s="88"/>
      <c r="BJ1372" s="298"/>
      <c r="BK1372" s="299"/>
      <c r="BL1372" s="299"/>
      <c r="BM1372" s="301"/>
      <c r="BN1372" s="301"/>
      <c r="BO1372" s="88"/>
      <c r="BP1372" s="9"/>
      <c r="BS1372" s="81"/>
      <c r="BT1372" s="81"/>
      <c r="BV1372" s="9"/>
      <c r="BY1372" s="81"/>
      <c r="BZ1372" s="81"/>
      <c r="CB1372" s="9"/>
      <c r="CE1372" s="81"/>
      <c r="CF1372" s="81"/>
      <c r="CH1372" s="9"/>
      <c r="CK1372" s="81"/>
      <c r="CL1372" s="81"/>
      <c r="CR1372" s="9"/>
      <c r="CS1372" s="9"/>
      <c r="CT1372" s="9"/>
      <c r="CU1372" s="9"/>
      <c r="CV1372" s="9"/>
      <c r="CW1372" s="129"/>
      <c r="CX1372" s="9"/>
    </row>
    <row r="1373" spans="1:102">
      <c r="A1373" s="6" t="str">
        <f t="shared" si="211"/>
        <v>02730910</v>
      </c>
      <c r="B1373" s="6" t="s">
        <v>1923</v>
      </c>
      <c r="C1373" s="6" t="s">
        <v>2088</v>
      </c>
      <c r="D1373" s="6">
        <v>1364</v>
      </c>
      <c r="E1373" s="6">
        <v>273</v>
      </c>
      <c r="F1373" s="6" t="s">
        <v>1391</v>
      </c>
      <c r="G1373" s="6">
        <v>910</v>
      </c>
      <c r="H1373" s="6" t="s">
        <v>1118</v>
      </c>
      <c r="I1373" s="33">
        <v>488698.05537542928</v>
      </c>
      <c r="J1373" s="88">
        <v>1.3822876780113643E-2</v>
      </c>
      <c r="K1373" s="89">
        <f t="shared" si="210"/>
        <v>687970.01406961621</v>
      </c>
      <c r="L1373" s="88">
        <f>IF(K1374&gt;0, K1373/K1374, 0)</f>
        <v>1.9286060740505359E-2</v>
      </c>
      <c r="M1373" s="58"/>
      <c r="N1373" s="9">
        <f>ROUND(M1374*L1373,0)</f>
        <v>357950</v>
      </c>
      <c r="O1373" s="9">
        <v>242925</v>
      </c>
      <c r="P1373" s="9">
        <f>N1373-O1373</f>
        <v>115025</v>
      </c>
      <c r="Q1373" s="40">
        <f t="shared" si="219"/>
        <v>47.350005145621076</v>
      </c>
      <c r="R1373" s="9">
        <v>24.000000000789999</v>
      </c>
      <c r="S1373" s="9">
        <f t="shared" si="217"/>
        <v>32.999999999960004</v>
      </c>
      <c r="T1373" s="90">
        <f t="shared" si="212"/>
        <v>273</v>
      </c>
      <c r="U1373" s="90">
        <f t="shared" si="213"/>
        <v>910</v>
      </c>
      <c r="V1373" s="373">
        <f t="shared" si="214"/>
        <v>1364</v>
      </c>
      <c r="W1373" s="90">
        <f t="shared" si="215"/>
        <v>32.999999999960004</v>
      </c>
      <c r="X1373" s="90">
        <f t="shared" si="216"/>
        <v>687970.01406961621</v>
      </c>
      <c r="Y1373" s="141">
        <f t="shared" si="218"/>
        <v>1364</v>
      </c>
      <c r="Z1373" s="298">
        <v>273</v>
      </c>
      <c r="AA1373" s="299">
        <v>910</v>
      </c>
      <c r="AB1373" s="299">
        <v>1364</v>
      </c>
      <c r="AC1373" s="301">
        <v>32.999999999960004</v>
      </c>
      <c r="AD1373" s="301">
        <v>687970.01406961621</v>
      </c>
      <c r="AE1373" s="126"/>
      <c r="AF1373" s="298"/>
      <c r="AG1373" s="299"/>
      <c r="AH1373" s="299"/>
      <c r="AI1373" s="301"/>
      <c r="AJ1373" s="301"/>
      <c r="AK1373" s="426"/>
      <c r="AL1373" s="298"/>
      <c r="AM1373" s="299"/>
      <c r="AN1373" s="299"/>
      <c r="AO1373" s="301"/>
      <c r="AP1373" s="301"/>
      <c r="AQ1373" s="426"/>
      <c r="AR1373" s="298"/>
      <c r="AS1373" s="299"/>
      <c r="AT1373" s="299"/>
      <c r="AU1373" s="301"/>
      <c r="AV1373" s="301"/>
      <c r="AW1373" s="88"/>
      <c r="AX1373" s="298"/>
      <c r="AY1373" s="299"/>
      <c r="AZ1373" s="299"/>
      <c r="BA1373" s="301"/>
      <c r="BB1373" s="301"/>
      <c r="BC1373" s="426"/>
      <c r="BD1373" s="298"/>
      <c r="BE1373" s="299"/>
      <c r="BF1373" s="299"/>
      <c r="BG1373" s="301"/>
      <c r="BH1373" s="301"/>
      <c r="BI1373" s="88"/>
      <c r="BJ1373" s="298"/>
      <c r="BK1373" s="299"/>
      <c r="BL1373" s="299"/>
      <c r="BM1373" s="301"/>
      <c r="BN1373" s="301"/>
      <c r="BO1373" s="88"/>
      <c r="BP1373" s="9"/>
      <c r="BS1373" s="81"/>
      <c r="BT1373" s="81"/>
      <c r="BV1373" s="9"/>
      <c r="BY1373" s="81"/>
      <c r="BZ1373" s="81"/>
      <c r="CB1373" s="9"/>
      <c r="CE1373" s="81"/>
      <c r="CF1373" s="81"/>
      <c r="CH1373" s="9"/>
      <c r="CK1373" s="81"/>
      <c r="CL1373" s="81"/>
      <c r="CR1373" s="9"/>
      <c r="CS1373" s="9"/>
      <c r="CT1373" s="9"/>
      <c r="CU1373" s="9"/>
      <c r="CV1373" s="9"/>
      <c r="CW1373" s="129"/>
      <c r="CX1373" s="9"/>
    </row>
    <row r="1374" spans="1:102">
      <c r="A1374" s="6" t="str">
        <f t="shared" si="211"/>
        <v>02730999</v>
      </c>
      <c r="B1374" s="6" t="s">
        <v>1923</v>
      </c>
      <c r="C1374" s="6" t="s">
        <v>2092</v>
      </c>
      <c r="D1374" s="6">
        <v>1365</v>
      </c>
      <c r="E1374" s="10">
        <v>273</v>
      </c>
      <c r="F1374" s="10" t="s">
        <v>1391</v>
      </c>
      <c r="G1374" s="10">
        <v>999</v>
      </c>
      <c r="H1374" s="10" t="s">
        <v>593</v>
      </c>
      <c r="I1374" s="92">
        <v>35354294.417099729</v>
      </c>
      <c r="J1374" s="472">
        <v>0.99999999999999989</v>
      </c>
      <c r="K1374" s="53">
        <f>SUM(K1370:K1373)</f>
        <v>35671878.426925927</v>
      </c>
      <c r="L1374" s="91">
        <f>SUM(L1370:L1373)</f>
        <v>0.99999999999999989</v>
      </c>
      <c r="M1374" s="79">
        <f>VLOOKUP(E1374,town351,24)</f>
        <v>18560062</v>
      </c>
      <c r="N1374" s="79">
        <f>SUM(N1370:N1373)</f>
        <v>18560062</v>
      </c>
      <c r="O1374" s="79">
        <v>17574152</v>
      </c>
      <c r="P1374" s="79">
        <f>SUM(P1370:P1373)</f>
        <v>985910</v>
      </c>
      <c r="Q1374" s="39">
        <f t="shared" si="219"/>
        <v>5.6100004142447384</v>
      </c>
      <c r="R1374" s="9">
        <v>2544.4839357523101</v>
      </c>
      <c r="S1374" s="9">
        <f t="shared" si="217"/>
        <v>2494.0000000053901</v>
      </c>
      <c r="T1374" s="90">
        <f t="shared" si="212"/>
        <v>273</v>
      </c>
      <c r="U1374" s="90">
        <f t="shared" si="213"/>
        <v>999</v>
      </c>
      <c r="V1374" s="373">
        <f t="shared" si="214"/>
        <v>1365</v>
      </c>
      <c r="W1374" s="90">
        <f t="shared" si="215"/>
        <v>2494.0000000053901</v>
      </c>
      <c r="X1374" s="90">
        <f t="shared" si="216"/>
        <v>35671878.426925927</v>
      </c>
      <c r="Y1374" s="141">
        <f t="shared" si="218"/>
        <v>1365</v>
      </c>
      <c r="Z1374" s="298">
        <v>273</v>
      </c>
      <c r="AA1374" s="299">
        <v>999</v>
      </c>
      <c r="AB1374" s="299">
        <v>1365</v>
      </c>
      <c r="AC1374" s="301">
        <v>2494.0000000053901</v>
      </c>
      <c r="AD1374" s="301">
        <v>35671878.426925927</v>
      </c>
      <c r="AE1374" s="126"/>
      <c r="AF1374" s="298"/>
      <c r="AG1374" s="299"/>
      <c r="AH1374" s="299"/>
      <c r="AI1374" s="301"/>
      <c r="AJ1374" s="301"/>
      <c r="AK1374" s="426"/>
      <c r="AL1374" s="298"/>
      <c r="AM1374" s="299"/>
      <c r="AN1374" s="299"/>
      <c r="AO1374" s="301"/>
      <c r="AP1374" s="301"/>
      <c r="AQ1374" s="426"/>
      <c r="AR1374" s="298"/>
      <c r="AS1374" s="299"/>
      <c r="AT1374" s="299"/>
      <c r="AU1374" s="301"/>
      <c r="AV1374" s="301"/>
      <c r="AW1374" s="91"/>
      <c r="AX1374" s="298"/>
      <c r="AY1374" s="299"/>
      <c r="AZ1374" s="299"/>
      <c r="BA1374" s="301"/>
      <c r="BB1374" s="301"/>
      <c r="BC1374" s="426"/>
      <c r="BD1374" s="298"/>
      <c r="BE1374" s="299"/>
      <c r="BF1374" s="299"/>
      <c r="BG1374" s="301"/>
      <c r="BH1374" s="301"/>
      <c r="BI1374" s="91"/>
      <c r="BJ1374" s="298"/>
      <c r="BK1374" s="299"/>
      <c r="BL1374" s="299"/>
      <c r="BM1374" s="301"/>
      <c r="BN1374" s="301"/>
      <c r="BO1374" s="91"/>
      <c r="BP1374" s="9"/>
      <c r="BS1374" s="81"/>
      <c r="BT1374" s="81"/>
      <c r="BV1374" s="9"/>
      <c r="BY1374" s="81"/>
      <c r="BZ1374" s="81"/>
      <c r="CB1374" s="9"/>
      <c r="CE1374" s="81"/>
      <c r="CF1374" s="81"/>
      <c r="CH1374" s="9"/>
      <c r="CK1374" s="81"/>
      <c r="CL1374" s="81"/>
      <c r="CR1374" s="9"/>
      <c r="CS1374" s="9"/>
      <c r="CT1374" s="9"/>
      <c r="CU1374" s="9"/>
      <c r="CV1374" s="9"/>
      <c r="CW1374" s="129"/>
      <c r="CX1374" s="9"/>
    </row>
    <row r="1375" spans="1:102">
      <c r="A1375" s="6" t="str">
        <f t="shared" si="211"/>
        <v>02740274</v>
      </c>
      <c r="B1375" s="6" t="s">
        <v>1924</v>
      </c>
      <c r="C1375" s="6" t="s">
        <v>1924</v>
      </c>
      <c r="D1375" s="6">
        <v>1366</v>
      </c>
      <c r="E1375" s="6">
        <v>274</v>
      </c>
      <c r="F1375" s="6" t="s">
        <v>1392</v>
      </c>
      <c r="G1375" s="6">
        <v>274</v>
      </c>
      <c r="H1375" s="6" t="s">
        <v>955</v>
      </c>
      <c r="I1375" s="33">
        <v>88070540.975499988</v>
      </c>
      <c r="J1375" s="88">
        <v>1</v>
      </c>
      <c r="K1375" s="89">
        <f>X1375</f>
        <v>92273702.112999991</v>
      </c>
      <c r="L1375" s="88">
        <f>IF(K1379&gt;0, K1375/K1379, 0)</f>
        <v>1</v>
      </c>
      <c r="M1375" s="58"/>
      <c r="N1375" s="9">
        <f>ROUND(M1379*L1375,0)</f>
        <v>76125804</v>
      </c>
      <c r="O1375" s="9">
        <v>71896983</v>
      </c>
      <c r="P1375" s="9">
        <f>N1375-O1375</f>
        <v>4228821</v>
      </c>
      <c r="Q1375" s="40">
        <f t="shared" si="219"/>
        <v>5.8817780990893596</v>
      </c>
      <c r="R1375" s="9">
        <v>5100</v>
      </c>
      <c r="S1375" s="9">
        <f t="shared" si="217"/>
        <v>5146</v>
      </c>
      <c r="T1375" s="90">
        <f t="shared" si="212"/>
        <v>274</v>
      </c>
      <c r="U1375" s="90">
        <f t="shared" si="213"/>
        <v>274</v>
      </c>
      <c r="V1375" s="373">
        <f t="shared" si="214"/>
        <v>1366</v>
      </c>
      <c r="W1375" s="90">
        <f t="shared" si="215"/>
        <v>5146</v>
      </c>
      <c r="X1375" s="90">
        <f t="shared" si="216"/>
        <v>92273702.112999991</v>
      </c>
      <c r="Y1375" s="141">
        <f t="shared" si="218"/>
        <v>1366</v>
      </c>
      <c r="Z1375" s="298">
        <v>274</v>
      </c>
      <c r="AA1375" s="299">
        <v>274</v>
      </c>
      <c r="AB1375" s="299">
        <v>1366</v>
      </c>
      <c r="AC1375" s="301">
        <v>5146</v>
      </c>
      <c r="AD1375" s="301">
        <v>92273702.112999991</v>
      </c>
      <c r="AE1375" s="126"/>
      <c r="AF1375" s="298"/>
      <c r="AG1375" s="299"/>
      <c r="AH1375" s="299"/>
      <c r="AI1375" s="301"/>
      <c r="AJ1375" s="301"/>
      <c r="AK1375" s="426"/>
      <c r="AL1375" s="298"/>
      <c r="AM1375" s="299"/>
      <c r="AN1375" s="299"/>
      <c r="AO1375" s="301"/>
      <c r="AP1375" s="301"/>
      <c r="AQ1375" s="426"/>
      <c r="AR1375" s="298"/>
      <c r="AS1375" s="299"/>
      <c r="AT1375" s="299"/>
      <c r="AU1375" s="301"/>
      <c r="AV1375" s="301"/>
      <c r="AW1375" s="88"/>
      <c r="AX1375" s="298"/>
      <c r="AY1375" s="299"/>
      <c r="AZ1375" s="299"/>
      <c r="BA1375" s="301"/>
      <c r="BB1375" s="301"/>
      <c r="BC1375" s="426"/>
      <c r="BD1375" s="298"/>
      <c r="BE1375" s="299"/>
      <c r="BF1375" s="299"/>
      <c r="BG1375" s="301"/>
      <c r="BH1375" s="301"/>
      <c r="BI1375" s="88"/>
      <c r="BJ1375" s="298"/>
      <c r="BK1375" s="299"/>
      <c r="BL1375" s="299"/>
      <c r="BM1375" s="301"/>
      <c r="BN1375" s="301"/>
      <c r="BO1375" s="88"/>
      <c r="BP1375" s="9"/>
      <c r="BS1375" s="81"/>
      <c r="BT1375" s="81"/>
      <c r="BV1375" s="9"/>
      <c r="BY1375" s="81"/>
      <c r="BZ1375" s="81"/>
      <c r="CB1375" s="9"/>
      <c r="CE1375" s="81"/>
      <c r="CF1375" s="81"/>
      <c r="CH1375" s="9"/>
      <c r="CK1375" s="81"/>
      <c r="CL1375" s="81"/>
      <c r="CR1375" s="9"/>
      <c r="CS1375" s="9"/>
      <c r="CT1375" s="9"/>
      <c r="CU1375" s="9"/>
      <c r="CV1375" s="9"/>
      <c r="CW1375" s="129"/>
      <c r="CX1375" s="9"/>
    </row>
    <row r="1376" spans="1:102">
      <c r="A1376" s="6" t="str">
        <f t="shared" si="211"/>
        <v>02740998</v>
      </c>
      <c r="B1376" s="6" t="s">
        <v>1924</v>
      </c>
      <c r="C1376" s="6" t="s">
        <v>2091</v>
      </c>
      <c r="D1376" s="6">
        <v>1367</v>
      </c>
      <c r="E1376" s="6">
        <v>274</v>
      </c>
      <c r="F1376" s="6" t="s">
        <v>1547</v>
      </c>
      <c r="G1376" s="6">
        <v>998</v>
      </c>
      <c r="H1376" s="6" t="s">
        <v>1547</v>
      </c>
      <c r="I1376" s="33">
        <v>0</v>
      </c>
      <c r="J1376" s="88">
        <v>0</v>
      </c>
      <c r="K1376" s="89">
        <f t="shared" si="210"/>
        <v>0</v>
      </c>
      <c r="L1376" s="88">
        <f>IF(K1379&gt;0, K1376/K1379, 0)</f>
        <v>0</v>
      </c>
      <c r="M1376" s="58"/>
      <c r="N1376" s="9">
        <f>ROUND(M1379*L1376,0)</f>
        <v>0</v>
      </c>
      <c r="O1376" s="9">
        <v>0</v>
      </c>
      <c r="P1376" s="9">
        <f>N1376-O1376</f>
        <v>0</v>
      </c>
      <c r="Q1376" s="40">
        <f t="shared" si="219"/>
        <v>0</v>
      </c>
      <c r="R1376" s="9">
        <v>0</v>
      </c>
      <c r="S1376" s="9">
        <f t="shared" si="217"/>
        <v>0</v>
      </c>
      <c r="T1376" s="90">
        <f t="shared" si="212"/>
        <v>274</v>
      </c>
      <c r="U1376" s="90">
        <f t="shared" si="213"/>
        <v>998</v>
      </c>
      <c r="V1376" s="373">
        <f t="shared" si="214"/>
        <v>1367</v>
      </c>
      <c r="W1376" s="90">
        <f t="shared" si="215"/>
        <v>0</v>
      </c>
      <c r="X1376" s="90">
        <f t="shared" si="216"/>
        <v>0</v>
      </c>
      <c r="Y1376" s="141">
        <f t="shared" si="218"/>
        <v>1367</v>
      </c>
      <c r="Z1376" s="298">
        <v>274</v>
      </c>
      <c r="AA1376" s="299">
        <v>998</v>
      </c>
      <c r="AB1376" s="299">
        <v>1367</v>
      </c>
      <c r="AC1376" s="301">
        <v>0</v>
      </c>
      <c r="AD1376" s="301">
        <v>0</v>
      </c>
      <c r="AE1376" s="126"/>
      <c r="AF1376" s="298"/>
      <c r="AG1376" s="299"/>
      <c r="AH1376" s="299"/>
      <c r="AI1376" s="301"/>
      <c r="AJ1376" s="301"/>
      <c r="AK1376" s="426"/>
      <c r="AL1376" s="298"/>
      <c r="AM1376" s="299"/>
      <c r="AN1376" s="299"/>
      <c r="AO1376" s="301"/>
      <c r="AP1376" s="301"/>
      <c r="AQ1376" s="426"/>
      <c r="AR1376" s="298"/>
      <c r="AS1376" s="299"/>
      <c r="AT1376" s="299"/>
      <c r="AU1376" s="301"/>
      <c r="AV1376" s="301"/>
      <c r="AW1376" s="88"/>
      <c r="AX1376" s="298"/>
      <c r="AY1376" s="299"/>
      <c r="AZ1376" s="299"/>
      <c r="BA1376" s="301"/>
      <c r="BB1376" s="301"/>
      <c r="BC1376" s="426"/>
      <c r="BD1376" s="298"/>
      <c r="BE1376" s="299"/>
      <c r="BF1376" s="299"/>
      <c r="BG1376" s="301"/>
      <c r="BH1376" s="301"/>
      <c r="BI1376" s="88"/>
      <c r="BJ1376" s="298"/>
      <c r="BK1376" s="299"/>
      <c r="BL1376" s="299"/>
      <c r="BM1376" s="301"/>
      <c r="BN1376" s="301"/>
      <c r="BO1376" s="88"/>
      <c r="BP1376" s="9"/>
      <c r="BS1376" s="81"/>
      <c r="BT1376" s="81"/>
      <c r="BV1376" s="9"/>
      <c r="BY1376" s="81"/>
      <c r="BZ1376" s="81"/>
      <c r="CB1376" s="9"/>
      <c r="CE1376" s="81"/>
      <c r="CF1376" s="81"/>
      <c r="CH1376" s="9"/>
      <c r="CK1376" s="81"/>
      <c r="CL1376" s="81"/>
      <c r="CR1376" s="9"/>
      <c r="CS1376" s="9"/>
      <c r="CT1376" s="9"/>
      <c r="CU1376" s="9"/>
      <c r="CV1376" s="9"/>
      <c r="CW1376" s="129"/>
      <c r="CX1376" s="9"/>
    </row>
    <row r="1377" spans="1:102">
      <c r="A1377" s="6" t="str">
        <f t="shared" si="211"/>
        <v>02740998</v>
      </c>
      <c r="B1377" s="6" t="s">
        <v>1924</v>
      </c>
      <c r="C1377" s="6" t="s">
        <v>2091</v>
      </c>
      <c r="D1377" s="6">
        <v>1368</v>
      </c>
      <c r="E1377" s="6">
        <v>274</v>
      </c>
      <c r="F1377" s="6" t="s">
        <v>1547</v>
      </c>
      <c r="G1377" s="6">
        <v>998</v>
      </c>
      <c r="H1377" s="6" t="s">
        <v>1547</v>
      </c>
      <c r="I1377" s="33">
        <v>0</v>
      </c>
      <c r="J1377" s="88">
        <v>0</v>
      </c>
      <c r="K1377" s="89">
        <f t="shared" si="210"/>
        <v>0</v>
      </c>
      <c r="L1377" s="88">
        <f>IF(K1379&gt;0, K1377/K1379, 0)</f>
        <v>0</v>
      </c>
      <c r="M1377" s="58"/>
      <c r="N1377" s="9">
        <f>ROUND(M1379*L1377,0)</f>
        <v>0</v>
      </c>
      <c r="O1377" s="9">
        <v>0</v>
      </c>
      <c r="P1377" s="9">
        <f>N1377-O1377</f>
        <v>0</v>
      </c>
      <c r="Q1377" s="40">
        <f t="shared" si="219"/>
        <v>0</v>
      </c>
      <c r="R1377" s="9">
        <v>0</v>
      </c>
      <c r="S1377" s="9">
        <f t="shared" si="217"/>
        <v>0</v>
      </c>
      <c r="T1377" s="90">
        <f t="shared" si="212"/>
        <v>274</v>
      </c>
      <c r="U1377" s="90">
        <f t="shared" si="213"/>
        <v>998</v>
      </c>
      <c r="V1377" s="373">
        <f t="shared" si="214"/>
        <v>1368</v>
      </c>
      <c r="W1377" s="90">
        <f t="shared" si="215"/>
        <v>0</v>
      </c>
      <c r="X1377" s="90">
        <f t="shared" si="216"/>
        <v>0</v>
      </c>
      <c r="Y1377" s="141">
        <f t="shared" si="218"/>
        <v>1368</v>
      </c>
      <c r="Z1377" s="298">
        <v>274</v>
      </c>
      <c r="AA1377" s="299">
        <v>998</v>
      </c>
      <c r="AB1377" s="299">
        <v>1368</v>
      </c>
      <c r="AC1377" s="301">
        <v>0</v>
      </c>
      <c r="AD1377" s="301">
        <v>0</v>
      </c>
      <c r="AE1377" s="126"/>
      <c r="AF1377" s="298"/>
      <c r="AG1377" s="299"/>
      <c r="AH1377" s="299"/>
      <c r="AI1377" s="301"/>
      <c r="AJ1377" s="301"/>
      <c r="AK1377" s="426"/>
      <c r="AL1377" s="298"/>
      <c r="AM1377" s="299"/>
      <c r="AN1377" s="299"/>
      <c r="AO1377" s="301"/>
      <c r="AP1377" s="301"/>
      <c r="AQ1377" s="426"/>
      <c r="AR1377" s="298"/>
      <c r="AS1377" s="299"/>
      <c r="AT1377" s="299"/>
      <c r="AU1377" s="301"/>
      <c r="AV1377" s="301"/>
      <c r="AW1377" s="88"/>
      <c r="AX1377" s="298"/>
      <c r="AY1377" s="299"/>
      <c r="AZ1377" s="299"/>
      <c r="BA1377" s="301"/>
      <c r="BB1377" s="301"/>
      <c r="BC1377" s="426"/>
      <c r="BD1377" s="298"/>
      <c r="BE1377" s="299"/>
      <c r="BF1377" s="299"/>
      <c r="BG1377" s="301"/>
      <c r="BH1377" s="301"/>
      <c r="BI1377" s="88"/>
      <c r="BJ1377" s="298"/>
      <c r="BK1377" s="299"/>
      <c r="BL1377" s="299"/>
      <c r="BM1377" s="301"/>
      <c r="BN1377" s="301"/>
      <c r="BO1377" s="88"/>
      <c r="BP1377" s="9"/>
      <c r="BS1377" s="81"/>
      <c r="BT1377" s="81"/>
      <c r="BV1377" s="9"/>
      <c r="BY1377" s="81"/>
      <c r="BZ1377" s="81"/>
      <c r="CB1377" s="9"/>
      <c r="CE1377" s="81"/>
      <c r="CF1377" s="81"/>
      <c r="CH1377" s="9"/>
      <c r="CK1377" s="81"/>
      <c r="CL1377" s="81"/>
      <c r="CR1377" s="9"/>
      <c r="CS1377" s="9"/>
      <c r="CT1377" s="9"/>
      <c r="CU1377" s="9"/>
      <c r="CV1377" s="9"/>
      <c r="CW1377" s="129"/>
      <c r="CX1377" s="9"/>
    </row>
    <row r="1378" spans="1:102">
      <c r="A1378" s="6" t="str">
        <f t="shared" si="211"/>
        <v>02740998</v>
      </c>
      <c r="B1378" s="6" t="s">
        <v>1924</v>
      </c>
      <c r="C1378" s="6" t="s">
        <v>2091</v>
      </c>
      <c r="D1378" s="6">
        <v>1369</v>
      </c>
      <c r="E1378" s="6">
        <v>274</v>
      </c>
      <c r="F1378" s="6" t="s">
        <v>1547</v>
      </c>
      <c r="G1378" s="6">
        <v>998</v>
      </c>
      <c r="H1378" s="6" t="s">
        <v>1547</v>
      </c>
      <c r="I1378" s="33">
        <v>0</v>
      </c>
      <c r="J1378" s="88">
        <v>0</v>
      </c>
      <c r="K1378" s="89">
        <f t="shared" si="210"/>
        <v>0</v>
      </c>
      <c r="L1378" s="88">
        <f>IF(K1379&gt;0, K1378/K1379, 0)</f>
        <v>0</v>
      </c>
      <c r="M1378" s="58"/>
      <c r="N1378" s="9">
        <f>ROUND(M1379*L1378,0)</f>
        <v>0</v>
      </c>
      <c r="O1378" s="9">
        <v>0</v>
      </c>
      <c r="P1378" s="9">
        <f>N1378-O1378</f>
        <v>0</v>
      </c>
      <c r="Q1378" s="40">
        <f t="shared" si="219"/>
        <v>0</v>
      </c>
      <c r="R1378" s="9">
        <v>0</v>
      </c>
      <c r="S1378" s="9">
        <f t="shared" si="217"/>
        <v>0</v>
      </c>
      <c r="T1378" s="90">
        <f t="shared" si="212"/>
        <v>274</v>
      </c>
      <c r="U1378" s="90">
        <f t="shared" si="213"/>
        <v>998</v>
      </c>
      <c r="V1378" s="373">
        <f t="shared" si="214"/>
        <v>1369</v>
      </c>
      <c r="W1378" s="90">
        <f t="shared" si="215"/>
        <v>0</v>
      </c>
      <c r="X1378" s="90">
        <f t="shared" si="216"/>
        <v>0</v>
      </c>
      <c r="Y1378" s="141">
        <f t="shared" si="218"/>
        <v>1369</v>
      </c>
      <c r="Z1378" s="298">
        <v>274</v>
      </c>
      <c r="AA1378" s="299">
        <v>998</v>
      </c>
      <c r="AB1378" s="299">
        <v>1369</v>
      </c>
      <c r="AC1378" s="301">
        <v>0</v>
      </c>
      <c r="AD1378" s="301">
        <v>0</v>
      </c>
      <c r="AE1378" s="126"/>
      <c r="AF1378" s="298"/>
      <c r="AG1378" s="299"/>
      <c r="AH1378" s="299"/>
      <c r="AI1378" s="301"/>
      <c r="AJ1378" s="301"/>
      <c r="AK1378" s="426"/>
      <c r="AL1378" s="298"/>
      <c r="AM1378" s="299"/>
      <c r="AN1378" s="299"/>
      <c r="AO1378" s="301"/>
      <c r="AP1378" s="301"/>
      <c r="AQ1378" s="426"/>
      <c r="AR1378" s="298"/>
      <c r="AS1378" s="299"/>
      <c r="AT1378" s="299"/>
      <c r="AU1378" s="301"/>
      <c r="AV1378" s="301"/>
      <c r="AW1378" s="88"/>
      <c r="AX1378" s="298"/>
      <c r="AY1378" s="299"/>
      <c r="AZ1378" s="299"/>
      <c r="BA1378" s="301"/>
      <c r="BB1378" s="301"/>
      <c r="BC1378" s="426"/>
      <c r="BD1378" s="298"/>
      <c r="BE1378" s="299"/>
      <c r="BF1378" s="299"/>
      <c r="BG1378" s="301"/>
      <c r="BH1378" s="301"/>
      <c r="BI1378" s="88"/>
      <c r="BJ1378" s="298"/>
      <c r="BK1378" s="299"/>
      <c r="BL1378" s="299"/>
      <c r="BM1378" s="301"/>
      <c r="BN1378" s="301"/>
      <c r="BO1378" s="88"/>
      <c r="BP1378" s="9"/>
      <c r="BS1378" s="81"/>
      <c r="BT1378" s="81"/>
      <c r="BV1378" s="9"/>
      <c r="BY1378" s="81"/>
      <c r="BZ1378" s="81"/>
      <c r="CB1378" s="9"/>
      <c r="CE1378" s="81"/>
      <c r="CF1378" s="81"/>
      <c r="CH1378" s="9"/>
      <c r="CK1378" s="81"/>
      <c r="CL1378" s="81"/>
      <c r="CR1378" s="9"/>
      <c r="CS1378" s="9"/>
      <c r="CT1378" s="9"/>
      <c r="CU1378" s="9"/>
      <c r="CV1378" s="9"/>
      <c r="CW1378" s="129"/>
      <c r="CX1378" s="9"/>
    </row>
    <row r="1379" spans="1:102">
      <c r="A1379" s="6" t="str">
        <f t="shared" si="211"/>
        <v>02740999</v>
      </c>
      <c r="B1379" s="6" t="s">
        <v>1924</v>
      </c>
      <c r="C1379" s="6" t="s">
        <v>2092</v>
      </c>
      <c r="D1379" s="6">
        <v>1370</v>
      </c>
      <c r="E1379" s="10">
        <v>274</v>
      </c>
      <c r="F1379" s="10" t="s">
        <v>1392</v>
      </c>
      <c r="G1379" s="10">
        <v>999</v>
      </c>
      <c r="H1379" s="10" t="s">
        <v>593</v>
      </c>
      <c r="I1379" s="92">
        <v>88070540.975499988</v>
      </c>
      <c r="J1379" s="472">
        <v>1</v>
      </c>
      <c r="K1379" s="53">
        <f>SUM(K1375:K1378)</f>
        <v>92273702.112999991</v>
      </c>
      <c r="L1379" s="91">
        <f>SUM(L1375:L1378)</f>
        <v>1</v>
      </c>
      <c r="M1379" s="79">
        <f>VLOOKUP(E1379,town351,24)</f>
        <v>76125804</v>
      </c>
      <c r="N1379" s="79">
        <f>SUM(N1375:N1378)</f>
        <v>76125804</v>
      </c>
      <c r="O1379" s="79">
        <v>71896983</v>
      </c>
      <c r="P1379" s="79">
        <f>SUM(P1375:P1378)</f>
        <v>4228821</v>
      </c>
      <c r="Q1379" s="39">
        <f t="shared" si="219"/>
        <v>5.8817780990893596</v>
      </c>
      <c r="R1379" s="9">
        <v>5100</v>
      </c>
      <c r="S1379" s="9">
        <f t="shared" si="217"/>
        <v>5146</v>
      </c>
      <c r="T1379" s="90">
        <f t="shared" si="212"/>
        <v>274</v>
      </c>
      <c r="U1379" s="90">
        <f t="shared" si="213"/>
        <v>999</v>
      </c>
      <c r="V1379" s="373">
        <f t="shared" si="214"/>
        <v>1370</v>
      </c>
      <c r="W1379" s="90">
        <f t="shared" si="215"/>
        <v>5146</v>
      </c>
      <c r="X1379" s="90">
        <f t="shared" si="216"/>
        <v>92273702.112999991</v>
      </c>
      <c r="Y1379" s="141">
        <f t="shared" si="218"/>
        <v>1370</v>
      </c>
      <c r="Z1379" s="298">
        <v>274</v>
      </c>
      <c r="AA1379" s="299">
        <v>999</v>
      </c>
      <c r="AB1379" s="299">
        <v>1370</v>
      </c>
      <c r="AC1379" s="301">
        <v>5146</v>
      </c>
      <c r="AD1379" s="301">
        <v>92273702.112999991</v>
      </c>
      <c r="AE1379" s="126"/>
      <c r="AF1379" s="298"/>
      <c r="AG1379" s="299"/>
      <c r="AH1379" s="299"/>
      <c r="AI1379" s="301"/>
      <c r="AJ1379" s="301"/>
      <c r="AK1379" s="426"/>
      <c r="AL1379" s="298"/>
      <c r="AM1379" s="299"/>
      <c r="AN1379" s="299"/>
      <c r="AO1379" s="301"/>
      <c r="AP1379" s="301"/>
      <c r="AQ1379" s="426"/>
      <c r="AR1379" s="298"/>
      <c r="AS1379" s="299"/>
      <c r="AT1379" s="299"/>
      <c r="AU1379" s="301"/>
      <c r="AV1379" s="301"/>
      <c r="AW1379" s="91"/>
      <c r="AX1379" s="298"/>
      <c r="AY1379" s="299"/>
      <c r="AZ1379" s="299"/>
      <c r="BA1379" s="301"/>
      <c r="BB1379" s="301"/>
      <c r="BC1379" s="426"/>
      <c r="BD1379" s="298"/>
      <c r="BE1379" s="299"/>
      <c r="BF1379" s="299"/>
      <c r="BG1379" s="301"/>
      <c r="BH1379" s="301"/>
      <c r="BI1379" s="91"/>
      <c r="BJ1379" s="298"/>
      <c r="BK1379" s="299"/>
      <c r="BL1379" s="299"/>
      <c r="BM1379" s="301"/>
      <c r="BN1379" s="301"/>
      <c r="BO1379" s="91"/>
      <c r="BP1379" s="9"/>
      <c r="BS1379" s="81"/>
      <c r="BT1379" s="81"/>
      <c r="BV1379" s="9"/>
      <c r="BY1379" s="81"/>
      <c r="BZ1379" s="81"/>
      <c r="CB1379" s="9"/>
      <c r="CE1379" s="81"/>
      <c r="CF1379" s="81"/>
      <c r="CH1379" s="9"/>
      <c r="CK1379" s="81"/>
      <c r="CL1379" s="81"/>
      <c r="CR1379" s="9"/>
      <c r="CS1379" s="9"/>
      <c r="CT1379" s="9"/>
      <c r="CU1379" s="9"/>
      <c r="CV1379" s="9"/>
      <c r="CW1379" s="129"/>
      <c r="CX1379" s="9"/>
    </row>
    <row r="1380" spans="1:102">
      <c r="A1380" s="6" t="str">
        <f t="shared" si="211"/>
        <v>02750275</v>
      </c>
      <c r="B1380" s="6" t="s">
        <v>1925</v>
      </c>
      <c r="C1380" s="6" t="s">
        <v>1925</v>
      </c>
      <c r="D1380" s="6">
        <v>1371</v>
      </c>
      <c r="E1380" s="6">
        <v>275</v>
      </c>
      <c r="F1380" s="6" t="s">
        <v>1393</v>
      </c>
      <c r="G1380" s="6">
        <v>275</v>
      </c>
      <c r="H1380" s="6" t="s">
        <v>956</v>
      </c>
      <c r="I1380" s="33">
        <v>6284662</v>
      </c>
      <c r="J1380" s="88">
        <v>0.59840452509026487</v>
      </c>
      <c r="K1380" s="89">
        <f t="shared" ref="K1380:K1443" si="220">X1380</f>
        <v>6090235.1399999997</v>
      </c>
      <c r="L1380" s="88">
        <f>IF(K1384&gt;0, K1380/K1384, 0)</f>
        <v>0.57705891234848228</v>
      </c>
      <c r="M1380" s="58"/>
      <c r="N1380" s="9">
        <f>ROUND(M1384*L1380,0)</f>
        <v>4421614</v>
      </c>
      <c r="O1380" s="9">
        <v>4309371</v>
      </c>
      <c r="P1380" s="9">
        <f>N1380-O1380</f>
        <v>112243</v>
      </c>
      <c r="Q1380" s="40">
        <f t="shared" si="219"/>
        <v>2.6046260579560219</v>
      </c>
      <c r="R1380" s="9">
        <v>492</v>
      </c>
      <c r="S1380" s="9">
        <f t="shared" si="217"/>
        <v>463</v>
      </c>
      <c r="T1380" s="90">
        <f t="shared" si="212"/>
        <v>275</v>
      </c>
      <c r="U1380" s="90">
        <f t="shared" si="213"/>
        <v>275</v>
      </c>
      <c r="V1380" s="373">
        <f t="shared" si="214"/>
        <v>1371</v>
      </c>
      <c r="W1380" s="90">
        <f t="shared" si="215"/>
        <v>463</v>
      </c>
      <c r="X1380" s="90">
        <f t="shared" si="216"/>
        <v>6090235.1399999997</v>
      </c>
      <c r="Y1380" s="141">
        <f t="shared" si="218"/>
        <v>1371</v>
      </c>
      <c r="Z1380" s="298">
        <v>275</v>
      </c>
      <c r="AA1380" s="299">
        <v>275</v>
      </c>
      <c r="AB1380" s="299">
        <v>1371</v>
      </c>
      <c r="AC1380" s="301">
        <v>463</v>
      </c>
      <c r="AD1380" s="301">
        <v>6090235.1399999997</v>
      </c>
      <c r="AE1380" s="126"/>
      <c r="AF1380" s="298"/>
      <c r="AG1380" s="299"/>
      <c r="AH1380" s="299"/>
      <c r="AI1380" s="301"/>
      <c r="AJ1380" s="301"/>
      <c r="AK1380" s="426"/>
      <c r="AL1380" s="298"/>
      <c r="AM1380" s="299"/>
      <c r="AN1380" s="299"/>
      <c r="AO1380" s="301"/>
      <c r="AP1380" s="301"/>
      <c r="AQ1380" s="426"/>
      <c r="AR1380" s="298"/>
      <c r="AS1380" s="299"/>
      <c r="AT1380" s="299"/>
      <c r="AU1380" s="301"/>
      <c r="AV1380" s="301"/>
      <c r="AW1380" s="88"/>
      <c r="AX1380" s="298"/>
      <c r="AY1380" s="299"/>
      <c r="AZ1380" s="299"/>
      <c r="BA1380" s="301"/>
      <c r="BB1380" s="301"/>
      <c r="BC1380" s="426"/>
      <c r="BD1380" s="298"/>
      <c r="BE1380" s="299"/>
      <c r="BF1380" s="299"/>
      <c r="BG1380" s="301"/>
      <c r="BH1380" s="301"/>
      <c r="BI1380" s="88"/>
      <c r="BJ1380" s="298"/>
      <c r="BK1380" s="299"/>
      <c r="BL1380" s="299"/>
      <c r="BM1380" s="301"/>
      <c r="BN1380" s="301"/>
      <c r="BO1380" s="88"/>
      <c r="BP1380" s="9"/>
      <c r="BS1380" s="81"/>
      <c r="BT1380" s="81"/>
      <c r="BV1380" s="9"/>
      <c r="BY1380" s="81"/>
      <c r="BZ1380" s="81"/>
      <c r="CB1380" s="9"/>
      <c r="CE1380" s="81"/>
      <c r="CF1380" s="81"/>
      <c r="CH1380" s="9"/>
      <c r="CK1380" s="81"/>
      <c r="CL1380" s="81"/>
      <c r="CR1380" s="9"/>
      <c r="CS1380" s="9"/>
      <c r="CT1380" s="9"/>
      <c r="CU1380" s="9"/>
      <c r="CV1380" s="9"/>
      <c r="CW1380" s="129"/>
      <c r="CX1380" s="9"/>
    </row>
    <row r="1381" spans="1:102">
      <c r="A1381" s="6" t="str">
        <f t="shared" si="211"/>
        <v>02750683</v>
      </c>
      <c r="B1381" s="6" t="s">
        <v>1925</v>
      </c>
      <c r="C1381" s="6" t="s">
        <v>2030</v>
      </c>
      <c r="D1381" s="6">
        <v>1372</v>
      </c>
      <c r="E1381" s="6">
        <v>275</v>
      </c>
      <c r="F1381" s="6" t="s">
        <v>1393</v>
      </c>
      <c r="G1381" s="6">
        <v>683</v>
      </c>
      <c r="H1381" s="6" t="s">
        <v>1060</v>
      </c>
      <c r="I1381" s="33">
        <v>4217701.7631283049</v>
      </c>
      <c r="J1381" s="88">
        <v>0.40159547490973518</v>
      </c>
      <c r="K1381" s="89">
        <f t="shared" si="220"/>
        <v>4463687.5352677628</v>
      </c>
      <c r="L1381" s="88">
        <f>IF(K1384&gt;0, K1381/K1384, 0)</f>
        <v>0.42294108765151767</v>
      </c>
      <c r="M1381" s="58"/>
      <c r="N1381" s="9">
        <f>ROUND(M1384*L1381,0)</f>
        <v>3240713</v>
      </c>
      <c r="O1381" s="9">
        <v>2892064</v>
      </c>
      <c r="P1381" s="9">
        <f>N1381-O1381</f>
        <v>348649</v>
      </c>
      <c r="Q1381" s="40">
        <f t="shared" si="219"/>
        <v>12.055369452404927</v>
      </c>
      <c r="R1381" s="9">
        <v>318.54922279939996</v>
      </c>
      <c r="S1381" s="9">
        <f t="shared" si="217"/>
        <v>330.55932203489999</v>
      </c>
      <c r="T1381" s="90">
        <f t="shared" si="212"/>
        <v>275</v>
      </c>
      <c r="U1381" s="90">
        <f t="shared" si="213"/>
        <v>683</v>
      </c>
      <c r="V1381" s="373">
        <f t="shared" si="214"/>
        <v>1372</v>
      </c>
      <c r="W1381" s="90">
        <f t="shared" si="215"/>
        <v>330.55932203489999</v>
      </c>
      <c r="X1381" s="90">
        <f t="shared" si="216"/>
        <v>4463687.5352677628</v>
      </c>
      <c r="Y1381" s="141">
        <f t="shared" si="218"/>
        <v>1372</v>
      </c>
      <c r="Z1381" s="298">
        <v>275</v>
      </c>
      <c r="AA1381" s="299">
        <v>683</v>
      </c>
      <c r="AB1381" s="299">
        <v>1372</v>
      </c>
      <c r="AC1381" s="301">
        <v>330.55932203489999</v>
      </c>
      <c r="AD1381" s="301">
        <v>4463687.5352677628</v>
      </c>
      <c r="AE1381" s="126"/>
      <c r="AF1381" s="298"/>
      <c r="AG1381" s="299"/>
      <c r="AH1381" s="299"/>
      <c r="AI1381" s="301"/>
      <c r="AJ1381" s="301"/>
      <c r="AK1381" s="426"/>
      <c r="AL1381" s="298"/>
      <c r="AM1381" s="299"/>
      <c r="AN1381" s="299"/>
      <c r="AO1381" s="301"/>
      <c r="AP1381" s="301"/>
      <c r="AQ1381" s="426"/>
      <c r="AR1381" s="298"/>
      <c r="AS1381" s="299"/>
      <c r="AT1381" s="299"/>
      <c r="AU1381" s="301"/>
      <c r="AV1381" s="301"/>
      <c r="AW1381" s="88"/>
      <c r="AX1381" s="298"/>
      <c r="AY1381" s="299"/>
      <c r="AZ1381" s="299"/>
      <c r="BA1381" s="301"/>
      <c r="BB1381" s="301"/>
      <c r="BC1381" s="426"/>
      <c r="BD1381" s="298"/>
      <c r="BE1381" s="299"/>
      <c r="BF1381" s="299"/>
      <c r="BG1381" s="301"/>
      <c r="BH1381" s="301"/>
      <c r="BI1381" s="88"/>
      <c r="BJ1381" s="298"/>
      <c r="BK1381" s="299"/>
      <c r="BL1381" s="299"/>
      <c r="BM1381" s="301"/>
      <c r="BN1381" s="301"/>
      <c r="BO1381" s="88"/>
      <c r="BP1381" s="9"/>
      <c r="BS1381" s="81"/>
      <c r="BT1381" s="81"/>
      <c r="BV1381" s="9"/>
      <c r="BY1381" s="81"/>
      <c r="BZ1381" s="81"/>
      <c r="CB1381" s="9"/>
      <c r="CE1381" s="81"/>
      <c r="CF1381" s="81"/>
      <c r="CH1381" s="9"/>
      <c r="CK1381" s="81"/>
      <c r="CL1381" s="81"/>
      <c r="CR1381" s="9"/>
      <c r="CS1381" s="9"/>
      <c r="CT1381" s="9"/>
      <c r="CU1381" s="9"/>
      <c r="CV1381" s="9"/>
      <c r="CW1381" s="129"/>
      <c r="CX1381" s="9"/>
    </row>
    <row r="1382" spans="1:102">
      <c r="A1382" s="6" t="str">
        <f t="shared" si="211"/>
        <v>02750998</v>
      </c>
      <c r="B1382" s="6" t="s">
        <v>1925</v>
      </c>
      <c r="C1382" s="6" t="s">
        <v>2091</v>
      </c>
      <c r="D1382" s="6">
        <v>1373</v>
      </c>
      <c r="E1382" s="6">
        <v>275</v>
      </c>
      <c r="F1382" s="6" t="s">
        <v>1547</v>
      </c>
      <c r="G1382" s="6">
        <v>998</v>
      </c>
      <c r="H1382" s="6" t="s">
        <v>1547</v>
      </c>
      <c r="I1382" s="33">
        <v>0</v>
      </c>
      <c r="J1382" s="88">
        <v>0</v>
      </c>
      <c r="K1382" s="89">
        <f t="shared" si="220"/>
        <v>0</v>
      </c>
      <c r="L1382" s="88">
        <f>IF(K1384&gt;0, K1382/K1384, 0)</f>
        <v>0</v>
      </c>
      <c r="M1382" s="58"/>
      <c r="N1382" s="9">
        <f>ROUND(M1384*L1382,0)</f>
        <v>0</v>
      </c>
      <c r="O1382" s="9">
        <v>0</v>
      </c>
      <c r="P1382" s="9">
        <f>N1382-O1382</f>
        <v>0</v>
      </c>
      <c r="Q1382" s="40">
        <f t="shared" si="219"/>
        <v>0</v>
      </c>
      <c r="R1382" s="9">
        <v>0</v>
      </c>
      <c r="S1382" s="9">
        <f t="shared" si="217"/>
        <v>0</v>
      </c>
      <c r="T1382" s="90">
        <f t="shared" si="212"/>
        <v>275</v>
      </c>
      <c r="U1382" s="90">
        <f t="shared" si="213"/>
        <v>998</v>
      </c>
      <c r="V1382" s="373">
        <f t="shared" si="214"/>
        <v>1373</v>
      </c>
      <c r="W1382" s="90">
        <f t="shared" si="215"/>
        <v>0</v>
      </c>
      <c r="X1382" s="90">
        <f t="shared" si="216"/>
        <v>0</v>
      </c>
      <c r="Y1382" s="141">
        <f t="shared" si="218"/>
        <v>1373</v>
      </c>
      <c r="Z1382" s="298">
        <v>275</v>
      </c>
      <c r="AA1382" s="299">
        <v>998</v>
      </c>
      <c r="AB1382" s="299">
        <v>1373</v>
      </c>
      <c r="AC1382" s="301">
        <v>0</v>
      </c>
      <c r="AD1382" s="301">
        <v>0</v>
      </c>
      <c r="AE1382" s="126"/>
      <c r="AF1382" s="298"/>
      <c r="AG1382" s="299"/>
      <c r="AH1382" s="299"/>
      <c r="AI1382" s="301"/>
      <c r="AJ1382" s="301"/>
      <c r="AK1382" s="426"/>
      <c r="AL1382" s="298"/>
      <c r="AM1382" s="299"/>
      <c r="AN1382" s="299"/>
      <c r="AO1382" s="301"/>
      <c r="AP1382" s="301"/>
      <c r="AQ1382" s="426"/>
      <c r="AR1382" s="298"/>
      <c r="AS1382" s="299"/>
      <c r="AT1382" s="299"/>
      <c r="AU1382" s="301"/>
      <c r="AV1382" s="301"/>
      <c r="AW1382" s="88"/>
      <c r="AX1382" s="298"/>
      <c r="AY1382" s="299"/>
      <c r="AZ1382" s="299"/>
      <c r="BA1382" s="301"/>
      <c r="BB1382" s="301"/>
      <c r="BC1382" s="426"/>
      <c r="BD1382" s="298"/>
      <c r="BE1382" s="299"/>
      <c r="BF1382" s="299"/>
      <c r="BG1382" s="301"/>
      <c r="BH1382" s="301"/>
      <c r="BI1382" s="88"/>
      <c r="BJ1382" s="298"/>
      <c r="BK1382" s="299"/>
      <c r="BL1382" s="299"/>
      <c r="BM1382" s="301"/>
      <c r="BN1382" s="301"/>
      <c r="BO1382" s="88"/>
      <c r="BP1382" s="9"/>
      <c r="BS1382" s="81"/>
      <c r="BT1382" s="81"/>
      <c r="BV1382" s="9"/>
      <c r="BY1382" s="81"/>
      <c r="BZ1382" s="81"/>
      <c r="CB1382" s="9"/>
      <c r="CE1382" s="81"/>
      <c r="CF1382" s="81"/>
      <c r="CH1382" s="9"/>
      <c r="CK1382" s="81"/>
      <c r="CL1382" s="81"/>
      <c r="CR1382" s="9"/>
      <c r="CS1382" s="9"/>
      <c r="CT1382" s="9"/>
      <c r="CU1382" s="9"/>
      <c r="CV1382" s="9"/>
      <c r="CW1382" s="129"/>
      <c r="CX1382" s="9"/>
    </row>
    <row r="1383" spans="1:102">
      <c r="A1383" s="6" t="str">
        <f t="shared" si="211"/>
        <v>02750998</v>
      </c>
      <c r="B1383" s="6" t="s">
        <v>1925</v>
      </c>
      <c r="C1383" s="6" t="s">
        <v>2091</v>
      </c>
      <c r="D1383" s="6">
        <v>1374</v>
      </c>
      <c r="E1383" s="6">
        <v>275</v>
      </c>
      <c r="F1383" s="6" t="s">
        <v>1547</v>
      </c>
      <c r="G1383" s="6">
        <v>998</v>
      </c>
      <c r="H1383" s="6" t="s">
        <v>1547</v>
      </c>
      <c r="I1383" s="33">
        <v>0</v>
      </c>
      <c r="J1383" s="88">
        <v>0</v>
      </c>
      <c r="K1383" s="89">
        <f t="shared" si="220"/>
        <v>0</v>
      </c>
      <c r="L1383" s="88">
        <f>IF(K1384&gt;0, K1383/K1384, 0)</f>
        <v>0</v>
      </c>
      <c r="M1383" s="58"/>
      <c r="N1383" s="9">
        <f>ROUND(M1384*L1383,0)</f>
        <v>0</v>
      </c>
      <c r="O1383" s="9">
        <v>0</v>
      </c>
      <c r="P1383" s="9">
        <f>N1383-O1383</f>
        <v>0</v>
      </c>
      <c r="Q1383" s="40">
        <f t="shared" si="219"/>
        <v>0</v>
      </c>
      <c r="R1383" s="9">
        <v>0</v>
      </c>
      <c r="S1383" s="9">
        <f t="shared" si="217"/>
        <v>0</v>
      </c>
      <c r="T1383" s="90">
        <f t="shared" si="212"/>
        <v>275</v>
      </c>
      <c r="U1383" s="90">
        <f t="shared" si="213"/>
        <v>998</v>
      </c>
      <c r="V1383" s="373">
        <f t="shared" si="214"/>
        <v>1374</v>
      </c>
      <c r="W1383" s="90">
        <f t="shared" si="215"/>
        <v>0</v>
      </c>
      <c r="X1383" s="90">
        <f t="shared" si="216"/>
        <v>0</v>
      </c>
      <c r="Y1383" s="141">
        <f t="shared" si="218"/>
        <v>1374</v>
      </c>
      <c r="Z1383" s="298">
        <v>275</v>
      </c>
      <c r="AA1383" s="299">
        <v>998</v>
      </c>
      <c r="AB1383" s="299">
        <v>1374</v>
      </c>
      <c r="AC1383" s="301">
        <v>0</v>
      </c>
      <c r="AD1383" s="301">
        <v>0</v>
      </c>
      <c r="AE1383" s="126"/>
      <c r="AF1383" s="298"/>
      <c r="AG1383" s="299"/>
      <c r="AH1383" s="299"/>
      <c r="AI1383" s="301"/>
      <c r="AJ1383" s="301"/>
      <c r="AK1383" s="426"/>
      <c r="AL1383" s="298"/>
      <c r="AM1383" s="299"/>
      <c r="AN1383" s="299"/>
      <c r="AO1383" s="301"/>
      <c r="AP1383" s="301"/>
      <c r="AQ1383" s="426"/>
      <c r="AR1383" s="298"/>
      <c r="AS1383" s="299"/>
      <c r="AT1383" s="299"/>
      <c r="AU1383" s="301"/>
      <c r="AV1383" s="301"/>
      <c r="AW1383" s="88"/>
      <c r="AX1383" s="298"/>
      <c r="AY1383" s="299"/>
      <c r="AZ1383" s="299"/>
      <c r="BA1383" s="301"/>
      <c r="BB1383" s="301"/>
      <c r="BC1383" s="426"/>
      <c r="BD1383" s="298"/>
      <c r="BE1383" s="299"/>
      <c r="BF1383" s="299"/>
      <c r="BG1383" s="301"/>
      <c r="BH1383" s="301"/>
      <c r="BI1383" s="88"/>
      <c r="BJ1383" s="298"/>
      <c r="BK1383" s="299"/>
      <c r="BL1383" s="299"/>
      <c r="BM1383" s="301"/>
      <c r="BN1383" s="301"/>
      <c r="BO1383" s="88"/>
      <c r="BP1383" s="9"/>
      <c r="BS1383" s="81"/>
      <c r="BT1383" s="81"/>
      <c r="BV1383" s="9"/>
      <c r="BY1383" s="81"/>
      <c r="BZ1383" s="81"/>
      <c r="CB1383" s="9"/>
      <c r="CE1383" s="81"/>
      <c r="CF1383" s="81"/>
      <c r="CH1383" s="9"/>
      <c r="CK1383" s="81"/>
      <c r="CL1383" s="81"/>
      <c r="CR1383" s="9"/>
      <c r="CS1383" s="9"/>
      <c r="CT1383" s="9"/>
      <c r="CU1383" s="9"/>
      <c r="CV1383" s="9"/>
      <c r="CW1383" s="129"/>
      <c r="CX1383" s="9"/>
    </row>
    <row r="1384" spans="1:102">
      <c r="A1384" s="6" t="str">
        <f t="shared" si="211"/>
        <v>02750999</v>
      </c>
      <c r="B1384" s="6" t="s">
        <v>1925</v>
      </c>
      <c r="C1384" s="6" t="s">
        <v>2092</v>
      </c>
      <c r="D1384" s="6">
        <v>1375</v>
      </c>
      <c r="E1384" s="10">
        <v>275</v>
      </c>
      <c r="F1384" s="10" t="s">
        <v>1393</v>
      </c>
      <c r="G1384" s="10">
        <v>999</v>
      </c>
      <c r="H1384" s="10" t="s">
        <v>593</v>
      </c>
      <c r="I1384" s="92">
        <v>10502363.763128305</v>
      </c>
      <c r="J1384" s="472">
        <v>1</v>
      </c>
      <c r="K1384" s="53">
        <f>SUM(K1380:K1383)</f>
        <v>10553922.675267763</v>
      </c>
      <c r="L1384" s="91">
        <f>SUM(L1380:L1383)</f>
        <v>1</v>
      </c>
      <c r="M1384" s="79">
        <f>VLOOKUP(E1384,town351,24)</f>
        <v>7662327</v>
      </c>
      <c r="N1384" s="79">
        <f>SUM(N1380:N1383)</f>
        <v>7662327</v>
      </c>
      <c r="O1384" s="79">
        <v>7201435</v>
      </c>
      <c r="P1384" s="79">
        <f>SUM(P1380:P1383)</f>
        <v>460892</v>
      </c>
      <c r="Q1384" s="39">
        <f t="shared" si="219"/>
        <v>6.4000022217794088</v>
      </c>
      <c r="R1384" s="9">
        <v>810.54922279940001</v>
      </c>
      <c r="S1384" s="9">
        <f t="shared" si="217"/>
        <v>793.55932203489999</v>
      </c>
      <c r="T1384" s="90">
        <f t="shared" si="212"/>
        <v>275</v>
      </c>
      <c r="U1384" s="90">
        <f t="shared" si="213"/>
        <v>999</v>
      </c>
      <c r="V1384" s="373">
        <f t="shared" si="214"/>
        <v>1375</v>
      </c>
      <c r="W1384" s="90">
        <f t="shared" si="215"/>
        <v>793.55932203489999</v>
      </c>
      <c r="X1384" s="90">
        <f t="shared" si="216"/>
        <v>10553922.675267763</v>
      </c>
      <c r="Y1384" s="141">
        <f t="shared" si="218"/>
        <v>1375</v>
      </c>
      <c r="Z1384" s="298">
        <v>275</v>
      </c>
      <c r="AA1384" s="299">
        <v>999</v>
      </c>
      <c r="AB1384" s="299">
        <v>1375</v>
      </c>
      <c r="AC1384" s="301">
        <v>793.55932203489999</v>
      </c>
      <c r="AD1384" s="301">
        <v>10553922.675267763</v>
      </c>
      <c r="AE1384" s="126"/>
      <c r="AF1384" s="298"/>
      <c r="AG1384" s="299"/>
      <c r="AH1384" s="299"/>
      <c r="AI1384" s="301"/>
      <c r="AJ1384" s="301"/>
      <c r="AK1384" s="426"/>
      <c r="AL1384" s="298"/>
      <c r="AM1384" s="299"/>
      <c r="AN1384" s="299"/>
      <c r="AO1384" s="301"/>
      <c r="AP1384" s="301"/>
      <c r="AQ1384" s="426"/>
      <c r="AR1384" s="298"/>
      <c r="AS1384" s="299"/>
      <c r="AT1384" s="299"/>
      <c r="AU1384" s="301"/>
      <c r="AV1384" s="301"/>
      <c r="AW1384" s="91"/>
      <c r="AX1384" s="298"/>
      <c r="AY1384" s="299"/>
      <c r="AZ1384" s="299"/>
      <c r="BA1384" s="301"/>
      <c r="BB1384" s="301"/>
      <c r="BC1384" s="426"/>
      <c r="BD1384" s="298"/>
      <c r="BE1384" s="299"/>
      <c r="BF1384" s="299"/>
      <c r="BG1384" s="301"/>
      <c r="BH1384" s="301"/>
      <c r="BI1384" s="91"/>
      <c r="BJ1384" s="298"/>
      <c r="BK1384" s="299"/>
      <c r="BL1384" s="299"/>
      <c r="BM1384" s="301"/>
      <c r="BN1384" s="301"/>
      <c r="BO1384" s="91"/>
      <c r="BP1384" s="9"/>
      <c r="BS1384" s="81"/>
      <c r="BT1384" s="81"/>
      <c r="BV1384" s="9"/>
      <c r="BY1384" s="81"/>
      <c r="BZ1384" s="81"/>
      <c r="CB1384" s="9"/>
      <c r="CE1384" s="81"/>
      <c r="CF1384" s="81"/>
      <c r="CH1384" s="9"/>
      <c r="CK1384" s="81"/>
      <c r="CL1384" s="81"/>
      <c r="CR1384" s="9"/>
      <c r="CS1384" s="9"/>
      <c r="CT1384" s="9"/>
      <c r="CU1384" s="9"/>
      <c r="CV1384" s="9"/>
      <c r="CW1384" s="129"/>
      <c r="CX1384" s="9"/>
    </row>
    <row r="1385" spans="1:102">
      <c r="A1385" s="6" t="str">
        <f t="shared" si="211"/>
        <v>02760276</v>
      </c>
      <c r="B1385" s="6" t="s">
        <v>1926</v>
      </c>
      <c r="C1385" s="6" t="s">
        <v>1926</v>
      </c>
      <c r="D1385" s="6">
        <v>1376</v>
      </c>
      <c r="E1385" s="6">
        <v>276</v>
      </c>
      <c r="F1385" s="6" t="s">
        <v>1394</v>
      </c>
      <c r="G1385" s="6">
        <v>276</v>
      </c>
      <c r="H1385" s="6" t="s">
        <v>957</v>
      </c>
      <c r="I1385" s="33">
        <v>14230837.126399998</v>
      </c>
      <c r="J1385" s="88">
        <v>0.67231980983145878</v>
      </c>
      <c r="K1385" s="89">
        <f>X1385</f>
        <v>14839839.35713</v>
      </c>
      <c r="L1385" s="88">
        <f>IF(K1389&gt;0, K1385/K1389, 0)</f>
        <v>0.67910787242524007</v>
      </c>
      <c r="M1385" s="58"/>
      <c r="N1385" s="9">
        <f>ROUND(M1389*L1385,0)</f>
        <v>12011425</v>
      </c>
      <c r="O1385" s="9">
        <v>11416440</v>
      </c>
      <c r="P1385" s="9">
        <f>N1385-O1385</f>
        <v>594985</v>
      </c>
      <c r="Q1385" s="40">
        <f t="shared" si="219"/>
        <v>5.2116509174488721</v>
      </c>
      <c r="R1385" s="9">
        <v>1200</v>
      </c>
      <c r="S1385" s="9">
        <f t="shared" si="217"/>
        <v>1223</v>
      </c>
      <c r="T1385" s="90">
        <f t="shared" si="212"/>
        <v>276</v>
      </c>
      <c r="U1385" s="90">
        <f t="shared" si="213"/>
        <v>276</v>
      </c>
      <c r="V1385" s="373">
        <f t="shared" si="214"/>
        <v>1376</v>
      </c>
      <c r="W1385" s="90">
        <f t="shared" si="215"/>
        <v>1223</v>
      </c>
      <c r="X1385" s="90">
        <f t="shared" si="216"/>
        <v>14839839.35713</v>
      </c>
      <c r="Y1385" s="141">
        <f t="shared" si="218"/>
        <v>1376</v>
      </c>
      <c r="Z1385" s="298">
        <v>276</v>
      </c>
      <c r="AA1385" s="299">
        <v>276</v>
      </c>
      <c r="AB1385" s="299">
        <v>1376</v>
      </c>
      <c r="AC1385" s="301">
        <v>1223</v>
      </c>
      <c r="AD1385" s="301">
        <v>14839839.35713</v>
      </c>
      <c r="AE1385" s="126"/>
      <c r="AF1385" s="298"/>
      <c r="AG1385" s="299"/>
      <c r="AH1385" s="299"/>
      <c r="AI1385" s="301"/>
      <c r="AJ1385" s="301"/>
      <c r="AK1385" s="426"/>
      <c r="AL1385" s="298"/>
      <c r="AM1385" s="299"/>
      <c r="AN1385" s="299"/>
      <c r="AO1385" s="301"/>
      <c r="AP1385" s="301"/>
      <c r="AQ1385" s="426"/>
      <c r="AR1385" s="298"/>
      <c r="AS1385" s="299"/>
      <c r="AT1385" s="299"/>
      <c r="AU1385" s="301"/>
      <c r="AV1385" s="301"/>
      <c r="AW1385" s="88"/>
      <c r="AX1385" s="298"/>
      <c r="AY1385" s="299"/>
      <c r="AZ1385" s="299"/>
      <c r="BA1385" s="301"/>
      <c r="BB1385" s="301"/>
      <c r="BC1385" s="426"/>
      <c r="BD1385" s="298"/>
      <c r="BE1385" s="299"/>
      <c r="BF1385" s="299"/>
      <c r="BG1385" s="301"/>
      <c r="BH1385" s="301"/>
      <c r="BI1385" s="88"/>
      <c r="BJ1385" s="298"/>
      <c r="BK1385" s="299"/>
      <c r="BL1385" s="299"/>
      <c r="BM1385" s="301"/>
      <c r="BN1385" s="301"/>
      <c r="BO1385" s="88"/>
      <c r="BP1385" s="9"/>
      <c r="BS1385" s="81"/>
      <c r="BT1385" s="81"/>
      <c r="BV1385" s="9"/>
      <c r="BY1385" s="81"/>
      <c r="BZ1385" s="81"/>
      <c r="CB1385" s="9"/>
      <c r="CE1385" s="81"/>
      <c r="CF1385" s="81"/>
      <c r="CH1385" s="9"/>
      <c r="CK1385" s="81"/>
      <c r="CL1385" s="81"/>
      <c r="CR1385" s="9"/>
      <c r="CS1385" s="9"/>
      <c r="CT1385" s="9"/>
      <c r="CU1385" s="9"/>
      <c r="CV1385" s="9"/>
      <c r="CW1385" s="129"/>
      <c r="CX1385" s="9"/>
    </row>
    <row r="1386" spans="1:102">
      <c r="A1386" s="6" t="str">
        <f t="shared" si="211"/>
        <v>02760730</v>
      </c>
      <c r="B1386" s="6" t="s">
        <v>1926</v>
      </c>
      <c r="C1386" s="6" t="s">
        <v>2044</v>
      </c>
      <c r="D1386" s="6">
        <v>1377</v>
      </c>
      <c r="E1386" s="6">
        <v>276</v>
      </c>
      <c r="F1386" s="6" t="s">
        <v>1394</v>
      </c>
      <c r="G1386" s="6">
        <v>730</v>
      </c>
      <c r="H1386" s="6" t="s">
        <v>1074</v>
      </c>
      <c r="I1386" s="33">
        <v>6450348.7325107045</v>
      </c>
      <c r="J1386" s="88">
        <v>0.30473943273112641</v>
      </c>
      <c r="K1386" s="89">
        <f t="shared" si="220"/>
        <v>6439574.151492158</v>
      </c>
      <c r="L1386" s="88">
        <f>IF(K1389&gt;0, K1386/K1389, 0)</f>
        <v>0.29469089227325523</v>
      </c>
      <c r="M1386" s="58"/>
      <c r="N1386" s="9">
        <f>ROUND(M1389*L1386,0)</f>
        <v>5212217</v>
      </c>
      <c r="O1386" s="9">
        <v>5174679</v>
      </c>
      <c r="P1386" s="9">
        <f>N1386-O1386</f>
        <v>37538</v>
      </c>
      <c r="Q1386" s="40">
        <f t="shared" si="219"/>
        <v>0.72541697755551604</v>
      </c>
      <c r="R1386" s="9">
        <v>483.94354838790002</v>
      </c>
      <c r="S1386" s="9">
        <f t="shared" si="217"/>
        <v>469.15081967573997</v>
      </c>
      <c r="T1386" s="90">
        <f t="shared" si="212"/>
        <v>276</v>
      </c>
      <c r="U1386" s="90">
        <f t="shared" si="213"/>
        <v>730</v>
      </c>
      <c r="V1386" s="373">
        <f t="shared" si="214"/>
        <v>1377</v>
      </c>
      <c r="W1386" s="90">
        <f t="shared" si="215"/>
        <v>469.15081967573997</v>
      </c>
      <c r="X1386" s="90">
        <f t="shared" si="216"/>
        <v>6439574.151492158</v>
      </c>
      <c r="Y1386" s="141">
        <f t="shared" si="218"/>
        <v>1377</v>
      </c>
      <c r="Z1386" s="298">
        <v>276</v>
      </c>
      <c r="AA1386" s="299">
        <v>730</v>
      </c>
      <c r="AB1386" s="299">
        <v>1377</v>
      </c>
      <c r="AC1386" s="301">
        <v>469.15081967573997</v>
      </c>
      <c r="AD1386" s="301">
        <v>6439574.151492158</v>
      </c>
      <c r="AE1386" s="126"/>
      <c r="AF1386" s="298"/>
      <c r="AG1386" s="299"/>
      <c r="AH1386" s="299"/>
      <c r="AI1386" s="301"/>
      <c r="AJ1386" s="301"/>
      <c r="AK1386" s="426"/>
      <c r="AL1386" s="298"/>
      <c r="AM1386" s="299"/>
      <c r="AN1386" s="299"/>
      <c r="AO1386" s="301"/>
      <c r="AP1386" s="301"/>
      <c r="AQ1386" s="426"/>
      <c r="AR1386" s="298"/>
      <c r="AS1386" s="299"/>
      <c r="AT1386" s="299"/>
      <c r="AU1386" s="301"/>
      <c r="AV1386" s="301"/>
      <c r="AW1386" s="88"/>
      <c r="AX1386" s="298"/>
      <c r="AY1386" s="299"/>
      <c r="AZ1386" s="299"/>
      <c r="BA1386" s="301"/>
      <c r="BB1386" s="301"/>
      <c r="BC1386" s="426"/>
      <c r="BD1386" s="298"/>
      <c r="BE1386" s="299"/>
      <c r="BF1386" s="299"/>
      <c r="BG1386" s="301"/>
      <c r="BH1386" s="301"/>
      <c r="BI1386" s="88"/>
      <c r="BJ1386" s="298"/>
      <c r="BK1386" s="299"/>
      <c r="BL1386" s="299"/>
      <c r="BM1386" s="301"/>
      <c r="BN1386" s="301"/>
      <c r="BO1386" s="88"/>
      <c r="BP1386" s="9"/>
      <c r="BS1386" s="81"/>
      <c r="BT1386" s="81"/>
      <c r="BV1386" s="9"/>
      <c r="BY1386" s="81"/>
      <c r="BZ1386" s="81"/>
      <c r="CB1386" s="9"/>
      <c r="CE1386" s="81"/>
      <c r="CF1386" s="81"/>
      <c r="CH1386" s="9"/>
      <c r="CK1386" s="81"/>
      <c r="CL1386" s="81"/>
      <c r="CR1386" s="9"/>
      <c r="CS1386" s="9"/>
      <c r="CT1386" s="9"/>
      <c r="CU1386" s="9"/>
      <c r="CV1386" s="9"/>
      <c r="CW1386" s="129"/>
      <c r="CX1386" s="9"/>
    </row>
    <row r="1387" spans="1:102">
      <c r="A1387" s="6" t="str">
        <f t="shared" si="211"/>
        <v>02760801</v>
      </c>
      <c r="B1387" s="6" t="s">
        <v>1926</v>
      </c>
      <c r="C1387" s="6" t="s">
        <v>2062</v>
      </c>
      <c r="D1387" s="6">
        <v>1378</v>
      </c>
      <c r="E1387" s="6">
        <v>276</v>
      </c>
      <c r="F1387" s="6" t="s">
        <v>1394</v>
      </c>
      <c r="G1387" s="6">
        <v>801</v>
      </c>
      <c r="H1387" s="6" t="s">
        <v>1092</v>
      </c>
      <c r="I1387" s="33">
        <v>485581.67984064092</v>
      </c>
      <c r="J1387" s="88">
        <v>2.2940757437414843E-2</v>
      </c>
      <c r="K1387" s="89">
        <f t="shared" si="220"/>
        <v>572548.3956534426</v>
      </c>
      <c r="L1387" s="88">
        <f>IF(K1389&gt;0, K1387/K1389, 0)</f>
        <v>2.6201235301504741E-2</v>
      </c>
      <c r="M1387" s="58"/>
      <c r="N1387" s="9">
        <f>ROUND(M1389*L1387,0)</f>
        <v>463423</v>
      </c>
      <c r="O1387" s="9">
        <v>389549</v>
      </c>
      <c r="P1387" s="9">
        <f>N1387-O1387</f>
        <v>73874</v>
      </c>
      <c r="Q1387" s="40">
        <f t="shared" si="219"/>
        <v>18.963981424673147</v>
      </c>
      <c r="R1387" s="9">
        <v>21.999999997179998</v>
      </c>
      <c r="S1387" s="9">
        <f t="shared" si="217"/>
        <v>24.99999999768</v>
      </c>
      <c r="T1387" s="90">
        <f t="shared" si="212"/>
        <v>276</v>
      </c>
      <c r="U1387" s="90">
        <f t="shared" si="213"/>
        <v>801</v>
      </c>
      <c r="V1387" s="373">
        <f t="shared" si="214"/>
        <v>1378</v>
      </c>
      <c r="W1387" s="90">
        <f t="shared" si="215"/>
        <v>24.99999999768</v>
      </c>
      <c r="X1387" s="90">
        <f t="shared" si="216"/>
        <v>572548.3956534426</v>
      </c>
      <c r="Y1387" s="141">
        <f t="shared" si="218"/>
        <v>1378</v>
      </c>
      <c r="Z1387" s="298">
        <v>276</v>
      </c>
      <c r="AA1387" s="299">
        <v>801</v>
      </c>
      <c r="AB1387" s="299">
        <v>1378</v>
      </c>
      <c r="AC1387" s="301">
        <v>24.99999999768</v>
      </c>
      <c r="AD1387" s="301">
        <v>572548.3956534426</v>
      </c>
      <c r="AE1387" s="126"/>
      <c r="AF1387" s="298"/>
      <c r="AG1387" s="299"/>
      <c r="AH1387" s="299"/>
      <c r="AI1387" s="301"/>
      <c r="AJ1387" s="301"/>
      <c r="AK1387" s="426"/>
      <c r="AL1387" s="298"/>
      <c r="AM1387" s="299"/>
      <c r="AN1387" s="299"/>
      <c r="AO1387" s="301"/>
      <c r="AP1387" s="301"/>
      <c r="AQ1387" s="426"/>
      <c r="AR1387" s="298"/>
      <c r="AS1387" s="299"/>
      <c r="AT1387" s="299"/>
      <c r="AU1387" s="301"/>
      <c r="AV1387" s="301"/>
      <c r="AW1387" s="88"/>
      <c r="AX1387" s="298"/>
      <c r="AY1387" s="299"/>
      <c r="AZ1387" s="299"/>
      <c r="BA1387" s="301"/>
      <c r="BB1387" s="301"/>
      <c r="BC1387" s="426"/>
      <c r="BD1387" s="298"/>
      <c r="BE1387" s="299"/>
      <c r="BF1387" s="299"/>
      <c r="BG1387" s="301"/>
      <c r="BH1387" s="301"/>
      <c r="BI1387" s="88"/>
      <c r="BJ1387" s="298"/>
      <c r="BK1387" s="299"/>
      <c r="BL1387" s="299"/>
      <c r="BM1387" s="301"/>
      <c r="BN1387" s="301"/>
      <c r="BO1387" s="88"/>
      <c r="BP1387" s="9"/>
      <c r="BS1387" s="81"/>
      <c r="BT1387" s="81"/>
      <c r="BV1387" s="9"/>
      <c r="BY1387" s="81"/>
      <c r="BZ1387" s="81"/>
      <c r="CB1387" s="9"/>
      <c r="CE1387" s="81"/>
      <c r="CF1387" s="81"/>
      <c r="CH1387" s="9"/>
      <c r="CK1387" s="81"/>
      <c r="CL1387" s="81"/>
      <c r="CR1387" s="9"/>
      <c r="CS1387" s="9"/>
      <c r="CT1387" s="9"/>
      <c r="CU1387" s="9"/>
      <c r="CV1387" s="9"/>
      <c r="CW1387" s="129"/>
      <c r="CX1387" s="9"/>
    </row>
    <row r="1388" spans="1:102">
      <c r="A1388" s="6" t="str">
        <f t="shared" si="211"/>
        <v>02760998</v>
      </c>
      <c r="B1388" s="6" t="s">
        <v>1926</v>
      </c>
      <c r="C1388" s="6" t="s">
        <v>2091</v>
      </c>
      <c r="D1388" s="6">
        <v>1379</v>
      </c>
      <c r="E1388" s="6">
        <v>276</v>
      </c>
      <c r="F1388" s="6" t="s">
        <v>1547</v>
      </c>
      <c r="G1388" s="6">
        <v>998</v>
      </c>
      <c r="H1388" s="6" t="s">
        <v>1547</v>
      </c>
      <c r="I1388" s="33">
        <v>0</v>
      </c>
      <c r="J1388" s="88">
        <v>0</v>
      </c>
      <c r="K1388" s="89">
        <f t="shared" si="220"/>
        <v>0</v>
      </c>
      <c r="L1388" s="88">
        <f>IF(K1389&gt;0, K1388/K1389, 0)</f>
        <v>0</v>
      </c>
      <c r="M1388" s="58"/>
      <c r="N1388" s="9">
        <f>ROUND(M1389*L1388,0)</f>
        <v>0</v>
      </c>
      <c r="O1388" s="9">
        <v>0</v>
      </c>
      <c r="P1388" s="9">
        <f>N1388-O1388</f>
        <v>0</v>
      </c>
      <c r="Q1388" s="40">
        <f t="shared" si="219"/>
        <v>0</v>
      </c>
      <c r="R1388" s="9">
        <v>0</v>
      </c>
      <c r="S1388" s="9">
        <f t="shared" si="217"/>
        <v>0</v>
      </c>
      <c r="T1388" s="90">
        <f t="shared" si="212"/>
        <v>276</v>
      </c>
      <c r="U1388" s="90">
        <f t="shared" si="213"/>
        <v>998</v>
      </c>
      <c r="V1388" s="373">
        <f t="shared" si="214"/>
        <v>1379</v>
      </c>
      <c r="W1388" s="90">
        <f t="shared" si="215"/>
        <v>0</v>
      </c>
      <c r="X1388" s="90">
        <f t="shared" si="216"/>
        <v>0</v>
      </c>
      <c r="Y1388" s="141">
        <f t="shared" si="218"/>
        <v>1379</v>
      </c>
      <c r="Z1388" s="298">
        <v>276</v>
      </c>
      <c r="AA1388" s="299">
        <v>998</v>
      </c>
      <c r="AB1388" s="299">
        <v>1379</v>
      </c>
      <c r="AC1388" s="301">
        <v>0</v>
      </c>
      <c r="AD1388" s="301">
        <v>0</v>
      </c>
      <c r="AE1388" s="126"/>
      <c r="AF1388" s="298"/>
      <c r="AG1388" s="299"/>
      <c r="AH1388" s="299"/>
      <c r="AI1388" s="301"/>
      <c r="AJ1388" s="301"/>
      <c r="AK1388" s="426"/>
      <c r="AL1388" s="298"/>
      <c r="AM1388" s="299"/>
      <c r="AN1388" s="299"/>
      <c r="AO1388" s="301"/>
      <c r="AP1388" s="301"/>
      <c r="AQ1388" s="426"/>
      <c r="AR1388" s="298"/>
      <c r="AS1388" s="299"/>
      <c r="AT1388" s="299"/>
      <c r="AU1388" s="301"/>
      <c r="AV1388" s="301"/>
      <c r="AW1388" s="88"/>
      <c r="AX1388" s="298"/>
      <c r="AY1388" s="299"/>
      <c r="AZ1388" s="299"/>
      <c r="BA1388" s="301"/>
      <c r="BB1388" s="301"/>
      <c r="BC1388" s="426"/>
      <c r="BD1388" s="298"/>
      <c r="BE1388" s="299"/>
      <c r="BF1388" s="299"/>
      <c r="BG1388" s="301"/>
      <c r="BH1388" s="301"/>
      <c r="BI1388" s="88"/>
      <c r="BJ1388" s="298"/>
      <c r="BK1388" s="299"/>
      <c r="BL1388" s="299"/>
      <c r="BM1388" s="301"/>
      <c r="BN1388" s="301"/>
      <c r="BO1388" s="88"/>
      <c r="BP1388" s="9"/>
      <c r="BS1388" s="81"/>
      <c r="BT1388" s="81"/>
      <c r="BV1388" s="9"/>
      <c r="BY1388" s="81"/>
      <c r="BZ1388" s="81"/>
      <c r="CB1388" s="9"/>
      <c r="CE1388" s="81"/>
      <c r="CF1388" s="81"/>
      <c r="CH1388" s="9"/>
      <c r="CK1388" s="81"/>
      <c r="CL1388" s="81"/>
      <c r="CR1388" s="9"/>
      <c r="CS1388" s="9"/>
      <c r="CT1388" s="9"/>
      <c r="CU1388" s="9"/>
      <c r="CV1388" s="9"/>
      <c r="CW1388" s="129"/>
      <c r="CX1388" s="9"/>
    </row>
    <row r="1389" spans="1:102">
      <c r="A1389" s="6" t="str">
        <f t="shared" si="211"/>
        <v>02760999</v>
      </c>
      <c r="B1389" s="6" t="s">
        <v>1926</v>
      </c>
      <c r="C1389" s="6" t="s">
        <v>2092</v>
      </c>
      <c r="D1389" s="6">
        <v>1380</v>
      </c>
      <c r="E1389" s="10">
        <v>276</v>
      </c>
      <c r="F1389" s="10" t="s">
        <v>1394</v>
      </c>
      <c r="G1389" s="10">
        <v>999</v>
      </c>
      <c r="H1389" s="10" t="s">
        <v>593</v>
      </c>
      <c r="I1389" s="92">
        <v>21166767.538751341</v>
      </c>
      <c r="J1389" s="472">
        <v>1</v>
      </c>
      <c r="K1389" s="53">
        <f>SUM(K1385:K1388)</f>
        <v>21851961.9042756</v>
      </c>
      <c r="L1389" s="91">
        <f>SUM(L1385:L1388)</f>
        <v>1</v>
      </c>
      <c r="M1389" s="79">
        <f>VLOOKUP(E1389,town351,24)</f>
        <v>17687065</v>
      </c>
      <c r="N1389" s="79">
        <f>SUM(N1385:N1388)</f>
        <v>17687065</v>
      </c>
      <c r="O1389" s="79">
        <v>16980668</v>
      </c>
      <c r="P1389" s="79">
        <f>SUM(P1385:P1388)</f>
        <v>706397</v>
      </c>
      <c r="Q1389" s="39">
        <f t="shared" si="219"/>
        <v>4.160007132817154</v>
      </c>
      <c r="R1389" s="9">
        <v>1705.9435483850802</v>
      </c>
      <c r="S1389" s="9">
        <f t="shared" si="217"/>
        <v>1717.1508196734201</v>
      </c>
      <c r="T1389" s="90">
        <f t="shared" si="212"/>
        <v>276</v>
      </c>
      <c r="U1389" s="90">
        <f t="shared" si="213"/>
        <v>999</v>
      </c>
      <c r="V1389" s="373">
        <f t="shared" si="214"/>
        <v>1380</v>
      </c>
      <c r="W1389" s="90">
        <f t="shared" si="215"/>
        <v>1717.1508196734201</v>
      </c>
      <c r="X1389" s="90">
        <f t="shared" si="216"/>
        <v>21851961.9042756</v>
      </c>
      <c r="Y1389" s="141">
        <f t="shared" si="218"/>
        <v>1380</v>
      </c>
      <c r="Z1389" s="298">
        <v>276</v>
      </c>
      <c r="AA1389" s="299">
        <v>999</v>
      </c>
      <c r="AB1389" s="299">
        <v>1380</v>
      </c>
      <c r="AC1389" s="301">
        <v>1717.1508196734201</v>
      </c>
      <c r="AD1389" s="301">
        <v>21851961.9042756</v>
      </c>
      <c r="AE1389" s="126"/>
      <c r="AF1389" s="298"/>
      <c r="AG1389" s="299"/>
      <c r="AH1389" s="299"/>
      <c r="AI1389" s="301"/>
      <c r="AJ1389" s="301"/>
      <c r="AK1389" s="426"/>
      <c r="AL1389" s="298"/>
      <c r="AM1389" s="299"/>
      <c r="AN1389" s="299"/>
      <c r="AO1389" s="301"/>
      <c r="AP1389" s="301"/>
      <c r="AQ1389" s="426"/>
      <c r="AR1389" s="298"/>
      <c r="AS1389" s="299"/>
      <c r="AT1389" s="299"/>
      <c r="AU1389" s="301"/>
      <c r="AV1389" s="301"/>
      <c r="AW1389" s="91"/>
      <c r="AX1389" s="298"/>
      <c r="AY1389" s="299"/>
      <c r="AZ1389" s="299"/>
      <c r="BA1389" s="301"/>
      <c r="BB1389" s="301"/>
      <c r="BC1389" s="426"/>
      <c r="BD1389" s="298"/>
      <c r="BE1389" s="299"/>
      <c r="BF1389" s="299"/>
      <c r="BG1389" s="301"/>
      <c r="BH1389" s="301"/>
      <c r="BI1389" s="91"/>
      <c r="BJ1389" s="298"/>
      <c r="BK1389" s="299"/>
      <c r="BL1389" s="299"/>
      <c r="BM1389" s="301"/>
      <c r="BN1389" s="301"/>
      <c r="BO1389" s="91"/>
      <c r="BP1389" s="9"/>
      <c r="BS1389" s="81"/>
      <c r="BT1389" s="81"/>
      <c r="BV1389" s="9"/>
      <c r="BY1389" s="81"/>
      <c r="BZ1389" s="81"/>
      <c r="CB1389" s="9"/>
      <c r="CE1389" s="81"/>
      <c r="CF1389" s="81"/>
      <c r="CH1389" s="9"/>
      <c r="CK1389" s="81"/>
      <c r="CL1389" s="81"/>
      <c r="CR1389" s="9"/>
      <c r="CS1389" s="9"/>
      <c r="CT1389" s="9"/>
      <c r="CU1389" s="9"/>
      <c r="CV1389" s="9"/>
      <c r="CW1389" s="129"/>
      <c r="CX1389" s="9"/>
    </row>
    <row r="1390" spans="1:102">
      <c r="A1390" s="6" t="str">
        <f t="shared" si="211"/>
        <v>02770277</v>
      </c>
      <c r="B1390" s="6" t="s">
        <v>1927</v>
      </c>
      <c r="C1390" s="6" t="s">
        <v>1927</v>
      </c>
      <c r="D1390" s="6">
        <v>1381</v>
      </c>
      <c r="E1390" s="6">
        <v>277</v>
      </c>
      <c r="F1390" s="6" t="s">
        <v>1395</v>
      </c>
      <c r="G1390" s="6">
        <v>277</v>
      </c>
      <c r="H1390" s="6" t="s">
        <v>958</v>
      </c>
      <c r="I1390" s="33">
        <v>38095220.899999999</v>
      </c>
      <c r="J1390" s="88">
        <v>0.90056287125935441</v>
      </c>
      <c r="K1390" s="89">
        <f>X1390</f>
        <v>41980389.5</v>
      </c>
      <c r="L1390" s="88">
        <f>IF(K1394&gt;0, K1390/K1394, 0)</f>
        <v>0.90917400174134844</v>
      </c>
      <c r="M1390" s="58"/>
      <c r="N1390" s="9">
        <f>ROUND(M1394*L1390,0)</f>
        <v>9707895</v>
      </c>
      <c r="O1390" s="9">
        <v>9107735</v>
      </c>
      <c r="P1390" s="9">
        <f>N1390-O1390</f>
        <v>600160</v>
      </c>
      <c r="Q1390" s="40">
        <f t="shared" si="219"/>
        <v>6.5895637060147223</v>
      </c>
      <c r="R1390" s="9">
        <v>2165</v>
      </c>
      <c r="S1390" s="9">
        <f t="shared" si="217"/>
        <v>2248</v>
      </c>
      <c r="T1390" s="90">
        <f t="shared" si="212"/>
        <v>277</v>
      </c>
      <c r="U1390" s="90">
        <f t="shared" si="213"/>
        <v>277</v>
      </c>
      <c r="V1390" s="373">
        <f t="shared" si="214"/>
        <v>1381</v>
      </c>
      <c r="W1390" s="90">
        <f t="shared" si="215"/>
        <v>2248</v>
      </c>
      <c r="X1390" s="90">
        <f t="shared" si="216"/>
        <v>41980389.5</v>
      </c>
      <c r="Y1390" s="141">
        <f t="shared" si="218"/>
        <v>1381</v>
      </c>
      <c r="Z1390" s="298">
        <v>277</v>
      </c>
      <c r="AA1390" s="299">
        <v>277</v>
      </c>
      <c r="AB1390" s="299">
        <v>1381</v>
      </c>
      <c r="AC1390" s="301">
        <v>2248</v>
      </c>
      <c r="AD1390" s="301">
        <v>41980389.5</v>
      </c>
      <c r="AE1390" s="126"/>
      <c r="AF1390" s="298"/>
      <c r="AG1390" s="299"/>
      <c r="AH1390" s="299"/>
      <c r="AI1390" s="301"/>
      <c r="AJ1390" s="301"/>
      <c r="AK1390" s="426"/>
      <c r="AL1390" s="298"/>
      <c r="AM1390" s="299"/>
      <c r="AN1390" s="299"/>
      <c r="AO1390" s="301"/>
      <c r="AP1390" s="301"/>
      <c r="AQ1390" s="426"/>
      <c r="AR1390" s="298"/>
      <c r="AS1390" s="299"/>
      <c r="AT1390" s="299"/>
      <c r="AU1390" s="301"/>
      <c r="AV1390" s="301"/>
      <c r="AW1390" s="88"/>
      <c r="AX1390" s="298"/>
      <c r="AY1390" s="299"/>
      <c r="AZ1390" s="299"/>
      <c r="BA1390" s="301"/>
      <c r="BB1390" s="301"/>
      <c r="BC1390" s="426"/>
      <c r="BD1390" s="298"/>
      <c r="BE1390" s="299"/>
      <c r="BF1390" s="299"/>
      <c r="BG1390" s="301"/>
      <c r="BH1390" s="301"/>
      <c r="BI1390" s="88"/>
      <c r="BJ1390" s="298"/>
      <c r="BK1390" s="299"/>
      <c r="BL1390" s="299"/>
      <c r="BM1390" s="301"/>
      <c r="BN1390" s="301"/>
      <c r="BO1390" s="88"/>
      <c r="BP1390" s="9"/>
      <c r="BS1390" s="81"/>
      <c r="BT1390" s="81"/>
      <c r="BV1390" s="9"/>
      <c r="BY1390" s="81"/>
      <c r="BZ1390" s="81"/>
      <c r="CB1390" s="9"/>
      <c r="CE1390" s="81"/>
      <c r="CF1390" s="81"/>
      <c r="CH1390" s="9"/>
      <c r="CK1390" s="81"/>
      <c r="CL1390" s="81"/>
      <c r="CR1390" s="9"/>
      <c r="CS1390" s="9"/>
      <c r="CT1390" s="9"/>
      <c r="CU1390" s="9"/>
      <c r="CV1390" s="9"/>
      <c r="CW1390" s="129"/>
      <c r="CX1390" s="9"/>
    </row>
    <row r="1391" spans="1:102">
      <c r="A1391" s="6" t="str">
        <f t="shared" si="211"/>
        <v>02770876</v>
      </c>
      <c r="B1391" s="6" t="s">
        <v>1927</v>
      </c>
      <c r="C1391" s="6" t="s">
        <v>2084</v>
      </c>
      <c r="D1391" s="6">
        <v>1382</v>
      </c>
      <c r="E1391" s="6">
        <v>277</v>
      </c>
      <c r="F1391" s="6" t="s">
        <v>1395</v>
      </c>
      <c r="G1391" s="6">
        <v>876</v>
      </c>
      <c r="H1391" s="6" t="s">
        <v>1114</v>
      </c>
      <c r="I1391" s="33">
        <v>4206346.3928280221</v>
      </c>
      <c r="J1391" s="88">
        <v>9.9437128740645572E-2</v>
      </c>
      <c r="K1391" s="89">
        <f t="shared" si="220"/>
        <v>4193818.5389393182</v>
      </c>
      <c r="L1391" s="88">
        <f>IF(K1394&gt;0, K1391/K1394, 0)</f>
        <v>9.0825998258651577E-2</v>
      </c>
      <c r="M1391" s="58"/>
      <c r="N1391" s="9">
        <f>ROUND(M1394*L1391,0)</f>
        <v>969813</v>
      </c>
      <c r="O1391" s="9">
        <v>1005646</v>
      </c>
      <c r="P1391" s="9">
        <f>N1391-O1391</f>
        <v>-35833</v>
      </c>
      <c r="Q1391" s="40">
        <f t="shared" si="219"/>
        <v>-3.5631822728872784</v>
      </c>
      <c r="R1391" s="9">
        <v>207.99999999855999</v>
      </c>
      <c r="S1391" s="9">
        <f t="shared" si="217"/>
        <v>202.99999999421999</v>
      </c>
      <c r="T1391" s="90">
        <f t="shared" si="212"/>
        <v>277</v>
      </c>
      <c r="U1391" s="90">
        <f t="shared" si="213"/>
        <v>876</v>
      </c>
      <c r="V1391" s="373">
        <f t="shared" si="214"/>
        <v>1382</v>
      </c>
      <c r="W1391" s="90">
        <f t="shared" si="215"/>
        <v>202.99999999421999</v>
      </c>
      <c r="X1391" s="90">
        <f t="shared" si="216"/>
        <v>4193818.5389393182</v>
      </c>
      <c r="Y1391" s="141">
        <f t="shared" si="218"/>
        <v>1382</v>
      </c>
      <c r="Z1391" s="298">
        <v>277</v>
      </c>
      <c r="AA1391" s="299">
        <v>876</v>
      </c>
      <c r="AB1391" s="299">
        <v>1382</v>
      </c>
      <c r="AC1391" s="301">
        <v>202.99999999421999</v>
      </c>
      <c r="AD1391" s="301">
        <v>4193818.5389393182</v>
      </c>
      <c r="AE1391" s="126"/>
      <c r="AF1391" s="298"/>
      <c r="AG1391" s="299"/>
      <c r="AH1391" s="299"/>
      <c r="AI1391" s="301"/>
      <c r="AJ1391" s="301"/>
      <c r="AK1391" s="426"/>
      <c r="AL1391" s="298"/>
      <c r="AM1391" s="299"/>
      <c r="AN1391" s="299"/>
      <c r="AO1391" s="301"/>
      <c r="AP1391" s="301"/>
      <c r="AQ1391" s="426"/>
      <c r="AR1391" s="298"/>
      <c r="AS1391" s="299"/>
      <c r="AT1391" s="299"/>
      <c r="AU1391" s="301"/>
      <c r="AV1391" s="301"/>
      <c r="AW1391" s="88"/>
      <c r="AX1391" s="298"/>
      <c r="AY1391" s="299"/>
      <c r="AZ1391" s="299"/>
      <c r="BA1391" s="301"/>
      <c r="BB1391" s="301"/>
      <c r="BC1391" s="426"/>
      <c r="BD1391" s="298"/>
      <c r="BE1391" s="299"/>
      <c r="BF1391" s="299"/>
      <c r="BG1391" s="301"/>
      <c r="BH1391" s="301"/>
      <c r="BI1391" s="88"/>
      <c r="BJ1391" s="298"/>
      <c r="BK1391" s="299"/>
      <c r="BL1391" s="299"/>
      <c r="BM1391" s="301"/>
      <c r="BN1391" s="301"/>
      <c r="BO1391" s="88"/>
      <c r="BP1391" s="9"/>
      <c r="BS1391" s="81"/>
      <c r="BT1391" s="81"/>
      <c r="BV1391" s="9"/>
      <c r="BY1391" s="81"/>
      <c r="BZ1391" s="81"/>
      <c r="CB1391" s="9"/>
      <c r="CE1391" s="81"/>
      <c r="CF1391" s="81"/>
      <c r="CH1391" s="9"/>
      <c r="CK1391" s="81"/>
      <c r="CL1391" s="81"/>
      <c r="CR1391" s="9"/>
      <c r="CS1391" s="9"/>
      <c r="CT1391" s="9"/>
      <c r="CU1391" s="9"/>
      <c r="CV1391" s="9"/>
      <c r="CW1391" s="129"/>
      <c r="CX1391" s="9"/>
    </row>
    <row r="1392" spans="1:102">
      <c r="A1392" s="6" t="str">
        <f t="shared" si="211"/>
        <v>02770998</v>
      </c>
      <c r="B1392" s="6" t="s">
        <v>1927</v>
      </c>
      <c r="C1392" s="6" t="s">
        <v>2091</v>
      </c>
      <c r="D1392" s="6">
        <v>1383</v>
      </c>
      <c r="E1392" s="6">
        <v>277</v>
      </c>
      <c r="F1392" s="6" t="s">
        <v>1547</v>
      </c>
      <c r="G1392" s="6">
        <v>998</v>
      </c>
      <c r="H1392" s="6" t="s">
        <v>1547</v>
      </c>
      <c r="I1392" s="33">
        <v>0</v>
      </c>
      <c r="J1392" s="88">
        <v>0</v>
      </c>
      <c r="K1392" s="89">
        <f t="shared" si="220"/>
        <v>0</v>
      </c>
      <c r="L1392" s="88">
        <f>IF(K1394&gt;0, K1392/K1394, 0)</f>
        <v>0</v>
      </c>
      <c r="M1392" s="58"/>
      <c r="N1392" s="9">
        <f>ROUND(M1394*L1392,0)</f>
        <v>0</v>
      </c>
      <c r="O1392" s="9">
        <v>0</v>
      </c>
      <c r="P1392" s="9">
        <f>N1392-O1392</f>
        <v>0</v>
      </c>
      <c r="Q1392" s="40">
        <f t="shared" si="219"/>
        <v>0</v>
      </c>
      <c r="R1392" s="9">
        <v>0</v>
      </c>
      <c r="S1392" s="9">
        <f t="shared" si="217"/>
        <v>0</v>
      </c>
      <c r="T1392" s="90">
        <f t="shared" si="212"/>
        <v>277</v>
      </c>
      <c r="U1392" s="90">
        <f t="shared" si="213"/>
        <v>998</v>
      </c>
      <c r="V1392" s="373">
        <f t="shared" si="214"/>
        <v>1383</v>
      </c>
      <c r="W1392" s="90">
        <f t="shared" si="215"/>
        <v>0</v>
      </c>
      <c r="X1392" s="90">
        <f t="shared" si="216"/>
        <v>0</v>
      </c>
      <c r="Y1392" s="141">
        <f t="shared" si="218"/>
        <v>1383</v>
      </c>
      <c r="Z1392" s="298">
        <v>277</v>
      </c>
      <c r="AA1392" s="299">
        <v>998</v>
      </c>
      <c r="AB1392" s="299">
        <v>1383</v>
      </c>
      <c r="AC1392" s="301">
        <v>0</v>
      </c>
      <c r="AD1392" s="301">
        <v>0</v>
      </c>
      <c r="AE1392" s="126"/>
      <c r="AF1392" s="298"/>
      <c r="AG1392" s="299"/>
      <c r="AH1392" s="299"/>
      <c r="AI1392" s="301"/>
      <c r="AJ1392" s="301"/>
      <c r="AK1392" s="426"/>
      <c r="AL1392" s="298"/>
      <c r="AM1392" s="299"/>
      <c r="AN1392" s="299"/>
      <c r="AO1392" s="301"/>
      <c r="AP1392" s="301"/>
      <c r="AQ1392" s="426"/>
      <c r="AR1392" s="298"/>
      <c r="AS1392" s="299"/>
      <c r="AT1392" s="299"/>
      <c r="AU1392" s="301"/>
      <c r="AV1392" s="301"/>
      <c r="AW1392" s="88"/>
      <c r="AX1392" s="298"/>
      <c r="AY1392" s="299"/>
      <c r="AZ1392" s="299"/>
      <c r="BA1392" s="301"/>
      <c r="BB1392" s="301"/>
      <c r="BC1392" s="426"/>
      <c r="BD1392" s="298"/>
      <c r="BE1392" s="299"/>
      <c r="BF1392" s="299"/>
      <c r="BG1392" s="301"/>
      <c r="BH1392" s="301"/>
      <c r="BI1392" s="88"/>
      <c r="BJ1392" s="298"/>
      <c r="BK1392" s="299"/>
      <c r="BL1392" s="299"/>
      <c r="BM1392" s="301"/>
      <c r="BN1392" s="301"/>
      <c r="BO1392" s="88"/>
      <c r="BP1392" s="9"/>
      <c r="BS1392" s="81"/>
      <c r="BT1392" s="81"/>
      <c r="BV1392" s="9"/>
      <c r="BY1392" s="81"/>
      <c r="BZ1392" s="81"/>
      <c r="CB1392" s="9"/>
      <c r="CE1392" s="81"/>
      <c r="CF1392" s="81"/>
      <c r="CH1392" s="9"/>
      <c r="CK1392" s="81"/>
      <c r="CL1392" s="81"/>
      <c r="CR1392" s="9"/>
      <c r="CS1392" s="9"/>
      <c r="CT1392" s="9"/>
      <c r="CU1392" s="9"/>
      <c r="CV1392" s="9"/>
      <c r="CW1392" s="129"/>
      <c r="CX1392" s="9"/>
    </row>
    <row r="1393" spans="1:102">
      <c r="A1393" s="6" t="str">
        <f t="shared" si="211"/>
        <v>02770998</v>
      </c>
      <c r="B1393" s="6" t="s">
        <v>1927</v>
      </c>
      <c r="C1393" s="6" t="s">
        <v>2091</v>
      </c>
      <c r="D1393" s="6">
        <v>1384</v>
      </c>
      <c r="E1393" s="6">
        <v>277</v>
      </c>
      <c r="F1393" s="6" t="s">
        <v>1547</v>
      </c>
      <c r="G1393" s="6">
        <v>998</v>
      </c>
      <c r="H1393" s="6" t="s">
        <v>1547</v>
      </c>
      <c r="I1393" s="33">
        <v>0</v>
      </c>
      <c r="J1393" s="88">
        <v>0</v>
      </c>
      <c r="K1393" s="89">
        <f t="shared" si="220"/>
        <v>0</v>
      </c>
      <c r="L1393" s="88">
        <f>IF(K1394&gt;0, K1393/K1394, 0)</f>
        <v>0</v>
      </c>
      <c r="M1393" s="58"/>
      <c r="N1393" s="9">
        <f>ROUND(M1394*L1393,0)</f>
        <v>0</v>
      </c>
      <c r="O1393" s="9">
        <v>0</v>
      </c>
      <c r="P1393" s="9">
        <f>N1393-O1393</f>
        <v>0</v>
      </c>
      <c r="Q1393" s="40">
        <f t="shared" si="219"/>
        <v>0</v>
      </c>
      <c r="R1393" s="9">
        <v>0</v>
      </c>
      <c r="S1393" s="9">
        <f t="shared" si="217"/>
        <v>0</v>
      </c>
      <c r="T1393" s="90">
        <f t="shared" si="212"/>
        <v>277</v>
      </c>
      <c r="U1393" s="90">
        <f t="shared" si="213"/>
        <v>998</v>
      </c>
      <c r="V1393" s="373">
        <f t="shared" si="214"/>
        <v>1384</v>
      </c>
      <c r="W1393" s="90">
        <f t="shared" si="215"/>
        <v>0</v>
      </c>
      <c r="X1393" s="90">
        <f t="shared" si="216"/>
        <v>0</v>
      </c>
      <c r="Y1393" s="141">
        <f t="shared" si="218"/>
        <v>1384</v>
      </c>
      <c r="Z1393" s="298">
        <v>277</v>
      </c>
      <c r="AA1393" s="299">
        <v>998</v>
      </c>
      <c r="AB1393" s="299">
        <v>1384</v>
      </c>
      <c r="AC1393" s="301">
        <v>0</v>
      </c>
      <c r="AD1393" s="301">
        <v>0</v>
      </c>
      <c r="AE1393" s="126"/>
      <c r="AF1393" s="298"/>
      <c r="AG1393" s="299"/>
      <c r="AH1393" s="299"/>
      <c r="AI1393" s="301"/>
      <c r="AJ1393" s="301"/>
      <c r="AK1393" s="426"/>
      <c r="AL1393" s="298"/>
      <c r="AM1393" s="299"/>
      <c r="AN1393" s="299"/>
      <c r="AO1393" s="301"/>
      <c r="AP1393" s="301"/>
      <c r="AQ1393" s="426"/>
      <c r="AR1393" s="298"/>
      <c r="AS1393" s="299"/>
      <c r="AT1393" s="299"/>
      <c r="AU1393" s="301"/>
      <c r="AV1393" s="301"/>
      <c r="AW1393" s="88"/>
      <c r="AX1393" s="298"/>
      <c r="AY1393" s="299"/>
      <c r="AZ1393" s="299"/>
      <c r="BA1393" s="301"/>
      <c r="BB1393" s="301"/>
      <c r="BC1393" s="426"/>
      <c r="BD1393" s="298"/>
      <c r="BE1393" s="299"/>
      <c r="BF1393" s="299"/>
      <c r="BG1393" s="301"/>
      <c r="BH1393" s="301"/>
      <c r="BI1393" s="88"/>
      <c r="BJ1393" s="298"/>
      <c r="BK1393" s="299"/>
      <c r="BL1393" s="299"/>
      <c r="BM1393" s="301"/>
      <c r="BN1393" s="301"/>
      <c r="BO1393" s="88"/>
      <c r="BP1393" s="9"/>
      <c r="BS1393" s="81"/>
      <c r="BT1393" s="81"/>
      <c r="BV1393" s="9"/>
      <c r="BY1393" s="81"/>
      <c r="BZ1393" s="81"/>
      <c r="CB1393" s="9"/>
      <c r="CE1393" s="81"/>
      <c r="CF1393" s="81"/>
      <c r="CH1393" s="9"/>
      <c r="CK1393" s="81"/>
      <c r="CL1393" s="81"/>
      <c r="CR1393" s="9"/>
      <c r="CS1393" s="9"/>
      <c r="CT1393" s="9"/>
      <c r="CU1393" s="9"/>
      <c r="CV1393" s="9"/>
      <c r="CW1393" s="129"/>
      <c r="CX1393" s="9"/>
    </row>
    <row r="1394" spans="1:102">
      <c r="A1394" s="6" t="str">
        <f t="shared" si="211"/>
        <v>02770999</v>
      </c>
      <c r="B1394" s="6" t="s">
        <v>1927</v>
      </c>
      <c r="C1394" s="6" t="s">
        <v>2092</v>
      </c>
      <c r="D1394" s="6">
        <v>1385</v>
      </c>
      <c r="E1394" s="10">
        <v>277</v>
      </c>
      <c r="F1394" s="10" t="s">
        <v>1395</v>
      </c>
      <c r="G1394" s="10">
        <v>999</v>
      </c>
      <c r="H1394" s="10" t="s">
        <v>593</v>
      </c>
      <c r="I1394" s="92">
        <v>42301567.292828023</v>
      </c>
      <c r="J1394" s="472">
        <v>1</v>
      </c>
      <c r="K1394" s="53">
        <f>SUM(K1390:K1393)</f>
        <v>46174208.03893932</v>
      </c>
      <c r="L1394" s="91">
        <f>SUM(L1390:L1393)</f>
        <v>1</v>
      </c>
      <c r="M1394" s="79">
        <f>VLOOKUP(E1394,town351,24)</f>
        <v>10677708</v>
      </c>
      <c r="N1394" s="79">
        <f>SUM(N1390:N1393)</f>
        <v>10677708</v>
      </c>
      <c r="O1394" s="79">
        <v>10113381</v>
      </c>
      <c r="P1394" s="79">
        <f>SUM(P1390:P1393)</f>
        <v>564327</v>
      </c>
      <c r="Q1394" s="39">
        <f t="shared" si="219"/>
        <v>5.5800033638602162</v>
      </c>
      <c r="R1394" s="9">
        <v>2372.9999999985598</v>
      </c>
      <c r="S1394" s="9">
        <f t="shared" si="217"/>
        <v>2450.9999999942202</v>
      </c>
      <c r="T1394" s="90">
        <f t="shared" si="212"/>
        <v>277</v>
      </c>
      <c r="U1394" s="90">
        <f t="shared" si="213"/>
        <v>999</v>
      </c>
      <c r="V1394" s="373">
        <f t="shared" si="214"/>
        <v>1385</v>
      </c>
      <c r="W1394" s="90">
        <f t="shared" si="215"/>
        <v>2450.9999999942202</v>
      </c>
      <c r="X1394" s="90">
        <f t="shared" si="216"/>
        <v>46174208.03893932</v>
      </c>
      <c r="Y1394" s="141">
        <f t="shared" si="218"/>
        <v>1385</v>
      </c>
      <c r="Z1394" s="298">
        <v>277</v>
      </c>
      <c r="AA1394" s="299">
        <v>999</v>
      </c>
      <c r="AB1394" s="299">
        <v>1385</v>
      </c>
      <c r="AC1394" s="301">
        <v>2450.9999999942202</v>
      </c>
      <c r="AD1394" s="301">
        <v>46174208.03893932</v>
      </c>
      <c r="AE1394" s="126"/>
      <c r="AF1394" s="298"/>
      <c r="AG1394" s="299"/>
      <c r="AH1394" s="299"/>
      <c r="AI1394" s="301"/>
      <c r="AJ1394" s="301"/>
      <c r="AK1394" s="426"/>
      <c r="AL1394" s="298"/>
      <c r="AM1394" s="299"/>
      <c r="AN1394" s="299"/>
      <c r="AO1394" s="301"/>
      <c r="AP1394" s="301"/>
      <c r="AQ1394" s="426"/>
      <c r="AR1394" s="298"/>
      <c r="AS1394" s="299"/>
      <c r="AT1394" s="299"/>
      <c r="AU1394" s="301"/>
      <c r="AV1394" s="301"/>
      <c r="AW1394" s="91"/>
      <c r="AX1394" s="298"/>
      <c r="AY1394" s="299"/>
      <c r="AZ1394" s="299"/>
      <c r="BA1394" s="301"/>
      <c r="BB1394" s="301"/>
      <c r="BC1394" s="426"/>
      <c r="BD1394" s="298"/>
      <c r="BE1394" s="299"/>
      <c r="BF1394" s="299"/>
      <c r="BG1394" s="301"/>
      <c r="BH1394" s="301"/>
      <c r="BI1394" s="91"/>
      <c r="BJ1394" s="298"/>
      <c r="BK1394" s="299"/>
      <c r="BL1394" s="299"/>
      <c r="BM1394" s="301"/>
      <c r="BN1394" s="301"/>
      <c r="BO1394" s="91"/>
      <c r="BP1394" s="9"/>
      <c r="BS1394" s="81"/>
      <c r="BT1394" s="81"/>
      <c r="BV1394" s="9"/>
      <c r="BY1394" s="81"/>
      <c r="BZ1394" s="81"/>
      <c r="CB1394" s="9"/>
      <c r="CE1394" s="81"/>
      <c r="CF1394" s="81"/>
      <c r="CH1394" s="9"/>
      <c r="CK1394" s="81"/>
      <c r="CL1394" s="81"/>
      <c r="CR1394" s="9"/>
      <c r="CS1394" s="9"/>
      <c r="CT1394" s="9"/>
      <c r="CU1394" s="9"/>
      <c r="CV1394" s="9"/>
      <c r="CW1394" s="129"/>
      <c r="CX1394" s="9"/>
    </row>
    <row r="1395" spans="1:102">
      <c r="A1395" s="6" t="str">
        <f t="shared" si="211"/>
        <v>02780278</v>
      </c>
      <c r="B1395" s="6" t="s">
        <v>1928</v>
      </c>
      <c r="C1395" s="6" t="s">
        <v>1928</v>
      </c>
      <c r="D1395" s="6">
        <v>1386</v>
      </c>
      <c r="E1395" s="6">
        <v>278</v>
      </c>
      <c r="F1395" s="6" t="s">
        <v>1396</v>
      </c>
      <c r="G1395" s="6">
        <v>278</v>
      </c>
      <c r="H1395" s="6" t="s">
        <v>959</v>
      </c>
      <c r="I1395" s="33">
        <v>25928069.819999997</v>
      </c>
      <c r="J1395" s="88">
        <v>1</v>
      </c>
      <c r="K1395" s="89">
        <f>X1395</f>
        <v>26078106.460000001</v>
      </c>
      <c r="L1395" s="88">
        <f>IF(K1399&gt;0, K1395/K1399, 0)</f>
        <v>1</v>
      </c>
      <c r="M1395" s="58"/>
      <c r="N1395" s="9">
        <f>ROUND(M1399*L1395,0)</f>
        <v>15934556</v>
      </c>
      <c r="O1395" s="9">
        <v>15249839</v>
      </c>
      <c r="P1395" s="9">
        <f>N1395-O1395</f>
        <v>684717</v>
      </c>
      <c r="Q1395" s="40">
        <f t="shared" si="219"/>
        <v>4.4899949435531745</v>
      </c>
      <c r="R1395" s="9">
        <v>1859</v>
      </c>
      <c r="S1395" s="9">
        <f t="shared" si="217"/>
        <v>1817</v>
      </c>
      <c r="T1395" s="90">
        <f t="shared" si="212"/>
        <v>278</v>
      </c>
      <c r="U1395" s="90">
        <f t="shared" si="213"/>
        <v>278</v>
      </c>
      <c r="V1395" s="373">
        <f t="shared" si="214"/>
        <v>1386</v>
      </c>
      <c r="W1395" s="90">
        <f t="shared" si="215"/>
        <v>1817</v>
      </c>
      <c r="X1395" s="90">
        <f t="shared" si="216"/>
        <v>26078106.460000001</v>
      </c>
      <c r="Y1395" s="141">
        <f t="shared" si="218"/>
        <v>1386</v>
      </c>
      <c r="Z1395" s="298">
        <v>278</v>
      </c>
      <c r="AA1395" s="299">
        <v>278</v>
      </c>
      <c r="AB1395" s="299">
        <v>1386</v>
      </c>
      <c r="AC1395" s="301">
        <v>1817</v>
      </c>
      <c r="AD1395" s="301">
        <v>26078106.460000001</v>
      </c>
      <c r="AE1395" s="126"/>
      <c r="AF1395" s="298"/>
      <c r="AG1395" s="299"/>
      <c r="AH1395" s="299"/>
      <c r="AI1395" s="301"/>
      <c r="AJ1395" s="301"/>
      <c r="AK1395" s="426"/>
      <c r="AL1395" s="298"/>
      <c r="AM1395" s="299"/>
      <c r="AN1395" s="299"/>
      <c r="AO1395" s="301"/>
      <c r="AP1395" s="301"/>
      <c r="AQ1395" s="426"/>
      <c r="AR1395" s="298"/>
      <c r="AS1395" s="299"/>
      <c r="AT1395" s="299"/>
      <c r="AU1395" s="301"/>
      <c r="AV1395" s="301"/>
      <c r="AW1395" s="88"/>
      <c r="AX1395" s="298"/>
      <c r="AY1395" s="299"/>
      <c r="AZ1395" s="299"/>
      <c r="BA1395" s="301"/>
      <c r="BB1395" s="301"/>
      <c r="BC1395" s="426"/>
      <c r="BD1395" s="298"/>
      <c r="BE1395" s="299"/>
      <c r="BF1395" s="299"/>
      <c r="BG1395" s="301"/>
      <c r="BH1395" s="301"/>
      <c r="BI1395" s="88"/>
      <c r="BJ1395" s="298"/>
      <c r="BK1395" s="299"/>
      <c r="BL1395" s="299"/>
      <c r="BM1395" s="301"/>
      <c r="BN1395" s="301"/>
      <c r="BO1395" s="88"/>
      <c r="BP1395" s="9"/>
      <c r="BS1395" s="81"/>
      <c r="BT1395" s="81"/>
      <c r="BV1395" s="9"/>
      <c r="BY1395" s="81"/>
      <c r="BZ1395" s="81"/>
      <c r="CB1395" s="9"/>
      <c r="CE1395" s="81"/>
      <c r="CF1395" s="81"/>
      <c r="CH1395" s="9"/>
      <c r="CK1395" s="81"/>
      <c r="CL1395" s="81"/>
      <c r="CR1395" s="9"/>
      <c r="CS1395" s="9"/>
      <c r="CT1395" s="9"/>
      <c r="CU1395" s="9"/>
      <c r="CV1395" s="9"/>
      <c r="CW1395" s="129"/>
      <c r="CX1395" s="9"/>
    </row>
    <row r="1396" spans="1:102">
      <c r="A1396" s="6" t="str">
        <f t="shared" si="211"/>
        <v>02780998</v>
      </c>
      <c r="B1396" s="6" t="s">
        <v>1928</v>
      </c>
      <c r="C1396" s="6" t="s">
        <v>2091</v>
      </c>
      <c r="D1396" s="6">
        <v>1387</v>
      </c>
      <c r="E1396" s="6">
        <v>278</v>
      </c>
      <c r="F1396" s="6" t="s">
        <v>1547</v>
      </c>
      <c r="G1396" s="6">
        <v>998</v>
      </c>
      <c r="H1396" s="6" t="s">
        <v>1547</v>
      </c>
      <c r="I1396" s="33">
        <v>0</v>
      </c>
      <c r="J1396" s="88">
        <v>0</v>
      </c>
      <c r="K1396" s="89">
        <f t="shared" si="220"/>
        <v>0</v>
      </c>
      <c r="L1396" s="88">
        <f>IF(K1399&gt;0, K1396/K1399, 0)</f>
        <v>0</v>
      </c>
      <c r="M1396" s="58"/>
      <c r="N1396" s="9">
        <f>ROUND(M1399*L1396,0)</f>
        <v>0</v>
      </c>
      <c r="O1396" s="9">
        <v>0</v>
      </c>
      <c r="P1396" s="9">
        <f>N1396-O1396</f>
        <v>0</v>
      </c>
      <c r="Q1396" s="40">
        <f t="shared" si="219"/>
        <v>0</v>
      </c>
      <c r="R1396" s="9">
        <v>0</v>
      </c>
      <c r="S1396" s="9">
        <f t="shared" si="217"/>
        <v>0</v>
      </c>
      <c r="T1396" s="90">
        <f t="shared" si="212"/>
        <v>278</v>
      </c>
      <c r="U1396" s="90">
        <f t="shared" si="213"/>
        <v>998</v>
      </c>
      <c r="V1396" s="373">
        <f t="shared" si="214"/>
        <v>1387</v>
      </c>
      <c r="W1396" s="90">
        <f t="shared" si="215"/>
        <v>0</v>
      </c>
      <c r="X1396" s="90">
        <f t="shared" si="216"/>
        <v>0</v>
      </c>
      <c r="Y1396" s="141">
        <f t="shared" si="218"/>
        <v>1387</v>
      </c>
      <c r="Z1396" s="298">
        <v>278</v>
      </c>
      <c r="AA1396" s="299">
        <v>998</v>
      </c>
      <c r="AB1396" s="299">
        <v>1387</v>
      </c>
      <c r="AC1396" s="301">
        <v>0</v>
      </c>
      <c r="AD1396" s="301">
        <v>0</v>
      </c>
      <c r="AE1396" s="126"/>
      <c r="AF1396" s="298"/>
      <c r="AG1396" s="299"/>
      <c r="AH1396" s="299"/>
      <c r="AI1396" s="301"/>
      <c r="AJ1396" s="301"/>
      <c r="AK1396" s="426"/>
      <c r="AL1396" s="298"/>
      <c r="AM1396" s="299"/>
      <c r="AN1396" s="299"/>
      <c r="AO1396" s="301"/>
      <c r="AP1396" s="301"/>
      <c r="AQ1396" s="426"/>
      <c r="AR1396" s="298"/>
      <c r="AS1396" s="299"/>
      <c r="AT1396" s="299"/>
      <c r="AU1396" s="301"/>
      <c r="AV1396" s="301"/>
      <c r="AW1396" s="88"/>
      <c r="AX1396" s="298"/>
      <c r="AY1396" s="299"/>
      <c r="AZ1396" s="299"/>
      <c r="BA1396" s="301"/>
      <c r="BB1396" s="301"/>
      <c r="BC1396" s="426"/>
      <c r="BD1396" s="298"/>
      <c r="BE1396" s="299"/>
      <c r="BF1396" s="299"/>
      <c r="BG1396" s="301"/>
      <c r="BH1396" s="301"/>
      <c r="BI1396" s="88"/>
      <c r="BJ1396" s="298"/>
      <c r="BK1396" s="299"/>
      <c r="BL1396" s="299"/>
      <c r="BM1396" s="301"/>
      <c r="BN1396" s="301"/>
      <c r="BO1396" s="88"/>
      <c r="BP1396" s="9"/>
      <c r="BS1396" s="81"/>
      <c r="BT1396" s="81"/>
      <c r="BV1396" s="9"/>
      <c r="BY1396" s="81"/>
      <c r="BZ1396" s="81"/>
      <c r="CB1396" s="9"/>
      <c r="CE1396" s="81"/>
      <c r="CF1396" s="81"/>
      <c r="CH1396" s="9"/>
      <c r="CK1396" s="81"/>
      <c r="CL1396" s="81"/>
      <c r="CR1396" s="9"/>
      <c r="CS1396" s="9"/>
      <c r="CT1396" s="9"/>
      <c r="CU1396" s="9"/>
      <c r="CV1396" s="9"/>
      <c r="CW1396" s="129"/>
      <c r="CX1396" s="9"/>
    </row>
    <row r="1397" spans="1:102">
      <c r="A1397" s="6" t="str">
        <f t="shared" si="211"/>
        <v>02780998</v>
      </c>
      <c r="B1397" s="6" t="s">
        <v>1928</v>
      </c>
      <c r="C1397" s="6" t="s">
        <v>2091</v>
      </c>
      <c r="D1397" s="6">
        <v>1388</v>
      </c>
      <c r="E1397" s="6">
        <v>278</v>
      </c>
      <c r="F1397" s="6" t="s">
        <v>1547</v>
      </c>
      <c r="G1397" s="6">
        <v>998</v>
      </c>
      <c r="H1397" s="6" t="s">
        <v>1547</v>
      </c>
      <c r="I1397" s="33">
        <v>0</v>
      </c>
      <c r="J1397" s="88">
        <v>0</v>
      </c>
      <c r="K1397" s="89">
        <f t="shared" si="220"/>
        <v>0</v>
      </c>
      <c r="L1397" s="88">
        <f>IF(K1399&gt;0, K1397/K1399, 0)</f>
        <v>0</v>
      </c>
      <c r="M1397" s="58"/>
      <c r="N1397" s="9">
        <f>ROUND(M1399*L1397,0)</f>
        <v>0</v>
      </c>
      <c r="O1397" s="9">
        <v>0</v>
      </c>
      <c r="P1397" s="9">
        <f>N1397-O1397</f>
        <v>0</v>
      </c>
      <c r="Q1397" s="40">
        <f t="shared" si="219"/>
        <v>0</v>
      </c>
      <c r="R1397" s="9">
        <v>0</v>
      </c>
      <c r="S1397" s="9">
        <f t="shared" si="217"/>
        <v>0</v>
      </c>
      <c r="T1397" s="90">
        <f t="shared" si="212"/>
        <v>278</v>
      </c>
      <c r="U1397" s="90">
        <f t="shared" si="213"/>
        <v>998</v>
      </c>
      <c r="V1397" s="373">
        <f t="shared" si="214"/>
        <v>1388</v>
      </c>
      <c r="W1397" s="90">
        <f t="shared" si="215"/>
        <v>0</v>
      </c>
      <c r="X1397" s="90">
        <f t="shared" si="216"/>
        <v>0</v>
      </c>
      <c r="Y1397" s="141">
        <f t="shared" si="218"/>
        <v>1388</v>
      </c>
      <c r="Z1397" s="298">
        <v>278</v>
      </c>
      <c r="AA1397" s="299">
        <v>998</v>
      </c>
      <c r="AB1397" s="299">
        <v>1388</v>
      </c>
      <c r="AC1397" s="301">
        <v>0</v>
      </c>
      <c r="AD1397" s="301">
        <v>0</v>
      </c>
      <c r="AE1397" s="126"/>
      <c r="AF1397" s="298"/>
      <c r="AG1397" s="299"/>
      <c r="AH1397" s="299"/>
      <c r="AI1397" s="301"/>
      <c r="AJ1397" s="301"/>
      <c r="AK1397" s="426"/>
      <c r="AL1397" s="298"/>
      <c r="AM1397" s="299"/>
      <c r="AN1397" s="299"/>
      <c r="AO1397" s="301"/>
      <c r="AP1397" s="301"/>
      <c r="AQ1397" s="426"/>
      <c r="AR1397" s="298"/>
      <c r="AS1397" s="299"/>
      <c r="AT1397" s="299"/>
      <c r="AU1397" s="301"/>
      <c r="AV1397" s="301"/>
      <c r="AW1397" s="88"/>
      <c r="AX1397" s="298"/>
      <c r="AY1397" s="299"/>
      <c r="AZ1397" s="299"/>
      <c r="BA1397" s="301"/>
      <c r="BB1397" s="301"/>
      <c r="BC1397" s="426"/>
      <c r="BD1397" s="298"/>
      <c r="BE1397" s="299"/>
      <c r="BF1397" s="299"/>
      <c r="BG1397" s="301"/>
      <c r="BH1397" s="301"/>
      <c r="BI1397" s="88"/>
      <c r="BJ1397" s="298"/>
      <c r="BK1397" s="299"/>
      <c r="BL1397" s="299"/>
      <c r="BM1397" s="301"/>
      <c r="BN1397" s="301"/>
      <c r="BO1397" s="88"/>
      <c r="BP1397" s="9"/>
      <c r="BS1397" s="81"/>
      <c r="BT1397" s="81"/>
      <c r="BV1397" s="9"/>
      <c r="BY1397" s="81"/>
      <c r="BZ1397" s="81"/>
      <c r="CB1397" s="9"/>
      <c r="CE1397" s="81"/>
      <c r="CF1397" s="81"/>
      <c r="CH1397" s="9"/>
      <c r="CK1397" s="81"/>
      <c r="CL1397" s="81"/>
      <c r="CR1397" s="9"/>
      <c r="CS1397" s="9"/>
      <c r="CT1397" s="9"/>
      <c r="CU1397" s="9"/>
      <c r="CV1397" s="9"/>
      <c r="CW1397" s="129"/>
      <c r="CX1397" s="9"/>
    </row>
    <row r="1398" spans="1:102">
      <c r="A1398" s="6" t="str">
        <f t="shared" si="211"/>
        <v>02780998</v>
      </c>
      <c r="B1398" s="6" t="s">
        <v>1928</v>
      </c>
      <c r="C1398" s="6" t="s">
        <v>2091</v>
      </c>
      <c r="D1398" s="6">
        <v>1389</v>
      </c>
      <c r="E1398" s="6">
        <v>278</v>
      </c>
      <c r="F1398" s="6" t="s">
        <v>1547</v>
      </c>
      <c r="G1398" s="6">
        <v>998</v>
      </c>
      <c r="H1398" s="6" t="s">
        <v>1547</v>
      </c>
      <c r="I1398" s="33">
        <v>0</v>
      </c>
      <c r="J1398" s="88">
        <v>0</v>
      </c>
      <c r="K1398" s="89">
        <f t="shared" si="220"/>
        <v>0</v>
      </c>
      <c r="L1398" s="88">
        <f>IF(K1399&gt;0, K1398/K1399, 0)</f>
        <v>0</v>
      </c>
      <c r="M1398" s="58"/>
      <c r="N1398" s="9">
        <f>ROUND(M1399*L1398,0)</f>
        <v>0</v>
      </c>
      <c r="O1398" s="9">
        <v>0</v>
      </c>
      <c r="P1398" s="9">
        <f>N1398-O1398</f>
        <v>0</v>
      </c>
      <c r="Q1398" s="40">
        <f t="shared" si="219"/>
        <v>0</v>
      </c>
      <c r="R1398" s="9">
        <v>0</v>
      </c>
      <c r="S1398" s="9">
        <f t="shared" si="217"/>
        <v>0</v>
      </c>
      <c r="T1398" s="90">
        <f t="shared" si="212"/>
        <v>278</v>
      </c>
      <c r="U1398" s="90">
        <f t="shared" si="213"/>
        <v>998</v>
      </c>
      <c r="V1398" s="373">
        <f t="shared" si="214"/>
        <v>1389</v>
      </c>
      <c r="W1398" s="90">
        <f t="shared" si="215"/>
        <v>0</v>
      </c>
      <c r="X1398" s="90">
        <f t="shared" si="216"/>
        <v>0</v>
      </c>
      <c r="Y1398" s="141">
        <f t="shared" si="218"/>
        <v>1389</v>
      </c>
      <c r="Z1398" s="298">
        <v>278</v>
      </c>
      <c r="AA1398" s="299">
        <v>998</v>
      </c>
      <c r="AB1398" s="299">
        <v>1389</v>
      </c>
      <c r="AC1398" s="301">
        <v>0</v>
      </c>
      <c r="AD1398" s="301">
        <v>0</v>
      </c>
      <c r="AE1398" s="126"/>
      <c r="AF1398" s="298"/>
      <c r="AG1398" s="299"/>
      <c r="AH1398" s="299"/>
      <c r="AI1398" s="301"/>
      <c r="AJ1398" s="301"/>
      <c r="AK1398" s="426"/>
      <c r="AL1398" s="298"/>
      <c r="AM1398" s="299"/>
      <c r="AN1398" s="299"/>
      <c r="AO1398" s="301"/>
      <c r="AP1398" s="301"/>
      <c r="AQ1398" s="426"/>
      <c r="AR1398" s="298"/>
      <c r="AS1398" s="299"/>
      <c r="AT1398" s="299"/>
      <c r="AU1398" s="301"/>
      <c r="AV1398" s="301"/>
      <c r="AW1398" s="88"/>
      <c r="AX1398" s="298"/>
      <c r="AY1398" s="299"/>
      <c r="AZ1398" s="299"/>
      <c r="BA1398" s="301"/>
      <c r="BB1398" s="301"/>
      <c r="BC1398" s="426"/>
      <c r="BD1398" s="298"/>
      <c r="BE1398" s="299"/>
      <c r="BF1398" s="299"/>
      <c r="BG1398" s="301"/>
      <c r="BH1398" s="301"/>
      <c r="BI1398" s="88"/>
      <c r="BJ1398" s="298"/>
      <c r="BK1398" s="299"/>
      <c r="BL1398" s="299"/>
      <c r="BM1398" s="301"/>
      <c r="BN1398" s="301"/>
      <c r="BO1398" s="88"/>
      <c r="BP1398" s="9"/>
      <c r="BS1398" s="81"/>
      <c r="BT1398" s="81"/>
      <c r="BV1398" s="9"/>
      <c r="BY1398" s="81"/>
      <c r="BZ1398" s="81"/>
      <c r="CB1398" s="9"/>
      <c r="CE1398" s="81"/>
      <c r="CF1398" s="81"/>
      <c r="CH1398" s="9"/>
      <c r="CK1398" s="81"/>
      <c r="CL1398" s="81"/>
      <c r="CR1398" s="9"/>
      <c r="CS1398" s="9"/>
      <c r="CT1398" s="9"/>
      <c r="CU1398" s="9"/>
      <c r="CV1398" s="9"/>
      <c r="CW1398" s="129"/>
      <c r="CX1398" s="9"/>
    </row>
    <row r="1399" spans="1:102">
      <c r="A1399" s="6" t="str">
        <f t="shared" si="211"/>
        <v>02780999</v>
      </c>
      <c r="B1399" s="6" t="s">
        <v>1928</v>
      </c>
      <c r="C1399" s="6" t="s">
        <v>2092</v>
      </c>
      <c r="D1399" s="6">
        <v>1390</v>
      </c>
      <c r="E1399" s="10">
        <v>278</v>
      </c>
      <c r="F1399" s="10" t="s">
        <v>1396</v>
      </c>
      <c r="G1399" s="10">
        <v>999</v>
      </c>
      <c r="H1399" s="10" t="s">
        <v>593</v>
      </c>
      <c r="I1399" s="92">
        <v>25928069.819999997</v>
      </c>
      <c r="J1399" s="472">
        <v>1</v>
      </c>
      <c r="K1399" s="53">
        <f>SUM(K1395:K1398)</f>
        <v>26078106.460000001</v>
      </c>
      <c r="L1399" s="91">
        <f>SUM(L1395:L1398)</f>
        <v>1</v>
      </c>
      <c r="M1399" s="79">
        <f>VLOOKUP(E1399,town351,24)</f>
        <v>15934556</v>
      </c>
      <c r="N1399" s="79">
        <f>SUM(N1395:N1398)</f>
        <v>15934556</v>
      </c>
      <c r="O1399" s="79">
        <v>15249839</v>
      </c>
      <c r="P1399" s="79">
        <f>SUM(P1395:P1398)</f>
        <v>684717</v>
      </c>
      <c r="Q1399" s="39">
        <f t="shared" si="219"/>
        <v>4.4899949435531745</v>
      </c>
      <c r="R1399" s="9">
        <v>1859</v>
      </c>
      <c r="S1399" s="9">
        <f t="shared" si="217"/>
        <v>1817</v>
      </c>
      <c r="T1399" s="90">
        <f t="shared" si="212"/>
        <v>278</v>
      </c>
      <c r="U1399" s="90">
        <f t="shared" si="213"/>
        <v>999</v>
      </c>
      <c r="V1399" s="373">
        <f t="shared" si="214"/>
        <v>1390</v>
      </c>
      <c r="W1399" s="90">
        <f t="shared" si="215"/>
        <v>1817</v>
      </c>
      <c r="X1399" s="90">
        <f t="shared" si="216"/>
        <v>26078106.460000001</v>
      </c>
      <c r="Y1399" s="141">
        <f t="shared" si="218"/>
        <v>1390</v>
      </c>
      <c r="Z1399" s="298">
        <v>278</v>
      </c>
      <c r="AA1399" s="299">
        <v>999</v>
      </c>
      <c r="AB1399" s="299">
        <v>1390</v>
      </c>
      <c r="AC1399" s="301">
        <v>1817</v>
      </c>
      <c r="AD1399" s="301">
        <v>26078106.460000001</v>
      </c>
      <c r="AE1399" s="126"/>
      <c r="AF1399" s="298"/>
      <c r="AG1399" s="299"/>
      <c r="AH1399" s="299"/>
      <c r="AI1399" s="301"/>
      <c r="AJ1399" s="301"/>
      <c r="AK1399" s="426"/>
      <c r="AL1399" s="298"/>
      <c r="AM1399" s="299"/>
      <c r="AN1399" s="299"/>
      <c r="AO1399" s="301"/>
      <c r="AP1399" s="301"/>
      <c r="AQ1399" s="426"/>
      <c r="AR1399" s="298"/>
      <c r="AS1399" s="299"/>
      <c r="AT1399" s="299"/>
      <c r="AU1399" s="301"/>
      <c r="AV1399" s="301"/>
      <c r="AW1399" s="91"/>
      <c r="AX1399" s="298"/>
      <c r="AY1399" s="299"/>
      <c r="AZ1399" s="299"/>
      <c r="BA1399" s="301"/>
      <c r="BB1399" s="301"/>
      <c r="BC1399" s="426"/>
      <c r="BD1399" s="298"/>
      <c r="BE1399" s="299"/>
      <c r="BF1399" s="299"/>
      <c r="BG1399" s="301"/>
      <c r="BH1399" s="301"/>
      <c r="BI1399" s="91"/>
      <c r="BJ1399" s="298"/>
      <c r="BK1399" s="299"/>
      <c r="BL1399" s="299"/>
      <c r="BM1399" s="301"/>
      <c r="BN1399" s="301"/>
      <c r="BO1399" s="91"/>
      <c r="BP1399" s="9"/>
      <c r="BS1399" s="81"/>
      <c r="BT1399" s="81"/>
      <c r="BV1399" s="9"/>
      <c r="BY1399" s="81"/>
      <c r="BZ1399" s="81"/>
      <c r="CB1399" s="9"/>
      <c r="CE1399" s="81"/>
      <c r="CF1399" s="81"/>
      <c r="CH1399" s="9"/>
      <c r="CK1399" s="81"/>
      <c r="CL1399" s="81"/>
      <c r="CR1399" s="9"/>
      <c r="CS1399" s="9"/>
      <c r="CT1399" s="9"/>
      <c r="CU1399" s="9"/>
      <c r="CV1399" s="9"/>
      <c r="CW1399" s="129"/>
      <c r="CX1399" s="9"/>
    </row>
    <row r="1400" spans="1:102">
      <c r="A1400" s="6" t="str">
        <f t="shared" si="211"/>
        <v>02790279</v>
      </c>
      <c r="B1400" s="6" t="s">
        <v>1929</v>
      </c>
      <c r="C1400" s="6" t="s">
        <v>1929</v>
      </c>
      <c r="D1400" s="6">
        <v>1391</v>
      </c>
      <c r="E1400" s="6">
        <v>279</v>
      </c>
      <c r="F1400" s="6" t="s">
        <v>1397</v>
      </c>
      <c r="G1400" s="6">
        <v>279</v>
      </c>
      <c r="H1400" s="6" t="s">
        <v>960</v>
      </c>
      <c r="I1400" s="33">
        <v>0</v>
      </c>
      <c r="J1400" s="88">
        <v>0</v>
      </c>
      <c r="K1400" s="89">
        <f>X1400</f>
        <v>0</v>
      </c>
      <c r="L1400" s="88">
        <f>IF(K1404&gt;0, K1400/K1404, 0)</f>
        <v>0</v>
      </c>
      <c r="M1400" s="58"/>
      <c r="N1400" s="9">
        <f>ROUND(M1404*L1400,0)</f>
        <v>0</v>
      </c>
      <c r="O1400" s="9">
        <v>0</v>
      </c>
      <c r="P1400" s="9">
        <f>N1400-O1400</f>
        <v>0</v>
      </c>
      <c r="Q1400" s="40">
        <f t="shared" si="219"/>
        <v>0</v>
      </c>
      <c r="R1400" s="9">
        <v>0</v>
      </c>
      <c r="S1400" s="9">
        <f t="shared" si="217"/>
        <v>0</v>
      </c>
      <c r="T1400" s="90">
        <f t="shared" si="212"/>
        <v>279</v>
      </c>
      <c r="U1400" s="90">
        <f t="shared" si="213"/>
        <v>279</v>
      </c>
      <c r="V1400" s="373">
        <f t="shared" si="214"/>
        <v>1391</v>
      </c>
      <c r="W1400" s="90">
        <f t="shared" si="215"/>
        <v>0</v>
      </c>
      <c r="X1400" s="90">
        <f t="shared" si="216"/>
        <v>0</v>
      </c>
      <c r="Y1400" s="141">
        <f t="shared" si="218"/>
        <v>1391</v>
      </c>
      <c r="Z1400" s="298">
        <v>279</v>
      </c>
      <c r="AA1400" s="299">
        <v>279</v>
      </c>
      <c r="AB1400" s="299">
        <v>1391</v>
      </c>
      <c r="AC1400" s="301">
        <v>0</v>
      </c>
      <c r="AD1400" s="301">
        <v>0</v>
      </c>
      <c r="AE1400" s="126"/>
      <c r="AF1400" s="298"/>
      <c r="AG1400" s="299"/>
      <c r="AH1400" s="299"/>
      <c r="AI1400" s="301"/>
      <c r="AJ1400" s="301"/>
      <c r="AK1400" s="426"/>
      <c r="AL1400" s="298"/>
      <c r="AM1400" s="299"/>
      <c r="AN1400" s="299"/>
      <c r="AO1400" s="301"/>
      <c r="AP1400" s="301"/>
      <c r="AQ1400" s="426"/>
      <c r="AR1400" s="298"/>
      <c r="AS1400" s="299"/>
      <c r="AT1400" s="299"/>
      <c r="AU1400" s="301"/>
      <c r="AV1400" s="301"/>
      <c r="AW1400" s="88"/>
      <c r="AX1400" s="298"/>
      <c r="AY1400" s="299"/>
      <c r="AZ1400" s="299"/>
      <c r="BA1400" s="301"/>
      <c r="BB1400" s="301"/>
      <c r="BC1400" s="426"/>
      <c r="BD1400" s="298"/>
      <c r="BE1400" s="299"/>
      <c r="BF1400" s="299"/>
      <c r="BG1400" s="301"/>
      <c r="BH1400" s="301"/>
      <c r="BI1400" s="88"/>
      <c r="BJ1400" s="298"/>
      <c r="BK1400" s="299"/>
      <c r="BL1400" s="299"/>
      <c r="BM1400" s="301"/>
      <c r="BN1400" s="301"/>
      <c r="BO1400" s="88"/>
      <c r="BP1400" s="9"/>
      <c r="BS1400" s="81"/>
      <c r="BT1400" s="81"/>
      <c r="BV1400" s="9"/>
      <c r="BY1400" s="81"/>
      <c r="BZ1400" s="81"/>
      <c r="CB1400" s="9"/>
      <c r="CE1400" s="81"/>
      <c r="CF1400" s="81"/>
      <c r="CH1400" s="9"/>
      <c r="CK1400" s="81"/>
      <c r="CL1400" s="81"/>
      <c r="CR1400" s="9"/>
      <c r="CS1400" s="9"/>
      <c r="CT1400" s="9"/>
      <c r="CU1400" s="9"/>
      <c r="CV1400" s="9"/>
      <c r="CW1400" s="129"/>
      <c r="CX1400" s="9"/>
    </row>
    <row r="1401" spans="1:102">
      <c r="A1401" s="6" t="str">
        <f t="shared" si="211"/>
        <v>02790766</v>
      </c>
      <c r="B1401" s="6" t="s">
        <v>1929</v>
      </c>
      <c r="C1401" s="6" t="s">
        <v>2054</v>
      </c>
      <c r="D1401" s="6">
        <v>1392</v>
      </c>
      <c r="E1401" s="6">
        <v>279</v>
      </c>
      <c r="F1401" s="6" t="s">
        <v>1397</v>
      </c>
      <c r="G1401" s="6">
        <v>766</v>
      </c>
      <c r="H1401" s="6" t="s">
        <v>1548</v>
      </c>
      <c r="I1401" s="33">
        <v>15276191.958581634</v>
      </c>
      <c r="J1401" s="88">
        <v>1</v>
      </c>
      <c r="K1401" s="89">
        <f t="shared" si="220"/>
        <v>15700995.515083062</v>
      </c>
      <c r="L1401" s="88">
        <f>IF(K1404&gt;0, K1401/K1404, 0)</f>
        <v>1</v>
      </c>
      <c r="M1401" s="58"/>
      <c r="N1401" s="9">
        <f>ROUND(M1404*L1401,0)</f>
        <v>10498701</v>
      </c>
      <c r="O1401" s="9">
        <v>10057190</v>
      </c>
      <c r="P1401" s="9">
        <f>N1401-O1401</f>
        <v>441511</v>
      </c>
      <c r="Q1401" s="40">
        <f t="shared" si="219"/>
        <v>4.3900035695855406</v>
      </c>
      <c r="R1401" s="9">
        <v>1080.7494108446701</v>
      </c>
      <c r="S1401" s="9">
        <f t="shared" si="217"/>
        <v>1068.49358974488</v>
      </c>
      <c r="T1401" s="90">
        <f t="shared" si="212"/>
        <v>279</v>
      </c>
      <c r="U1401" s="90">
        <f t="shared" si="213"/>
        <v>766</v>
      </c>
      <c r="V1401" s="373">
        <f t="shared" si="214"/>
        <v>1392</v>
      </c>
      <c r="W1401" s="90">
        <f t="shared" si="215"/>
        <v>1068.49358974488</v>
      </c>
      <c r="X1401" s="90">
        <f t="shared" si="216"/>
        <v>15700995.515083062</v>
      </c>
      <c r="Y1401" s="141">
        <f t="shared" si="218"/>
        <v>1392</v>
      </c>
      <c r="Z1401" s="298">
        <v>279</v>
      </c>
      <c r="AA1401" s="299">
        <v>766</v>
      </c>
      <c r="AB1401" s="299">
        <v>1392</v>
      </c>
      <c r="AC1401" s="301">
        <v>1068.49358974488</v>
      </c>
      <c r="AD1401" s="301">
        <v>15700995.515083062</v>
      </c>
      <c r="AE1401" s="126"/>
      <c r="AF1401" s="298"/>
      <c r="AG1401" s="299"/>
      <c r="AH1401" s="299"/>
      <c r="AI1401" s="301"/>
      <c r="AJ1401" s="301"/>
      <c r="AK1401" s="426"/>
      <c r="AL1401" s="298"/>
      <c r="AM1401" s="299"/>
      <c r="AN1401" s="299"/>
      <c r="AO1401" s="301"/>
      <c r="AP1401" s="301"/>
      <c r="AQ1401" s="426"/>
      <c r="AR1401" s="298"/>
      <c r="AS1401" s="299"/>
      <c r="AT1401" s="299"/>
      <c r="AU1401" s="301"/>
      <c r="AV1401" s="301"/>
      <c r="AW1401" s="88"/>
      <c r="AX1401" s="298"/>
      <c r="AY1401" s="299"/>
      <c r="AZ1401" s="299"/>
      <c r="BA1401" s="301"/>
      <c r="BB1401" s="301"/>
      <c r="BC1401" s="426"/>
      <c r="BD1401" s="298"/>
      <c r="BE1401" s="299"/>
      <c r="BF1401" s="299"/>
      <c r="BG1401" s="301"/>
      <c r="BH1401" s="301"/>
      <c r="BI1401" s="88"/>
      <c r="BJ1401" s="298"/>
      <c r="BK1401" s="299"/>
      <c r="BL1401" s="299"/>
      <c r="BM1401" s="301"/>
      <c r="BN1401" s="301"/>
      <c r="BO1401" s="88"/>
      <c r="BP1401" s="9"/>
      <c r="BS1401" s="81"/>
      <c r="BT1401" s="81"/>
      <c r="BV1401" s="9"/>
      <c r="BY1401" s="81"/>
      <c r="BZ1401" s="81"/>
      <c r="CB1401" s="9"/>
      <c r="CE1401" s="81"/>
      <c r="CF1401" s="81"/>
      <c r="CH1401" s="9"/>
      <c r="CK1401" s="81"/>
      <c r="CL1401" s="81"/>
      <c r="CR1401" s="9"/>
      <c r="CS1401" s="9"/>
      <c r="CT1401" s="9"/>
      <c r="CU1401" s="9"/>
      <c r="CV1401" s="9"/>
      <c r="CW1401" s="129"/>
      <c r="CX1401" s="9"/>
    </row>
    <row r="1402" spans="1:102">
      <c r="A1402" s="6" t="str">
        <f t="shared" si="211"/>
        <v>02790998</v>
      </c>
      <c r="B1402" s="6" t="s">
        <v>1929</v>
      </c>
      <c r="C1402" s="6" t="s">
        <v>2091</v>
      </c>
      <c r="D1402" s="6">
        <v>1393</v>
      </c>
      <c r="E1402" s="6">
        <v>279</v>
      </c>
      <c r="F1402" s="6" t="s">
        <v>1547</v>
      </c>
      <c r="G1402" s="6">
        <v>998</v>
      </c>
      <c r="H1402" s="6" t="s">
        <v>1547</v>
      </c>
      <c r="I1402" s="33">
        <v>0</v>
      </c>
      <c r="J1402" s="88">
        <v>0</v>
      </c>
      <c r="K1402" s="89">
        <f t="shared" si="220"/>
        <v>0</v>
      </c>
      <c r="L1402" s="88">
        <f>IF(K1404&gt;0, K1402/K1404, 0)</f>
        <v>0</v>
      </c>
      <c r="M1402" s="58"/>
      <c r="N1402" s="9">
        <f>ROUND(M1404*L1402,0)</f>
        <v>0</v>
      </c>
      <c r="O1402" s="9">
        <v>0</v>
      </c>
      <c r="P1402" s="9">
        <f>N1402-O1402</f>
        <v>0</v>
      </c>
      <c r="Q1402" s="40">
        <f t="shared" si="219"/>
        <v>0</v>
      </c>
      <c r="R1402" s="9">
        <v>0</v>
      </c>
      <c r="S1402" s="9">
        <f t="shared" si="217"/>
        <v>0</v>
      </c>
      <c r="T1402" s="90">
        <f t="shared" si="212"/>
        <v>279</v>
      </c>
      <c r="U1402" s="90">
        <f t="shared" si="213"/>
        <v>998</v>
      </c>
      <c r="V1402" s="373">
        <f t="shared" si="214"/>
        <v>1393</v>
      </c>
      <c r="W1402" s="90">
        <f t="shared" si="215"/>
        <v>0</v>
      </c>
      <c r="X1402" s="90">
        <f t="shared" si="216"/>
        <v>0</v>
      </c>
      <c r="Y1402" s="141">
        <f t="shared" si="218"/>
        <v>1393</v>
      </c>
      <c r="Z1402" s="298">
        <v>279</v>
      </c>
      <c r="AA1402" s="299">
        <v>998</v>
      </c>
      <c r="AB1402" s="299">
        <v>1393</v>
      </c>
      <c r="AC1402" s="301">
        <v>0</v>
      </c>
      <c r="AD1402" s="301">
        <v>0</v>
      </c>
      <c r="AE1402" s="126"/>
      <c r="AF1402" s="298"/>
      <c r="AG1402" s="299"/>
      <c r="AH1402" s="299"/>
      <c r="AI1402" s="301"/>
      <c r="AJ1402" s="301"/>
      <c r="AK1402" s="426"/>
      <c r="AL1402" s="298"/>
      <c r="AM1402" s="299"/>
      <c r="AN1402" s="299"/>
      <c r="AO1402" s="301"/>
      <c r="AP1402" s="301"/>
      <c r="AQ1402" s="426"/>
      <c r="AR1402" s="298"/>
      <c r="AS1402" s="299"/>
      <c r="AT1402" s="299"/>
      <c r="AU1402" s="301"/>
      <c r="AV1402" s="301"/>
      <c r="AW1402" s="88"/>
      <c r="AX1402" s="298"/>
      <c r="AY1402" s="299"/>
      <c r="AZ1402" s="299"/>
      <c r="BA1402" s="301"/>
      <c r="BB1402" s="301"/>
      <c r="BC1402" s="426"/>
      <c r="BD1402" s="298"/>
      <c r="BE1402" s="299"/>
      <c r="BF1402" s="299"/>
      <c r="BG1402" s="301"/>
      <c r="BH1402" s="301"/>
      <c r="BI1402" s="88"/>
      <c r="BJ1402" s="298"/>
      <c r="BK1402" s="299"/>
      <c r="BL1402" s="299"/>
      <c r="BM1402" s="301"/>
      <c r="BN1402" s="301"/>
      <c r="BO1402" s="88"/>
      <c r="BP1402" s="9"/>
      <c r="BS1402" s="81"/>
      <c r="BT1402" s="81"/>
      <c r="BV1402" s="9"/>
      <c r="BY1402" s="81"/>
      <c r="BZ1402" s="81"/>
      <c r="CB1402" s="9"/>
      <c r="CE1402" s="81"/>
      <c r="CF1402" s="81"/>
      <c r="CH1402" s="9"/>
      <c r="CK1402" s="81"/>
      <c r="CL1402" s="81"/>
      <c r="CR1402" s="9"/>
      <c r="CS1402" s="9"/>
      <c r="CT1402" s="9"/>
      <c r="CU1402" s="9"/>
      <c r="CV1402" s="9"/>
      <c r="CW1402" s="129"/>
      <c r="CX1402" s="9"/>
    </row>
    <row r="1403" spans="1:102">
      <c r="A1403" s="6" t="str">
        <f t="shared" si="211"/>
        <v>02790998</v>
      </c>
      <c r="B1403" s="6" t="s">
        <v>1929</v>
      </c>
      <c r="C1403" s="6" t="s">
        <v>2091</v>
      </c>
      <c r="D1403" s="6">
        <v>1394</v>
      </c>
      <c r="E1403" s="6">
        <v>279</v>
      </c>
      <c r="F1403" s="6" t="s">
        <v>1547</v>
      </c>
      <c r="G1403" s="6">
        <v>998</v>
      </c>
      <c r="H1403" s="6" t="s">
        <v>1547</v>
      </c>
      <c r="I1403" s="33">
        <v>0</v>
      </c>
      <c r="J1403" s="88">
        <v>0</v>
      </c>
      <c r="K1403" s="89">
        <f t="shared" si="220"/>
        <v>0</v>
      </c>
      <c r="L1403" s="88">
        <f>IF(K1404&gt;0, K1403/K1404, 0)</f>
        <v>0</v>
      </c>
      <c r="M1403" s="58"/>
      <c r="N1403" s="9">
        <f>ROUND(M1404*L1403,0)</f>
        <v>0</v>
      </c>
      <c r="O1403" s="9">
        <v>0</v>
      </c>
      <c r="P1403" s="9">
        <f>N1403-O1403</f>
        <v>0</v>
      </c>
      <c r="Q1403" s="40">
        <f t="shared" si="219"/>
        <v>0</v>
      </c>
      <c r="R1403" s="9">
        <v>0</v>
      </c>
      <c r="S1403" s="9">
        <f t="shared" si="217"/>
        <v>0</v>
      </c>
      <c r="T1403" s="90">
        <f t="shared" si="212"/>
        <v>279</v>
      </c>
      <c r="U1403" s="90">
        <f t="shared" si="213"/>
        <v>998</v>
      </c>
      <c r="V1403" s="373">
        <f t="shared" si="214"/>
        <v>1394</v>
      </c>
      <c r="W1403" s="90">
        <f t="shared" si="215"/>
        <v>0</v>
      </c>
      <c r="X1403" s="90">
        <f t="shared" si="216"/>
        <v>0</v>
      </c>
      <c r="Y1403" s="141">
        <f t="shared" si="218"/>
        <v>1394</v>
      </c>
      <c r="Z1403" s="298">
        <v>279</v>
      </c>
      <c r="AA1403" s="299">
        <v>998</v>
      </c>
      <c r="AB1403" s="299">
        <v>1394</v>
      </c>
      <c r="AC1403" s="301">
        <v>0</v>
      </c>
      <c r="AD1403" s="301">
        <v>0</v>
      </c>
      <c r="AE1403" s="126"/>
      <c r="AF1403" s="298"/>
      <c r="AG1403" s="299"/>
      <c r="AH1403" s="299"/>
      <c r="AI1403" s="301"/>
      <c r="AJ1403" s="301"/>
      <c r="AK1403" s="426"/>
      <c r="AL1403" s="298"/>
      <c r="AM1403" s="299"/>
      <c r="AN1403" s="299"/>
      <c r="AO1403" s="301"/>
      <c r="AP1403" s="301"/>
      <c r="AQ1403" s="426"/>
      <c r="AR1403" s="298"/>
      <c r="AS1403" s="299"/>
      <c r="AT1403" s="299"/>
      <c r="AU1403" s="301"/>
      <c r="AV1403" s="301"/>
      <c r="AW1403" s="88"/>
      <c r="AX1403" s="298"/>
      <c r="AY1403" s="299"/>
      <c r="AZ1403" s="299"/>
      <c r="BA1403" s="301"/>
      <c r="BB1403" s="301"/>
      <c r="BC1403" s="426"/>
      <c r="BD1403" s="298"/>
      <c r="BE1403" s="299"/>
      <c r="BF1403" s="299"/>
      <c r="BG1403" s="301"/>
      <c r="BH1403" s="301"/>
      <c r="BI1403" s="88"/>
      <c r="BJ1403" s="298"/>
      <c r="BK1403" s="299"/>
      <c r="BL1403" s="299"/>
      <c r="BM1403" s="301"/>
      <c r="BN1403" s="301"/>
      <c r="BO1403" s="88"/>
      <c r="BP1403" s="9"/>
      <c r="BS1403" s="81"/>
      <c r="BT1403" s="81"/>
      <c r="BV1403" s="9"/>
      <c r="BY1403" s="81"/>
      <c r="BZ1403" s="81"/>
      <c r="CB1403" s="9"/>
      <c r="CE1403" s="81"/>
      <c r="CF1403" s="81"/>
      <c r="CH1403" s="9"/>
      <c r="CK1403" s="81"/>
      <c r="CL1403" s="81"/>
      <c r="CR1403" s="9"/>
      <c r="CS1403" s="9"/>
      <c r="CT1403" s="9"/>
      <c r="CU1403" s="9"/>
      <c r="CV1403" s="9"/>
      <c r="CW1403" s="129"/>
      <c r="CX1403" s="9"/>
    </row>
    <row r="1404" spans="1:102">
      <c r="A1404" s="6" t="str">
        <f t="shared" si="211"/>
        <v>02790999</v>
      </c>
      <c r="B1404" s="6" t="s">
        <v>1929</v>
      </c>
      <c r="C1404" s="6" t="s">
        <v>2092</v>
      </c>
      <c r="D1404" s="6">
        <v>1395</v>
      </c>
      <c r="E1404" s="10">
        <v>279</v>
      </c>
      <c r="F1404" s="10" t="s">
        <v>1397</v>
      </c>
      <c r="G1404" s="10">
        <v>999</v>
      </c>
      <c r="H1404" s="10" t="s">
        <v>593</v>
      </c>
      <c r="I1404" s="92">
        <v>15276191.958581634</v>
      </c>
      <c r="J1404" s="472">
        <v>1</v>
      </c>
      <c r="K1404" s="53">
        <f>SUM(K1400:K1403)</f>
        <v>15700995.515083062</v>
      </c>
      <c r="L1404" s="91">
        <f>SUM(L1400:L1403)</f>
        <v>1</v>
      </c>
      <c r="M1404" s="79">
        <f>VLOOKUP(E1404,town351,24)</f>
        <v>10498701</v>
      </c>
      <c r="N1404" s="79">
        <f>SUM(N1400:N1403)</f>
        <v>10498701</v>
      </c>
      <c r="O1404" s="79">
        <v>10057190</v>
      </c>
      <c r="P1404" s="79">
        <f>SUM(P1400:P1403)</f>
        <v>441511</v>
      </c>
      <c r="Q1404" s="39">
        <f t="shared" si="219"/>
        <v>4.3900035695855406</v>
      </c>
      <c r="R1404" s="9">
        <v>1080.7494108446701</v>
      </c>
      <c r="S1404" s="9">
        <f t="shared" si="217"/>
        <v>1068.49358974488</v>
      </c>
      <c r="T1404" s="90">
        <f t="shared" si="212"/>
        <v>279</v>
      </c>
      <c r="U1404" s="90">
        <f t="shared" si="213"/>
        <v>999</v>
      </c>
      <c r="V1404" s="373">
        <f t="shared" si="214"/>
        <v>1395</v>
      </c>
      <c r="W1404" s="90">
        <f t="shared" si="215"/>
        <v>1068.49358974488</v>
      </c>
      <c r="X1404" s="90">
        <f t="shared" si="216"/>
        <v>15700995.515083062</v>
      </c>
      <c r="Y1404" s="141">
        <f t="shared" si="218"/>
        <v>1395</v>
      </c>
      <c r="Z1404" s="298">
        <v>279</v>
      </c>
      <c r="AA1404" s="299">
        <v>999</v>
      </c>
      <c r="AB1404" s="299">
        <v>1395</v>
      </c>
      <c r="AC1404" s="301">
        <v>1068.49358974488</v>
      </c>
      <c r="AD1404" s="301">
        <v>15700995.515083062</v>
      </c>
      <c r="AE1404" s="126"/>
      <c r="AF1404" s="298"/>
      <c r="AG1404" s="299"/>
      <c r="AH1404" s="299"/>
      <c r="AI1404" s="301"/>
      <c r="AJ1404" s="301"/>
      <c r="AK1404" s="426"/>
      <c r="AL1404" s="298"/>
      <c r="AM1404" s="299"/>
      <c r="AN1404" s="299"/>
      <c r="AO1404" s="301"/>
      <c r="AP1404" s="301"/>
      <c r="AQ1404" s="426"/>
      <c r="AR1404" s="298"/>
      <c r="AS1404" s="299"/>
      <c r="AT1404" s="299"/>
      <c r="AU1404" s="301"/>
      <c r="AV1404" s="301"/>
      <c r="AW1404" s="91"/>
      <c r="AX1404" s="298"/>
      <c r="AY1404" s="299"/>
      <c r="AZ1404" s="299"/>
      <c r="BA1404" s="301"/>
      <c r="BB1404" s="301"/>
      <c r="BC1404" s="426"/>
      <c r="BD1404" s="298"/>
      <c r="BE1404" s="299"/>
      <c r="BF1404" s="299"/>
      <c r="BG1404" s="301"/>
      <c r="BH1404" s="301"/>
      <c r="BI1404" s="91"/>
      <c r="BJ1404" s="298"/>
      <c r="BK1404" s="299"/>
      <c r="BL1404" s="299"/>
      <c r="BM1404" s="301"/>
      <c r="BN1404" s="301"/>
      <c r="BO1404" s="91"/>
      <c r="BP1404" s="9"/>
      <c r="BS1404" s="81"/>
      <c r="BT1404" s="81"/>
      <c r="BV1404" s="9"/>
      <c r="BY1404" s="81"/>
      <c r="BZ1404" s="81"/>
      <c r="CB1404" s="9"/>
      <c r="CE1404" s="81"/>
      <c r="CF1404" s="81"/>
      <c r="CH1404" s="9"/>
      <c r="CK1404" s="81"/>
      <c r="CL1404" s="81"/>
      <c r="CR1404" s="9"/>
      <c r="CS1404" s="9"/>
      <c r="CT1404" s="9"/>
      <c r="CU1404" s="9"/>
      <c r="CV1404" s="9"/>
      <c r="CW1404" s="129"/>
      <c r="CX1404" s="9"/>
    </row>
    <row r="1405" spans="1:102">
      <c r="A1405" s="6" t="str">
        <f t="shared" si="211"/>
        <v>02800280</v>
      </c>
      <c r="B1405" s="6" t="s">
        <v>1930</v>
      </c>
      <c r="C1405" s="6" t="s">
        <v>1930</v>
      </c>
      <c r="D1405" s="6">
        <v>1396</v>
      </c>
      <c r="E1405" s="6">
        <v>280</v>
      </c>
      <c r="F1405" s="6" t="s">
        <v>1398</v>
      </c>
      <c r="G1405" s="6">
        <v>280</v>
      </c>
      <c r="H1405" s="6" t="s">
        <v>961</v>
      </c>
      <c r="I1405" s="33">
        <v>65963.040000000008</v>
      </c>
      <c r="J1405" s="88">
        <v>3.1049299464217116E-3</v>
      </c>
      <c r="K1405" s="89">
        <f>X1405</f>
        <v>67441.320000000007</v>
      </c>
      <c r="L1405" s="88">
        <f>IF(K1409&gt;0, K1405/K1409, 0)</f>
        <v>2.9671311403436803E-3</v>
      </c>
      <c r="M1405" s="58"/>
      <c r="N1405" s="9">
        <f>ROUND(M1409*L1405,0)</f>
        <v>30010</v>
      </c>
      <c r="O1405" s="9">
        <v>30103</v>
      </c>
      <c r="P1405" s="9">
        <f>N1405-O1405</f>
        <v>-93</v>
      </c>
      <c r="Q1405" s="40">
        <f t="shared" si="219"/>
        <v>-0.30893930837458061</v>
      </c>
      <c r="R1405" s="9">
        <v>4</v>
      </c>
      <c r="S1405" s="9">
        <f t="shared" si="217"/>
        <v>4</v>
      </c>
      <c r="T1405" s="90">
        <f t="shared" si="212"/>
        <v>280</v>
      </c>
      <c r="U1405" s="90">
        <f t="shared" si="213"/>
        <v>280</v>
      </c>
      <c r="V1405" s="373">
        <f t="shared" si="214"/>
        <v>1396</v>
      </c>
      <c r="W1405" s="90">
        <f t="shared" si="215"/>
        <v>4</v>
      </c>
      <c r="X1405" s="90">
        <f t="shared" si="216"/>
        <v>67441.320000000007</v>
      </c>
      <c r="Y1405" s="141">
        <f t="shared" si="218"/>
        <v>1396</v>
      </c>
      <c r="Z1405" s="298">
        <v>280</v>
      </c>
      <c r="AA1405" s="299">
        <v>280</v>
      </c>
      <c r="AB1405" s="299">
        <v>1396</v>
      </c>
      <c r="AC1405" s="301">
        <v>4</v>
      </c>
      <c r="AD1405" s="301">
        <v>67441.320000000007</v>
      </c>
      <c r="AE1405" s="126"/>
      <c r="AF1405" s="298"/>
      <c r="AG1405" s="299"/>
      <c r="AH1405" s="299"/>
      <c r="AI1405" s="301"/>
      <c r="AJ1405" s="301"/>
      <c r="AK1405" s="426"/>
      <c r="AL1405" s="298"/>
      <c r="AM1405" s="299"/>
      <c r="AN1405" s="299"/>
      <c r="AO1405" s="301"/>
      <c r="AP1405" s="301"/>
      <c r="AQ1405" s="426"/>
      <c r="AR1405" s="298"/>
      <c r="AS1405" s="299"/>
      <c r="AT1405" s="299"/>
      <c r="AU1405" s="301"/>
      <c r="AV1405" s="301"/>
      <c r="AW1405" s="88"/>
      <c r="AX1405" s="298"/>
      <c r="AY1405" s="299"/>
      <c r="AZ1405" s="299"/>
      <c r="BA1405" s="301"/>
      <c r="BB1405" s="301"/>
      <c r="BC1405" s="426"/>
      <c r="BD1405" s="298"/>
      <c r="BE1405" s="299"/>
      <c r="BF1405" s="299"/>
      <c r="BG1405" s="301"/>
      <c r="BH1405" s="301"/>
      <c r="BI1405" s="88"/>
      <c r="BJ1405" s="298"/>
      <c r="BK1405" s="299"/>
      <c r="BL1405" s="299"/>
      <c r="BM1405" s="301"/>
      <c r="BN1405" s="301"/>
      <c r="BO1405" s="88"/>
      <c r="BP1405" s="9"/>
      <c r="BS1405" s="81"/>
      <c r="BT1405" s="81"/>
      <c r="BV1405" s="9"/>
      <c r="BY1405" s="81"/>
      <c r="BZ1405" s="81"/>
      <c r="CB1405" s="9"/>
      <c r="CE1405" s="81"/>
      <c r="CF1405" s="81"/>
      <c r="CH1405" s="9"/>
      <c r="CK1405" s="81"/>
      <c r="CL1405" s="81"/>
      <c r="CR1405" s="9"/>
      <c r="CS1405" s="9"/>
      <c r="CT1405" s="9"/>
      <c r="CU1405" s="9"/>
      <c r="CV1405" s="9"/>
      <c r="CW1405" s="129"/>
      <c r="CX1405" s="9"/>
    </row>
    <row r="1406" spans="1:102">
      <c r="A1406" s="6" t="str">
        <f t="shared" si="211"/>
        <v>02800767</v>
      </c>
      <c r="B1406" s="6" t="s">
        <v>1930</v>
      </c>
      <c r="C1406" s="6" t="s">
        <v>2055</v>
      </c>
      <c r="D1406" s="6">
        <v>1397</v>
      </c>
      <c r="E1406" s="6">
        <v>280</v>
      </c>
      <c r="F1406" s="6" t="s">
        <v>1398</v>
      </c>
      <c r="G1406" s="6">
        <v>767</v>
      </c>
      <c r="H1406" s="6" t="s">
        <v>1085</v>
      </c>
      <c r="I1406" s="33">
        <v>18569907.860504415</v>
      </c>
      <c r="J1406" s="88">
        <v>0.874099541476137</v>
      </c>
      <c r="K1406" s="89">
        <f t="shared" si="220"/>
        <v>20141606.308702081</v>
      </c>
      <c r="L1406" s="88">
        <f>IF(K1409&gt;0, K1406/K1409, 0)</f>
        <v>0.88614498196495362</v>
      </c>
      <c r="M1406" s="58"/>
      <c r="N1406" s="9">
        <f>ROUND(M1409*L1406,0)</f>
        <v>8962650</v>
      </c>
      <c r="O1406" s="9">
        <v>8474712</v>
      </c>
      <c r="P1406" s="9">
        <f>N1406-O1406</f>
        <v>487938</v>
      </c>
      <c r="Q1406" s="40">
        <f t="shared" si="219"/>
        <v>5.7575761866597945</v>
      </c>
      <c r="R1406" s="9">
        <v>1230.7068273147202</v>
      </c>
      <c r="S1406" s="9">
        <f t="shared" si="217"/>
        <v>1274.6362451140801</v>
      </c>
      <c r="T1406" s="90">
        <f t="shared" si="212"/>
        <v>280</v>
      </c>
      <c r="U1406" s="90">
        <f t="shared" si="213"/>
        <v>767</v>
      </c>
      <c r="V1406" s="373">
        <f t="shared" si="214"/>
        <v>1397</v>
      </c>
      <c r="W1406" s="90">
        <f t="shared" si="215"/>
        <v>1274.6362451140801</v>
      </c>
      <c r="X1406" s="90">
        <f t="shared" si="216"/>
        <v>20141606.308702081</v>
      </c>
      <c r="Y1406" s="141">
        <f t="shared" si="218"/>
        <v>1397</v>
      </c>
      <c r="Z1406" s="298">
        <v>280</v>
      </c>
      <c r="AA1406" s="299">
        <v>767</v>
      </c>
      <c r="AB1406" s="299">
        <v>1397</v>
      </c>
      <c r="AC1406" s="301">
        <v>1274.6362451140801</v>
      </c>
      <c r="AD1406" s="301">
        <v>20141606.308702081</v>
      </c>
      <c r="AE1406" s="126"/>
      <c r="AF1406" s="298"/>
      <c r="AG1406" s="299"/>
      <c r="AH1406" s="299"/>
      <c r="AI1406" s="301"/>
      <c r="AJ1406" s="301"/>
      <c r="AK1406" s="426"/>
      <c r="AL1406" s="298"/>
      <c r="AM1406" s="299"/>
      <c r="AN1406" s="299"/>
      <c r="AO1406" s="301"/>
      <c r="AP1406" s="301"/>
      <c r="AQ1406" s="426"/>
      <c r="AR1406" s="298"/>
      <c r="AS1406" s="299"/>
      <c r="AT1406" s="299"/>
      <c r="AU1406" s="301"/>
      <c r="AV1406" s="301"/>
      <c r="AW1406" s="88"/>
      <c r="AX1406" s="298"/>
      <c r="AY1406" s="299"/>
      <c r="AZ1406" s="299"/>
      <c r="BA1406" s="301"/>
      <c r="BB1406" s="301"/>
      <c r="BC1406" s="426"/>
      <c r="BD1406" s="298"/>
      <c r="BE1406" s="299"/>
      <c r="BF1406" s="299"/>
      <c r="BG1406" s="301"/>
      <c r="BH1406" s="301"/>
      <c r="BI1406" s="88"/>
      <c r="BJ1406" s="298"/>
      <c r="BK1406" s="299"/>
      <c r="BL1406" s="299"/>
      <c r="BM1406" s="301"/>
      <c r="BN1406" s="301"/>
      <c r="BO1406" s="88"/>
      <c r="BP1406" s="9"/>
      <c r="BS1406" s="81"/>
      <c r="BT1406" s="81"/>
      <c r="BV1406" s="9"/>
      <c r="BY1406" s="81"/>
      <c r="BZ1406" s="81"/>
      <c r="CB1406" s="9"/>
      <c r="CE1406" s="81"/>
      <c r="CF1406" s="81"/>
      <c r="CH1406" s="9"/>
      <c r="CK1406" s="81"/>
      <c r="CL1406" s="81"/>
      <c r="CR1406" s="9"/>
      <c r="CS1406" s="9"/>
      <c r="CT1406" s="9"/>
      <c r="CU1406" s="9"/>
      <c r="CV1406" s="9"/>
      <c r="CW1406" s="129"/>
      <c r="CX1406" s="9"/>
    </row>
    <row r="1407" spans="1:102">
      <c r="A1407" s="6" t="str">
        <f t="shared" si="211"/>
        <v>02800876</v>
      </c>
      <c r="B1407" s="6" t="s">
        <v>1930</v>
      </c>
      <c r="C1407" s="6" t="s">
        <v>2084</v>
      </c>
      <c r="D1407" s="6">
        <v>1398</v>
      </c>
      <c r="E1407" s="6">
        <v>280</v>
      </c>
      <c r="F1407" s="6" t="s">
        <v>1398</v>
      </c>
      <c r="G1407" s="6">
        <v>876</v>
      </c>
      <c r="H1407" s="6" t="s">
        <v>1114</v>
      </c>
      <c r="I1407" s="33">
        <v>2608743.6763942922</v>
      </c>
      <c r="J1407" s="88">
        <v>0.12279552857744136</v>
      </c>
      <c r="K1407" s="89">
        <f t="shared" si="220"/>
        <v>2520422.9642924494</v>
      </c>
      <c r="L1407" s="88">
        <f>IF(K1409&gt;0, K1407/K1409, 0)</f>
        <v>0.11088788689470273</v>
      </c>
      <c r="M1407" s="58"/>
      <c r="N1407" s="9">
        <f>ROUND(M1409*L1407,0)</f>
        <v>1121543</v>
      </c>
      <c r="O1407" s="9">
        <v>1190547</v>
      </c>
      <c r="P1407" s="9">
        <f>N1407-O1407</f>
        <v>-69004</v>
      </c>
      <c r="Q1407" s="40">
        <f t="shared" si="219"/>
        <v>-5.7959912544401861</v>
      </c>
      <c r="R1407" s="9">
        <v>129.00000000271999</v>
      </c>
      <c r="S1407" s="9">
        <f t="shared" si="217"/>
        <v>121.99999999670999</v>
      </c>
      <c r="T1407" s="90">
        <f t="shared" si="212"/>
        <v>280</v>
      </c>
      <c r="U1407" s="90">
        <f t="shared" si="213"/>
        <v>876</v>
      </c>
      <c r="V1407" s="373">
        <f t="shared" si="214"/>
        <v>1398</v>
      </c>
      <c r="W1407" s="90">
        <f t="shared" si="215"/>
        <v>121.99999999670999</v>
      </c>
      <c r="X1407" s="90">
        <f t="shared" si="216"/>
        <v>2520422.9642924494</v>
      </c>
      <c r="Y1407" s="141">
        <f t="shared" si="218"/>
        <v>1398</v>
      </c>
      <c r="Z1407" s="298">
        <v>280</v>
      </c>
      <c r="AA1407" s="299">
        <v>876</v>
      </c>
      <c r="AB1407" s="299">
        <v>1398</v>
      </c>
      <c r="AC1407" s="301">
        <v>121.99999999670999</v>
      </c>
      <c r="AD1407" s="301">
        <v>2520422.9642924494</v>
      </c>
      <c r="AE1407" s="126"/>
      <c r="AF1407" s="298"/>
      <c r="AG1407" s="299"/>
      <c r="AH1407" s="299"/>
      <c r="AI1407" s="301"/>
      <c r="AJ1407" s="301"/>
      <c r="AK1407" s="426"/>
      <c r="AL1407" s="298"/>
      <c r="AM1407" s="299"/>
      <c r="AN1407" s="299"/>
      <c r="AO1407" s="301"/>
      <c r="AP1407" s="301"/>
      <c r="AQ1407" s="426"/>
      <c r="AR1407" s="298"/>
      <c r="AS1407" s="299"/>
      <c r="AT1407" s="299"/>
      <c r="AU1407" s="301"/>
      <c r="AV1407" s="301"/>
      <c r="AW1407" s="88"/>
      <c r="AX1407" s="298"/>
      <c r="AY1407" s="299"/>
      <c r="AZ1407" s="299"/>
      <c r="BA1407" s="301"/>
      <c r="BB1407" s="301"/>
      <c r="BC1407" s="426"/>
      <c r="BD1407" s="298"/>
      <c r="BE1407" s="299"/>
      <c r="BF1407" s="299"/>
      <c r="BG1407" s="301"/>
      <c r="BH1407" s="301"/>
      <c r="BI1407" s="88"/>
      <c r="BJ1407" s="298"/>
      <c r="BK1407" s="299"/>
      <c r="BL1407" s="299"/>
      <c r="BM1407" s="301"/>
      <c r="BN1407" s="301"/>
      <c r="BO1407" s="88"/>
      <c r="BP1407" s="9"/>
      <c r="BS1407" s="81"/>
      <c r="BT1407" s="81"/>
      <c r="BV1407" s="9"/>
      <c r="BY1407" s="81"/>
      <c r="BZ1407" s="81"/>
      <c r="CB1407" s="9"/>
      <c r="CE1407" s="81"/>
      <c r="CF1407" s="81"/>
      <c r="CH1407" s="9"/>
      <c r="CK1407" s="81"/>
      <c r="CL1407" s="81"/>
      <c r="CR1407" s="9"/>
      <c r="CS1407" s="9"/>
      <c r="CT1407" s="9"/>
      <c r="CU1407" s="9"/>
      <c r="CV1407" s="9"/>
      <c r="CW1407" s="129"/>
      <c r="CX1407" s="9"/>
    </row>
    <row r="1408" spans="1:102">
      <c r="A1408" s="6" t="str">
        <f t="shared" si="211"/>
        <v>02800998</v>
      </c>
      <c r="B1408" s="6" t="s">
        <v>1930</v>
      </c>
      <c r="C1408" s="6" t="s">
        <v>2091</v>
      </c>
      <c r="D1408" s="6">
        <v>1399</v>
      </c>
      <c r="E1408" s="6">
        <v>280</v>
      </c>
      <c r="F1408" s="6" t="s">
        <v>1547</v>
      </c>
      <c r="G1408" s="6">
        <v>998</v>
      </c>
      <c r="H1408" s="6" t="s">
        <v>1547</v>
      </c>
      <c r="I1408" s="33">
        <v>0</v>
      </c>
      <c r="J1408" s="88">
        <v>0</v>
      </c>
      <c r="K1408" s="89">
        <f t="shared" si="220"/>
        <v>0</v>
      </c>
      <c r="L1408" s="88">
        <f>IF(K1409&gt;0, K1408/K1409, 0)</f>
        <v>0</v>
      </c>
      <c r="M1408" s="58"/>
      <c r="N1408" s="9">
        <f>ROUND(M1409*L1408,0)</f>
        <v>0</v>
      </c>
      <c r="O1408" s="9">
        <v>0</v>
      </c>
      <c r="P1408" s="9">
        <f>N1408-O1408</f>
        <v>0</v>
      </c>
      <c r="Q1408" s="40">
        <f t="shared" si="219"/>
        <v>0</v>
      </c>
      <c r="R1408" s="9">
        <v>0</v>
      </c>
      <c r="S1408" s="9">
        <f t="shared" si="217"/>
        <v>0</v>
      </c>
      <c r="T1408" s="90">
        <f t="shared" si="212"/>
        <v>280</v>
      </c>
      <c r="U1408" s="90">
        <f t="shared" si="213"/>
        <v>998</v>
      </c>
      <c r="V1408" s="373">
        <f t="shared" si="214"/>
        <v>1399</v>
      </c>
      <c r="W1408" s="90">
        <f t="shared" si="215"/>
        <v>0</v>
      </c>
      <c r="X1408" s="90">
        <f t="shared" si="216"/>
        <v>0</v>
      </c>
      <c r="Y1408" s="141">
        <f t="shared" si="218"/>
        <v>1399</v>
      </c>
      <c r="Z1408" s="298">
        <v>280</v>
      </c>
      <c r="AA1408" s="299">
        <v>998</v>
      </c>
      <c r="AB1408" s="299">
        <v>1399</v>
      </c>
      <c r="AC1408" s="301">
        <v>0</v>
      </c>
      <c r="AD1408" s="301">
        <v>0</v>
      </c>
      <c r="AE1408" s="126"/>
      <c r="AF1408" s="298"/>
      <c r="AG1408" s="299"/>
      <c r="AH1408" s="299"/>
      <c r="AI1408" s="301"/>
      <c r="AJ1408" s="301"/>
      <c r="AK1408" s="426"/>
      <c r="AL1408" s="298"/>
      <c r="AM1408" s="299"/>
      <c r="AN1408" s="299"/>
      <c r="AO1408" s="301"/>
      <c r="AP1408" s="301"/>
      <c r="AQ1408" s="426"/>
      <c r="AR1408" s="298"/>
      <c r="AS1408" s="299"/>
      <c r="AT1408" s="299"/>
      <c r="AU1408" s="301"/>
      <c r="AV1408" s="301"/>
      <c r="AW1408" s="88"/>
      <c r="AX1408" s="298"/>
      <c r="AY1408" s="299"/>
      <c r="AZ1408" s="299"/>
      <c r="BA1408" s="301"/>
      <c r="BB1408" s="301"/>
      <c r="BC1408" s="426"/>
      <c r="BD1408" s="298"/>
      <c r="BE1408" s="299"/>
      <c r="BF1408" s="299"/>
      <c r="BG1408" s="301"/>
      <c r="BH1408" s="301"/>
      <c r="BI1408" s="88"/>
      <c r="BJ1408" s="298"/>
      <c r="BK1408" s="299"/>
      <c r="BL1408" s="299"/>
      <c r="BM1408" s="301"/>
      <c r="BN1408" s="301"/>
      <c r="BO1408" s="88"/>
      <c r="BP1408" s="9"/>
      <c r="BS1408" s="81"/>
      <c r="BT1408" s="81"/>
      <c r="BV1408" s="9"/>
      <c r="BY1408" s="81"/>
      <c r="BZ1408" s="81"/>
      <c r="CB1408" s="9"/>
      <c r="CE1408" s="81"/>
      <c r="CF1408" s="81"/>
      <c r="CH1408" s="9"/>
      <c r="CK1408" s="81"/>
      <c r="CL1408" s="81"/>
      <c r="CR1408" s="9"/>
      <c r="CS1408" s="9"/>
      <c r="CT1408" s="9"/>
      <c r="CU1408" s="9"/>
      <c r="CV1408" s="9"/>
      <c r="CW1408" s="129"/>
      <c r="CX1408" s="9"/>
    </row>
    <row r="1409" spans="1:102">
      <c r="A1409" s="6" t="str">
        <f t="shared" si="211"/>
        <v>02800999</v>
      </c>
      <c r="B1409" s="6" t="s">
        <v>1930</v>
      </c>
      <c r="C1409" s="6" t="s">
        <v>2092</v>
      </c>
      <c r="D1409" s="6">
        <v>1400</v>
      </c>
      <c r="E1409" s="10">
        <v>280</v>
      </c>
      <c r="F1409" s="10" t="s">
        <v>1398</v>
      </c>
      <c r="G1409" s="10">
        <v>999</v>
      </c>
      <c r="H1409" s="10" t="s">
        <v>593</v>
      </c>
      <c r="I1409" s="92">
        <v>21244614.576898705</v>
      </c>
      <c r="J1409" s="472">
        <v>1</v>
      </c>
      <c r="K1409" s="53">
        <f>SUM(K1405:K1408)</f>
        <v>22729470.59299453</v>
      </c>
      <c r="L1409" s="91">
        <f>SUM(L1405:L1408)</f>
        <v>1</v>
      </c>
      <c r="M1409" s="79">
        <f>VLOOKUP(E1409,town351,24)</f>
        <v>10114203</v>
      </c>
      <c r="N1409" s="79">
        <f>SUM(N1405:N1408)</f>
        <v>10114203</v>
      </c>
      <c r="O1409" s="79">
        <v>9695362</v>
      </c>
      <c r="P1409" s="79">
        <f>SUM(P1405:P1408)</f>
        <v>418841</v>
      </c>
      <c r="Q1409" s="39">
        <f t="shared" si="219"/>
        <v>4.3200140438283787</v>
      </c>
      <c r="R1409" s="9">
        <v>1363.7068273174402</v>
      </c>
      <c r="S1409" s="9">
        <f t="shared" si="217"/>
        <v>1400.63624511079</v>
      </c>
      <c r="T1409" s="90">
        <f t="shared" si="212"/>
        <v>280</v>
      </c>
      <c r="U1409" s="90">
        <f t="shared" si="213"/>
        <v>999</v>
      </c>
      <c r="V1409" s="373">
        <f t="shared" si="214"/>
        <v>1400</v>
      </c>
      <c r="W1409" s="90">
        <f t="shared" si="215"/>
        <v>1400.63624511079</v>
      </c>
      <c r="X1409" s="90">
        <f t="shared" si="216"/>
        <v>22729470.59299453</v>
      </c>
      <c r="Y1409" s="141">
        <f t="shared" si="218"/>
        <v>1400</v>
      </c>
      <c r="Z1409" s="298">
        <v>280</v>
      </c>
      <c r="AA1409" s="299">
        <v>999</v>
      </c>
      <c r="AB1409" s="299">
        <v>1400</v>
      </c>
      <c r="AC1409" s="301">
        <v>1400.63624511079</v>
      </c>
      <c r="AD1409" s="301">
        <v>22729470.59299453</v>
      </c>
      <c r="AE1409" s="126"/>
      <c r="AF1409" s="298"/>
      <c r="AG1409" s="299"/>
      <c r="AH1409" s="299"/>
      <c r="AI1409" s="301"/>
      <c r="AJ1409" s="301"/>
      <c r="AK1409" s="426"/>
      <c r="AL1409" s="298"/>
      <c r="AM1409" s="299"/>
      <c r="AN1409" s="299"/>
      <c r="AO1409" s="301"/>
      <c r="AP1409" s="301"/>
      <c r="AQ1409" s="426"/>
      <c r="AR1409" s="298"/>
      <c r="AS1409" s="299"/>
      <c r="AT1409" s="299"/>
      <c r="AU1409" s="301"/>
      <c r="AV1409" s="301"/>
      <c r="AW1409" s="91"/>
      <c r="AX1409" s="298"/>
      <c r="AY1409" s="299"/>
      <c r="AZ1409" s="299"/>
      <c r="BA1409" s="301"/>
      <c r="BB1409" s="301"/>
      <c r="BC1409" s="426"/>
      <c r="BD1409" s="298"/>
      <c r="BE1409" s="299"/>
      <c r="BF1409" s="299"/>
      <c r="BG1409" s="301"/>
      <c r="BH1409" s="301"/>
      <c r="BI1409" s="91"/>
      <c r="BJ1409" s="298"/>
      <c r="BK1409" s="299"/>
      <c r="BL1409" s="299"/>
      <c r="BM1409" s="301"/>
      <c r="BN1409" s="301"/>
      <c r="BO1409" s="91"/>
      <c r="BP1409" s="9"/>
      <c r="BS1409" s="81"/>
      <c r="BT1409" s="81"/>
      <c r="BV1409" s="9"/>
      <c r="BY1409" s="81"/>
      <c r="BZ1409" s="81"/>
      <c r="CB1409" s="9"/>
      <c r="CE1409" s="81"/>
      <c r="CF1409" s="81"/>
      <c r="CH1409" s="9"/>
      <c r="CK1409" s="81"/>
      <c r="CL1409" s="81"/>
      <c r="CR1409" s="9"/>
      <c r="CS1409" s="9"/>
      <c r="CT1409" s="9"/>
      <c r="CU1409" s="9"/>
      <c r="CV1409" s="9"/>
      <c r="CW1409" s="129"/>
      <c r="CX1409" s="9"/>
    </row>
    <row r="1410" spans="1:102">
      <c r="A1410" s="6" t="str">
        <f t="shared" si="211"/>
        <v>02810281</v>
      </c>
      <c r="B1410" s="6" t="s">
        <v>1931</v>
      </c>
      <c r="C1410" s="6" t="s">
        <v>1931</v>
      </c>
      <c r="D1410" s="6">
        <v>1401</v>
      </c>
      <c r="E1410" s="6">
        <v>281</v>
      </c>
      <c r="F1410" s="6" t="s">
        <v>1399</v>
      </c>
      <c r="G1410" s="6">
        <v>281</v>
      </c>
      <c r="H1410" s="6" t="s">
        <v>962</v>
      </c>
      <c r="I1410" s="33">
        <v>525763852.88000005</v>
      </c>
      <c r="J1410" s="88">
        <v>1</v>
      </c>
      <c r="K1410" s="89">
        <f>X1410</f>
        <v>557622637.52999997</v>
      </c>
      <c r="L1410" s="88">
        <f>IF(K1414&gt;0, K1410/K1414, 0)</f>
        <v>1</v>
      </c>
      <c r="M1410" s="58"/>
      <c r="N1410" s="9">
        <f>ROUND(M1414*L1410,0)</f>
        <v>51503174</v>
      </c>
      <c r="O1410" s="9">
        <v>48026085</v>
      </c>
      <c r="P1410" s="9">
        <f>N1410-O1410</f>
        <v>3477089</v>
      </c>
      <c r="Q1410" s="40">
        <f t="shared" si="219"/>
        <v>7.2400009286619973</v>
      </c>
      <c r="R1410" s="9">
        <v>28326</v>
      </c>
      <c r="S1410" s="9">
        <f t="shared" si="217"/>
        <v>28394</v>
      </c>
      <c r="T1410" s="90">
        <f t="shared" si="212"/>
        <v>281</v>
      </c>
      <c r="U1410" s="90">
        <f t="shared" si="213"/>
        <v>281</v>
      </c>
      <c r="V1410" s="373">
        <f t="shared" si="214"/>
        <v>1401</v>
      </c>
      <c r="W1410" s="90">
        <f t="shared" si="215"/>
        <v>28394</v>
      </c>
      <c r="X1410" s="90">
        <f t="shared" si="216"/>
        <v>557622637.52999997</v>
      </c>
      <c r="Y1410" s="141">
        <f t="shared" si="218"/>
        <v>1401</v>
      </c>
      <c r="Z1410" s="298">
        <v>281</v>
      </c>
      <c r="AA1410" s="299">
        <v>281</v>
      </c>
      <c r="AB1410" s="299">
        <v>1401</v>
      </c>
      <c r="AC1410" s="301">
        <v>28394</v>
      </c>
      <c r="AD1410" s="301">
        <v>557622637.52999997</v>
      </c>
      <c r="AE1410" s="126"/>
      <c r="AF1410" s="298"/>
      <c r="AG1410" s="299"/>
      <c r="AH1410" s="299"/>
      <c r="AI1410" s="301"/>
      <c r="AJ1410" s="301"/>
      <c r="AK1410" s="426"/>
      <c r="AL1410" s="298"/>
      <c r="AM1410" s="299"/>
      <c r="AN1410" s="299"/>
      <c r="AO1410" s="301"/>
      <c r="AP1410" s="301"/>
      <c r="AQ1410" s="426"/>
      <c r="AR1410" s="298"/>
      <c r="AS1410" s="299"/>
      <c r="AT1410" s="299"/>
      <c r="AU1410" s="301"/>
      <c r="AV1410" s="301"/>
      <c r="AW1410" s="88"/>
      <c r="AX1410" s="298"/>
      <c r="AY1410" s="299"/>
      <c r="AZ1410" s="299"/>
      <c r="BA1410" s="301"/>
      <c r="BB1410" s="301"/>
      <c r="BC1410" s="426"/>
      <c r="BD1410" s="298"/>
      <c r="BE1410" s="299"/>
      <c r="BF1410" s="299"/>
      <c r="BG1410" s="301"/>
      <c r="BH1410" s="301"/>
      <c r="BI1410" s="88"/>
      <c r="BJ1410" s="298"/>
      <c r="BK1410" s="299"/>
      <c r="BL1410" s="299"/>
      <c r="BM1410" s="301"/>
      <c r="BN1410" s="301"/>
      <c r="BO1410" s="88"/>
      <c r="BP1410" s="9"/>
      <c r="BS1410" s="81"/>
      <c r="BT1410" s="81"/>
      <c r="BV1410" s="9"/>
      <c r="BY1410" s="81"/>
      <c r="BZ1410" s="81"/>
      <c r="CB1410" s="9"/>
      <c r="CE1410" s="81"/>
      <c r="CF1410" s="81"/>
      <c r="CH1410" s="9"/>
      <c r="CK1410" s="81"/>
      <c r="CL1410" s="81"/>
      <c r="CR1410" s="9"/>
      <c r="CS1410" s="9"/>
      <c r="CT1410" s="9"/>
      <c r="CU1410" s="9"/>
      <c r="CV1410" s="9"/>
      <c r="CW1410" s="129"/>
      <c r="CX1410" s="9"/>
    </row>
    <row r="1411" spans="1:102">
      <c r="A1411" s="6" t="str">
        <f t="shared" si="211"/>
        <v>02810998</v>
      </c>
      <c r="B1411" s="6" t="s">
        <v>1931</v>
      </c>
      <c r="C1411" s="6" t="s">
        <v>2091</v>
      </c>
      <c r="D1411" s="6">
        <v>1402</v>
      </c>
      <c r="E1411" s="6">
        <v>281</v>
      </c>
      <c r="F1411" s="6" t="s">
        <v>1547</v>
      </c>
      <c r="G1411" s="6">
        <v>998</v>
      </c>
      <c r="H1411" s="6" t="s">
        <v>1547</v>
      </c>
      <c r="I1411" s="33">
        <v>0</v>
      </c>
      <c r="J1411" s="88">
        <v>0</v>
      </c>
      <c r="K1411" s="89">
        <f t="shared" si="220"/>
        <v>0</v>
      </c>
      <c r="L1411" s="88">
        <f>IF(K1414&gt;0, K1411/K1414, 0)</f>
        <v>0</v>
      </c>
      <c r="M1411" s="58"/>
      <c r="N1411" s="9">
        <f>ROUND(M1414*L1411,0)</f>
        <v>0</v>
      </c>
      <c r="O1411" s="9">
        <v>0</v>
      </c>
      <c r="P1411" s="9">
        <f>N1411-O1411</f>
        <v>0</v>
      </c>
      <c r="Q1411" s="40">
        <f t="shared" si="219"/>
        <v>0</v>
      </c>
      <c r="R1411" s="9">
        <v>0</v>
      </c>
      <c r="S1411" s="9">
        <f t="shared" si="217"/>
        <v>0</v>
      </c>
      <c r="T1411" s="90">
        <f t="shared" si="212"/>
        <v>281</v>
      </c>
      <c r="U1411" s="90">
        <f t="shared" si="213"/>
        <v>998</v>
      </c>
      <c r="V1411" s="373">
        <f t="shared" si="214"/>
        <v>1402</v>
      </c>
      <c r="W1411" s="90">
        <f t="shared" si="215"/>
        <v>0</v>
      </c>
      <c r="X1411" s="90">
        <f t="shared" si="216"/>
        <v>0</v>
      </c>
      <c r="Y1411" s="141">
        <f t="shared" si="218"/>
        <v>1402</v>
      </c>
      <c r="Z1411" s="298">
        <v>281</v>
      </c>
      <c r="AA1411" s="299">
        <v>998</v>
      </c>
      <c r="AB1411" s="299">
        <v>1402</v>
      </c>
      <c r="AC1411" s="301">
        <v>0</v>
      </c>
      <c r="AD1411" s="301">
        <v>0</v>
      </c>
      <c r="AE1411" s="126"/>
      <c r="AF1411" s="298"/>
      <c r="AG1411" s="299"/>
      <c r="AH1411" s="299"/>
      <c r="AI1411" s="301"/>
      <c r="AJ1411" s="301"/>
      <c r="AK1411" s="426"/>
      <c r="AL1411" s="298"/>
      <c r="AM1411" s="299"/>
      <c r="AN1411" s="299"/>
      <c r="AO1411" s="301"/>
      <c r="AP1411" s="301"/>
      <c r="AQ1411" s="426"/>
      <c r="AR1411" s="298"/>
      <c r="AS1411" s="299"/>
      <c r="AT1411" s="299"/>
      <c r="AU1411" s="301"/>
      <c r="AV1411" s="301"/>
      <c r="AW1411" s="88"/>
      <c r="AX1411" s="298"/>
      <c r="AY1411" s="299"/>
      <c r="AZ1411" s="299"/>
      <c r="BA1411" s="301"/>
      <c r="BB1411" s="301"/>
      <c r="BC1411" s="426"/>
      <c r="BD1411" s="298"/>
      <c r="BE1411" s="299"/>
      <c r="BF1411" s="299"/>
      <c r="BG1411" s="301"/>
      <c r="BH1411" s="301"/>
      <c r="BI1411" s="88"/>
      <c r="BJ1411" s="298"/>
      <c r="BK1411" s="299"/>
      <c r="BL1411" s="299"/>
      <c r="BM1411" s="301"/>
      <c r="BN1411" s="301"/>
      <c r="BO1411" s="88"/>
      <c r="BP1411" s="9"/>
      <c r="BS1411" s="81"/>
      <c r="BT1411" s="81"/>
      <c r="BV1411" s="9"/>
      <c r="BY1411" s="81"/>
      <c r="BZ1411" s="81"/>
      <c r="CB1411" s="9"/>
      <c r="CE1411" s="81"/>
      <c r="CF1411" s="81"/>
      <c r="CH1411" s="9"/>
      <c r="CK1411" s="81"/>
      <c r="CL1411" s="81"/>
      <c r="CR1411" s="9"/>
      <c r="CS1411" s="9"/>
      <c r="CT1411" s="9"/>
      <c r="CU1411" s="9"/>
      <c r="CV1411" s="9"/>
      <c r="CW1411" s="129"/>
      <c r="CX1411" s="9"/>
    </row>
    <row r="1412" spans="1:102">
      <c r="A1412" s="6" t="str">
        <f t="shared" si="211"/>
        <v>02810998</v>
      </c>
      <c r="B1412" s="6" t="s">
        <v>1931</v>
      </c>
      <c r="C1412" s="6" t="s">
        <v>2091</v>
      </c>
      <c r="D1412" s="6">
        <v>1403</v>
      </c>
      <c r="E1412" s="6">
        <v>281</v>
      </c>
      <c r="F1412" s="6" t="s">
        <v>1547</v>
      </c>
      <c r="G1412" s="6">
        <v>998</v>
      </c>
      <c r="H1412" s="6" t="s">
        <v>1547</v>
      </c>
      <c r="I1412" s="33">
        <v>0</v>
      </c>
      <c r="J1412" s="88">
        <v>0</v>
      </c>
      <c r="K1412" s="89">
        <f t="shared" si="220"/>
        <v>0</v>
      </c>
      <c r="L1412" s="88">
        <f>IF(K1414&gt;0, K1412/K1414, 0)</f>
        <v>0</v>
      </c>
      <c r="M1412" s="58"/>
      <c r="N1412" s="9">
        <f>ROUND(M1414*L1412,0)</f>
        <v>0</v>
      </c>
      <c r="O1412" s="9">
        <v>0</v>
      </c>
      <c r="P1412" s="9">
        <f>N1412-O1412</f>
        <v>0</v>
      </c>
      <c r="Q1412" s="40">
        <f t="shared" si="219"/>
        <v>0</v>
      </c>
      <c r="R1412" s="9">
        <v>0</v>
      </c>
      <c r="S1412" s="9">
        <f t="shared" si="217"/>
        <v>0</v>
      </c>
      <c r="T1412" s="90">
        <f t="shared" si="212"/>
        <v>281</v>
      </c>
      <c r="U1412" s="90">
        <f t="shared" si="213"/>
        <v>998</v>
      </c>
      <c r="V1412" s="373">
        <f t="shared" si="214"/>
        <v>1403</v>
      </c>
      <c r="W1412" s="90">
        <f t="shared" si="215"/>
        <v>0</v>
      </c>
      <c r="X1412" s="90">
        <f t="shared" si="216"/>
        <v>0</v>
      </c>
      <c r="Y1412" s="141">
        <f t="shared" si="218"/>
        <v>1403</v>
      </c>
      <c r="Z1412" s="298">
        <v>281</v>
      </c>
      <c r="AA1412" s="299">
        <v>998</v>
      </c>
      <c r="AB1412" s="299">
        <v>1403</v>
      </c>
      <c r="AC1412" s="301">
        <v>0</v>
      </c>
      <c r="AD1412" s="301">
        <v>0</v>
      </c>
      <c r="AE1412" s="126"/>
      <c r="AF1412" s="298"/>
      <c r="AG1412" s="299"/>
      <c r="AH1412" s="299"/>
      <c r="AI1412" s="301"/>
      <c r="AJ1412" s="301"/>
      <c r="AK1412" s="426"/>
      <c r="AL1412" s="298"/>
      <c r="AM1412" s="299"/>
      <c r="AN1412" s="299"/>
      <c r="AO1412" s="301"/>
      <c r="AP1412" s="301"/>
      <c r="AQ1412" s="426"/>
      <c r="AR1412" s="298"/>
      <c r="AS1412" s="299"/>
      <c r="AT1412" s="299"/>
      <c r="AU1412" s="301"/>
      <c r="AV1412" s="301"/>
      <c r="AW1412" s="88"/>
      <c r="AX1412" s="298"/>
      <c r="AY1412" s="299"/>
      <c r="AZ1412" s="299"/>
      <c r="BA1412" s="301"/>
      <c r="BB1412" s="301"/>
      <c r="BC1412" s="426"/>
      <c r="BD1412" s="298"/>
      <c r="BE1412" s="299"/>
      <c r="BF1412" s="299"/>
      <c r="BG1412" s="301"/>
      <c r="BH1412" s="301"/>
      <c r="BI1412" s="88"/>
      <c r="BJ1412" s="298"/>
      <c r="BK1412" s="299"/>
      <c r="BL1412" s="299"/>
      <c r="BM1412" s="301"/>
      <c r="BN1412" s="301"/>
      <c r="BO1412" s="88"/>
      <c r="BP1412" s="9"/>
      <c r="BS1412" s="81"/>
      <c r="BT1412" s="81"/>
      <c r="BV1412" s="9"/>
      <c r="BY1412" s="81"/>
      <c r="BZ1412" s="81"/>
      <c r="CB1412" s="9"/>
      <c r="CE1412" s="81"/>
      <c r="CF1412" s="81"/>
      <c r="CH1412" s="9"/>
      <c r="CK1412" s="81"/>
      <c r="CL1412" s="81"/>
      <c r="CR1412" s="9"/>
      <c r="CS1412" s="9"/>
      <c r="CT1412" s="9"/>
      <c r="CU1412" s="9"/>
      <c r="CV1412" s="9"/>
      <c r="CW1412" s="129"/>
      <c r="CX1412" s="9"/>
    </row>
    <row r="1413" spans="1:102">
      <c r="A1413" s="6" t="str">
        <f t="shared" si="211"/>
        <v>02810998</v>
      </c>
      <c r="B1413" s="6" t="s">
        <v>1931</v>
      </c>
      <c r="C1413" s="6" t="s">
        <v>2091</v>
      </c>
      <c r="D1413" s="6">
        <v>1404</v>
      </c>
      <c r="E1413" s="6">
        <v>281</v>
      </c>
      <c r="F1413" s="6" t="s">
        <v>1547</v>
      </c>
      <c r="G1413" s="6">
        <v>998</v>
      </c>
      <c r="H1413" s="6" t="s">
        <v>1547</v>
      </c>
      <c r="I1413" s="33">
        <v>0</v>
      </c>
      <c r="J1413" s="88">
        <v>0</v>
      </c>
      <c r="K1413" s="89">
        <f t="shared" si="220"/>
        <v>0</v>
      </c>
      <c r="L1413" s="88">
        <f>IF(K1414&gt;0, K1413/K1414, 0)</f>
        <v>0</v>
      </c>
      <c r="M1413" s="58"/>
      <c r="N1413" s="9">
        <f>ROUND(M1414*L1413,0)</f>
        <v>0</v>
      </c>
      <c r="O1413" s="9">
        <v>0</v>
      </c>
      <c r="P1413" s="9">
        <f>N1413-O1413</f>
        <v>0</v>
      </c>
      <c r="Q1413" s="40">
        <f t="shared" si="219"/>
        <v>0</v>
      </c>
      <c r="R1413" s="9">
        <v>0</v>
      </c>
      <c r="S1413" s="9">
        <f t="shared" si="217"/>
        <v>0</v>
      </c>
      <c r="T1413" s="90">
        <f t="shared" si="212"/>
        <v>281</v>
      </c>
      <c r="U1413" s="90">
        <f t="shared" si="213"/>
        <v>998</v>
      </c>
      <c r="V1413" s="373">
        <f t="shared" si="214"/>
        <v>1404</v>
      </c>
      <c r="W1413" s="90">
        <f t="shared" si="215"/>
        <v>0</v>
      </c>
      <c r="X1413" s="90">
        <f t="shared" si="216"/>
        <v>0</v>
      </c>
      <c r="Y1413" s="141">
        <f t="shared" si="218"/>
        <v>1404</v>
      </c>
      <c r="Z1413" s="298">
        <v>281</v>
      </c>
      <c r="AA1413" s="299">
        <v>998</v>
      </c>
      <c r="AB1413" s="299">
        <v>1404</v>
      </c>
      <c r="AC1413" s="301">
        <v>0</v>
      </c>
      <c r="AD1413" s="301">
        <v>0</v>
      </c>
      <c r="AE1413" s="126"/>
      <c r="AF1413" s="298"/>
      <c r="AG1413" s="299"/>
      <c r="AH1413" s="299"/>
      <c r="AI1413" s="301"/>
      <c r="AJ1413" s="301"/>
      <c r="AK1413" s="426"/>
      <c r="AL1413" s="298"/>
      <c r="AM1413" s="299"/>
      <c r="AN1413" s="299"/>
      <c r="AO1413" s="301"/>
      <c r="AP1413" s="301"/>
      <c r="AQ1413" s="426"/>
      <c r="AR1413" s="298"/>
      <c r="AS1413" s="299"/>
      <c r="AT1413" s="299"/>
      <c r="AU1413" s="301"/>
      <c r="AV1413" s="301"/>
      <c r="AW1413" s="88"/>
      <c r="AX1413" s="298"/>
      <c r="AY1413" s="299"/>
      <c r="AZ1413" s="299"/>
      <c r="BA1413" s="301"/>
      <c r="BB1413" s="301"/>
      <c r="BC1413" s="426"/>
      <c r="BD1413" s="298"/>
      <c r="BE1413" s="299"/>
      <c r="BF1413" s="299"/>
      <c r="BG1413" s="301"/>
      <c r="BH1413" s="301"/>
      <c r="BI1413" s="88"/>
      <c r="BJ1413" s="298"/>
      <c r="BK1413" s="299"/>
      <c r="BL1413" s="299"/>
      <c r="BM1413" s="301"/>
      <c r="BN1413" s="301"/>
      <c r="BO1413" s="88"/>
      <c r="BP1413" s="9"/>
      <c r="BS1413" s="81"/>
      <c r="BT1413" s="81"/>
      <c r="BV1413" s="9"/>
      <c r="BY1413" s="81"/>
      <c r="BZ1413" s="81"/>
      <c r="CB1413" s="9"/>
      <c r="CE1413" s="81"/>
      <c r="CF1413" s="81"/>
      <c r="CH1413" s="9"/>
      <c r="CK1413" s="81"/>
      <c r="CL1413" s="81"/>
      <c r="CR1413" s="9"/>
      <c r="CS1413" s="9"/>
      <c r="CT1413" s="9"/>
      <c r="CU1413" s="9"/>
      <c r="CV1413" s="9"/>
      <c r="CW1413" s="129"/>
      <c r="CX1413" s="9"/>
    </row>
    <row r="1414" spans="1:102">
      <c r="A1414" s="6" t="str">
        <f t="shared" si="211"/>
        <v>02810999</v>
      </c>
      <c r="B1414" s="6" t="s">
        <v>1931</v>
      </c>
      <c r="C1414" s="6" t="s">
        <v>2092</v>
      </c>
      <c r="D1414" s="6">
        <v>1405</v>
      </c>
      <c r="E1414" s="10">
        <v>281</v>
      </c>
      <c r="F1414" s="10" t="s">
        <v>1399</v>
      </c>
      <c r="G1414" s="10">
        <v>999</v>
      </c>
      <c r="H1414" s="10" t="s">
        <v>593</v>
      </c>
      <c r="I1414" s="92">
        <v>525763852.88000005</v>
      </c>
      <c r="J1414" s="472">
        <v>1</v>
      </c>
      <c r="K1414" s="53">
        <f>SUM(K1410:K1413)</f>
        <v>557622637.52999997</v>
      </c>
      <c r="L1414" s="91">
        <f>SUM(L1410:L1413)</f>
        <v>1</v>
      </c>
      <c r="M1414" s="79">
        <f>VLOOKUP(E1414,town351,24)</f>
        <v>51503174</v>
      </c>
      <c r="N1414" s="79">
        <f>SUM(N1410:N1413)</f>
        <v>51503174</v>
      </c>
      <c r="O1414" s="79">
        <v>48026085</v>
      </c>
      <c r="P1414" s="79">
        <f>SUM(P1410:P1413)</f>
        <v>3477089</v>
      </c>
      <c r="Q1414" s="39">
        <f t="shared" si="219"/>
        <v>7.2400009286619973</v>
      </c>
      <c r="R1414" s="9">
        <v>28326</v>
      </c>
      <c r="S1414" s="9">
        <f t="shared" si="217"/>
        <v>28394</v>
      </c>
      <c r="T1414" s="90">
        <f t="shared" si="212"/>
        <v>281</v>
      </c>
      <c r="U1414" s="90">
        <f t="shared" si="213"/>
        <v>999</v>
      </c>
      <c r="V1414" s="373">
        <f t="shared" si="214"/>
        <v>1405</v>
      </c>
      <c r="W1414" s="90">
        <f t="shared" si="215"/>
        <v>28394</v>
      </c>
      <c r="X1414" s="90">
        <f t="shared" si="216"/>
        <v>557622637.52999997</v>
      </c>
      <c r="Y1414" s="141">
        <f t="shared" si="218"/>
        <v>1405</v>
      </c>
      <c r="Z1414" s="298">
        <v>281</v>
      </c>
      <c r="AA1414" s="299">
        <v>999</v>
      </c>
      <c r="AB1414" s="299">
        <v>1405</v>
      </c>
      <c r="AC1414" s="301">
        <v>28394</v>
      </c>
      <c r="AD1414" s="301">
        <v>557622637.52999997</v>
      </c>
      <c r="AE1414" s="126"/>
      <c r="AF1414" s="298"/>
      <c r="AG1414" s="299"/>
      <c r="AH1414" s="299"/>
      <c r="AI1414" s="301"/>
      <c r="AJ1414" s="301"/>
      <c r="AK1414" s="426"/>
      <c r="AL1414" s="298"/>
      <c r="AM1414" s="299"/>
      <c r="AN1414" s="299"/>
      <c r="AO1414" s="301"/>
      <c r="AP1414" s="301"/>
      <c r="AQ1414" s="426"/>
      <c r="AR1414" s="298"/>
      <c r="AS1414" s="299"/>
      <c r="AT1414" s="299"/>
      <c r="AU1414" s="301"/>
      <c r="AV1414" s="301"/>
      <c r="AW1414" s="91"/>
      <c r="AX1414" s="298"/>
      <c r="AY1414" s="299"/>
      <c r="AZ1414" s="299"/>
      <c r="BA1414" s="301"/>
      <c r="BB1414" s="301"/>
      <c r="BC1414" s="426"/>
      <c r="BD1414" s="298"/>
      <c r="BE1414" s="299"/>
      <c r="BF1414" s="299"/>
      <c r="BG1414" s="301"/>
      <c r="BH1414" s="301"/>
      <c r="BI1414" s="91"/>
      <c r="BJ1414" s="298"/>
      <c r="BK1414" s="299"/>
      <c r="BL1414" s="299"/>
      <c r="BM1414" s="301"/>
      <c r="BN1414" s="301"/>
      <c r="BO1414" s="91"/>
      <c r="BP1414" s="9"/>
      <c r="BS1414" s="81"/>
      <c r="BT1414" s="81"/>
      <c r="BV1414" s="9"/>
      <c r="BY1414" s="81"/>
      <c r="BZ1414" s="81"/>
      <c r="CB1414" s="9"/>
      <c r="CE1414" s="81"/>
      <c r="CF1414" s="81"/>
      <c r="CH1414" s="9"/>
      <c r="CK1414" s="81"/>
      <c r="CL1414" s="81"/>
      <c r="CR1414" s="9"/>
      <c r="CS1414" s="9"/>
      <c r="CT1414" s="9"/>
      <c r="CU1414" s="9"/>
      <c r="CV1414" s="9"/>
      <c r="CW1414" s="129"/>
      <c r="CX1414" s="9"/>
    </row>
    <row r="1415" spans="1:102">
      <c r="A1415" s="6" t="str">
        <f t="shared" si="211"/>
        <v>02820282</v>
      </c>
      <c r="B1415" s="6" t="s">
        <v>1932</v>
      </c>
      <c r="C1415" s="6" t="s">
        <v>1932</v>
      </c>
      <c r="D1415" s="6">
        <v>1406</v>
      </c>
      <c r="E1415" s="6">
        <v>282</v>
      </c>
      <c r="F1415" s="6" t="s">
        <v>1400</v>
      </c>
      <c r="G1415" s="6">
        <v>282</v>
      </c>
      <c r="H1415" s="6" t="s">
        <v>963</v>
      </c>
      <c r="I1415" s="33">
        <v>16490.760000000002</v>
      </c>
      <c r="J1415" s="88">
        <v>1.2786618612823245E-3</v>
      </c>
      <c r="K1415" s="89">
        <f>X1415</f>
        <v>16860.330000000002</v>
      </c>
      <c r="L1415" s="88">
        <f>IF(K1419&gt;0, K1415/K1419, 0)</f>
        <v>1.287405750846385E-3</v>
      </c>
      <c r="M1415" s="58"/>
      <c r="N1415" s="9">
        <f>ROUND(M1419*L1415,0)</f>
        <v>13853</v>
      </c>
      <c r="O1415" s="9">
        <v>13193</v>
      </c>
      <c r="P1415" s="9">
        <f>N1415-O1415</f>
        <v>660</v>
      </c>
      <c r="Q1415" s="40">
        <f t="shared" si="219"/>
        <v>5.002652922004093</v>
      </c>
      <c r="R1415" s="9">
        <v>1</v>
      </c>
      <c r="S1415" s="9">
        <f t="shared" si="217"/>
        <v>1</v>
      </c>
      <c r="T1415" s="90">
        <f t="shared" si="212"/>
        <v>282</v>
      </c>
      <c r="U1415" s="90">
        <f t="shared" si="213"/>
        <v>282</v>
      </c>
      <c r="V1415" s="373">
        <f t="shared" si="214"/>
        <v>1406</v>
      </c>
      <c r="W1415" s="90">
        <f t="shared" si="215"/>
        <v>1</v>
      </c>
      <c r="X1415" s="90">
        <f t="shared" si="216"/>
        <v>16860.330000000002</v>
      </c>
      <c r="Y1415" s="141">
        <f t="shared" si="218"/>
        <v>1406</v>
      </c>
      <c r="Z1415" s="298">
        <v>282</v>
      </c>
      <c r="AA1415" s="299">
        <v>282</v>
      </c>
      <c r="AB1415" s="299">
        <v>1406</v>
      </c>
      <c r="AC1415" s="301">
        <v>1</v>
      </c>
      <c r="AD1415" s="301">
        <v>16860.330000000002</v>
      </c>
      <c r="AE1415" s="126"/>
      <c r="AF1415" s="298"/>
      <c r="AG1415" s="299"/>
      <c r="AH1415" s="299"/>
      <c r="AI1415" s="301"/>
      <c r="AJ1415" s="301"/>
      <c r="AK1415" s="426"/>
      <c r="AL1415" s="298"/>
      <c r="AM1415" s="299"/>
      <c r="AN1415" s="299"/>
      <c r="AO1415" s="301"/>
      <c r="AP1415" s="301"/>
      <c r="AQ1415" s="426"/>
      <c r="AR1415" s="298"/>
      <c r="AS1415" s="299"/>
      <c r="AT1415" s="299"/>
      <c r="AU1415" s="301"/>
      <c r="AV1415" s="301"/>
      <c r="AW1415" s="88"/>
      <c r="AX1415" s="298"/>
      <c r="AY1415" s="299"/>
      <c r="AZ1415" s="299"/>
      <c r="BA1415" s="301"/>
      <c r="BB1415" s="301"/>
      <c r="BC1415" s="426"/>
      <c r="BD1415" s="298"/>
      <c r="BE1415" s="299"/>
      <c r="BF1415" s="299"/>
      <c r="BG1415" s="301"/>
      <c r="BH1415" s="301"/>
      <c r="BI1415" s="88"/>
      <c r="BJ1415" s="298"/>
      <c r="BK1415" s="299"/>
      <c r="BL1415" s="299"/>
      <c r="BM1415" s="301"/>
      <c r="BN1415" s="301"/>
      <c r="BO1415" s="88"/>
      <c r="BP1415" s="9"/>
      <c r="BS1415" s="81"/>
      <c r="BT1415" s="81"/>
      <c r="BV1415" s="9"/>
      <c r="BY1415" s="81"/>
      <c r="BZ1415" s="81"/>
      <c r="CB1415" s="9"/>
      <c r="CE1415" s="81"/>
      <c r="CF1415" s="81"/>
      <c r="CH1415" s="9"/>
      <c r="CK1415" s="81"/>
      <c r="CL1415" s="81"/>
      <c r="CR1415" s="9"/>
      <c r="CS1415" s="9"/>
      <c r="CT1415" s="9"/>
      <c r="CU1415" s="9"/>
      <c r="CV1415" s="9"/>
      <c r="CW1415" s="129"/>
      <c r="CX1415" s="9"/>
    </row>
    <row r="1416" spans="1:102">
      <c r="A1416" s="6" t="str">
        <f t="shared" si="211"/>
        <v>02820775</v>
      </c>
      <c r="B1416" s="6" t="s">
        <v>1932</v>
      </c>
      <c r="C1416" s="6" t="s">
        <v>2059</v>
      </c>
      <c r="D1416" s="6">
        <v>1407</v>
      </c>
      <c r="E1416" s="6">
        <v>282</v>
      </c>
      <c r="F1416" s="6" t="s">
        <v>1400</v>
      </c>
      <c r="G1416" s="6">
        <v>775</v>
      </c>
      <c r="H1416" s="6" t="s">
        <v>1089</v>
      </c>
      <c r="I1416" s="33">
        <v>11650974.173012402</v>
      </c>
      <c r="J1416" s="88">
        <v>0.90339416265935146</v>
      </c>
      <c r="K1416" s="89">
        <f t="shared" si="220"/>
        <v>11742253.697039196</v>
      </c>
      <c r="L1416" s="88">
        <f>IF(K1419&gt;0, K1416/K1419, 0)</f>
        <v>0.89660433321681643</v>
      </c>
      <c r="M1416" s="58"/>
      <c r="N1416" s="9">
        <f>ROUND(M1419*L1416,0)</f>
        <v>9647691</v>
      </c>
      <c r="O1416" s="9">
        <v>9320886</v>
      </c>
      <c r="P1416" s="9">
        <f>N1416-O1416</f>
        <v>326805</v>
      </c>
      <c r="Q1416" s="40">
        <f t="shared" si="219"/>
        <v>3.5061581055706506</v>
      </c>
      <c r="R1416" s="9">
        <v>941.92556117923993</v>
      </c>
      <c r="S1416" s="9">
        <f t="shared" si="217"/>
        <v>924.11266984965005</v>
      </c>
      <c r="T1416" s="90">
        <f t="shared" si="212"/>
        <v>282</v>
      </c>
      <c r="U1416" s="90">
        <f t="shared" si="213"/>
        <v>775</v>
      </c>
      <c r="V1416" s="373">
        <f t="shared" si="214"/>
        <v>1407</v>
      </c>
      <c r="W1416" s="90">
        <f t="shared" si="215"/>
        <v>924.11266984965005</v>
      </c>
      <c r="X1416" s="90">
        <f t="shared" si="216"/>
        <v>11742253.697039196</v>
      </c>
      <c r="Y1416" s="141">
        <f t="shared" si="218"/>
        <v>1407</v>
      </c>
      <c r="Z1416" s="298">
        <v>282</v>
      </c>
      <c r="AA1416" s="299">
        <v>775</v>
      </c>
      <c r="AB1416" s="299">
        <v>1407</v>
      </c>
      <c r="AC1416" s="301">
        <v>924.11266984965005</v>
      </c>
      <c r="AD1416" s="301">
        <v>11742253.697039196</v>
      </c>
      <c r="AE1416" s="126"/>
      <c r="AF1416" s="298"/>
      <c r="AG1416" s="299"/>
      <c r="AH1416" s="299"/>
      <c r="AI1416" s="301"/>
      <c r="AJ1416" s="301"/>
      <c r="AK1416" s="426"/>
      <c r="AL1416" s="298"/>
      <c r="AM1416" s="299"/>
      <c r="AN1416" s="299"/>
      <c r="AO1416" s="301"/>
      <c r="AP1416" s="301"/>
      <c r="AQ1416" s="426"/>
      <c r="AR1416" s="298"/>
      <c r="AS1416" s="299"/>
      <c r="AT1416" s="299"/>
      <c r="AU1416" s="301"/>
      <c r="AV1416" s="301"/>
      <c r="AW1416" s="88"/>
      <c r="AX1416" s="298"/>
      <c r="AY1416" s="299"/>
      <c r="AZ1416" s="299"/>
      <c r="BA1416" s="301"/>
      <c r="BB1416" s="301"/>
      <c r="BC1416" s="426"/>
      <c r="BD1416" s="298"/>
      <c r="BE1416" s="299"/>
      <c r="BF1416" s="299"/>
      <c r="BG1416" s="301"/>
      <c r="BH1416" s="301"/>
      <c r="BI1416" s="88"/>
      <c r="BJ1416" s="298"/>
      <c r="BK1416" s="299"/>
      <c r="BL1416" s="299"/>
      <c r="BM1416" s="301"/>
      <c r="BN1416" s="301"/>
      <c r="BO1416" s="88"/>
      <c r="BP1416" s="9"/>
      <c r="BS1416" s="81"/>
      <c r="BT1416" s="81"/>
      <c r="BV1416" s="9"/>
      <c r="BY1416" s="81"/>
      <c r="BZ1416" s="81"/>
      <c r="CB1416" s="9"/>
      <c r="CE1416" s="81"/>
      <c r="CF1416" s="81"/>
      <c r="CH1416" s="9"/>
      <c r="CK1416" s="81"/>
      <c r="CL1416" s="81"/>
      <c r="CR1416" s="9"/>
      <c r="CS1416" s="9"/>
      <c r="CT1416" s="9"/>
      <c r="CU1416" s="9"/>
      <c r="CV1416" s="9"/>
      <c r="CW1416" s="129"/>
      <c r="CX1416" s="9"/>
    </row>
    <row r="1417" spans="1:102">
      <c r="A1417" s="6" t="str">
        <f t="shared" si="211"/>
        <v>02820832</v>
      </c>
      <c r="B1417" s="6" t="s">
        <v>1932</v>
      </c>
      <c r="C1417" s="6" t="s">
        <v>2075</v>
      </c>
      <c r="D1417" s="6">
        <v>1408</v>
      </c>
      <c r="E1417" s="6">
        <v>282</v>
      </c>
      <c r="F1417" s="6" t="s">
        <v>1400</v>
      </c>
      <c r="G1417" s="6">
        <v>832</v>
      </c>
      <c r="H1417" s="6" t="s">
        <v>1105</v>
      </c>
      <c r="I1417" s="33">
        <v>1229423.9938708991</v>
      </c>
      <c r="J1417" s="88">
        <v>9.5327175479366186E-2</v>
      </c>
      <c r="K1417" s="89">
        <f t="shared" si="220"/>
        <v>1337246.6105573322</v>
      </c>
      <c r="L1417" s="88">
        <f>IF(K1419&gt;0, K1417/K1419, 0)</f>
        <v>0.10210826103233718</v>
      </c>
      <c r="M1417" s="58"/>
      <c r="N1417" s="9">
        <f>ROUND(M1419*L1417,0)</f>
        <v>1098711</v>
      </c>
      <c r="O1417" s="9">
        <v>983550</v>
      </c>
      <c r="P1417" s="9">
        <f>N1417-O1417</f>
        <v>115161</v>
      </c>
      <c r="Q1417" s="40">
        <f t="shared" si="219"/>
        <v>11.708708250724417</v>
      </c>
      <c r="R1417" s="9">
        <v>61.083390296399998</v>
      </c>
      <c r="S1417" s="9">
        <f t="shared" si="217"/>
        <v>65.999999993399996</v>
      </c>
      <c r="T1417" s="90">
        <f t="shared" si="212"/>
        <v>282</v>
      </c>
      <c r="U1417" s="90">
        <f t="shared" si="213"/>
        <v>832</v>
      </c>
      <c r="V1417" s="373">
        <f t="shared" si="214"/>
        <v>1408</v>
      </c>
      <c r="W1417" s="90">
        <f t="shared" si="215"/>
        <v>65.999999993399996</v>
      </c>
      <c r="X1417" s="90">
        <f t="shared" si="216"/>
        <v>1337246.6105573322</v>
      </c>
      <c r="Y1417" s="141">
        <f t="shared" si="218"/>
        <v>1408</v>
      </c>
      <c r="Z1417" s="298">
        <v>282</v>
      </c>
      <c r="AA1417" s="299">
        <v>832</v>
      </c>
      <c r="AB1417" s="299">
        <v>1408</v>
      </c>
      <c r="AC1417" s="301">
        <v>65.999999993399996</v>
      </c>
      <c r="AD1417" s="301">
        <v>1337246.6105573322</v>
      </c>
      <c r="AE1417" s="126"/>
      <c r="AF1417" s="298"/>
      <c r="AG1417" s="299"/>
      <c r="AH1417" s="299"/>
      <c r="AI1417" s="301"/>
      <c r="AJ1417" s="301"/>
      <c r="AK1417" s="426"/>
      <c r="AL1417" s="298"/>
      <c r="AM1417" s="299"/>
      <c r="AN1417" s="299"/>
      <c r="AO1417" s="301"/>
      <c r="AP1417" s="301"/>
      <c r="AQ1417" s="426"/>
      <c r="AR1417" s="298"/>
      <c r="AS1417" s="299"/>
      <c r="AT1417" s="299"/>
      <c r="AU1417" s="301"/>
      <c r="AV1417" s="301"/>
      <c r="AW1417" s="88"/>
      <c r="AX1417" s="298"/>
      <c r="AY1417" s="299"/>
      <c r="AZ1417" s="299"/>
      <c r="BA1417" s="301"/>
      <c r="BB1417" s="301"/>
      <c r="BC1417" s="426"/>
      <c r="BD1417" s="298"/>
      <c r="BE1417" s="299"/>
      <c r="BF1417" s="299"/>
      <c r="BG1417" s="301"/>
      <c r="BH1417" s="301"/>
      <c r="BI1417" s="88"/>
      <c r="BJ1417" s="298"/>
      <c r="BK1417" s="299"/>
      <c r="BL1417" s="299"/>
      <c r="BM1417" s="301"/>
      <c r="BN1417" s="301"/>
      <c r="BO1417" s="88"/>
      <c r="BP1417" s="9"/>
      <c r="BS1417" s="81"/>
      <c r="BT1417" s="81"/>
      <c r="BV1417" s="9"/>
      <c r="BY1417" s="81"/>
      <c r="BZ1417" s="81"/>
      <c r="CB1417" s="9"/>
      <c r="CE1417" s="81"/>
      <c r="CF1417" s="81"/>
      <c r="CH1417" s="9"/>
      <c r="CK1417" s="81"/>
      <c r="CL1417" s="81"/>
      <c r="CR1417" s="9"/>
      <c r="CS1417" s="9"/>
      <c r="CT1417" s="9"/>
      <c r="CU1417" s="9"/>
      <c r="CV1417" s="9"/>
      <c r="CW1417" s="129"/>
      <c r="CX1417" s="9"/>
    </row>
    <row r="1418" spans="1:102">
      <c r="A1418" s="6" t="str">
        <f t="shared" ref="A1418:A1481" si="221">B1418&amp;C1418</f>
        <v>02820998</v>
      </c>
      <c r="B1418" s="6" t="s">
        <v>1932</v>
      </c>
      <c r="C1418" s="6" t="s">
        <v>2091</v>
      </c>
      <c r="D1418" s="6">
        <v>1409</v>
      </c>
      <c r="E1418" s="6">
        <v>282</v>
      </c>
      <c r="F1418" s="6" t="s">
        <v>1547</v>
      </c>
      <c r="G1418" s="6">
        <v>998</v>
      </c>
      <c r="H1418" s="6" t="s">
        <v>1547</v>
      </c>
      <c r="I1418" s="33">
        <v>0</v>
      </c>
      <c r="J1418" s="88">
        <v>0</v>
      </c>
      <c r="K1418" s="89">
        <f t="shared" si="220"/>
        <v>0</v>
      </c>
      <c r="L1418" s="88">
        <f>IF(K1419&gt;0, K1418/K1419, 0)</f>
        <v>0</v>
      </c>
      <c r="M1418" s="58"/>
      <c r="N1418" s="9">
        <f>ROUND(M1419*L1418,0)</f>
        <v>0</v>
      </c>
      <c r="O1418" s="9">
        <v>0</v>
      </c>
      <c r="P1418" s="9">
        <f>N1418-O1418</f>
        <v>0</v>
      </c>
      <c r="Q1418" s="40">
        <f t="shared" si="219"/>
        <v>0</v>
      </c>
      <c r="R1418" s="9">
        <v>0</v>
      </c>
      <c r="S1418" s="9">
        <f t="shared" si="217"/>
        <v>0</v>
      </c>
      <c r="T1418" s="90">
        <f t="shared" ref="T1418:T1481" si="222">VLOOKUP($D1418, foundoptions, VLOOKUP($T$6, foundoptcell, 2, FALSE), FALSE)</f>
        <v>282</v>
      </c>
      <c r="U1418" s="90">
        <f t="shared" ref="U1418:U1481" si="223">VLOOKUP($D1418, foundoptions, VLOOKUP($T$6, foundoptcell, 2, FALSE)+1, FALSE)</f>
        <v>998</v>
      </c>
      <c r="V1418" s="373">
        <f t="shared" ref="V1418:V1481" si="224">VLOOKUP($D1418, foundoptions, VLOOKUP($T$6, foundoptcell, 2, FALSE)+2, FALSE)</f>
        <v>1409</v>
      </c>
      <c r="W1418" s="90">
        <f t="shared" ref="W1418:W1481" si="225">VLOOKUP($D1418, foundoptions, VLOOKUP($T$6, foundoptcell, 2, FALSE)+3, FALSE)</f>
        <v>0</v>
      </c>
      <c r="X1418" s="90">
        <f t="shared" ref="X1418:X1481" si="226">VLOOKUP($D1418, foundoptions, VLOOKUP($T$6, foundoptcell, 2, FALSE)+4, FALSE)</f>
        <v>0</v>
      </c>
      <c r="Y1418" s="141">
        <f t="shared" si="218"/>
        <v>1409</v>
      </c>
      <c r="Z1418" s="298">
        <v>282</v>
      </c>
      <c r="AA1418" s="299">
        <v>998</v>
      </c>
      <c r="AB1418" s="299">
        <v>1409</v>
      </c>
      <c r="AC1418" s="301">
        <v>0</v>
      </c>
      <c r="AD1418" s="301">
        <v>0</v>
      </c>
      <c r="AE1418" s="126"/>
      <c r="AF1418" s="298"/>
      <c r="AG1418" s="299"/>
      <c r="AH1418" s="299"/>
      <c r="AI1418" s="301"/>
      <c r="AJ1418" s="301"/>
      <c r="AK1418" s="426"/>
      <c r="AL1418" s="298"/>
      <c r="AM1418" s="299"/>
      <c r="AN1418" s="299"/>
      <c r="AO1418" s="301"/>
      <c r="AP1418" s="301"/>
      <c r="AQ1418" s="426"/>
      <c r="AR1418" s="298"/>
      <c r="AS1418" s="299"/>
      <c r="AT1418" s="299"/>
      <c r="AU1418" s="301"/>
      <c r="AV1418" s="301"/>
      <c r="AW1418" s="88"/>
      <c r="AX1418" s="298"/>
      <c r="AY1418" s="299"/>
      <c r="AZ1418" s="299"/>
      <c r="BA1418" s="301"/>
      <c r="BB1418" s="301"/>
      <c r="BC1418" s="426"/>
      <c r="BD1418" s="298"/>
      <c r="BE1418" s="299"/>
      <c r="BF1418" s="299"/>
      <c r="BG1418" s="301"/>
      <c r="BH1418" s="301"/>
      <c r="BI1418" s="88"/>
      <c r="BJ1418" s="298"/>
      <c r="BK1418" s="299"/>
      <c r="BL1418" s="299"/>
      <c r="BM1418" s="301"/>
      <c r="BN1418" s="301"/>
      <c r="BO1418" s="88"/>
      <c r="BP1418" s="9"/>
      <c r="BS1418" s="81"/>
      <c r="BT1418" s="81"/>
      <c r="BV1418" s="9"/>
      <c r="BY1418" s="81"/>
      <c r="BZ1418" s="81"/>
      <c r="CB1418" s="9"/>
      <c r="CE1418" s="81"/>
      <c r="CF1418" s="81"/>
      <c r="CH1418" s="9"/>
      <c r="CK1418" s="81"/>
      <c r="CL1418" s="81"/>
      <c r="CR1418" s="9"/>
      <c r="CS1418" s="9"/>
      <c r="CT1418" s="9"/>
      <c r="CU1418" s="9"/>
      <c r="CV1418" s="9"/>
      <c r="CW1418" s="129"/>
      <c r="CX1418" s="9"/>
    </row>
    <row r="1419" spans="1:102">
      <c r="A1419" s="6" t="str">
        <f t="shared" si="221"/>
        <v>02820999</v>
      </c>
      <c r="B1419" s="6" t="s">
        <v>1932</v>
      </c>
      <c r="C1419" s="6" t="s">
        <v>2092</v>
      </c>
      <c r="D1419" s="6">
        <v>1410</v>
      </c>
      <c r="E1419" s="10">
        <v>282</v>
      </c>
      <c r="F1419" s="10" t="s">
        <v>1400</v>
      </c>
      <c r="G1419" s="10">
        <v>999</v>
      </c>
      <c r="H1419" s="10" t="s">
        <v>593</v>
      </c>
      <c r="I1419" s="92">
        <v>12896888.926883301</v>
      </c>
      <c r="J1419" s="472">
        <v>1</v>
      </c>
      <c r="K1419" s="53">
        <f>SUM(K1415:K1418)</f>
        <v>13096360.637596529</v>
      </c>
      <c r="L1419" s="91">
        <f>SUM(L1415:L1418)</f>
        <v>1</v>
      </c>
      <c r="M1419" s="79">
        <f>VLOOKUP(E1419,town351,24)</f>
        <v>10760255</v>
      </c>
      <c r="N1419" s="79">
        <f>SUM(N1415:N1418)</f>
        <v>10760255</v>
      </c>
      <c r="O1419" s="79">
        <v>10317629</v>
      </c>
      <c r="P1419" s="79">
        <f>SUM(P1415:P1418)</f>
        <v>442626</v>
      </c>
      <c r="Q1419" s="39">
        <f t="shared" si="219"/>
        <v>4.2899972464604028</v>
      </c>
      <c r="R1419" s="9">
        <v>1004.0089514756399</v>
      </c>
      <c r="S1419" s="9">
        <f t="shared" ref="S1419:S1482" si="227">W1419</f>
        <v>991.11266984305007</v>
      </c>
      <c r="T1419" s="90">
        <f t="shared" si="222"/>
        <v>282</v>
      </c>
      <c r="U1419" s="90">
        <f t="shared" si="223"/>
        <v>999</v>
      </c>
      <c r="V1419" s="373">
        <f t="shared" si="224"/>
        <v>1410</v>
      </c>
      <c r="W1419" s="90">
        <f t="shared" si="225"/>
        <v>991.11266984305007</v>
      </c>
      <c r="X1419" s="90">
        <f t="shared" si="226"/>
        <v>13096360.637596529</v>
      </c>
      <c r="Y1419" s="141">
        <f t="shared" ref="Y1419:Y1482" si="228">D1419</f>
        <v>1410</v>
      </c>
      <c r="Z1419" s="298">
        <v>282</v>
      </c>
      <c r="AA1419" s="299">
        <v>999</v>
      </c>
      <c r="AB1419" s="299">
        <v>1410</v>
      </c>
      <c r="AC1419" s="301">
        <v>991.11266984305007</v>
      </c>
      <c r="AD1419" s="301">
        <v>13096360.637596529</v>
      </c>
      <c r="AE1419" s="126"/>
      <c r="AF1419" s="298"/>
      <c r="AG1419" s="299"/>
      <c r="AH1419" s="299"/>
      <c r="AI1419" s="301"/>
      <c r="AJ1419" s="301"/>
      <c r="AK1419" s="426"/>
      <c r="AL1419" s="298"/>
      <c r="AM1419" s="299"/>
      <c r="AN1419" s="299"/>
      <c r="AO1419" s="301"/>
      <c r="AP1419" s="301"/>
      <c r="AQ1419" s="426"/>
      <c r="AR1419" s="298"/>
      <c r="AS1419" s="299"/>
      <c r="AT1419" s="299"/>
      <c r="AU1419" s="301"/>
      <c r="AV1419" s="301"/>
      <c r="AW1419" s="91"/>
      <c r="AX1419" s="298"/>
      <c r="AY1419" s="299"/>
      <c r="AZ1419" s="299"/>
      <c r="BA1419" s="301"/>
      <c r="BB1419" s="301"/>
      <c r="BC1419" s="426"/>
      <c r="BD1419" s="298"/>
      <c r="BE1419" s="299"/>
      <c r="BF1419" s="299"/>
      <c r="BG1419" s="301"/>
      <c r="BH1419" s="301"/>
      <c r="BI1419" s="91"/>
      <c r="BJ1419" s="298"/>
      <c r="BK1419" s="299"/>
      <c r="BL1419" s="299"/>
      <c r="BM1419" s="301"/>
      <c r="BN1419" s="301"/>
      <c r="BO1419" s="91"/>
      <c r="BP1419" s="9"/>
      <c r="BS1419" s="81"/>
      <c r="BT1419" s="81"/>
      <c r="BV1419" s="9"/>
      <c r="BY1419" s="81"/>
      <c r="BZ1419" s="81"/>
      <c r="CB1419" s="9"/>
      <c r="CE1419" s="81"/>
      <c r="CF1419" s="81"/>
      <c r="CH1419" s="9"/>
      <c r="CK1419" s="81"/>
      <c r="CL1419" s="81"/>
      <c r="CR1419" s="9"/>
      <c r="CS1419" s="9"/>
      <c r="CT1419" s="9"/>
      <c r="CU1419" s="9"/>
      <c r="CV1419" s="9"/>
      <c r="CW1419" s="129"/>
      <c r="CX1419" s="9"/>
    </row>
    <row r="1420" spans="1:102">
      <c r="A1420" s="6" t="str">
        <f t="shared" si="221"/>
        <v>02830283</v>
      </c>
      <c r="B1420" s="6" t="s">
        <v>1933</v>
      </c>
      <c r="C1420" s="6" t="s">
        <v>1933</v>
      </c>
      <c r="D1420" s="6">
        <v>1411</v>
      </c>
      <c r="E1420" s="6">
        <v>283</v>
      </c>
      <c r="F1420" s="6" t="s">
        <v>1401</v>
      </c>
      <c r="G1420" s="6">
        <v>283</v>
      </c>
      <c r="H1420" s="6" t="s">
        <v>964</v>
      </c>
      <c r="I1420" s="33">
        <v>0</v>
      </c>
      <c r="J1420" s="88">
        <v>0</v>
      </c>
      <c r="K1420" s="89">
        <f>X1420</f>
        <v>0</v>
      </c>
      <c r="L1420" s="88">
        <f>IF(K1424&gt;0, K1420/K1424, 0)</f>
        <v>0</v>
      </c>
      <c r="M1420" s="58"/>
      <c r="N1420" s="9">
        <f>ROUND(M1424*L1420,0)</f>
        <v>0</v>
      </c>
      <c r="O1420" s="9">
        <v>0</v>
      </c>
      <c r="P1420" s="9">
        <f>N1420-O1420</f>
        <v>0</v>
      </c>
      <c r="Q1420" s="40">
        <f t="shared" si="219"/>
        <v>0</v>
      </c>
      <c r="R1420" s="9">
        <v>0</v>
      </c>
      <c r="S1420" s="9">
        <f t="shared" si="227"/>
        <v>0</v>
      </c>
      <c r="T1420" s="90">
        <f t="shared" si="222"/>
        <v>283</v>
      </c>
      <c r="U1420" s="90">
        <f t="shared" si="223"/>
        <v>283</v>
      </c>
      <c r="V1420" s="373">
        <f t="shared" si="224"/>
        <v>1411</v>
      </c>
      <c r="W1420" s="90">
        <f t="shared" si="225"/>
        <v>0</v>
      </c>
      <c r="X1420" s="90">
        <f t="shared" si="226"/>
        <v>0</v>
      </c>
      <c r="Y1420" s="141">
        <f t="shared" si="228"/>
        <v>1411</v>
      </c>
      <c r="Z1420" s="298">
        <v>283</v>
      </c>
      <c r="AA1420" s="299">
        <v>283</v>
      </c>
      <c r="AB1420" s="299">
        <v>1411</v>
      </c>
      <c r="AC1420" s="301">
        <v>0</v>
      </c>
      <c r="AD1420" s="301">
        <v>0</v>
      </c>
      <c r="AE1420" s="126"/>
      <c r="AF1420" s="298"/>
      <c r="AG1420" s="299"/>
      <c r="AH1420" s="299"/>
      <c r="AI1420" s="301"/>
      <c r="AJ1420" s="301"/>
      <c r="AK1420" s="426"/>
      <c r="AL1420" s="298"/>
      <c r="AM1420" s="299"/>
      <c r="AN1420" s="299"/>
      <c r="AO1420" s="301"/>
      <c r="AP1420" s="301"/>
      <c r="AQ1420" s="426"/>
      <c r="AR1420" s="298"/>
      <c r="AS1420" s="299"/>
      <c r="AT1420" s="299"/>
      <c r="AU1420" s="301"/>
      <c r="AV1420" s="301"/>
      <c r="AW1420" s="88"/>
      <c r="AX1420" s="298"/>
      <c r="AY1420" s="299"/>
      <c r="AZ1420" s="299"/>
      <c r="BA1420" s="301"/>
      <c r="BB1420" s="301"/>
      <c r="BC1420" s="426"/>
      <c r="BD1420" s="298"/>
      <c r="BE1420" s="299"/>
      <c r="BF1420" s="299"/>
      <c r="BG1420" s="301"/>
      <c r="BH1420" s="301"/>
      <c r="BI1420" s="88"/>
      <c r="BJ1420" s="298"/>
      <c r="BK1420" s="299"/>
      <c r="BL1420" s="299"/>
      <c r="BM1420" s="301"/>
      <c r="BN1420" s="301"/>
      <c r="BO1420" s="88"/>
      <c r="BP1420" s="9"/>
      <c r="BS1420" s="81"/>
      <c r="BT1420" s="81"/>
      <c r="BV1420" s="9"/>
      <c r="BY1420" s="81"/>
      <c r="BZ1420" s="81"/>
      <c r="CB1420" s="9"/>
      <c r="CE1420" s="81"/>
      <c r="CF1420" s="81"/>
      <c r="CH1420" s="9"/>
      <c r="CK1420" s="81"/>
      <c r="CL1420" s="81"/>
      <c r="CR1420" s="9"/>
      <c r="CS1420" s="9"/>
      <c r="CT1420" s="9"/>
      <c r="CU1420" s="9"/>
      <c r="CV1420" s="9"/>
      <c r="CW1420" s="129"/>
      <c r="CX1420" s="9"/>
    </row>
    <row r="1421" spans="1:102">
      <c r="A1421" s="6" t="str">
        <f t="shared" si="221"/>
        <v>02830618</v>
      </c>
      <c r="B1421" s="6" t="s">
        <v>1933</v>
      </c>
      <c r="C1421" s="6" t="s">
        <v>2010</v>
      </c>
      <c r="D1421" s="6">
        <v>1412</v>
      </c>
      <c r="E1421" s="6">
        <v>283</v>
      </c>
      <c r="F1421" s="6" t="s">
        <v>1401</v>
      </c>
      <c r="G1421" s="6">
        <v>618</v>
      </c>
      <c r="H1421" s="6" t="s">
        <v>1040</v>
      </c>
      <c r="I1421" s="33">
        <v>1902074.0000142655</v>
      </c>
      <c r="J1421" s="88">
        <v>1</v>
      </c>
      <c r="K1421" s="89">
        <f t="shared" si="220"/>
        <v>2052919.686048476</v>
      </c>
      <c r="L1421" s="88">
        <f>IF(K1424&gt;0, K1421/K1424, 0)</f>
        <v>1</v>
      </c>
      <c r="M1421" s="58"/>
      <c r="N1421" s="9">
        <f>ROUND(M1424*L1421,0)</f>
        <v>1693659</v>
      </c>
      <c r="O1421" s="9">
        <v>1569211</v>
      </c>
      <c r="P1421" s="9">
        <f>N1421-O1421</f>
        <v>124448</v>
      </c>
      <c r="Q1421" s="40">
        <f t="shared" si="219"/>
        <v>7.9306097140537508</v>
      </c>
      <c r="R1421" s="9">
        <v>124.47457627211999</v>
      </c>
      <c r="S1421" s="9">
        <f t="shared" si="227"/>
        <v>127.89060887262001</v>
      </c>
      <c r="T1421" s="90">
        <f t="shared" si="222"/>
        <v>283</v>
      </c>
      <c r="U1421" s="90">
        <f t="shared" si="223"/>
        <v>618</v>
      </c>
      <c r="V1421" s="373">
        <f t="shared" si="224"/>
        <v>1412</v>
      </c>
      <c r="W1421" s="90">
        <f t="shared" si="225"/>
        <v>127.89060887262001</v>
      </c>
      <c r="X1421" s="90">
        <f t="shared" si="226"/>
        <v>2052919.686048476</v>
      </c>
      <c r="Y1421" s="141">
        <f t="shared" si="228"/>
        <v>1412</v>
      </c>
      <c r="Z1421" s="298">
        <v>283</v>
      </c>
      <c r="AA1421" s="299">
        <v>618</v>
      </c>
      <c r="AB1421" s="299">
        <v>1412</v>
      </c>
      <c r="AC1421" s="301">
        <v>127.89060887262001</v>
      </c>
      <c r="AD1421" s="301">
        <v>2052919.686048476</v>
      </c>
      <c r="AE1421" s="126"/>
      <c r="AF1421" s="298"/>
      <c r="AG1421" s="299"/>
      <c r="AH1421" s="299"/>
      <c r="AI1421" s="301"/>
      <c r="AJ1421" s="301"/>
      <c r="AK1421" s="426"/>
      <c r="AL1421" s="298"/>
      <c r="AM1421" s="299"/>
      <c r="AN1421" s="299"/>
      <c r="AO1421" s="301"/>
      <c r="AP1421" s="301"/>
      <c r="AQ1421" s="426"/>
      <c r="AR1421" s="298"/>
      <c r="AS1421" s="299"/>
      <c r="AT1421" s="299"/>
      <c r="AU1421" s="301"/>
      <c r="AV1421" s="301"/>
      <c r="AW1421" s="88"/>
      <c r="AX1421" s="298"/>
      <c r="AY1421" s="299"/>
      <c r="AZ1421" s="299"/>
      <c r="BA1421" s="301"/>
      <c r="BB1421" s="301"/>
      <c r="BC1421" s="426"/>
      <c r="BD1421" s="298"/>
      <c r="BE1421" s="299"/>
      <c r="BF1421" s="299"/>
      <c r="BG1421" s="301"/>
      <c r="BH1421" s="301"/>
      <c r="BI1421" s="88"/>
      <c r="BJ1421" s="298"/>
      <c r="BK1421" s="299"/>
      <c r="BL1421" s="299"/>
      <c r="BM1421" s="301"/>
      <c r="BN1421" s="301"/>
      <c r="BO1421" s="88"/>
      <c r="BP1421" s="9"/>
      <c r="BS1421" s="81"/>
      <c r="BT1421" s="81"/>
      <c r="BV1421" s="9"/>
      <c r="BY1421" s="81"/>
      <c r="BZ1421" s="81"/>
      <c r="CB1421" s="9"/>
      <c r="CE1421" s="81"/>
      <c r="CF1421" s="81"/>
      <c r="CH1421" s="9"/>
      <c r="CK1421" s="81"/>
      <c r="CL1421" s="81"/>
      <c r="CR1421" s="9"/>
      <c r="CS1421" s="9"/>
      <c r="CT1421" s="9"/>
      <c r="CU1421" s="9"/>
      <c r="CV1421" s="9"/>
      <c r="CW1421" s="129"/>
      <c r="CX1421" s="9"/>
    </row>
    <row r="1422" spans="1:102">
      <c r="A1422" s="6" t="str">
        <f t="shared" si="221"/>
        <v>02830998</v>
      </c>
      <c r="B1422" s="6" t="s">
        <v>1933</v>
      </c>
      <c r="C1422" s="6" t="s">
        <v>2091</v>
      </c>
      <c r="D1422" s="6">
        <v>1413</v>
      </c>
      <c r="E1422" s="6">
        <v>283</v>
      </c>
      <c r="F1422" s="6" t="s">
        <v>1547</v>
      </c>
      <c r="G1422" s="6">
        <v>998</v>
      </c>
      <c r="H1422" s="6" t="s">
        <v>1547</v>
      </c>
      <c r="I1422" s="33">
        <v>0</v>
      </c>
      <c r="J1422" s="88">
        <v>0</v>
      </c>
      <c r="K1422" s="89">
        <f t="shared" si="220"/>
        <v>0</v>
      </c>
      <c r="L1422" s="88">
        <f>IF(K1424&gt;0, K1422/K1424, 0)</f>
        <v>0</v>
      </c>
      <c r="M1422" s="58"/>
      <c r="N1422" s="9">
        <f>ROUND(M1424*L1422,0)</f>
        <v>0</v>
      </c>
      <c r="O1422" s="9">
        <v>0</v>
      </c>
      <c r="P1422" s="9">
        <f>N1422-O1422</f>
        <v>0</v>
      </c>
      <c r="Q1422" s="40">
        <f t="shared" si="219"/>
        <v>0</v>
      </c>
      <c r="R1422" s="9">
        <v>0</v>
      </c>
      <c r="S1422" s="9">
        <f t="shared" si="227"/>
        <v>0</v>
      </c>
      <c r="T1422" s="90">
        <f t="shared" si="222"/>
        <v>283</v>
      </c>
      <c r="U1422" s="90">
        <f t="shared" si="223"/>
        <v>998</v>
      </c>
      <c r="V1422" s="373">
        <f t="shared" si="224"/>
        <v>1413</v>
      </c>
      <c r="W1422" s="90">
        <f t="shared" si="225"/>
        <v>0</v>
      </c>
      <c r="X1422" s="90">
        <f t="shared" si="226"/>
        <v>0</v>
      </c>
      <c r="Y1422" s="141">
        <f t="shared" si="228"/>
        <v>1413</v>
      </c>
      <c r="Z1422" s="298">
        <v>283</v>
      </c>
      <c r="AA1422" s="299">
        <v>998</v>
      </c>
      <c r="AB1422" s="299">
        <v>1413</v>
      </c>
      <c r="AC1422" s="301">
        <v>0</v>
      </c>
      <c r="AD1422" s="301">
        <v>0</v>
      </c>
      <c r="AE1422" s="126"/>
      <c r="AF1422" s="298"/>
      <c r="AG1422" s="299"/>
      <c r="AH1422" s="299"/>
      <c r="AI1422" s="301"/>
      <c r="AJ1422" s="301"/>
      <c r="AK1422" s="426"/>
      <c r="AL1422" s="298"/>
      <c r="AM1422" s="299"/>
      <c r="AN1422" s="299"/>
      <c r="AO1422" s="301"/>
      <c r="AP1422" s="301"/>
      <c r="AQ1422" s="426"/>
      <c r="AR1422" s="298"/>
      <c r="AS1422" s="299"/>
      <c r="AT1422" s="299"/>
      <c r="AU1422" s="301"/>
      <c r="AV1422" s="301"/>
      <c r="AW1422" s="88"/>
      <c r="AX1422" s="298"/>
      <c r="AY1422" s="299"/>
      <c r="AZ1422" s="299"/>
      <c r="BA1422" s="301"/>
      <c r="BB1422" s="301"/>
      <c r="BC1422" s="426"/>
      <c r="BD1422" s="298"/>
      <c r="BE1422" s="299"/>
      <c r="BF1422" s="299"/>
      <c r="BG1422" s="301"/>
      <c r="BH1422" s="301"/>
      <c r="BI1422" s="88"/>
      <c r="BJ1422" s="298"/>
      <c r="BK1422" s="299"/>
      <c r="BL1422" s="299"/>
      <c r="BM1422" s="301"/>
      <c r="BN1422" s="301"/>
      <c r="BO1422" s="88"/>
      <c r="BP1422" s="9"/>
      <c r="BS1422" s="81"/>
      <c r="BT1422" s="81"/>
      <c r="BV1422" s="9"/>
      <c r="BY1422" s="81"/>
      <c r="BZ1422" s="81"/>
      <c r="CB1422" s="9"/>
      <c r="CE1422" s="81"/>
      <c r="CF1422" s="81"/>
      <c r="CH1422" s="9"/>
      <c r="CK1422" s="81"/>
      <c r="CL1422" s="81"/>
      <c r="CR1422" s="9"/>
      <c r="CS1422" s="9"/>
      <c r="CT1422" s="9"/>
      <c r="CU1422" s="9"/>
      <c r="CV1422" s="9"/>
      <c r="CW1422" s="129"/>
      <c r="CX1422" s="9"/>
    </row>
    <row r="1423" spans="1:102">
      <c r="A1423" s="6" t="str">
        <f t="shared" si="221"/>
        <v>02830998</v>
      </c>
      <c r="B1423" s="6" t="s">
        <v>1933</v>
      </c>
      <c r="C1423" s="6" t="s">
        <v>2091</v>
      </c>
      <c r="D1423" s="6">
        <v>1414</v>
      </c>
      <c r="E1423" s="6">
        <v>283</v>
      </c>
      <c r="F1423" s="6" t="s">
        <v>1547</v>
      </c>
      <c r="G1423" s="6">
        <v>998</v>
      </c>
      <c r="H1423" s="6" t="s">
        <v>1547</v>
      </c>
      <c r="I1423" s="33">
        <v>0</v>
      </c>
      <c r="J1423" s="88">
        <v>0</v>
      </c>
      <c r="K1423" s="89">
        <f t="shared" si="220"/>
        <v>0</v>
      </c>
      <c r="L1423" s="88">
        <f>IF(K1424&gt;0, K1423/K1424, 0)</f>
        <v>0</v>
      </c>
      <c r="M1423" s="58"/>
      <c r="N1423" s="9">
        <f>ROUND(M1424*L1423,0)</f>
        <v>0</v>
      </c>
      <c r="O1423" s="9">
        <v>0</v>
      </c>
      <c r="P1423" s="9">
        <f>N1423-O1423</f>
        <v>0</v>
      </c>
      <c r="Q1423" s="40">
        <f t="shared" si="219"/>
        <v>0</v>
      </c>
      <c r="R1423" s="9">
        <v>0</v>
      </c>
      <c r="S1423" s="9">
        <f t="shared" si="227"/>
        <v>0</v>
      </c>
      <c r="T1423" s="90">
        <f t="shared" si="222"/>
        <v>283</v>
      </c>
      <c r="U1423" s="90">
        <f t="shared" si="223"/>
        <v>998</v>
      </c>
      <c r="V1423" s="373">
        <f t="shared" si="224"/>
        <v>1414</v>
      </c>
      <c r="W1423" s="90">
        <f t="shared" si="225"/>
        <v>0</v>
      </c>
      <c r="X1423" s="90">
        <f t="shared" si="226"/>
        <v>0</v>
      </c>
      <c r="Y1423" s="141">
        <f t="shared" si="228"/>
        <v>1414</v>
      </c>
      <c r="Z1423" s="298">
        <v>283</v>
      </c>
      <c r="AA1423" s="299">
        <v>998</v>
      </c>
      <c r="AB1423" s="299">
        <v>1414</v>
      </c>
      <c r="AC1423" s="301">
        <v>0</v>
      </c>
      <c r="AD1423" s="301">
        <v>0</v>
      </c>
      <c r="AE1423" s="126"/>
      <c r="AF1423" s="298"/>
      <c r="AG1423" s="299"/>
      <c r="AH1423" s="299"/>
      <c r="AI1423" s="301"/>
      <c r="AJ1423" s="301"/>
      <c r="AK1423" s="426"/>
      <c r="AL1423" s="298"/>
      <c r="AM1423" s="299"/>
      <c r="AN1423" s="299"/>
      <c r="AO1423" s="301"/>
      <c r="AP1423" s="301"/>
      <c r="AQ1423" s="426"/>
      <c r="AR1423" s="298"/>
      <c r="AS1423" s="299"/>
      <c r="AT1423" s="299"/>
      <c r="AU1423" s="301"/>
      <c r="AV1423" s="301"/>
      <c r="AW1423" s="88"/>
      <c r="AX1423" s="298"/>
      <c r="AY1423" s="299"/>
      <c r="AZ1423" s="299"/>
      <c r="BA1423" s="301"/>
      <c r="BB1423" s="301"/>
      <c r="BC1423" s="426"/>
      <c r="BD1423" s="298"/>
      <c r="BE1423" s="299"/>
      <c r="BF1423" s="299"/>
      <c r="BG1423" s="301"/>
      <c r="BH1423" s="301"/>
      <c r="BI1423" s="88"/>
      <c r="BJ1423" s="298"/>
      <c r="BK1423" s="299"/>
      <c r="BL1423" s="299"/>
      <c r="BM1423" s="301"/>
      <c r="BN1423" s="301"/>
      <c r="BO1423" s="88"/>
      <c r="BP1423" s="9"/>
      <c r="BS1423" s="81"/>
      <c r="BT1423" s="81"/>
      <c r="BV1423" s="9"/>
      <c r="BY1423" s="81"/>
      <c r="BZ1423" s="81"/>
      <c r="CB1423" s="9"/>
      <c r="CE1423" s="81"/>
      <c r="CF1423" s="81"/>
      <c r="CH1423" s="9"/>
      <c r="CK1423" s="81"/>
      <c r="CL1423" s="81"/>
      <c r="CR1423" s="9"/>
      <c r="CS1423" s="9"/>
      <c r="CT1423" s="9"/>
      <c r="CU1423" s="9"/>
      <c r="CV1423" s="9"/>
      <c r="CW1423" s="129"/>
      <c r="CX1423" s="9"/>
    </row>
    <row r="1424" spans="1:102">
      <c r="A1424" s="6" t="str">
        <f t="shared" si="221"/>
        <v>02830999</v>
      </c>
      <c r="B1424" s="6" t="s">
        <v>1933</v>
      </c>
      <c r="C1424" s="6" t="s">
        <v>2092</v>
      </c>
      <c r="D1424" s="6">
        <v>1415</v>
      </c>
      <c r="E1424" s="10">
        <v>283</v>
      </c>
      <c r="F1424" s="10" t="s">
        <v>1401</v>
      </c>
      <c r="G1424" s="10">
        <v>999</v>
      </c>
      <c r="H1424" s="10" t="s">
        <v>593</v>
      </c>
      <c r="I1424" s="92">
        <v>1902074.0000142655</v>
      </c>
      <c r="J1424" s="472">
        <v>1</v>
      </c>
      <c r="K1424" s="53">
        <f>SUM(K1420:K1423)</f>
        <v>2052919.686048476</v>
      </c>
      <c r="L1424" s="91">
        <f>SUM(L1420:L1423)</f>
        <v>1</v>
      </c>
      <c r="M1424" s="79">
        <f>VLOOKUP(E1424,town351,24)</f>
        <v>1693659</v>
      </c>
      <c r="N1424" s="79">
        <f>SUM(N1420:N1423)</f>
        <v>1693659</v>
      </c>
      <c r="O1424" s="79">
        <v>1569211</v>
      </c>
      <c r="P1424" s="79">
        <f>SUM(P1420:P1423)</f>
        <v>124448</v>
      </c>
      <c r="Q1424" s="39">
        <f t="shared" ref="Q1424:Q1487" si="229">IF(O1424&gt;0,P1424*100/O1424,IF(P1424&gt;0,100,0))</f>
        <v>7.9306097140537508</v>
      </c>
      <c r="R1424" s="9">
        <v>124.47457627211999</v>
      </c>
      <c r="S1424" s="9">
        <f t="shared" si="227"/>
        <v>127.89060887262001</v>
      </c>
      <c r="T1424" s="90">
        <f t="shared" si="222"/>
        <v>283</v>
      </c>
      <c r="U1424" s="90">
        <f t="shared" si="223"/>
        <v>999</v>
      </c>
      <c r="V1424" s="373">
        <f t="shared" si="224"/>
        <v>1415</v>
      </c>
      <c r="W1424" s="90">
        <f t="shared" si="225"/>
        <v>127.89060887262001</v>
      </c>
      <c r="X1424" s="90">
        <f t="shared" si="226"/>
        <v>2052919.686048476</v>
      </c>
      <c r="Y1424" s="141">
        <f t="shared" si="228"/>
        <v>1415</v>
      </c>
      <c r="Z1424" s="298">
        <v>283</v>
      </c>
      <c r="AA1424" s="299">
        <v>999</v>
      </c>
      <c r="AB1424" s="299">
        <v>1415</v>
      </c>
      <c r="AC1424" s="301">
        <v>127.89060887262001</v>
      </c>
      <c r="AD1424" s="301">
        <v>2052919.686048476</v>
      </c>
      <c r="AE1424" s="126"/>
      <c r="AF1424" s="298"/>
      <c r="AG1424" s="299"/>
      <c r="AH1424" s="299"/>
      <c r="AI1424" s="301"/>
      <c r="AJ1424" s="301"/>
      <c r="AK1424" s="426"/>
      <c r="AL1424" s="298"/>
      <c r="AM1424" s="299"/>
      <c r="AN1424" s="299"/>
      <c r="AO1424" s="301"/>
      <c r="AP1424" s="301"/>
      <c r="AQ1424" s="426"/>
      <c r="AR1424" s="298"/>
      <c r="AS1424" s="299"/>
      <c r="AT1424" s="299"/>
      <c r="AU1424" s="301"/>
      <c r="AV1424" s="301"/>
      <c r="AW1424" s="91"/>
      <c r="AX1424" s="298"/>
      <c r="AY1424" s="299"/>
      <c r="AZ1424" s="299"/>
      <c r="BA1424" s="301"/>
      <c r="BB1424" s="301"/>
      <c r="BC1424" s="426"/>
      <c r="BD1424" s="298"/>
      <c r="BE1424" s="299"/>
      <c r="BF1424" s="299"/>
      <c r="BG1424" s="301"/>
      <c r="BH1424" s="301"/>
      <c r="BI1424" s="91"/>
      <c r="BJ1424" s="298"/>
      <c r="BK1424" s="299"/>
      <c r="BL1424" s="299"/>
      <c r="BM1424" s="301"/>
      <c r="BN1424" s="301"/>
      <c r="BO1424" s="91"/>
      <c r="BP1424" s="9"/>
      <c r="BS1424" s="81"/>
      <c r="BT1424" s="81"/>
      <c r="BV1424" s="9"/>
      <c r="BY1424" s="81"/>
      <c r="BZ1424" s="81"/>
      <c r="CB1424" s="9"/>
      <c r="CE1424" s="81"/>
      <c r="CF1424" s="81"/>
      <c r="CH1424" s="9"/>
      <c r="CK1424" s="81"/>
      <c r="CL1424" s="81"/>
      <c r="CR1424" s="9"/>
      <c r="CS1424" s="9"/>
      <c r="CT1424" s="9"/>
      <c r="CU1424" s="9"/>
      <c r="CV1424" s="9"/>
      <c r="CW1424" s="129"/>
      <c r="CX1424" s="9"/>
    </row>
    <row r="1425" spans="1:102">
      <c r="A1425" s="6" t="str">
        <f t="shared" si="221"/>
        <v>02840284</v>
      </c>
      <c r="B1425" s="6" t="s">
        <v>1934</v>
      </c>
      <c r="C1425" s="6" t="s">
        <v>1934</v>
      </c>
      <c r="D1425" s="6">
        <v>1416</v>
      </c>
      <c r="E1425" s="6">
        <v>284</v>
      </c>
      <c r="F1425" s="6" t="s">
        <v>1402</v>
      </c>
      <c r="G1425" s="6">
        <v>284</v>
      </c>
      <c r="H1425" s="6" t="s">
        <v>965</v>
      </c>
      <c r="I1425" s="33">
        <v>32165599.711240005</v>
      </c>
      <c r="J1425" s="88">
        <v>0.95233079471939075</v>
      </c>
      <c r="K1425" s="89">
        <f>X1425</f>
        <v>33190354.091199998</v>
      </c>
      <c r="L1425" s="88">
        <f>IF(K1429&gt;0, K1425/K1429, 0)</f>
        <v>0.951003772974919</v>
      </c>
      <c r="M1425" s="58"/>
      <c r="N1425" s="9">
        <f>ROUND(M1429*L1425,0)</f>
        <v>26075035</v>
      </c>
      <c r="O1425" s="9">
        <v>24905971</v>
      </c>
      <c r="P1425" s="9">
        <f>N1425-O1425</f>
        <v>1169064</v>
      </c>
      <c r="Q1425" s="40">
        <f t="shared" si="229"/>
        <v>4.6939105485989687</v>
      </c>
      <c r="R1425" s="9">
        <v>2425</v>
      </c>
      <c r="S1425" s="9">
        <f t="shared" si="227"/>
        <v>2456</v>
      </c>
      <c r="T1425" s="90">
        <f t="shared" si="222"/>
        <v>284</v>
      </c>
      <c r="U1425" s="90">
        <f t="shared" si="223"/>
        <v>284</v>
      </c>
      <c r="V1425" s="373">
        <f t="shared" si="224"/>
        <v>1416</v>
      </c>
      <c r="W1425" s="90">
        <f t="shared" si="225"/>
        <v>2456</v>
      </c>
      <c r="X1425" s="90">
        <f t="shared" si="226"/>
        <v>33190354.091199998</v>
      </c>
      <c r="Y1425" s="141">
        <f t="shared" si="228"/>
        <v>1416</v>
      </c>
      <c r="Z1425" s="298">
        <v>284</v>
      </c>
      <c r="AA1425" s="299">
        <v>284</v>
      </c>
      <c r="AB1425" s="299">
        <v>1416</v>
      </c>
      <c r="AC1425" s="301">
        <v>2456</v>
      </c>
      <c r="AD1425" s="301">
        <v>33190354.091199998</v>
      </c>
      <c r="AE1425" s="126"/>
      <c r="AF1425" s="298"/>
      <c r="AG1425" s="299"/>
      <c r="AH1425" s="299"/>
      <c r="AI1425" s="301"/>
      <c r="AJ1425" s="301"/>
      <c r="AK1425" s="426"/>
      <c r="AL1425" s="298"/>
      <c r="AM1425" s="299"/>
      <c r="AN1425" s="299"/>
      <c r="AO1425" s="301"/>
      <c r="AP1425" s="301"/>
      <c r="AQ1425" s="426"/>
      <c r="AR1425" s="298"/>
      <c r="AS1425" s="299"/>
      <c r="AT1425" s="299"/>
      <c r="AU1425" s="301"/>
      <c r="AV1425" s="301"/>
      <c r="AW1425" s="88"/>
      <c r="AX1425" s="298"/>
      <c r="AY1425" s="299"/>
      <c r="AZ1425" s="299"/>
      <c r="BA1425" s="301"/>
      <c r="BB1425" s="301"/>
      <c r="BC1425" s="426"/>
      <c r="BD1425" s="298"/>
      <c r="BE1425" s="299"/>
      <c r="BF1425" s="299"/>
      <c r="BG1425" s="301"/>
      <c r="BH1425" s="301"/>
      <c r="BI1425" s="88"/>
      <c r="BJ1425" s="298"/>
      <c r="BK1425" s="299"/>
      <c r="BL1425" s="299"/>
      <c r="BM1425" s="301"/>
      <c r="BN1425" s="301"/>
      <c r="BO1425" s="88"/>
      <c r="BP1425" s="9"/>
      <c r="BS1425" s="81"/>
      <c r="BT1425" s="81"/>
      <c r="BV1425" s="9"/>
      <c r="BY1425" s="81"/>
      <c r="BZ1425" s="81"/>
      <c r="CB1425" s="9"/>
      <c r="CE1425" s="81"/>
      <c r="CF1425" s="81"/>
      <c r="CH1425" s="9"/>
      <c r="CK1425" s="81"/>
      <c r="CL1425" s="81"/>
      <c r="CR1425" s="9"/>
      <c r="CS1425" s="9"/>
      <c r="CT1425" s="9"/>
      <c r="CU1425" s="9"/>
      <c r="CV1425" s="9"/>
      <c r="CW1425" s="129"/>
      <c r="CX1425" s="9"/>
    </row>
    <row r="1426" spans="1:102">
      <c r="A1426" s="6" t="str">
        <f t="shared" si="221"/>
        <v>02840853</v>
      </c>
      <c r="B1426" s="6" t="s">
        <v>1934</v>
      </c>
      <c r="C1426" s="6" t="s">
        <v>2078</v>
      </c>
      <c r="D1426" s="6">
        <v>1417</v>
      </c>
      <c r="E1426" s="6">
        <v>284</v>
      </c>
      <c r="F1426" s="6" t="s">
        <v>1402</v>
      </c>
      <c r="G1426" s="6">
        <v>853</v>
      </c>
      <c r="H1426" s="6" t="s">
        <v>1108</v>
      </c>
      <c r="I1426" s="33">
        <v>1610058.7990130049</v>
      </c>
      <c r="J1426" s="88">
        <v>4.7669205280609167E-2</v>
      </c>
      <c r="K1426" s="89">
        <f t="shared" si="220"/>
        <v>1709984.9341377458</v>
      </c>
      <c r="L1426" s="88">
        <f>IF(K1429&gt;0, K1426/K1429, 0)</f>
        <v>4.8996227025081107E-2</v>
      </c>
      <c r="M1426" s="58"/>
      <c r="N1426" s="9">
        <f>ROUND(M1429*L1426,0)</f>
        <v>1343400</v>
      </c>
      <c r="O1426" s="9">
        <v>1246676</v>
      </c>
      <c r="P1426" s="9">
        <f>N1426-O1426</f>
        <v>96724</v>
      </c>
      <c r="Q1426" s="40">
        <f t="shared" si="229"/>
        <v>7.7585515402558487</v>
      </c>
      <c r="R1426" s="9">
        <v>69.999999995659991</v>
      </c>
      <c r="S1426" s="9">
        <f t="shared" si="227"/>
        <v>71.999999995950006</v>
      </c>
      <c r="T1426" s="90">
        <f t="shared" si="222"/>
        <v>284</v>
      </c>
      <c r="U1426" s="90">
        <f t="shared" si="223"/>
        <v>853</v>
      </c>
      <c r="V1426" s="373">
        <f t="shared" si="224"/>
        <v>1417</v>
      </c>
      <c r="W1426" s="90">
        <f t="shared" si="225"/>
        <v>71.999999995950006</v>
      </c>
      <c r="X1426" s="90">
        <f t="shared" si="226"/>
        <v>1709984.9341377458</v>
      </c>
      <c r="Y1426" s="141">
        <f t="shared" si="228"/>
        <v>1417</v>
      </c>
      <c r="Z1426" s="298">
        <v>284</v>
      </c>
      <c r="AA1426" s="299">
        <v>853</v>
      </c>
      <c r="AB1426" s="299">
        <v>1417</v>
      </c>
      <c r="AC1426" s="301">
        <v>71.999999995950006</v>
      </c>
      <c r="AD1426" s="301">
        <v>1709984.9341377458</v>
      </c>
      <c r="AE1426" s="126"/>
      <c r="AF1426" s="298"/>
      <c r="AG1426" s="299"/>
      <c r="AH1426" s="299"/>
      <c r="AI1426" s="301"/>
      <c r="AJ1426" s="301"/>
      <c r="AK1426" s="426"/>
      <c r="AL1426" s="298"/>
      <c r="AM1426" s="299"/>
      <c r="AN1426" s="299"/>
      <c r="AO1426" s="301"/>
      <c r="AP1426" s="301"/>
      <c r="AQ1426" s="426"/>
      <c r="AR1426" s="298"/>
      <c r="AS1426" s="299"/>
      <c r="AT1426" s="299"/>
      <c r="AU1426" s="301"/>
      <c r="AV1426" s="301"/>
      <c r="AW1426" s="88"/>
      <c r="AX1426" s="298"/>
      <c r="AY1426" s="299"/>
      <c r="AZ1426" s="299"/>
      <c r="BA1426" s="301"/>
      <c r="BB1426" s="301"/>
      <c r="BC1426" s="426"/>
      <c r="BD1426" s="298"/>
      <c r="BE1426" s="299"/>
      <c r="BF1426" s="299"/>
      <c r="BG1426" s="301"/>
      <c r="BH1426" s="301"/>
      <c r="BI1426" s="88"/>
      <c r="BJ1426" s="298"/>
      <c r="BK1426" s="299"/>
      <c r="BL1426" s="299"/>
      <c r="BM1426" s="301"/>
      <c r="BN1426" s="301"/>
      <c r="BO1426" s="88"/>
      <c r="BP1426" s="9"/>
      <c r="BS1426" s="81"/>
      <c r="BT1426" s="81"/>
      <c r="BV1426" s="9"/>
      <c r="BY1426" s="81"/>
      <c r="BZ1426" s="81"/>
      <c r="CB1426" s="9"/>
      <c r="CE1426" s="81"/>
      <c r="CF1426" s="81"/>
      <c r="CH1426" s="9"/>
      <c r="CK1426" s="81"/>
      <c r="CL1426" s="81"/>
      <c r="CR1426" s="9"/>
      <c r="CS1426" s="9"/>
      <c r="CT1426" s="9"/>
      <c r="CU1426" s="9"/>
      <c r="CV1426" s="9"/>
      <c r="CW1426" s="129"/>
      <c r="CX1426" s="9"/>
    </row>
    <row r="1427" spans="1:102">
      <c r="A1427" s="6" t="str">
        <f t="shared" si="221"/>
        <v>02840998</v>
      </c>
      <c r="B1427" s="6" t="s">
        <v>1934</v>
      </c>
      <c r="C1427" s="6" t="s">
        <v>2091</v>
      </c>
      <c r="D1427" s="6">
        <v>1418</v>
      </c>
      <c r="E1427" s="6">
        <v>284</v>
      </c>
      <c r="F1427" s="6" t="s">
        <v>1547</v>
      </c>
      <c r="G1427" s="6">
        <v>998</v>
      </c>
      <c r="I1427" s="33">
        <v>0</v>
      </c>
      <c r="J1427" s="88">
        <v>0</v>
      </c>
      <c r="K1427" s="89">
        <f t="shared" si="220"/>
        <v>0</v>
      </c>
      <c r="L1427" s="88">
        <f>IF(K1429&gt;0, K1427/K1429, 0)</f>
        <v>0</v>
      </c>
      <c r="M1427" s="58"/>
      <c r="N1427" s="9">
        <f>ROUND(M1429*L1427,0)</f>
        <v>0</v>
      </c>
      <c r="O1427" s="9">
        <v>0</v>
      </c>
      <c r="P1427" s="9">
        <f>N1427-O1427</f>
        <v>0</v>
      </c>
      <c r="Q1427" s="40">
        <f t="shared" si="229"/>
        <v>0</v>
      </c>
      <c r="R1427" s="9">
        <v>0</v>
      </c>
      <c r="S1427" s="9">
        <f t="shared" si="227"/>
        <v>0</v>
      </c>
      <c r="T1427" s="90">
        <f t="shared" si="222"/>
        <v>284</v>
      </c>
      <c r="U1427" s="90">
        <f t="shared" si="223"/>
        <v>998</v>
      </c>
      <c r="V1427" s="373">
        <f t="shared" si="224"/>
        <v>1418</v>
      </c>
      <c r="W1427" s="90">
        <f t="shared" si="225"/>
        <v>0</v>
      </c>
      <c r="X1427" s="90">
        <f t="shared" si="226"/>
        <v>0</v>
      </c>
      <c r="Y1427" s="141">
        <f t="shared" si="228"/>
        <v>1418</v>
      </c>
      <c r="Z1427" s="298">
        <v>284</v>
      </c>
      <c r="AA1427" s="299">
        <v>998</v>
      </c>
      <c r="AB1427" s="299">
        <v>1418</v>
      </c>
      <c r="AC1427" s="301">
        <v>0</v>
      </c>
      <c r="AD1427" s="301">
        <v>0</v>
      </c>
      <c r="AE1427" s="126"/>
      <c r="AF1427" s="298"/>
      <c r="AG1427" s="299"/>
      <c r="AH1427" s="299"/>
      <c r="AI1427" s="301"/>
      <c r="AJ1427" s="301"/>
      <c r="AK1427" s="426"/>
      <c r="AL1427" s="298"/>
      <c r="AM1427" s="299"/>
      <c r="AN1427" s="299"/>
      <c r="AO1427" s="301"/>
      <c r="AP1427" s="301"/>
      <c r="AQ1427" s="426"/>
      <c r="AR1427" s="298"/>
      <c r="AS1427" s="299"/>
      <c r="AT1427" s="299"/>
      <c r="AU1427" s="301"/>
      <c r="AV1427" s="301"/>
      <c r="AW1427" s="88"/>
      <c r="AX1427" s="298"/>
      <c r="AY1427" s="299"/>
      <c r="AZ1427" s="299"/>
      <c r="BA1427" s="301"/>
      <c r="BB1427" s="301"/>
      <c r="BC1427" s="426"/>
      <c r="BD1427" s="298"/>
      <c r="BE1427" s="299"/>
      <c r="BF1427" s="299"/>
      <c r="BG1427" s="301"/>
      <c r="BH1427" s="301"/>
      <c r="BI1427" s="88"/>
      <c r="BJ1427" s="298"/>
      <c r="BK1427" s="299"/>
      <c r="BL1427" s="299"/>
      <c r="BM1427" s="301"/>
      <c r="BN1427" s="301"/>
      <c r="BO1427" s="88"/>
      <c r="BP1427" s="9"/>
      <c r="BS1427" s="81"/>
      <c r="BT1427" s="81"/>
      <c r="BV1427" s="9"/>
      <c r="BY1427" s="81"/>
      <c r="BZ1427" s="81"/>
      <c r="CB1427" s="9"/>
      <c r="CE1427" s="81"/>
      <c r="CF1427" s="81"/>
      <c r="CH1427" s="9"/>
      <c r="CK1427" s="81"/>
      <c r="CL1427" s="81"/>
      <c r="CR1427" s="9"/>
      <c r="CS1427" s="9"/>
      <c r="CT1427" s="9"/>
      <c r="CU1427" s="9"/>
      <c r="CV1427" s="9"/>
      <c r="CW1427" s="129"/>
      <c r="CX1427" s="9"/>
    </row>
    <row r="1428" spans="1:102">
      <c r="A1428" s="6" t="str">
        <f t="shared" si="221"/>
        <v>02840998</v>
      </c>
      <c r="B1428" s="6" t="s">
        <v>1934</v>
      </c>
      <c r="C1428" s="6" t="s">
        <v>2091</v>
      </c>
      <c r="D1428" s="6">
        <v>1419</v>
      </c>
      <c r="E1428" s="6">
        <v>284</v>
      </c>
      <c r="F1428" s="6" t="s">
        <v>1547</v>
      </c>
      <c r="G1428" s="6">
        <v>998</v>
      </c>
      <c r="H1428" s="6" t="s">
        <v>1547</v>
      </c>
      <c r="I1428" s="33">
        <v>0</v>
      </c>
      <c r="J1428" s="88">
        <v>0</v>
      </c>
      <c r="K1428" s="89">
        <f t="shared" si="220"/>
        <v>0</v>
      </c>
      <c r="L1428" s="88">
        <f>IF(K1429&gt;0, K1428/K1429, 0)</f>
        <v>0</v>
      </c>
      <c r="M1428" s="58"/>
      <c r="N1428" s="9">
        <f>ROUND(M1429*L1428,0)</f>
        <v>0</v>
      </c>
      <c r="O1428" s="9">
        <v>0</v>
      </c>
      <c r="P1428" s="9">
        <f>N1428-O1428</f>
        <v>0</v>
      </c>
      <c r="Q1428" s="40">
        <f t="shared" si="229"/>
        <v>0</v>
      </c>
      <c r="R1428" s="9">
        <v>0</v>
      </c>
      <c r="S1428" s="9">
        <f t="shared" si="227"/>
        <v>0</v>
      </c>
      <c r="T1428" s="90">
        <f t="shared" si="222"/>
        <v>284</v>
      </c>
      <c r="U1428" s="90">
        <f t="shared" si="223"/>
        <v>998</v>
      </c>
      <c r="V1428" s="373">
        <f t="shared" si="224"/>
        <v>1419</v>
      </c>
      <c r="W1428" s="90">
        <f t="shared" si="225"/>
        <v>0</v>
      </c>
      <c r="X1428" s="90">
        <f t="shared" si="226"/>
        <v>0</v>
      </c>
      <c r="Y1428" s="141">
        <f t="shared" si="228"/>
        <v>1419</v>
      </c>
      <c r="Z1428" s="298">
        <v>284</v>
      </c>
      <c r="AA1428" s="299">
        <v>998</v>
      </c>
      <c r="AB1428" s="299">
        <v>1419</v>
      </c>
      <c r="AC1428" s="301">
        <v>0</v>
      </c>
      <c r="AD1428" s="301">
        <v>0</v>
      </c>
      <c r="AE1428" s="126"/>
      <c r="AF1428" s="298"/>
      <c r="AG1428" s="299"/>
      <c r="AH1428" s="299"/>
      <c r="AI1428" s="301"/>
      <c r="AJ1428" s="301"/>
      <c r="AK1428" s="426"/>
      <c r="AL1428" s="298"/>
      <c r="AM1428" s="299"/>
      <c r="AN1428" s="299"/>
      <c r="AO1428" s="301"/>
      <c r="AP1428" s="301"/>
      <c r="AQ1428" s="426"/>
      <c r="AR1428" s="298"/>
      <c r="AS1428" s="299"/>
      <c r="AT1428" s="299"/>
      <c r="AU1428" s="301"/>
      <c r="AV1428" s="301"/>
      <c r="AW1428" s="88"/>
      <c r="AX1428" s="298"/>
      <c r="AY1428" s="299"/>
      <c r="AZ1428" s="299"/>
      <c r="BA1428" s="301"/>
      <c r="BB1428" s="301"/>
      <c r="BC1428" s="426"/>
      <c r="BD1428" s="298"/>
      <c r="BE1428" s="299"/>
      <c r="BF1428" s="299"/>
      <c r="BG1428" s="301"/>
      <c r="BH1428" s="301"/>
      <c r="BI1428" s="88"/>
      <c r="BJ1428" s="298"/>
      <c r="BK1428" s="299"/>
      <c r="BL1428" s="299"/>
      <c r="BM1428" s="301"/>
      <c r="BN1428" s="301"/>
      <c r="BO1428" s="88"/>
      <c r="BP1428" s="9"/>
      <c r="BS1428" s="81"/>
      <c r="BT1428" s="81"/>
      <c r="BV1428" s="9"/>
      <c r="BY1428" s="81"/>
      <c r="BZ1428" s="81"/>
      <c r="CB1428" s="9"/>
      <c r="CE1428" s="81"/>
      <c r="CF1428" s="81"/>
      <c r="CH1428" s="9"/>
      <c r="CK1428" s="81"/>
      <c r="CL1428" s="81"/>
      <c r="CR1428" s="9"/>
      <c r="CS1428" s="9"/>
      <c r="CT1428" s="9"/>
      <c r="CU1428" s="9"/>
      <c r="CV1428" s="9"/>
      <c r="CW1428" s="129"/>
      <c r="CX1428" s="9"/>
    </row>
    <row r="1429" spans="1:102">
      <c r="A1429" s="6" t="str">
        <f t="shared" si="221"/>
        <v>02840999</v>
      </c>
      <c r="B1429" s="6" t="s">
        <v>1934</v>
      </c>
      <c r="C1429" s="6" t="s">
        <v>2092</v>
      </c>
      <c r="D1429" s="6">
        <v>1420</v>
      </c>
      <c r="E1429" s="10">
        <v>284</v>
      </c>
      <c r="F1429" s="10" t="s">
        <v>1402</v>
      </c>
      <c r="G1429" s="10">
        <v>999</v>
      </c>
      <c r="H1429" s="10" t="s">
        <v>593</v>
      </c>
      <c r="I1429" s="92">
        <v>33775658.510253012</v>
      </c>
      <c r="J1429" s="472">
        <v>0.99999999999999989</v>
      </c>
      <c r="K1429" s="53">
        <f>SUM(K1425:K1428)</f>
        <v>34900339.025337741</v>
      </c>
      <c r="L1429" s="91">
        <f>SUM(L1425:L1428)</f>
        <v>1</v>
      </c>
      <c r="M1429" s="79">
        <f>VLOOKUP(E1429,town351,24)</f>
        <v>27418435</v>
      </c>
      <c r="N1429" s="79">
        <f>SUM(N1425:N1428)</f>
        <v>27418435</v>
      </c>
      <c r="O1429" s="79">
        <v>26152647</v>
      </c>
      <c r="P1429" s="79">
        <f>SUM(P1425:P1428)</f>
        <v>1265788</v>
      </c>
      <c r="Q1429" s="39">
        <f t="shared" si="229"/>
        <v>4.839999561038697</v>
      </c>
      <c r="R1429" s="9">
        <v>2494.9999999956599</v>
      </c>
      <c r="S1429" s="9">
        <f t="shared" si="227"/>
        <v>2527.99999999595</v>
      </c>
      <c r="T1429" s="90">
        <f t="shared" si="222"/>
        <v>284</v>
      </c>
      <c r="U1429" s="90">
        <f t="shared" si="223"/>
        <v>999</v>
      </c>
      <c r="V1429" s="373">
        <f t="shared" si="224"/>
        <v>1420</v>
      </c>
      <c r="W1429" s="90">
        <f t="shared" si="225"/>
        <v>2527.99999999595</v>
      </c>
      <c r="X1429" s="90">
        <f t="shared" si="226"/>
        <v>34900339.025337741</v>
      </c>
      <c r="Y1429" s="141">
        <f t="shared" si="228"/>
        <v>1420</v>
      </c>
      <c r="Z1429" s="298">
        <v>284</v>
      </c>
      <c r="AA1429" s="299">
        <v>999</v>
      </c>
      <c r="AB1429" s="299">
        <v>1420</v>
      </c>
      <c r="AC1429" s="301">
        <v>2527.99999999595</v>
      </c>
      <c r="AD1429" s="301">
        <v>34900339.025337741</v>
      </c>
      <c r="AE1429" s="126"/>
      <c r="AF1429" s="298"/>
      <c r="AG1429" s="299"/>
      <c r="AH1429" s="299"/>
      <c r="AI1429" s="301"/>
      <c r="AJ1429" s="301"/>
      <c r="AK1429" s="426"/>
      <c r="AL1429" s="298"/>
      <c r="AM1429" s="299"/>
      <c r="AN1429" s="299"/>
      <c r="AO1429" s="301"/>
      <c r="AP1429" s="301"/>
      <c r="AQ1429" s="426"/>
      <c r="AR1429" s="298"/>
      <c r="AS1429" s="299"/>
      <c r="AT1429" s="299"/>
      <c r="AU1429" s="301"/>
      <c r="AV1429" s="301"/>
      <c r="AW1429" s="91"/>
      <c r="AX1429" s="298"/>
      <c r="AY1429" s="299"/>
      <c r="AZ1429" s="299"/>
      <c r="BA1429" s="301"/>
      <c r="BB1429" s="301"/>
      <c r="BC1429" s="426"/>
      <c r="BD1429" s="298"/>
      <c r="BE1429" s="299"/>
      <c r="BF1429" s="299"/>
      <c r="BG1429" s="301"/>
      <c r="BH1429" s="301"/>
      <c r="BI1429" s="91"/>
      <c r="BJ1429" s="298"/>
      <c r="BK1429" s="299"/>
      <c r="BL1429" s="299"/>
      <c r="BM1429" s="301"/>
      <c r="BN1429" s="301"/>
      <c r="BO1429" s="91"/>
      <c r="BP1429" s="9"/>
      <c r="BS1429" s="81"/>
      <c r="BT1429" s="81"/>
      <c r="BV1429" s="9"/>
      <c r="BY1429" s="81"/>
      <c r="BZ1429" s="81"/>
      <c r="CB1429" s="9"/>
      <c r="CE1429" s="81"/>
      <c r="CF1429" s="81"/>
      <c r="CH1429" s="9"/>
      <c r="CK1429" s="81"/>
      <c r="CL1429" s="81"/>
      <c r="CR1429" s="9"/>
      <c r="CS1429" s="9"/>
      <c r="CT1429" s="9"/>
      <c r="CU1429" s="9"/>
      <c r="CV1429" s="9"/>
      <c r="CW1429" s="129"/>
      <c r="CX1429" s="9"/>
    </row>
    <row r="1430" spans="1:102">
      <c r="A1430" s="6" t="str">
        <f t="shared" si="221"/>
        <v>02850285</v>
      </c>
      <c r="B1430" s="6" t="s">
        <v>1935</v>
      </c>
      <c r="C1430" s="6" t="s">
        <v>1935</v>
      </c>
      <c r="D1430" s="6">
        <v>1421</v>
      </c>
      <c r="E1430" s="6">
        <v>285</v>
      </c>
      <c r="F1430" s="6" t="s">
        <v>1403</v>
      </c>
      <c r="G1430" s="6">
        <v>285</v>
      </c>
      <c r="H1430" s="6" t="s">
        <v>966</v>
      </c>
      <c r="I1430" s="33">
        <v>56987020.295979992</v>
      </c>
      <c r="J1430" s="88">
        <v>0.95321439279433784</v>
      </c>
      <c r="K1430" s="89">
        <f>X1430</f>
        <v>60534150.371639997</v>
      </c>
      <c r="L1430" s="88">
        <f>IF(K1434&gt;0, K1430/K1434, 0)</f>
        <v>0.95574373570746685</v>
      </c>
      <c r="M1430" s="58"/>
      <c r="N1430" s="9">
        <f>ROUND(M1434*L1430,0)</f>
        <v>31939620</v>
      </c>
      <c r="O1430" s="9">
        <v>30547654</v>
      </c>
      <c r="P1430" s="9">
        <f>N1430-O1430</f>
        <v>1391966</v>
      </c>
      <c r="Q1430" s="40">
        <f t="shared" si="229"/>
        <v>4.556703437848288</v>
      </c>
      <c r="R1430" s="9">
        <v>3693</v>
      </c>
      <c r="S1430" s="9">
        <f t="shared" si="227"/>
        <v>3781</v>
      </c>
      <c r="T1430" s="90">
        <f t="shared" si="222"/>
        <v>285</v>
      </c>
      <c r="U1430" s="90">
        <f t="shared" si="223"/>
        <v>285</v>
      </c>
      <c r="V1430" s="373">
        <f t="shared" si="224"/>
        <v>1421</v>
      </c>
      <c r="W1430" s="90">
        <f t="shared" si="225"/>
        <v>3781</v>
      </c>
      <c r="X1430" s="90">
        <f t="shared" si="226"/>
        <v>60534150.371639997</v>
      </c>
      <c r="Y1430" s="141">
        <f t="shared" si="228"/>
        <v>1421</v>
      </c>
      <c r="Z1430" s="298">
        <v>285</v>
      </c>
      <c r="AA1430" s="299">
        <v>285</v>
      </c>
      <c r="AB1430" s="299">
        <v>1421</v>
      </c>
      <c r="AC1430" s="301">
        <v>3781</v>
      </c>
      <c r="AD1430" s="301">
        <v>60534150.371639997</v>
      </c>
      <c r="AE1430" s="126"/>
      <c r="AF1430" s="298"/>
      <c r="AG1430" s="299"/>
      <c r="AH1430" s="299"/>
      <c r="AI1430" s="301"/>
      <c r="AJ1430" s="301"/>
      <c r="AK1430" s="426"/>
      <c r="AL1430" s="298"/>
      <c r="AM1430" s="299"/>
      <c r="AN1430" s="299"/>
      <c r="AO1430" s="301"/>
      <c r="AP1430" s="301"/>
      <c r="AQ1430" s="426"/>
      <c r="AR1430" s="298"/>
      <c r="AS1430" s="299"/>
      <c r="AT1430" s="299"/>
      <c r="AU1430" s="301"/>
      <c r="AV1430" s="301"/>
      <c r="AW1430" s="88"/>
      <c r="AX1430" s="298"/>
      <c r="AY1430" s="299"/>
      <c r="AZ1430" s="299"/>
      <c r="BA1430" s="301"/>
      <c r="BB1430" s="301"/>
      <c r="BC1430" s="426"/>
      <c r="BD1430" s="298"/>
      <c r="BE1430" s="299"/>
      <c r="BF1430" s="299"/>
      <c r="BG1430" s="301"/>
      <c r="BH1430" s="301"/>
      <c r="BI1430" s="88"/>
      <c r="BJ1430" s="298"/>
      <c r="BK1430" s="299"/>
      <c r="BL1430" s="299"/>
      <c r="BM1430" s="301"/>
      <c r="BN1430" s="301"/>
      <c r="BO1430" s="88"/>
      <c r="BP1430" s="9"/>
      <c r="BS1430" s="81"/>
      <c r="BT1430" s="81"/>
      <c r="BV1430" s="9"/>
      <c r="BY1430" s="81"/>
      <c r="BZ1430" s="81"/>
      <c r="CB1430" s="9"/>
      <c r="CE1430" s="81"/>
      <c r="CF1430" s="81"/>
      <c r="CH1430" s="9"/>
      <c r="CK1430" s="81"/>
      <c r="CL1430" s="81"/>
      <c r="CR1430" s="9"/>
      <c r="CS1430" s="9"/>
      <c r="CT1430" s="9"/>
      <c r="CU1430" s="9"/>
      <c r="CV1430" s="9"/>
      <c r="CW1430" s="129"/>
      <c r="CX1430" s="9"/>
    </row>
    <row r="1431" spans="1:102">
      <c r="A1431" s="6" t="str">
        <f t="shared" si="221"/>
        <v>02850872</v>
      </c>
      <c r="B1431" s="6" t="s">
        <v>1935</v>
      </c>
      <c r="C1431" s="6" t="s">
        <v>2082</v>
      </c>
      <c r="D1431" s="6">
        <v>1422</v>
      </c>
      <c r="E1431" s="6">
        <v>285</v>
      </c>
      <c r="F1431" s="6" t="s">
        <v>1403</v>
      </c>
      <c r="G1431" s="6">
        <v>872</v>
      </c>
      <c r="H1431" s="6" t="s">
        <v>1112</v>
      </c>
      <c r="I1431" s="33">
        <v>2646346.4655043939</v>
      </c>
      <c r="J1431" s="88">
        <v>4.426508924554455E-2</v>
      </c>
      <c r="K1431" s="89">
        <f t="shared" si="220"/>
        <v>2692948.8477083463</v>
      </c>
      <c r="L1431" s="88">
        <f>IF(K1434&gt;0, K1431/K1434, 0)</f>
        <v>4.2517636342075324E-2</v>
      </c>
      <c r="M1431" s="58"/>
      <c r="N1431" s="9">
        <f>ROUND(M1434*L1431,0)</f>
        <v>1420880</v>
      </c>
      <c r="O1431" s="9">
        <v>1418563</v>
      </c>
      <c r="P1431" s="9">
        <f>N1431-O1431</f>
        <v>2317</v>
      </c>
      <c r="Q1431" s="40">
        <f t="shared" si="229"/>
        <v>0.16333430379898531</v>
      </c>
      <c r="R1431" s="9">
        <v>124.53251533431001</v>
      </c>
      <c r="S1431" s="9">
        <f t="shared" si="227"/>
        <v>123.22043010927001</v>
      </c>
      <c r="T1431" s="90">
        <f t="shared" si="222"/>
        <v>285</v>
      </c>
      <c r="U1431" s="90">
        <f t="shared" si="223"/>
        <v>872</v>
      </c>
      <c r="V1431" s="373">
        <f t="shared" si="224"/>
        <v>1422</v>
      </c>
      <c r="W1431" s="90">
        <f t="shared" si="225"/>
        <v>123.22043010927001</v>
      </c>
      <c r="X1431" s="90">
        <f t="shared" si="226"/>
        <v>2692948.8477083463</v>
      </c>
      <c r="Y1431" s="141">
        <f t="shared" si="228"/>
        <v>1422</v>
      </c>
      <c r="Z1431" s="298">
        <v>285</v>
      </c>
      <c r="AA1431" s="299">
        <v>872</v>
      </c>
      <c r="AB1431" s="299">
        <v>1422</v>
      </c>
      <c r="AC1431" s="301">
        <v>123.22043010927001</v>
      </c>
      <c r="AD1431" s="301">
        <v>2692948.8477083463</v>
      </c>
      <c r="AE1431" s="126"/>
      <c r="AF1431" s="298"/>
      <c r="AG1431" s="299"/>
      <c r="AH1431" s="299"/>
      <c r="AI1431" s="301"/>
      <c r="AJ1431" s="301"/>
      <c r="AK1431" s="426"/>
      <c r="AL1431" s="298"/>
      <c r="AM1431" s="299"/>
      <c r="AN1431" s="299"/>
      <c r="AO1431" s="301"/>
      <c r="AP1431" s="301"/>
      <c r="AQ1431" s="426"/>
      <c r="AR1431" s="298"/>
      <c r="AS1431" s="299"/>
      <c r="AT1431" s="299"/>
      <c r="AU1431" s="301"/>
      <c r="AV1431" s="301"/>
      <c r="AW1431" s="88"/>
      <c r="AX1431" s="298"/>
      <c r="AY1431" s="299"/>
      <c r="AZ1431" s="299"/>
      <c r="BA1431" s="301"/>
      <c r="BB1431" s="301"/>
      <c r="BC1431" s="426"/>
      <c r="BD1431" s="298"/>
      <c r="BE1431" s="299"/>
      <c r="BF1431" s="299"/>
      <c r="BG1431" s="301"/>
      <c r="BH1431" s="301"/>
      <c r="BI1431" s="88"/>
      <c r="BJ1431" s="298"/>
      <c r="BK1431" s="299"/>
      <c r="BL1431" s="299"/>
      <c r="BM1431" s="301"/>
      <c r="BN1431" s="301"/>
      <c r="BO1431" s="88"/>
      <c r="BP1431" s="9"/>
      <c r="BS1431" s="81"/>
      <c r="BT1431" s="81"/>
      <c r="BV1431" s="9"/>
      <c r="BY1431" s="81"/>
      <c r="BZ1431" s="81"/>
      <c r="CB1431" s="9"/>
      <c r="CE1431" s="81"/>
      <c r="CF1431" s="81"/>
      <c r="CH1431" s="9"/>
      <c r="CK1431" s="81"/>
      <c r="CL1431" s="81"/>
      <c r="CR1431" s="9"/>
      <c r="CS1431" s="9"/>
      <c r="CT1431" s="9"/>
      <c r="CU1431" s="9"/>
      <c r="CV1431" s="9"/>
      <c r="CW1431" s="129"/>
      <c r="CX1431" s="9"/>
    </row>
    <row r="1432" spans="1:102">
      <c r="A1432" s="6" t="str">
        <f t="shared" si="221"/>
        <v>02850915</v>
      </c>
      <c r="B1432" s="6" t="s">
        <v>1935</v>
      </c>
      <c r="C1432" s="6" t="s">
        <v>2089</v>
      </c>
      <c r="D1432" s="6">
        <v>1423</v>
      </c>
      <c r="E1432" s="6">
        <v>285</v>
      </c>
      <c r="F1432" s="6" t="s">
        <v>1403</v>
      </c>
      <c r="G1432" s="6">
        <v>915</v>
      </c>
      <c r="H1432" s="6" t="s">
        <v>1119</v>
      </c>
      <c r="I1432" s="33">
        <v>150686.780681665</v>
      </c>
      <c r="J1432" s="88">
        <v>2.5205179601176545E-3</v>
      </c>
      <c r="K1432" s="89">
        <f t="shared" si="220"/>
        <v>110119.85939457403</v>
      </c>
      <c r="L1432" s="88">
        <f>IF(K1434&gt;0, K1432/K1434, 0)</f>
        <v>1.7386279504578407E-3</v>
      </c>
      <c r="M1432" s="58"/>
      <c r="N1432" s="9">
        <f>ROUND(M1434*L1432,0)</f>
        <v>58103</v>
      </c>
      <c r="O1432" s="9">
        <v>80775</v>
      </c>
      <c r="P1432" s="9">
        <f>N1432-O1432</f>
        <v>-22672</v>
      </c>
      <c r="Q1432" s="40">
        <f t="shared" si="229"/>
        <v>-28.068090374497061</v>
      </c>
      <c r="R1432" s="9">
        <v>7.00000000007</v>
      </c>
      <c r="S1432" s="9">
        <f t="shared" si="227"/>
        <v>4.9999999993599999</v>
      </c>
      <c r="T1432" s="90">
        <f t="shared" si="222"/>
        <v>285</v>
      </c>
      <c r="U1432" s="90">
        <f t="shared" si="223"/>
        <v>915</v>
      </c>
      <c r="V1432" s="373">
        <f t="shared" si="224"/>
        <v>1423</v>
      </c>
      <c r="W1432" s="90">
        <f t="shared" si="225"/>
        <v>4.9999999993599999</v>
      </c>
      <c r="X1432" s="90">
        <f t="shared" si="226"/>
        <v>110119.85939457403</v>
      </c>
      <c r="Y1432" s="141">
        <f t="shared" si="228"/>
        <v>1423</v>
      </c>
      <c r="Z1432" s="298">
        <v>285</v>
      </c>
      <c r="AA1432" s="299">
        <v>915</v>
      </c>
      <c r="AB1432" s="299">
        <v>1423</v>
      </c>
      <c r="AC1432" s="301">
        <v>4.9999999993599999</v>
      </c>
      <c r="AD1432" s="301">
        <v>110119.85939457403</v>
      </c>
      <c r="AE1432" s="126"/>
      <c r="AF1432" s="298"/>
      <c r="AG1432" s="299"/>
      <c r="AH1432" s="299"/>
      <c r="AI1432" s="301"/>
      <c r="AJ1432" s="301"/>
      <c r="AK1432" s="426"/>
      <c r="AL1432" s="298"/>
      <c r="AM1432" s="299"/>
      <c r="AN1432" s="299"/>
      <c r="AO1432" s="301"/>
      <c r="AP1432" s="301"/>
      <c r="AQ1432" s="426"/>
      <c r="AR1432" s="298"/>
      <c r="AS1432" s="299"/>
      <c r="AT1432" s="299"/>
      <c r="AU1432" s="301"/>
      <c r="AV1432" s="301"/>
      <c r="AW1432" s="88"/>
      <c r="AX1432" s="298"/>
      <c r="AY1432" s="299"/>
      <c r="AZ1432" s="299"/>
      <c r="BA1432" s="301"/>
      <c r="BB1432" s="301"/>
      <c r="BC1432" s="426"/>
      <c r="BD1432" s="298"/>
      <c r="BE1432" s="299"/>
      <c r="BF1432" s="299"/>
      <c r="BG1432" s="301"/>
      <c r="BH1432" s="301"/>
      <c r="BI1432" s="88"/>
      <c r="BJ1432" s="298"/>
      <c r="BK1432" s="299"/>
      <c r="BL1432" s="299"/>
      <c r="BM1432" s="301"/>
      <c r="BN1432" s="301"/>
      <c r="BO1432" s="88"/>
      <c r="BP1432" s="9"/>
      <c r="BS1432" s="81"/>
      <c r="BT1432" s="81"/>
      <c r="BV1432" s="9"/>
      <c r="BY1432" s="81"/>
      <c r="BZ1432" s="81"/>
      <c r="CB1432" s="9"/>
      <c r="CE1432" s="81"/>
      <c r="CF1432" s="81"/>
      <c r="CH1432" s="9"/>
      <c r="CK1432" s="81"/>
      <c r="CL1432" s="81"/>
      <c r="CR1432" s="9"/>
      <c r="CS1432" s="9"/>
      <c r="CT1432" s="9"/>
      <c r="CU1432" s="9"/>
      <c r="CV1432" s="9"/>
      <c r="CW1432" s="129"/>
      <c r="CX1432" s="9"/>
    </row>
    <row r="1433" spans="1:102">
      <c r="A1433" s="6" t="str">
        <f t="shared" si="221"/>
        <v>02850998</v>
      </c>
      <c r="B1433" s="6" t="s">
        <v>1935</v>
      </c>
      <c r="C1433" s="6" t="s">
        <v>2091</v>
      </c>
      <c r="D1433" s="6">
        <v>1424</v>
      </c>
      <c r="E1433" s="6">
        <v>285</v>
      </c>
      <c r="F1433" s="6" t="s">
        <v>1547</v>
      </c>
      <c r="G1433" s="6">
        <v>998</v>
      </c>
      <c r="H1433" s="6" t="s">
        <v>1547</v>
      </c>
      <c r="I1433" s="33">
        <v>0</v>
      </c>
      <c r="J1433" s="88">
        <v>0</v>
      </c>
      <c r="K1433" s="89">
        <f t="shared" si="220"/>
        <v>0</v>
      </c>
      <c r="L1433" s="88">
        <f>IF(K1434&gt;0, K1433/K1434, 0)</f>
        <v>0</v>
      </c>
      <c r="M1433" s="58"/>
      <c r="N1433" s="9">
        <f>ROUND(M1434*L1433,0)</f>
        <v>0</v>
      </c>
      <c r="O1433" s="9">
        <v>0</v>
      </c>
      <c r="P1433" s="9">
        <f>N1433-O1433</f>
        <v>0</v>
      </c>
      <c r="Q1433" s="40">
        <f t="shared" si="229"/>
        <v>0</v>
      </c>
      <c r="R1433" s="9">
        <v>0</v>
      </c>
      <c r="S1433" s="9">
        <f t="shared" si="227"/>
        <v>0</v>
      </c>
      <c r="T1433" s="90">
        <f t="shared" si="222"/>
        <v>285</v>
      </c>
      <c r="U1433" s="90">
        <f t="shared" si="223"/>
        <v>998</v>
      </c>
      <c r="V1433" s="373">
        <f t="shared" si="224"/>
        <v>1424</v>
      </c>
      <c r="W1433" s="90">
        <f t="shared" si="225"/>
        <v>0</v>
      </c>
      <c r="X1433" s="90">
        <f t="shared" si="226"/>
        <v>0</v>
      </c>
      <c r="Y1433" s="141">
        <f t="shared" si="228"/>
        <v>1424</v>
      </c>
      <c r="Z1433" s="298">
        <v>285</v>
      </c>
      <c r="AA1433" s="299">
        <v>998</v>
      </c>
      <c r="AB1433" s="299">
        <v>1424</v>
      </c>
      <c r="AC1433" s="301">
        <v>0</v>
      </c>
      <c r="AD1433" s="301">
        <v>0</v>
      </c>
      <c r="AE1433" s="126"/>
      <c r="AF1433" s="298"/>
      <c r="AG1433" s="299"/>
      <c r="AH1433" s="299"/>
      <c r="AI1433" s="301"/>
      <c r="AJ1433" s="301"/>
      <c r="AK1433" s="426"/>
      <c r="AL1433" s="298"/>
      <c r="AM1433" s="299"/>
      <c r="AN1433" s="299"/>
      <c r="AO1433" s="301"/>
      <c r="AP1433" s="301"/>
      <c r="AQ1433" s="426"/>
      <c r="AR1433" s="298"/>
      <c r="AS1433" s="299"/>
      <c r="AT1433" s="299"/>
      <c r="AU1433" s="301"/>
      <c r="AV1433" s="301"/>
      <c r="AW1433" s="88"/>
      <c r="AX1433" s="298"/>
      <c r="AY1433" s="299"/>
      <c r="AZ1433" s="299"/>
      <c r="BA1433" s="301"/>
      <c r="BB1433" s="301"/>
      <c r="BC1433" s="426"/>
      <c r="BD1433" s="298"/>
      <c r="BE1433" s="299"/>
      <c r="BF1433" s="299"/>
      <c r="BG1433" s="301"/>
      <c r="BH1433" s="301"/>
      <c r="BI1433" s="88"/>
      <c r="BJ1433" s="298"/>
      <c r="BK1433" s="299"/>
      <c r="BL1433" s="299"/>
      <c r="BM1433" s="301"/>
      <c r="BN1433" s="301"/>
      <c r="BO1433" s="88"/>
      <c r="BP1433" s="9"/>
      <c r="BS1433" s="81"/>
      <c r="BT1433" s="81"/>
      <c r="BV1433" s="9"/>
      <c r="BY1433" s="81"/>
      <c r="BZ1433" s="81"/>
      <c r="CB1433" s="9"/>
      <c r="CE1433" s="81"/>
      <c r="CF1433" s="81"/>
      <c r="CH1433" s="9"/>
      <c r="CK1433" s="81"/>
      <c r="CL1433" s="81"/>
      <c r="CR1433" s="9"/>
      <c r="CS1433" s="9"/>
      <c r="CT1433" s="9"/>
      <c r="CU1433" s="9"/>
      <c r="CV1433" s="9"/>
      <c r="CW1433" s="129"/>
      <c r="CX1433" s="9"/>
    </row>
    <row r="1434" spans="1:102">
      <c r="A1434" s="6" t="str">
        <f t="shared" si="221"/>
        <v>02850999</v>
      </c>
      <c r="B1434" s="6" t="s">
        <v>1935</v>
      </c>
      <c r="C1434" s="6" t="s">
        <v>2092</v>
      </c>
      <c r="D1434" s="6">
        <v>1425</v>
      </c>
      <c r="E1434" s="10">
        <v>285</v>
      </c>
      <c r="F1434" s="10" t="s">
        <v>1403</v>
      </c>
      <c r="G1434" s="10">
        <v>999</v>
      </c>
      <c r="H1434" s="10" t="s">
        <v>593</v>
      </c>
      <c r="I1434" s="92">
        <v>59784053.542166047</v>
      </c>
      <c r="J1434" s="472">
        <v>1</v>
      </c>
      <c r="K1434" s="53">
        <f>SUM(K1430:K1433)</f>
        <v>63337219.078742914</v>
      </c>
      <c r="L1434" s="91">
        <f>SUM(L1430:L1433)</f>
        <v>1</v>
      </c>
      <c r="M1434" s="79">
        <f>VLOOKUP(E1434,town351,24)</f>
        <v>33418603</v>
      </c>
      <c r="N1434" s="79">
        <f>SUM(N1430:N1433)</f>
        <v>33418603</v>
      </c>
      <c r="O1434" s="79">
        <v>32046992</v>
      </c>
      <c r="P1434" s="79">
        <f>SUM(P1430:P1433)</f>
        <v>1371611</v>
      </c>
      <c r="Q1434" s="39">
        <f t="shared" si="229"/>
        <v>4.2799991961804089</v>
      </c>
      <c r="R1434" s="9">
        <v>3824.5325153343802</v>
      </c>
      <c r="S1434" s="9">
        <f t="shared" si="227"/>
        <v>3909.2204301086304</v>
      </c>
      <c r="T1434" s="90">
        <f t="shared" si="222"/>
        <v>285</v>
      </c>
      <c r="U1434" s="90">
        <f t="shared" si="223"/>
        <v>999</v>
      </c>
      <c r="V1434" s="373">
        <f t="shared" si="224"/>
        <v>1425</v>
      </c>
      <c r="W1434" s="90">
        <f t="shared" si="225"/>
        <v>3909.2204301086304</v>
      </c>
      <c r="X1434" s="90">
        <f t="shared" si="226"/>
        <v>63337219.078742914</v>
      </c>
      <c r="Y1434" s="141">
        <f t="shared" si="228"/>
        <v>1425</v>
      </c>
      <c r="Z1434" s="298">
        <v>285</v>
      </c>
      <c r="AA1434" s="299">
        <v>999</v>
      </c>
      <c r="AB1434" s="299">
        <v>1425</v>
      </c>
      <c r="AC1434" s="301">
        <v>3909.2204301086304</v>
      </c>
      <c r="AD1434" s="301">
        <v>63337219.078742914</v>
      </c>
      <c r="AE1434" s="126"/>
      <c r="AF1434" s="298"/>
      <c r="AG1434" s="299"/>
      <c r="AH1434" s="299"/>
      <c r="AI1434" s="301"/>
      <c r="AJ1434" s="301"/>
      <c r="AK1434" s="426"/>
      <c r="AL1434" s="298"/>
      <c r="AM1434" s="299"/>
      <c r="AN1434" s="299"/>
      <c r="AO1434" s="301"/>
      <c r="AP1434" s="301"/>
      <c r="AQ1434" s="426"/>
      <c r="AR1434" s="298"/>
      <c r="AS1434" s="299"/>
      <c r="AT1434" s="299"/>
      <c r="AU1434" s="301"/>
      <c r="AV1434" s="301"/>
      <c r="AW1434" s="91"/>
      <c r="AX1434" s="298"/>
      <c r="AY1434" s="299"/>
      <c r="AZ1434" s="299"/>
      <c r="BA1434" s="301"/>
      <c r="BB1434" s="301"/>
      <c r="BC1434" s="426"/>
      <c r="BD1434" s="298"/>
      <c r="BE1434" s="299"/>
      <c r="BF1434" s="299"/>
      <c r="BG1434" s="301"/>
      <c r="BH1434" s="301"/>
      <c r="BI1434" s="91"/>
      <c r="BJ1434" s="298"/>
      <c r="BK1434" s="299"/>
      <c r="BL1434" s="299"/>
      <c r="BM1434" s="301"/>
      <c r="BN1434" s="301"/>
      <c r="BO1434" s="91"/>
      <c r="BP1434" s="9"/>
      <c r="BS1434" s="81"/>
      <c r="BT1434" s="81"/>
      <c r="BV1434" s="9"/>
      <c r="BY1434" s="81"/>
      <c r="BZ1434" s="81"/>
      <c r="CB1434" s="9"/>
      <c r="CE1434" s="81"/>
      <c r="CF1434" s="81"/>
      <c r="CH1434" s="9"/>
      <c r="CK1434" s="81"/>
      <c r="CL1434" s="81"/>
      <c r="CR1434" s="9"/>
      <c r="CS1434" s="9"/>
      <c r="CT1434" s="9"/>
      <c r="CU1434" s="9"/>
      <c r="CV1434" s="9"/>
      <c r="CW1434" s="129"/>
      <c r="CX1434" s="9"/>
    </row>
    <row r="1435" spans="1:102">
      <c r="A1435" s="6" t="str">
        <f t="shared" si="221"/>
        <v>02860286</v>
      </c>
      <c r="B1435" s="6" t="s">
        <v>1936</v>
      </c>
      <c r="C1435" s="6" t="s">
        <v>1936</v>
      </c>
      <c r="D1435" s="6">
        <v>1426</v>
      </c>
      <c r="E1435" s="6">
        <v>286</v>
      </c>
      <c r="F1435" s="6" t="s">
        <v>1404</v>
      </c>
      <c r="G1435" s="6">
        <v>286</v>
      </c>
      <c r="H1435" s="6" t="s">
        <v>967</v>
      </c>
      <c r="I1435" s="33">
        <v>0</v>
      </c>
      <c r="J1435" s="88">
        <v>0</v>
      </c>
      <c r="K1435" s="89">
        <f>X1435</f>
        <v>0</v>
      </c>
      <c r="L1435" s="88">
        <f>IF(K1439&gt;0, K1435/K1439, 0)</f>
        <v>0</v>
      </c>
      <c r="M1435" s="58"/>
      <c r="N1435" s="9">
        <f>ROUND(M1439*L1435,0)</f>
        <v>0</v>
      </c>
      <c r="O1435" s="9">
        <v>0</v>
      </c>
      <c r="P1435" s="9">
        <f>N1435-O1435</f>
        <v>0</v>
      </c>
      <c r="Q1435" s="40">
        <f t="shared" si="229"/>
        <v>0</v>
      </c>
      <c r="R1435" s="9">
        <v>0</v>
      </c>
      <c r="S1435" s="9">
        <f t="shared" si="227"/>
        <v>0</v>
      </c>
      <c r="T1435" s="90">
        <f t="shared" si="222"/>
        <v>286</v>
      </c>
      <c r="U1435" s="90">
        <f t="shared" si="223"/>
        <v>286</v>
      </c>
      <c r="V1435" s="373">
        <f t="shared" si="224"/>
        <v>1426</v>
      </c>
      <c r="W1435" s="90">
        <f t="shared" si="225"/>
        <v>0</v>
      </c>
      <c r="X1435" s="90">
        <f t="shared" si="226"/>
        <v>0</v>
      </c>
      <c r="Y1435" s="141">
        <f t="shared" si="228"/>
        <v>1426</v>
      </c>
      <c r="Z1435" s="298">
        <v>286</v>
      </c>
      <c r="AA1435" s="299">
        <v>286</v>
      </c>
      <c r="AB1435" s="299">
        <v>1426</v>
      </c>
      <c r="AC1435" s="301">
        <v>0</v>
      </c>
      <c r="AD1435" s="301">
        <v>0</v>
      </c>
      <c r="AE1435" s="126"/>
      <c r="AF1435" s="298"/>
      <c r="AG1435" s="299"/>
      <c r="AH1435" s="299"/>
      <c r="AI1435" s="301"/>
      <c r="AJ1435" s="301"/>
      <c r="AK1435" s="426"/>
      <c r="AL1435" s="298"/>
      <c r="AM1435" s="299"/>
      <c r="AN1435" s="299"/>
      <c r="AO1435" s="301"/>
      <c r="AP1435" s="301"/>
      <c r="AQ1435" s="426"/>
      <c r="AR1435" s="298"/>
      <c r="AS1435" s="299"/>
      <c r="AT1435" s="299"/>
      <c r="AU1435" s="301"/>
      <c r="AV1435" s="301"/>
      <c r="AW1435" s="88"/>
      <c r="AX1435" s="298"/>
      <c r="AY1435" s="299"/>
      <c r="AZ1435" s="299"/>
      <c r="BA1435" s="301"/>
      <c r="BB1435" s="301"/>
      <c r="BC1435" s="426"/>
      <c r="BD1435" s="298"/>
      <c r="BE1435" s="299"/>
      <c r="BF1435" s="299"/>
      <c r="BG1435" s="301"/>
      <c r="BH1435" s="301"/>
      <c r="BI1435" s="88"/>
      <c r="BJ1435" s="298"/>
      <c r="BK1435" s="299"/>
      <c r="BL1435" s="299"/>
      <c r="BM1435" s="301"/>
      <c r="BN1435" s="301"/>
      <c r="BO1435" s="88"/>
      <c r="BP1435" s="9"/>
      <c r="BS1435" s="81"/>
      <c r="BT1435" s="81"/>
      <c r="BV1435" s="9"/>
      <c r="BY1435" s="81"/>
      <c r="BZ1435" s="81"/>
      <c r="CB1435" s="9"/>
      <c r="CE1435" s="81"/>
      <c r="CF1435" s="81"/>
      <c r="CH1435" s="9"/>
      <c r="CK1435" s="81"/>
      <c r="CL1435" s="81"/>
      <c r="CR1435" s="9"/>
      <c r="CS1435" s="9"/>
      <c r="CT1435" s="9"/>
      <c r="CU1435" s="9"/>
      <c r="CV1435" s="9"/>
      <c r="CW1435" s="129"/>
      <c r="CX1435" s="9"/>
    </row>
    <row r="1436" spans="1:102">
      <c r="A1436" s="6" t="str">
        <f t="shared" si="221"/>
        <v>02860725</v>
      </c>
      <c r="B1436" s="6" t="s">
        <v>1936</v>
      </c>
      <c r="C1436" s="6" t="s">
        <v>2042</v>
      </c>
      <c r="D1436" s="6">
        <v>1427</v>
      </c>
      <c r="E1436" s="6">
        <v>286</v>
      </c>
      <c r="F1436" s="6" t="s">
        <v>1404</v>
      </c>
      <c r="G1436" s="6">
        <v>725</v>
      </c>
      <c r="H1436" s="6" t="s">
        <v>1072</v>
      </c>
      <c r="I1436" s="33">
        <v>13539760.646481739</v>
      </c>
      <c r="J1436" s="88">
        <v>0.9089575011720048</v>
      </c>
      <c r="K1436" s="89">
        <f t="shared" si="220"/>
        <v>13539257.411027879</v>
      </c>
      <c r="L1436" s="88">
        <f>IF(K1439&gt;0, K1436/K1439, 0)</f>
        <v>0.9000418887380166</v>
      </c>
      <c r="M1436" s="58"/>
      <c r="N1436" s="9">
        <f>ROUND(M1439*L1436,0)</f>
        <v>11127584</v>
      </c>
      <c r="O1436" s="9">
        <v>10855691</v>
      </c>
      <c r="P1436" s="9">
        <f>N1436-O1436</f>
        <v>271893</v>
      </c>
      <c r="Q1436" s="40">
        <f t="shared" si="229"/>
        <v>2.5046125575976692</v>
      </c>
      <c r="R1436" s="9">
        <v>1082.8023551814299</v>
      </c>
      <c r="S1436" s="9">
        <f t="shared" si="227"/>
        <v>1054.5821325745201</v>
      </c>
      <c r="T1436" s="90">
        <f t="shared" si="222"/>
        <v>286</v>
      </c>
      <c r="U1436" s="90">
        <f t="shared" si="223"/>
        <v>725</v>
      </c>
      <c r="V1436" s="373">
        <f t="shared" si="224"/>
        <v>1427</v>
      </c>
      <c r="W1436" s="90">
        <f t="shared" si="225"/>
        <v>1054.5821325745201</v>
      </c>
      <c r="X1436" s="90">
        <f t="shared" si="226"/>
        <v>13539257.411027879</v>
      </c>
      <c r="Y1436" s="141">
        <f t="shared" si="228"/>
        <v>1427</v>
      </c>
      <c r="Z1436" s="298">
        <v>286</v>
      </c>
      <c r="AA1436" s="299">
        <v>725</v>
      </c>
      <c r="AB1436" s="299">
        <v>1427</v>
      </c>
      <c r="AC1436" s="301">
        <v>1054.5821325745201</v>
      </c>
      <c r="AD1436" s="301">
        <v>13539257.411027879</v>
      </c>
      <c r="AE1436" s="126"/>
      <c r="AF1436" s="298"/>
      <c r="AG1436" s="299"/>
      <c r="AH1436" s="299"/>
      <c r="AI1436" s="301"/>
      <c r="AJ1436" s="301"/>
      <c r="AK1436" s="426"/>
      <c r="AL1436" s="298"/>
      <c r="AM1436" s="299"/>
      <c r="AN1436" s="299"/>
      <c r="AO1436" s="301"/>
      <c r="AP1436" s="301"/>
      <c r="AQ1436" s="426"/>
      <c r="AR1436" s="298"/>
      <c r="AS1436" s="299"/>
      <c r="AT1436" s="299"/>
      <c r="AU1436" s="301"/>
      <c r="AV1436" s="301"/>
      <c r="AW1436" s="88"/>
      <c r="AX1436" s="298"/>
      <c r="AY1436" s="299"/>
      <c r="AZ1436" s="299"/>
      <c r="BA1436" s="301"/>
      <c r="BB1436" s="301"/>
      <c r="BC1436" s="426"/>
      <c r="BD1436" s="298"/>
      <c r="BE1436" s="299"/>
      <c r="BF1436" s="299"/>
      <c r="BG1436" s="301"/>
      <c r="BH1436" s="301"/>
      <c r="BI1436" s="88"/>
      <c r="BJ1436" s="298"/>
      <c r="BK1436" s="299"/>
      <c r="BL1436" s="299"/>
      <c r="BM1436" s="301"/>
      <c r="BN1436" s="301"/>
      <c r="BO1436" s="88"/>
      <c r="BP1436" s="9"/>
      <c r="BS1436" s="81"/>
      <c r="BT1436" s="81"/>
      <c r="BV1436" s="9"/>
      <c r="BY1436" s="81"/>
      <c r="BZ1436" s="81"/>
      <c r="CB1436" s="9"/>
      <c r="CE1436" s="81"/>
      <c r="CF1436" s="81"/>
      <c r="CH1436" s="9"/>
      <c r="CK1436" s="81"/>
      <c r="CL1436" s="81"/>
      <c r="CR1436" s="9"/>
      <c r="CS1436" s="9"/>
      <c r="CT1436" s="9"/>
      <c r="CU1436" s="9"/>
      <c r="CV1436" s="9"/>
      <c r="CW1436" s="129"/>
      <c r="CX1436" s="9"/>
    </row>
    <row r="1437" spans="1:102">
      <c r="A1437" s="6" t="str">
        <f t="shared" si="221"/>
        <v>02860830</v>
      </c>
      <c r="B1437" s="6" t="s">
        <v>1936</v>
      </c>
      <c r="C1437" s="6" t="s">
        <v>2074</v>
      </c>
      <c r="D1437" s="6">
        <v>1428</v>
      </c>
      <c r="E1437" s="6">
        <v>286</v>
      </c>
      <c r="F1437" s="6" t="s">
        <v>1404</v>
      </c>
      <c r="G1437" s="6">
        <v>830</v>
      </c>
      <c r="H1437" s="6" t="s">
        <v>1104</v>
      </c>
      <c r="I1437" s="33">
        <v>1356162.0220958849</v>
      </c>
      <c r="J1437" s="88">
        <v>9.1042498827995158E-2</v>
      </c>
      <c r="K1437" s="89">
        <f t="shared" si="220"/>
        <v>1503661.7913347953</v>
      </c>
      <c r="L1437" s="88">
        <f>IF(K1439&gt;0, K1437/K1439, 0)</f>
        <v>9.9958111261983437E-2</v>
      </c>
      <c r="M1437" s="58"/>
      <c r="N1437" s="9">
        <f>ROUND(M1439*L1437,0)</f>
        <v>1235823</v>
      </c>
      <c r="O1437" s="9">
        <v>1087322</v>
      </c>
      <c r="P1437" s="9">
        <f>N1437-O1437</f>
        <v>148501</v>
      </c>
      <c r="Q1437" s="40">
        <f t="shared" si="229"/>
        <v>13.657499802266486</v>
      </c>
      <c r="R1437" s="9">
        <v>65.000000001540002</v>
      </c>
      <c r="S1437" s="9">
        <f t="shared" si="227"/>
        <v>72.00000000048</v>
      </c>
      <c r="T1437" s="90">
        <f t="shared" si="222"/>
        <v>286</v>
      </c>
      <c r="U1437" s="90">
        <f t="shared" si="223"/>
        <v>830</v>
      </c>
      <c r="V1437" s="373">
        <f t="shared" si="224"/>
        <v>1428</v>
      </c>
      <c r="W1437" s="90">
        <f t="shared" si="225"/>
        <v>72.00000000048</v>
      </c>
      <c r="X1437" s="90">
        <f t="shared" si="226"/>
        <v>1503661.7913347953</v>
      </c>
      <c r="Y1437" s="141">
        <f t="shared" si="228"/>
        <v>1428</v>
      </c>
      <c r="Z1437" s="298">
        <v>286</v>
      </c>
      <c r="AA1437" s="299">
        <v>830</v>
      </c>
      <c r="AB1437" s="299">
        <v>1428</v>
      </c>
      <c r="AC1437" s="301">
        <v>72.00000000048</v>
      </c>
      <c r="AD1437" s="301">
        <v>1503661.7913347953</v>
      </c>
      <c r="AE1437" s="126"/>
      <c r="AF1437" s="298"/>
      <c r="AG1437" s="299"/>
      <c r="AH1437" s="299"/>
      <c r="AI1437" s="301"/>
      <c r="AJ1437" s="301"/>
      <c r="AK1437" s="426"/>
      <c r="AL1437" s="298"/>
      <c r="AM1437" s="299"/>
      <c r="AN1437" s="299"/>
      <c r="AO1437" s="301"/>
      <c r="AP1437" s="301"/>
      <c r="AQ1437" s="426"/>
      <c r="AR1437" s="298"/>
      <c r="AS1437" s="299"/>
      <c r="AT1437" s="299"/>
      <c r="AU1437" s="301"/>
      <c r="AV1437" s="301"/>
      <c r="AW1437" s="88"/>
      <c r="AX1437" s="298"/>
      <c r="AY1437" s="299"/>
      <c r="AZ1437" s="299"/>
      <c r="BA1437" s="301"/>
      <c r="BB1437" s="301"/>
      <c r="BC1437" s="426"/>
      <c r="BD1437" s="298"/>
      <c r="BE1437" s="299"/>
      <c r="BF1437" s="299"/>
      <c r="BG1437" s="301"/>
      <c r="BH1437" s="301"/>
      <c r="BI1437" s="88"/>
      <c r="BJ1437" s="298"/>
      <c r="BK1437" s="299"/>
      <c r="BL1437" s="299"/>
      <c r="BM1437" s="301"/>
      <c r="BN1437" s="301"/>
      <c r="BO1437" s="88"/>
      <c r="BP1437" s="9"/>
      <c r="BS1437" s="81"/>
      <c r="BT1437" s="81"/>
      <c r="BV1437" s="9"/>
      <c r="BY1437" s="81"/>
      <c r="BZ1437" s="81"/>
      <c r="CB1437" s="9"/>
      <c r="CE1437" s="81"/>
      <c r="CF1437" s="81"/>
      <c r="CH1437" s="9"/>
      <c r="CK1437" s="81"/>
      <c r="CL1437" s="81"/>
      <c r="CR1437" s="9"/>
      <c r="CS1437" s="9"/>
      <c r="CT1437" s="9"/>
      <c r="CU1437" s="9"/>
      <c r="CV1437" s="9"/>
      <c r="CW1437" s="129"/>
      <c r="CX1437" s="9"/>
    </row>
    <row r="1438" spans="1:102">
      <c r="A1438" s="6" t="str">
        <f t="shared" si="221"/>
        <v>02860998</v>
      </c>
      <c r="B1438" s="6" t="s">
        <v>1936</v>
      </c>
      <c r="C1438" s="6" t="s">
        <v>2091</v>
      </c>
      <c r="D1438" s="6">
        <v>1429</v>
      </c>
      <c r="E1438" s="6">
        <v>286</v>
      </c>
      <c r="F1438" s="6" t="s">
        <v>1547</v>
      </c>
      <c r="G1438" s="6">
        <v>998</v>
      </c>
      <c r="H1438" s="6" t="s">
        <v>1547</v>
      </c>
      <c r="I1438" s="33">
        <v>0</v>
      </c>
      <c r="J1438" s="88">
        <v>0</v>
      </c>
      <c r="K1438" s="89">
        <f t="shared" si="220"/>
        <v>0</v>
      </c>
      <c r="L1438" s="88">
        <f>IF(K1439&gt;0, K1438/K1439, 0)</f>
        <v>0</v>
      </c>
      <c r="M1438" s="58"/>
      <c r="N1438" s="9">
        <f>ROUND(M1439*L1438,0)</f>
        <v>0</v>
      </c>
      <c r="O1438" s="9">
        <v>0</v>
      </c>
      <c r="P1438" s="9">
        <f>N1438-O1438</f>
        <v>0</v>
      </c>
      <c r="Q1438" s="40">
        <f t="shared" si="229"/>
        <v>0</v>
      </c>
      <c r="R1438" s="9">
        <v>0</v>
      </c>
      <c r="S1438" s="9">
        <f t="shared" si="227"/>
        <v>0</v>
      </c>
      <c r="T1438" s="90">
        <f t="shared" si="222"/>
        <v>286</v>
      </c>
      <c r="U1438" s="90">
        <f t="shared" si="223"/>
        <v>998</v>
      </c>
      <c r="V1438" s="373">
        <f t="shared" si="224"/>
        <v>1429</v>
      </c>
      <c r="W1438" s="90">
        <f t="shared" si="225"/>
        <v>0</v>
      </c>
      <c r="X1438" s="90">
        <f t="shared" si="226"/>
        <v>0</v>
      </c>
      <c r="Y1438" s="141">
        <f t="shared" si="228"/>
        <v>1429</v>
      </c>
      <c r="Z1438" s="298">
        <v>286</v>
      </c>
      <c r="AA1438" s="299">
        <v>998</v>
      </c>
      <c r="AB1438" s="299">
        <v>1429</v>
      </c>
      <c r="AC1438" s="301">
        <v>0</v>
      </c>
      <c r="AD1438" s="301">
        <v>0</v>
      </c>
      <c r="AE1438" s="126"/>
      <c r="AF1438" s="298"/>
      <c r="AG1438" s="299"/>
      <c r="AH1438" s="299"/>
      <c r="AI1438" s="301"/>
      <c r="AJ1438" s="301"/>
      <c r="AK1438" s="426"/>
      <c r="AL1438" s="298"/>
      <c r="AM1438" s="299"/>
      <c r="AN1438" s="299"/>
      <c r="AO1438" s="301"/>
      <c r="AP1438" s="301"/>
      <c r="AQ1438" s="426"/>
      <c r="AR1438" s="298"/>
      <c r="AS1438" s="299"/>
      <c r="AT1438" s="299"/>
      <c r="AU1438" s="301"/>
      <c r="AV1438" s="301"/>
      <c r="AW1438" s="88"/>
      <c r="AX1438" s="298"/>
      <c r="AY1438" s="299"/>
      <c r="AZ1438" s="299"/>
      <c r="BA1438" s="301"/>
      <c r="BB1438" s="301"/>
      <c r="BC1438" s="426"/>
      <c r="BD1438" s="298"/>
      <c r="BE1438" s="299"/>
      <c r="BF1438" s="299"/>
      <c r="BG1438" s="301"/>
      <c r="BH1438" s="301"/>
      <c r="BI1438" s="88"/>
      <c r="BJ1438" s="298"/>
      <c r="BK1438" s="299"/>
      <c r="BL1438" s="299"/>
      <c r="BM1438" s="301"/>
      <c r="BN1438" s="301"/>
      <c r="BO1438" s="88"/>
      <c r="BP1438" s="9"/>
      <c r="BS1438" s="81"/>
      <c r="BT1438" s="81"/>
      <c r="BV1438" s="9"/>
      <c r="BY1438" s="81"/>
      <c r="BZ1438" s="81"/>
      <c r="CB1438" s="9"/>
      <c r="CE1438" s="81"/>
      <c r="CF1438" s="81"/>
      <c r="CH1438" s="9"/>
      <c r="CK1438" s="81"/>
      <c r="CL1438" s="81"/>
      <c r="CR1438" s="9"/>
      <c r="CS1438" s="9"/>
      <c r="CT1438" s="9"/>
      <c r="CU1438" s="9"/>
      <c r="CV1438" s="9"/>
      <c r="CW1438" s="129"/>
      <c r="CX1438" s="9"/>
    </row>
    <row r="1439" spans="1:102">
      <c r="A1439" s="6" t="str">
        <f t="shared" si="221"/>
        <v>02860999</v>
      </c>
      <c r="B1439" s="6" t="s">
        <v>1936</v>
      </c>
      <c r="C1439" s="6" t="s">
        <v>2092</v>
      </c>
      <c r="D1439" s="6">
        <v>1430</v>
      </c>
      <c r="E1439" s="10">
        <v>286</v>
      </c>
      <c r="F1439" s="10" t="s">
        <v>1404</v>
      </c>
      <c r="G1439" s="10">
        <v>999</v>
      </c>
      <c r="H1439" s="10" t="s">
        <v>593</v>
      </c>
      <c r="I1439" s="92">
        <v>14895922.668577624</v>
      </c>
      <c r="J1439" s="472">
        <v>1</v>
      </c>
      <c r="K1439" s="53">
        <f>SUM(K1435:K1438)</f>
        <v>15042919.202362673</v>
      </c>
      <c r="L1439" s="91">
        <f>SUM(L1435:L1438)</f>
        <v>1</v>
      </c>
      <c r="M1439" s="79">
        <f>VLOOKUP(E1439,town351,24)</f>
        <v>12363407</v>
      </c>
      <c r="N1439" s="79">
        <f>SUM(N1435:N1438)</f>
        <v>12363407</v>
      </c>
      <c r="O1439" s="79">
        <v>11943013</v>
      </c>
      <c r="P1439" s="79">
        <f>SUM(P1435:P1438)</f>
        <v>420394</v>
      </c>
      <c r="Q1439" s="39">
        <f t="shared" si="229"/>
        <v>3.5199995177096435</v>
      </c>
      <c r="R1439" s="9">
        <v>1147.8023551829699</v>
      </c>
      <c r="S1439" s="9">
        <f t="shared" si="227"/>
        <v>1126.5821325750001</v>
      </c>
      <c r="T1439" s="90">
        <f t="shared" si="222"/>
        <v>286</v>
      </c>
      <c r="U1439" s="90">
        <f t="shared" si="223"/>
        <v>999</v>
      </c>
      <c r="V1439" s="373">
        <f t="shared" si="224"/>
        <v>1430</v>
      </c>
      <c r="W1439" s="90">
        <f t="shared" si="225"/>
        <v>1126.5821325750001</v>
      </c>
      <c r="X1439" s="90">
        <f t="shared" si="226"/>
        <v>15042919.202362673</v>
      </c>
      <c r="Y1439" s="141">
        <f t="shared" si="228"/>
        <v>1430</v>
      </c>
      <c r="Z1439" s="298">
        <v>286</v>
      </c>
      <c r="AA1439" s="299">
        <v>999</v>
      </c>
      <c r="AB1439" s="299">
        <v>1430</v>
      </c>
      <c r="AC1439" s="301">
        <v>1126.5821325750001</v>
      </c>
      <c r="AD1439" s="301">
        <v>15042919.202362673</v>
      </c>
      <c r="AE1439" s="126"/>
      <c r="AF1439" s="298"/>
      <c r="AG1439" s="299"/>
      <c r="AH1439" s="299"/>
      <c r="AI1439" s="301"/>
      <c r="AJ1439" s="301"/>
      <c r="AK1439" s="426"/>
      <c r="AL1439" s="298"/>
      <c r="AM1439" s="299"/>
      <c r="AN1439" s="299"/>
      <c r="AO1439" s="301"/>
      <c r="AP1439" s="301"/>
      <c r="AQ1439" s="426"/>
      <c r="AR1439" s="298"/>
      <c r="AS1439" s="299"/>
      <c r="AT1439" s="299"/>
      <c r="AU1439" s="301"/>
      <c r="AV1439" s="301"/>
      <c r="AW1439" s="91"/>
      <c r="AX1439" s="298"/>
      <c r="AY1439" s="299"/>
      <c r="AZ1439" s="299"/>
      <c r="BA1439" s="301"/>
      <c r="BB1439" s="301"/>
      <c r="BC1439" s="426"/>
      <c r="BD1439" s="298"/>
      <c r="BE1439" s="299"/>
      <c r="BF1439" s="299"/>
      <c r="BG1439" s="301"/>
      <c r="BH1439" s="301"/>
      <c r="BI1439" s="91"/>
      <c r="BJ1439" s="298"/>
      <c r="BK1439" s="299"/>
      <c r="BL1439" s="299"/>
      <c r="BM1439" s="301"/>
      <c r="BN1439" s="301"/>
      <c r="BO1439" s="91"/>
      <c r="BP1439" s="9"/>
      <c r="BS1439" s="81"/>
      <c r="BT1439" s="81"/>
      <c r="BV1439" s="9"/>
      <c r="BY1439" s="81"/>
      <c r="BZ1439" s="81"/>
      <c r="CB1439" s="9"/>
      <c r="CE1439" s="81"/>
      <c r="CF1439" s="81"/>
      <c r="CH1439" s="9"/>
      <c r="CK1439" s="81"/>
      <c r="CL1439" s="81"/>
      <c r="CR1439" s="9"/>
      <c r="CS1439" s="9"/>
      <c r="CT1439" s="9"/>
      <c r="CU1439" s="9"/>
      <c r="CV1439" s="9"/>
      <c r="CW1439" s="129"/>
      <c r="CX1439" s="9"/>
    </row>
    <row r="1440" spans="1:102">
      <c r="A1440" s="6" t="str">
        <f t="shared" si="221"/>
        <v>02870287</v>
      </c>
      <c r="B1440" s="6" t="s">
        <v>1937</v>
      </c>
      <c r="C1440" s="6" t="s">
        <v>1937</v>
      </c>
      <c r="D1440" s="6">
        <v>1431</v>
      </c>
      <c r="E1440" s="6">
        <v>287</v>
      </c>
      <c r="F1440" s="6" t="s">
        <v>1405</v>
      </c>
      <c r="G1440" s="6">
        <v>287</v>
      </c>
      <c r="H1440" s="6" t="s">
        <v>968</v>
      </c>
      <c r="I1440" s="33">
        <v>10737439.589999998</v>
      </c>
      <c r="J1440" s="88">
        <v>0.47936091835148359</v>
      </c>
      <c r="K1440" s="89">
        <f>X1440</f>
        <v>11550189.470000001</v>
      </c>
      <c r="L1440" s="88">
        <f>IF(K1444&gt;0, K1440/K1444, 0)</f>
        <v>0.48051830450089317</v>
      </c>
      <c r="M1440" s="58"/>
      <c r="N1440" s="9">
        <f>ROUND(M1444*L1440,0)</f>
        <v>6370085</v>
      </c>
      <c r="O1440" s="9">
        <v>6009212</v>
      </c>
      <c r="P1440" s="9">
        <f>N1440-O1440</f>
        <v>360873</v>
      </c>
      <c r="Q1440" s="40">
        <f t="shared" si="229"/>
        <v>6.0053298169543696</v>
      </c>
      <c r="R1440" s="9">
        <v>883</v>
      </c>
      <c r="S1440" s="9">
        <f t="shared" si="227"/>
        <v>901</v>
      </c>
      <c r="T1440" s="90">
        <f t="shared" si="222"/>
        <v>287</v>
      </c>
      <c r="U1440" s="90">
        <f t="shared" si="223"/>
        <v>287</v>
      </c>
      <c r="V1440" s="373">
        <f t="shared" si="224"/>
        <v>1431</v>
      </c>
      <c r="W1440" s="90">
        <f t="shared" si="225"/>
        <v>901</v>
      </c>
      <c r="X1440" s="90">
        <f t="shared" si="226"/>
        <v>11550189.470000001</v>
      </c>
      <c r="Y1440" s="141">
        <f t="shared" si="228"/>
        <v>1431</v>
      </c>
      <c r="Z1440" s="298">
        <v>287</v>
      </c>
      <c r="AA1440" s="299">
        <v>287</v>
      </c>
      <c r="AB1440" s="299">
        <v>1431</v>
      </c>
      <c r="AC1440" s="301">
        <v>901</v>
      </c>
      <c r="AD1440" s="301">
        <v>11550189.470000001</v>
      </c>
      <c r="AE1440" s="126"/>
      <c r="AF1440" s="298"/>
      <c r="AG1440" s="299"/>
      <c r="AH1440" s="299"/>
      <c r="AI1440" s="301"/>
      <c r="AJ1440" s="301"/>
      <c r="AK1440" s="426"/>
      <c r="AL1440" s="298"/>
      <c r="AM1440" s="299"/>
      <c r="AN1440" s="299"/>
      <c r="AO1440" s="301"/>
      <c r="AP1440" s="301"/>
      <c r="AQ1440" s="426"/>
      <c r="AR1440" s="298"/>
      <c r="AS1440" s="299"/>
      <c r="AT1440" s="299"/>
      <c r="AU1440" s="301"/>
      <c r="AV1440" s="301"/>
      <c r="AW1440" s="88"/>
      <c r="AX1440" s="298"/>
      <c r="AY1440" s="299"/>
      <c r="AZ1440" s="299"/>
      <c r="BA1440" s="301"/>
      <c r="BB1440" s="301"/>
      <c r="BC1440" s="426"/>
      <c r="BD1440" s="298"/>
      <c r="BE1440" s="299"/>
      <c r="BF1440" s="299"/>
      <c r="BG1440" s="301"/>
      <c r="BH1440" s="301"/>
      <c r="BI1440" s="88"/>
      <c r="BJ1440" s="298"/>
      <c r="BK1440" s="299"/>
      <c r="BL1440" s="299"/>
      <c r="BM1440" s="301"/>
      <c r="BN1440" s="301"/>
      <c r="BO1440" s="88"/>
      <c r="BP1440" s="9"/>
      <c r="BS1440" s="81"/>
      <c r="BT1440" s="81"/>
      <c r="BV1440" s="9"/>
      <c r="BY1440" s="81"/>
      <c r="BZ1440" s="81"/>
      <c r="CB1440" s="9"/>
      <c r="CE1440" s="81"/>
      <c r="CF1440" s="81"/>
      <c r="CH1440" s="9"/>
      <c r="CK1440" s="81"/>
      <c r="CL1440" s="81"/>
      <c r="CR1440" s="9"/>
      <c r="CS1440" s="9"/>
      <c r="CT1440" s="9"/>
      <c r="CU1440" s="9"/>
      <c r="CV1440" s="9"/>
      <c r="CW1440" s="129"/>
      <c r="CX1440" s="9"/>
    </row>
    <row r="1441" spans="1:102">
      <c r="A1441" s="6" t="str">
        <f t="shared" si="221"/>
        <v>02870770</v>
      </c>
      <c r="B1441" s="6" t="s">
        <v>1937</v>
      </c>
      <c r="C1441" s="6" t="s">
        <v>2056</v>
      </c>
      <c r="D1441" s="6">
        <v>1432</v>
      </c>
      <c r="E1441" s="6">
        <v>287</v>
      </c>
      <c r="F1441" s="6" t="s">
        <v>1405</v>
      </c>
      <c r="G1441" s="6">
        <v>770</v>
      </c>
      <c r="H1441" s="6" t="s">
        <v>1086</v>
      </c>
      <c r="I1441" s="33">
        <v>11662049.352331642</v>
      </c>
      <c r="J1441" s="88">
        <v>0.52063908164851636</v>
      </c>
      <c r="K1441" s="89">
        <f t="shared" si="220"/>
        <v>12486750.146685364</v>
      </c>
      <c r="L1441" s="88">
        <f>IF(K1444&gt;0, K1441/K1444, 0)</f>
        <v>0.51948169549910683</v>
      </c>
      <c r="M1441" s="58"/>
      <c r="N1441" s="9">
        <f>ROUND(M1444*L1441,0)</f>
        <v>6886611</v>
      </c>
      <c r="O1441" s="9">
        <v>6526671</v>
      </c>
      <c r="P1441" s="9">
        <f>N1441-O1441</f>
        <v>359940</v>
      </c>
      <c r="Q1441" s="40">
        <f t="shared" si="229"/>
        <v>5.5149095151264707</v>
      </c>
      <c r="R1441" s="9">
        <v>776.00000000376008</v>
      </c>
      <c r="S1441" s="9">
        <f t="shared" si="227"/>
        <v>794.04204993660005</v>
      </c>
      <c r="T1441" s="90">
        <f t="shared" si="222"/>
        <v>287</v>
      </c>
      <c r="U1441" s="90">
        <f t="shared" si="223"/>
        <v>770</v>
      </c>
      <c r="V1441" s="373">
        <f t="shared" si="224"/>
        <v>1432</v>
      </c>
      <c r="W1441" s="90">
        <f t="shared" si="225"/>
        <v>794.04204993660005</v>
      </c>
      <c r="X1441" s="90">
        <f t="shared" si="226"/>
        <v>12486750.146685364</v>
      </c>
      <c r="Y1441" s="141">
        <f t="shared" si="228"/>
        <v>1432</v>
      </c>
      <c r="Z1441" s="298">
        <v>287</v>
      </c>
      <c r="AA1441" s="299">
        <v>770</v>
      </c>
      <c r="AB1441" s="299">
        <v>1432</v>
      </c>
      <c r="AC1441" s="301">
        <v>794.04204993660005</v>
      </c>
      <c r="AD1441" s="301">
        <v>12486750.146685364</v>
      </c>
      <c r="AE1441" s="126"/>
      <c r="AF1441" s="298"/>
      <c r="AG1441" s="299"/>
      <c r="AH1441" s="299"/>
      <c r="AI1441" s="301"/>
      <c r="AJ1441" s="301"/>
      <c r="AK1441" s="426"/>
      <c r="AL1441" s="298"/>
      <c r="AM1441" s="299"/>
      <c r="AN1441" s="299"/>
      <c r="AO1441" s="301"/>
      <c r="AP1441" s="301"/>
      <c r="AQ1441" s="426"/>
      <c r="AR1441" s="298"/>
      <c r="AS1441" s="299"/>
      <c r="AT1441" s="299"/>
      <c r="AU1441" s="301"/>
      <c r="AV1441" s="301"/>
      <c r="AW1441" s="88"/>
      <c r="AX1441" s="298"/>
      <c r="AY1441" s="299"/>
      <c r="AZ1441" s="299"/>
      <c r="BA1441" s="301"/>
      <c r="BB1441" s="301"/>
      <c r="BC1441" s="426"/>
      <c r="BD1441" s="298"/>
      <c r="BE1441" s="299"/>
      <c r="BF1441" s="299"/>
      <c r="BG1441" s="301"/>
      <c r="BH1441" s="301"/>
      <c r="BI1441" s="88"/>
      <c r="BJ1441" s="298"/>
      <c r="BK1441" s="299"/>
      <c r="BL1441" s="299"/>
      <c r="BM1441" s="301"/>
      <c r="BN1441" s="301"/>
      <c r="BO1441" s="88"/>
      <c r="BP1441" s="9"/>
      <c r="BS1441" s="81"/>
      <c r="BT1441" s="81"/>
      <c r="BV1441" s="9"/>
      <c r="BY1441" s="81"/>
      <c r="BZ1441" s="81"/>
      <c r="CB1441" s="9"/>
      <c r="CE1441" s="81"/>
      <c r="CF1441" s="81"/>
      <c r="CH1441" s="9"/>
      <c r="CK1441" s="81"/>
      <c r="CL1441" s="81"/>
      <c r="CR1441" s="9"/>
      <c r="CS1441" s="9"/>
      <c r="CT1441" s="9"/>
      <c r="CU1441" s="9"/>
      <c r="CV1441" s="9"/>
      <c r="CW1441" s="129"/>
      <c r="CX1441" s="9"/>
    </row>
    <row r="1442" spans="1:102">
      <c r="A1442" s="6" t="str">
        <f t="shared" si="221"/>
        <v>02870998</v>
      </c>
      <c r="B1442" s="6" t="s">
        <v>1937</v>
      </c>
      <c r="C1442" s="6" t="s">
        <v>2091</v>
      </c>
      <c r="D1442" s="6">
        <v>1433</v>
      </c>
      <c r="E1442" s="6">
        <v>287</v>
      </c>
      <c r="F1442" s="6" t="s">
        <v>1547</v>
      </c>
      <c r="G1442" s="6">
        <v>998</v>
      </c>
      <c r="H1442" s="6" t="s">
        <v>1547</v>
      </c>
      <c r="I1442" s="33">
        <v>0</v>
      </c>
      <c r="J1442" s="88">
        <v>0</v>
      </c>
      <c r="K1442" s="89">
        <f t="shared" si="220"/>
        <v>0</v>
      </c>
      <c r="L1442" s="88">
        <f>IF(K1444&gt;0, K1442/K1444, 0)</f>
        <v>0</v>
      </c>
      <c r="M1442" s="58"/>
      <c r="N1442" s="9">
        <f>ROUND(M1444*L1442,0)</f>
        <v>0</v>
      </c>
      <c r="O1442" s="9">
        <v>0</v>
      </c>
      <c r="P1442" s="9">
        <f>N1442-O1442</f>
        <v>0</v>
      </c>
      <c r="Q1442" s="40">
        <f t="shared" si="229"/>
        <v>0</v>
      </c>
      <c r="R1442" s="9">
        <v>0</v>
      </c>
      <c r="S1442" s="9">
        <f t="shared" si="227"/>
        <v>0</v>
      </c>
      <c r="T1442" s="90">
        <f t="shared" si="222"/>
        <v>287</v>
      </c>
      <c r="U1442" s="90">
        <f t="shared" si="223"/>
        <v>998</v>
      </c>
      <c r="V1442" s="373">
        <f t="shared" si="224"/>
        <v>1433</v>
      </c>
      <c r="W1442" s="90">
        <f t="shared" si="225"/>
        <v>0</v>
      </c>
      <c r="X1442" s="90">
        <f t="shared" si="226"/>
        <v>0</v>
      </c>
      <c r="Y1442" s="141">
        <f t="shared" si="228"/>
        <v>1433</v>
      </c>
      <c r="Z1442" s="298">
        <v>287</v>
      </c>
      <c r="AA1442" s="299">
        <v>998</v>
      </c>
      <c r="AB1442" s="299">
        <v>1433</v>
      </c>
      <c r="AC1442" s="301">
        <v>0</v>
      </c>
      <c r="AD1442" s="301">
        <v>0</v>
      </c>
      <c r="AE1442" s="126"/>
      <c r="AF1442" s="298"/>
      <c r="AG1442" s="299"/>
      <c r="AH1442" s="299"/>
      <c r="AI1442" s="301"/>
      <c r="AJ1442" s="301"/>
      <c r="AK1442" s="426"/>
      <c r="AL1442" s="298"/>
      <c r="AM1442" s="299"/>
      <c r="AN1442" s="299"/>
      <c r="AO1442" s="301"/>
      <c r="AP1442" s="301"/>
      <c r="AQ1442" s="426"/>
      <c r="AR1442" s="298"/>
      <c r="AS1442" s="299"/>
      <c r="AT1442" s="299"/>
      <c r="AU1442" s="301"/>
      <c r="AV1442" s="301"/>
      <c r="AW1442" s="88"/>
      <c r="AX1442" s="298"/>
      <c r="AY1442" s="299"/>
      <c r="AZ1442" s="299"/>
      <c r="BA1442" s="301"/>
      <c r="BB1442" s="301"/>
      <c r="BC1442" s="426"/>
      <c r="BD1442" s="298"/>
      <c r="BE1442" s="299"/>
      <c r="BF1442" s="299"/>
      <c r="BG1442" s="301"/>
      <c r="BH1442" s="301"/>
      <c r="BI1442" s="88"/>
      <c r="BJ1442" s="298"/>
      <c r="BK1442" s="299"/>
      <c r="BL1442" s="299"/>
      <c r="BM1442" s="301"/>
      <c r="BN1442" s="301"/>
      <c r="BO1442" s="88"/>
      <c r="BP1442" s="9"/>
      <c r="BS1442" s="81"/>
      <c r="BT1442" s="81"/>
      <c r="BV1442" s="9"/>
      <c r="BY1442" s="81"/>
      <c r="BZ1442" s="81"/>
      <c r="CB1442" s="9"/>
      <c r="CE1442" s="81"/>
      <c r="CF1442" s="81"/>
      <c r="CH1442" s="9"/>
      <c r="CK1442" s="81"/>
      <c r="CL1442" s="81"/>
      <c r="CR1442" s="9"/>
      <c r="CS1442" s="9"/>
      <c r="CT1442" s="9"/>
      <c r="CU1442" s="9"/>
      <c r="CV1442" s="9"/>
      <c r="CW1442" s="129"/>
      <c r="CX1442" s="9"/>
    </row>
    <row r="1443" spans="1:102">
      <c r="A1443" s="6" t="str">
        <f t="shared" si="221"/>
        <v>02870998</v>
      </c>
      <c r="B1443" s="6" t="s">
        <v>1937</v>
      </c>
      <c r="C1443" s="6" t="s">
        <v>2091</v>
      </c>
      <c r="D1443" s="6">
        <v>1434</v>
      </c>
      <c r="E1443" s="6">
        <v>287</v>
      </c>
      <c r="F1443" s="6" t="s">
        <v>1547</v>
      </c>
      <c r="G1443" s="6">
        <v>998</v>
      </c>
      <c r="H1443" s="6" t="s">
        <v>1547</v>
      </c>
      <c r="I1443" s="33">
        <v>0</v>
      </c>
      <c r="J1443" s="88">
        <v>0</v>
      </c>
      <c r="K1443" s="89">
        <f t="shared" si="220"/>
        <v>0</v>
      </c>
      <c r="L1443" s="88">
        <f>IF(K1444&gt;0, K1443/K1444, 0)</f>
        <v>0</v>
      </c>
      <c r="M1443" s="58"/>
      <c r="N1443" s="9">
        <f>ROUND(M1444*L1443,0)</f>
        <v>0</v>
      </c>
      <c r="O1443" s="9">
        <v>0</v>
      </c>
      <c r="P1443" s="9">
        <f>N1443-O1443</f>
        <v>0</v>
      </c>
      <c r="Q1443" s="40">
        <f t="shared" si="229"/>
        <v>0</v>
      </c>
      <c r="R1443" s="9">
        <v>0</v>
      </c>
      <c r="S1443" s="9">
        <f t="shared" si="227"/>
        <v>0</v>
      </c>
      <c r="T1443" s="90">
        <f t="shared" si="222"/>
        <v>287</v>
      </c>
      <c r="U1443" s="90">
        <f t="shared" si="223"/>
        <v>998</v>
      </c>
      <c r="V1443" s="373">
        <f t="shared" si="224"/>
        <v>1434</v>
      </c>
      <c r="W1443" s="90">
        <f t="shared" si="225"/>
        <v>0</v>
      </c>
      <c r="X1443" s="90">
        <f t="shared" si="226"/>
        <v>0</v>
      </c>
      <c r="Y1443" s="141">
        <f t="shared" si="228"/>
        <v>1434</v>
      </c>
      <c r="Z1443" s="298">
        <v>287</v>
      </c>
      <c r="AA1443" s="299">
        <v>998</v>
      </c>
      <c r="AB1443" s="299">
        <v>1434</v>
      </c>
      <c r="AC1443" s="301">
        <v>0</v>
      </c>
      <c r="AD1443" s="301">
        <v>0</v>
      </c>
      <c r="AE1443" s="126"/>
      <c r="AF1443" s="298"/>
      <c r="AG1443" s="299"/>
      <c r="AH1443" s="299"/>
      <c r="AI1443" s="301"/>
      <c r="AJ1443" s="301"/>
      <c r="AK1443" s="426"/>
      <c r="AL1443" s="298"/>
      <c r="AM1443" s="299"/>
      <c r="AN1443" s="299"/>
      <c r="AO1443" s="301"/>
      <c r="AP1443" s="301"/>
      <c r="AQ1443" s="426"/>
      <c r="AR1443" s="298"/>
      <c r="AS1443" s="299"/>
      <c r="AT1443" s="299"/>
      <c r="AU1443" s="301"/>
      <c r="AV1443" s="301"/>
      <c r="AW1443" s="88"/>
      <c r="AX1443" s="298"/>
      <c r="AY1443" s="299"/>
      <c r="AZ1443" s="299"/>
      <c r="BA1443" s="301"/>
      <c r="BB1443" s="301"/>
      <c r="BC1443" s="426"/>
      <c r="BD1443" s="298"/>
      <c r="BE1443" s="299"/>
      <c r="BF1443" s="299"/>
      <c r="BG1443" s="301"/>
      <c r="BH1443" s="301"/>
      <c r="BI1443" s="88"/>
      <c r="BJ1443" s="298"/>
      <c r="BK1443" s="299"/>
      <c r="BL1443" s="299"/>
      <c r="BM1443" s="301"/>
      <c r="BN1443" s="301"/>
      <c r="BO1443" s="88"/>
      <c r="BP1443" s="9"/>
      <c r="BS1443" s="81"/>
      <c r="BT1443" s="81"/>
      <c r="BV1443" s="9"/>
      <c r="BY1443" s="81"/>
      <c r="BZ1443" s="81"/>
      <c r="CB1443" s="9"/>
      <c r="CE1443" s="81"/>
      <c r="CF1443" s="81"/>
      <c r="CH1443" s="9"/>
      <c r="CK1443" s="81"/>
      <c r="CL1443" s="81"/>
      <c r="CR1443" s="9"/>
      <c r="CS1443" s="9"/>
      <c r="CT1443" s="9"/>
      <c r="CU1443" s="9"/>
      <c r="CV1443" s="9"/>
      <c r="CW1443" s="129"/>
      <c r="CX1443" s="9"/>
    </row>
    <row r="1444" spans="1:102">
      <c r="A1444" s="6" t="str">
        <f t="shared" si="221"/>
        <v>02870999</v>
      </c>
      <c r="B1444" s="6" t="s">
        <v>1937</v>
      </c>
      <c r="C1444" s="6" t="s">
        <v>2092</v>
      </c>
      <c r="D1444" s="6">
        <v>1435</v>
      </c>
      <c r="E1444" s="10">
        <v>287</v>
      </c>
      <c r="F1444" s="10" t="s">
        <v>1405</v>
      </c>
      <c r="G1444" s="10">
        <v>999</v>
      </c>
      <c r="H1444" s="10" t="s">
        <v>593</v>
      </c>
      <c r="I1444" s="92">
        <v>22399488.942331642</v>
      </c>
      <c r="J1444" s="472">
        <v>1</v>
      </c>
      <c r="K1444" s="53">
        <f>SUM(K1440:K1443)</f>
        <v>24036939.616685364</v>
      </c>
      <c r="L1444" s="91">
        <f>SUM(L1440:L1443)</f>
        <v>1</v>
      </c>
      <c r="M1444" s="79">
        <f>VLOOKUP(E1444,town351,24)</f>
        <v>13256696</v>
      </c>
      <c r="N1444" s="79">
        <f>SUM(N1440:N1443)</f>
        <v>13256696</v>
      </c>
      <c r="O1444" s="79">
        <v>12535883</v>
      </c>
      <c r="P1444" s="79">
        <f>SUM(P1440:P1443)</f>
        <v>720813</v>
      </c>
      <c r="Q1444" s="39">
        <f t="shared" si="229"/>
        <v>5.7499978262400822</v>
      </c>
      <c r="R1444" s="9">
        <v>1659.0000000037601</v>
      </c>
      <c r="S1444" s="9">
        <f t="shared" si="227"/>
        <v>1695.0420499366001</v>
      </c>
      <c r="T1444" s="90">
        <f t="shared" si="222"/>
        <v>287</v>
      </c>
      <c r="U1444" s="90">
        <f t="shared" si="223"/>
        <v>999</v>
      </c>
      <c r="V1444" s="373">
        <f t="shared" si="224"/>
        <v>1435</v>
      </c>
      <c r="W1444" s="90">
        <f t="shared" si="225"/>
        <v>1695.0420499366001</v>
      </c>
      <c r="X1444" s="90">
        <f t="shared" si="226"/>
        <v>24036939.616685364</v>
      </c>
      <c r="Y1444" s="141">
        <f t="shared" si="228"/>
        <v>1435</v>
      </c>
      <c r="Z1444" s="298">
        <v>287</v>
      </c>
      <c r="AA1444" s="299">
        <v>999</v>
      </c>
      <c r="AB1444" s="299">
        <v>1435</v>
      </c>
      <c r="AC1444" s="301">
        <v>1695.0420499366001</v>
      </c>
      <c r="AD1444" s="301">
        <v>24036939.616685364</v>
      </c>
      <c r="AE1444" s="126"/>
      <c r="AF1444" s="298"/>
      <c r="AG1444" s="299"/>
      <c r="AH1444" s="299"/>
      <c r="AI1444" s="301"/>
      <c r="AJ1444" s="301"/>
      <c r="AK1444" s="426"/>
      <c r="AL1444" s="298"/>
      <c r="AM1444" s="299"/>
      <c r="AN1444" s="299"/>
      <c r="AO1444" s="301"/>
      <c r="AP1444" s="301"/>
      <c r="AQ1444" s="426"/>
      <c r="AR1444" s="298"/>
      <c r="AS1444" s="299"/>
      <c r="AT1444" s="299"/>
      <c r="AU1444" s="301"/>
      <c r="AV1444" s="301"/>
      <c r="AW1444" s="91"/>
      <c r="AX1444" s="298"/>
      <c r="AY1444" s="299"/>
      <c r="AZ1444" s="299"/>
      <c r="BA1444" s="301"/>
      <c r="BB1444" s="301"/>
      <c r="BC1444" s="426"/>
      <c r="BD1444" s="298"/>
      <c r="BE1444" s="299"/>
      <c r="BF1444" s="299"/>
      <c r="BG1444" s="301"/>
      <c r="BH1444" s="301"/>
      <c r="BI1444" s="91"/>
      <c r="BJ1444" s="298"/>
      <c r="BK1444" s="299"/>
      <c r="BL1444" s="299"/>
      <c r="BM1444" s="301"/>
      <c r="BN1444" s="301"/>
      <c r="BO1444" s="91"/>
      <c r="BP1444" s="9"/>
      <c r="BS1444" s="81"/>
      <c r="BT1444" s="81"/>
      <c r="BV1444" s="9"/>
      <c r="BY1444" s="81"/>
      <c r="BZ1444" s="81"/>
      <c r="CB1444" s="9"/>
      <c r="CE1444" s="81"/>
      <c r="CF1444" s="81"/>
      <c r="CH1444" s="9"/>
      <c r="CK1444" s="81"/>
      <c r="CL1444" s="81"/>
      <c r="CR1444" s="9"/>
      <c r="CS1444" s="9"/>
      <c r="CT1444" s="9"/>
      <c r="CU1444" s="9"/>
      <c r="CV1444" s="9"/>
      <c r="CW1444" s="129"/>
      <c r="CX1444" s="9"/>
    </row>
    <row r="1445" spans="1:102">
      <c r="A1445" s="6" t="str">
        <f t="shared" si="221"/>
        <v>02880288</v>
      </c>
      <c r="B1445" s="6" t="s">
        <v>1938</v>
      </c>
      <c r="C1445" s="6" t="s">
        <v>1938</v>
      </c>
      <c r="D1445" s="6">
        <v>1436</v>
      </c>
      <c r="E1445" s="6">
        <v>288</v>
      </c>
      <c r="F1445" s="6" t="s">
        <v>1406</v>
      </c>
      <c r="G1445" s="6">
        <v>288</v>
      </c>
      <c r="H1445" s="6" t="s">
        <v>969</v>
      </c>
      <c r="I1445" s="33">
        <v>28628096.43</v>
      </c>
      <c r="J1445" s="88">
        <v>0.62014407248376058</v>
      </c>
      <c r="K1445" s="89">
        <f t="shared" ref="K1445:K1508" si="230">X1445</f>
        <v>29591077.410479996</v>
      </c>
      <c r="L1445" s="88">
        <f>IF(K1449&gt;0, K1445/K1449, 0)</f>
        <v>0.62514275171749512</v>
      </c>
      <c r="M1445" s="58"/>
      <c r="N1445" s="9">
        <f>ROUND(M1449*L1445,0)</f>
        <v>23968199</v>
      </c>
      <c r="O1445" s="9">
        <v>23070588</v>
      </c>
      <c r="P1445" s="9">
        <f>N1445-O1445</f>
        <v>897611</v>
      </c>
      <c r="Q1445" s="40">
        <f t="shared" si="229"/>
        <v>3.8907157459532455</v>
      </c>
      <c r="R1445" s="9">
        <v>2513</v>
      </c>
      <c r="S1445" s="9">
        <f t="shared" si="227"/>
        <v>2509</v>
      </c>
      <c r="T1445" s="90">
        <f t="shared" si="222"/>
        <v>288</v>
      </c>
      <c r="U1445" s="90">
        <f t="shared" si="223"/>
        <v>288</v>
      </c>
      <c r="V1445" s="373">
        <f t="shared" si="224"/>
        <v>1436</v>
      </c>
      <c r="W1445" s="90">
        <f t="shared" si="225"/>
        <v>2509</v>
      </c>
      <c r="X1445" s="90">
        <f t="shared" si="226"/>
        <v>29591077.410479996</v>
      </c>
      <c r="Y1445" s="141">
        <f t="shared" si="228"/>
        <v>1436</v>
      </c>
      <c r="Z1445" s="298">
        <v>288</v>
      </c>
      <c r="AA1445" s="299">
        <v>288</v>
      </c>
      <c r="AB1445" s="299">
        <v>1436</v>
      </c>
      <c r="AC1445" s="301">
        <v>2509</v>
      </c>
      <c r="AD1445" s="301">
        <v>29591077.410479996</v>
      </c>
      <c r="AE1445" s="126"/>
      <c r="AF1445" s="298"/>
      <c r="AG1445" s="299"/>
      <c r="AH1445" s="299"/>
      <c r="AI1445" s="301"/>
      <c r="AJ1445" s="301"/>
      <c r="AK1445" s="426"/>
      <c r="AL1445" s="298"/>
      <c r="AM1445" s="299"/>
      <c r="AN1445" s="299"/>
      <c r="AO1445" s="301"/>
      <c r="AP1445" s="301"/>
      <c r="AQ1445" s="426"/>
      <c r="AR1445" s="298"/>
      <c r="AS1445" s="299"/>
      <c r="AT1445" s="299"/>
      <c r="AU1445" s="301"/>
      <c r="AV1445" s="301"/>
      <c r="AW1445" s="88"/>
      <c r="AX1445" s="298"/>
      <c r="AY1445" s="299"/>
      <c r="AZ1445" s="299"/>
      <c r="BA1445" s="301"/>
      <c r="BB1445" s="301"/>
      <c r="BC1445" s="426"/>
      <c r="BD1445" s="298"/>
      <c r="BE1445" s="299"/>
      <c r="BF1445" s="299"/>
      <c r="BG1445" s="301"/>
      <c r="BH1445" s="301"/>
      <c r="BI1445" s="88"/>
      <c r="BJ1445" s="298"/>
      <c r="BK1445" s="299"/>
      <c r="BL1445" s="299"/>
      <c r="BM1445" s="301"/>
      <c r="BN1445" s="301"/>
      <c r="BO1445" s="88"/>
      <c r="BP1445" s="9"/>
      <c r="BS1445" s="81"/>
      <c r="BT1445" s="81"/>
      <c r="BV1445" s="9"/>
      <c r="BY1445" s="81"/>
      <c r="BZ1445" s="81"/>
      <c r="CB1445" s="9"/>
      <c r="CE1445" s="81"/>
      <c r="CF1445" s="81"/>
      <c r="CH1445" s="9"/>
      <c r="CK1445" s="81"/>
      <c r="CL1445" s="81"/>
      <c r="CR1445" s="9"/>
      <c r="CS1445" s="9"/>
      <c r="CT1445" s="9"/>
      <c r="CU1445" s="9"/>
      <c r="CV1445" s="9"/>
      <c r="CW1445" s="129"/>
      <c r="CX1445" s="9"/>
    </row>
    <row r="1446" spans="1:102">
      <c r="A1446" s="6" t="str">
        <f t="shared" si="221"/>
        <v>02880695</v>
      </c>
      <c r="B1446" s="6" t="s">
        <v>1938</v>
      </c>
      <c r="C1446" s="6" t="s">
        <v>2033</v>
      </c>
      <c r="D1446" s="6">
        <v>1437</v>
      </c>
      <c r="E1446" s="6">
        <v>288</v>
      </c>
      <c r="F1446" s="6" t="s">
        <v>1406</v>
      </c>
      <c r="G1446" s="6">
        <v>695</v>
      </c>
      <c r="H1446" s="6" t="s">
        <v>1063</v>
      </c>
      <c r="I1446" s="33">
        <v>17535525.380236153</v>
      </c>
      <c r="J1446" s="88">
        <v>0.37985592751623937</v>
      </c>
      <c r="K1446" s="89">
        <f t="shared" si="230"/>
        <v>17743835.022212397</v>
      </c>
      <c r="L1446" s="88">
        <f>IF(K1449&gt;0, K1446/K1449, 0)</f>
        <v>0.37485724828250483</v>
      </c>
      <c r="M1446" s="58"/>
      <c r="N1446" s="9">
        <f>ROUND(M1449*L1446,0)</f>
        <v>14372163</v>
      </c>
      <c r="O1446" s="9">
        <v>14131393</v>
      </c>
      <c r="P1446" s="9">
        <f>N1446-O1446</f>
        <v>240770</v>
      </c>
      <c r="Q1446" s="40">
        <f t="shared" si="229"/>
        <v>1.7037952309443238</v>
      </c>
      <c r="R1446" s="9">
        <v>1343.8643109580801</v>
      </c>
      <c r="S1446" s="9">
        <f t="shared" si="227"/>
        <v>1322.9771591645301</v>
      </c>
      <c r="T1446" s="90">
        <f t="shared" si="222"/>
        <v>288</v>
      </c>
      <c r="U1446" s="90">
        <f t="shared" si="223"/>
        <v>695</v>
      </c>
      <c r="V1446" s="373">
        <f t="shared" si="224"/>
        <v>1437</v>
      </c>
      <c r="W1446" s="90">
        <f t="shared" si="225"/>
        <v>1322.9771591645301</v>
      </c>
      <c r="X1446" s="90">
        <f t="shared" si="226"/>
        <v>17743835.022212397</v>
      </c>
      <c r="Y1446" s="141">
        <f t="shared" si="228"/>
        <v>1437</v>
      </c>
      <c r="Z1446" s="298">
        <v>288</v>
      </c>
      <c r="AA1446" s="299">
        <v>695</v>
      </c>
      <c r="AB1446" s="299">
        <v>1437</v>
      </c>
      <c r="AC1446" s="301">
        <v>1322.9771591645301</v>
      </c>
      <c r="AD1446" s="301">
        <v>17743835.022212397</v>
      </c>
      <c r="AE1446" s="126"/>
      <c r="AF1446" s="298"/>
      <c r="AG1446" s="299"/>
      <c r="AH1446" s="299"/>
      <c r="AI1446" s="301"/>
      <c r="AJ1446" s="301"/>
      <c r="AK1446" s="426"/>
      <c r="AL1446" s="298"/>
      <c r="AM1446" s="299"/>
      <c r="AN1446" s="299"/>
      <c r="AO1446" s="301"/>
      <c r="AP1446" s="301"/>
      <c r="AQ1446" s="426"/>
      <c r="AR1446" s="298"/>
      <c r="AS1446" s="299"/>
      <c r="AT1446" s="299"/>
      <c r="AU1446" s="301"/>
      <c r="AV1446" s="301"/>
      <c r="AW1446" s="88"/>
      <c r="AX1446" s="298"/>
      <c r="AY1446" s="299"/>
      <c r="AZ1446" s="299"/>
      <c r="BA1446" s="301"/>
      <c r="BB1446" s="301"/>
      <c r="BC1446" s="426"/>
      <c r="BD1446" s="298"/>
      <c r="BE1446" s="299"/>
      <c r="BF1446" s="299"/>
      <c r="BG1446" s="301"/>
      <c r="BH1446" s="301"/>
      <c r="BI1446" s="88"/>
      <c r="BJ1446" s="298"/>
      <c r="BK1446" s="299"/>
      <c r="BL1446" s="299"/>
      <c r="BM1446" s="301"/>
      <c r="BN1446" s="301"/>
      <c r="BO1446" s="88"/>
      <c r="BP1446" s="9"/>
      <c r="BS1446" s="81"/>
      <c r="BT1446" s="81"/>
      <c r="BV1446" s="9"/>
      <c r="BY1446" s="81"/>
      <c r="BZ1446" s="81"/>
      <c r="CB1446" s="9"/>
      <c r="CE1446" s="81"/>
      <c r="CF1446" s="81"/>
      <c r="CH1446" s="9"/>
      <c r="CK1446" s="81"/>
      <c r="CL1446" s="81"/>
      <c r="CR1446" s="9"/>
      <c r="CS1446" s="9"/>
      <c r="CT1446" s="9"/>
      <c r="CU1446" s="9"/>
      <c r="CV1446" s="9"/>
      <c r="CW1446" s="129"/>
      <c r="CX1446" s="9"/>
    </row>
    <row r="1447" spans="1:102">
      <c r="A1447" s="6" t="str">
        <f t="shared" si="221"/>
        <v>02880830</v>
      </c>
      <c r="B1447" s="6" t="s">
        <v>1938</v>
      </c>
      <c r="C1447" s="6" t="s">
        <v>2074</v>
      </c>
      <c r="D1447" s="6">
        <v>1438</v>
      </c>
      <c r="E1447" s="6">
        <v>288</v>
      </c>
      <c r="G1447" s="6">
        <v>998</v>
      </c>
      <c r="I1447" s="33">
        <v>0</v>
      </c>
      <c r="J1447" s="88">
        <v>0</v>
      </c>
      <c r="K1447" s="89">
        <f t="shared" si="230"/>
        <v>0</v>
      </c>
      <c r="L1447" s="88">
        <f>IF(K1449&gt;0, K1447/K1449, 0)</f>
        <v>0</v>
      </c>
      <c r="M1447" s="58"/>
      <c r="N1447" s="9">
        <f>ROUND(M1449*L1447,0)</f>
        <v>0</v>
      </c>
      <c r="O1447" s="9">
        <v>0</v>
      </c>
      <c r="P1447" s="9">
        <f>N1447-O1447</f>
        <v>0</v>
      </c>
      <c r="Q1447" s="40">
        <f t="shared" si="229"/>
        <v>0</v>
      </c>
      <c r="R1447" s="9">
        <v>0</v>
      </c>
      <c r="S1447" s="9">
        <f t="shared" si="227"/>
        <v>0</v>
      </c>
      <c r="T1447" s="90">
        <f t="shared" si="222"/>
        <v>288</v>
      </c>
      <c r="U1447" s="90">
        <f t="shared" si="223"/>
        <v>998</v>
      </c>
      <c r="V1447" s="373">
        <f t="shared" si="224"/>
        <v>1438</v>
      </c>
      <c r="W1447" s="90">
        <f t="shared" si="225"/>
        <v>0</v>
      </c>
      <c r="X1447" s="90">
        <f t="shared" si="226"/>
        <v>0</v>
      </c>
      <c r="Y1447" s="141">
        <f t="shared" si="228"/>
        <v>1438</v>
      </c>
      <c r="Z1447" s="298">
        <v>288</v>
      </c>
      <c r="AA1447" s="299">
        <v>998</v>
      </c>
      <c r="AB1447" s="299">
        <v>1438</v>
      </c>
      <c r="AC1447" s="301">
        <v>0</v>
      </c>
      <c r="AD1447" s="301">
        <v>0</v>
      </c>
      <c r="AE1447" s="126"/>
      <c r="AF1447" s="298"/>
      <c r="AG1447" s="299"/>
      <c r="AH1447" s="299"/>
      <c r="AI1447" s="301"/>
      <c r="AJ1447" s="301"/>
      <c r="AK1447" s="426"/>
      <c r="AL1447" s="298"/>
      <c r="AM1447" s="299"/>
      <c r="AN1447" s="299"/>
      <c r="AO1447" s="301"/>
      <c r="AP1447" s="301"/>
      <c r="AQ1447" s="426"/>
      <c r="AR1447" s="298"/>
      <c r="AS1447" s="299"/>
      <c r="AT1447" s="299"/>
      <c r="AU1447" s="301"/>
      <c r="AV1447" s="301"/>
      <c r="AW1447" s="88"/>
      <c r="AX1447" s="298"/>
      <c r="AY1447" s="299"/>
      <c r="AZ1447" s="299"/>
      <c r="BA1447" s="301"/>
      <c r="BB1447" s="301"/>
      <c r="BC1447" s="426"/>
      <c r="BD1447" s="298"/>
      <c r="BE1447" s="299"/>
      <c r="BF1447" s="299"/>
      <c r="BG1447" s="301"/>
      <c r="BH1447" s="301"/>
      <c r="BI1447" s="88"/>
      <c r="BJ1447" s="298"/>
      <c r="BK1447" s="299"/>
      <c r="BL1447" s="299"/>
      <c r="BM1447" s="301"/>
      <c r="BN1447" s="301"/>
      <c r="BO1447" s="88"/>
      <c r="BP1447" s="9"/>
      <c r="BS1447" s="81"/>
      <c r="BT1447" s="81"/>
      <c r="BV1447" s="9"/>
      <c r="BY1447" s="81"/>
      <c r="BZ1447" s="81"/>
      <c r="CB1447" s="9"/>
      <c r="CE1447" s="81"/>
      <c r="CF1447" s="81"/>
      <c r="CH1447" s="9"/>
      <c r="CK1447" s="81"/>
      <c r="CL1447" s="81"/>
      <c r="CR1447" s="9"/>
      <c r="CS1447" s="9"/>
      <c r="CT1447" s="9"/>
      <c r="CU1447" s="9"/>
      <c r="CV1447" s="9"/>
      <c r="CW1447" s="129"/>
      <c r="CX1447" s="9"/>
    </row>
    <row r="1448" spans="1:102">
      <c r="A1448" s="6" t="str">
        <f t="shared" si="221"/>
        <v>02880998</v>
      </c>
      <c r="B1448" s="6" t="s">
        <v>1938</v>
      </c>
      <c r="C1448" s="6" t="s">
        <v>2091</v>
      </c>
      <c r="D1448" s="6">
        <v>1439</v>
      </c>
      <c r="E1448" s="6">
        <v>288</v>
      </c>
      <c r="F1448" s="6" t="s">
        <v>1547</v>
      </c>
      <c r="G1448" s="6">
        <v>998</v>
      </c>
      <c r="H1448" s="6" t="s">
        <v>1547</v>
      </c>
      <c r="I1448" s="33">
        <v>0</v>
      </c>
      <c r="J1448" s="88">
        <v>0</v>
      </c>
      <c r="K1448" s="89">
        <f t="shared" si="230"/>
        <v>0</v>
      </c>
      <c r="L1448" s="88">
        <f>IF(K1449&gt;0, K1448/K1449, 0)</f>
        <v>0</v>
      </c>
      <c r="M1448" s="58"/>
      <c r="N1448" s="9">
        <f>ROUND(M1449*L1448,0)</f>
        <v>0</v>
      </c>
      <c r="O1448" s="9">
        <v>0</v>
      </c>
      <c r="P1448" s="9">
        <f>N1448-O1448</f>
        <v>0</v>
      </c>
      <c r="Q1448" s="40">
        <f t="shared" si="229"/>
        <v>0</v>
      </c>
      <c r="R1448" s="9">
        <v>0</v>
      </c>
      <c r="S1448" s="9">
        <f t="shared" si="227"/>
        <v>0</v>
      </c>
      <c r="T1448" s="90">
        <f t="shared" si="222"/>
        <v>288</v>
      </c>
      <c r="U1448" s="90">
        <f t="shared" si="223"/>
        <v>998</v>
      </c>
      <c r="V1448" s="373">
        <f t="shared" si="224"/>
        <v>1439</v>
      </c>
      <c r="W1448" s="90">
        <f t="shared" si="225"/>
        <v>0</v>
      </c>
      <c r="X1448" s="90">
        <f t="shared" si="226"/>
        <v>0</v>
      </c>
      <c r="Y1448" s="141">
        <f t="shared" si="228"/>
        <v>1439</v>
      </c>
      <c r="Z1448" s="298">
        <v>288</v>
      </c>
      <c r="AA1448" s="299">
        <v>998</v>
      </c>
      <c r="AB1448" s="299">
        <v>1439</v>
      </c>
      <c r="AC1448" s="301">
        <v>0</v>
      </c>
      <c r="AD1448" s="301">
        <v>0</v>
      </c>
      <c r="AE1448" s="126"/>
      <c r="AF1448" s="298"/>
      <c r="AG1448" s="299"/>
      <c r="AH1448" s="299"/>
      <c r="AI1448" s="301"/>
      <c r="AJ1448" s="301"/>
      <c r="AK1448" s="426"/>
      <c r="AL1448" s="298"/>
      <c r="AM1448" s="299"/>
      <c r="AN1448" s="299"/>
      <c r="AO1448" s="301"/>
      <c r="AP1448" s="301"/>
      <c r="AQ1448" s="426"/>
      <c r="AR1448" s="298"/>
      <c r="AS1448" s="299"/>
      <c r="AT1448" s="299"/>
      <c r="AU1448" s="301"/>
      <c r="AV1448" s="301"/>
      <c r="AW1448" s="88"/>
      <c r="AX1448" s="298"/>
      <c r="AY1448" s="299"/>
      <c r="AZ1448" s="299"/>
      <c r="BA1448" s="301"/>
      <c r="BB1448" s="301"/>
      <c r="BC1448" s="426"/>
      <c r="BD1448" s="298"/>
      <c r="BE1448" s="299"/>
      <c r="BF1448" s="299"/>
      <c r="BG1448" s="301"/>
      <c r="BH1448" s="301"/>
      <c r="BI1448" s="88"/>
      <c r="BJ1448" s="298"/>
      <c r="BK1448" s="299"/>
      <c r="BL1448" s="299"/>
      <c r="BM1448" s="301"/>
      <c r="BN1448" s="301"/>
      <c r="BO1448" s="88"/>
      <c r="BP1448" s="9"/>
      <c r="BS1448" s="81"/>
      <c r="BT1448" s="81"/>
      <c r="BV1448" s="9"/>
      <c r="BY1448" s="81"/>
      <c r="BZ1448" s="81"/>
      <c r="CB1448" s="9"/>
      <c r="CE1448" s="81"/>
      <c r="CF1448" s="81"/>
      <c r="CH1448" s="9"/>
      <c r="CK1448" s="81"/>
      <c r="CL1448" s="81"/>
      <c r="CR1448" s="9"/>
      <c r="CS1448" s="9"/>
      <c r="CT1448" s="9"/>
      <c r="CU1448" s="9"/>
      <c r="CV1448" s="9"/>
      <c r="CW1448" s="129"/>
      <c r="CX1448" s="9"/>
    </row>
    <row r="1449" spans="1:102">
      <c r="A1449" s="6" t="str">
        <f t="shared" si="221"/>
        <v>02880999</v>
      </c>
      <c r="B1449" s="6" t="s">
        <v>1938</v>
      </c>
      <c r="C1449" s="6" t="s">
        <v>2092</v>
      </c>
      <c r="D1449" s="6">
        <v>1440</v>
      </c>
      <c r="E1449" s="10">
        <v>288</v>
      </c>
      <c r="F1449" s="10" t="s">
        <v>1406</v>
      </c>
      <c r="G1449" s="10">
        <v>999</v>
      </c>
      <c r="H1449" s="10" t="s">
        <v>593</v>
      </c>
      <c r="I1449" s="92">
        <v>46163621.810236156</v>
      </c>
      <c r="J1449" s="472">
        <v>1</v>
      </c>
      <c r="K1449" s="53">
        <f>SUM(K1445:K1448)</f>
        <v>47334912.432692394</v>
      </c>
      <c r="L1449" s="91">
        <f>SUM(L1445:L1448)</f>
        <v>1</v>
      </c>
      <c r="M1449" s="79">
        <f>VLOOKUP(E1449,town351,24)</f>
        <v>38340362</v>
      </c>
      <c r="N1449" s="79">
        <f>SUM(N1445:N1448)</f>
        <v>38340362</v>
      </c>
      <c r="O1449" s="79">
        <v>37201981</v>
      </c>
      <c r="P1449" s="79">
        <f>SUM(P1445:P1448)</f>
        <v>1138381</v>
      </c>
      <c r="Q1449" s="39">
        <f t="shared" si="229"/>
        <v>3.0600010252142216</v>
      </c>
      <c r="R1449" s="9">
        <v>3856.8643109580798</v>
      </c>
      <c r="S1449" s="9">
        <f t="shared" si="227"/>
        <v>3831.9771591645303</v>
      </c>
      <c r="T1449" s="90">
        <f t="shared" si="222"/>
        <v>288</v>
      </c>
      <c r="U1449" s="90">
        <f t="shared" si="223"/>
        <v>999</v>
      </c>
      <c r="V1449" s="373">
        <f t="shared" si="224"/>
        <v>1440</v>
      </c>
      <c r="W1449" s="90">
        <f t="shared" si="225"/>
        <v>3831.9771591645303</v>
      </c>
      <c r="X1449" s="90">
        <f t="shared" si="226"/>
        <v>47334912.432692394</v>
      </c>
      <c r="Y1449" s="141">
        <f t="shared" si="228"/>
        <v>1440</v>
      </c>
      <c r="Z1449" s="298">
        <v>288</v>
      </c>
      <c r="AA1449" s="299">
        <v>999</v>
      </c>
      <c r="AB1449" s="299">
        <v>1440</v>
      </c>
      <c r="AC1449" s="301">
        <v>3831.9771591645303</v>
      </c>
      <c r="AD1449" s="301">
        <v>47334912.432692394</v>
      </c>
      <c r="AE1449" s="126"/>
      <c r="AF1449" s="298"/>
      <c r="AG1449" s="299"/>
      <c r="AH1449" s="299"/>
      <c r="AI1449" s="301"/>
      <c r="AJ1449" s="301"/>
      <c r="AK1449" s="426"/>
      <c r="AL1449" s="298"/>
      <c r="AM1449" s="299"/>
      <c r="AN1449" s="299"/>
      <c r="AO1449" s="301"/>
      <c r="AP1449" s="301"/>
      <c r="AQ1449" s="426"/>
      <c r="AR1449" s="298"/>
      <c r="AS1449" s="299"/>
      <c r="AT1449" s="299"/>
      <c r="AU1449" s="301"/>
      <c r="AV1449" s="301"/>
      <c r="AW1449" s="91"/>
      <c r="AX1449" s="298"/>
      <c r="AY1449" s="299"/>
      <c r="AZ1449" s="299"/>
      <c r="BA1449" s="301"/>
      <c r="BB1449" s="301"/>
      <c r="BC1449" s="426"/>
      <c r="BD1449" s="298"/>
      <c r="BE1449" s="299"/>
      <c r="BF1449" s="299"/>
      <c r="BG1449" s="301"/>
      <c r="BH1449" s="301"/>
      <c r="BI1449" s="91"/>
      <c r="BJ1449" s="298"/>
      <c r="BK1449" s="299"/>
      <c r="BL1449" s="299"/>
      <c r="BM1449" s="301"/>
      <c r="BN1449" s="301"/>
      <c r="BO1449" s="91"/>
      <c r="BP1449" s="9"/>
      <c r="BS1449" s="81"/>
      <c r="BT1449" s="81"/>
      <c r="BV1449" s="9"/>
      <c r="BY1449" s="81"/>
      <c r="BZ1449" s="81"/>
      <c r="CB1449" s="9"/>
      <c r="CE1449" s="81"/>
      <c r="CF1449" s="81"/>
      <c r="CH1449" s="9"/>
      <c r="CK1449" s="81"/>
      <c r="CL1449" s="81"/>
      <c r="CR1449" s="9"/>
      <c r="CS1449" s="9"/>
      <c r="CT1449" s="9"/>
      <c r="CU1449" s="9"/>
      <c r="CV1449" s="9"/>
      <c r="CW1449" s="129"/>
      <c r="CX1449" s="9"/>
    </row>
    <row r="1450" spans="1:102">
      <c r="A1450" s="6" t="str">
        <f t="shared" si="221"/>
        <v>02890289</v>
      </c>
      <c r="B1450" s="6" t="s">
        <v>1939</v>
      </c>
      <c r="C1450" s="6" t="s">
        <v>1939</v>
      </c>
      <c r="D1450" s="6">
        <v>1441</v>
      </c>
      <c r="E1450" s="6">
        <v>289</v>
      </c>
      <c r="F1450" s="6" t="s">
        <v>1407</v>
      </c>
      <c r="G1450" s="6">
        <v>289</v>
      </c>
      <c r="H1450" s="6" t="s">
        <v>970</v>
      </c>
      <c r="I1450" s="33">
        <v>1946645.5199999998</v>
      </c>
      <c r="J1450" s="88">
        <v>0.49920372205332103</v>
      </c>
      <c r="K1450" s="89">
        <f>X1450</f>
        <v>2077119.5199999998</v>
      </c>
      <c r="L1450" s="88">
        <f>IF(K1454&gt;0, K1450/K1454, 0)</f>
        <v>0.5143957021798875</v>
      </c>
      <c r="M1450" s="58"/>
      <c r="N1450" s="9">
        <f>ROUND(M1454*L1450,0)</f>
        <v>1678357</v>
      </c>
      <c r="O1450" s="9">
        <v>1555821</v>
      </c>
      <c r="P1450" s="9">
        <f>N1450-O1450</f>
        <v>122536</v>
      </c>
      <c r="Q1450" s="40">
        <f t="shared" si="229"/>
        <v>7.8759703076382177</v>
      </c>
      <c r="R1450" s="9">
        <v>146</v>
      </c>
      <c r="S1450" s="9">
        <f t="shared" si="227"/>
        <v>142</v>
      </c>
      <c r="T1450" s="90">
        <f t="shared" si="222"/>
        <v>289</v>
      </c>
      <c r="U1450" s="90">
        <f t="shared" si="223"/>
        <v>289</v>
      </c>
      <c r="V1450" s="373">
        <f t="shared" si="224"/>
        <v>1441</v>
      </c>
      <c r="W1450" s="90">
        <f t="shared" si="225"/>
        <v>142</v>
      </c>
      <c r="X1450" s="90">
        <f t="shared" si="226"/>
        <v>2077119.5199999998</v>
      </c>
      <c r="Y1450" s="141">
        <f t="shared" si="228"/>
        <v>1441</v>
      </c>
      <c r="Z1450" s="298">
        <v>289</v>
      </c>
      <c r="AA1450" s="299">
        <v>289</v>
      </c>
      <c r="AB1450" s="299">
        <v>1441</v>
      </c>
      <c r="AC1450" s="301">
        <v>142</v>
      </c>
      <c r="AD1450" s="301">
        <v>2077119.5199999998</v>
      </c>
      <c r="AE1450" s="126"/>
      <c r="AF1450" s="298"/>
      <c r="AG1450" s="299"/>
      <c r="AH1450" s="299"/>
      <c r="AI1450" s="301"/>
      <c r="AJ1450" s="301"/>
      <c r="AK1450" s="426"/>
      <c r="AL1450" s="298"/>
      <c r="AM1450" s="299"/>
      <c r="AN1450" s="299"/>
      <c r="AO1450" s="301"/>
      <c r="AP1450" s="301"/>
      <c r="AQ1450" s="426"/>
      <c r="AR1450" s="298"/>
      <c r="AS1450" s="299"/>
      <c r="AT1450" s="299"/>
      <c r="AU1450" s="301"/>
      <c r="AV1450" s="301"/>
      <c r="AW1450" s="88"/>
      <c r="AX1450" s="298"/>
      <c r="AY1450" s="299"/>
      <c r="AZ1450" s="299"/>
      <c r="BA1450" s="301"/>
      <c r="BB1450" s="301"/>
      <c r="BC1450" s="426"/>
      <c r="BD1450" s="298"/>
      <c r="BE1450" s="299"/>
      <c r="BF1450" s="299"/>
      <c r="BG1450" s="301"/>
      <c r="BH1450" s="301"/>
      <c r="BI1450" s="88"/>
      <c r="BJ1450" s="298"/>
      <c r="BK1450" s="299"/>
      <c r="BL1450" s="299"/>
      <c r="BM1450" s="301"/>
      <c r="BN1450" s="301"/>
      <c r="BO1450" s="88"/>
      <c r="BP1450" s="9"/>
      <c r="BS1450" s="81"/>
      <c r="BT1450" s="81"/>
      <c r="BV1450" s="9"/>
      <c r="BY1450" s="81"/>
      <c r="BZ1450" s="81"/>
      <c r="CB1450" s="9"/>
      <c r="CE1450" s="81"/>
      <c r="CF1450" s="81"/>
      <c r="CH1450" s="9"/>
      <c r="CK1450" s="81"/>
      <c r="CL1450" s="81"/>
      <c r="CR1450" s="9"/>
      <c r="CS1450" s="9"/>
      <c r="CT1450" s="9"/>
      <c r="CU1450" s="9"/>
      <c r="CV1450" s="9"/>
      <c r="CW1450" s="129"/>
      <c r="CX1450" s="9"/>
    </row>
    <row r="1451" spans="1:102">
      <c r="A1451" s="6" t="str">
        <f t="shared" si="221"/>
        <v>02890670</v>
      </c>
      <c r="B1451" s="6" t="s">
        <v>1939</v>
      </c>
      <c r="C1451" s="6" t="s">
        <v>2024</v>
      </c>
      <c r="D1451" s="6">
        <v>1442</v>
      </c>
      <c r="E1451" s="6">
        <v>289</v>
      </c>
      <c r="F1451" s="6" t="s">
        <v>1407</v>
      </c>
      <c r="G1451" s="6">
        <v>670</v>
      </c>
      <c r="H1451" s="6" t="s">
        <v>1054</v>
      </c>
      <c r="I1451" s="33">
        <v>1760627.723281024</v>
      </c>
      <c r="J1451" s="88">
        <v>0.45150075017877517</v>
      </c>
      <c r="K1451" s="89">
        <f t="shared" si="230"/>
        <v>1764148.0216253875</v>
      </c>
      <c r="L1451" s="88">
        <f>IF(K1454&gt;0, K1451/K1454, 0)</f>
        <v>0.4368887546409706</v>
      </c>
      <c r="M1451" s="58"/>
      <c r="N1451" s="9">
        <f>ROUND(M1454*L1451,0)</f>
        <v>1425470</v>
      </c>
      <c r="O1451" s="9">
        <v>1407150</v>
      </c>
      <c r="P1451" s="9">
        <f>N1451-O1451</f>
        <v>18320</v>
      </c>
      <c r="Q1451" s="40">
        <f t="shared" si="229"/>
        <v>1.3019223252673844</v>
      </c>
      <c r="R1451" s="9">
        <v>125.25667350952</v>
      </c>
      <c r="S1451" s="9">
        <f t="shared" si="227"/>
        <v>122.25576519848001</v>
      </c>
      <c r="T1451" s="90">
        <f t="shared" si="222"/>
        <v>289</v>
      </c>
      <c r="U1451" s="90">
        <f t="shared" si="223"/>
        <v>670</v>
      </c>
      <c r="V1451" s="373">
        <f t="shared" si="224"/>
        <v>1442</v>
      </c>
      <c r="W1451" s="90">
        <f t="shared" si="225"/>
        <v>122.25576519848001</v>
      </c>
      <c r="X1451" s="90">
        <f t="shared" si="226"/>
        <v>1764148.0216253875</v>
      </c>
      <c r="Y1451" s="141">
        <f t="shared" si="228"/>
        <v>1442</v>
      </c>
      <c r="Z1451" s="298">
        <v>289</v>
      </c>
      <c r="AA1451" s="299">
        <v>670</v>
      </c>
      <c r="AB1451" s="299">
        <v>1442</v>
      </c>
      <c r="AC1451" s="301">
        <v>122.25576519848001</v>
      </c>
      <c r="AD1451" s="301">
        <v>1764148.0216253875</v>
      </c>
      <c r="AE1451" s="126"/>
      <c r="AF1451" s="298"/>
      <c r="AG1451" s="299"/>
      <c r="AH1451" s="299"/>
      <c r="AI1451" s="301"/>
      <c r="AJ1451" s="301"/>
      <c r="AK1451" s="426"/>
      <c r="AL1451" s="298"/>
      <c r="AM1451" s="299"/>
      <c r="AN1451" s="299"/>
      <c r="AO1451" s="301"/>
      <c r="AP1451" s="301"/>
      <c r="AQ1451" s="426"/>
      <c r="AR1451" s="298"/>
      <c r="AS1451" s="299"/>
      <c r="AT1451" s="299"/>
      <c r="AU1451" s="301"/>
      <c r="AV1451" s="301"/>
      <c r="AW1451" s="88"/>
      <c r="AX1451" s="298"/>
      <c r="AY1451" s="299"/>
      <c r="AZ1451" s="299"/>
      <c r="BA1451" s="301"/>
      <c r="BB1451" s="301"/>
      <c r="BC1451" s="426"/>
      <c r="BD1451" s="298"/>
      <c r="BE1451" s="299"/>
      <c r="BF1451" s="299"/>
      <c r="BG1451" s="301"/>
      <c r="BH1451" s="301"/>
      <c r="BI1451" s="88"/>
      <c r="BJ1451" s="298"/>
      <c r="BK1451" s="299"/>
      <c r="BL1451" s="299"/>
      <c r="BM1451" s="301"/>
      <c r="BN1451" s="301"/>
      <c r="BO1451" s="88"/>
      <c r="BP1451" s="9"/>
      <c r="BS1451" s="81"/>
      <c r="BT1451" s="81"/>
      <c r="BV1451" s="9"/>
      <c r="BY1451" s="81"/>
      <c r="BZ1451" s="81"/>
      <c r="CB1451" s="9"/>
      <c r="CE1451" s="81"/>
      <c r="CF1451" s="81"/>
      <c r="CH1451" s="9"/>
      <c r="CK1451" s="81"/>
      <c r="CL1451" s="81"/>
      <c r="CR1451" s="9"/>
      <c r="CS1451" s="9"/>
      <c r="CT1451" s="9"/>
      <c r="CU1451" s="9"/>
      <c r="CV1451" s="9"/>
      <c r="CW1451" s="129"/>
      <c r="CX1451" s="9"/>
    </row>
    <row r="1452" spans="1:102">
      <c r="A1452" s="6" t="str">
        <f t="shared" si="221"/>
        <v>02890818</v>
      </c>
      <c r="B1452" s="6" t="s">
        <v>1939</v>
      </c>
      <c r="C1452" s="6" t="s">
        <v>2068</v>
      </c>
      <c r="D1452" s="6">
        <v>1443</v>
      </c>
      <c r="E1452" s="6">
        <v>289</v>
      </c>
      <c r="F1452" s="6" t="s">
        <v>1407</v>
      </c>
      <c r="G1452" s="6">
        <v>818</v>
      </c>
      <c r="H1452" s="6" t="s">
        <v>1098</v>
      </c>
      <c r="I1452" s="33">
        <v>192227.97035791312</v>
      </c>
      <c r="J1452" s="88">
        <v>4.9295527767903892E-2</v>
      </c>
      <c r="K1452" s="89">
        <f t="shared" si="230"/>
        <v>196712.38549620018</v>
      </c>
      <c r="L1452" s="88">
        <f>IF(K1454&gt;0, K1452/K1454, 0)</f>
        <v>4.8715543179141958E-2</v>
      </c>
      <c r="M1452" s="58"/>
      <c r="N1452" s="9">
        <f>ROUND(M1454*L1452,0)</f>
        <v>158948</v>
      </c>
      <c r="O1452" s="9">
        <v>153635</v>
      </c>
      <c r="P1452" s="9">
        <f>N1452-O1452</f>
        <v>5313</v>
      </c>
      <c r="Q1452" s="40">
        <f t="shared" si="229"/>
        <v>3.4581963745240341</v>
      </c>
      <c r="R1452" s="9">
        <v>8.9999999991999999</v>
      </c>
      <c r="S1452" s="9">
        <f t="shared" si="227"/>
        <v>9.0000000022700011</v>
      </c>
      <c r="T1452" s="90">
        <f t="shared" si="222"/>
        <v>289</v>
      </c>
      <c r="U1452" s="90">
        <f t="shared" si="223"/>
        <v>818</v>
      </c>
      <c r="V1452" s="373">
        <f t="shared" si="224"/>
        <v>1443</v>
      </c>
      <c r="W1452" s="90">
        <f t="shared" si="225"/>
        <v>9.0000000022700011</v>
      </c>
      <c r="X1452" s="90">
        <f t="shared" si="226"/>
        <v>196712.38549620018</v>
      </c>
      <c r="Y1452" s="141">
        <f t="shared" si="228"/>
        <v>1443</v>
      </c>
      <c r="Z1452" s="298">
        <v>289</v>
      </c>
      <c r="AA1452" s="299">
        <v>818</v>
      </c>
      <c r="AB1452" s="299">
        <v>1443</v>
      </c>
      <c r="AC1452" s="301">
        <v>9.0000000022700011</v>
      </c>
      <c r="AD1452" s="301">
        <v>196712.38549620018</v>
      </c>
      <c r="AE1452" s="126"/>
      <c r="AF1452" s="298"/>
      <c r="AG1452" s="299"/>
      <c r="AH1452" s="299"/>
      <c r="AI1452" s="301"/>
      <c r="AJ1452" s="301"/>
      <c r="AK1452" s="426"/>
      <c r="AL1452" s="298"/>
      <c r="AM1452" s="299"/>
      <c r="AN1452" s="299"/>
      <c r="AO1452" s="301"/>
      <c r="AP1452" s="301"/>
      <c r="AQ1452" s="426"/>
      <c r="AR1452" s="298"/>
      <c r="AS1452" s="299"/>
      <c r="AT1452" s="299"/>
      <c r="AU1452" s="301"/>
      <c r="AV1452" s="301"/>
      <c r="AW1452" s="88"/>
      <c r="AX1452" s="298"/>
      <c r="AY1452" s="299"/>
      <c r="AZ1452" s="299"/>
      <c r="BA1452" s="301"/>
      <c r="BB1452" s="301"/>
      <c r="BC1452" s="426"/>
      <c r="BD1452" s="298"/>
      <c r="BE1452" s="299"/>
      <c r="BF1452" s="299"/>
      <c r="BG1452" s="301"/>
      <c r="BH1452" s="301"/>
      <c r="BI1452" s="88"/>
      <c r="BJ1452" s="298"/>
      <c r="BK1452" s="299"/>
      <c r="BL1452" s="299"/>
      <c r="BM1452" s="301"/>
      <c r="BN1452" s="301"/>
      <c r="BO1452" s="88"/>
      <c r="BP1452" s="9"/>
      <c r="BS1452" s="81"/>
      <c r="BT1452" s="81"/>
      <c r="BV1452" s="9"/>
      <c r="BY1452" s="81"/>
      <c r="BZ1452" s="81"/>
      <c r="CB1452" s="9"/>
      <c r="CE1452" s="81"/>
      <c r="CF1452" s="81"/>
      <c r="CH1452" s="9"/>
      <c r="CK1452" s="81"/>
      <c r="CL1452" s="81"/>
      <c r="CR1452" s="9"/>
      <c r="CS1452" s="9"/>
      <c r="CT1452" s="9"/>
      <c r="CU1452" s="9"/>
      <c r="CV1452" s="9"/>
      <c r="CW1452" s="129"/>
      <c r="CX1452" s="9"/>
    </row>
    <row r="1453" spans="1:102">
      <c r="A1453" s="6" t="str">
        <f t="shared" si="221"/>
        <v>02890998</v>
      </c>
      <c r="B1453" s="6" t="s">
        <v>1939</v>
      </c>
      <c r="C1453" s="6" t="s">
        <v>2091</v>
      </c>
      <c r="D1453" s="6">
        <v>1444</v>
      </c>
      <c r="E1453" s="6">
        <v>289</v>
      </c>
      <c r="F1453" s="6" t="s">
        <v>1547</v>
      </c>
      <c r="G1453" s="6">
        <v>998</v>
      </c>
      <c r="H1453" s="6" t="s">
        <v>1547</v>
      </c>
      <c r="I1453" s="33">
        <v>0</v>
      </c>
      <c r="J1453" s="88">
        <v>0</v>
      </c>
      <c r="K1453" s="89">
        <f t="shared" si="230"/>
        <v>0</v>
      </c>
      <c r="L1453" s="88">
        <f>IF(K1454&gt;0, K1453/K1454, 0)</f>
        <v>0</v>
      </c>
      <c r="M1453" s="58"/>
      <c r="N1453" s="9">
        <f>ROUND(M1454*L1453,0)</f>
        <v>0</v>
      </c>
      <c r="O1453" s="9">
        <v>0</v>
      </c>
      <c r="P1453" s="9">
        <f>N1453-O1453</f>
        <v>0</v>
      </c>
      <c r="Q1453" s="40">
        <f t="shared" si="229"/>
        <v>0</v>
      </c>
      <c r="R1453" s="9">
        <v>0</v>
      </c>
      <c r="S1453" s="9">
        <f t="shared" si="227"/>
        <v>0</v>
      </c>
      <c r="T1453" s="90">
        <f t="shared" si="222"/>
        <v>289</v>
      </c>
      <c r="U1453" s="90">
        <f t="shared" si="223"/>
        <v>998</v>
      </c>
      <c r="V1453" s="373">
        <f t="shared" si="224"/>
        <v>1444</v>
      </c>
      <c r="W1453" s="90">
        <f t="shared" si="225"/>
        <v>0</v>
      </c>
      <c r="X1453" s="90">
        <f t="shared" si="226"/>
        <v>0</v>
      </c>
      <c r="Y1453" s="141">
        <f t="shared" si="228"/>
        <v>1444</v>
      </c>
      <c r="Z1453" s="298">
        <v>289</v>
      </c>
      <c r="AA1453" s="299">
        <v>998</v>
      </c>
      <c r="AB1453" s="299">
        <v>1444</v>
      </c>
      <c r="AC1453" s="301">
        <v>0</v>
      </c>
      <c r="AD1453" s="301">
        <v>0</v>
      </c>
      <c r="AE1453" s="126"/>
      <c r="AF1453" s="298"/>
      <c r="AG1453" s="299"/>
      <c r="AH1453" s="299"/>
      <c r="AI1453" s="301"/>
      <c r="AJ1453" s="301"/>
      <c r="AK1453" s="426"/>
      <c r="AL1453" s="298"/>
      <c r="AM1453" s="299"/>
      <c r="AN1453" s="299"/>
      <c r="AO1453" s="301"/>
      <c r="AP1453" s="301"/>
      <c r="AQ1453" s="426"/>
      <c r="AR1453" s="298"/>
      <c r="AS1453" s="299"/>
      <c r="AT1453" s="299"/>
      <c r="AU1453" s="301"/>
      <c r="AV1453" s="301"/>
      <c r="AW1453" s="88"/>
      <c r="AX1453" s="298"/>
      <c r="AY1453" s="299"/>
      <c r="AZ1453" s="299"/>
      <c r="BA1453" s="301"/>
      <c r="BB1453" s="301"/>
      <c r="BC1453" s="426"/>
      <c r="BD1453" s="298"/>
      <c r="BE1453" s="299"/>
      <c r="BF1453" s="299"/>
      <c r="BG1453" s="301"/>
      <c r="BH1453" s="301"/>
      <c r="BI1453" s="88"/>
      <c r="BJ1453" s="298"/>
      <c r="BK1453" s="299"/>
      <c r="BL1453" s="299"/>
      <c r="BM1453" s="301"/>
      <c r="BN1453" s="301"/>
      <c r="BO1453" s="88"/>
      <c r="BP1453" s="9"/>
      <c r="BS1453" s="81"/>
      <c r="BT1453" s="81"/>
      <c r="BV1453" s="9"/>
      <c r="BY1453" s="81"/>
      <c r="BZ1453" s="81"/>
      <c r="CB1453" s="9"/>
      <c r="CE1453" s="81"/>
      <c r="CF1453" s="81"/>
      <c r="CH1453" s="9"/>
      <c r="CK1453" s="81"/>
      <c r="CL1453" s="81"/>
      <c r="CR1453" s="9"/>
      <c r="CS1453" s="9"/>
      <c r="CT1453" s="9"/>
      <c r="CU1453" s="9"/>
      <c r="CV1453" s="9"/>
      <c r="CW1453" s="129"/>
      <c r="CX1453" s="9"/>
    </row>
    <row r="1454" spans="1:102">
      <c r="A1454" s="6" t="str">
        <f t="shared" si="221"/>
        <v>02890999</v>
      </c>
      <c r="B1454" s="6" t="s">
        <v>1939</v>
      </c>
      <c r="C1454" s="6" t="s">
        <v>2092</v>
      </c>
      <c r="D1454" s="6">
        <v>1445</v>
      </c>
      <c r="E1454" s="10">
        <v>289</v>
      </c>
      <c r="F1454" s="10" t="s">
        <v>1407</v>
      </c>
      <c r="G1454" s="10">
        <v>999</v>
      </c>
      <c r="H1454" s="10" t="s">
        <v>593</v>
      </c>
      <c r="I1454" s="92">
        <v>3899501.2136389366</v>
      </c>
      <c r="J1454" s="472">
        <v>1</v>
      </c>
      <c r="K1454" s="53">
        <f>SUM(K1450:K1453)</f>
        <v>4037979.9271215871</v>
      </c>
      <c r="L1454" s="91">
        <f>SUM(L1450:L1453)</f>
        <v>1</v>
      </c>
      <c r="M1454" s="79">
        <f>VLOOKUP(E1454,town351,24)</f>
        <v>3262775</v>
      </c>
      <c r="N1454" s="79">
        <f>SUM(N1450:N1453)</f>
        <v>3262775</v>
      </c>
      <c r="O1454" s="79">
        <v>3116606</v>
      </c>
      <c r="P1454" s="79">
        <f>SUM(P1450:P1453)</f>
        <v>146169</v>
      </c>
      <c r="Q1454" s="39">
        <f t="shared" si="229"/>
        <v>4.6900057305928309</v>
      </c>
      <c r="R1454" s="9">
        <v>280.25667350871998</v>
      </c>
      <c r="S1454" s="9">
        <f t="shared" si="227"/>
        <v>273.25576520074998</v>
      </c>
      <c r="T1454" s="90">
        <f t="shared" si="222"/>
        <v>289</v>
      </c>
      <c r="U1454" s="90">
        <f t="shared" si="223"/>
        <v>999</v>
      </c>
      <c r="V1454" s="373">
        <f t="shared" si="224"/>
        <v>1445</v>
      </c>
      <c r="W1454" s="90">
        <f t="shared" si="225"/>
        <v>273.25576520074998</v>
      </c>
      <c r="X1454" s="90">
        <f t="shared" si="226"/>
        <v>4037979.9271215871</v>
      </c>
      <c r="Y1454" s="141">
        <f t="shared" si="228"/>
        <v>1445</v>
      </c>
      <c r="Z1454" s="298">
        <v>289</v>
      </c>
      <c r="AA1454" s="299">
        <v>999</v>
      </c>
      <c r="AB1454" s="299">
        <v>1445</v>
      </c>
      <c r="AC1454" s="301">
        <v>273.25576520074998</v>
      </c>
      <c r="AD1454" s="301">
        <v>4037979.9271215871</v>
      </c>
      <c r="AE1454" s="126"/>
      <c r="AF1454" s="298"/>
      <c r="AG1454" s="299"/>
      <c r="AH1454" s="299"/>
      <c r="AI1454" s="301"/>
      <c r="AJ1454" s="301"/>
      <c r="AK1454" s="426"/>
      <c r="AL1454" s="298"/>
      <c r="AM1454" s="299"/>
      <c r="AN1454" s="299"/>
      <c r="AO1454" s="301"/>
      <c r="AP1454" s="301"/>
      <c r="AQ1454" s="426"/>
      <c r="AR1454" s="298"/>
      <c r="AS1454" s="299"/>
      <c r="AT1454" s="299"/>
      <c r="AU1454" s="301"/>
      <c r="AV1454" s="301"/>
      <c r="AW1454" s="91"/>
      <c r="AX1454" s="298"/>
      <c r="AY1454" s="299"/>
      <c r="AZ1454" s="299"/>
      <c r="BA1454" s="301"/>
      <c r="BB1454" s="301"/>
      <c r="BC1454" s="426"/>
      <c r="BD1454" s="298"/>
      <c r="BE1454" s="299"/>
      <c r="BF1454" s="299"/>
      <c r="BG1454" s="301"/>
      <c r="BH1454" s="301"/>
      <c r="BI1454" s="91"/>
      <c r="BJ1454" s="298"/>
      <c r="BK1454" s="299"/>
      <c r="BL1454" s="299"/>
      <c r="BM1454" s="301"/>
      <c r="BN1454" s="301"/>
      <c r="BO1454" s="91"/>
      <c r="BP1454" s="9"/>
      <c r="BS1454" s="81"/>
      <c r="BT1454" s="81"/>
      <c r="BV1454" s="9"/>
      <c r="BY1454" s="81"/>
      <c r="BZ1454" s="81"/>
      <c r="CB1454" s="9"/>
      <c r="CE1454" s="81"/>
      <c r="CF1454" s="81"/>
      <c r="CH1454" s="9"/>
      <c r="CK1454" s="81"/>
      <c r="CL1454" s="81"/>
      <c r="CR1454" s="9"/>
      <c r="CS1454" s="9"/>
      <c r="CT1454" s="9"/>
      <c r="CU1454" s="9"/>
      <c r="CV1454" s="9"/>
      <c r="CW1454" s="129"/>
      <c r="CX1454" s="9"/>
    </row>
    <row r="1455" spans="1:102">
      <c r="A1455" s="6" t="str">
        <f t="shared" si="221"/>
        <v>02900290</v>
      </c>
      <c r="B1455" s="6" t="s">
        <v>1940</v>
      </c>
      <c r="C1455" s="6" t="s">
        <v>1940</v>
      </c>
      <c r="D1455" s="6">
        <v>1446</v>
      </c>
      <c r="E1455" s="6">
        <v>290</v>
      </c>
      <c r="F1455" s="6" t="s">
        <v>1408</v>
      </c>
      <c r="G1455" s="6">
        <v>290</v>
      </c>
      <c r="H1455" s="6" t="s">
        <v>971</v>
      </c>
      <c r="I1455" s="33">
        <v>16076441.029999997</v>
      </c>
      <c r="J1455" s="88">
        <v>0.89021301162462507</v>
      </c>
      <c r="K1455" s="89">
        <f>X1455</f>
        <v>16892397.649999999</v>
      </c>
      <c r="L1455" s="88">
        <f>IF(K1459&gt;0, K1455/K1459, 0)</f>
        <v>0.9073921181759077</v>
      </c>
      <c r="M1455" s="58"/>
      <c r="N1455" s="9">
        <f>ROUND(M1459*L1455,0)</f>
        <v>13481611</v>
      </c>
      <c r="O1455" s="9">
        <v>12750768</v>
      </c>
      <c r="P1455" s="9">
        <f>N1455-O1455</f>
        <v>730843</v>
      </c>
      <c r="Q1455" s="40">
        <f t="shared" si="229"/>
        <v>5.7317567067332726</v>
      </c>
      <c r="R1455" s="9">
        <v>1294</v>
      </c>
      <c r="S1455" s="9">
        <f t="shared" si="227"/>
        <v>1314</v>
      </c>
      <c r="T1455" s="90">
        <f t="shared" si="222"/>
        <v>290</v>
      </c>
      <c r="U1455" s="90">
        <f t="shared" si="223"/>
        <v>290</v>
      </c>
      <c r="V1455" s="373">
        <f t="shared" si="224"/>
        <v>1446</v>
      </c>
      <c r="W1455" s="90">
        <f t="shared" si="225"/>
        <v>1314</v>
      </c>
      <c r="X1455" s="90">
        <f t="shared" si="226"/>
        <v>16892397.649999999</v>
      </c>
      <c r="Y1455" s="141">
        <f t="shared" si="228"/>
        <v>1446</v>
      </c>
      <c r="Z1455" s="298">
        <v>290</v>
      </c>
      <c r="AA1455" s="299">
        <v>290</v>
      </c>
      <c r="AB1455" s="299">
        <v>1446</v>
      </c>
      <c r="AC1455" s="301">
        <v>1314</v>
      </c>
      <c r="AD1455" s="301">
        <v>16892397.649999999</v>
      </c>
      <c r="AE1455" s="126"/>
      <c r="AF1455" s="298"/>
      <c r="AG1455" s="299"/>
      <c r="AH1455" s="299"/>
      <c r="AI1455" s="301"/>
      <c r="AJ1455" s="301"/>
      <c r="AK1455" s="426"/>
      <c r="AL1455" s="298"/>
      <c r="AM1455" s="299"/>
      <c r="AN1455" s="299"/>
      <c r="AO1455" s="301"/>
      <c r="AP1455" s="301"/>
      <c r="AQ1455" s="426"/>
      <c r="AR1455" s="298"/>
      <c r="AS1455" s="299"/>
      <c r="AT1455" s="299"/>
      <c r="AU1455" s="301"/>
      <c r="AV1455" s="301"/>
      <c r="AW1455" s="88"/>
      <c r="AX1455" s="298"/>
      <c r="AY1455" s="299"/>
      <c r="AZ1455" s="299"/>
      <c r="BA1455" s="301"/>
      <c r="BB1455" s="301"/>
      <c r="BC1455" s="426"/>
      <c r="BD1455" s="298"/>
      <c r="BE1455" s="299"/>
      <c r="BF1455" s="299"/>
      <c r="BG1455" s="301"/>
      <c r="BH1455" s="301"/>
      <c r="BI1455" s="88"/>
      <c r="BJ1455" s="298"/>
      <c r="BK1455" s="299"/>
      <c r="BL1455" s="299"/>
      <c r="BM1455" s="301"/>
      <c r="BN1455" s="301"/>
      <c r="BO1455" s="88"/>
      <c r="BP1455" s="9"/>
      <c r="BS1455" s="81"/>
      <c r="BT1455" s="81"/>
      <c r="BV1455" s="9"/>
      <c r="BY1455" s="81"/>
      <c r="BZ1455" s="81"/>
      <c r="CB1455" s="9"/>
      <c r="CE1455" s="81"/>
      <c r="CF1455" s="81"/>
      <c r="CH1455" s="9"/>
      <c r="CK1455" s="81"/>
      <c r="CL1455" s="81"/>
      <c r="CR1455" s="9"/>
      <c r="CS1455" s="9"/>
      <c r="CT1455" s="9"/>
      <c r="CU1455" s="9"/>
      <c r="CV1455" s="9"/>
      <c r="CW1455" s="129"/>
      <c r="CX1455" s="9"/>
    </row>
    <row r="1456" spans="1:102">
      <c r="A1456" s="6" t="str">
        <f t="shared" si="221"/>
        <v>02900805</v>
      </c>
      <c r="B1456" s="6" t="s">
        <v>1940</v>
      </c>
      <c r="C1456" s="6" t="s">
        <v>2063</v>
      </c>
      <c r="D1456" s="6">
        <v>1447</v>
      </c>
      <c r="E1456" s="6">
        <v>290</v>
      </c>
      <c r="F1456" s="6" t="s">
        <v>1408</v>
      </c>
      <c r="G1456" s="6">
        <v>805</v>
      </c>
      <c r="H1456" s="6" t="s">
        <v>1093</v>
      </c>
      <c r="I1456" s="33">
        <v>1982653.6137198701</v>
      </c>
      <c r="J1456" s="88">
        <v>0.10978698837537501</v>
      </c>
      <c r="K1456" s="89">
        <f t="shared" si="230"/>
        <v>1724027.7207185379</v>
      </c>
      <c r="L1456" s="88">
        <f>IF(K1459&gt;0, K1456/K1459, 0)</f>
        <v>9.2607881824092408E-2</v>
      </c>
      <c r="M1456" s="58"/>
      <c r="N1456" s="9">
        <f>ROUND(M1459*L1456,0)</f>
        <v>1375925</v>
      </c>
      <c r="O1456" s="9">
        <v>1572510</v>
      </c>
      <c r="P1456" s="9">
        <f>N1456-O1456</f>
        <v>-196585</v>
      </c>
      <c r="Q1456" s="40">
        <f t="shared" si="229"/>
        <v>-12.501351342757756</v>
      </c>
      <c r="R1456" s="9">
        <v>104.99999999436001</v>
      </c>
      <c r="S1456" s="9">
        <f t="shared" si="227"/>
        <v>88.999999999429988</v>
      </c>
      <c r="T1456" s="90">
        <f t="shared" si="222"/>
        <v>290</v>
      </c>
      <c r="U1456" s="90">
        <f t="shared" si="223"/>
        <v>805</v>
      </c>
      <c r="V1456" s="373">
        <f t="shared" si="224"/>
        <v>1447</v>
      </c>
      <c r="W1456" s="90">
        <f t="shared" si="225"/>
        <v>88.999999999429988</v>
      </c>
      <c r="X1456" s="90">
        <f t="shared" si="226"/>
        <v>1724027.7207185379</v>
      </c>
      <c r="Y1456" s="141">
        <f t="shared" si="228"/>
        <v>1447</v>
      </c>
      <c r="Z1456" s="298">
        <v>290</v>
      </c>
      <c r="AA1456" s="299">
        <v>805</v>
      </c>
      <c r="AB1456" s="299">
        <v>1447</v>
      </c>
      <c r="AC1456" s="301">
        <v>88.999999999429988</v>
      </c>
      <c r="AD1456" s="301">
        <v>1724027.7207185379</v>
      </c>
      <c r="AE1456" s="126"/>
      <c r="AF1456" s="298"/>
      <c r="AG1456" s="299"/>
      <c r="AH1456" s="299"/>
      <c r="AI1456" s="301"/>
      <c r="AJ1456" s="301"/>
      <c r="AK1456" s="426"/>
      <c r="AL1456" s="298"/>
      <c r="AM1456" s="299"/>
      <c r="AN1456" s="299"/>
      <c r="AO1456" s="301"/>
      <c r="AP1456" s="301"/>
      <c r="AQ1456" s="426"/>
      <c r="AR1456" s="298"/>
      <c r="AS1456" s="299"/>
      <c r="AT1456" s="299"/>
      <c r="AU1456" s="301"/>
      <c r="AV1456" s="301"/>
      <c r="AW1456" s="88"/>
      <c r="AX1456" s="298"/>
      <c r="AY1456" s="299"/>
      <c r="AZ1456" s="299"/>
      <c r="BA1456" s="301"/>
      <c r="BB1456" s="301"/>
      <c r="BC1456" s="426"/>
      <c r="BD1456" s="298"/>
      <c r="BE1456" s="299"/>
      <c r="BF1456" s="299"/>
      <c r="BG1456" s="301"/>
      <c r="BH1456" s="301"/>
      <c r="BI1456" s="88"/>
      <c r="BJ1456" s="298"/>
      <c r="BK1456" s="299"/>
      <c r="BL1456" s="299"/>
      <c r="BM1456" s="301"/>
      <c r="BN1456" s="301"/>
      <c r="BO1456" s="88"/>
      <c r="BP1456" s="9"/>
      <c r="BS1456" s="81"/>
      <c r="BT1456" s="81"/>
      <c r="BV1456" s="9"/>
      <c r="BY1456" s="81"/>
      <c r="BZ1456" s="81"/>
      <c r="CB1456" s="9"/>
      <c r="CE1456" s="81"/>
      <c r="CF1456" s="81"/>
      <c r="CH1456" s="9"/>
      <c r="CK1456" s="81"/>
      <c r="CL1456" s="81"/>
      <c r="CR1456" s="9"/>
      <c r="CS1456" s="9"/>
      <c r="CT1456" s="9"/>
      <c r="CU1456" s="9"/>
      <c r="CV1456" s="9"/>
      <c r="CW1456" s="129"/>
      <c r="CX1456" s="9"/>
    </row>
    <row r="1457" spans="1:102">
      <c r="A1457" s="6" t="str">
        <f t="shared" si="221"/>
        <v>02900998</v>
      </c>
      <c r="B1457" s="6" t="s">
        <v>1940</v>
      </c>
      <c r="C1457" s="6" t="s">
        <v>2091</v>
      </c>
      <c r="D1457" s="6">
        <v>1448</v>
      </c>
      <c r="E1457" s="6">
        <v>290</v>
      </c>
      <c r="F1457" s="6" t="s">
        <v>1547</v>
      </c>
      <c r="G1457" s="6">
        <v>998</v>
      </c>
      <c r="H1457" s="6" t="s">
        <v>1547</v>
      </c>
      <c r="I1457" s="33">
        <v>0</v>
      </c>
      <c r="J1457" s="88">
        <v>0</v>
      </c>
      <c r="K1457" s="89">
        <f t="shared" si="230"/>
        <v>0</v>
      </c>
      <c r="L1457" s="88">
        <f>IF(K1459&gt;0, K1457/K1459, 0)</f>
        <v>0</v>
      </c>
      <c r="M1457" s="58"/>
      <c r="N1457" s="9">
        <f>ROUND(M1459*L1457,0)</f>
        <v>0</v>
      </c>
      <c r="O1457" s="9">
        <v>0</v>
      </c>
      <c r="P1457" s="9">
        <f>N1457-O1457</f>
        <v>0</v>
      </c>
      <c r="Q1457" s="40">
        <f t="shared" si="229"/>
        <v>0</v>
      </c>
      <c r="R1457" s="9">
        <v>0</v>
      </c>
      <c r="S1457" s="9">
        <f t="shared" si="227"/>
        <v>0</v>
      </c>
      <c r="T1457" s="90">
        <f t="shared" si="222"/>
        <v>290</v>
      </c>
      <c r="U1457" s="90">
        <f t="shared" si="223"/>
        <v>998</v>
      </c>
      <c r="V1457" s="373">
        <f t="shared" si="224"/>
        <v>1448</v>
      </c>
      <c r="W1457" s="90">
        <f t="shared" si="225"/>
        <v>0</v>
      </c>
      <c r="X1457" s="90">
        <f t="shared" si="226"/>
        <v>0</v>
      </c>
      <c r="Y1457" s="141">
        <f t="shared" si="228"/>
        <v>1448</v>
      </c>
      <c r="Z1457" s="298">
        <v>290</v>
      </c>
      <c r="AA1457" s="299">
        <v>998</v>
      </c>
      <c r="AB1457" s="299">
        <v>1448</v>
      </c>
      <c r="AC1457" s="301">
        <v>0</v>
      </c>
      <c r="AD1457" s="301">
        <v>0</v>
      </c>
      <c r="AE1457" s="126"/>
      <c r="AF1457" s="298"/>
      <c r="AG1457" s="299"/>
      <c r="AH1457" s="299"/>
      <c r="AI1457" s="301"/>
      <c r="AJ1457" s="301"/>
      <c r="AK1457" s="426"/>
      <c r="AL1457" s="298"/>
      <c r="AM1457" s="299"/>
      <c r="AN1457" s="299"/>
      <c r="AO1457" s="301"/>
      <c r="AP1457" s="301"/>
      <c r="AQ1457" s="426"/>
      <c r="AR1457" s="298"/>
      <c r="AS1457" s="299"/>
      <c r="AT1457" s="299"/>
      <c r="AU1457" s="301"/>
      <c r="AV1457" s="301"/>
      <c r="AW1457" s="88"/>
      <c r="AX1457" s="298"/>
      <c r="AY1457" s="299"/>
      <c r="AZ1457" s="299"/>
      <c r="BA1457" s="301"/>
      <c r="BB1457" s="301"/>
      <c r="BC1457" s="426"/>
      <c r="BD1457" s="298"/>
      <c r="BE1457" s="299"/>
      <c r="BF1457" s="299"/>
      <c r="BG1457" s="301"/>
      <c r="BH1457" s="301"/>
      <c r="BI1457" s="88"/>
      <c r="BJ1457" s="298"/>
      <c r="BK1457" s="299"/>
      <c r="BL1457" s="299"/>
      <c r="BM1457" s="301"/>
      <c r="BN1457" s="301"/>
      <c r="BO1457" s="88"/>
      <c r="BP1457" s="9"/>
      <c r="BS1457" s="81"/>
      <c r="BT1457" s="81"/>
      <c r="BV1457" s="9"/>
      <c r="BY1457" s="81"/>
      <c r="BZ1457" s="81"/>
      <c r="CB1457" s="9"/>
      <c r="CE1457" s="81"/>
      <c r="CF1457" s="81"/>
      <c r="CH1457" s="9"/>
      <c r="CK1457" s="81"/>
      <c r="CL1457" s="81"/>
      <c r="CR1457" s="9"/>
      <c r="CS1457" s="9"/>
      <c r="CT1457" s="9"/>
      <c r="CU1457" s="9"/>
      <c r="CV1457" s="9"/>
      <c r="CW1457" s="129"/>
      <c r="CX1457" s="9"/>
    </row>
    <row r="1458" spans="1:102">
      <c r="A1458" s="6" t="str">
        <f t="shared" si="221"/>
        <v>02900998</v>
      </c>
      <c r="B1458" s="6" t="s">
        <v>1940</v>
      </c>
      <c r="C1458" s="6" t="s">
        <v>2091</v>
      </c>
      <c r="D1458" s="6">
        <v>1449</v>
      </c>
      <c r="E1458" s="6">
        <v>290</v>
      </c>
      <c r="F1458" s="6" t="s">
        <v>1547</v>
      </c>
      <c r="G1458" s="6">
        <v>998</v>
      </c>
      <c r="H1458" s="6" t="s">
        <v>1547</v>
      </c>
      <c r="I1458" s="33">
        <v>0</v>
      </c>
      <c r="J1458" s="88">
        <v>0</v>
      </c>
      <c r="K1458" s="89">
        <f t="shared" si="230"/>
        <v>0</v>
      </c>
      <c r="L1458" s="88">
        <f>IF(K1459&gt;0, K1458/K1459, 0)</f>
        <v>0</v>
      </c>
      <c r="M1458" s="58"/>
      <c r="N1458" s="9">
        <f>ROUND(M1459*L1458,0)</f>
        <v>0</v>
      </c>
      <c r="O1458" s="9">
        <v>0</v>
      </c>
      <c r="P1458" s="9">
        <f>N1458-O1458</f>
        <v>0</v>
      </c>
      <c r="Q1458" s="40">
        <f t="shared" si="229"/>
        <v>0</v>
      </c>
      <c r="R1458" s="9">
        <v>0</v>
      </c>
      <c r="S1458" s="9">
        <f t="shared" si="227"/>
        <v>0</v>
      </c>
      <c r="T1458" s="90">
        <f t="shared" si="222"/>
        <v>290</v>
      </c>
      <c r="U1458" s="90">
        <f t="shared" si="223"/>
        <v>998</v>
      </c>
      <c r="V1458" s="373">
        <f t="shared" si="224"/>
        <v>1449</v>
      </c>
      <c r="W1458" s="90">
        <f t="shared" si="225"/>
        <v>0</v>
      </c>
      <c r="X1458" s="90">
        <f t="shared" si="226"/>
        <v>0</v>
      </c>
      <c r="Y1458" s="141">
        <f t="shared" si="228"/>
        <v>1449</v>
      </c>
      <c r="Z1458" s="298">
        <v>290</v>
      </c>
      <c r="AA1458" s="299">
        <v>998</v>
      </c>
      <c r="AB1458" s="299">
        <v>1449</v>
      </c>
      <c r="AC1458" s="301">
        <v>0</v>
      </c>
      <c r="AD1458" s="301">
        <v>0</v>
      </c>
      <c r="AE1458" s="126"/>
      <c r="AF1458" s="298"/>
      <c r="AG1458" s="299"/>
      <c r="AH1458" s="299"/>
      <c r="AI1458" s="301"/>
      <c r="AJ1458" s="301"/>
      <c r="AK1458" s="426"/>
      <c r="AL1458" s="298"/>
      <c r="AM1458" s="299"/>
      <c r="AN1458" s="299"/>
      <c r="AO1458" s="301"/>
      <c r="AP1458" s="301"/>
      <c r="AQ1458" s="426"/>
      <c r="AR1458" s="298"/>
      <c r="AS1458" s="299"/>
      <c r="AT1458" s="299"/>
      <c r="AU1458" s="301"/>
      <c r="AV1458" s="301"/>
      <c r="AW1458" s="88"/>
      <c r="AX1458" s="298"/>
      <c r="AY1458" s="299"/>
      <c r="AZ1458" s="299"/>
      <c r="BA1458" s="301"/>
      <c r="BB1458" s="301"/>
      <c r="BC1458" s="426"/>
      <c r="BD1458" s="298"/>
      <c r="BE1458" s="299"/>
      <c r="BF1458" s="299"/>
      <c r="BG1458" s="301"/>
      <c r="BH1458" s="301"/>
      <c r="BI1458" s="88"/>
      <c r="BJ1458" s="298"/>
      <c r="BK1458" s="299"/>
      <c r="BL1458" s="299"/>
      <c r="BM1458" s="301"/>
      <c r="BN1458" s="301"/>
      <c r="BO1458" s="88"/>
      <c r="BP1458" s="9"/>
      <c r="BS1458" s="81"/>
      <c r="BT1458" s="81"/>
      <c r="BV1458" s="9"/>
      <c r="BY1458" s="81"/>
      <c r="BZ1458" s="81"/>
      <c r="CB1458" s="9"/>
      <c r="CE1458" s="81"/>
      <c r="CF1458" s="81"/>
      <c r="CH1458" s="9"/>
      <c r="CK1458" s="81"/>
      <c r="CL1458" s="81"/>
      <c r="CR1458" s="9"/>
      <c r="CS1458" s="9"/>
      <c r="CT1458" s="9"/>
      <c r="CU1458" s="9"/>
      <c r="CV1458" s="9"/>
      <c r="CW1458" s="129"/>
      <c r="CX1458" s="9"/>
    </row>
    <row r="1459" spans="1:102">
      <c r="A1459" s="6" t="str">
        <f t="shared" si="221"/>
        <v>02900999</v>
      </c>
      <c r="B1459" s="6" t="s">
        <v>1940</v>
      </c>
      <c r="C1459" s="6" t="s">
        <v>2092</v>
      </c>
      <c r="D1459" s="6">
        <v>1450</v>
      </c>
      <c r="E1459" s="10">
        <v>290</v>
      </c>
      <c r="F1459" s="10" t="s">
        <v>1408</v>
      </c>
      <c r="G1459" s="10">
        <v>999</v>
      </c>
      <c r="H1459" s="10" t="s">
        <v>593</v>
      </c>
      <c r="I1459" s="92">
        <v>18059094.643719867</v>
      </c>
      <c r="J1459" s="472">
        <v>1</v>
      </c>
      <c r="K1459" s="53">
        <f>SUM(K1455:K1458)</f>
        <v>18616425.370718535</v>
      </c>
      <c r="L1459" s="91">
        <f>SUM(L1455:L1458)</f>
        <v>1</v>
      </c>
      <c r="M1459" s="79">
        <f>VLOOKUP(E1459,town351,24)</f>
        <v>14857536</v>
      </c>
      <c r="N1459" s="79">
        <f>SUM(N1455:N1458)</f>
        <v>14857536</v>
      </c>
      <c r="O1459" s="79">
        <v>14323278</v>
      </c>
      <c r="P1459" s="79">
        <f>SUM(P1455:P1458)</f>
        <v>534258</v>
      </c>
      <c r="Q1459" s="39">
        <f t="shared" si="229"/>
        <v>3.7299981191456313</v>
      </c>
      <c r="R1459" s="9">
        <v>1398.99999999436</v>
      </c>
      <c r="S1459" s="9">
        <f t="shared" si="227"/>
        <v>1402.99999999943</v>
      </c>
      <c r="T1459" s="90">
        <f t="shared" si="222"/>
        <v>290</v>
      </c>
      <c r="U1459" s="90">
        <f t="shared" si="223"/>
        <v>999</v>
      </c>
      <c r="V1459" s="373">
        <f t="shared" si="224"/>
        <v>1450</v>
      </c>
      <c r="W1459" s="90">
        <f t="shared" si="225"/>
        <v>1402.99999999943</v>
      </c>
      <c r="X1459" s="90">
        <f t="shared" si="226"/>
        <v>18616425.370718535</v>
      </c>
      <c r="Y1459" s="141">
        <f t="shared" si="228"/>
        <v>1450</v>
      </c>
      <c r="Z1459" s="298">
        <v>290</v>
      </c>
      <c r="AA1459" s="299">
        <v>999</v>
      </c>
      <c r="AB1459" s="299">
        <v>1450</v>
      </c>
      <c r="AC1459" s="301">
        <v>1402.99999999943</v>
      </c>
      <c r="AD1459" s="301">
        <v>18616425.370718535</v>
      </c>
      <c r="AE1459" s="126"/>
      <c r="AF1459" s="298"/>
      <c r="AG1459" s="299"/>
      <c r="AH1459" s="299"/>
      <c r="AI1459" s="301"/>
      <c r="AJ1459" s="301"/>
      <c r="AK1459" s="426"/>
      <c r="AL1459" s="298"/>
      <c r="AM1459" s="299"/>
      <c r="AN1459" s="299"/>
      <c r="AO1459" s="301"/>
      <c r="AP1459" s="301"/>
      <c r="AQ1459" s="426"/>
      <c r="AR1459" s="298"/>
      <c r="AS1459" s="299"/>
      <c r="AT1459" s="299"/>
      <c r="AU1459" s="301"/>
      <c r="AV1459" s="301"/>
      <c r="AW1459" s="91"/>
      <c r="AX1459" s="298"/>
      <c r="AY1459" s="299"/>
      <c r="AZ1459" s="299"/>
      <c r="BA1459" s="301"/>
      <c r="BB1459" s="301"/>
      <c r="BC1459" s="426"/>
      <c r="BD1459" s="298"/>
      <c r="BE1459" s="299"/>
      <c r="BF1459" s="299"/>
      <c r="BG1459" s="301"/>
      <c r="BH1459" s="301"/>
      <c r="BI1459" s="91"/>
      <c r="BJ1459" s="298"/>
      <c r="BK1459" s="299"/>
      <c r="BL1459" s="299"/>
      <c r="BM1459" s="301"/>
      <c r="BN1459" s="301"/>
      <c r="BO1459" s="91"/>
      <c r="BP1459" s="9"/>
      <c r="BS1459" s="81"/>
      <c r="BT1459" s="81"/>
      <c r="BV1459" s="9"/>
      <c r="BY1459" s="81"/>
      <c r="BZ1459" s="81"/>
      <c r="CB1459" s="9"/>
      <c r="CE1459" s="81"/>
      <c r="CF1459" s="81"/>
      <c r="CH1459" s="9"/>
      <c r="CK1459" s="81"/>
      <c r="CL1459" s="81"/>
      <c r="CR1459" s="9"/>
      <c r="CS1459" s="9"/>
      <c r="CT1459" s="9"/>
      <c r="CU1459" s="9"/>
      <c r="CV1459" s="9"/>
      <c r="CW1459" s="129"/>
      <c r="CX1459" s="9"/>
    </row>
    <row r="1460" spans="1:102">
      <c r="A1460" s="6" t="str">
        <f t="shared" si="221"/>
        <v>02910291</v>
      </c>
      <c r="B1460" s="6" t="s">
        <v>1941</v>
      </c>
      <c r="C1460" s="6" t="s">
        <v>1941</v>
      </c>
      <c r="D1460" s="6">
        <v>1451</v>
      </c>
      <c r="E1460" s="6">
        <v>291</v>
      </c>
      <c r="F1460" s="6" t="s">
        <v>1409</v>
      </c>
      <c r="G1460" s="6">
        <v>291</v>
      </c>
      <c r="H1460" s="6" t="s">
        <v>972</v>
      </c>
      <c r="I1460" s="33">
        <v>26012947.399999999</v>
      </c>
      <c r="J1460" s="88">
        <v>0.97848869216071244</v>
      </c>
      <c r="K1460" s="89">
        <f>X1460</f>
        <v>26943739.010000002</v>
      </c>
      <c r="L1460" s="88">
        <f>IF(K1464&gt;0, K1460/K1464, 0)</f>
        <v>0.98234535924191013</v>
      </c>
      <c r="M1460" s="58"/>
      <c r="N1460" s="9">
        <f>ROUND(M1464*L1460,0)</f>
        <v>21599799</v>
      </c>
      <c r="O1460" s="9">
        <v>20898493</v>
      </c>
      <c r="P1460" s="9">
        <f>N1460-O1460</f>
        <v>701306</v>
      </c>
      <c r="Q1460" s="40">
        <f t="shared" si="229"/>
        <v>3.3557730693787344</v>
      </c>
      <c r="R1460" s="9">
        <v>2024</v>
      </c>
      <c r="S1460" s="9">
        <f t="shared" si="227"/>
        <v>2040</v>
      </c>
      <c r="T1460" s="90">
        <f t="shared" si="222"/>
        <v>291</v>
      </c>
      <c r="U1460" s="90">
        <f t="shared" si="223"/>
        <v>291</v>
      </c>
      <c r="V1460" s="373">
        <f t="shared" si="224"/>
        <v>1451</v>
      </c>
      <c r="W1460" s="90">
        <f t="shared" si="225"/>
        <v>2040</v>
      </c>
      <c r="X1460" s="90">
        <f t="shared" si="226"/>
        <v>26943739.010000002</v>
      </c>
      <c r="Y1460" s="141">
        <f t="shared" si="228"/>
        <v>1451</v>
      </c>
      <c r="Z1460" s="298">
        <v>291</v>
      </c>
      <c r="AA1460" s="299">
        <v>291</v>
      </c>
      <c r="AB1460" s="299">
        <v>1451</v>
      </c>
      <c r="AC1460" s="301">
        <v>2040</v>
      </c>
      <c r="AD1460" s="301">
        <v>26943739.010000002</v>
      </c>
      <c r="AE1460" s="126"/>
      <c r="AF1460" s="298"/>
      <c r="AG1460" s="299"/>
      <c r="AH1460" s="299"/>
      <c r="AI1460" s="301"/>
      <c r="AJ1460" s="301"/>
      <c r="AK1460" s="426"/>
      <c r="AL1460" s="298"/>
      <c r="AM1460" s="299"/>
      <c r="AN1460" s="299"/>
      <c r="AO1460" s="301"/>
      <c r="AP1460" s="301"/>
      <c r="AQ1460" s="426"/>
      <c r="AR1460" s="298"/>
      <c r="AS1460" s="299"/>
      <c r="AT1460" s="299"/>
      <c r="AU1460" s="301"/>
      <c r="AV1460" s="301"/>
      <c r="AW1460" s="88"/>
      <c r="AX1460" s="298"/>
      <c r="AY1460" s="299"/>
      <c r="AZ1460" s="299"/>
      <c r="BA1460" s="301"/>
      <c r="BB1460" s="301"/>
      <c r="BC1460" s="426"/>
      <c r="BD1460" s="298"/>
      <c r="BE1460" s="299"/>
      <c r="BF1460" s="299"/>
      <c r="BG1460" s="301"/>
      <c r="BH1460" s="301"/>
      <c r="BI1460" s="88"/>
      <c r="BJ1460" s="298"/>
      <c r="BK1460" s="299"/>
      <c r="BL1460" s="299"/>
      <c r="BM1460" s="301"/>
      <c r="BN1460" s="301"/>
      <c r="BO1460" s="88"/>
      <c r="BP1460" s="9"/>
      <c r="BS1460" s="81"/>
      <c r="BT1460" s="81"/>
      <c r="BV1460" s="9"/>
      <c r="BY1460" s="81"/>
      <c r="BZ1460" s="81"/>
      <c r="CB1460" s="9"/>
      <c r="CE1460" s="81"/>
      <c r="CF1460" s="81"/>
      <c r="CH1460" s="9"/>
      <c r="CK1460" s="81"/>
      <c r="CL1460" s="81"/>
      <c r="CR1460" s="9"/>
      <c r="CS1460" s="9"/>
      <c r="CT1460" s="9"/>
      <c r="CU1460" s="9"/>
      <c r="CV1460" s="9"/>
      <c r="CW1460" s="129"/>
      <c r="CX1460" s="9"/>
    </row>
    <row r="1461" spans="1:102">
      <c r="A1461" s="6" t="str">
        <f t="shared" si="221"/>
        <v>02910817</v>
      </c>
      <c r="B1461" s="6" t="s">
        <v>1941</v>
      </c>
      <c r="C1461" s="6" t="s">
        <v>2067</v>
      </c>
      <c r="D1461" s="6">
        <v>1452</v>
      </c>
      <c r="E1461" s="6">
        <v>291</v>
      </c>
      <c r="F1461" s="6" t="s">
        <v>1409</v>
      </c>
      <c r="G1461" s="6">
        <v>817</v>
      </c>
      <c r="H1461" s="6" t="s">
        <v>1097</v>
      </c>
      <c r="I1461" s="33">
        <v>571874.28307723976</v>
      </c>
      <c r="J1461" s="88">
        <v>2.1511307839287501E-2</v>
      </c>
      <c r="K1461" s="89">
        <f t="shared" si="230"/>
        <v>484230.95648191468</v>
      </c>
      <c r="L1461" s="88">
        <f>IF(K1464&gt;0, K1461/K1464, 0)</f>
        <v>1.7654640758089805E-2</v>
      </c>
      <c r="M1461" s="58"/>
      <c r="N1461" s="9">
        <f>ROUND(M1464*L1461,0)</f>
        <v>388190</v>
      </c>
      <c r="O1461" s="9">
        <v>459437</v>
      </c>
      <c r="P1461" s="9">
        <f>N1461-O1461</f>
        <v>-71247</v>
      </c>
      <c r="Q1461" s="40">
        <f t="shared" si="229"/>
        <v>-15.507458041037182</v>
      </c>
      <c r="R1461" s="9">
        <v>28.999999997370001</v>
      </c>
      <c r="S1461" s="9">
        <f t="shared" si="227"/>
        <v>23.999999994</v>
      </c>
      <c r="T1461" s="90">
        <f t="shared" si="222"/>
        <v>291</v>
      </c>
      <c r="U1461" s="90">
        <f t="shared" si="223"/>
        <v>817</v>
      </c>
      <c r="V1461" s="373">
        <f t="shared" si="224"/>
        <v>1452</v>
      </c>
      <c r="W1461" s="90">
        <f t="shared" si="225"/>
        <v>23.999999994</v>
      </c>
      <c r="X1461" s="90">
        <f t="shared" si="226"/>
        <v>484230.95648191468</v>
      </c>
      <c r="Y1461" s="141">
        <f t="shared" si="228"/>
        <v>1452</v>
      </c>
      <c r="Z1461" s="298">
        <v>291</v>
      </c>
      <c r="AA1461" s="299">
        <v>817</v>
      </c>
      <c r="AB1461" s="299">
        <v>1452</v>
      </c>
      <c r="AC1461" s="301">
        <v>23.999999994</v>
      </c>
      <c r="AD1461" s="301">
        <v>484230.95648191468</v>
      </c>
      <c r="AE1461" s="126"/>
      <c r="AF1461" s="298"/>
      <c r="AG1461" s="299"/>
      <c r="AH1461" s="299"/>
      <c r="AI1461" s="301"/>
      <c r="AJ1461" s="301"/>
      <c r="AK1461" s="426"/>
      <c r="AL1461" s="298"/>
      <c r="AM1461" s="299"/>
      <c r="AN1461" s="299"/>
      <c r="AO1461" s="301"/>
      <c r="AP1461" s="301"/>
      <c r="AQ1461" s="426"/>
      <c r="AR1461" s="298"/>
      <c r="AS1461" s="299"/>
      <c r="AT1461" s="299"/>
      <c r="AU1461" s="301"/>
      <c r="AV1461" s="301"/>
      <c r="AW1461" s="88"/>
      <c r="AX1461" s="298"/>
      <c r="AY1461" s="299"/>
      <c r="AZ1461" s="299"/>
      <c r="BA1461" s="301"/>
      <c r="BB1461" s="301"/>
      <c r="BC1461" s="426"/>
      <c r="BD1461" s="298"/>
      <c r="BE1461" s="299"/>
      <c r="BF1461" s="299"/>
      <c r="BG1461" s="301"/>
      <c r="BH1461" s="301"/>
      <c r="BI1461" s="88"/>
      <c r="BJ1461" s="298"/>
      <c r="BK1461" s="299"/>
      <c r="BL1461" s="299"/>
      <c r="BM1461" s="301"/>
      <c r="BN1461" s="301"/>
      <c r="BO1461" s="88"/>
      <c r="BP1461" s="9"/>
      <c r="BS1461" s="81"/>
      <c r="BT1461" s="81"/>
      <c r="BV1461" s="9"/>
      <c r="BY1461" s="81"/>
      <c r="BZ1461" s="81"/>
      <c r="CB1461" s="9"/>
      <c r="CE1461" s="81"/>
      <c r="CF1461" s="81"/>
      <c r="CH1461" s="9"/>
      <c r="CK1461" s="81"/>
      <c r="CL1461" s="81"/>
      <c r="CR1461" s="9"/>
      <c r="CS1461" s="9"/>
      <c r="CT1461" s="9"/>
      <c r="CU1461" s="9"/>
      <c r="CV1461" s="9"/>
      <c r="CW1461" s="129"/>
      <c r="CX1461" s="9"/>
    </row>
    <row r="1462" spans="1:102">
      <c r="A1462" s="6" t="str">
        <f t="shared" si="221"/>
        <v>02910998</v>
      </c>
      <c r="B1462" s="6" t="s">
        <v>1941</v>
      </c>
      <c r="C1462" s="6" t="s">
        <v>2091</v>
      </c>
      <c r="D1462" s="6">
        <v>1453</v>
      </c>
      <c r="E1462" s="6">
        <v>291</v>
      </c>
      <c r="F1462" s="6" t="s">
        <v>1547</v>
      </c>
      <c r="G1462" s="6">
        <v>998</v>
      </c>
      <c r="I1462" s="33">
        <v>0</v>
      </c>
      <c r="J1462" s="88">
        <v>0</v>
      </c>
      <c r="K1462" s="89">
        <f t="shared" si="230"/>
        <v>0</v>
      </c>
      <c r="L1462" s="88">
        <f>IF(K1464&gt;0, K1462/K1464, 0)</f>
        <v>0</v>
      </c>
      <c r="M1462" s="58"/>
      <c r="N1462" s="9">
        <f>ROUND(M1464*L1462,0)</f>
        <v>0</v>
      </c>
      <c r="O1462" s="9">
        <v>0</v>
      </c>
      <c r="P1462" s="9">
        <f>N1462-O1462</f>
        <v>0</v>
      </c>
      <c r="Q1462" s="40">
        <f t="shared" si="229"/>
        <v>0</v>
      </c>
      <c r="R1462" s="9">
        <v>0</v>
      </c>
      <c r="S1462" s="9">
        <f t="shared" si="227"/>
        <v>0</v>
      </c>
      <c r="T1462" s="90">
        <f t="shared" si="222"/>
        <v>291</v>
      </c>
      <c r="U1462" s="90">
        <f t="shared" si="223"/>
        <v>998</v>
      </c>
      <c r="V1462" s="373">
        <f t="shared" si="224"/>
        <v>1453</v>
      </c>
      <c r="W1462" s="90">
        <f t="shared" si="225"/>
        <v>0</v>
      </c>
      <c r="X1462" s="90">
        <f t="shared" si="226"/>
        <v>0</v>
      </c>
      <c r="Y1462" s="141">
        <f t="shared" si="228"/>
        <v>1453</v>
      </c>
      <c r="Z1462" s="298">
        <v>291</v>
      </c>
      <c r="AA1462" s="299">
        <v>998</v>
      </c>
      <c r="AB1462" s="299">
        <v>1453</v>
      </c>
      <c r="AC1462" s="301">
        <v>0</v>
      </c>
      <c r="AD1462" s="301">
        <v>0</v>
      </c>
      <c r="AE1462" s="126"/>
      <c r="AF1462" s="298"/>
      <c r="AG1462" s="299"/>
      <c r="AH1462" s="299"/>
      <c r="AI1462" s="301"/>
      <c r="AJ1462" s="301"/>
      <c r="AK1462" s="426"/>
      <c r="AL1462" s="298"/>
      <c r="AM1462" s="299"/>
      <c r="AN1462" s="299"/>
      <c r="AO1462" s="301"/>
      <c r="AP1462" s="301"/>
      <c r="AQ1462" s="426"/>
      <c r="AR1462" s="298"/>
      <c r="AS1462" s="299"/>
      <c r="AT1462" s="299"/>
      <c r="AU1462" s="301"/>
      <c r="AV1462" s="301"/>
      <c r="AW1462" s="88"/>
      <c r="AX1462" s="298"/>
      <c r="AY1462" s="299"/>
      <c r="AZ1462" s="299"/>
      <c r="BA1462" s="301"/>
      <c r="BB1462" s="301"/>
      <c r="BC1462" s="426"/>
      <c r="BD1462" s="298"/>
      <c r="BE1462" s="299"/>
      <c r="BF1462" s="299"/>
      <c r="BG1462" s="301"/>
      <c r="BH1462" s="301"/>
      <c r="BI1462" s="88"/>
      <c r="BJ1462" s="298"/>
      <c r="BK1462" s="299"/>
      <c r="BL1462" s="299"/>
      <c r="BM1462" s="301"/>
      <c r="BN1462" s="301"/>
      <c r="BO1462" s="88"/>
      <c r="BP1462" s="9"/>
      <c r="BS1462" s="81"/>
      <c r="BT1462" s="81"/>
      <c r="BV1462" s="9"/>
      <c r="BY1462" s="81"/>
      <c r="BZ1462" s="81"/>
      <c r="CB1462" s="9"/>
      <c r="CE1462" s="81"/>
      <c r="CF1462" s="81"/>
      <c r="CH1462" s="9"/>
      <c r="CK1462" s="81"/>
      <c r="CL1462" s="81"/>
      <c r="CR1462" s="9"/>
      <c r="CS1462" s="9"/>
      <c r="CT1462" s="9"/>
      <c r="CU1462" s="9"/>
      <c r="CV1462" s="9"/>
      <c r="CW1462" s="129"/>
      <c r="CX1462" s="9"/>
    </row>
    <row r="1463" spans="1:102">
      <c r="A1463" s="6" t="str">
        <f t="shared" si="221"/>
        <v>02910998</v>
      </c>
      <c r="B1463" s="6" t="s">
        <v>1941</v>
      </c>
      <c r="C1463" s="6" t="s">
        <v>2091</v>
      </c>
      <c r="D1463" s="6">
        <v>1454</v>
      </c>
      <c r="E1463" s="6">
        <v>291</v>
      </c>
      <c r="F1463" s="6" t="s">
        <v>1547</v>
      </c>
      <c r="G1463" s="6">
        <v>998</v>
      </c>
      <c r="H1463" s="6" t="s">
        <v>1547</v>
      </c>
      <c r="I1463" s="33">
        <v>0</v>
      </c>
      <c r="J1463" s="88">
        <v>0</v>
      </c>
      <c r="K1463" s="89">
        <f t="shared" si="230"/>
        <v>0</v>
      </c>
      <c r="L1463" s="88">
        <f>IF(K1464&gt;0, K1463/K1464, 0)</f>
        <v>0</v>
      </c>
      <c r="M1463" s="58"/>
      <c r="N1463" s="9">
        <f>ROUND(M1464*L1463,0)</f>
        <v>0</v>
      </c>
      <c r="O1463" s="9">
        <v>0</v>
      </c>
      <c r="P1463" s="9">
        <f>N1463-O1463</f>
        <v>0</v>
      </c>
      <c r="Q1463" s="40">
        <f t="shared" si="229"/>
        <v>0</v>
      </c>
      <c r="R1463" s="9">
        <v>0</v>
      </c>
      <c r="S1463" s="9">
        <f t="shared" si="227"/>
        <v>0</v>
      </c>
      <c r="T1463" s="90">
        <f t="shared" si="222"/>
        <v>291</v>
      </c>
      <c r="U1463" s="90">
        <f t="shared" si="223"/>
        <v>998</v>
      </c>
      <c r="V1463" s="373">
        <f t="shared" si="224"/>
        <v>1454</v>
      </c>
      <c r="W1463" s="90">
        <f t="shared" si="225"/>
        <v>0</v>
      </c>
      <c r="X1463" s="90">
        <f t="shared" si="226"/>
        <v>0</v>
      </c>
      <c r="Y1463" s="141">
        <f t="shared" si="228"/>
        <v>1454</v>
      </c>
      <c r="Z1463" s="298">
        <v>291</v>
      </c>
      <c r="AA1463" s="299">
        <v>998</v>
      </c>
      <c r="AB1463" s="299">
        <v>1454</v>
      </c>
      <c r="AC1463" s="301">
        <v>0</v>
      </c>
      <c r="AD1463" s="301">
        <v>0</v>
      </c>
      <c r="AE1463" s="126"/>
      <c r="AF1463" s="298"/>
      <c r="AG1463" s="299"/>
      <c r="AH1463" s="299"/>
      <c r="AI1463" s="301"/>
      <c r="AJ1463" s="301"/>
      <c r="AK1463" s="426"/>
      <c r="AL1463" s="298"/>
      <c r="AM1463" s="299"/>
      <c r="AN1463" s="299"/>
      <c r="AO1463" s="301"/>
      <c r="AP1463" s="301"/>
      <c r="AQ1463" s="426"/>
      <c r="AR1463" s="298"/>
      <c r="AS1463" s="299"/>
      <c r="AT1463" s="299"/>
      <c r="AU1463" s="301"/>
      <c r="AV1463" s="301"/>
      <c r="AW1463" s="88"/>
      <c r="AX1463" s="298"/>
      <c r="AY1463" s="299"/>
      <c r="AZ1463" s="299"/>
      <c r="BA1463" s="301"/>
      <c r="BB1463" s="301"/>
      <c r="BC1463" s="426"/>
      <c r="BD1463" s="298"/>
      <c r="BE1463" s="299"/>
      <c r="BF1463" s="299"/>
      <c r="BG1463" s="301"/>
      <c r="BH1463" s="301"/>
      <c r="BI1463" s="88"/>
      <c r="BJ1463" s="298"/>
      <c r="BK1463" s="299"/>
      <c r="BL1463" s="299"/>
      <c r="BM1463" s="301"/>
      <c r="BN1463" s="301"/>
      <c r="BO1463" s="88"/>
      <c r="BP1463" s="9"/>
      <c r="BS1463" s="81"/>
      <c r="BT1463" s="81"/>
      <c r="BV1463" s="9"/>
      <c r="BY1463" s="81"/>
      <c r="BZ1463" s="81"/>
      <c r="CB1463" s="9"/>
      <c r="CE1463" s="81"/>
      <c r="CF1463" s="81"/>
      <c r="CH1463" s="9"/>
      <c r="CK1463" s="81"/>
      <c r="CL1463" s="81"/>
      <c r="CR1463" s="9"/>
      <c r="CS1463" s="9"/>
      <c r="CT1463" s="9"/>
      <c r="CU1463" s="9"/>
      <c r="CV1463" s="9"/>
      <c r="CW1463" s="129"/>
      <c r="CX1463" s="9"/>
    </row>
    <row r="1464" spans="1:102">
      <c r="A1464" s="6" t="str">
        <f t="shared" si="221"/>
        <v>02910999</v>
      </c>
      <c r="B1464" s="6" t="s">
        <v>1941</v>
      </c>
      <c r="C1464" s="6" t="s">
        <v>2092</v>
      </c>
      <c r="D1464" s="6">
        <v>1455</v>
      </c>
      <c r="E1464" s="10">
        <v>291</v>
      </c>
      <c r="F1464" s="10" t="s">
        <v>1409</v>
      </c>
      <c r="G1464" s="10">
        <v>999</v>
      </c>
      <c r="H1464" s="10" t="s">
        <v>593</v>
      </c>
      <c r="I1464" s="92">
        <v>26584821.683077239</v>
      </c>
      <c r="J1464" s="472">
        <v>0.99999999999999989</v>
      </c>
      <c r="K1464" s="53">
        <f>SUM(K1460:K1463)</f>
        <v>27427969.966481917</v>
      </c>
      <c r="L1464" s="91">
        <f>SUM(L1460:L1463)</f>
        <v>0.99999999999999989</v>
      </c>
      <c r="M1464" s="79">
        <f>VLOOKUP(E1464,town351,24)</f>
        <v>21987989</v>
      </c>
      <c r="N1464" s="79">
        <f>SUM(N1460:N1463)</f>
        <v>21987989</v>
      </c>
      <c r="O1464" s="79">
        <v>21357930</v>
      </c>
      <c r="P1464" s="79">
        <f>SUM(P1460:P1463)</f>
        <v>630059</v>
      </c>
      <c r="Q1464" s="39">
        <f t="shared" si="229"/>
        <v>2.9500003043366094</v>
      </c>
      <c r="R1464" s="9">
        <v>2052.9999999973702</v>
      </c>
      <c r="S1464" s="9">
        <f t="shared" si="227"/>
        <v>2063.9999999940001</v>
      </c>
      <c r="T1464" s="90">
        <f t="shared" si="222"/>
        <v>291</v>
      </c>
      <c r="U1464" s="90">
        <f t="shared" si="223"/>
        <v>999</v>
      </c>
      <c r="V1464" s="373">
        <f t="shared" si="224"/>
        <v>1455</v>
      </c>
      <c r="W1464" s="90">
        <f t="shared" si="225"/>
        <v>2063.9999999940001</v>
      </c>
      <c r="X1464" s="90">
        <f t="shared" si="226"/>
        <v>27427969.966481917</v>
      </c>
      <c r="Y1464" s="141">
        <f t="shared" si="228"/>
        <v>1455</v>
      </c>
      <c r="Z1464" s="298">
        <v>291</v>
      </c>
      <c r="AA1464" s="299">
        <v>999</v>
      </c>
      <c r="AB1464" s="299">
        <v>1455</v>
      </c>
      <c r="AC1464" s="301">
        <v>2063.9999999940001</v>
      </c>
      <c r="AD1464" s="301">
        <v>27427969.966481917</v>
      </c>
      <c r="AE1464" s="126"/>
      <c r="AF1464" s="298"/>
      <c r="AG1464" s="299"/>
      <c r="AH1464" s="299"/>
      <c r="AI1464" s="301"/>
      <c r="AJ1464" s="301"/>
      <c r="AK1464" s="426"/>
      <c r="AL1464" s="298"/>
      <c r="AM1464" s="299"/>
      <c r="AN1464" s="299"/>
      <c r="AO1464" s="301"/>
      <c r="AP1464" s="301"/>
      <c r="AQ1464" s="426"/>
      <c r="AR1464" s="298"/>
      <c r="AS1464" s="299"/>
      <c r="AT1464" s="299"/>
      <c r="AU1464" s="301"/>
      <c r="AV1464" s="301"/>
      <c r="AW1464" s="91"/>
      <c r="AX1464" s="298"/>
      <c r="AY1464" s="299"/>
      <c r="AZ1464" s="299"/>
      <c r="BA1464" s="301"/>
      <c r="BB1464" s="301"/>
      <c r="BC1464" s="426"/>
      <c r="BD1464" s="298"/>
      <c r="BE1464" s="299"/>
      <c r="BF1464" s="299"/>
      <c r="BG1464" s="301"/>
      <c r="BH1464" s="301"/>
      <c r="BI1464" s="91"/>
      <c r="BJ1464" s="298"/>
      <c r="BK1464" s="299"/>
      <c r="BL1464" s="299"/>
      <c r="BM1464" s="301"/>
      <c r="BN1464" s="301"/>
      <c r="BO1464" s="91"/>
      <c r="BP1464" s="9"/>
      <c r="BS1464" s="81"/>
      <c r="BT1464" s="81"/>
      <c r="BV1464" s="9"/>
      <c r="BY1464" s="81"/>
      <c r="BZ1464" s="81"/>
      <c r="CB1464" s="9"/>
      <c r="CE1464" s="81"/>
      <c r="CF1464" s="81"/>
      <c r="CH1464" s="9"/>
      <c r="CK1464" s="81"/>
      <c r="CL1464" s="81"/>
      <c r="CR1464" s="9"/>
      <c r="CS1464" s="9"/>
      <c r="CT1464" s="9"/>
      <c r="CU1464" s="9"/>
      <c r="CV1464" s="9"/>
      <c r="CW1464" s="129"/>
      <c r="CX1464" s="9"/>
    </row>
    <row r="1465" spans="1:102">
      <c r="A1465" s="6" t="str">
        <f t="shared" si="221"/>
        <v>02920292</v>
      </c>
      <c r="B1465" s="6" t="s">
        <v>1942</v>
      </c>
      <c r="C1465" s="6" t="s">
        <v>1942</v>
      </c>
      <c r="D1465" s="6">
        <v>1456</v>
      </c>
      <c r="E1465" s="6">
        <v>292</v>
      </c>
      <c r="F1465" s="6" t="s">
        <v>1410</v>
      </c>
      <c r="G1465" s="6">
        <v>292</v>
      </c>
      <c r="H1465" s="6" t="s">
        <v>973</v>
      </c>
      <c r="I1465" s="33">
        <v>26694462.580000002</v>
      </c>
      <c r="J1465" s="88">
        <v>0.89217695616829307</v>
      </c>
      <c r="K1465" s="89">
        <f>X1465</f>
        <v>28125194.139999993</v>
      </c>
      <c r="L1465" s="88">
        <f>IF(K1469&gt;0, K1465/K1469, 0)</f>
        <v>0.88565101667742319</v>
      </c>
      <c r="M1465" s="58"/>
      <c r="N1465" s="9">
        <f>ROUND(M1469*L1465,0)</f>
        <v>17101306</v>
      </c>
      <c r="O1465" s="9">
        <v>16252187</v>
      </c>
      <c r="P1465" s="9">
        <f>N1465-O1465</f>
        <v>849119</v>
      </c>
      <c r="Q1465" s="40">
        <f t="shared" si="229"/>
        <v>5.2246445355323567</v>
      </c>
      <c r="R1465" s="9">
        <v>2033</v>
      </c>
      <c r="S1465" s="9">
        <f t="shared" si="227"/>
        <v>2081</v>
      </c>
      <c r="T1465" s="90">
        <f t="shared" si="222"/>
        <v>292</v>
      </c>
      <c r="U1465" s="90">
        <f t="shared" si="223"/>
        <v>292</v>
      </c>
      <c r="V1465" s="373">
        <f t="shared" si="224"/>
        <v>1456</v>
      </c>
      <c r="W1465" s="90">
        <f t="shared" si="225"/>
        <v>2081</v>
      </c>
      <c r="X1465" s="90">
        <f t="shared" si="226"/>
        <v>28125194.139999993</v>
      </c>
      <c r="Y1465" s="141">
        <f t="shared" si="228"/>
        <v>1456</v>
      </c>
      <c r="Z1465" s="298">
        <v>292</v>
      </c>
      <c r="AA1465" s="299">
        <v>292</v>
      </c>
      <c r="AB1465" s="299">
        <v>1456</v>
      </c>
      <c r="AC1465" s="301">
        <v>2081</v>
      </c>
      <c r="AD1465" s="301">
        <v>28125194.139999993</v>
      </c>
      <c r="AE1465" s="126"/>
      <c r="AF1465" s="298"/>
      <c r="AG1465" s="299"/>
      <c r="AH1465" s="299"/>
      <c r="AI1465" s="301"/>
      <c r="AJ1465" s="301"/>
      <c r="AK1465" s="426"/>
      <c r="AL1465" s="298"/>
      <c r="AM1465" s="299"/>
      <c r="AN1465" s="299"/>
      <c r="AO1465" s="301"/>
      <c r="AP1465" s="301"/>
      <c r="AQ1465" s="426"/>
      <c r="AR1465" s="298"/>
      <c r="AS1465" s="299"/>
      <c r="AT1465" s="299"/>
      <c r="AU1465" s="301"/>
      <c r="AV1465" s="301"/>
      <c r="AW1465" s="88"/>
      <c r="AX1465" s="298"/>
      <c r="AY1465" s="299"/>
      <c r="AZ1465" s="299"/>
      <c r="BA1465" s="301"/>
      <c r="BB1465" s="301"/>
      <c r="BC1465" s="426"/>
      <c r="BD1465" s="298"/>
      <c r="BE1465" s="299"/>
      <c r="BF1465" s="299"/>
      <c r="BG1465" s="301"/>
      <c r="BH1465" s="301"/>
      <c r="BI1465" s="88"/>
      <c r="BJ1465" s="298"/>
      <c r="BK1465" s="299"/>
      <c r="BL1465" s="299"/>
      <c r="BM1465" s="301"/>
      <c r="BN1465" s="301"/>
      <c r="BO1465" s="88"/>
      <c r="BP1465" s="9"/>
      <c r="BS1465" s="81"/>
      <c r="BT1465" s="81"/>
      <c r="BV1465" s="9"/>
      <c r="BY1465" s="81"/>
      <c r="BZ1465" s="81"/>
      <c r="CB1465" s="9"/>
      <c r="CE1465" s="81"/>
      <c r="CF1465" s="81"/>
      <c r="CH1465" s="9"/>
      <c r="CK1465" s="81"/>
      <c r="CL1465" s="81"/>
      <c r="CR1465" s="9"/>
      <c r="CS1465" s="9"/>
      <c r="CT1465" s="9"/>
      <c r="CU1465" s="9"/>
      <c r="CV1465" s="9"/>
      <c r="CW1465" s="129"/>
      <c r="CX1465" s="9"/>
    </row>
    <row r="1466" spans="1:102">
      <c r="A1466" s="6" t="str">
        <f t="shared" si="221"/>
        <v>02920821</v>
      </c>
      <c r="B1466" s="6" t="s">
        <v>1942</v>
      </c>
      <c r="C1466" s="6" t="s">
        <v>2069</v>
      </c>
      <c r="D1466" s="6">
        <v>1457</v>
      </c>
      <c r="E1466" s="6">
        <v>292</v>
      </c>
      <c r="F1466" s="6" t="s">
        <v>1410</v>
      </c>
      <c r="G1466" s="6">
        <v>821</v>
      </c>
      <c r="H1466" s="6" t="s">
        <v>1099</v>
      </c>
      <c r="I1466" s="33">
        <v>2594894.3003445058</v>
      </c>
      <c r="J1466" s="88">
        <v>8.6726035091425069E-2</v>
      </c>
      <c r="K1466" s="89">
        <f t="shared" si="230"/>
        <v>3005898.4795111292</v>
      </c>
      <c r="L1466" s="88">
        <f>IF(K1469&gt;0, K1466/K1469, 0)</f>
        <v>9.4654530424093025E-2</v>
      </c>
      <c r="M1466" s="58"/>
      <c r="N1466" s="9">
        <f>ROUND(M1469*L1466,0)</f>
        <v>1827713</v>
      </c>
      <c r="O1466" s="9">
        <v>1579830</v>
      </c>
      <c r="P1466" s="9">
        <f>N1466-O1466</f>
        <v>247883</v>
      </c>
      <c r="Q1466" s="40">
        <f t="shared" si="229"/>
        <v>15.690485685168657</v>
      </c>
      <c r="R1466" s="9">
        <v>121.9999999935</v>
      </c>
      <c r="S1466" s="9">
        <f t="shared" si="227"/>
        <v>136.99999999929</v>
      </c>
      <c r="T1466" s="90">
        <f t="shared" si="222"/>
        <v>292</v>
      </c>
      <c r="U1466" s="90">
        <f t="shared" si="223"/>
        <v>821</v>
      </c>
      <c r="V1466" s="373">
        <f t="shared" si="224"/>
        <v>1457</v>
      </c>
      <c r="W1466" s="90">
        <f t="shared" si="225"/>
        <v>136.99999999929</v>
      </c>
      <c r="X1466" s="90">
        <f t="shared" si="226"/>
        <v>3005898.4795111292</v>
      </c>
      <c r="Y1466" s="141">
        <f t="shared" si="228"/>
        <v>1457</v>
      </c>
      <c r="Z1466" s="298">
        <v>292</v>
      </c>
      <c r="AA1466" s="299">
        <v>821</v>
      </c>
      <c r="AB1466" s="299">
        <v>1457</v>
      </c>
      <c r="AC1466" s="301">
        <v>136.99999999929</v>
      </c>
      <c r="AD1466" s="301">
        <v>3005898.4795111292</v>
      </c>
      <c r="AE1466" s="126"/>
      <c r="AF1466" s="298"/>
      <c r="AG1466" s="299"/>
      <c r="AH1466" s="299"/>
      <c r="AI1466" s="301"/>
      <c r="AJ1466" s="301"/>
      <c r="AK1466" s="426"/>
      <c r="AL1466" s="298"/>
      <c r="AM1466" s="299"/>
      <c r="AN1466" s="299"/>
      <c r="AO1466" s="301"/>
      <c r="AP1466" s="301"/>
      <c r="AQ1466" s="426"/>
      <c r="AR1466" s="298"/>
      <c r="AS1466" s="299"/>
      <c r="AT1466" s="299"/>
      <c r="AU1466" s="301"/>
      <c r="AV1466" s="301"/>
      <c r="AW1466" s="88"/>
      <c r="AX1466" s="298"/>
      <c r="AY1466" s="299"/>
      <c r="AZ1466" s="299"/>
      <c r="BA1466" s="301"/>
      <c r="BB1466" s="301"/>
      <c r="BC1466" s="426"/>
      <c r="BD1466" s="298"/>
      <c r="BE1466" s="299"/>
      <c r="BF1466" s="299"/>
      <c r="BG1466" s="301"/>
      <c r="BH1466" s="301"/>
      <c r="BI1466" s="88"/>
      <c r="BJ1466" s="298"/>
      <c r="BK1466" s="299"/>
      <c r="BL1466" s="299"/>
      <c r="BM1466" s="301"/>
      <c r="BN1466" s="301"/>
      <c r="BO1466" s="88"/>
      <c r="BP1466" s="9"/>
      <c r="BS1466" s="81"/>
      <c r="BT1466" s="81"/>
      <c r="BV1466" s="9"/>
      <c r="BY1466" s="81"/>
      <c r="BZ1466" s="81"/>
      <c r="CB1466" s="9"/>
      <c r="CE1466" s="81"/>
      <c r="CF1466" s="81"/>
      <c r="CH1466" s="9"/>
      <c r="CK1466" s="81"/>
      <c r="CL1466" s="81"/>
      <c r="CR1466" s="9"/>
      <c r="CS1466" s="9"/>
      <c r="CT1466" s="9"/>
      <c r="CU1466" s="9"/>
      <c r="CV1466" s="9"/>
      <c r="CW1466" s="129"/>
      <c r="CX1466" s="9"/>
    </row>
    <row r="1467" spans="1:102">
      <c r="A1467" s="6" t="str">
        <f t="shared" si="221"/>
        <v>02920910</v>
      </c>
      <c r="B1467" s="6" t="s">
        <v>1942</v>
      </c>
      <c r="C1467" s="6" t="s">
        <v>2088</v>
      </c>
      <c r="D1467" s="6">
        <v>1458</v>
      </c>
      <c r="E1467" s="6">
        <v>292</v>
      </c>
      <c r="F1467" s="6" t="s">
        <v>1410</v>
      </c>
      <c r="G1467" s="6">
        <v>910</v>
      </c>
      <c r="H1467" s="6" t="s">
        <v>1118</v>
      </c>
      <c r="I1467" s="33">
        <v>631234.98816433968</v>
      </c>
      <c r="J1467" s="88">
        <v>2.1097008740281933E-2</v>
      </c>
      <c r="K1467" s="89">
        <f t="shared" si="230"/>
        <v>625427.28548877896</v>
      </c>
      <c r="L1467" s="88">
        <f>IF(K1469&gt;0, K1467/K1469, 0)</f>
        <v>1.9694452898483646E-2</v>
      </c>
      <c r="M1467" s="58"/>
      <c r="N1467" s="9">
        <f>ROUND(M1469*L1467,0)</f>
        <v>380286</v>
      </c>
      <c r="O1467" s="9">
        <v>384310</v>
      </c>
      <c r="P1467" s="9">
        <f>N1467-O1467</f>
        <v>-4024</v>
      </c>
      <c r="Q1467" s="40">
        <f t="shared" si="229"/>
        <v>-1.0470713746714893</v>
      </c>
      <c r="R1467" s="9">
        <v>30.9999999996</v>
      </c>
      <c r="S1467" s="9">
        <f t="shared" si="227"/>
        <v>29.999999998570001</v>
      </c>
      <c r="T1467" s="90">
        <f t="shared" si="222"/>
        <v>292</v>
      </c>
      <c r="U1467" s="90">
        <f t="shared" si="223"/>
        <v>910</v>
      </c>
      <c r="V1467" s="373">
        <f t="shared" si="224"/>
        <v>1458</v>
      </c>
      <c r="W1467" s="90">
        <f t="shared" si="225"/>
        <v>29.999999998570001</v>
      </c>
      <c r="X1467" s="90">
        <f t="shared" si="226"/>
        <v>625427.28548877896</v>
      </c>
      <c r="Y1467" s="141">
        <f t="shared" si="228"/>
        <v>1458</v>
      </c>
      <c r="Z1467" s="298">
        <v>292</v>
      </c>
      <c r="AA1467" s="299">
        <v>910</v>
      </c>
      <c r="AB1467" s="299">
        <v>1458</v>
      </c>
      <c r="AC1467" s="301">
        <v>29.999999998570001</v>
      </c>
      <c r="AD1467" s="301">
        <v>625427.28548877896</v>
      </c>
      <c r="AE1467" s="126"/>
      <c r="AF1467" s="298"/>
      <c r="AG1467" s="299"/>
      <c r="AH1467" s="299"/>
      <c r="AI1467" s="301"/>
      <c r="AJ1467" s="301"/>
      <c r="AK1467" s="426"/>
      <c r="AL1467" s="298"/>
      <c r="AM1467" s="299"/>
      <c r="AN1467" s="299"/>
      <c r="AO1467" s="301"/>
      <c r="AP1467" s="301"/>
      <c r="AQ1467" s="426"/>
      <c r="AR1467" s="298"/>
      <c r="AS1467" s="299"/>
      <c r="AT1467" s="299"/>
      <c r="AU1467" s="301"/>
      <c r="AV1467" s="301"/>
      <c r="AW1467" s="88"/>
      <c r="AX1467" s="298"/>
      <c r="AY1467" s="299"/>
      <c r="AZ1467" s="299"/>
      <c r="BA1467" s="301"/>
      <c r="BB1467" s="301"/>
      <c r="BC1467" s="426"/>
      <c r="BD1467" s="298"/>
      <c r="BE1467" s="299"/>
      <c r="BF1467" s="299"/>
      <c r="BG1467" s="301"/>
      <c r="BH1467" s="301"/>
      <c r="BI1467" s="88"/>
      <c r="BJ1467" s="298"/>
      <c r="BK1467" s="299"/>
      <c r="BL1467" s="299"/>
      <c r="BM1467" s="301"/>
      <c r="BN1467" s="301"/>
      <c r="BO1467" s="88"/>
      <c r="BP1467" s="9"/>
      <c r="BS1467" s="81"/>
      <c r="BT1467" s="81"/>
      <c r="BV1467" s="9"/>
      <c r="BY1467" s="81"/>
      <c r="BZ1467" s="81"/>
      <c r="CB1467" s="9"/>
      <c r="CE1467" s="81"/>
      <c r="CF1467" s="81"/>
      <c r="CH1467" s="9"/>
      <c r="CK1467" s="81"/>
      <c r="CL1467" s="81"/>
      <c r="CR1467" s="9"/>
      <c r="CS1467" s="9"/>
      <c r="CT1467" s="9"/>
      <c r="CU1467" s="9"/>
      <c r="CV1467" s="9"/>
      <c r="CW1467" s="129"/>
      <c r="CX1467" s="9"/>
    </row>
    <row r="1468" spans="1:102">
      <c r="A1468" s="6" t="str">
        <f t="shared" si="221"/>
        <v>02920998</v>
      </c>
      <c r="B1468" s="6" t="s">
        <v>1942</v>
      </c>
      <c r="C1468" s="6" t="s">
        <v>2091</v>
      </c>
      <c r="D1468" s="6">
        <v>1459</v>
      </c>
      <c r="E1468" s="6">
        <v>292</v>
      </c>
      <c r="F1468" s="6" t="s">
        <v>1547</v>
      </c>
      <c r="G1468" s="6">
        <v>998</v>
      </c>
      <c r="H1468" s="6" t="s">
        <v>1547</v>
      </c>
      <c r="I1468" s="33">
        <v>0</v>
      </c>
      <c r="J1468" s="88">
        <v>0</v>
      </c>
      <c r="K1468" s="89">
        <f t="shared" si="230"/>
        <v>0</v>
      </c>
      <c r="L1468" s="88">
        <f>IF(K1469&gt;0, K1468/K1469, 0)</f>
        <v>0</v>
      </c>
      <c r="M1468" s="58"/>
      <c r="N1468" s="9">
        <f>ROUND(M1469*L1468,0)</f>
        <v>0</v>
      </c>
      <c r="O1468" s="9">
        <v>0</v>
      </c>
      <c r="P1468" s="9">
        <f>N1468-O1468</f>
        <v>0</v>
      </c>
      <c r="Q1468" s="40">
        <f t="shared" si="229"/>
        <v>0</v>
      </c>
      <c r="R1468" s="9">
        <v>0</v>
      </c>
      <c r="S1468" s="9">
        <f t="shared" si="227"/>
        <v>0</v>
      </c>
      <c r="T1468" s="90">
        <f t="shared" si="222"/>
        <v>292</v>
      </c>
      <c r="U1468" s="90">
        <f t="shared" si="223"/>
        <v>998</v>
      </c>
      <c r="V1468" s="373">
        <f t="shared" si="224"/>
        <v>1459</v>
      </c>
      <c r="W1468" s="90">
        <f t="shared" si="225"/>
        <v>0</v>
      </c>
      <c r="X1468" s="90">
        <f t="shared" si="226"/>
        <v>0</v>
      </c>
      <c r="Y1468" s="141">
        <f t="shared" si="228"/>
        <v>1459</v>
      </c>
      <c r="Z1468" s="298">
        <v>292</v>
      </c>
      <c r="AA1468" s="299">
        <v>998</v>
      </c>
      <c r="AB1468" s="299">
        <v>1459</v>
      </c>
      <c r="AC1468" s="301">
        <v>0</v>
      </c>
      <c r="AD1468" s="301">
        <v>0</v>
      </c>
      <c r="AE1468" s="126"/>
      <c r="AF1468" s="298"/>
      <c r="AG1468" s="299"/>
      <c r="AH1468" s="299"/>
      <c r="AI1468" s="301"/>
      <c r="AJ1468" s="301"/>
      <c r="AK1468" s="426"/>
      <c r="AL1468" s="298"/>
      <c r="AM1468" s="299"/>
      <c r="AN1468" s="299"/>
      <c r="AO1468" s="301"/>
      <c r="AP1468" s="301"/>
      <c r="AQ1468" s="426"/>
      <c r="AR1468" s="298"/>
      <c r="AS1468" s="299"/>
      <c r="AT1468" s="299"/>
      <c r="AU1468" s="301"/>
      <c r="AV1468" s="301"/>
      <c r="AW1468" s="88"/>
      <c r="AX1468" s="298"/>
      <c r="AY1468" s="299"/>
      <c r="AZ1468" s="299"/>
      <c r="BA1468" s="301"/>
      <c r="BB1468" s="301"/>
      <c r="BC1468" s="426"/>
      <c r="BD1468" s="298"/>
      <c r="BE1468" s="299"/>
      <c r="BF1468" s="299"/>
      <c r="BG1468" s="301"/>
      <c r="BH1468" s="301"/>
      <c r="BI1468" s="88"/>
      <c r="BJ1468" s="298"/>
      <c r="BK1468" s="299"/>
      <c r="BL1468" s="299"/>
      <c r="BM1468" s="301"/>
      <c r="BN1468" s="301"/>
      <c r="BO1468" s="88"/>
      <c r="BP1468" s="9"/>
      <c r="BS1468" s="81"/>
      <c r="BT1468" s="81"/>
      <c r="BV1468" s="9"/>
      <c r="BY1468" s="81"/>
      <c r="BZ1468" s="81"/>
      <c r="CB1468" s="9"/>
      <c r="CE1468" s="81"/>
      <c r="CF1468" s="81"/>
      <c r="CH1468" s="9"/>
      <c r="CK1468" s="81"/>
      <c r="CL1468" s="81"/>
      <c r="CR1468" s="9"/>
      <c r="CS1468" s="9"/>
      <c r="CT1468" s="9"/>
      <c r="CU1468" s="9"/>
      <c r="CV1468" s="9"/>
      <c r="CW1468" s="129"/>
      <c r="CX1468" s="9"/>
    </row>
    <row r="1469" spans="1:102">
      <c r="A1469" s="6" t="str">
        <f t="shared" si="221"/>
        <v>02920999</v>
      </c>
      <c r="B1469" s="6" t="s">
        <v>1942</v>
      </c>
      <c r="C1469" s="6" t="s">
        <v>2092</v>
      </c>
      <c r="D1469" s="6">
        <v>1460</v>
      </c>
      <c r="E1469" s="10">
        <v>292</v>
      </c>
      <c r="F1469" s="10" t="s">
        <v>1410</v>
      </c>
      <c r="G1469" s="10">
        <v>999</v>
      </c>
      <c r="H1469" s="10" t="s">
        <v>593</v>
      </c>
      <c r="I1469" s="92">
        <v>29920591.868508846</v>
      </c>
      <c r="J1469" s="472">
        <v>1</v>
      </c>
      <c r="K1469" s="53">
        <f>SUM(K1465:K1468)</f>
        <v>31756519.904999904</v>
      </c>
      <c r="L1469" s="91">
        <f>SUM(L1465:L1468)</f>
        <v>0.99999999999999978</v>
      </c>
      <c r="M1469" s="79">
        <f>VLOOKUP(E1469,town351,24)</f>
        <v>19309306</v>
      </c>
      <c r="N1469" s="79">
        <f>SUM(N1465:N1468)</f>
        <v>19309305</v>
      </c>
      <c r="O1469" s="79">
        <v>18216327</v>
      </c>
      <c r="P1469" s="79">
        <f>SUM(P1465:P1468)</f>
        <v>1092978</v>
      </c>
      <c r="Q1469" s="39">
        <f t="shared" si="229"/>
        <v>5.9999911068790102</v>
      </c>
      <c r="R1469" s="9">
        <v>2185.9999999930997</v>
      </c>
      <c r="S1469" s="9">
        <f t="shared" si="227"/>
        <v>2247.99999999786</v>
      </c>
      <c r="T1469" s="90">
        <f t="shared" si="222"/>
        <v>292</v>
      </c>
      <c r="U1469" s="90">
        <f t="shared" si="223"/>
        <v>999</v>
      </c>
      <c r="V1469" s="373">
        <f t="shared" si="224"/>
        <v>1460</v>
      </c>
      <c r="W1469" s="90">
        <f t="shared" si="225"/>
        <v>2247.99999999786</v>
      </c>
      <c r="X1469" s="90">
        <f t="shared" si="226"/>
        <v>31756519.904999904</v>
      </c>
      <c r="Y1469" s="141">
        <f t="shared" si="228"/>
        <v>1460</v>
      </c>
      <c r="Z1469" s="298">
        <v>292</v>
      </c>
      <c r="AA1469" s="299">
        <v>999</v>
      </c>
      <c r="AB1469" s="299">
        <v>1460</v>
      </c>
      <c r="AC1469" s="301">
        <v>2247.99999999786</v>
      </c>
      <c r="AD1469" s="301">
        <v>31756519.904999904</v>
      </c>
      <c r="AE1469" s="126"/>
      <c r="AF1469" s="298"/>
      <c r="AG1469" s="299"/>
      <c r="AH1469" s="299"/>
      <c r="AI1469" s="301"/>
      <c r="AJ1469" s="301"/>
      <c r="AK1469" s="426"/>
      <c r="AL1469" s="298"/>
      <c r="AM1469" s="299"/>
      <c r="AN1469" s="299"/>
      <c r="AO1469" s="301"/>
      <c r="AP1469" s="301"/>
      <c r="AQ1469" s="426"/>
      <c r="AR1469" s="298"/>
      <c r="AS1469" s="299"/>
      <c r="AT1469" s="299"/>
      <c r="AU1469" s="301"/>
      <c r="AV1469" s="301"/>
      <c r="AW1469" s="91"/>
      <c r="AX1469" s="298"/>
      <c r="AY1469" s="299"/>
      <c r="AZ1469" s="299"/>
      <c r="BA1469" s="301"/>
      <c r="BB1469" s="301"/>
      <c r="BC1469" s="426"/>
      <c r="BD1469" s="298"/>
      <c r="BE1469" s="299"/>
      <c r="BF1469" s="299"/>
      <c r="BG1469" s="301"/>
      <c r="BH1469" s="301"/>
      <c r="BI1469" s="91"/>
      <c r="BJ1469" s="298"/>
      <c r="BK1469" s="299"/>
      <c r="BL1469" s="299"/>
      <c r="BM1469" s="301"/>
      <c r="BN1469" s="301"/>
      <c r="BO1469" s="91"/>
      <c r="BP1469" s="9"/>
      <c r="BS1469" s="81"/>
      <c r="BT1469" s="81"/>
      <c r="BV1469" s="9"/>
      <c r="BY1469" s="81"/>
      <c r="BZ1469" s="81"/>
      <c r="CB1469" s="9"/>
      <c r="CE1469" s="81"/>
      <c r="CF1469" s="81"/>
      <c r="CH1469" s="9"/>
      <c r="CK1469" s="81"/>
      <c r="CL1469" s="81"/>
      <c r="CR1469" s="9"/>
      <c r="CS1469" s="9"/>
      <c r="CT1469" s="9"/>
      <c r="CU1469" s="9"/>
      <c r="CV1469" s="9"/>
      <c r="CW1469" s="129"/>
      <c r="CX1469" s="9"/>
    </row>
    <row r="1470" spans="1:102">
      <c r="A1470" s="6" t="str">
        <f t="shared" si="221"/>
        <v>02930293</v>
      </c>
      <c r="B1470" s="6" t="s">
        <v>1943</v>
      </c>
      <c r="C1470" s="6" t="s">
        <v>1943</v>
      </c>
      <c r="D1470" s="6">
        <v>1461</v>
      </c>
      <c r="E1470" s="6">
        <v>293</v>
      </c>
      <c r="F1470" s="6" t="s">
        <v>1411</v>
      </c>
      <c r="G1470" s="6">
        <v>293</v>
      </c>
      <c r="H1470" s="6" t="s">
        <v>974</v>
      </c>
      <c r="I1470" s="33">
        <v>131396476.31</v>
      </c>
      <c r="J1470" s="88">
        <v>0.9170770799200717</v>
      </c>
      <c r="K1470" s="89">
        <f>X1470</f>
        <v>140024274.21000001</v>
      </c>
      <c r="L1470" s="88">
        <f>IF(K1474&gt;0, K1470/K1474, 0)</f>
        <v>0.92159986103365921</v>
      </c>
      <c r="M1470" s="58"/>
      <c r="N1470" s="9">
        <f>ROUND(M1474*L1470,0)</f>
        <v>45058660</v>
      </c>
      <c r="O1470" s="9">
        <v>42467828</v>
      </c>
      <c r="P1470" s="9">
        <f>N1470-O1470</f>
        <v>2590832</v>
      </c>
      <c r="Q1470" s="40">
        <f t="shared" si="229"/>
        <v>6.1006934472843772</v>
      </c>
      <c r="R1470" s="9">
        <v>8075</v>
      </c>
      <c r="S1470" s="9">
        <f t="shared" si="227"/>
        <v>8235</v>
      </c>
      <c r="T1470" s="90">
        <f t="shared" si="222"/>
        <v>293</v>
      </c>
      <c r="U1470" s="90">
        <f t="shared" si="223"/>
        <v>293</v>
      </c>
      <c r="V1470" s="373">
        <f t="shared" si="224"/>
        <v>1461</v>
      </c>
      <c r="W1470" s="90">
        <f t="shared" si="225"/>
        <v>8235</v>
      </c>
      <c r="X1470" s="90">
        <f t="shared" si="226"/>
        <v>140024274.21000001</v>
      </c>
      <c r="Y1470" s="141">
        <f t="shared" si="228"/>
        <v>1461</v>
      </c>
      <c r="Z1470" s="298">
        <v>293</v>
      </c>
      <c r="AA1470" s="299">
        <v>293</v>
      </c>
      <c r="AB1470" s="299">
        <v>1461</v>
      </c>
      <c r="AC1470" s="301">
        <v>8235</v>
      </c>
      <c r="AD1470" s="301">
        <v>140024274.21000001</v>
      </c>
      <c r="AE1470" s="126"/>
      <c r="AF1470" s="298"/>
      <c r="AG1470" s="299"/>
      <c r="AH1470" s="299"/>
      <c r="AI1470" s="301"/>
      <c r="AJ1470" s="301"/>
      <c r="AK1470" s="426"/>
      <c r="AL1470" s="298"/>
      <c r="AM1470" s="299"/>
      <c r="AN1470" s="299"/>
      <c r="AO1470" s="301"/>
      <c r="AP1470" s="301"/>
      <c r="AQ1470" s="426"/>
      <c r="AR1470" s="298"/>
      <c r="AS1470" s="299"/>
      <c r="AT1470" s="299"/>
      <c r="AU1470" s="301"/>
      <c r="AV1470" s="301"/>
      <c r="AW1470" s="88"/>
      <c r="AX1470" s="298"/>
      <c r="AY1470" s="299"/>
      <c r="AZ1470" s="299"/>
      <c r="BA1470" s="301"/>
      <c r="BB1470" s="301"/>
      <c r="BC1470" s="426"/>
      <c r="BD1470" s="298"/>
      <c r="BE1470" s="299"/>
      <c r="BF1470" s="299"/>
      <c r="BG1470" s="301"/>
      <c r="BH1470" s="301"/>
      <c r="BI1470" s="88"/>
      <c r="BJ1470" s="298"/>
      <c r="BK1470" s="299"/>
      <c r="BL1470" s="299"/>
      <c r="BM1470" s="301"/>
      <c r="BN1470" s="301"/>
      <c r="BO1470" s="88"/>
      <c r="BP1470" s="9"/>
      <c r="BS1470" s="81"/>
      <c r="BT1470" s="81"/>
      <c r="BV1470" s="9"/>
      <c r="BY1470" s="81"/>
      <c r="BZ1470" s="81"/>
      <c r="CB1470" s="9"/>
      <c r="CE1470" s="81"/>
      <c r="CF1470" s="81"/>
      <c r="CH1470" s="9"/>
      <c r="CK1470" s="81"/>
      <c r="CL1470" s="81"/>
      <c r="CR1470" s="9"/>
      <c r="CS1470" s="9"/>
      <c r="CT1470" s="9"/>
      <c r="CU1470" s="9"/>
      <c r="CV1470" s="9"/>
      <c r="CW1470" s="129"/>
      <c r="CX1470" s="9"/>
    </row>
    <row r="1471" spans="1:102">
      <c r="A1471" s="6" t="str">
        <f t="shared" si="221"/>
        <v>02930810</v>
      </c>
      <c r="B1471" s="6" t="s">
        <v>1943</v>
      </c>
      <c r="C1471" s="6" t="s">
        <v>2065</v>
      </c>
      <c r="D1471" s="6">
        <v>1462</v>
      </c>
      <c r="E1471" s="6">
        <v>293</v>
      </c>
      <c r="F1471" s="6" t="s">
        <v>1411</v>
      </c>
      <c r="G1471" s="6">
        <v>810</v>
      </c>
      <c r="H1471" s="6" t="s">
        <v>1095</v>
      </c>
      <c r="I1471" s="33">
        <v>11005401.500373567</v>
      </c>
      <c r="J1471" s="88">
        <v>7.6811812270360311E-2</v>
      </c>
      <c r="K1471" s="89">
        <f t="shared" si="230"/>
        <v>10931974.045336653</v>
      </c>
      <c r="L1471" s="88">
        <f>IF(K1474&gt;0, K1471/K1474, 0)</f>
        <v>7.1951137171374219E-2</v>
      </c>
      <c r="M1471" s="58"/>
      <c r="N1471" s="9">
        <f>ROUND(M1474*L1471,0)</f>
        <v>3517819</v>
      </c>
      <c r="O1471" s="9">
        <v>3556987</v>
      </c>
      <c r="P1471" s="9">
        <f>N1471-O1471</f>
        <v>-39168</v>
      </c>
      <c r="Q1471" s="40">
        <f t="shared" si="229"/>
        <v>-1.1011566812023772</v>
      </c>
      <c r="R1471" s="9">
        <v>545.89489718280004</v>
      </c>
      <c r="S1471" s="9">
        <f t="shared" si="227"/>
        <v>539.58468335813996</v>
      </c>
      <c r="T1471" s="90">
        <f t="shared" si="222"/>
        <v>293</v>
      </c>
      <c r="U1471" s="90">
        <f t="shared" si="223"/>
        <v>810</v>
      </c>
      <c r="V1471" s="373">
        <f t="shared" si="224"/>
        <v>1462</v>
      </c>
      <c r="W1471" s="90">
        <f t="shared" si="225"/>
        <v>539.58468335813996</v>
      </c>
      <c r="X1471" s="90">
        <f t="shared" si="226"/>
        <v>10931974.045336653</v>
      </c>
      <c r="Y1471" s="141">
        <f t="shared" si="228"/>
        <v>1462</v>
      </c>
      <c r="Z1471" s="298">
        <v>293</v>
      </c>
      <c r="AA1471" s="299">
        <v>810</v>
      </c>
      <c r="AB1471" s="299">
        <v>1462</v>
      </c>
      <c r="AC1471" s="301">
        <v>539.58468335813996</v>
      </c>
      <c r="AD1471" s="301">
        <v>10931974.045336653</v>
      </c>
      <c r="AE1471" s="126"/>
      <c r="AF1471" s="298"/>
      <c r="AG1471" s="299"/>
      <c r="AH1471" s="299"/>
      <c r="AI1471" s="301"/>
      <c r="AJ1471" s="301"/>
      <c r="AK1471" s="426"/>
      <c r="AL1471" s="298"/>
      <c r="AM1471" s="299"/>
      <c r="AN1471" s="299"/>
      <c r="AO1471" s="301"/>
      <c r="AP1471" s="301"/>
      <c r="AQ1471" s="426"/>
      <c r="AR1471" s="298"/>
      <c r="AS1471" s="299"/>
      <c r="AT1471" s="299"/>
      <c r="AU1471" s="301"/>
      <c r="AV1471" s="301"/>
      <c r="AW1471" s="88"/>
      <c r="AX1471" s="298"/>
      <c r="AY1471" s="299"/>
      <c r="AZ1471" s="299"/>
      <c r="BA1471" s="301"/>
      <c r="BB1471" s="301"/>
      <c r="BC1471" s="426"/>
      <c r="BD1471" s="298"/>
      <c r="BE1471" s="299"/>
      <c r="BF1471" s="299"/>
      <c r="BG1471" s="301"/>
      <c r="BH1471" s="301"/>
      <c r="BI1471" s="88"/>
      <c r="BJ1471" s="298"/>
      <c r="BK1471" s="299"/>
      <c r="BL1471" s="299"/>
      <c r="BM1471" s="301"/>
      <c r="BN1471" s="301"/>
      <c r="BO1471" s="88"/>
      <c r="BP1471" s="9"/>
      <c r="BS1471" s="81"/>
      <c r="BT1471" s="81"/>
      <c r="BV1471" s="9"/>
      <c r="BY1471" s="81"/>
      <c r="BZ1471" s="81"/>
      <c r="CB1471" s="9"/>
      <c r="CE1471" s="81"/>
      <c r="CF1471" s="81"/>
      <c r="CH1471" s="9"/>
      <c r="CK1471" s="81"/>
      <c r="CL1471" s="81"/>
      <c r="CR1471" s="9"/>
      <c r="CS1471" s="9"/>
      <c r="CT1471" s="9"/>
      <c r="CU1471" s="9"/>
      <c r="CV1471" s="9"/>
      <c r="CW1471" s="129"/>
      <c r="CX1471" s="9"/>
    </row>
    <row r="1472" spans="1:102">
      <c r="A1472" s="6" t="str">
        <f t="shared" si="221"/>
        <v>02930910</v>
      </c>
      <c r="B1472" s="6" t="s">
        <v>1943</v>
      </c>
      <c r="C1472" s="6" t="s">
        <v>2088</v>
      </c>
      <c r="D1472" s="6">
        <v>1463</v>
      </c>
      <c r="E1472" s="6">
        <v>293</v>
      </c>
      <c r="F1472" s="6" t="s">
        <v>1411</v>
      </c>
      <c r="G1472" s="6">
        <v>910</v>
      </c>
      <c r="H1472" s="6" t="s">
        <v>1118</v>
      </c>
      <c r="I1472" s="33">
        <v>875584.0159016368</v>
      </c>
      <c r="J1472" s="88">
        <v>6.1111078095680378E-3</v>
      </c>
      <c r="K1472" s="89">
        <f t="shared" si="230"/>
        <v>979836.08060263807</v>
      </c>
      <c r="L1472" s="88">
        <f>IF(K1474&gt;0, K1472/K1474, 0)</f>
        <v>6.4490017949663941E-3</v>
      </c>
      <c r="M1472" s="58"/>
      <c r="N1472" s="9">
        <f>ROUND(M1474*L1472,0)</f>
        <v>315303</v>
      </c>
      <c r="O1472" s="9">
        <v>282992</v>
      </c>
      <c r="P1472" s="9">
        <f>N1472-O1472</f>
        <v>32311</v>
      </c>
      <c r="Q1472" s="40">
        <f t="shared" si="229"/>
        <v>11.417637247696048</v>
      </c>
      <c r="R1472" s="9">
        <v>43.000000002429999</v>
      </c>
      <c r="S1472" s="9">
        <f t="shared" si="227"/>
        <v>46.999999997930004</v>
      </c>
      <c r="T1472" s="90">
        <f t="shared" si="222"/>
        <v>293</v>
      </c>
      <c r="U1472" s="90">
        <f t="shared" si="223"/>
        <v>910</v>
      </c>
      <c r="V1472" s="373">
        <f t="shared" si="224"/>
        <v>1463</v>
      </c>
      <c r="W1472" s="90">
        <f t="shared" si="225"/>
        <v>46.999999997930004</v>
      </c>
      <c r="X1472" s="90">
        <f t="shared" si="226"/>
        <v>979836.08060263807</v>
      </c>
      <c r="Y1472" s="141">
        <f t="shared" si="228"/>
        <v>1463</v>
      </c>
      <c r="Z1472" s="298">
        <v>293</v>
      </c>
      <c r="AA1472" s="299">
        <v>910</v>
      </c>
      <c r="AB1472" s="299">
        <v>1463</v>
      </c>
      <c r="AC1472" s="301">
        <v>46.999999997930004</v>
      </c>
      <c r="AD1472" s="301">
        <v>979836.08060263807</v>
      </c>
      <c r="AE1472" s="126"/>
      <c r="AF1472" s="298"/>
      <c r="AG1472" s="299"/>
      <c r="AH1472" s="299"/>
      <c r="AI1472" s="301"/>
      <c r="AJ1472" s="301"/>
      <c r="AK1472" s="426"/>
      <c r="AL1472" s="298"/>
      <c r="AM1472" s="299"/>
      <c r="AN1472" s="299"/>
      <c r="AO1472" s="301"/>
      <c r="AP1472" s="301"/>
      <c r="AQ1472" s="426"/>
      <c r="AR1472" s="298"/>
      <c r="AS1472" s="299"/>
      <c r="AT1472" s="299"/>
      <c r="AU1472" s="301"/>
      <c r="AV1472" s="301"/>
      <c r="AW1472" s="88"/>
      <c r="AX1472" s="298"/>
      <c r="AY1472" s="299"/>
      <c r="AZ1472" s="299"/>
      <c r="BA1472" s="301"/>
      <c r="BB1472" s="301"/>
      <c r="BC1472" s="426"/>
      <c r="BD1472" s="298"/>
      <c r="BE1472" s="299"/>
      <c r="BF1472" s="299"/>
      <c r="BG1472" s="301"/>
      <c r="BH1472" s="301"/>
      <c r="BI1472" s="88"/>
      <c r="BJ1472" s="298"/>
      <c r="BK1472" s="299"/>
      <c r="BL1472" s="299"/>
      <c r="BM1472" s="301"/>
      <c r="BN1472" s="301"/>
      <c r="BO1472" s="88"/>
      <c r="BP1472" s="9"/>
      <c r="BS1472" s="81"/>
      <c r="BT1472" s="81"/>
      <c r="BV1472" s="9"/>
      <c r="BY1472" s="81"/>
      <c r="BZ1472" s="81"/>
      <c r="CB1472" s="9"/>
      <c r="CE1472" s="81"/>
      <c r="CF1472" s="81"/>
      <c r="CH1472" s="9"/>
      <c r="CK1472" s="81"/>
      <c r="CL1472" s="81"/>
      <c r="CR1472" s="9"/>
      <c r="CS1472" s="9"/>
      <c r="CT1472" s="9"/>
      <c r="CU1472" s="9"/>
      <c r="CV1472" s="9"/>
      <c r="CW1472" s="129"/>
      <c r="CX1472" s="9"/>
    </row>
    <row r="1473" spans="1:102">
      <c r="A1473" s="6" t="str">
        <f t="shared" si="221"/>
        <v>02930998</v>
      </c>
      <c r="B1473" s="6" t="s">
        <v>1943</v>
      </c>
      <c r="C1473" s="6" t="s">
        <v>2091</v>
      </c>
      <c r="D1473" s="6">
        <v>1464</v>
      </c>
      <c r="E1473" s="6">
        <v>293</v>
      </c>
      <c r="F1473" s="6" t="s">
        <v>1547</v>
      </c>
      <c r="G1473" s="6">
        <v>998</v>
      </c>
      <c r="H1473" s="6" t="s">
        <v>1547</v>
      </c>
      <c r="I1473" s="33">
        <v>0</v>
      </c>
      <c r="J1473" s="88">
        <v>0</v>
      </c>
      <c r="K1473" s="89">
        <f t="shared" si="230"/>
        <v>0</v>
      </c>
      <c r="L1473" s="88">
        <f>IF(K1474&gt;0, K1473/K1474, 0)</f>
        <v>0</v>
      </c>
      <c r="M1473" s="58"/>
      <c r="N1473" s="9">
        <f>ROUND(M1474*L1473,0)</f>
        <v>0</v>
      </c>
      <c r="O1473" s="9">
        <v>0</v>
      </c>
      <c r="P1473" s="9">
        <f>N1473-O1473</f>
        <v>0</v>
      </c>
      <c r="Q1473" s="40">
        <f t="shared" si="229"/>
        <v>0</v>
      </c>
      <c r="R1473" s="9">
        <v>0</v>
      </c>
      <c r="S1473" s="9">
        <f t="shared" si="227"/>
        <v>0</v>
      </c>
      <c r="T1473" s="90">
        <f t="shared" si="222"/>
        <v>293</v>
      </c>
      <c r="U1473" s="90">
        <f t="shared" si="223"/>
        <v>998</v>
      </c>
      <c r="V1473" s="373">
        <f t="shared" si="224"/>
        <v>1464</v>
      </c>
      <c r="W1473" s="90">
        <f t="shared" si="225"/>
        <v>0</v>
      </c>
      <c r="X1473" s="90">
        <f t="shared" si="226"/>
        <v>0</v>
      </c>
      <c r="Y1473" s="141">
        <f t="shared" si="228"/>
        <v>1464</v>
      </c>
      <c r="Z1473" s="298">
        <v>293</v>
      </c>
      <c r="AA1473" s="299">
        <v>998</v>
      </c>
      <c r="AB1473" s="299">
        <v>1464</v>
      </c>
      <c r="AC1473" s="301">
        <v>0</v>
      </c>
      <c r="AD1473" s="301">
        <v>0</v>
      </c>
      <c r="AE1473" s="126"/>
      <c r="AF1473" s="298"/>
      <c r="AG1473" s="299"/>
      <c r="AH1473" s="299"/>
      <c r="AI1473" s="301"/>
      <c r="AJ1473" s="301"/>
      <c r="AK1473" s="426"/>
      <c r="AL1473" s="298"/>
      <c r="AM1473" s="299"/>
      <c r="AN1473" s="299"/>
      <c r="AO1473" s="301"/>
      <c r="AP1473" s="301"/>
      <c r="AQ1473" s="426"/>
      <c r="AR1473" s="298"/>
      <c r="AS1473" s="299"/>
      <c r="AT1473" s="299"/>
      <c r="AU1473" s="301"/>
      <c r="AV1473" s="301"/>
      <c r="AW1473" s="88"/>
      <c r="AX1473" s="298"/>
      <c r="AY1473" s="299"/>
      <c r="AZ1473" s="299"/>
      <c r="BA1473" s="301"/>
      <c r="BB1473" s="301"/>
      <c r="BC1473" s="426"/>
      <c r="BD1473" s="298"/>
      <c r="BE1473" s="299"/>
      <c r="BF1473" s="299"/>
      <c r="BG1473" s="301"/>
      <c r="BH1473" s="301"/>
      <c r="BI1473" s="88"/>
      <c r="BJ1473" s="298"/>
      <c r="BK1473" s="299"/>
      <c r="BL1473" s="299"/>
      <c r="BM1473" s="301"/>
      <c r="BN1473" s="301"/>
      <c r="BO1473" s="88"/>
      <c r="BP1473" s="9"/>
      <c r="BS1473" s="81"/>
      <c r="BT1473" s="81"/>
      <c r="BV1473" s="9"/>
      <c r="BY1473" s="81"/>
      <c r="BZ1473" s="81"/>
      <c r="CB1473" s="9"/>
      <c r="CE1473" s="81"/>
      <c r="CF1473" s="81"/>
      <c r="CH1473" s="9"/>
      <c r="CK1473" s="81"/>
      <c r="CL1473" s="81"/>
      <c r="CR1473" s="9"/>
      <c r="CS1473" s="9"/>
      <c r="CT1473" s="9"/>
      <c r="CU1473" s="9"/>
      <c r="CV1473" s="9"/>
      <c r="CW1473" s="129"/>
      <c r="CX1473" s="9"/>
    </row>
    <row r="1474" spans="1:102">
      <c r="A1474" s="6" t="str">
        <f t="shared" si="221"/>
        <v>02930999</v>
      </c>
      <c r="B1474" s="6" t="s">
        <v>1943</v>
      </c>
      <c r="C1474" s="6" t="s">
        <v>2092</v>
      </c>
      <c r="D1474" s="6">
        <v>1465</v>
      </c>
      <c r="E1474" s="10">
        <v>293</v>
      </c>
      <c r="F1474" s="10" t="s">
        <v>1411</v>
      </c>
      <c r="G1474" s="10">
        <v>999</v>
      </c>
      <c r="H1474" s="10" t="s">
        <v>593</v>
      </c>
      <c r="I1474" s="92">
        <v>143277461.8262752</v>
      </c>
      <c r="J1474" s="472">
        <v>1</v>
      </c>
      <c r="K1474" s="53">
        <f>SUM(K1470:K1473)</f>
        <v>151936084.33593932</v>
      </c>
      <c r="L1474" s="91">
        <f>SUM(L1470:L1473)</f>
        <v>0.99999999999999989</v>
      </c>
      <c r="M1474" s="79">
        <f>VLOOKUP(E1474,town351,24)</f>
        <v>48891783</v>
      </c>
      <c r="N1474" s="79">
        <f>SUM(N1470:N1473)</f>
        <v>48891782</v>
      </c>
      <c r="O1474" s="79">
        <v>46307807</v>
      </c>
      <c r="P1474" s="79">
        <f>SUM(P1470:P1473)</f>
        <v>2583975</v>
      </c>
      <c r="Q1474" s="39">
        <f t="shared" si="229"/>
        <v>5.579998638242575</v>
      </c>
      <c r="R1474" s="9">
        <v>8663.8948971852296</v>
      </c>
      <c r="S1474" s="9">
        <f t="shared" si="227"/>
        <v>8821.5846833560699</v>
      </c>
      <c r="T1474" s="90">
        <f t="shared" si="222"/>
        <v>293</v>
      </c>
      <c r="U1474" s="90">
        <f t="shared" si="223"/>
        <v>999</v>
      </c>
      <c r="V1474" s="373">
        <f t="shared" si="224"/>
        <v>1465</v>
      </c>
      <c r="W1474" s="90">
        <f t="shared" si="225"/>
        <v>8821.5846833560699</v>
      </c>
      <c r="X1474" s="90">
        <f t="shared" si="226"/>
        <v>151936084.33593932</v>
      </c>
      <c r="Y1474" s="141">
        <f t="shared" si="228"/>
        <v>1465</v>
      </c>
      <c r="Z1474" s="298">
        <v>293</v>
      </c>
      <c r="AA1474" s="299">
        <v>999</v>
      </c>
      <c r="AB1474" s="299">
        <v>1465</v>
      </c>
      <c r="AC1474" s="301">
        <v>8821.5846833560699</v>
      </c>
      <c r="AD1474" s="301">
        <v>151936084.33593932</v>
      </c>
      <c r="AE1474" s="126"/>
      <c r="AF1474" s="298"/>
      <c r="AG1474" s="299"/>
      <c r="AH1474" s="299"/>
      <c r="AI1474" s="301"/>
      <c r="AJ1474" s="301"/>
      <c r="AK1474" s="426"/>
      <c r="AL1474" s="298"/>
      <c r="AM1474" s="299"/>
      <c r="AN1474" s="299"/>
      <c r="AO1474" s="301"/>
      <c r="AP1474" s="301"/>
      <c r="AQ1474" s="426"/>
      <c r="AR1474" s="298"/>
      <c r="AS1474" s="299"/>
      <c r="AT1474" s="299"/>
      <c r="AU1474" s="301"/>
      <c r="AV1474" s="301"/>
      <c r="AW1474" s="91"/>
      <c r="AX1474" s="298"/>
      <c r="AY1474" s="299"/>
      <c r="AZ1474" s="299"/>
      <c r="BA1474" s="301"/>
      <c r="BB1474" s="301"/>
      <c r="BC1474" s="426"/>
      <c r="BD1474" s="298"/>
      <c r="BE1474" s="299"/>
      <c r="BF1474" s="299"/>
      <c r="BG1474" s="301"/>
      <c r="BH1474" s="301"/>
      <c r="BI1474" s="91"/>
      <c r="BJ1474" s="298"/>
      <c r="BK1474" s="299"/>
      <c r="BL1474" s="299"/>
      <c r="BM1474" s="301"/>
      <c r="BN1474" s="301"/>
      <c r="BO1474" s="91"/>
      <c r="BP1474" s="9"/>
      <c r="BS1474" s="81"/>
      <c r="BT1474" s="81"/>
      <c r="BV1474" s="9"/>
      <c r="BY1474" s="81"/>
      <c r="BZ1474" s="81"/>
      <c r="CB1474" s="9"/>
      <c r="CE1474" s="81"/>
      <c r="CF1474" s="81"/>
      <c r="CH1474" s="9"/>
      <c r="CK1474" s="81"/>
      <c r="CL1474" s="81"/>
      <c r="CR1474" s="9"/>
      <c r="CS1474" s="9"/>
      <c r="CT1474" s="9"/>
      <c r="CU1474" s="9"/>
      <c r="CV1474" s="9"/>
      <c r="CW1474" s="129"/>
      <c r="CX1474" s="9"/>
    </row>
    <row r="1475" spans="1:102">
      <c r="A1475" s="6" t="str">
        <f t="shared" si="221"/>
        <v>02940294</v>
      </c>
      <c r="B1475" s="6" t="s">
        <v>1944</v>
      </c>
      <c r="C1475" s="6" t="s">
        <v>1944</v>
      </c>
      <c r="D1475" s="6">
        <v>1466</v>
      </c>
      <c r="E1475" s="6">
        <v>294</v>
      </c>
      <c r="F1475" s="6" t="s">
        <v>1412</v>
      </c>
      <c r="G1475" s="6">
        <v>294</v>
      </c>
      <c r="H1475" s="6" t="s">
        <v>975</v>
      </c>
      <c r="I1475" s="33">
        <v>0</v>
      </c>
      <c r="J1475" s="88">
        <v>0</v>
      </c>
      <c r="K1475" s="89">
        <f>X1475</f>
        <v>16860.330000000002</v>
      </c>
      <c r="L1475" s="88">
        <f>IF(K1479&gt;0, K1475/K1479, 0)</f>
        <v>9.441619300721739E-4</v>
      </c>
      <c r="M1475" s="58"/>
      <c r="N1475" s="9">
        <f>ROUND(M1479*L1475,0)</f>
        <v>5783</v>
      </c>
      <c r="O1475" s="9">
        <v>0</v>
      </c>
      <c r="P1475" s="9">
        <f>N1475-O1475</f>
        <v>5783</v>
      </c>
      <c r="Q1475" s="40">
        <f t="shared" si="229"/>
        <v>100</v>
      </c>
      <c r="R1475" s="9">
        <v>0</v>
      </c>
      <c r="S1475" s="9">
        <f t="shared" si="227"/>
        <v>1</v>
      </c>
      <c r="T1475" s="90">
        <f t="shared" si="222"/>
        <v>294</v>
      </c>
      <c r="U1475" s="90">
        <f t="shared" si="223"/>
        <v>294</v>
      </c>
      <c r="V1475" s="373">
        <f t="shared" si="224"/>
        <v>1466</v>
      </c>
      <c r="W1475" s="90">
        <f t="shared" si="225"/>
        <v>1</v>
      </c>
      <c r="X1475" s="90">
        <f t="shared" si="226"/>
        <v>16860.330000000002</v>
      </c>
      <c r="Y1475" s="141">
        <f t="shared" si="228"/>
        <v>1466</v>
      </c>
      <c r="Z1475" s="298">
        <v>294</v>
      </c>
      <c r="AA1475" s="299">
        <v>294</v>
      </c>
      <c r="AB1475" s="299">
        <v>1466</v>
      </c>
      <c r="AC1475" s="301">
        <v>1</v>
      </c>
      <c r="AD1475" s="301">
        <v>16860.330000000002</v>
      </c>
      <c r="AE1475" s="126"/>
      <c r="AF1475" s="298"/>
      <c r="AG1475" s="299"/>
      <c r="AH1475" s="299"/>
      <c r="AI1475" s="301"/>
      <c r="AJ1475" s="301"/>
      <c r="AK1475" s="426"/>
      <c r="AL1475" s="298"/>
      <c r="AM1475" s="299"/>
      <c r="AN1475" s="299"/>
      <c r="AO1475" s="301"/>
      <c r="AP1475" s="301"/>
      <c r="AQ1475" s="426"/>
      <c r="AR1475" s="298"/>
      <c r="AS1475" s="299"/>
      <c r="AT1475" s="299"/>
      <c r="AU1475" s="301"/>
      <c r="AV1475" s="301"/>
      <c r="AW1475" s="88"/>
      <c r="AX1475" s="298"/>
      <c r="AY1475" s="299"/>
      <c r="AZ1475" s="299"/>
      <c r="BA1475" s="301"/>
      <c r="BB1475" s="301"/>
      <c r="BC1475" s="426"/>
      <c r="BD1475" s="298"/>
      <c r="BE1475" s="299"/>
      <c r="BF1475" s="299"/>
      <c r="BG1475" s="301"/>
      <c r="BH1475" s="301"/>
      <c r="BI1475" s="88"/>
      <c r="BJ1475" s="298"/>
      <c r="BK1475" s="299"/>
      <c r="BL1475" s="299"/>
      <c r="BM1475" s="301"/>
      <c r="BN1475" s="301"/>
      <c r="BO1475" s="88"/>
      <c r="BP1475" s="9"/>
      <c r="BS1475" s="81"/>
      <c r="BT1475" s="81"/>
      <c r="BV1475" s="9"/>
      <c r="BY1475" s="81"/>
      <c r="BZ1475" s="81"/>
      <c r="CB1475" s="9"/>
      <c r="CE1475" s="81"/>
      <c r="CF1475" s="81"/>
      <c r="CH1475" s="9"/>
      <c r="CK1475" s="81"/>
      <c r="CL1475" s="81"/>
      <c r="CR1475" s="9"/>
      <c r="CS1475" s="9"/>
      <c r="CT1475" s="9"/>
      <c r="CU1475" s="9"/>
      <c r="CV1475" s="9"/>
      <c r="CW1475" s="129"/>
      <c r="CX1475" s="9"/>
    </row>
    <row r="1476" spans="1:102">
      <c r="A1476" s="6" t="str">
        <f t="shared" si="221"/>
        <v>02940720</v>
      </c>
      <c r="B1476" s="6" t="s">
        <v>1944</v>
      </c>
      <c r="C1476" s="6" t="s">
        <v>2041</v>
      </c>
      <c r="D1476" s="6">
        <v>1467</v>
      </c>
      <c r="E1476" s="6">
        <v>294</v>
      </c>
      <c r="F1476" s="6" t="s">
        <v>1412</v>
      </c>
      <c r="G1476" s="6">
        <v>720</v>
      </c>
      <c r="H1476" s="6" t="s">
        <v>1071</v>
      </c>
      <c r="I1476" s="33">
        <v>16258279.010725547</v>
      </c>
      <c r="J1476" s="88">
        <v>0.90670830896037391</v>
      </c>
      <c r="K1476" s="89">
        <f t="shared" si="230"/>
        <v>16077861.370967135</v>
      </c>
      <c r="L1476" s="88">
        <f>IF(K1479&gt;0, K1476/K1479, 0)</f>
        <v>0.90034445490955262</v>
      </c>
      <c r="M1476" s="58"/>
      <c r="N1476" s="9">
        <f>ROUND(M1479*L1476,0)</f>
        <v>5514324</v>
      </c>
      <c r="O1476" s="9">
        <v>5298951</v>
      </c>
      <c r="P1476" s="9">
        <f>N1476-O1476</f>
        <v>215373</v>
      </c>
      <c r="Q1476" s="40">
        <f t="shared" si="229"/>
        <v>4.064445962983994</v>
      </c>
      <c r="R1476" s="9">
        <v>1139.4836795282399</v>
      </c>
      <c r="S1476" s="9">
        <f t="shared" si="227"/>
        <v>1122.0942408388999</v>
      </c>
      <c r="T1476" s="90">
        <f t="shared" si="222"/>
        <v>294</v>
      </c>
      <c r="U1476" s="90">
        <f t="shared" si="223"/>
        <v>720</v>
      </c>
      <c r="V1476" s="373">
        <f t="shared" si="224"/>
        <v>1467</v>
      </c>
      <c r="W1476" s="90">
        <f t="shared" si="225"/>
        <v>1122.0942408388999</v>
      </c>
      <c r="X1476" s="90">
        <f t="shared" si="226"/>
        <v>16077861.370967135</v>
      </c>
      <c r="Y1476" s="141">
        <f t="shared" si="228"/>
        <v>1467</v>
      </c>
      <c r="Z1476" s="298">
        <v>294</v>
      </c>
      <c r="AA1476" s="299">
        <v>720</v>
      </c>
      <c r="AB1476" s="299">
        <v>1467</v>
      </c>
      <c r="AC1476" s="301">
        <v>1122.0942408388999</v>
      </c>
      <c r="AD1476" s="301">
        <v>16077861.370967135</v>
      </c>
      <c r="AE1476" s="126"/>
      <c r="AF1476" s="298"/>
      <c r="AG1476" s="299"/>
      <c r="AH1476" s="299"/>
      <c r="AI1476" s="301"/>
      <c r="AJ1476" s="301"/>
      <c r="AK1476" s="426"/>
      <c r="AL1476" s="298"/>
      <c r="AM1476" s="299"/>
      <c r="AN1476" s="299"/>
      <c r="AO1476" s="301"/>
      <c r="AP1476" s="301"/>
      <c r="AQ1476" s="426"/>
      <c r="AR1476" s="298"/>
      <c r="AS1476" s="299"/>
      <c r="AT1476" s="299"/>
      <c r="AU1476" s="301"/>
      <c r="AV1476" s="301"/>
      <c r="AW1476" s="88"/>
      <c r="AX1476" s="298"/>
      <c r="AY1476" s="299"/>
      <c r="AZ1476" s="299"/>
      <c r="BA1476" s="301"/>
      <c r="BB1476" s="301"/>
      <c r="BC1476" s="426"/>
      <c r="BD1476" s="298"/>
      <c r="BE1476" s="299"/>
      <c r="BF1476" s="299"/>
      <c r="BG1476" s="301"/>
      <c r="BH1476" s="301"/>
      <c r="BI1476" s="88"/>
      <c r="BJ1476" s="298"/>
      <c r="BK1476" s="299"/>
      <c r="BL1476" s="299"/>
      <c r="BM1476" s="301"/>
      <c r="BN1476" s="301"/>
      <c r="BO1476" s="88"/>
      <c r="BP1476" s="9"/>
      <c r="BS1476" s="81"/>
      <c r="BT1476" s="81"/>
      <c r="BV1476" s="9"/>
      <c r="BY1476" s="81"/>
      <c r="BZ1476" s="81"/>
      <c r="CB1476" s="9"/>
      <c r="CE1476" s="81"/>
      <c r="CF1476" s="81"/>
      <c r="CH1476" s="9"/>
      <c r="CK1476" s="81"/>
      <c r="CL1476" s="81"/>
      <c r="CR1476" s="9"/>
      <c r="CS1476" s="9"/>
      <c r="CT1476" s="9"/>
      <c r="CU1476" s="9"/>
      <c r="CV1476" s="9"/>
      <c r="CW1476" s="129"/>
      <c r="CX1476" s="9"/>
    </row>
    <row r="1477" spans="1:102">
      <c r="A1477" s="6" t="str">
        <f t="shared" si="221"/>
        <v>02940832</v>
      </c>
      <c r="B1477" s="6" t="s">
        <v>1944</v>
      </c>
      <c r="C1477" s="6" t="s">
        <v>2075</v>
      </c>
      <c r="D1477" s="6">
        <v>1468</v>
      </c>
      <c r="E1477" s="6">
        <v>294</v>
      </c>
      <c r="F1477" s="6" t="s">
        <v>1412</v>
      </c>
      <c r="G1477" s="6">
        <v>832</v>
      </c>
      <c r="H1477" s="6" t="s">
        <v>1105</v>
      </c>
      <c r="I1477" s="33">
        <v>1672822.8111681864</v>
      </c>
      <c r="J1477" s="88">
        <v>9.3291691039626076E-2</v>
      </c>
      <c r="K1477" s="89">
        <f t="shared" si="230"/>
        <v>1762734.1686114664</v>
      </c>
      <c r="L1477" s="88">
        <f>IF(K1479&gt;0, K1477/K1479, 0)</f>
        <v>9.8711383160375324E-2</v>
      </c>
      <c r="M1477" s="58"/>
      <c r="N1477" s="9">
        <f>ROUND(M1479*L1477,0)</f>
        <v>604576</v>
      </c>
      <c r="O1477" s="9">
        <v>545212</v>
      </c>
      <c r="P1477" s="9">
        <f>N1477-O1477</f>
        <v>59364</v>
      </c>
      <c r="Q1477" s="40">
        <f t="shared" si="229"/>
        <v>10.888241638115081</v>
      </c>
      <c r="R1477" s="9">
        <v>83.113465477099993</v>
      </c>
      <c r="S1477" s="9">
        <f t="shared" si="227"/>
        <v>86.999999998679996</v>
      </c>
      <c r="T1477" s="90">
        <f t="shared" si="222"/>
        <v>294</v>
      </c>
      <c r="U1477" s="90">
        <f t="shared" si="223"/>
        <v>832</v>
      </c>
      <c r="V1477" s="373">
        <f t="shared" si="224"/>
        <v>1468</v>
      </c>
      <c r="W1477" s="90">
        <f t="shared" si="225"/>
        <v>86.999999998679996</v>
      </c>
      <c r="X1477" s="90">
        <f t="shared" si="226"/>
        <v>1762734.1686114664</v>
      </c>
      <c r="Y1477" s="141">
        <f t="shared" si="228"/>
        <v>1468</v>
      </c>
      <c r="Z1477" s="298">
        <v>294</v>
      </c>
      <c r="AA1477" s="299">
        <v>832</v>
      </c>
      <c r="AB1477" s="299">
        <v>1468</v>
      </c>
      <c r="AC1477" s="301">
        <v>86.999999998679996</v>
      </c>
      <c r="AD1477" s="301">
        <v>1762734.1686114664</v>
      </c>
      <c r="AE1477" s="126"/>
      <c r="AF1477" s="298"/>
      <c r="AG1477" s="299"/>
      <c r="AH1477" s="299"/>
      <c r="AI1477" s="301"/>
      <c r="AJ1477" s="301"/>
      <c r="AK1477" s="426"/>
      <c r="AL1477" s="298"/>
      <c r="AM1477" s="299"/>
      <c r="AN1477" s="299"/>
      <c r="AO1477" s="301"/>
      <c r="AP1477" s="301"/>
      <c r="AQ1477" s="426"/>
      <c r="AR1477" s="298"/>
      <c r="AS1477" s="299"/>
      <c r="AT1477" s="299"/>
      <c r="AU1477" s="301"/>
      <c r="AV1477" s="301"/>
      <c r="AW1477" s="88"/>
      <c r="AX1477" s="298"/>
      <c r="AY1477" s="299"/>
      <c r="AZ1477" s="299"/>
      <c r="BA1477" s="301"/>
      <c r="BB1477" s="301"/>
      <c r="BC1477" s="426"/>
      <c r="BD1477" s="298"/>
      <c r="BE1477" s="299"/>
      <c r="BF1477" s="299"/>
      <c r="BG1477" s="301"/>
      <c r="BH1477" s="301"/>
      <c r="BI1477" s="88"/>
      <c r="BJ1477" s="298"/>
      <c r="BK1477" s="299"/>
      <c r="BL1477" s="299"/>
      <c r="BM1477" s="301"/>
      <c r="BN1477" s="301"/>
      <c r="BO1477" s="88"/>
      <c r="BP1477" s="9"/>
      <c r="BS1477" s="81"/>
      <c r="BT1477" s="81"/>
      <c r="BV1477" s="9"/>
      <c r="BY1477" s="81"/>
      <c r="BZ1477" s="81"/>
      <c r="CB1477" s="9"/>
      <c r="CE1477" s="81"/>
      <c r="CF1477" s="81"/>
      <c r="CH1477" s="9"/>
      <c r="CK1477" s="81"/>
      <c r="CL1477" s="81"/>
      <c r="CR1477" s="9"/>
      <c r="CS1477" s="9"/>
      <c r="CT1477" s="9"/>
      <c r="CU1477" s="9"/>
      <c r="CV1477" s="9"/>
      <c r="CW1477" s="129"/>
      <c r="CX1477" s="9"/>
    </row>
    <row r="1478" spans="1:102">
      <c r="A1478" s="6" t="str">
        <f t="shared" si="221"/>
        <v>02940998</v>
      </c>
      <c r="B1478" s="6" t="s">
        <v>1944</v>
      </c>
      <c r="C1478" s="6" t="s">
        <v>2091</v>
      </c>
      <c r="D1478" s="6">
        <v>1469</v>
      </c>
      <c r="E1478" s="6">
        <v>294</v>
      </c>
      <c r="F1478" s="6" t="s">
        <v>1547</v>
      </c>
      <c r="G1478" s="6">
        <v>998</v>
      </c>
      <c r="H1478" s="6" t="s">
        <v>1547</v>
      </c>
      <c r="I1478" s="33">
        <v>0</v>
      </c>
      <c r="J1478" s="88">
        <v>0</v>
      </c>
      <c r="K1478" s="89">
        <f t="shared" si="230"/>
        <v>0</v>
      </c>
      <c r="L1478" s="88">
        <f>IF(K1479&gt;0, K1478/K1479, 0)</f>
        <v>0</v>
      </c>
      <c r="M1478" s="58"/>
      <c r="N1478" s="9">
        <f>ROUND(M1479*L1478,0)</f>
        <v>0</v>
      </c>
      <c r="O1478" s="9">
        <v>0</v>
      </c>
      <c r="P1478" s="9">
        <f>N1478-O1478</f>
        <v>0</v>
      </c>
      <c r="Q1478" s="40">
        <f t="shared" si="229"/>
        <v>0</v>
      </c>
      <c r="R1478" s="9">
        <v>0</v>
      </c>
      <c r="S1478" s="9">
        <f t="shared" si="227"/>
        <v>0</v>
      </c>
      <c r="T1478" s="90">
        <f t="shared" si="222"/>
        <v>294</v>
      </c>
      <c r="U1478" s="90">
        <f t="shared" si="223"/>
        <v>998</v>
      </c>
      <c r="V1478" s="373">
        <f t="shared" si="224"/>
        <v>1469</v>
      </c>
      <c r="W1478" s="90">
        <f t="shared" si="225"/>
        <v>0</v>
      </c>
      <c r="X1478" s="90">
        <f t="shared" si="226"/>
        <v>0</v>
      </c>
      <c r="Y1478" s="141">
        <f t="shared" si="228"/>
        <v>1469</v>
      </c>
      <c r="Z1478" s="298">
        <v>294</v>
      </c>
      <c r="AA1478" s="299">
        <v>998</v>
      </c>
      <c r="AB1478" s="299">
        <v>1469</v>
      </c>
      <c r="AC1478" s="301">
        <v>0</v>
      </c>
      <c r="AD1478" s="301">
        <v>0</v>
      </c>
      <c r="AE1478" s="126"/>
      <c r="AF1478" s="298"/>
      <c r="AG1478" s="299"/>
      <c r="AH1478" s="299"/>
      <c r="AI1478" s="301"/>
      <c r="AJ1478" s="301"/>
      <c r="AK1478" s="426"/>
      <c r="AL1478" s="298"/>
      <c r="AM1478" s="299"/>
      <c r="AN1478" s="299"/>
      <c r="AO1478" s="301"/>
      <c r="AP1478" s="301"/>
      <c r="AQ1478" s="426"/>
      <c r="AR1478" s="298"/>
      <c r="AS1478" s="299"/>
      <c r="AT1478" s="299"/>
      <c r="AU1478" s="301"/>
      <c r="AV1478" s="301"/>
      <c r="AW1478" s="88"/>
      <c r="AX1478" s="298"/>
      <c r="AY1478" s="299"/>
      <c r="AZ1478" s="299"/>
      <c r="BA1478" s="301"/>
      <c r="BB1478" s="301"/>
      <c r="BC1478" s="426"/>
      <c r="BD1478" s="298"/>
      <c r="BE1478" s="299"/>
      <c r="BF1478" s="299"/>
      <c r="BG1478" s="301"/>
      <c r="BH1478" s="301"/>
      <c r="BI1478" s="88"/>
      <c r="BJ1478" s="298"/>
      <c r="BK1478" s="299"/>
      <c r="BL1478" s="299"/>
      <c r="BM1478" s="301"/>
      <c r="BN1478" s="301"/>
      <c r="BO1478" s="88"/>
      <c r="BP1478" s="9"/>
      <c r="BS1478" s="81"/>
      <c r="BT1478" s="81"/>
      <c r="BV1478" s="9"/>
      <c r="BY1478" s="81"/>
      <c r="BZ1478" s="81"/>
      <c r="CB1478" s="9"/>
      <c r="CE1478" s="81"/>
      <c r="CF1478" s="81"/>
      <c r="CH1478" s="9"/>
      <c r="CK1478" s="81"/>
      <c r="CL1478" s="81"/>
      <c r="CR1478" s="9"/>
      <c r="CS1478" s="9"/>
      <c r="CT1478" s="9"/>
      <c r="CU1478" s="9"/>
      <c r="CV1478" s="9"/>
      <c r="CW1478" s="129"/>
      <c r="CX1478" s="9"/>
    </row>
    <row r="1479" spans="1:102">
      <c r="A1479" s="6" t="str">
        <f t="shared" si="221"/>
        <v>02940999</v>
      </c>
      <c r="B1479" s="6" t="s">
        <v>1944</v>
      </c>
      <c r="C1479" s="6" t="s">
        <v>2092</v>
      </c>
      <c r="D1479" s="6">
        <v>1470</v>
      </c>
      <c r="E1479" s="10">
        <v>294</v>
      </c>
      <c r="F1479" s="10" t="s">
        <v>1412</v>
      </c>
      <c r="G1479" s="10">
        <v>999</v>
      </c>
      <c r="H1479" s="10" t="s">
        <v>593</v>
      </c>
      <c r="I1479" s="92">
        <v>17931101.821893733</v>
      </c>
      <c r="J1479" s="472">
        <v>1</v>
      </c>
      <c r="K1479" s="53">
        <f>SUM(K1475:K1478)</f>
        <v>17857455.8695786</v>
      </c>
      <c r="L1479" s="91">
        <f>SUM(L1475:L1478)</f>
        <v>1.0000000000000002</v>
      </c>
      <c r="M1479" s="79">
        <f>VLOOKUP(E1479,town351,24)</f>
        <v>6124683</v>
      </c>
      <c r="N1479" s="79">
        <f>SUM(N1475:N1478)</f>
        <v>6124683</v>
      </c>
      <c r="O1479" s="79">
        <v>5844163</v>
      </c>
      <c r="P1479" s="79">
        <f>SUM(P1475:P1478)</f>
        <v>280520</v>
      </c>
      <c r="Q1479" s="39">
        <f t="shared" si="229"/>
        <v>4.8000030115518681</v>
      </c>
      <c r="R1479" s="9">
        <v>1222.5971450053398</v>
      </c>
      <c r="S1479" s="9">
        <f t="shared" si="227"/>
        <v>1210.0942408375799</v>
      </c>
      <c r="T1479" s="90">
        <f t="shared" si="222"/>
        <v>294</v>
      </c>
      <c r="U1479" s="90">
        <f t="shared" si="223"/>
        <v>999</v>
      </c>
      <c r="V1479" s="373">
        <f t="shared" si="224"/>
        <v>1470</v>
      </c>
      <c r="W1479" s="90">
        <f t="shared" si="225"/>
        <v>1210.0942408375799</v>
      </c>
      <c r="X1479" s="90">
        <f t="shared" si="226"/>
        <v>17857455.8695786</v>
      </c>
      <c r="Y1479" s="141">
        <f t="shared" si="228"/>
        <v>1470</v>
      </c>
      <c r="Z1479" s="298">
        <v>294</v>
      </c>
      <c r="AA1479" s="299">
        <v>999</v>
      </c>
      <c r="AB1479" s="299">
        <v>1470</v>
      </c>
      <c r="AC1479" s="301">
        <v>1210.0942408375799</v>
      </c>
      <c r="AD1479" s="301">
        <v>17857455.8695786</v>
      </c>
      <c r="AE1479" s="126"/>
      <c r="AF1479" s="298"/>
      <c r="AG1479" s="299"/>
      <c r="AH1479" s="299"/>
      <c r="AI1479" s="301"/>
      <c r="AJ1479" s="301"/>
      <c r="AK1479" s="426"/>
      <c r="AL1479" s="298"/>
      <c r="AM1479" s="299"/>
      <c r="AN1479" s="299"/>
      <c r="AO1479" s="301"/>
      <c r="AP1479" s="301"/>
      <c r="AQ1479" s="426"/>
      <c r="AR1479" s="298"/>
      <c r="AS1479" s="299"/>
      <c r="AT1479" s="299"/>
      <c r="AU1479" s="301"/>
      <c r="AV1479" s="301"/>
      <c r="AW1479" s="91"/>
      <c r="AX1479" s="298"/>
      <c r="AY1479" s="299"/>
      <c r="AZ1479" s="299"/>
      <c r="BA1479" s="301"/>
      <c r="BB1479" s="301"/>
      <c r="BC1479" s="426"/>
      <c r="BD1479" s="298"/>
      <c r="BE1479" s="299"/>
      <c r="BF1479" s="299"/>
      <c r="BG1479" s="301"/>
      <c r="BH1479" s="301"/>
      <c r="BI1479" s="91"/>
      <c r="BJ1479" s="298"/>
      <c r="BK1479" s="299"/>
      <c r="BL1479" s="299"/>
      <c r="BM1479" s="301"/>
      <c r="BN1479" s="301"/>
      <c r="BO1479" s="91"/>
      <c r="BP1479" s="9"/>
      <c r="BS1479" s="81"/>
      <c r="BT1479" s="81"/>
      <c r="BV1479" s="9"/>
      <c r="BY1479" s="81"/>
      <c r="BZ1479" s="81"/>
      <c r="CB1479" s="9"/>
      <c r="CE1479" s="81"/>
      <c r="CF1479" s="81"/>
      <c r="CH1479" s="9"/>
      <c r="CK1479" s="81"/>
      <c r="CL1479" s="81"/>
      <c r="CR1479" s="9"/>
      <c r="CS1479" s="9"/>
      <c r="CT1479" s="9"/>
      <c r="CU1479" s="9"/>
      <c r="CV1479" s="9"/>
      <c r="CW1479" s="129"/>
      <c r="CX1479" s="9"/>
    </row>
    <row r="1480" spans="1:102">
      <c r="A1480" s="6" t="str">
        <f t="shared" si="221"/>
        <v>02950295</v>
      </c>
      <c r="B1480" s="6" t="s">
        <v>1945</v>
      </c>
      <c r="C1480" s="6" t="s">
        <v>1945</v>
      </c>
      <c r="D1480" s="6">
        <v>1471</v>
      </c>
      <c r="E1480" s="6">
        <v>295</v>
      </c>
      <c r="F1480" s="6" t="s">
        <v>1413</v>
      </c>
      <c r="G1480" s="6">
        <v>295</v>
      </c>
      <c r="H1480" s="6" t="s">
        <v>976</v>
      </c>
      <c r="I1480" s="33">
        <v>41191248.019999996</v>
      </c>
      <c r="J1480" s="88">
        <v>0.8595609441326808</v>
      </c>
      <c r="K1480" s="89">
        <f>X1480</f>
        <v>42576904.100000009</v>
      </c>
      <c r="L1480" s="88">
        <f>IF(K1484&gt;0, K1480/K1484, 0)</f>
        <v>0.85582590593406171</v>
      </c>
      <c r="M1480" s="58"/>
      <c r="N1480" s="9">
        <f>ROUND(M1484*L1480,0)</f>
        <v>34163893</v>
      </c>
      <c r="O1480" s="9">
        <v>32555022</v>
      </c>
      <c r="P1480" s="9">
        <f>N1480-O1480</f>
        <v>1608871</v>
      </c>
      <c r="Q1480" s="40">
        <f t="shared" si="229"/>
        <v>4.9420055682960378</v>
      </c>
      <c r="R1480" s="9">
        <v>3249</v>
      </c>
      <c r="S1480" s="9">
        <f t="shared" si="227"/>
        <v>3258</v>
      </c>
      <c r="T1480" s="90">
        <f t="shared" si="222"/>
        <v>295</v>
      </c>
      <c r="U1480" s="90">
        <f t="shared" si="223"/>
        <v>295</v>
      </c>
      <c r="V1480" s="373">
        <f t="shared" si="224"/>
        <v>1471</v>
      </c>
      <c r="W1480" s="90">
        <f t="shared" si="225"/>
        <v>3258</v>
      </c>
      <c r="X1480" s="90">
        <f t="shared" si="226"/>
        <v>42576904.100000009</v>
      </c>
      <c r="Y1480" s="141">
        <f t="shared" si="228"/>
        <v>1471</v>
      </c>
      <c r="Z1480" s="298">
        <v>295</v>
      </c>
      <c r="AA1480" s="299">
        <v>295</v>
      </c>
      <c r="AB1480" s="299">
        <v>1471</v>
      </c>
      <c r="AC1480" s="301">
        <v>3258</v>
      </c>
      <c r="AD1480" s="301">
        <v>42576904.100000009</v>
      </c>
      <c r="AE1480" s="126"/>
      <c r="AF1480" s="298"/>
      <c r="AG1480" s="299"/>
      <c r="AH1480" s="299"/>
      <c r="AI1480" s="301"/>
      <c r="AJ1480" s="301"/>
      <c r="AK1480" s="426"/>
      <c r="AL1480" s="298"/>
      <c r="AM1480" s="299"/>
      <c r="AN1480" s="299"/>
      <c r="AO1480" s="301"/>
      <c r="AP1480" s="301"/>
      <c r="AQ1480" s="426"/>
      <c r="AR1480" s="298"/>
      <c r="AS1480" s="299"/>
      <c r="AT1480" s="299"/>
      <c r="AU1480" s="301"/>
      <c r="AV1480" s="301"/>
      <c r="AW1480" s="88"/>
      <c r="AX1480" s="298"/>
      <c r="AY1480" s="299"/>
      <c r="AZ1480" s="299"/>
      <c r="BA1480" s="301"/>
      <c r="BB1480" s="301"/>
      <c r="BC1480" s="426"/>
      <c r="BD1480" s="298"/>
      <c r="BE1480" s="299"/>
      <c r="BF1480" s="299"/>
      <c r="BG1480" s="301"/>
      <c r="BH1480" s="301"/>
      <c r="BI1480" s="88"/>
      <c r="BJ1480" s="298"/>
      <c r="BK1480" s="299"/>
      <c r="BL1480" s="299"/>
      <c r="BM1480" s="301"/>
      <c r="BN1480" s="301"/>
      <c r="BO1480" s="88"/>
      <c r="BP1480" s="9"/>
      <c r="BS1480" s="81"/>
      <c r="BT1480" s="81"/>
      <c r="BV1480" s="9"/>
      <c r="BY1480" s="81"/>
      <c r="BZ1480" s="81"/>
      <c r="CB1480" s="9"/>
      <c r="CE1480" s="81"/>
      <c r="CF1480" s="81"/>
      <c r="CH1480" s="9"/>
      <c r="CK1480" s="81"/>
      <c r="CL1480" s="81"/>
      <c r="CR1480" s="9"/>
      <c r="CS1480" s="9"/>
      <c r="CT1480" s="9"/>
      <c r="CU1480" s="9"/>
      <c r="CV1480" s="9"/>
      <c r="CW1480" s="129"/>
      <c r="CX1480" s="9"/>
    </row>
    <row r="1481" spans="1:102">
      <c r="A1481" s="6" t="str">
        <f t="shared" si="221"/>
        <v>02950871</v>
      </c>
      <c r="B1481" s="6" t="s">
        <v>1945</v>
      </c>
      <c r="C1481" s="6" t="s">
        <v>2081</v>
      </c>
      <c r="D1481" s="6">
        <v>1472</v>
      </c>
      <c r="E1481" s="6">
        <v>295</v>
      </c>
      <c r="F1481" s="6" t="s">
        <v>1413</v>
      </c>
      <c r="G1481" s="6">
        <v>871</v>
      </c>
      <c r="H1481" s="6" t="s">
        <v>1111</v>
      </c>
      <c r="I1481" s="33">
        <v>6730017.2505655829</v>
      </c>
      <c r="J1481" s="88">
        <v>0.14043905586731922</v>
      </c>
      <c r="K1481" s="89">
        <f t="shared" si="230"/>
        <v>7172587.9459680449</v>
      </c>
      <c r="L1481" s="88">
        <f>IF(K1484&gt;0, K1481/K1484, 0)</f>
        <v>0.14417409406593826</v>
      </c>
      <c r="M1481" s="58"/>
      <c r="N1481" s="9">
        <f>ROUND(M1484*L1481,0)</f>
        <v>5755316</v>
      </c>
      <c r="O1481" s="9">
        <v>5318990</v>
      </c>
      <c r="P1481" s="9">
        <f>N1481-O1481</f>
        <v>436326</v>
      </c>
      <c r="Q1481" s="40">
        <f t="shared" si="229"/>
        <v>8.2031739108364565</v>
      </c>
      <c r="R1481" s="9">
        <v>349.00000000249997</v>
      </c>
      <c r="S1481" s="9">
        <f t="shared" si="227"/>
        <v>363.00000000023999</v>
      </c>
      <c r="T1481" s="90">
        <f t="shared" si="222"/>
        <v>295</v>
      </c>
      <c r="U1481" s="90">
        <f t="shared" si="223"/>
        <v>871</v>
      </c>
      <c r="V1481" s="373">
        <f t="shared" si="224"/>
        <v>1472</v>
      </c>
      <c r="W1481" s="90">
        <f t="shared" si="225"/>
        <v>363.00000000023999</v>
      </c>
      <c r="X1481" s="90">
        <f t="shared" si="226"/>
        <v>7172587.9459680449</v>
      </c>
      <c r="Y1481" s="141">
        <f t="shared" si="228"/>
        <v>1472</v>
      </c>
      <c r="Z1481" s="298">
        <v>295</v>
      </c>
      <c r="AA1481" s="299">
        <v>871</v>
      </c>
      <c r="AB1481" s="299">
        <v>1472</v>
      </c>
      <c r="AC1481" s="301">
        <v>363.00000000023999</v>
      </c>
      <c r="AD1481" s="301">
        <v>7172587.9459680449</v>
      </c>
      <c r="AE1481" s="126"/>
      <c r="AF1481" s="298"/>
      <c r="AG1481" s="299"/>
      <c r="AH1481" s="299"/>
      <c r="AI1481" s="301"/>
      <c r="AJ1481" s="301"/>
      <c r="AK1481" s="426"/>
      <c r="AL1481" s="298"/>
      <c r="AM1481" s="299"/>
      <c r="AN1481" s="299"/>
      <c r="AO1481" s="301"/>
      <c r="AP1481" s="301"/>
      <c r="AQ1481" s="426"/>
      <c r="AR1481" s="298"/>
      <c r="AS1481" s="299"/>
      <c r="AT1481" s="299"/>
      <c r="AU1481" s="301"/>
      <c r="AV1481" s="301"/>
      <c r="AW1481" s="88"/>
      <c r="AX1481" s="298"/>
      <c r="AY1481" s="299"/>
      <c r="AZ1481" s="299"/>
      <c r="BA1481" s="301"/>
      <c r="BB1481" s="301"/>
      <c r="BC1481" s="426"/>
      <c r="BD1481" s="298"/>
      <c r="BE1481" s="299"/>
      <c r="BF1481" s="299"/>
      <c r="BG1481" s="301"/>
      <c r="BH1481" s="301"/>
      <c r="BI1481" s="88"/>
      <c r="BJ1481" s="298"/>
      <c r="BK1481" s="299"/>
      <c r="BL1481" s="299"/>
      <c r="BM1481" s="301"/>
      <c r="BN1481" s="301"/>
      <c r="BO1481" s="88"/>
      <c r="BP1481" s="9"/>
      <c r="BS1481" s="81"/>
      <c r="BT1481" s="81"/>
      <c r="BV1481" s="9"/>
      <c r="BY1481" s="81"/>
      <c r="BZ1481" s="81"/>
      <c r="CB1481" s="9"/>
      <c r="CE1481" s="81"/>
      <c r="CF1481" s="81"/>
      <c r="CH1481" s="9"/>
      <c r="CK1481" s="81"/>
      <c r="CL1481" s="81"/>
      <c r="CR1481" s="9"/>
      <c r="CS1481" s="9"/>
      <c r="CT1481" s="9"/>
      <c r="CU1481" s="9"/>
      <c r="CV1481" s="9"/>
      <c r="CW1481" s="129"/>
      <c r="CX1481" s="9"/>
    </row>
    <row r="1482" spans="1:102">
      <c r="A1482" s="6" t="str">
        <f t="shared" ref="A1482:A1545" si="231">B1482&amp;C1482</f>
        <v>02950998</v>
      </c>
      <c r="B1482" s="6" t="s">
        <v>1945</v>
      </c>
      <c r="C1482" s="6" t="s">
        <v>2091</v>
      </c>
      <c r="D1482" s="6">
        <v>1473</v>
      </c>
      <c r="E1482" s="6">
        <v>295</v>
      </c>
      <c r="F1482" s="6" t="s">
        <v>1547</v>
      </c>
      <c r="G1482" s="6">
        <v>998</v>
      </c>
      <c r="I1482" s="33">
        <v>0</v>
      </c>
      <c r="J1482" s="88">
        <v>0</v>
      </c>
      <c r="K1482" s="89">
        <f t="shared" si="230"/>
        <v>0</v>
      </c>
      <c r="L1482" s="88">
        <f>IF(K1484&gt;0, K1482/K1484, 0)</f>
        <v>0</v>
      </c>
      <c r="M1482" s="58"/>
      <c r="N1482" s="9">
        <f>ROUND(M1484*L1482,0)</f>
        <v>0</v>
      </c>
      <c r="O1482" s="9">
        <v>0</v>
      </c>
      <c r="P1482" s="9">
        <f>N1482-O1482</f>
        <v>0</v>
      </c>
      <c r="Q1482" s="40">
        <f t="shared" si="229"/>
        <v>0</v>
      </c>
      <c r="R1482" s="9">
        <v>0</v>
      </c>
      <c r="S1482" s="9">
        <f t="shared" si="227"/>
        <v>0</v>
      </c>
      <c r="T1482" s="90">
        <f t="shared" ref="T1482:T1545" si="232">VLOOKUP($D1482, foundoptions, VLOOKUP($T$6, foundoptcell, 2, FALSE), FALSE)</f>
        <v>295</v>
      </c>
      <c r="U1482" s="90">
        <f t="shared" ref="U1482:U1545" si="233">VLOOKUP($D1482, foundoptions, VLOOKUP($T$6, foundoptcell, 2, FALSE)+1, FALSE)</f>
        <v>998</v>
      </c>
      <c r="V1482" s="373">
        <f t="shared" ref="V1482:V1545" si="234">VLOOKUP($D1482, foundoptions, VLOOKUP($T$6, foundoptcell, 2, FALSE)+2, FALSE)</f>
        <v>1473</v>
      </c>
      <c r="W1482" s="90">
        <f t="shared" ref="W1482:W1545" si="235">VLOOKUP($D1482, foundoptions, VLOOKUP($T$6, foundoptcell, 2, FALSE)+3, FALSE)</f>
        <v>0</v>
      </c>
      <c r="X1482" s="90">
        <f t="shared" ref="X1482:X1545" si="236">VLOOKUP($D1482, foundoptions, VLOOKUP($T$6, foundoptcell, 2, FALSE)+4, FALSE)</f>
        <v>0</v>
      </c>
      <c r="Y1482" s="141">
        <f t="shared" si="228"/>
        <v>1473</v>
      </c>
      <c r="Z1482" s="298">
        <v>295</v>
      </c>
      <c r="AA1482" s="299">
        <v>998</v>
      </c>
      <c r="AB1482" s="299">
        <v>1473</v>
      </c>
      <c r="AC1482" s="301">
        <v>0</v>
      </c>
      <c r="AD1482" s="301">
        <v>0</v>
      </c>
      <c r="AE1482" s="126"/>
      <c r="AF1482" s="298"/>
      <c r="AG1482" s="299"/>
      <c r="AH1482" s="299"/>
      <c r="AI1482" s="301"/>
      <c r="AJ1482" s="301"/>
      <c r="AK1482" s="426"/>
      <c r="AL1482" s="298"/>
      <c r="AM1482" s="299"/>
      <c r="AN1482" s="299"/>
      <c r="AO1482" s="301"/>
      <c r="AP1482" s="301"/>
      <c r="AQ1482" s="426"/>
      <c r="AR1482" s="298"/>
      <c r="AS1482" s="299"/>
      <c r="AT1482" s="299"/>
      <c r="AU1482" s="301"/>
      <c r="AV1482" s="301"/>
      <c r="AW1482" s="88"/>
      <c r="AX1482" s="298"/>
      <c r="AY1482" s="299"/>
      <c r="AZ1482" s="299"/>
      <c r="BA1482" s="301"/>
      <c r="BB1482" s="301"/>
      <c r="BC1482" s="426"/>
      <c r="BD1482" s="298"/>
      <c r="BE1482" s="299"/>
      <c r="BF1482" s="299"/>
      <c r="BG1482" s="301"/>
      <c r="BH1482" s="301"/>
      <c r="BI1482" s="88"/>
      <c r="BJ1482" s="298"/>
      <c r="BK1482" s="299"/>
      <c r="BL1482" s="299"/>
      <c r="BM1482" s="301"/>
      <c r="BN1482" s="301"/>
      <c r="BO1482" s="88"/>
      <c r="BP1482" s="9"/>
      <c r="BS1482" s="81"/>
      <c r="BT1482" s="81"/>
      <c r="BV1482" s="9"/>
      <c r="BY1482" s="81"/>
      <c r="BZ1482" s="81"/>
      <c r="CB1482" s="9"/>
      <c r="CE1482" s="81"/>
      <c r="CF1482" s="81"/>
      <c r="CH1482" s="9"/>
      <c r="CK1482" s="81"/>
      <c r="CL1482" s="81"/>
      <c r="CR1482" s="9"/>
      <c r="CS1482" s="9"/>
      <c r="CT1482" s="9"/>
      <c r="CU1482" s="9"/>
      <c r="CV1482" s="9"/>
      <c r="CW1482" s="129"/>
      <c r="CX1482" s="9"/>
    </row>
    <row r="1483" spans="1:102">
      <c r="A1483" s="6" t="str">
        <f t="shared" si="231"/>
        <v>02950998</v>
      </c>
      <c r="B1483" s="6" t="s">
        <v>1945</v>
      </c>
      <c r="C1483" s="6" t="s">
        <v>2091</v>
      </c>
      <c r="D1483" s="6">
        <v>1474</v>
      </c>
      <c r="E1483" s="6">
        <v>295</v>
      </c>
      <c r="F1483" s="6" t="s">
        <v>1547</v>
      </c>
      <c r="G1483" s="6">
        <v>998</v>
      </c>
      <c r="H1483" s="6" t="s">
        <v>1547</v>
      </c>
      <c r="I1483" s="33">
        <v>0</v>
      </c>
      <c r="J1483" s="88">
        <v>0</v>
      </c>
      <c r="K1483" s="89">
        <f t="shared" si="230"/>
        <v>0</v>
      </c>
      <c r="L1483" s="88">
        <f>IF(K1484&gt;0, K1483/K1484, 0)</f>
        <v>0</v>
      </c>
      <c r="M1483" s="58"/>
      <c r="N1483" s="9">
        <f>ROUND(M1484*L1483,0)</f>
        <v>0</v>
      </c>
      <c r="O1483" s="9">
        <v>0</v>
      </c>
      <c r="P1483" s="9">
        <f>N1483-O1483</f>
        <v>0</v>
      </c>
      <c r="Q1483" s="40">
        <f t="shared" si="229"/>
        <v>0</v>
      </c>
      <c r="R1483" s="9">
        <v>0</v>
      </c>
      <c r="S1483" s="9">
        <f t="shared" ref="S1483:S1546" si="237">W1483</f>
        <v>0</v>
      </c>
      <c r="T1483" s="90">
        <f t="shared" si="232"/>
        <v>295</v>
      </c>
      <c r="U1483" s="90">
        <f t="shared" si="233"/>
        <v>998</v>
      </c>
      <c r="V1483" s="373">
        <f t="shared" si="234"/>
        <v>1474</v>
      </c>
      <c r="W1483" s="90">
        <f t="shared" si="235"/>
        <v>0</v>
      </c>
      <c r="X1483" s="90">
        <f t="shared" si="236"/>
        <v>0</v>
      </c>
      <c r="Y1483" s="141">
        <f t="shared" ref="Y1483:Y1546" si="238">D1483</f>
        <v>1474</v>
      </c>
      <c r="Z1483" s="298">
        <v>295</v>
      </c>
      <c r="AA1483" s="299">
        <v>998</v>
      </c>
      <c r="AB1483" s="299">
        <v>1474</v>
      </c>
      <c r="AC1483" s="301">
        <v>0</v>
      </c>
      <c r="AD1483" s="301">
        <v>0</v>
      </c>
      <c r="AE1483" s="126"/>
      <c r="AF1483" s="298"/>
      <c r="AG1483" s="299"/>
      <c r="AH1483" s="299"/>
      <c r="AI1483" s="301"/>
      <c r="AJ1483" s="301"/>
      <c r="AK1483" s="426"/>
      <c r="AL1483" s="298"/>
      <c r="AM1483" s="299"/>
      <c r="AN1483" s="299"/>
      <c r="AO1483" s="301"/>
      <c r="AP1483" s="301"/>
      <c r="AQ1483" s="426"/>
      <c r="AR1483" s="298"/>
      <c r="AS1483" s="299"/>
      <c r="AT1483" s="299"/>
      <c r="AU1483" s="301"/>
      <c r="AV1483" s="301"/>
      <c r="AW1483" s="88"/>
      <c r="AX1483" s="298"/>
      <c r="AY1483" s="299"/>
      <c r="AZ1483" s="299"/>
      <c r="BA1483" s="301"/>
      <c r="BB1483" s="301"/>
      <c r="BC1483" s="426"/>
      <c r="BD1483" s="298"/>
      <c r="BE1483" s="299"/>
      <c r="BF1483" s="299"/>
      <c r="BG1483" s="301"/>
      <c r="BH1483" s="301"/>
      <c r="BI1483" s="88"/>
      <c r="BJ1483" s="298"/>
      <c r="BK1483" s="299"/>
      <c r="BL1483" s="299"/>
      <c r="BM1483" s="301"/>
      <c r="BN1483" s="301"/>
      <c r="BO1483" s="88"/>
      <c r="BP1483" s="9"/>
      <c r="BS1483" s="81"/>
      <c r="BT1483" s="81"/>
      <c r="BV1483" s="9"/>
      <c r="BY1483" s="81"/>
      <c r="BZ1483" s="81"/>
      <c r="CB1483" s="9"/>
      <c r="CE1483" s="81"/>
      <c r="CF1483" s="81"/>
      <c r="CH1483" s="9"/>
      <c r="CK1483" s="81"/>
      <c r="CL1483" s="81"/>
      <c r="CR1483" s="9"/>
      <c r="CS1483" s="9"/>
      <c r="CT1483" s="9"/>
      <c r="CU1483" s="9"/>
      <c r="CV1483" s="9"/>
      <c r="CW1483" s="129"/>
      <c r="CX1483" s="9"/>
    </row>
    <row r="1484" spans="1:102">
      <c r="A1484" s="6" t="str">
        <f t="shared" si="231"/>
        <v>02950999</v>
      </c>
      <c r="B1484" s="6" t="s">
        <v>1945</v>
      </c>
      <c r="C1484" s="6" t="s">
        <v>2092</v>
      </c>
      <c r="D1484" s="6">
        <v>1475</v>
      </c>
      <c r="E1484" s="10">
        <v>295</v>
      </c>
      <c r="F1484" s="10" t="s">
        <v>1413</v>
      </c>
      <c r="G1484" s="10">
        <v>999</v>
      </c>
      <c r="H1484" s="10" t="s">
        <v>593</v>
      </c>
      <c r="I1484" s="92">
        <v>47921265.270565577</v>
      </c>
      <c r="J1484" s="472">
        <v>1</v>
      </c>
      <c r="K1484" s="53">
        <f>SUM(K1480:K1483)</f>
        <v>49749492.045968056</v>
      </c>
      <c r="L1484" s="91">
        <f>SUM(L1480:L1483)</f>
        <v>1</v>
      </c>
      <c r="M1484" s="79">
        <f>VLOOKUP(E1484,town351,24)</f>
        <v>39919209</v>
      </c>
      <c r="N1484" s="79">
        <f>SUM(N1480:N1483)</f>
        <v>39919209</v>
      </c>
      <c r="O1484" s="79">
        <v>37874012</v>
      </c>
      <c r="P1484" s="79">
        <f>SUM(P1480:P1483)</f>
        <v>2045197</v>
      </c>
      <c r="Q1484" s="39">
        <f t="shared" si="229"/>
        <v>5.4000009293971818</v>
      </c>
      <c r="R1484" s="9">
        <v>3598.0000000025002</v>
      </c>
      <c r="S1484" s="9">
        <f t="shared" si="237"/>
        <v>3621.0000000002401</v>
      </c>
      <c r="T1484" s="90">
        <f t="shared" si="232"/>
        <v>295</v>
      </c>
      <c r="U1484" s="90">
        <f t="shared" si="233"/>
        <v>999</v>
      </c>
      <c r="V1484" s="373">
        <f t="shared" si="234"/>
        <v>1475</v>
      </c>
      <c r="W1484" s="90">
        <f t="shared" si="235"/>
        <v>3621.0000000002401</v>
      </c>
      <c r="X1484" s="90">
        <f t="shared" si="236"/>
        <v>49749492.045968056</v>
      </c>
      <c r="Y1484" s="141">
        <f t="shared" si="238"/>
        <v>1475</v>
      </c>
      <c r="Z1484" s="298">
        <v>295</v>
      </c>
      <c r="AA1484" s="299">
        <v>999</v>
      </c>
      <c r="AB1484" s="299">
        <v>1475</v>
      </c>
      <c r="AC1484" s="301">
        <v>3621.0000000002401</v>
      </c>
      <c r="AD1484" s="301">
        <v>49749492.045968056</v>
      </c>
      <c r="AE1484" s="126"/>
      <c r="AF1484" s="298"/>
      <c r="AG1484" s="299"/>
      <c r="AH1484" s="299"/>
      <c r="AI1484" s="301"/>
      <c r="AJ1484" s="301"/>
      <c r="AK1484" s="426"/>
      <c r="AL1484" s="298"/>
      <c r="AM1484" s="299"/>
      <c r="AN1484" s="299"/>
      <c r="AO1484" s="301"/>
      <c r="AP1484" s="301"/>
      <c r="AQ1484" s="426"/>
      <c r="AR1484" s="298"/>
      <c r="AS1484" s="299"/>
      <c r="AT1484" s="299"/>
      <c r="AU1484" s="301"/>
      <c r="AV1484" s="301"/>
      <c r="AW1484" s="91"/>
      <c r="AX1484" s="298"/>
      <c r="AY1484" s="299"/>
      <c r="AZ1484" s="299"/>
      <c r="BA1484" s="301"/>
      <c r="BB1484" s="301"/>
      <c r="BC1484" s="426"/>
      <c r="BD1484" s="298"/>
      <c r="BE1484" s="299"/>
      <c r="BF1484" s="299"/>
      <c r="BG1484" s="301"/>
      <c r="BH1484" s="301"/>
      <c r="BI1484" s="91"/>
      <c r="BJ1484" s="298"/>
      <c r="BK1484" s="299"/>
      <c r="BL1484" s="299"/>
      <c r="BM1484" s="301"/>
      <c r="BN1484" s="301"/>
      <c r="BO1484" s="91"/>
      <c r="BP1484" s="9"/>
      <c r="BS1484" s="81"/>
      <c r="BT1484" s="81"/>
      <c r="BV1484" s="9"/>
      <c r="BY1484" s="81"/>
      <c r="BZ1484" s="81"/>
      <c r="CB1484" s="9"/>
      <c r="CE1484" s="81"/>
      <c r="CF1484" s="81"/>
      <c r="CH1484" s="9"/>
      <c r="CK1484" s="81"/>
      <c r="CL1484" s="81"/>
      <c r="CR1484" s="9"/>
      <c r="CS1484" s="9"/>
      <c r="CT1484" s="9"/>
      <c r="CU1484" s="9"/>
      <c r="CV1484" s="9"/>
      <c r="CW1484" s="129"/>
      <c r="CX1484" s="9"/>
    </row>
    <row r="1485" spans="1:102">
      <c r="A1485" s="6" t="str">
        <f t="shared" si="231"/>
        <v>02960296</v>
      </c>
      <c r="B1485" s="6" t="s">
        <v>1946</v>
      </c>
      <c r="C1485" s="6" t="s">
        <v>1946</v>
      </c>
      <c r="D1485" s="6">
        <v>1476</v>
      </c>
      <c r="E1485" s="6">
        <v>296</v>
      </c>
      <c r="F1485" s="6" t="s">
        <v>1414</v>
      </c>
      <c r="G1485" s="6">
        <v>296</v>
      </c>
      <c r="H1485" s="6" t="s">
        <v>977</v>
      </c>
      <c r="I1485" s="33">
        <v>5475942.1799999988</v>
      </c>
      <c r="J1485" s="88">
        <v>0.59015981020456476</v>
      </c>
      <c r="K1485" s="89">
        <f>X1485</f>
        <v>5499468.6799999997</v>
      </c>
      <c r="L1485" s="88">
        <f>IF(K1489&gt;0, K1485/K1489, 0)</f>
        <v>0.62319503844024204</v>
      </c>
      <c r="M1485" s="58"/>
      <c r="N1485" s="9">
        <f>ROUND(M1489*L1485,0)</f>
        <v>4537062</v>
      </c>
      <c r="O1485" s="9">
        <v>3835613</v>
      </c>
      <c r="P1485" s="9">
        <f>N1485-O1485</f>
        <v>701449</v>
      </c>
      <c r="Q1485" s="40">
        <f t="shared" si="229"/>
        <v>18.287793893700954</v>
      </c>
      <c r="R1485" s="9">
        <v>360</v>
      </c>
      <c r="S1485" s="9">
        <f t="shared" si="237"/>
        <v>355</v>
      </c>
      <c r="T1485" s="90">
        <f t="shared" si="232"/>
        <v>296</v>
      </c>
      <c r="U1485" s="90">
        <f t="shared" si="233"/>
        <v>296</v>
      </c>
      <c r="V1485" s="373">
        <f t="shared" si="234"/>
        <v>1476</v>
      </c>
      <c r="W1485" s="90">
        <f t="shared" si="235"/>
        <v>355</v>
      </c>
      <c r="X1485" s="90">
        <f t="shared" si="236"/>
        <v>5499468.6799999997</v>
      </c>
      <c r="Y1485" s="141">
        <f t="shared" si="238"/>
        <v>1476</v>
      </c>
      <c r="Z1485" s="298">
        <v>296</v>
      </c>
      <c r="AA1485" s="299">
        <v>296</v>
      </c>
      <c r="AB1485" s="299">
        <v>1476</v>
      </c>
      <c r="AC1485" s="301">
        <v>355</v>
      </c>
      <c r="AD1485" s="301">
        <v>5499468.6799999997</v>
      </c>
      <c r="AE1485" s="126"/>
      <c r="AF1485" s="298"/>
      <c r="AG1485" s="299"/>
      <c r="AH1485" s="299"/>
      <c r="AI1485" s="301"/>
      <c r="AJ1485" s="301"/>
      <c r="AK1485" s="426"/>
      <c r="AL1485" s="298"/>
      <c r="AM1485" s="299"/>
      <c r="AN1485" s="299"/>
      <c r="AO1485" s="301"/>
      <c r="AP1485" s="301"/>
      <c r="AQ1485" s="426"/>
      <c r="AR1485" s="298"/>
      <c r="AS1485" s="299"/>
      <c r="AT1485" s="299"/>
      <c r="AU1485" s="301"/>
      <c r="AV1485" s="301"/>
      <c r="AW1485" s="88"/>
      <c r="AX1485" s="298"/>
      <c r="AY1485" s="299"/>
      <c r="AZ1485" s="299"/>
      <c r="BA1485" s="301"/>
      <c r="BB1485" s="301"/>
      <c r="BC1485" s="426"/>
      <c r="BD1485" s="298"/>
      <c r="BE1485" s="299"/>
      <c r="BF1485" s="299"/>
      <c r="BG1485" s="301"/>
      <c r="BH1485" s="301"/>
      <c r="BI1485" s="88"/>
      <c r="BJ1485" s="298"/>
      <c r="BK1485" s="299"/>
      <c r="BL1485" s="299"/>
      <c r="BM1485" s="301"/>
      <c r="BN1485" s="301"/>
      <c r="BO1485" s="88"/>
      <c r="BP1485" s="9"/>
      <c r="BS1485" s="81"/>
      <c r="BT1485" s="81"/>
      <c r="BV1485" s="9"/>
      <c r="BY1485" s="81"/>
      <c r="BZ1485" s="81"/>
      <c r="CB1485" s="9"/>
      <c r="CE1485" s="81"/>
      <c r="CF1485" s="81"/>
      <c r="CH1485" s="9"/>
      <c r="CK1485" s="81"/>
      <c r="CL1485" s="81"/>
      <c r="CR1485" s="9"/>
      <c r="CS1485" s="9"/>
      <c r="CT1485" s="9"/>
      <c r="CU1485" s="9"/>
      <c r="CV1485" s="9"/>
      <c r="CW1485" s="129"/>
      <c r="CX1485" s="9"/>
    </row>
    <row r="1486" spans="1:102">
      <c r="A1486" s="6" t="str">
        <f t="shared" si="231"/>
        <v>02960700</v>
      </c>
      <c r="B1486" s="6" t="s">
        <v>1946</v>
      </c>
      <c r="C1486" s="6" t="s">
        <v>2035</v>
      </c>
      <c r="D1486" s="6">
        <v>1477</v>
      </c>
      <c r="E1486" s="6">
        <v>296</v>
      </c>
      <c r="F1486" s="6" t="s">
        <v>1414</v>
      </c>
      <c r="G1486" s="6">
        <v>700</v>
      </c>
      <c r="H1486" s="6" t="s">
        <v>1065</v>
      </c>
      <c r="I1486" s="33">
        <v>3802802.4673217069</v>
      </c>
      <c r="J1486" s="88">
        <v>0.40984018979543529</v>
      </c>
      <c r="K1486" s="89">
        <f t="shared" si="230"/>
        <v>3325166.2108109007</v>
      </c>
      <c r="L1486" s="88">
        <f>IF(K1489&gt;0, K1486/K1489, 0)</f>
        <v>0.37680496155975807</v>
      </c>
      <c r="M1486" s="58"/>
      <c r="N1486" s="9">
        <f>ROUND(M1489*L1486,0)</f>
        <v>2743262</v>
      </c>
      <c r="O1486" s="9">
        <v>2663666</v>
      </c>
      <c r="P1486" s="9">
        <f>N1486-O1486</f>
        <v>79596</v>
      </c>
      <c r="Q1486" s="40">
        <f t="shared" si="229"/>
        <v>2.9882124860999841</v>
      </c>
      <c r="R1486" s="9">
        <v>211.99999999696001</v>
      </c>
      <c r="S1486" s="9">
        <f t="shared" si="237"/>
        <v>188.00000000092999</v>
      </c>
      <c r="T1486" s="90">
        <f t="shared" si="232"/>
        <v>296</v>
      </c>
      <c r="U1486" s="90">
        <f t="shared" si="233"/>
        <v>700</v>
      </c>
      <c r="V1486" s="373">
        <f t="shared" si="234"/>
        <v>1477</v>
      </c>
      <c r="W1486" s="90">
        <f t="shared" si="235"/>
        <v>188.00000000092999</v>
      </c>
      <c r="X1486" s="90">
        <f t="shared" si="236"/>
        <v>3325166.2108109007</v>
      </c>
      <c r="Y1486" s="141">
        <f t="shared" si="238"/>
        <v>1477</v>
      </c>
      <c r="Z1486" s="298">
        <v>296</v>
      </c>
      <c r="AA1486" s="299">
        <v>700</v>
      </c>
      <c r="AB1486" s="299">
        <v>1477</v>
      </c>
      <c r="AC1486" s="301">
        <v>188.00000000092999</v>
      </c>
      <c r="AD1486" s="301">
        <v>3325166.2108109007</v>
      </c>
      <c r="AE1486" s="126"/>
      <c r="AF1486" s="298"/>
      <c r="AG1486" s="299"/>
      <c r="AH1486" s="299"/>
      <c r="AI1486" s="301"/>
      <c r="AJ1486" s="301"/>
      <c r="AK1486" s="426"/>
      <c r="AL1486" s="298"/>
      <c r="AM1486" s="299"/>
      <c r="AN1486" s="299"/>
      <c r="AO1486" s="301"/>
      <c r="AP1486" s="301"/>
      <c r="AQ1486" s="426"/>
      <c r="AR1486" s="298"/>
      <c r="AS1486" s="299"/>
      <c r="AT1486" s="299"/>
      <c r="AU1486" s="301"/>
      <c r="AV1486" s="301"/>
      <c r="AW1486" s="88"/>
      <c r="AX1486" s="298"/>
      <c r="AY1486" s="299"/>
      <c r="AZ1486" s="299"/>
      <c r="BA1486" s="301"/>
      <c r="BB1486" s="301"/>
      <c r="BC1486" s="426"/>
      <c r="BD1486" s="298"/>
      <c r="BE1486" s="299"/>
      <c r="BF1486" s="299"/>
      <c r="BG1486" s="301"/>
      <c r="BH1486" s="301"/>
      <c r="BI1486" s="88"/>
      <c r="BJ1486" s="298"/>
      <c r="BK1486" s="299"/>
      <c r="BL1486" s="299"/>
      <c r="BM1486" s="301"/>
      <c r="BN1486" s="301"/>
      <c r="BO1486" s="88"/>
      <c r="BP1486" s="9"/>
      <c r="BS1486" s="81"/>
      <c r="BT1486" s="81"/>
      <c r="BV1486" s="9"/>
      <c r="BY1486" s="81"/>
      <c r="BZ1486" s="81"/>
      <c r="CB1486" s="9"/>
      <c r="CE1486" s="81"/>
      <c r="CF1486" s="81"/>
      <c r="CH1486" s="9"/>
      <c r="CK1486" s="81"/>
      <c r="CL1486" s="81"/>
      <c r="CR1486" s="9"/>
      <c r="CS1486" s="9"/>
      <c r="CT1486" s="9"/>
      <c r="CU1486" s="9"/>
      <c r="CV1486" s="9"/>
      <c r="CW1486" s="129"/>
      <c r="CX1486" s="9"/>
    </row>
    <row r="1487" spans="1:102">
      <c r="A1487" s="6" t="str">
        <f t="shared" si="231"/>
        <v>02960998</v>
      </c>
      <c r="B1487" s="6" t="s">
        <v>1946</v>
      </c>
      <c r="C1487" s="6" t="s">
        <v>2091</v>
      </c>
      <c r="D1487" s="6">
        <v>1478</v>
      </c>
      <c r="E1487" s="6">
        <v>296</v>
      </c>
      <c r="F1487" s="6" t="s">
        <v>1547</v>
      </c>
      <c r="G1487" s="6">
        <v>998</v>
      </c>
      <c r="H1487" s="6" t="s">
        <v>1547</v>
      </c>
      <c r="I1487" s="33">
        <v>0</v>
      </c>
      <c r="J1487" s="88">
        <v>0</v>
      </c>
      <c r="K1487" s="89">
        <f t="shared" si="230"/>
        <v>0</v>
      </c>
      <c r="L1487" s="88">
        <f>IF(K1489&gt;0, K1487/K1489, 0)</f>
        <v>0</v>
      </c>
      <c r="M1487" s="58"/>
      <c r="N1487" s="9">
        <f>ROUND(M1489*L1487,0)</f>
        <v>0</v>
      </c>
      <c r="O1487" s="9">
        <v>0</v>
      </c>
      <c r="P1487" s="9">
        <f>N1487-O1487</f>
        <v>0</v>
      </c>
      <c r="Q1487" s="40">
        <f t="shared" si="229"/>
        <v>0</v>
      </c>
      <c r="R1487" s="9">
        <v>0</v>
      </c>
      <c r="S1487" s="9">
        <f t="shared" si="237"/>
        <v>0</v>
      </c>
      <c r="T1487" s="90">
        <f t="shared" si="232"/>
        <v>296</v>
      </c>
      <c r="U1487" s="90">
        <f t="shared" si="233"/>
        <v>998</v>
      </c>
      <c r="V1487" s="373">
        <f t="shared" si="234"/>
        <v>1478</v>
      </c>
      <c r="W1487" s="90">
        <f t="shared" si="235"/>
        <v>0</v>
      </c>
      <c r="X1487" s="90">
        <f t="shared" si="236"/>
        <v>0</v>
      </c>
      <c r="Y1487" s="141">
        <f t="shared" si="238"/>
        <v>1478</v>
      </c>
      <c r="Z1487" s="298">
        <v>296</v>
      </c>
      <c r="AA1487" s="299">
        <v>998</v>
      </c>
      <c r="AB1487" s="299">
        <v>1478</v>
      </c>
      <c r="AC1487" s="301">
        <v>0</v>
      </c>
      <c r="AD1487" s="301">
        <v>0</v>
      </c>
      <c r="AE1487" s="126"/>
      <c r="AF1487" s="298"/>
      <c r="AG1487" s="299"/>
      <c r="AH1487" s="299"/>
      <c r="AI1487" s="301"/>
      <c r="AJ1487" s="301"/>
      <c r="AK1487" s="426"/>
      <c r="AL1487" s="298"/>
      <c r="AM1487" s="299"/>
      <c r="AN1487" s="299"/>
      <c r="AO1487" s="301"/>
      <c r="AP1487" s="301"/>
      <c r="AQ1487" s="426"/>
      <c r="AR1487" s="298"/>
      <c r="AS1487" s="299"/>
      <c r="AT1487" s="299"/>
      <c r="AU1487" s="301"/>
      <c r="AV1487" s="301"/>
      <c r="AW1487" s="88"/>
      <c r="AX1487" s="298"/>
      <c r="AY1487" s="299"/>
      <c r="AZ1487" s="299"/>
      <c r="BA1487" s="301"/>
      <c r="BB1487" s="301"/>
      <c r="BC1487" s="426"/>
      <c r="BD1487" s="298"/>
      <c r="BE1487" s="299"/>
      <c r="BF1487" s="299"/>
      <c r="BG1487" s="301"/>
      <c r="BH1487" s="301"/>
      <c r="BI1487" s="88"/>
      <c r="BJ1487" s="298"/>
      <c r="BK1487" s="299"/>
      <c r="BL1487" s="299"/>
      <c r="BM1487" s="301"/>
      <c r="BN1487" s="301"/>
      <c r="BO1487" s="88"/>
      <c r="BP1487" s="9"/>
      <c r="BS1487" s="81"/>
      <c r="BT1487" s="81"/>
      <c r="BV1487" s="9"/>
      <c r="BY1487" s="81"/>
      <c r="BZ1487" s="81"/>
      <c r="CB1487" s="9"/>
      <c r="CE1487" s="81"/>
      <c r="CF1487" s="81"/>
      <c r="CH1487" s="9"/>
      <c r="CK1487" s="81"/>
      <c r="CL1487" s="81"/>
      <c r="CR1487" s="9"/>
      <c r="CS1487" s="9"/>
      <c r="CT1487" s="9"/>
      <c r="CU1487" s="9"/>
      <c r="CV1487" s="9"/>
      <c r="CW1487" s="129"/>
      <c r="CX1487" s="9"/>
    </row>
    <row r="1488" spans="1:102">
      <c r="A1488" s="6" t="str">
        <f t="shared" si="231"/>
        <v>02960998</v>
      </c>
      <c r="B1488" s="6" t="s">
        <v>1946</v>
      </c>
      <c r="C1488" s="6" t="s">
        <v>2091</v>
      </c>
      <c r="D1488" s="6">
        <v>1479</v>
      </c>
      <c r="E1488" s="6">
        <v>296</v>
      </c>
      <c r="F1488" s="6" t="s">
        <v>1547</v>
      </c>
      <c r="G1488" s="6">
        <v>998</v>
      </c>
      <c r="H1488" s="6" t="s">
        <v>1547</v>
      </c>
      <c r="I1488" s="33">
        <v>0</v>
      </c>
      <c r="J1488" s="88">
        <v>0</v>
      </c>
      <c r="K1488" s="89">
        <f t="shared" si="230"/>
        <v>0</v>
      </c>
      <c r="L1488" s="88">
        <f>IF(K1489&gt;0, K1488/K1489, 0)</f>
        <v>0</v>
      </c>
      <c r="M1488" s="58"/>
      <c r="N1488" s="9">
        <f>ROUND(M1489*L1488,0)</f>
        <v>0</v>
      </c>
      <c r="O1488" s="9">
        <v>0</v>
      </c>
      <c r="P1488" s="9">
        <f>N1488-O1488</f>
        <v>0</v>
      </c>
      <c r="Q1488" s="40">
        <f>IF(O1488&gt;0,P1488*100/O1488,IF(P1488&gt;0,100,0))</f>
        <v>0</v>
      </c>
      <c r="R1488" s="9">
        <v>0</v>
      </c>
      <c r="S1488" s="9">
        <f t="shared" si="237"/>
        <v>0</v>
      </c>
      <c r="T1488" s="90">
        <f t="shared" si="232"/>
        <v>296</v>
      </c>
      <c r="U1488" s="90">
        <f t="shared" si="233"/>
        <v>998</v>
      </c>
      <c r="V1488" s="373">
        <f t="shared" si="234"/>
        <v>1479</v>
      </c>
      <c r="W1488" s="90">
        <f t="shared" si="235"/>
        <v>0</v>
      </c>
      <c r="X1488" s="90">
        <f t="shared" si="236"/>
        <v>0</v>
      </c>
      <c r="Y1488" s="141">
        <f t="shared" si="238"/>
        <v>1479</v>
      </c>
      <c r="Z1488" s="298">
        <v>296</v>
      </c>
      <c r="AA1488" s="299">
        <v>998</v>
      </c>
      <c r="AB1488" s="299">
        <v>1479</v>
      </c>
      <c r="AC1488" s="301">
        <v>0</v>
      </c>
      <c r="AD1488" s="301">
        <v>0</v>
      </c>
      <c r="AE1488" s="126"/>
      <c r="AF1488" s="298"/>
      <c r="AG1488" s="299"/>
      <c r="AH1488" s="299"/>
      <c r="AI1488" s="301"/>
      <c r="AJ1488" s="301"/>
      <c r="AK1488" s="426"/>
      <c r="AL1488" s="298"/>
      <c r="AM1488" s="299"/>
      <c r="AN1488" s="299"/>
      <c r="AO1488" s="301"/>
      <c r="AP1488" s="301"/>
      <c r="AQ1488" s="426"/>
      <c r="AR1488" s="298"/>
      <c r="AS1488" s="299"/>
      <c r="AT1488" s="299"/>
      <c r="AU1488" s="301"/>
      <c r="AV1488" s="301"/>
      <c r="AW1488" s="88"/>
      <c r="AX1488" s="298"/>
      <c r="AY1488" s="299"/>
      <c r="AZ1488" s="299"/>
      <c r="BA1488" s="301"/>
      <c r="BB1488" s="301"/>
      <c r="BC1488" s="426"/>
      <c r="BD1488" s="298"/>
      <c r="BE1488" s="299"/>
      <c r="BF1488" s="299"/>
      <c r="BG1488" s="301"/>
      <c r="BH1488" s="301"/>
      <c r="BI1488" s="88"/>
      <c r="BJ1488" s="298"/>
      <c r="BK1488" s="299"/>
      <c r="BL1488" s="299"/>
      <c r="BM1488" s="301"/>
      <c r="BN1488" s="301"/>
      <c r="BO1488" s="88"/>
      <c r="BP1488" s="9"/>
      <c r="BS1488" s="81"/>
      <c r="BT1488" s="81"/>
      <c r="BV1488" s="9"/>
      <c r="BY1488" s="81"/>
      <c r="BZ1488" s="81"/>
      <c r="CB1488" s="9"/>
      <c r="CE1488" s="81"/>
      <c r="CF1488" s="81"/>
      <c r="CH1488" s="9"/>
      <c r="CK1488" s="81"/>
      <c r="CL1488" s="81"/>
      <c r="CR1488" s="9"/>
      <c r="CS1488" s="9"/>
      <c r="CT1488" s="9"/>
      <c r="CU1488" s="9"/>
      <c r="CV1488" s="9"/>
      <c r="CW1488" s="129"/>
      <c r="CX1488" s="9"/>
    </row>
    <row r="1489" spans="1:102">
      <c r="A1489" s="6" t="str">
        <f t="shared" si="231"/>
        <v>02960999</v>
      </c>
      <c r="B1489" s="6" t="s">
        <v>1946</v>
      </c>
      <c r="C1489" s="6" t="s">
        <v>2092</v>
      </c>
      <c r="D1489" s="6">
        <v>1480</v>
      </c>
      <c r="E1489" s="10">
        <v>296</v>
      </c>
      <c r="F1489" s="10" t="s">
        <v>1414</v>
      </c>
      <c r="G1489" s="10">
        <v>999</v>
      </c>
      <c r="H1489" s="10" t="s">
        <v>593</v>
      </c>
      <c r="I1489" s="92">
        <v>9278744.6473217048</v>
      </c>
      <c r="J1489" s="472">
        <v>1</v>
      </c>
      <c r="K1489" s="53">
        <f>SUM(K1485:K1488)</f>
        <v>8824634.8908108994</v>
      </c>
      <c r="L1489" s="91">
        <f>SUM(L1485:L1488)</f>
        <v>1</v>
      </c>
      <c r="M1489" s="79">
        <f>VLOOKUP(E1489,town351,24)</f>
        <v>7280324</v>
      </c>
      <c r="N1489" s="79">
        <f>SUM(N1485:N1488)</f>
        <v>7280324</v>
      </c>
      <c r="O1489" s="79">
        <v>6499279</v>
      </c>
      <c r="P1489" s="79">
        <f>SUM(P1485:P1488)</f>
        <v>781045</v>
      </c>
      <c r="Q1489" s="39">
        <f t="shared" ref="Q1489:Q1551" si="239">IF(O1489&gt;0,P1489*100/O1489,IF(P1489&gt;0,100,0))</f>
        <v>12.017409931163133</v>
      </c>
      <c r="R1489" s="9">
        <v>571.99999999696001</v>
      </c>
      <c r="S1489" s="9">
        <f t="shared" si="237"/>
        <v>543.00000000092996</v>
      </c>
      <c r="T1489" s="90">
        <f t="shared" si="232"/>
        <v>296</v>
      </c>
      <c r="U1489" s="90">
        <f t="shared" si="233"/>
        <v>999</v>
      </c>
      <c r="V1489" s="373">
        <f t="shared" si="234"/>
        <v>1480</v>
      </c>
      <c r="W1489" s="90">
        <f t="shared" si="235"/>
        <v>543.00000000092996</v>
      </c>
      <c r="X1489" s="90">
        <f t="shared" si="236"/>
        <v>8824634.8908108994</v>
      </c>
      <c r="Y1489" s="141">
        <f t="shared" si="238"/>
        <v>1480</v>
      </c>
      <c r="Z1489" s="298">
        <v>296</v>
      </c>
      <c r="AA1489" s="299">
        <v>999</v>
      </c>
      <c r="AB1489" s="299">
        <v>1480</v>
      </c>
      <c r="AC1489" s="301">
        <v>543.00000000092996</v>
      </c>
      <c r="AD1489" s="301">
        <v>8824634.8908108994</v>
      </c>
      <c r="AE1489" s="126"/>
      <c r="AF1489" s="298"/>
      <c r="AG1489" s="299"/>
      <c r="AH1489" s="299"/>
      <c r="AI1489" s="301"/>
      <c r="AJ1489" s="301"/>
      <c r="AK1489" s="426"/>
      <c r="AL1489" s="298"/>
      <c r="AM1489" s="299"/>
      <c r="AN1489" s="299"/>
      <c r="AO1489" s="301"/>
      <c r="AP1489" s="301"/>
      <c r="AQ1489" s="426"/>
      <c r="AR1489" s="298"/>
      <c r="AS1489" s="299"/>
      <c r="AT1489" s="299"/>
      <c r="AU1489" s="301"/>
      <c r="AV1489" s="301"/>
      <c r="AW1489" s="91"/>
      <c r="AX1489" s="298"/>
      <c r="AY1489" s="299"/>
      <c r="AZ1489" s="299"/>
      <c r="BA1489" s="301"/>
      <c r="BB1489" s="301"/>
      <c r="BC1489" s="426"/>
      <c r="BD1489" s="298"/>
      <c r="BE1489" s="299"/>
      <c r="BF1489" s="299"/>
      <c r="BG1489" s="301"/>
      <c r="BH1489" s="301"/>
      <c r="BI1489" s="91"/>
      <c r="BJ1489" s="298"/>
      <c r="BK1489" s="299"/>
      <c r="BL1489" s="299"/>
      <c r="BM1489" s="301"/>
      <c r="BN1489" s="301"/>
      <c r="BO1489" s="91"/>
      <c r="BP1489" s="9"/>
      <c r="BS1489" s="81"/>
      <c r="BT1489" s="81"/>
      <c r="BV1489" s="9"/>
      <c r="BY1489" s="81"/>
      <c r="BZ1489" s="81"/>
      <c r="CB1489" s="9"/>
      <c r="CE1489" s="81"/>
      <c r="CF1489" s="81"/>
      <c r="CH1489" s="9"/>
      <c r="CK1489" s="81"/>
      <c r="CL1489" s="81"/>
      <c r="CR1489" s="9"/>
      <c r="CS1489" s="9"/>
      <c r="CT1489" s="9"/>
      <c r="CU1489" s="9"/>
      <c r="CV1489" s="9"/>
      <c r="CW1489" s="129"/>
      <c r="CX1489" s="9"/>
    </row>
    <row r="1490" spans="1:102">
      <c r="A1490" s="6" t="str">
        <f t="shared" si="231"/>
        <v>02970297</v>
      </c>
      <c r="B1490" s="6" t="s">
        <v>1947</v>
      </c>
      <c r="C1490" s="6" t="s">
        <v>1947</v>
      </c>
      <c r="D1490" s="6">
        <v>1481</v>
      </c>
      <c r="E1490" s="6">
        <v>297</v>
      </c>
      <c r="F1490" s="6" t="s">
        <v>1415</v>
      </c>
      <c r="G1490" s="6">
        <v>297</v>
      </c>
      <c r="H1490" s="6" t="s">
        <v>978</v>
      </c>
      <c r="I1490" s="33">
        <v>0</v>
      </c>
      <c r="J1490" s="88">
        <v>0</v>
      </c>
      <c r="K1490" s="89">
        <f>X1490</f>
        <v>0</v>
      </c>
      <c r="L1490" s="88">
        <f>IF(K1494&gt;0, K1490/K1494, 0)</f>
        <v>0</v>
      </c>
      <c r="M1490" s="58"/>
      <c r="N1490" s="9">
        <f>ROUND(M1494*L1490,0)</f>
        <v>0</v>
      </c>
      <c r="O1490" s="9">
        <v>0</v>
      </c>
      <c r="P1490" s="9">
        <f>N1490-O1490</f>
        <v>0</v>
      </c>
      <c r="Q1490" s="40">
        <f t="shared" si="239"/>
        <v>0</v>
      </c>
      <c r="R1490" s="9">
        <v>0</v>
      </c>
      <c r="S1490" s="9">
        <f t="shared" si="237"/>
        <v>0</v>
      </c>
      <c r="T1490" s="90">
        <f t="shared" si="232"/>
        <v>297</v>
      </c>
      <c r="U1490" s="90">
        <f t="shared" si="233"/>
        <v>297</v>
      </c>
      <c r="V1490" s="373">
        <f t="shared" si="234"/>
        <v>1481</v>
      </c>
      <c r="W1490" s="90">
        <f t="shared" si="235"/>
        <v>0</v>
      </c>
      <c r="X1490" s="90">
        <f t="shared" si="236"/>
        <v>0</v>
      </c>
      <c r="Y1490" s="141">
        <f t="shared" si="238"/>
        <v>1481</v>
      </c>
      <c r="Z1490" s="298">
        <v>297</v>
      </c>
      <c r="AA1490" s="299">
        <v>297</v>
      </c>
      <c r="AB1490" s="299">
        <v>1481</v>
      </c>
      <c r="AC1490" s="301">
        <v>0</v>
      </c>
      <c r="AD1490" s="301">
        <v>0</v>
      </c>
      <c r="AE1490" s="126"/>
      <c r="AF1490" s="298"/>
      <c r="AG1490" s="299"/>
      <c r="AH1490" s="299"/>
      <c r="AI1490" s="301"/>
      <c r="AJ1490" s="301"/>
      <c r="AK1490" s="426"/>
      <c r="AL1490" s="298"/>
      <c r="AM1490" s="299"/>
      <c r="AN1490" s="299"/>
      <c r="AO1490" s="301"/>
      <c r="AP1490" s="301"/>
      <c r="AQ1490" s="426"/>
      <c r="AR1490" s="298"/>
      <c r="AS1490" s="299"/>
      <c r="AT1490" s="299"/>
      <c r="AU1490" s="301"/>
      <c r="AV1490" s="301"/>
      <c r="AW1490" s="88"/>
      <c r="AX1490" s="298"/>
      <c r="AY1490" s="299"/>
      <c r="AZ1490" s="299"/>
      <c r="BA1490" s="301"/>
      <c r="BB1490" s="301"/>
      <c r="BC1490" s="426"/>
      <c r="BD1490" s="298"/>
      <c r="BE1490" s="299"/>
      <c r="BF1490" s="299"/>
      <c r="BG1490" s="301"/>
      <c r="BH1490" s="301"/>
      <c r="BI1490" s="88"/>
      <c r="BJ1490" s="298"/>
      <c r="BK1490" s="299"/>
      <c r="BL1490" s="299"/>
      <c r="BM1490" s="301"/>
      <c r="BN1490" s="301"/>
      <c r="BO1490" s="88"/>
      <c r="BP1490" s="9"/>
      <c r="BS1490" s="81"/>
      <c r="BT1490" s="81"/>
      <c r="BV1490" s="9"/>
      <c r="BY1490" s="81"/>
      <c r="BZ1490" s="81"/>
      <c r="CB1490" s="9"/>
      <c r="CE1490" s="81"/>
      <c r="CF1490" s="81"/>
      <c r="CH1490" s="9"/>
      <c r="CK1490" s="81"/>
      <c r="CL1490" s="81"/>
      <c r="CR1490" s="9"/>
      <c r="CS1490" s="9"/>
      <c r="CT1490" s="9"/>
      <c r="CU1490" s="9"/>
      <c r="CV1490" s="9"/>
      <c r="CW1490" s="129"/>
      <c r="CX1490" s="9"/>
    </row>
    <row r="1491" spans="1:102">
      <c r="A1491" s="6" t="str">
        <f t="shared" si="231"/>
        <v>02970766</v>
      </c>
      <c r="B1491" s="6" t="s">
        <v>1947</v>
      </c>
      <c r="C1491" s="6" t="s">
        <v>2054</v>
      </c>
      <c r="D1491" s="6">
        <v>1482</v>
      </c>
      <c r="E1491" s="6">
        <v>297</v>
      </c>
      <c r="F1491" s="6" t="s">
        <v>1415</v>
      </c>
      <c r="G1491" s="6">
        <v>766</v>
      </c>
      <c r="H1491" s="6" t="s">
        <v>1548</v>
      </c>
      <c r="I1491" s="33">
        <v>497827.48476620007</v>
      </c>
      <c r="J1491" s="88">
        <v>1</v>
      </c>
      <c r="K1491" s="89">
        <f t="shared" si="230"/>
        <v>429555.53772842116</v>
      </c>
      <c r="L1491" s="88">
        <f>IF(K1494&gt;0, K1491/K1494, 0)</f>
        <v>1</v>
      </c>
      <c r="M1491" s="58"/>
      <c r="N1491" s="9">
        <f>ROUND(M1494*L1491,0)</f>
        <v>354383</v>
      </c>
      <c r="O1491" s="9">
        <v>410708</v>
      </c>
      <c r="P1491" s="9">
        <f>N1491-O1491</f>
        <v>-56325</v>
      </c>
      <c r="Q1491" s="40">
        <f t="shared" si="239"/>
        <v>-13.714122929185699</v>
      </c>
      <c r="R1491" s="9">
        <v>35.219952873209998</v>
      </c>
      <c r="S1491" s="9">
        <f t="shared" si="237"/>
        <v>29.232371798419997</v>
      </c>
      <c r="T1491" s="90">
        <f t="shared" si="232"/>
        <v>297</v>
      </c>
      <c r="U1491" s="90">
        <f t="shared" si="233"/>
        <v>766</v>
      </c>
      <c r="V1491" s="373">
        <f t="shared" si="234"/>
        <v>1482</v>
      </c>
      <c r="W1491" s="90">
        <f t="shared" si="235"/>
        <v>29.232371798419997</v>
      </c>
      <c r="X1491" s="90">
        <f t="shared" si="236"/>
        <v>429555.53772842116</v>
      </c>
      <c r="Y1491" s="141">
        <f t="shared" si="238"/>
        <v>1482</v>
      </c>
      <c r="Z1491" s="298">
        <v>297</v>
      </c>
      <c r="AA1491" s="299">
        <v>766</v>
      </c>
      <c r="AB1491" s="299">
        <v>1482</v>
      </c>
      <c r="AC1491" s="301">
        <v>29.232371798419997</v>
      </c>
      <c r="AD1491" s="301">
        <v>429555.53772842116</v>
      </c>
      <c r="AE1491" s="126"/>
      <c r="AF1491" s="298"/>
      <c r="AG1491" s="299"/>
      <c r="AH1491" s="299"/>
      <c r="AI1491" s="301"/>
      <c r="AJ1491" s="301"/>
      <c r="AK1491" s="426"/>
      <c r="AL1491" s="298"/>
      <c r="AM1491" s="299"/>
      <c r="AN1491" s="299"/>
      <c r="AO1491" s="301"/>
      <c r="AP1491" s="301"/>
      <c r="AQ1491" s="426"/>
      <c r="AR1491" s="298"/>
      <c r="AS1491" s="299"/>
      <c r="AT1491" s="299"/>
      <c r="AU1491" s="301"/>
      <c r="AV1491" s="301"/>
      <c r="AW1491" s="88"/>
      <c r="AX1491" s="298"/>
      <c r="AY1491" s="299"/>
      <c r="AZ1491" s="299"/>
      <c r="BA1491" s="301"/>
      <c r="BB1491" s="301"/>
      <c r="BC1491" s="426"/>
      <c r="BD1491" s="298"/>
      <c r="BE1491" s="299"/>
      <c r="BF1491" s="299"/>
      <c r="BG1491" s="301"/>
      <c r="BH1491" s="301"/>
      <c r="BI1491" s="88"/>
      <c r="BJ1491" s="298"/>
      <c r="BK1491" s="299"/>
      <c r="BL1491" s="299"/>
      <c r="BM1491" s="301"/>
      <c r="BN1491" s="301"/>
      <c r="BO1491" s="88"/>
      <c r="BP1491" s="9"/>
      <c r="BS1491" s="81"/>
      <c r="BT1491" s="81"/>
      <c r="BV1491" s="9"/>
      <c r="BY1491" s="81"/>
      <c r="BZ1491" s="81"/>
      <c r="CB1491" s="9"/>
      <c r="CE1491" s="81"/>
      <c r="CF1491" s="81"/>
      <c r="CH1491" s="9"/>
      <c r="CK1491" s="81"/>
      <c r="CL1491" s="81"/>
      <c r="CR1491" s="9"/>
      <c r="CS1491" s="9"/>
      <c r="CT1491" s="9"/>
      <c r="CU1491" s="9"/>
      <c r="CV1491" s="9"/>
      <c r="CW1491" s="129"/>
      <c r="CX1491" s="9"/>
    </row>
    <row r="1492" spans="1:102">
      <c r="A1492" s="6" t="str">
        <f t="shared" si="231"/>
        <v>02970998</v>
      </c>
      <c r="B1492" s="6" t="s">
        <v>1947</v>
      </c>
      <c r="C1492" s="6" t="s">
        <v>2091</v>
      </c>
      <c r="D1492" s="6">
        <v>1483</v>
      </c>
      <c r="E1492" s="6">
        <v>297</v>
      </c>
      <c r="F1492" s="6" t="s">
        <v>1547</v>
      </c>
      <c r="G1492" s="6">
        <v>998</v>
      </c>
      <c r="H1492" s="6" t="s">
        <v>1547</v>
      </c>
      <c r="I1492" s="33">
        <v>0</v>
      </c>
      <c r="J1492" s="88">
        <v>0</v>
      </c>
      <c r="K1492" s="89">
        <f t="shared" si="230"/>
        <v>0</v>
      </c>
      <c r="L1492" s="88">
        <f>IF(K1494&gt;0, K1492/K1494, 0)</f>
        <v>0</v>
      </c>
      <c r="M1492" s="58"/>
      <c r="N1492" s="9">
        <f>ROUND(M1494*L1492,0)</f>
        <v>0</v>
      </c>
      <c r="O1492" s="9">
        <v>0</v>
      </c>
      <c r="P1492" s="9">
        <f>N1492-O1492</f>
        <v>0</v>
      </c>
      <c r="Q1492" s="40">
        <f t="shared" si="239"/>
        <v>0</v>
      </c>
      <c r="R1492" s="9">
        <v>0</v>
      </c>
      <c r="S1492" s="9">
        <f t="shared" si="237"/>
        <v>0</v>
      </c>
      <c r="T1492" s="90">
        <f t="shared" si="232"/>
        <v>297</v>
      </c>
      <c r="U1492" s="90">
        <f t="shared" si="233"/>
        <v>998</v>
      </c>
      <c r="V1492" s="373">
        <f t="shared" si="234"/>
        <v>1483</v>
      </c>
      <c r="W1492" s="90">
        <f t="shared" si="235"/>
        <v>0</v>
      </c>
      <c r="X1492" s="90">
        <f t="shared" si="236"/>
        <v>0</v>
      </c>
      <c r="Y1492" s="141">
        <f t="shared" si="238"/>
        <v>1483</v>
      </c>
      <c r="Z1492" s="298">
        <v>297</v>
      </c>
      <c r="AA1492" s="299">
        <v>998</v>
      </c>
      <c r="AB1492" s="299">
        <v>1483</v>
      </c>
      <c r="AC1492" s="301">
        <v>0</v>
      </c>
      <c r="AD1492" s="301">
        <v>0</v>
      </c>
      <c r="AE1492" s="126"/>
      <c r="AF1492" s="298"/>
      <c r="AG1492" s="299"/>
      <c r="AH1492" s="299"/>
      <c r="AI1492" s="301"/>
      <c r="AJ1492" s="301"/>
      <c r="AK1492" s="426"/>
      <c r="AL1492" s="298"/>
      <c r="AM1492" s="299"/>
      <c r="AN1492" s="299"/>
      <c r="AO1492" s="301"/>
      <c r="AP1492" s="301"/>
      <c r="AQ1492" s="426"/>
      <c r="AR1492" s="298"/>
      <c r="AS1492" s="299"/>
      <c r="AT1492" s="299"/>
      <c r="AU1492" s="301"/>
      <c r="AV1492" s="301"/>
      <c r="AW1492" s="88"/>
      <c r="AX1492" s="298"/>
      <c r="AY1492" s="299"/>
      <c r="AZ1492" s="299"/>
      <c r="BA1492" s="301"/>
      <c r="BB1492" s="301"/>
      <c r="BC1492" s="426"/>
      <c r="BD1492" s="298"/>
      <c r="BE1492" s="299"/>
      <c r="BF1492" s="299"/>
      <c r="BG1492" s="301"/>
      <c r="BH1492" s="301"/>
      <c r="BI1492" s="88"/>
      <c r="BJ1492" s="298"/>
      <c r="BK1492" s="299"/>
      <c r="BL1492" s="299"/>
      <c r="BM1492" s="301"/>
      <c r="BN1492" s="301"/>
      <c r="BO1492" s="88"/>
      <c r="BP1492" s="9"/>
      <c r="BS1492" s="81"/>
      <c r="BT1492" s="81"/>
      <c r="BV1492" s="9"/>
      <c r="BY1492" s="81"/>
      <c r="BZ1492" s="81"/>
      <c r="CB1492" s="9"/>
      <c r="CE1492" s="81"/>
      <c r="CF1492" s="81"/>
      <c r="CH1492" s="9"/>
      <c r="CK1492" s="81"/>
      <c r="CL1492" s="81"/>
      <c r="CR1492" s="9"/>
      <c r="CS1492" s="9"/>
      <c r="CT1492" s="9"/>
      <c r="CU1492" s="9"/>
      <c r="CV1492" s="9"/>
      <c r="CW1492" s="129"/>
      <c r="CX1492" s="9"/>
    </row>
    <row r="1493" spans="1:102">
      <c r="A1493" s="6" t="str">
        <f t="shared" si="231"/>
        <v>02970998</v>
      </c>
      <c r="B1493" s="6" t="s">
        <v>1947</v>
      </c>
      <c r="C1493" s="6" t="s">
        <v>2091</v>
      </c>
      <c r="D1493" s="6">
        <v>1484</v>
      </c>
      <c r="E1493" s="6">
        <v>297</v>
      </c>
      <c r="F1493" s="6" t="s">
        <v>1547</v>
      </c>
      <c r="G1493" s="6">
        <v>998</v>
      </c>
      <c r="H1493" s="6" t="s">
        <v>1547</v>
      </c>
      <c r="I1493" s="33">
        <v>0</v>
      </c>
      <c r="J1493" s="88">
        <v>0</v>
      </c>
      <c r="K1493" s="89">
        <f t="shared" si="230"/>
        <v>0</v>
      </c>
      <c r="L1493" s="88">
        <f>IF(K1494&gt;0, K1493/K1494, 0)</f>
        <v>0</v>
      </c>
      <c r="M1493" s="58"/>
      <c r="N1493" s="9">
        <f>ROUND(M1494*L1493,0)</f>
        <v>0</v>
      </c>
      <c r="O1493" s="9">
        <v>0</v>
      </c>
      <c r="P1493" s="9">
        <f>N1493-O1493</f>
        <v>0</v>
      </c>
      <c r="Q1493" s="40">
        <f t="shared" si="239"/>
        <v>0</v>
      </c>
      <c r="R1493" s="9">
        <v>0</v>
      </c>
      <c r="S1493" s="9">
        <f t="shared" si="237"/>
        <v>0</v>
      </c>
      <c r="T1493" s="90">
        <f t="shared" si="232"/>
        <v>297</v>
      </c>
      <c r="U1493" s="90">
        <f t="shared" si="233"/>
        <v>998</v>
      </c>
      <c r="V1493" s="373">
        <f t="shared" si="234"/>
        <v>1484</v>
      </c>
      <c r="W1493" s="90">
        <f t="shared" si="235"/>
        <v>0</v>
      </c>
      <c r="X1493" s="90">
        <f t="shared" si="236"/>
        <v>0</v>
      </c>
      <c r="Y1493" s="141">
        <f t="shared" si="238"/>
        <v>1484</v>
      </c>
      <c r="Z1493" s="298">
        <v>297</v>
      </c>
      <c r="AA1493" s="299">
        <v>998</v>
      </c>
      <c r="AB1493" s="299">
        <v>1484</v>
      </c>
      <c r="AC1493" s="301">
        <v>0</v>
      </c>
      <c r="AD1493" s="301">
        <v>0</v>
      </c>
      <c r="AE1493" s="126"/>
      <c r="AF1493" s="298"/>
      <c r="AG1493" s="299"/>
      <c r="AH1493" s="299"/>
      <c r="AI1493" s="301"/>
      <c r="AJ1493" s="301"/>
      <c r="AK1493" s="426"/>
      <c r="AL1493" s="298"/>
      <c r="AM1493" s="299"/>
      <c r="AN1493" s="299"/>
      <c r="AO1493" s="301"/>
      <c r="AP1493" s="301"/>
      <c r="AQ1493" s="426"/>
      <c r="AR1493" s="298"/>
      <c r="AS1493" s="299"/>
      <c r="AT1493" s="299"/>
      <c r="AU1493" s="301"/>
      <c r="AV1493" s="301"/>
      <c r="AW1493" s="88"/>
      <c r="AX1493" s="298"/>
      <c r="AY1493" s="299"/>
      <c r="AZ1493" s="299"/>
      <c r="BA1493" s="301"/>
      <c r="BB1493" s="301"/>
      <c r="BC1493" s="426"/>
      <c r="BD1493" s="298"/>
      <c r="BE1493" s="299"/>
      <c r="BF1493" s="299"/>
      <c r="BG1493" s="301"/>
      <c r="BH1493" s="301"/>
      <c r="BI1493" s="88"/>
      <c r="BJ1493" s="298"/>
      <c r="BK1493" s="299"/>
      <c r="BL1493" s="299"/>
      <c r="BM1493" s="301"/>
      <c r="BN1493" s="301"/>
      <c r="BO1493" s="88"/>
      <c r="BP1493" s="9"/>
      <c r="BS1493" s="81"/>
      <c r="BT1493" s="81"/>
      <c r="BV1493" s="9"/>
      <c r="BY1493" s="81"/>
      <c r="BZ1493" s="81"/>
      <c r="CB1493" s="9"/>
      <c r="CE1493" s="81"/>
      <c r="CF1493" s="81"/>
      <c r="CH1493" s="9"/>
      <c r="CK1493" s="81"/>
      <c r="CL1493" s="81"/>
      <c r="CR1493" s="9"/>
      <c r="CS1493" s="9"/>
      <c r="CT1493" s="9"/>
      <c r="CU1493" s="9"/>
      <c r="CV1493" s="9"/>
      <c r="CW1493" s="129"/>
      <c r="CX1493" s="9"/>
    </row>
    <row r="1494" spans="1:102">
      <c r="A1494" s="6" t="str">
        <f t="shared" si="231"/>
        <v>02970999</v>
      </c>
      <c r="B1494" s="6" t="s">
        <v>1947</v>
      </c>
      <c r="C1494" s="6" t="s">
        <v>2092</v>
      </c>
      <c r="D1494" s="6">
        <v>1485</v>
      </c>
      <c r="E1494" s="10">
        <v>297</v>
      </c>
      <c r="F1494" s="10" t="s">
        <v>1415</v>
      </c>
      <c r="G1494" s="10">
        <v>999</v>
      </c>
      <c r="H1494" s="10" t="s">
        <v>593</v>
      </c>
      <c r="I1494" s="92">
        <v>497827.48476620007</v>
      </c>
      <c r="J1494" s="472">
        <v>1</v>
      </c>
      <c r="K1494" s="53">
        <f>SUM(K1490:K1493)</f>
        <v>429555.53772842116</v>
      </c>
      <c r="L1494" s="91">
        <f>SUM(L1490:L1493)</f>
        <v>1</v>
      </c>
      <c r="M1494" s="79">
        <f>VLOOKUP(E1494,town351,24)</f>
        <v>354383</v>
      </c>
      <c r="N1494" s="79">
        <f>SUM(N1490:N1493)</f>
        <v>354383</v>
      </c>
      <c r="O1494" s="79">
        <v>410708</v>
      </c>
      <c r="P1494" s="79">
        <f>SUM(P1490:P1493)</f>
        <v>-56325</v>
      </c>
      <c r="Q1494" s="39">
        <f t="shared" si="239"/>
        <v>-13.714122929185699</v>
      </c>
      <c r="R1494" s="9">
        <v>35.219952873209998</v>
      </c>
      <c r="S1494" s="9">
        <f t="shared" si="237"/>
        <v>29.232371798419997</v>
      </c>
      <c r="T1494" s="90">
        <f t="shared" si="232"/>
        <v>297</v>
      </c>
      <c r="U1494" s="90">
        <f t="shared" si="233"/>
        <v>999</v>
      </c>
      <c r="V1494" s="373">
        <f t="shared" si="234"/>
        <v>1485</v>
      </c>
      <c r="W1494" s="90">
        <f t="shared" si="235"/>
        <v>29.232371798419997</v>
      </c>
      <c r="X1494" s="90">
        <f t="shared" si="236"/>
        <v>429555.53772842116</v>
      </c>
      <c r="Y1494" s="141">
        <f t="shared" si="238"/>
        <v>1485</v>
      </c>
      <c r="Z1494" s="298">
        <v>297</v>
      </c>
      <c r="AA1494" s="299">
        <v>999</v>
      </c>
      <c r="AB1494" s="299">
        <v>1485</v>
      </c>
      <c r="AC1494" s="301">
        <v>29.232371798419997</v>
      </c>
      <c r="AD1494" s="301">
        <v>429555.53772842116</v>
      </c>
      <c r="AE1494" s="126"/>
      <c r="AF1494" s="298"/>
      <c r="AG1494" s="299"/>
      <c r="AH1494" s="299"/>
      <c r="AI1494" s="301"/>
      <c r="AJ1494" s="301"/>
      <c r="AK1494" s="426"/>
      <c r="AL1494" s="298"/>
      <c r="AM1494" s="299"/>
      <c r="AN1494" s="299"/>
      <c r="AO1494" s="301"/>
      <c r="AP1494" s="301"/>
      <c r="AQ1494" s="426"/>
      <c r="AR1494" s="298"/>
      <c r="AS1494" s="299"/>
      <c r="AT1494" s="299"/>
      <c r="AU1494" s="301"/>
      <c r="AV1494" s="301"/>
      <c r="AW1494" s="91"/>
      <c r="AX1494" s="298"/>
      <c r="AY1494" s="299"/>
      <c r="AZ1494" s="299"/>
      <c r="BA1494" s="301"/>
      <c r="BB1494" s="301"/>
      <c r="BC1494" s="426"/>
      <c r="BD1494" s="298"/>
      <c r="BE1494" s="299"/>
      <c r="BF1494" s="299"/>
      <c r="BG1494" s="301"/>
      <c r="BH1494" s="301"/>
      <c r="BI1494" s="91"/>
      <c r="BJ1494" s="298"/>
      <c r="BK1494" s="299"/>
      <c r="BL1494" s="299"/>
      <c r="BM1494" s="301"/>
      <c r="BN1494" s="301"/>
      <c r="BO1494" s="91"/>
      <c r="BP1494" s="9"/>
      <c r="BS1494" s="81"/>
      <c r="BT1494" s="81"/>
      <c r="BV1494" s="9"/>
      <c r="BY1494" s="81"/>
      <c r="BZ1494" s="81"/>
      <c r="CB1494" s="9"/>
      <c r="CE1494" s="81"/>
      <c r="CF1494" s="81"/>
      <c r="CH1494" s="9"/>
      <c r="CK1494" s="81"/>
      <c r="CL1494" s="81"/>
      <c r="CR1494" s="9"/>
      <c r="CS1494" s="9"/>
      <c r="CT1494" s="9"/>
      <c r="CU1494" s="9"/>
      <c r="CV1494" s="9"/>
      <c r="CW1494" s="129"/>
      <c r="CX1494" s="9"/>
    </row>
    <row r="1495" spans="1:102">
      <c r="A1495" s="6" t="str">
        <f t="shared" si="231"/>
        <v>02980298</v>
      </c>
      <c r="B1495" s="6" t="s">
        <v>1948</v>
      </c>
      <c r="C1495" s="6" t="s">
        <v>1948</v>
      </c>
      <c r="D1495" s="6">
        <v>1486</v>
      </c>
      <c r="E1495" s="6">
        <v>298</v>
      </c>
      <c r="F1495" s="6" t="s">
        <v>1416</v>
      </c>
      <c r="G1495" s="6">
        <v>298</v>
      </c>
      <c r="H1495" s="6" t="s">
        <v>979</v>
      </c>
      <c r="I1495" s="33">
        <v>6737747.4920000006</v>
      </c>
      <c r="J1495" s="88">
        <v>0.50364531510490729</v>
      </c>
      <c r="K1495" s="89">
        <f>X1495</f>
        <v>7135071.2786099995</v>
      </c>
      <c r="L1495" s="88">
        <f>IF(K1499&gt;0, K1495/K1499, 0)</f>
        <v>0.51104338866816901</v>
      </c>
      <c r="M1495" s="58"/>
      <c r="N1495" s="9">
        <f>ROUND(M1499*L1495,0)</f>
        <v>5582684</v>
      </c>
      <c r="O1495" s="9">
        <v>5269483</v>
      </c>
      <c r="P1495" s="9">
        <f>N1495-O1495</f>
        <v>313201</v>
      </c>
      <c r="Q1495" s="40">
        <f t="shared" si="239"/>
        <v>5.9436760684112651</v>
      </c>
      <c r="R1495" s="9">
        <v>574</v>
      </c>
      <c r="S1495" s="9">
        <f t="shared" si="237"/>
        <v>589</v>
      </c>
      <c r="T1495" s="90">
        <f t="shared" si="232"/>
        <v>298</v>
      </c>
      <c r="U1495" s="90">
        <f t="shared" si="233"/>
        <v>298</v>
      </c>
      <c r="V1495" s="373">
        <f t="shared" si="234"/>
        <v>1486</v>
      </c>
      <c r="W1495" s="90">
        <f t="shared" si="235"/>
        <v>589</v>
      </c>
      <c r="X1495" s="90">
        <f t="shared" si="236"/>
        <v>7135071.2786099995</v>
      </c>
      <c r="Y1495" s="141">
        <f t="shared" si="238"/>
        <v>1486</v>
      </c>
      <c r="Z1495" s="298">
        <v>298</v>
      </c>
      <c r="AA1495" s="299">
        <v>298</v>
      </c>
      <c r="AB1495" s="299">
        <v>1486</v>
      </c>
      <c r="AC1495" s="301">
        <v>589</v>
      </c>
      <c r="AD1495" s="301">
        <v>7135071.2786099995</v>
      </c>
      <c r="AE1495" s="126"/>
      <c r="AF1495" s="298"/>
      <c r="AG1495" s="299"/>
      <c r="AH1495" s="299"/>
      <c r="AI1495" s="301"/>
      <c r="AJ1495" s="301"/>
      <c r="AK1495" s="426"/>
      <c r="AL1495" s="298"/>
      <c r="AM1495" s="299"/>
      <c r="AN1495" s="299"/>
      <c r="AO1495" s="301"/>
      <c r="AP1495" s="301"/>
      <c r="AQ1495" s="426"/>
      <c r="AR1495" s="298"/>
      <c r="AS1495" s="299"/>
      <c r="AT1495" s="299"/>
      <c r="AU1495" s="301"/>
      <c r="AV1495" s="301"/>
      <c r="AW1495" s="88"/>
      <c r="AX1495" s="298"/>
      <c r="AY1495" s="299"/>
      <c r="AZ1495" s="299"/>
      <c r="BA1495" s="301"/>
      <c r="BB1495" s="301"/>
      <c r="BC1495" s="426"/>
      <c r="BD1495" s="298"/>
      <c r="BE1495" s="299"/>
      <c r="BF1495" s="299"/>
      <c r="BG1495" s="301"/>
      <c r="BH1495" s="301"/>
      <c r="BI1495" s="88"/>
      <c r="BJ1495" s="298"/>
      <c r="BK1495" s="299"/>
      <c r="BL1495" s="299"/>
      <c r="BM1495" s="301"/>
      <c r="BN1495" s="301"/>
      <c r="BO1495" s="88"/>
      <c r="BP1495" s="9"/>
      <c r="BS1495" s="81"/>
      <c r="BT1495" s="81"/>
      <c r="BV1495" s="9"/>
      <c r="BY1495" s="81"/>
      <c r="BZ1495" s="81"/>
      <c r="CB1495" s="9"/>
      <c r="CE1495" s="81"/>
      <c r="CF1495" s="81"/>
      <c r="CH1495" s="9"/>
      <c r="CK1495" s="81"/>
      <c r="CL1495" s="81"/>
      <c r="CR1495" s="9"/>
      <c r="CS1495" s="9"/>
      <c r="CT1495" s="9"/>
      <c r="CU1495" s="9"/>
      <c r="CV1495" s="9"/>
      <c r="CW1495" s="129"/>
      <c r="CX1495" s="9"/>
    </row>
    <row r="1496" spans="1:102">
      <c r="A1496" s="6" t="str">
        <f t="shared" si="231"/>
        <v>02980705</v>
      </c>
      <c r="B1496" s="6" t="s">
        <v>1948</v>
      </c>
      <c r="C1496" s="6" t="s">
        <v>2036</v>
      </c>
      <c r="D1496" s="6">
        <v>1487</v>
      </c>
      <c r="E1496" s="6">
        <v>298</v>
      </c>
      <c r="F1496" s="6" t="s">
        <v>1416</v>
      </c>
      <c r="G1496" s="6">
        <v>705</v>
      </c>
      <c r="H1496" s="6" t="s">
        <v>1066</v>
      </c>
      <c r="I1496" s="33">
        <v>6068339.4407370165</v>
      </c>
      <c r="J1496" s="88">
        <v>0.45360719341625505</v>
      </c>
      <c r="K1496" s="89">
        <f t="shared" si="230"/>
        <v>6322293.4825305762</v>
      </c>
      <c r="L1496" s="88">
        <f>IF(K1499&gt;0, K1496/K1499, 0)</f>
        <v>0.45282887294386459</v>
      </c>
      <c r="M1496" s="58"/>
      <c r="N1496" s="9">
        <f>ROUND(M1499*L1496,0)</f>
        <v>4946744</v>
      </c>
      <c r="O1496" s="9">
        <v>4745950</v>
      </c>
      <c r="P1496" s="9">
        <f>N1496-O1496</f>
        <v>200794</v>
      </c>
      <c r="Q1496" s="40">
        <f t="shared" si="239"/>
        <v>4.2308494611194805</v>
      </c>
      <c r="R1496" s="9">
        <v>470.58348850886</v>
      </c>
      <c r="S1496" s="9">
        <f t="shared" si="237"/>
        <v>473.9020979032</v>
      </c>
      <c r="T1496" s="90">
        <f t="shared" si="232"/>
        <v>298</v>
      </c>
      <c r="U1496" s="90">
        <f t="shared" si="233"/>
        <v>705</v>
      </c>
      <c r="V1496" s="373">
        <f t="shared" si="234"/>
        <v>1487</v>
      </c>
      <c r="W1496" s="90">
        <f t="shared" si="235"/>
        <v>473.9020979032</v>
      </c>
      <c r="X1496" s="90">
        <f t="shared" si="236"/>
        <v>6322293.4825305762</v>
      </c>
      <c r="Y1496" s="141">
        <f t="shared" si="238"/>
        <v>1487</v>
      </c>
      <c r="Z1496" s="298">
        <v>298</v>
      </c>
      <c r="AA1496" s="299">
        <v>705</v>
      </c>
      <c r="AB1496" s="299">
        <v>1487</v>
      </c>
      <c r="AC1496" s="301">
        <v>473.9020979032</v>
      </c>
      <c r="AD1496" s="301">
        <v>6322293.4825305762</v>
      </c>
      <c r="AE1496" s="126"/>
      <c r="AF1496" s="298"/>
      <c r="AG1496" s="299"/>
      <c r="AH1496" s="299"/>
      <c r="AI1496" s="301"/>
      <c r="AJ1496" s="301"/>
      <c r="AK1496" s="426"/>
      <c r="AL1496" s="298"/>
      <c r="AM1496" s="299"/>
      <c r="AN1496" s="299"/>
      <c r="AO1496" s="301"/>
      <c r="AP1496" s="301"/>
      <c r="AQ1496" s="426"/>
      <c r="AR1496" s="298"/>
      <c r="AS1496" s="299"/>
      <c r="AT1496" s="299"/>
      <c r="AU1496" s="301"/>
      <c r="AV1496" s="301"/>
      <c r="AW1496" s="88"/>
      <c r="AX1496" s="298"/>
      <c r="AY1496" s="299"/>
      <c r="AZ1496" s="299"/>
      <c r="BA1496" s="301"/>
      <c r="BB1496" s="301"/>
      <c r="BC1496" s="426"/>
      <c r="BD1496" s="298"/>
      <c r="BE1496" s="299"/>
      <c r="BF1496" s="299"/>
      <c r="BG1496" s="301"/>
      <c r="BH1496" s="301"/>
      <c r="BI1496" s="88"/>
      <c r="BJ1496" s="298"/>
      <c r="BK1496" s="299"/>
      <c r="BL1496" s="299"/>
      <c r="BM1496" s="301"/>
      <c r="BN1496" s="301"/>
      <c r="BO1496" s="88"/>
      <c r="BP1496" s="9"/>
      <c r="BS1496" s="81"/>
      <c r="BT1496" s="81"/>
      <c r="BV1496" s="9"/>
      <c r="BY1496" s="81"/>
      <c r="BZ1496" s="81"/>
      <c r="CB1496" s="9"/>
      <c r="CE1496" s="81"/>
      <c r="CF1496" s="81"/>
      <c r="CH1496" s="9"/>
      <c r="CK1496" s="81"/>
      <c r="CL1496" s="81"/>
      <c r="CR1496" s="9"/>
      <c r="CS1496" s="9"/>
      <c r="CT1496" s="9"/>
      <c r="CU1496" s="9"/>
      <c r="CV1496" s="9"/>
      <c r="CW1496" s="129"/>
      <c r="CX1496" s="9"/>
    </row>
    <row r="1497" spans="1:102">
      <c r="A1497" s="6" t="str">
        <f t="shared" si="231"/>
        <v>02980817</v>
      </c>
      <c r="B1497" s="6" t="s">
        <v>1948</v>
      </c>
      <c r="C1497" s="6" t="s">
        <v>2067</v>
      </c>
      <c r="D1497" s="6">
        <v>1488</v>
      </c>
      <c r="E1497" s="6">
        <v>298</v>
      </c>
      <c r="F1497" s="6" t="s">
        <v>1416</v>
      </c>
      <c r="G1497" s="6">
        <v>817</v>
      </c>
      <c r="H1497" s="6" t="s">
        <v>1097</v>
      </c>
      <c r="I1497" s="33">
        <v>571874.28307723976</v>
      </c>
      <c r="J1497" s="88">
        <v>4.2747491478837593E-2</v>
      </c>
      <c r="K1497" s="89">
        <f t="shared" si="230"/>
        <v>504407.24652538839</v>
      </c>
      <c r="L1497" s="88">
        <f>IF(K1499&gt;0, K1497/K1499, 0)</f>
        <v>3.6127738387966402E-2</v>
      </c>
      <c r="M1497" s="58"/>
      <c r="N1497" s="9">
        <f>ROUND(M1499*L1497,0)</f>
        <v>394663</v>
      </c>
      <c r="O1497" s="9">
        <v>447254</v>
      </c>
      <c r="P1497" s="9">
        <f>N1497-O1497</f>
        <v>-52591</v>
      </c>
      <c r="Q1497" s="40">
        <f t="shared" si="239"/>
        <v>-11.758642739919598</v>
      </c>
      <c r="R1497" s="9">
        <v>28.999999997370001</v>
      </c>
      <c r="S1497" s="9">
        <f t="shared" si="237"/>
        <v>25.000000003169998</v>
      </c>
      <c r="T1497" s="90">
        <f t="shared" si="232"/>
        <v>298</v>
      </c>
      <c r="U1497" s="90">
        <f t="shared" si="233"/>
        <v>817</v>
      </c>
      <c r="V1497" s="373">
        <f t="shared" si="234"/>
        <v>1488</v>
      </c>
      <c r="W1497" s="90">
        <f t="shared" si="235"/>
        <v>25.000000003169998</v>
      </c>
      <c r="X1497" s="90">
        <f t="shared" si="236"/>
        <v>504407.24652538839</v>
      </c>
      <c r="Y1497" s="141">
        <f t="shared" si="238"/>
        <v>1488</v>
      </c>
      <c r="Z1497" s="298">
        <v>298</v>
      </c>
      <c r="AA1497" s="299">
        <v>817</v>
      </c>
      <c r="AB1497" s="299">
        <v>1488</v>
      </c>
      <c r="AC1497" s="301">
        <v>25.000000003169998</v>
      </c>
      <c r="AD1497" s="301">
        <v>504407.24652538839</v>
      </c>
      <c r="AE1497" s="126"/>
      <c r="AF1497" s="298"/>
      <c r="AG1497" s="299"/>
      <c r="AH1497" s="299"/>
      <c r="AI1497" s="301"/>
      <c r="AJ1497" s="301"/>
      <c r="AK1497" s="426"/>
      <c r="AL1497" s="298"/>
      <c r="AM1497" s="299"/>
      <c r="AN1497" s="299"/>
      <c r="AO1497" s="301"/>
      <c r="AP1497" s="301"/>
      <c r="AQ1497" s="426"/>
      <c r="AR1497" s="298"/>
      <c r="AS1497" s="299"/>
      <c r="AT1497" s="299"/>
      <c r="AU1497" s="301"/>
      <c r="AV1497" s="301"/>
      <c r="AW1497" s="88"/>
      <c r="AX1497" s="298"/>
      <c r="AY1497" s="299"/>
      <c r="AZ1497" s="299"/>
      <c r="BA1497" s="301"/>
      <c r="BB1497" s="301"/>
      <c r="BC1497" s="426"/>
      <c r="BD1497" s="298"/>
      <c r="BE1497" s="299"/>
      <c r="BF1497" s="299"/>
      <c r="BG1497" s="301"/>
      <c r="BH1497" s="301"/>
      <c r="BI1497" s="88"/>
      <c r="BJ1497" s="298"/>
      <c r="BK1497" s="299"/>
      <c r="BL1497" s="299"/>
      <c r="BM1497" s="301"/>
      <c r="BN1497" s="301"/>
      <c r="BO1497" s="88"/>
      <c r="BP1497" s="9"/>
      <c r="BS1497" s="81"/>
      <c r="BT1497" s="81"/>
      <c r="BV1497" s="9"/>
      <c r="BY1497" s="81"/>
      <c r="BZ1497" s="81"/>
      <c r="CB1497" s="9"/>
      <c r="CE1497" s="81"/>
      <c r="CF1497" s="81"/>
      <c r="CH1497" s="9"/>
      <c r="CK1497" s="81"/>
      <c r="CL1497" s="81"/>
      <c r="CR1497" s="9"/>
      <c r="CS1497" s="9"/>
      <c r="CT1497" s="9"/>
      <c r="CU1497" s="9"/>
      <c r="CV1497" s="9"/>
      <c r="CW1497" s="129"/>
      <c r="CX1497" s="9"/>
    </row>
    <row r="1498" spans="1:102">
      <c r="A1498" s="6" t="str">
        <f t="shared" si="231"/>
        <v>02980998</v>
      </c>
      <c r="B1498" s="6" t="s">
        <v>1948</v>
      </c>
      <c r="C1498" s="6" t="s">
        <v>2091</v>
      </c>
      <c r="D1498" s="6">
        <v>1489</v>
      </c>
      <c r="E1498" s="6">
        <v>298</v>
      </c>
      <c r="F1498" s="6" t="s">
        <v>1547</v>
      </c>
      <c r="G1498" s="6">
        <v>998</v>
      </c>
      <c r="I1498" s="33">
        <v>0</v>
      </c>
      <c r="J1498" s="88">
        <v>0</v>
      </c>
      <c r="K1498" s="89">
        <f t="shared" si="230"/>
        <v>0</v>
      </c>
      <c r="L1498" s="88">
        <f>IF(K1499&gt;0, K1498/K1499, 0)</f>
        <v>0</v>
      </c>
      <c r="M1498" s="58"/>
      <c r="N1498" s="9">
        <f>ROUND(M1499*L1498,0)</f>
        <v>0</v>
      </c>
      <c r="O1498" s="9">
        <v>0</v>
      </c>
      <c r="P1498" s="9">
        <f>N1498-O1498</f>
        <v>0</v>
      </c>
      <c r="Q1498" s="40">
        <f t="shared" si="239"/>
        <v>0</v>
      </c>
      <c r="R1498" s="9">
        <v>0</v>
      </c>
      <c r="S1498" s="9">
        <f t="shared" si="237"/>
        <v>0</v>
      </c>
      <c r="T1498" s="90">
        <f t="shared" si="232"/>
        <v>298</v>
      </c>
      <c r="U1498" s="90">
        <f t="shared" si="233"/>
        <v>998</v>
      </c>
      <c r="V1498" s="373">
        <f t="shared" si="234"/>
        <v>1489</v>
      </c>
      <c r="W1498" s="90">
        <f t="shared" si="235"/>
        <v>0</v>
      </c>
      <c r="X1498" s="90">
        <f t="shared" si="236"/>
        <v>0</v>
      </c>
      <c r="Y1498" s="141">
        <f t="shared" si="238"/>
        <v>1489</v>
      </c>
      <c r="Z1498" s="298">
        <v>298</v>
      </c>
      <c r="AA1498" s="299">
        <v>998</v>
      </c>
      <c r="AB1498" s="299">
        <v>1489</v>
      </c>
      <c r="AC1498" s="301">
        <v>0</v>
      </c>
      <c r="AD1498" s="301">
        <v>0</v>
      </c>
      <c r="AE1498" s="126"/>
      <c r="AF1498" s="298"/>
      <c r="AG1498" s="299"/>
      <c r="AH1498" s="299"/>
      <c r="AI1498" s="301"/>
      <c r="AJ1498" s="301"/>
      <c r="AK1498" s="426"/>
      <c r="AL1498" s="298"/>
      <c r="AM1498" s="299"/>
      <c r="AN1498" s="299"/>
      <c r="AO1498" s="301"/>
      <c r="AP1498" s="301"/>
      <c r="AQ1498" s="426"/>
      <c r="AR1498" s="298"/>
      <c r="AS1498" s="299"/>
      <c r="AT1498" s="299"/>
      <c r="AU1498" s="301"/>
      <c r="AV1498" s="301"/>
      <c r="AW1498" s="88"/>
      <c r="AX1498" s="298"/>
      <c r="AY1498" s="299"/>
      <c r="AZ1498" s="299"/>
      <c r="BA1498" s="301"/>
      <c r="BB1498" s="301"/>
      <c r="BC1498" s="426"/>
      <c r="BD1498" s="298"/>
      <c r="BE1498" s="299"/>
      <c r="BF1498" s="299"/>
      <c r="BG1498" s="301"/>
      <c r="BH1498" s="301"/>
      <c r="BI1498" s="88"/>
      <c r="BJ1498" s="298"/>
      <c r="BK1498" s="299"/>
      <c r="BL1498" s="299"/>
      <c r="BM1498" s="301"/>
      <c r="BN1498" s="301"/>
      <c r="BO1498" s="88"/>
      <c r="BP1498" s="9"/>
      <c r="BS1498" s="81"/>
      <c r="BT1498" s="81"/>
      <c r="BV1498" s="9"/>
      <c r="BY1498" s="81"/>
      <c r="BZ1498" s="81"/>
      <c r="CB1498" s="9"/>
      <c r="CE1498" s="81"/>
      <c r="CF1498" s="81"/>
      <c r="CH1498" s="9"/>
      <c r="CK1498" s="81"/>
      <c r="CL1498" s="81"/>
      <c r="CR1498" s="9"/>
      <c r="CS1498" s="9"/>
      <c r="CT1498" s="9"/>
      <c r="CU1498" s="9"/>
      <c r="CV1498" s="9"/>
      <c r="CW1498" s="129"/>
      <c r="CX1498" s="9"/>
    </row>
    <row r="1499" spans="1:102">
      <c r="A1499" s="6" t="str">
        <f t="shared" si="231"/>
        <v>02980999</v>
      </c>
      <c r="B1499" s="6" t="s">
        <v>1948</v>
      </c>
      <c r="C1499" s="6" t="s">
        <v>2092</v>
      </c>
      <c r="D1499" s="6">
        <v>1490</v>
      </c>
      <c r="E1499" s="10">
        <v>298</v>
      </c>
      <c r="F1499" s="10" t="s">
        <v>1416</v>
      </c>
      <c r="G1499" s="10">
        <v>999</v>
      </c>
      <c r="H1499" s="10" t="s">
        <v>593</v>
      </c>
      <c r="I1499" s="92">
        <v>13377961.215814257</v>
      </c>
      <c r="J1499" s="472">
        <v>0.99999999999999989</v>
      </c>
      <c r="K1499" s="53">
        <f>SUM(K1495:K1498)</f>
        <v>13961772.007665964</v>
      </c>
      <c r="L1499" s="91">
        <f>SUM(L1495:L1498)</f>
        <v>1</v>
      </c>
      <c r="M1499" s="79">
        <f>VLOOKUP(E1499,town351,24)</f>
        <v>10924091</v>
      </c>
      <c r="N1499" s="79">
        <f>SUM(N1495:N1498)</f>
        <v>10924091</v>
      </c>
      <c r="O1499" s="79">
        <v>10462687</v>
      </c>
      <c r="P1499" s="79">
        <f>SUM(P1495:P1498)</f>
        <v>461404</v>
      </c>
      <c r="Q1499" s="39">
        <f t="shared" si="239"/>
        <v>4.4099952526535491</v>
      </c>
      <c r="R1499" s="9">
        <v>1073.58348850623</v>
      </c>
      <c r="S1499" s="9">
        <f t="shared" si="237"/>
        <v>1087.90209790637</v>
      </c>
      <c r="T1499" s="90">
        <f t="shared" si="232"/>
        <v>298</v>
      </c>
      <c r="U1499" s="90">
        <f t="shared" si="233"/>
        <v>999</v>
      </c>
      <c r="V1499" s="373">
        <f t="shared" si="234"/>
        <v>1490</v>
      </c>
      <c r="W1499" s="90">
        <f t="shared" si="235"/>
        <v>1087.90209790637</v>
      </c>
      <c r="X1499" s="90">
        <f t="shared" si="236"/>
        <v>13961772.007665964</v>
      </c>
      <c r="Y1499" s="141">
        <f t="shared" si="238"/>
        <v>1490</v>
      </c>
      <c r="Z1499" s="298">
        <v>298</v>
      </c>
      <c r="AA1499" s="299">
        <v>999</v>
      </c>
      <c r="AB1499" s="299">
        <v>1490</v>
      </c>
      <c r="AC1499" s="301">
        <v>1087.90209790637</v>
      </c>
      <c r="AD1499" s="301">
        <v>13961772.007665964</v>
      </c>
      <c r="AE1499" s="126"/>
      <c r="AF1499" s="298"/>
      <c r="AG1499" s="299"/>
      <c r="AH1499" s="299"/>
      <c r="AI1499" s="301"/>
      <c r="AJ1499" s="301"/>
      <c r="AK1499" s="426"/>
      <c r="AL1499" s="298"/>
      <c r="AM1499" s="299"/>
      <c r="AN1499" s="299"/>
      <c r="AO1499" s="301"/>
      <c r="AP1499" s="301"/>
      <c r="AQ1499" s="426"/>
      <c r="AR1499" s="298"/>
      <c r="AS1499" s="299"/>
      <c r="AT1499" s="299"/>
      <c r="AU1499" s="301"/>
      <c r="AV1499" s="301"/>
      <c r="AW1499" s="91"/>
      <c r="AX1499" s="298"/>
      <c r="AY1499" s="299"/>
      <c r="AZ1499" s="299"/>
      <c r="BA1499" s="301"/>
      <c r="BB1499" s="301"/>
      <c r="BC1499" s="426"/>
      <c r="BD1499" s="298"/>
      <c r="BE1499" s="299"/>
      <c r="BF1499" s="299"/>
      <c r="BG1499" s="301"/>
      <c r="BH1499" s="301"/>
      <c r="BI1499" s="91"/>
      <c r="BJ1499" s="298"/>
      <c r="BK1499" s="299"/>
      <c r="BL1499" s="299"/>
      <c r="BM1499" s="301"/>
      <c r="BN1499" s="301"/>
      <c r="BO1499" s="91"/>
      <c r="BP1499" s="9"/>
      <c r="BS1499" s="81"/>
      <c r="BT1499" s="81"/>
      <c r="BV1499" s="9"/>
      <c r="BY1499" s="81"/>
      <c r="BZ1499" s="81"/>
      <c r="CB1499" s="9"/>
      <c r="CE1499" s="81"/>
      <c r="CF1499" s="81"/>
      <c r="CH1499" s="9"/>
      <c r="CK1499" s="81"/>
      <c r="CL1499" s="81"/>
      <c r="CR1499" s="9"/>
      <c r="CS1499" s="9"/>
      <c r="CT1499" s="9"/>
      <c r="CU1499" s="9"/>
      <c r="CV1499" s="9"/>
      <c r="CW1499" s="129"/>
      <c r="CX1499" s="9"/>
    </row>
    <row r="1500" spans="1:102">
      <c r="A1500" s="6" t="str">
        <f t="shared" si="231"/>
        <v>02990299</v>
      </c>
      <c r="B1500" s="6" t="s">
        <v>1949</v>
      </c>
      <c r="C1500" s="6" t="s">
        <v>1949</v>
      </c>
      <c r="D1500" s="6">
        <v>1491</v>
      </c>
      <c r="E1500" s="6">
        <v>299</v>
      </c>
      <c r="F1500" s="6" t="s">
        <v>1417</v>
      </c>
      <c r="G1500" s="6">
        <v>299</v>
      </c>
      <c r="H1500" s="6" t="s">
        <v>980</v>
      </c>
      <c r="I1500" s="33">
        <v>0</v>
      </c>
      <c r="J1500" s="88">
        <v>0</v>
      </c>
      <c r="K1500" s="89">
        <f>X1500</f>
        <v>0</v>
      </c>
      <c r="L1500" s="88">
        <f>IF(K1504&gt;0, K1500/K1504, 0)</f>
        <v>0</v>
      </c>
      <c r="M1500" s="58"/>
      <c r="N1500" s="9">
        <f>ROUND(M1504*L1500,0)</f>
        <v>0</v>
      </c>
      <c r="O1500" s="9">
        <v>0</v>
      </c>
      <c r="P1500" s="9">
        <f>N1500-O1500</f>
        <v>0</v>
      </c>
      <c r="Q1500" s="40">
        <f t="shared" si="239"/>
        <v>0</v>
      </c>
      <c r="R1500" s="9">
        <v>0</v>
      </c>
      <c r="S1500" s="9">
        <f t="shared" si="237"/>
        <v>0</v>
      </c>
      <c r="T1500" s="90">
        <f t="shared" si="232"/>
        <v>299</v>
      </c>
      <c r="U1500" s="90">
        <f t="shared" si="233"/>
        <v>299</v>
      </c>
      <c r="V1500" s="373">
        <f t="shared" si="234"/>
        <v>1491</v>
      </c>
      <c r="W1500" s="90">
        <f t="shared" si="235"/>
        <v>0</v>
      </c>
      <c r="X1500" s="90">
        <f t="shared" si="236"/>
        <v>0</v>
      </c>
      <c r="Y1500" s="141">
        <f t="shared" si="238"/>
        <v>1491</v>
      </c>
      <c r="Z1500" s="298">
        <v>299</v>
      </c>
      <c r="AA1500" s="299">
        <v>299</v>
      </c>
      <c r="AB1500" s="299">
        <v>1491</v>
      </c>
      <c r="AC1500" s="301">
        <v>0</v>
      </c>
      <c r="AD1500" s="301">
        <v>0</v>
      </c>
      <c r="AE1500" s="126"/>
      <c r="AF1500" s="298"/>
      <c r="AG1500" s="299"/>
      <c r="AH1500" s="299"/>
      <c r="AI1500" s="301"/>
      <c r="AJ1500" s="301"/>
      <c r="AK1500" s="426"/>
      <c r="AL1500" s="298"/>
      <c r="AM1500" s="299"/>
      <c r="AN1500" s="299"/>
      <c r="AO1500" s="301"/>
      <c r="AP1500" s="301"/>
      <c r="AQ1500" s="426"/>
      <c r="AR1500" s="298"/>
      <c r="AS1500" s="299"/>
      <c r="AT1500" s="299"/>
      <c r="AU1500" s="301"/>
      <c r="AV1500" s="301"/>
      <c r="AW1500" s="88"/>
      <c r="AX1500" s="298"/>
      <c r="AY1500" s="299"/>
      <c r="AZ1500" s="299"/>
      <c r="BA1500" s="301"/>
      <c r="BB1500" s="301"/>
      <c r="BC1500" s="426"/>
      <c r="BD1500" s="298"/>
      <c r="BE1500" s="299"/>
      <c r="BF1500" s="299"/>
      <c r="BG1500" s="301"/>
      <c r="BH1500" s="301"/>
      <c r="BI1500" s="88"/>
      <c r="BJ1500" s="298"/>
      <c r="BK1500" s="299"/>
      <c r="BL1500" s="299"/>
      <c r="BM1500" s="301"/>
      <c r="BN1500" s="301"/>
      <c r="BO1500" s="88"/>
      <c r="BP1500" s="9"/>
      <c r="BS1500" s="81"/>
      <c r="BT1500" s="81"/>
      <c r="BV1500" s="9"/>
      <c r="BY1500" s="81"/>
      <c r="BZ1500" s="81"/>
      <c r="CB1500" s="9"/>
      <c r="CE1500" s="81"/>
      <c r="CF1500" s="81"/>
      <c r="CH1500" s="9"/>
      <c r="CK1500" s="81"/>
      <c r="CL1500" s="81"/>
      <c r="CR1500" s="9"/>
      <c r="CS1500" s="9"/>
      <c r="CT1500" s="9"/>
      <c r="CU1500" s="9"/>
      <c r="CV1500" s="9"/>
      <c r="CW1500" s="129"/>
      <c r="CX1500" s="9"/>
    </row>
    <row r="1501" spans="1:102">
      <c r="A1501" s="6" t="str">
        <f t="shared" si="231"/>
        <v>02990735</v>
      </c>
      <c r="B1501" s="6" t="s">
        <v>1949</v>
      </c>
      <c r="C1501" s="6" t="s">
        <v>2045</v>
      </c>
      <c r="D1501" s="6">
        <v>1492</v>
      </c>
      <c r="E1501" s="6">
        <v>299</v>
      </c>
      <c r="F1501" s="6" t="s">
        <v>1417</v>
      </c>
      <c r="G1501" s="6">
        <v>735</v>
      </c>
      <c r="H1501" s="6" t="s">
        <v>1075</v>
      </c>
      <c r="I1501" s="33">
        <v>15527790.940463116</v>
      </c>
      <c r="J1501" s="88">
        <v>0.89033414012003342</v>
      </c>
      <c r="K1501" s="89">
        <f t="shared" si="230"/>
        <v>16103929.823848812</v>
      </c>
      <c r="L1501" s="88">
        <f>IF(K1504&gt;0, K1501/K1504, 0)</f>
        <v>0.8726857505416763</v>
      </c>
      <c r="M1501" s="58"/>
      <c r="N1501" s="9">
        <f>ROUND(M1504*L1501,0)</f>
        <v>7879597</v>
      </c>
      <c r="O1501" s="9">
        <v>7634328</v>
      </c>
      <c r="P1501" s="9">
        <f>N1501-O1501</f>
        <v>245269</v>
      </c>
      <c r="Q1501" s="40">
        <f t="shared" si="239"/>
        <v>3.2127123697069342</v>
      </c>
      <c r="R1501" s="9">
        <v>1185.5342465820002</v>
      </c>
      <c r="S1501" s="9">
        <f t="shared" si="237"/>
        <v>1199.1996820279801</v>
      </c>
      <c r="T1501" s="90">
        <f t="shared" si="232"/>
        <v>299</v>
      </c>
      <c r="U1501" s="90">
        <f t="shared" si="233"/>
        <v>735</v>
      </c>
      <c r="V1501" s="373">
        <f t="shared" si="234"/>
        <v>1492</v>
      </c>
      <c r="W1501" s="90">
        <f t="shared" si="235"/>
        <v>1199.1996820279801</v>
      </c>
      <c r="X1501" s="90">
        <f t="shared" si="236"/>
        <v>16103929.823848812</v>
      </c>
      <c r="Y1501" s="141">
        <f t="shared" si="238"/>
        <v>1492</v>
      </c>
      <c r="Z1501" s="298">
        <v>299</v>
      </c>
      <c r="AA1501" s="299">
        <v>735</v>
      </c>
      <c r="AB1501" s="299">
        <v>1492</v>
      </c>
      <c r="AC1501" s="301">
        <v>1199.1996820279801</v>
      </c>
      <c r="AD1501" s="301">
        <v>16103929.823848812</v>
      </c>
      <c r="AE1501" s="126"/>
      <c r="AF1501" s="298"/>
      <c r="AG1501" s="299"/>
      <c r="AH1501" s="299"/>
      <c r="AI1501" s="301"/>
      <c r="AJ1501" s="301"/>
      <c r="AK1501" s="426"/>
      <c r="AL1501" s="298"/>
      <c r="AM1501" s="299"/>
      <c r="AN1501" s="299"/>
      <c r="AO1501" s="301"/>
      <c r="AP1501" s="301"/>
      <c r="AQ1501" s="426"/>
      <c r="AR1501" s="298"/>
      <c r="AS1501" s="299"/>
      <c r="AT1501" s="299"/>
      <c r="AU1501" s="301"/>
      <c r="AV1501" s="301"/>
      <c r="AW1501" s="88"/>
      <c r="AX1501" s="298"/>
      <c r="AY1501" s="299"/>
      <c r="AZ1501" s="299"/>
      <c r="BA1501" s="301"/>
      <c r="BB1501" s="301"/>
      <c r="BC1501" s="426"/>
      <c r="BD1501" s="298"/>
      <c r="BE1501" s="299"/>
      <c r="BF1501" s="299"/>
      <c r="BG1501" s="301"/>
      <c r="BH1501" s="301"/>
      <c r="BI1501" s="88"/>
      <c r="BJ1501" s="298"/>
      <c r="BK1501" s="299"/>
      <c r="BL1501" s="299"/>
      <c r="BM1501" s="301"/>
      <c r="BN1501" s="301"/>
      <c r="BO1501" s="88"/>
      <c r="BP1501" s="9"/>
      <c r="BS1501" s="81"/>
      <c r="BT1501" s="81"/>
      <c r="BV1501" s="9"/>
      <c r="BY1501" s="81"/>
      <c r="BZ1501" s="81"/>
      <c r="CB1501" s="9"/>
      <c r="CE1501" s="81"/>
      <c r="CF1501" s="81"/>
      <c r="CH1501" s="9"/>
      <c r="CK1501" s="81"/>
      <c r="CL1501" s="81"/>
      <c r="CR1501" s="9"/>
      <c r="CS1501" s="9"/>
      <c r="CT1501" s="9"/>
      <c r="CU1501" s="9"/>
      <c r="CV1501" s="9"/>
      <c r="CW1501" s="129"/>
      <c r="CX1501" s="9"/>
    </row>
    <row r="1502" spans="1:102">
      <c r="A1502" s="6" t="str">
        <f t="shared" si="231"/>
        <v>02990852</v>
      </c>
      <c r="B1502" s="6" t="s">
        <v>1949</v>
      </c>
      <c r="C1502" s="6" t="s">
        <v>2077</v>
      </c>
      <c r="D1502" s="6">
        <v>1493</v>
      </c>
      <c r="E1502" s="6">
        <v>299</v>
      </c>
      <c r="F1502" s="6" t="s">
        <v>1417</v>
      </c>
      <c r="G1502" s="6">
        <v>852</v>
      </c>
      <c r="H1502" s="6" t="s">
        <v>1107</v>
      </c>
      <c r="I1502" s="33">
        <v>1912617.3745203852</v>
      </c>
      <c r="J1502" s="88">
        <v>0.1096658598799666</v>
      </c>
      <c r="K1502" s="89">
        <f t="shared" si="230"/>
        <v>2349367.7278221059</v>
      </c>
      <c r="L1502" s="88">
        <f>IF(K1504&gt;0, K1502/K1504, 0)</f>
        <v>0.12731424945832376</v>
      </c>
      <c r="M1502" s="58"/>
      <c r="N1502" s="9">
        <f>ROUND(M1504*L1502,0)</f>
        <v>1149538</v>
      </c>
      <c r="O1502" s="9">
        <v>940349</v>
      </c>
      <c r="P1502" s="9">
        <f>N1502-O1502</f>
        <v>209189</v>
      </c>
      <c r="Q1502" s="40">
        <f t="shared" si="239"/>
        <v>22.245889558025798</v>
      </c>
      <c r="R1502" s="9">
        <v>94.000000001050012</v>
      </c>
      <c r="S1502" s="9">
        <f t="shared" si="237"/>
        <v>113.99999999745999</v>
      </c>
      <c r="T1502" s="90">
        <f t="shared" si="232"/>
        <v>299</v>
      </c>
      <c r="U1502" s="90">
        <f t="shared" si="233"/>
        <v>852</v>
      </c>
      <c r="V1502" s="373">
        <f t="shared" si="234"/>
        <v>1493</v>
      </c>
      <c r="W1502" s="90">
        <f t="shared" si="235"/>
        <v>113.99999999745999</v>
      </c>
      <c r="X1502" s="90">
        <f t="shared" si="236"/>
        <v>2349367.7278221059</v>
      </c>
      <c r="Y1502" s="141">
        <f t="shared" si="238"/>
        <v>1493</v>
      </c>
      <c r="Z1502" s="298">
        <v>299</v>
      </c>
      <c r="AA1502" s="299">
        <v>852</v>
      </c>
      <c r="AB1502" s="299">
        <v>1493</v>
      </c>
      <c r="AC1502" s="301">
        <v>113.99999999745999</v>
      </c>
      <c r="AD1502" s="301">
        <v>2349367.7278221059</v>
      </c>
      <c r="AE1502" s="126"/>
      <c r="AF1502" s="298"/>
      <c r="AG1502" s="299"/>
      <c r="AH1502" s="299"/>
      <c r="AI1502" s="301"/>
      <c r="AJ1502" s="301"/>
      <c r="AK1502" s="426"/>
      <c r="AL1502" s="298"/>
      <c r="AM1502" s="299"/>
      <c r="AN1502" s="299"/>
      <c r="AO1502" s="301"/>
      <c r="AP1502" s="301"/>
      <c r="AQ1502" s="426"/>
      <c r="AR1502" s="298"/>
      <c r="AS1502" s="299"/>
      <c r="AT1502" s="299"/>
      <c r="AU1502" s="301"/>
      <c r="AV1502" s="301"/>
      <c r="AW1502" s="88"/>
      <c r="AX1502" s="298"/>
      <c r="AY1502" s="299"/>
      <c r="AZ1502" s="299"/>
      <c r="BA1502" s="301"/>
      <c r="BB1502" s="301"/>
      <c r="BC1502" s="426"/>
      <c r="BD1502" s="298"/>
      <c r="BE1502" s="299"/>
      <c r="BF1502" s="299"/>
      <c r="BG1502" s="301"/>
      <c r="BH1502" s="301"/>
      <c r="BI1502" s="88"/>
      <c r="BJ1502" s="298"/>
      <c r="BK1502" s="299"/>
      <c r="BL1502" s="299"/>
      <c r="BM1502" s="301"/>
      <c r="BN1502" s="301"/>
      <c r="BO1502" s="88"/>
      <c r="BP1502" s="9"/>
      <c r="BS1502" s="81"/>
      <c r="BT1502" s="81"/>
      <c r="BV1502" s="9"/>
      <c r="BY1502" s="81"/>
      <c r="BZ1502" s="81"/>
      <c r="CB1502" s="9"/>
      <c r="CE1502" s="81"/>
      <c r="CF1502" s="81"/>
      <c r="CH1502" s="9"/>
      <c r="CK1502" s="81"/>
      <c r="CL1502" s="81"/>
      <c r="CR1502" s="9"/>
      <c r="CS1502" s="9"/>
      <c r="CT1502" s="9"/>
      <c r="CU1502" s="9"/>
      <c r="CV1502" s="9"/>
      <c r="CW1502" s="129"/>
      <c r="CX1502" s="9"/>
    </row>
    <row r="1503" spans="1:102">
      <c r="A1503" s="6" t="str">
        <f t="shared" si="231"/>
        <v>02990998</v>
      </c>
      <c r="B1503" s="6" t="s">
        <v>1949</v>
      </c>
      <c r="C1503" s="6" t="s">
        <v>2091</v>
      </c>
      <c r="D1503" s="6">
        <v>1494</v>
      </c>
      <c r="E1503" s="6">
        <v>299</v>
      </c>
      <c r="F1503" s="6" t="s">
        <v>1547</v>
      </c>
      <c r="G1503" s="6">
        <v>998</v>
      </c>
      <c r="H1503" s="6" t="s">
        <v>1547</v>
      </c>
      <c r="I1503" s="33">
        <v>0</v>
      </c>
      <c r="J1503" s="88">
        <v>0</v>
      </c>
      <c r="K1503" s="89">
        <f t="shared" si="230"/>
        <v>0</v>
      </c>
      <c r="L1503" s="88">
        <f>IF(K1504&gt;0, K1503/K1504, 0)</f>
        <v>0</v>
      </c>
      <c r="M1503" s="58"/>
      <c r="N1503" s="9">
        <f>ROUND(M1504*L1503,0)</f>
        <v>0</v>
      </c>
      <c r="O1503" s="9">
        <v>0</v>
      </c>
      <c r="P1503" s="9">
        <f>N1503-O1503</f>
        <v>0</v>
      </c>
      <c r="Q1503" s="40">
        <f t="shared" si="239"/>
        <v>0</v>
      </c>
      <c r="R1503" s="9">
        <v>0</v>
      </c>
      <c r="S1503" s="9">
        <f t="shared" si="237"/>
        <v>0</v>
      </c>
      <c r="T1503" s="90">
        <f t="shared" si="232"/>
        <v>299</v>
      </c>
      <c r="U1503" s="90">
        <f t="shared" si="233"/>
        <v>998</v>
      </c>
      <c r="V1503" s="373">
        <f t="shared" si="234"/>
        <v>1494</v>
      </c>
      <c r="W1503" s="90">
        <f t="shared" si="235"/>
        <v>0</v>
      </c>
      <c r="X1503" s="90">
        <f t="shared" si="236"/>
        <v>0</v>
      </c>
      <c r="Y1503" s="141">
        <f t="shared" si="238"/>
        <v>1494</v>
      </c>
      <c r="Z1503" s="298">
        <v>299</v>
      </c>
      <c r="AA1503" s="299">
        <v>998</v>
      </c>
      <c r="AB1503" s="299">
        <v>1494</v>
      </c>
      <c r="AC1503" s="301">
        <v>0</v>
      </c>
      <c r="AD1503" s="301">
        <v>0</v>
      </c>
      <c r="AE1503" s="126"/>
      <c r="AF1503" s="298"/>
      <c r="AG1503" s="299"/>
      <c r="AH1503" s="299"/>
      <c r="AI1503" s="301"/>
      <c r="AJ1503" s="301"/>
      <c r="AK1503" s="426"/>
      <c r="AL1503" s="298"/>
      <c r="AM1503" s="299"/>
      <c r="AN1503" s="299"/>
      <c r="AO1503" s="301"/>
      <c r="AP1503" s="301"/>
      <c r="AQ1503" s="426"/>
      <c r="AR1503" s="298"/>
      <c r="AS1503" s="299"/>
      <c r="AT1503" s="299"/>
      <c r="AU1503" s="301"/>
      <c r="AV1503" s="301"/>
      <c r="AW1503" s="88"/>
      <c r="AX1503" s="298"/>
      <c r="AY1503" s="299"/>
      <c r="AZ1503" s="299"/>
      <c r="BA1503" s="301"/>
      <c r="BB1503" s="301"/>
      <c r="BC1503" s="426"/>
      <c r="BD1503" s="298"/>
      <c r="BE1503" s="299"/>
      <c r="BF1503" s="299"/>
      <c r="BG1503" s="301"/>
      <c r="BH1503" s="301"/>
      <c r="BI1503" s="88"/>
      <c r="BJ1503" s="298"/>
      <c r="BK1503" s="299"/>
      <c r="BL1503" s="299"/>
      <c r="BM1503" s="301"/>
      <c r="BN1503" s="301"/>
      <c r="BO1503" s="88"/>
      <c r="BP1503" s="9"/>
      <c r="BS1503" s="81"/>
      <c r="BT1503" s="81"/>
      <c r="BV1503" s="9"/>
      <c r="BY1503" s="81"/>
      <c r="BZ1503" s="81"/>
      <c r="CB1503" s="9"/>
      <c r="CE1503" s="81"/>
      <c r="CF1503" s="81"/>
      <c r="CH1503" s="9"/>
      <c r="CK1503" s="81"/>
      <c r="CL1503" s="81"/>
      <c r="CR1503" s="9"/>
      <c r="CS1503" s="9"/>
      <c r="CT1503" s="9"/>
      <c r="CU1503" s="9"/>
      <c r="CV1503" s="9"/>
      <c r="CW1503" s="129"/>
      <c r="CX1503" s="9"/>
    </row>
    <row r="1504" spans="1:102">
      <c r="A1504" s="6" t="str">
        <f t="shared" si="231"/>
        <v>02990999</v>
      </c>
      <c r="B1504" s="6" t="s">
        <v>1949</v>
      </c>
      <c r="C1504" s="6" t="s">
        <v>2092</v>
      </c>
      <c r="D1504" s="6">
        <v>1495</v>
      </c>
      <c r="E1504" s="10">
        <v>299</v>
      </c>
      <c r="F1504" s="10" t="s">
        <v>1417</v>
      </c>
      <c r="G1504" s="10">
        <v>999</v>
      </c>
      <c r="H1504" s="10" t="s">
        <v>593</v>
      </c>
      <c r="I1504" s="92">
        <v>17440408.314983502</v>
      </c>
      <c r="J1504" s="472">
        <v>1</v>
      </c>
      <c r="K1504" s="53">
        <f>SUM(K1500:K1503)</f>
        <v>18453297.551670916</v>
      </c>
      <c r="L1504" s="91">
        <f>SUM(L1500:L1503)</f>
        <v>1</v>
      </c>
      <c r="M1504" s="79">
        <f>VLOOKUP(E1504,town351,24)</f>
        <v>9029135</v>
      </c>
      <c r="N1504" s="79">
        <f>SUM(N1500:N1503)</f>
        <v>9029135</v>
      </c>
      <c r="O1504" s="79">
        <v>8574677</v>
      </c>
      <c r="P1504" s="79">
        <f>SUM(P1500:P1503)</f>
        <v>454458</v>
      </c>
      <c r="Q1504" s="39">
        <f t="shared" si="239"/>
        <v>5.3000013878073773</v>
      </c>
      <c r="R1504" s="9">
        <v>1279.5342465830502</v>
      </c>
      <c r="S1504" s="9">
        <f t="shared" si="237"/>
        <v>1313.1996820254401</v>
      </c>
      <c r="T1504" s="90">
        <f t="shared" si="232"/>
        <v>299</v>
      </c>
      <c r="U1504" s="90">
        <f t="shared" si="233"/>
        <v>999</v>
      </c>
      <c r="V1504" s="373">
        <f t="shared" si="234"/>
        <v>1495</v>
      </c>
      <c r="W1504" s="90">
        <f t="shared" si="235"/>
        <v>1313.1996820254401</v>
      </c>
      <c r="X1504" s="90">
        <f t="shared" si="236"/>
        <v>18453297.551670916</v>
      </c>
      <c r="Y1504" s="141">
        <f t="shared" si="238"/>
        <v>1495</v>
      </c>
      <c r="Z1504" s="298">
        <v>299</v>
      </c>
      <c r="AA1504" s="299">
        <v>999</v>
      </c>
      <c r="AB1504" s="299">
        <v>1495</v>
      </c>
      <c r="AC1504" s="301">
        <v>1313.1996820254401</v>
      </c>
      <c r="AD1504" s="301">
        <v>18453297.551670916</v>
      </c>
      <c r="AE1504" s="126"/>
      <c r="AF1504" s="298"/>
      <c r="AG1504" s="299"/>
      <c r="AH1504" s="299"/>
      <c r="AI1504" s="301"/>
      <c r="AJ1504" s="301"/>
      <c r="AK1504" s="426"/>
      <c r="AL1504" s="298"/>
      <c r="AM1504" s="299"/>
      <c r="AN1504" s="299"/>
      <c r="AO1504" s="301"/>
      <c r="AP1504" s="301"/>
      <c r="AQ1504" s="426"/>
      <c r="AR1504" s="298"/>
      <c r="AS1504" s="299"/>
      <c r="AT1504" s="299"/>
      <c r="AU1504" s="301"/>
      <c r="AV1504" s="301"/>
      <c r="AW1504" s="91"/>
      <c r="AX1504" s="298"/>
      <c r="AY1504" s="299"/>
      <c r="AZ1504" s="299"/>
      <c r="BA1504" s="301"/>
      <c r="BB1504" s="301"/>
      <c r="BC1504" s="426"/>
      <c r="BD1504" s="298"/>
      <c r="BE1504" s="299"/>
      <c r="BF1504" s="299"/>
      <c r="BG1504" s="301"/>
      <c r="BH1504" s="301"/>
      <c r="BI1504" s="91"/>
      <c r="BJ1504" s="298"/>
      <c r="BK1504" s="299"/>
      <c r="BL1504" s="299"/>
      <c r="BM1504" s="301"/>
      <c r="BN1504" s="301"/>
      <c r="BO1504" s="91"/>
      <c r="BP1504" s="9"/>
      <c r="BS1504" s="81"/>
      <c r="BT1504" s="81"/>
      <c r="BV1504" s="9"/>
      <c r="BY1504" s="81"/>
      <c r="BZ1504" s="81"/>
      <c r="CB1504" s="9"/>
      <c r="CE1504" s="81"/>
      <c r="CF1504" s="81"/>
      <c r="CH1504" s="9"/>
      <c r="CK1504" s="81"/>
      <c r="CL1504" s="81"/>
      <c r="CR1504" s="9"/>
      <c r="CS1504" s="9"/>
      <c r="CT1504" s="9"/>
      <c r="CU1504" s="9"/>
      <c r="CV1504" s="9"/>
      <c r="CW1504" s="129"/>
      <c r="CX1504" s="9"/>
    </row>
    <row r="1505" spans="1:102">
      <c r="A1505" s="6" t="str">
        <f t="shared" si="231"/>
        <v>03000300</v>
      </c>
      <c r="B1505" s="6" t="s">
        <v>1950</v>
      </c>
      <c r="C1505" s="6" t="s">
        <v>1950</v>
      </c>
      <c r="D1505" s="6">
        <v>1496</v>
      </c>
      <c r="E1505" s="6">
        <v>300</v>
      </c>
      <c r="F1505" s="6" t="s">
        <v>1418</v>
      </c>
      <c r="G1505" s="6">
        <v>300</v>
      </c>
      <c r="H1505" s="6" t="s">
        <v>981</v>
      </c>
      <c r="I1505" s="33">
        <v>2300504.7399999998</v>
      </c>
      <c r="J1505" s="88">
        <v>0.90571046697189261</v>
      </c>
      <c r="K1505" s="89">
        <f>X1505</f>
        <v>2291577.2599999998</v>
      </c>
      <c r="L1505" s="88">
        <f>IF(K1509&gt;0, K1505/K1509, 0)</f>
        <v>0.90516816035125303</v>
      </c>
      <c r="M1505" s="58"/>
      <c r="N1505" s="9">
        <f>ROUND(M1509*L1505,0)</f>
        <v>1890551</v>
      </c>
      <c r="O1505" s="9">
        <v>1897916</v>
      </c>
      <c r="P1505" s="9">
        <f>N1505-O1505</f>
        <v>-7365</v>
      </c>
      <c r="Q1505" s="40">
        <f t="shared" si="239"/>
        <v>-0.38805721644161278</v>
      </c>
      <c r="R1505" s="9">
        <v>173</v>
      </c>
      <c r="S1505" s="9">
        <f t="shared" si="237"/>
        <v>170</v>
      </c>
      <c r="T1505" s="90">
        <f t="shared" si="232"/>
        <v>300</v>
      </c>
      <c r="U1505" s="90">
        <f t="shared" si="233"/>
        <v>300</v>
      </c>
      <c r="V1505" s="373">
        <f t="shared" si="234"/>
        <v>1496</v>
      </c>
      <c r="W1505" s="90">
        <f t="shared" si="235"/>
        <v>170</v>
      </c>
      <c r="X1505" s="90">
        <f t="shared" si="236"/>
        <v>2291577.2599999998</v>
      </c>
      <c r="Y1505" s="141">
        <f t="shared" si="238"/>
        <v>1496</v>
      </c>
      <c r="Z1505" s="298">
        <v>300</v>
      </c>
      <c r="AA1505" s="299">
        <v>300</v>
      </c>
      <c r="AB1505" s="299">
        <v>1496</v>
      </c>
      <c r="AC1505" s="301">
        <v>170</v>
      </c>
      <c r="AD1505" s="301">
        <v>2291577.2599999998</v>
      </c>
      <c r="AE1505" s="126"/>
      <c r="AF1505" s="298"/>
      <c r="AG1505" s="299"/>
      <c r="AH1505" s="299"/>
      <c r="AI1505" s="301"/>
      <c r="AJ1505" s="301"/>
      <c r="AK1505" s="426"/>
      <c r="AL1505" s="298"/>
      <c r="AM1505" s="299"/>
      <c r="AN1505" s="299"/>
      <c r="AO1505" s="301"/>
      <c r="AP1505" s="301"/>
      <c r="AQ1505" s="426"/>
      <c r="AR1505" s="298"/>
      <c r="AS1505" s="299"/>
      <c r="AT1505" s="299"/>
      <c r="AU1505" s="301"/>
      <c r="AV1505" s="301"/>
      <c r="AW1505" s="88"/>
      <c r="AX1505" s="298"/>
      <c r="AY1505" s="299"/>
      <c r="AZ1505" s="299"/>
      <c r="BA1505" s="301"/>
      <c r="BB1505" s="301"/>
      <c r="BC1505" s="426"/>
      <c r="BD1505" s="298"/>
      <c r="BE1505" s="299"/>
      <c r="BF1505" s="299"/>
      <c r="BG1505" s="301"/>
      <c r="BH1505" s="301"/>
      <c r="BI1505" s="88"/>
      <c r="BJ1505" s="298"/>
      <c r="BK1505" s="299"/>
      <c r="BL1505" s="299"/>
      <c r="BM1505" s="301"/>
      <c r="BN1505" s="301"/>
      <c r="BO1505" s="88"/>
      <c r="BP1505" s="9"/>
      <c r="BS1505" s="81"/>
      <c r="BT1505" s="81"/>
      <c r="BV1505" s="9"/>
      <c r="BY1505" s="81"/>
      <c r="BZ1505" s="81"/>
      <c r="CB1505" s="9"/>
      <c r="CE1505" s="81"/>
      <c r="CF1505" s="81"/>
      <c r="CH1505" s="9"/>
      <c r="CK1505" s="81"/>
      <c r="CL1505" s="81"/>
      <c r="CR1505" s="9"/>
      <c r="CS1505" s="9"/>
      <c r="CT1505" s="9"/>
      <c r="CU1505" s="9"/>
      <c r="CV1505" s="9"/>
      <c r="CW1505" s="129"/>
      <c r="CX1505" s="9"/>
    </row>
    <row r="1506" spans="1:102">
      <c r="A1506" s="6" t="str">
        <f t="shared" si="231"/>
        <v>03000815</v>
      </c>
      <c r="B1506" s="6" t="s">
        <v>1950</v>
      </c>
      <c r="C1506" s="6" t="s">
        <v>2066</v>
      </c>
      <c r="D1506" s="6">
        <v>1497</v>
      </c>
      <c r="E1506" s="6">
        <v>300</v>
      </c>
      <c r="F1506" s="6" t="s">
        <v>1418</v>
      </c>
      <c r="G1506" s="6">
        <v>815</v>
      </c>
      <c r="H1506" s="6" t="s">
        <v>1096</v>
      </c>
      <c r="I1506" s="33">
        <v>239495.4299123488</v>
      </c>
      <c r="J1506" s="88">
        <v>9.42895330281074E-2</v>
      </c>
      <c r="K1506" s="89">
        <f t="shared" si="230"/>
        <v>240081.89503562043</v>
      </c>
      <c r="L1506" s="88">
        <f>IF(K1509&gt;0, K1506/K1509, 0)</f>
        <v>9.4831839648747071E-2</v>
      </c>
      <c r="M1506" s="58"/>
      <c r="N1506" s="9">
        <f>ROUND(M1509*L1506,0)</f>
        <v>198068</v>
      </c>
      <c r="O1506" s="9">
        <v>197584</v>
      </c>
      <c r="P1506" s="9">
        <f>N1506-O1506</f>
        <v>484</v>
      </c>
      <c r="Q1506" s="40">
        <f t="shared" si="239"/>
        <v>0.24495910600048587</v>
      </c>
      <c r="R1506" s="9">
        <v>11.032983506280001</v>
      </c>
      <c r="S1506" s="9">
        <f t="shared" si="237"/>
        <v>11.01651651884</v>
      </c>
      <c r="T1506" s="90">
        <f t="shared" si="232"/>
        <v>300</v>
      </c>
      <c r="U1506" s="90">
        <f t="shared" si="233"/>
        <v>815</v>
      </c>
      <c r="V1506" s="373">
        <f t="shared" si="234"/>
        <v>1497</v>
      </c>
      <c r="W1506" s="90">
        <f t="shared" si="235"/>
        <v>11.01651651884</v>
      </c>
      <c r="X1506" s="90">
        <f t="shared" si="236"/>
        <v>240081.89503562043</v>
      </c>
      <c r="Y1506" s="141">
        <f t="shared" si="238"/>
        <v>1497</v>
      </c>
      <c r="Z1506" s="298">
        <v>300</v>
      </c>
      <c r="AA1506" s="299">
        <v>815</v>
      </c>
      <c r="AB1506" s="299">
        <v>1497</v>
      </c>
      <c r="AC1506" s="301">
        <v>11.01651651884</v>
      </c>
      <c r="AD1506" s="301">
        <v>240081.89503562043</v>
      </c>
      <c r="AE1506" s="126"/>
      <c r="AF1506" s="298"/>
      <c r="AG1506" s="299"/>
      <c r="AH1506" s="299"/>
      <c r="AI1506" s="301"/>
      <c r="AJ1506" s="301"/>
      <c r="AK1506" s="426"/>
      <c r="AL1506" s="298"/>
      <c r="AM1506" s="299"/>
      <c r="AN1506" s="299"/>
      <c r="AO1506" s="301"/>
      <c r="AP1506" s="301"/>
      <c r="AQ1506" s="426"/>
      <c r="AR1506" s="298"/>
      <c r="AS1506" s="299"/>
      <c r="AT1506" s="299"/>
      <c r="AU1506" s="301"/>
      <c r="AV1506" s="301"/>
      <c r="AW1506" s="88"/>
      <c r="AX1506" s="298"/>
      <c r="AY1506" s="299"/>
      <c r="AZ1506" s="299"/>
      <c r="BA1506" s="301"/>
      <c r="BB1506" s="301"/>
      <c r="BC1506" s="426"/>
      <c r="BD1506" s="298"/>
      <c r="BE1506" s="299"/>
      <c r="BF1506" s="299"/>
      <c r="BG1506" s="301"/>
      <c r="BH1506" s="301"/>
      <c r="BI1506" s="88"/>
      <c r="BJ1506" s="298"/>
      <c r="BK1506" s="299"/>
      <c r="BL1506" s="299"/>
      <c r="BM1506" s="301"/>
      <c r="BN1506" s="301"/>
      <c r="BO1506" s="88"/>
      <c r="BP1506" s="9"/>
      <c r="BS1506" s="81"/>
      <c r="BT1506" s="81"/>
      <c r="BV1506" s="9"/>
      <c r="BY1506" s="81"/>
      <c r="BZ1506" s="81"/>
      <c r="CB1506" s="9"/>
      <c r="CE1506" s="81"/>
      <c r="CF1506" s="81"/>
      <c r="CH1506" s="9"/>
      <c r="CK1506" s="81"/>
      <c r="CL1506" s="81"/>
      <c r="CR1506" s="9"/>
      <c r="CS1506" s="9"/>
      <c r="CT1506" s="9"/>
      <c r="CU1506" s="9"/>
      <c r="CV1506" s="9"/>
      <c r="CW1506" s="129"/>
      <c r="CX1506" s="9"/>
    </row>
    <row r="1507" spans="1:102">
      <c r="A1507" s="6" t="str">
        <f t="shared" si="231"/>
        <v>03000998</v>
      </c>
      <c r="B1507" s="6" t="s">
        <v>1950</v>
      </c>
      <c r="C1507" s="6" t="s">
        <v>2091</v>
      </c>
      <c r="D1507" s="6">
        <v>1498</v>
      </c>
      <c r="E1507" s="6">
        <v>300</v>
      </c>
      <c r="F1507" s="6" t="s">
        <v>1547</v>
      </c>
      <c r="G1507" s="6">
        <v>998</v>
      </c>
      <c r="H1507" s="6" t="s">
        <v>1547</v>
      </c>
      <c r="I1507" s="33">
        <v>0</v>
      </c>
      <c r="J1507" s="88">
        <v>0</v>
      </c>
      <c r="K1507" s="89">
        <f t="shared" si="230"/>
        <v>0</v>
      </c>
      <c r="L1507" s="88">
        <f>IF(K1509&gt;0, K1507/K1509, 0)</f>
        <v>0</v>
      </c>
      <c r="M1507" s="58"/>
      <c r="N1507" s="9">
        <f>ROUND(M1509*L1507,0)</f>
        <v>0</v>
      </c>
      <c r="O1507" s="9">
        <v>0</v>
      </c>
      <c r="P1507" s="9">
        <f>N1507-O1507</f>
        <v>0</v>
      </c>
      <c r="Q1507" s="40">
        <f t="shared" si="239"/>
        <v>0</v>
      </c>
      <c r="R1507" s="9">
        <v>0</v>
      </c>
      <c r="S1507" s="9">
        <f t="shared" si="237"/>
        <v>0</v>
      </c>
      <c r="T1507" s="90">
        <f t="shared" si="232"/>
        <v>300</v>
      </c>
      <c r="U1507" s="90">
        <f t="shared" si="233"/>
        <v>998</v>
      </c>
      <c r="V1507" s="373">
        <f t="shared" si="234"/>
        <v>1498</v>
      </c>
      <c r="W1507" s="90">
        <f t="shared" si="235"/>
        <v>0</v>
      </c>
      <c r="X1507" s="90">
        <f t="shared" si="236"/>
        <v>0</v>
      </c>
      <c r="Y1507" s="141">
        <f t="shared" si="238"/>
        <v>1498</v>
      </c>
      <c r="Z1507" s="298">
        <v>300</v>
      </c>
      <c r="AA1507" s="299">
        <v>998</v>
      </c>
      <c r="AB1507" s="299">
        <v>1498</v>
      </c>
      <c r="AC1507" s="301">
        <v>0</v>
      </c>
      <c r="AD1507" s="301">
        <v>0</v>
      </c>
      <c r="AE1507" s="126"/>
      <c r="AF1507" s="298"/>
      <c r="AG1507" s="299"/>
      <c r="AH1507" s="299"/>
      <c r="AI1507" s="301"/>
      <c r="AJ1507" s="301"/>
      <c r="AK1507" s="426"/>
      <c r="AL1507" s="298"/>
      <c r="AM1507" s="299"/>
      <c r="AN1507" s="299"/>
      <c r="AO1507" s="301"/>
      <c r="AP1507" s="301"/>
      <c r="AQ1507" s="426"/>
      <c r="AR1507" s="298"/>
      <c r="AS1507" s="299"/>
      <c r="AT1507" s="299"/>
      <c r="AU1507" s="301"/>
      <c r="AV1507" s="301"/>
      <c r="AW1507" s="88"/>
      <c r="AX1507" s="298"/>
      <c r="AY1507" s="299"/>
      <c r="AZ1507" s="299"/>
      <c r="BA1507" s="301"/>
      <c r="BB1507" s="301"/>
      <c r="BC1507" s="426"/>
      <c r="BD1507" s="298"/>
      <c r="BE1507" s="299"/>
      <c r="BF1507" s="299"/>
      <c r="BG1507" s="301"/>
      <c r="BH1507" s="301"/>
      <c r="BI1507" s="88"/>
      <c r="BJ1507" s="298"/>
      <c r="BK1507" s="299"/>
      <c r="BL1507" s="299"/>
      <c r="BM1507" s="301"/>
      <c r="BN1507" s="301"/>
      <c r="BO1507" s="88"/>
      <c r="BP1507" s="9"/>
      <c r="BS1507" s="81"/>
      <c r="BT1507" s="81"/>
      <c r="BV1507" s="9"/>
      <c r="BY1507" s="81"/>
      <c r="BZ1507" s="81"/>
      <c r="CB1507" s="9"/>
      <c r="CE1507" s="81"/>
      <c r="CF1507" s="81"/>
      <c r="CH1507" s="9"/>
      <c r="CK1507" s="81"/>
      <c r="CL1507" s="81"/>
      <c r="CR1507" s="9"/>
      <c r="CS1507" s="9"/>
      <c r="CT1507" s="9"/>
      <c r="CU1507" s="9"/>
      <c r="CV1507" s="9"/>
      <c r="CW1507" s="129"/>
      <c r="CX1507" s="9"/>
    </row>
    <row r="1508" spans="1:102">
      <c r="A1508" s="6" t="str">
        <f t="shared" si="231"/>
        <v>03000998</v>
      </c>
      <c r="B1508" s="6" t="s">
        <v>1950</v>
      </c>
      <c r="C1508" s="6" t="s">
        <v>2091</v>
      </c>
      <c r="D1508" s="6">
        <v>1499</v>
      </c>
      <c r="E1508" s="6">
        <v>300</v>
      </c>
      <c r="F1508" s="6" t="s">
        <v>1547</v>
      </c>
      <c r="G1508" s="6">
        <v>998</v>
      </c>
      <c r="H1508" s="6" t="s">
        <v>1547</v>
      </c>
      <c r="I1508" s="33">
        <v>0</v>
      </c>
      <c r="J1508" s="88">
        <v>0</v>
      </c>
      <c r="K1508" s="89">
        <f t="shared" si="230"/>
        <v>0</v>
      </c>
      <c r="L1508" s="88">
        <f>IF(K1509&gt;0, K1508/K1509, 0)</f>
        <v>0</v>
      </c>
      <c r="M1508" s="58"/>
      <c r="N1508" s="9">
        <f>ROUND(M1509*L1508,0)</f>
        <v>0</v>
      </c>
      <c r="O1508" s="9">
        <v>0</v>
      </c>
      <c r="P1508" s="9">
        <f>N1508-O1508</f>
        <v>0</v>
      </c>
      <c r="Q1508" s="40">
        <f t="shared" si="239"/>
        <v>0</v>
      </c>
      <c r="R1508" s="9">
        <v>0</v>
      </c>
      <c r="S1508" s="9">
        <f t="shared" si="237"/>
        <v>0</v>
      </c>
      <c r="T1508" s="90">
        <f t="shared" si="232"/>
        <v>300</v>
      </c>
      <c r="U1508" s="90">
        <f t="shared" si="233"/>
        <v>998</v>
      </c>
      <c r="V1508" s="373">
        <f t="shared" si="234"/>
        <v>1499</v>
      </c>
      <c r="W1508" s="90">
        <f t="shared" si="235"/>
        <v>0</v>
      </c>
      <c r="X1508" s="90">
        <f t="shared" si="236"/>
        <v>0</v>
      </c>
      <c r="Y1508" s="141">
        <f t="shared" si="238"/>
        <v>1499</v>
      </c>
      <c r="Z1508" s="298">
        <v>300</v>
      </c>
      <c r="AA1508" s="299">
        <v>998</v>
      </c>
      <c r="AB1508" s="299">
        <v>1499</v>
      </c>
      <c r="AC1508" s="301">
        <v>0</v>
      </c>
      <c r="AD1508" s="301">
        <v>0</v>
      </c>
      <c r="AE1508" s="126"/>
      <c r="AF1508" s="298"/>
      <c r="AG1508" s="299"/>
      <c r="AH1508" s="299"/>
      <c r="AI1508" s="301"/>
      <c r="AJ1508" s="301"/>
      <c r="AK1508" s="426"/>
      <c r="AL1508" s="298"/>
      <c r="AM1508" s="299"/>
      <c r="AN1508" s="299"/>
      <c r="AO1508" s="301"/>
      <c r="AP1508" s="301"/>
      <c r="AQ1508" s="426"/>
      <c r="AR1508" s="298"/>
      <c r="AS1508" s="299"/>
      <c r="AT1508" s="299"/>
      <c r="AU1508" s="301"/>
      <c r="AV1508" s="301"/>
      <c r="AW1508" s="88"/>
      <c r="AX1508" s="298"/>
      <c r="AY1508" s="299"/>
      <c r="AZ1508" s="299"/>
      <c r="BA1508" s="301"/>
      <c r="BB1508" s="301"/>
      <c r="BC1508" s="426"/>
      <c r="BD1508" s="298"/>
      <c r="BE1508" s="299"/>
      <c r="BF1508" s="299"/>
      <c r="BG1508" s="301"/>
      <c r="BH1508" s="301"/>
      <c r="BI1508" s="88"/>
      <c r="BJ1508" s="298"/>
      <c r="BK1508" s="299"/>
      <c r="BL1508" s="299"/>
      <c r="BM1508" s="301"/>
      <c r="BN1508" s="301"/>
      <c r="BO1508" s="88"/>
      <c r="BP1508" s="9"/>
      <c r="BS1508" s="81"/>
      <c r="BT1508" s="81"/>
      <c r="BV1508" s="9"/>
      <c r="BY1508" s="81"/>
      <c r="BZ1508" s="81"/>
      <c r="CB1508" s="9"/>
      <c r="CE1508" s="81"/>
      <c r="CF1508" s="81"/>
      <c r="CH1508" s="9"/>
      <c r="CK1508" s="81"/>
      <c r="CL1508" s="81"/>
      <c r="CR1508" s="9"/>
      <c r="CS1508" s="9"/>
      <c r="CT1508" s="9"/>
      <c r="CU1508" s="9"/>
      <c r="CV1508" s="9"/>
      <c r="CW1508" s="129"/>
      <c r="CX1508" s="9"/>
    </row>
    <row r="1509" spans="1:102">
      <c r="A1509" s="6" t="str">
        <f t="shared" si="231"/>
        <v>03000999</v>
      </c>
      <c r="B1509" s="6" t="s">
        <v>1950</v>
      </c>
      <c r="C1509" s="6" t="s">
        <v>2092</v>
      </c>
      <c r="D1509" s="6">
        <v>1500</v>
      </c>
      <c r="E1509" s="10">
        <v>300</v>
      </c>
      <c r="F1509" s="10" t="s">
        <v>1418</v>
      </c>
      <c r="G1509" s="10">
        <v>999</v>
      </c>
      <c r="H1509" s="10" t="s">
        <v>593</v>
      </c>
      <c r="I1509" s="92">
        <v>2540000.1699123485</v>
      </c>
      <c r="J1509" s="472">
        <v>1</v>
      </c>
      <c r="K1509" s="53">
        <f>SUM(K1505:K1508)</f>
        <v>2531659.1550356201</v>
      </c>
      <c r="L1509" s="91">
        <f>SUM(L1505:L1508)</f>
        <v>1</v>
      </c>
      <c r="M1509" s="79">
        <f>VLOOKUP(E1509,town351,24)</f>
        <v>2088619</v>
      </c>
      <c r="N1509" s="79">
        <f>SUM(N1505:N1508)</f>
        <v>2088619</v>
      </c>
      <c r="O1509" s="79">
        <v>2095500</v>
      </c>
      <c r="P1509" s="79">
        <f>SUM(P1505:P1508)</f>
        <v>-6881</v>
      </c>
      <c r="Q1509" s="39">
        <f t="shared" si="239"/>
        <v>-0.32837031734669531</v>
      </c>
      <c r="R1509" s="9">
        <v>184.03298350628</v>
      </c>
      <c r="S1509" s="9">
        <f t="shared" si="237"/>
        <v>181.01651651884001</v>
      </c>
      <c r="T1509" s="90">
        <f t="shared" si="232"/>
        <v>300</v>
      </c>
      <c r="U1509" s="90">
        <f t="shared" si="233"/>
        <v>999</v>
      </c>
      <c r="V1509" s="373">
        <f t="shared" si="234"/>
        <v>1500</v>
      </c>
      <c r="W1509" s="90">
        <f t="shared" si="235"/>
        <v>181.01651651884001</v>
      </c>
      <c r="X1509" s="90">
        <f t="shared" si="236"/>
        <v>2531659.1550356201</v>
      </c>
      <c r="Y1509" s="141">
        <f t="shared" si="238"/>
        <v>1500</v>
      </c>
      <c r="Z1509" s="298">
        <v>300</v>
      </c>
      <c r="AA1509" s="299">
        <v>999</v>
      </c>
      <c r="AB1509" s="299">
        <v>1500</v>
      </c>
      <c r="AC1509" s="301">
        <v>181.01651651884001</v>
      </c>
      <c r="AD1509" s="301">
        <v>2531659.1550356201</v>
      </c>
      <c r="AE1509" s="126"/>
      <c r="AF1509" s="298"/>
      <c r="AG1509" s="299"/>
      <c r="AH1509" s="299"/>
      <c r="AI1509" s="301"/>
      <c r="AJ1509" s="301"/>
      <c r="AK1509" s="426"/>
      <c r="AL1509" s="298"/>
      <c r="AM1509" s="299"/>
      <c r="AN1509" s="299"/>
      <c r="AO1509" s="301"/>
      <c r="AP1509" s="301"/>
      <c r="AQ1509" s="426"/>
      <c r="AR1509" s="298"/>
      <c r="AS1509" s="299"/>
      <c r="AT1509" s="299"/>
      <c r="AU1509" s="301"/>
      <c r="AV1509" s="301"/>
      <c r="AW1509" s="91"/>
      <c r="AX1509" s="298"/>
      <c r="AY1509" s="299"/>
      <c r="AZ1509" s="299"/>
      <c r="BA1509" s="301"/>
      <c r="BB1509" s="301"/>
      <c r="BC1509" s="426"/>
      <c r="BD1509" s="298"/>
      <c r="BE1509" s="299"/>
      <c r="BF1509" s="299"/>
      <c r="BG1509" s="301"/>
      <c r="BH1509" s="301"/>
      <c r="BI1509" s="91"/>
      <c r="BJ1509" s="298"/>
      <c r="BK1509" s="299"/>
      <c r="BL1509" s="299"/>
      <c r="BM1509" s="301"/>
      <c r="BN1509" s="301"/>
      <c r="BO1509" s="91"/>
      <c r="BP1509" s="9"/>
      <c r="BS1509" s="81"/>
      <c r="BT1509" s="81"/>
      <c r="BV1509" s="9"/>
      <c r="BY1509" s="81"/>
      <c r="BZ1509" s="81"/>
      <c r="CB1509" s="9"/>
      <c r="CE1509" s="81"/>
      <c r="CF1509" s="81"/>
      <c r="CH1509" s="9"/>
      <c r="CK1509" s="81"/>
      <c r="CL1509" s="81"/>
      <c r="CR1509" s="9"/>
      <c r="CS1509" s="9"/>
      <c r="CT1509" s="9"/>
      <c r="CU1509" s="9"/>
      <c r="CV1509" s="9"/>
      <c r="CW1509" s="129"/>
      <c r="CX1509" s="9"/>
    </row>
    <row r="1510" spans="1:102">
      <c r="A1510" s="6" t="str">
        <f t="shared" si="231"/>
        <v>03010301</v>
      </c>
      <c r="B1510" s="6" t="s">
        <v>1951</v>
      </c>
      <c r="C1510" s="6" t="s">
        <v>1951</v>
      </c>
      <c r="D1510" s="6">
        <v>1501</v>
      </c>
      <c r="E1510" s="6">
        <v>301</v>
      </c>
      <c r="F1510" s="6" t="s">
        <v>1419</v>
      </c>
      <c r="G1510" s="6">
        <v>301</v>
      </c>
      <c r="H1510" s="6" t="s">
        <v>982</v>
      </c>
      <c r="I1510" s="33">
        <v>21286361.979999997</v>
      </c>
      <c r="J1510" s="88">
        <v>0.90343130260277427</v>
      </c>
      <c r="K1510" s="89">
        <f t="shared" ref="K1510:K1573" si="240">X1510</f>
        <v>21384094.800000001</v>
      </c>
      <c r="L1510" s="88">
        <f>IF(K1514&gt;0, K1510/K1514, 0)</f>
        <v>0.90533009369994444</v>
      </c>
      <c r="M1510" s="58"/>
      <c r="N1510" s="9">
        <f>ROUND(M1514*L1510,0)</f>
        <v>14900523</v>
      </c>
      <c r="O1510" s="9">
        <v>13961757</v>
      </c>
      <c r="P1510" s="9">
        <f>N1510-O1510</f>
        <v>938766</v>
      </c>
      <c r="Q1510" s="40">
        <f t="shared" si="239"/>
        <v>6.7238385541304009</v>
      </c>
      <c r="R1510" s="9">
        <v>1619</v>
      </c>
      <c r="S1510" s="9">
        <f t="shared" si="237"/>
        <v>1594</v>
      </c>
      <c r="T1510" s="90">
        <f t="shared" si="232"/>
        <v>301</v>
      </c>
      <c r="U1510" s="90">
        <f t="shared" si="233"/>
        <v>301</v>
      </c>
      <c r="V1510" s="373">
        <f t="shared" si="234"/>
        <v>1501</v>
      </c>
      <c r="W1510" s="90">
        <f t="shared" si="235"/>
        <v>1594</v>
      </c>
      <c r="X1510" s="90">
        <f t="shared" si="236"/>
        <v>21384094.800000001</v>
      </c>
      <c r="Y1510" s="141">
        <f t="shared" si="238"/>
        <v>1501</v>
      </c>
      <c r="Z1510" s="298">
        <v>301</v>
      </c>
      <c r="AA1510" s="299">
        <v>301</v>
      </c>
      <c r="AB1510" s="299">
        <v>1501</v>
      </c>
      <c r="AC1510" s="301">
        <v>1594</v>
      </c>
      <c r="AD1510" s="301">
        <v>21384094.800000001</v>
      </c>
      <c r="AE1510" s="126"/>
      <c r="AF1510" s="298"/>
      <c r="AG1510" s="299"/>
      <c r="AH1510" s="299"/>
      <c r="AI1510" s="301"/>
      <c r="AJ1510" s="301"/>
      <c r="AK1510" s="426"/>
      <c r="AL1510" s="298"/>
      <c r="AM1510" s="299"/>
      <c r="AN1510" s="299"/>
      <c r="AO1510" s="301"/>
      <c r="AP1510" s="301"/>
      <c r="AQ1510" s="426"/>
      <c r="AR1510" s="298"/>
      <c r="AS1510" s="299"/>
      <c r="AT1510" s="299"/>
      <c r="AU1510" s="301"/>
      <c r="AV1510" s="301"/>
      <c r="AW1510" s="88"/>
      <c r="AX1510" s="298"/>
      <c r="AY1510" s="299"/>
      <c r="AZ1510" s="299"/>
      <c r="BA1510" s="301"/>
      <c r="BB1510" s="301"/>
      <c r="BC1510" s="426"/>
      <c r="BD1510" s="298"/>
      <c r="BE1510" s="299"/>
      <c r="BF1510" s="299"/>
      <c r="BG1510" s="301"/>
      <c r="BH1510" s="301"/>
      <c r="BI1510" s="88"/>
      <c r="BJ1510" s="298"/>
      <c r="BK1510" s="299"/>
      <c r="BL1510" s="299"/>
      <c r="BM1510" s="301"/>
      <c r="BN1510" s="301"/>
      <c r="BO1510" s="88"/>
      <c r="BP1510" s="9"/>
      <c r="BS1510" s="81"/>
      <c r="BT1510" s="81"/>
      <c r="BV1510" s="9"/>
      <c r="BY1510" s="81"/>
      <c r="BZ1510" s="81"/>
      <c r="CB1510" s="9"/>
      <c r="CE1510" s="81"/>
      <c r="CF1510" s="81"/>
      <c r="CH1510" s="9"/>
      <c r="CK1510" s="81"/>
      <c r="CL1510" s="81"/>
      <c r="CR1510" s="9"/>
      <c r="CS1510" s="9"/>
      <c r="CT1510" s="9"/>
      <c r="CU1510" s="9"/>
      <c r="CV1510" s="9"/>
      <c r="CW1510" s="129"/>
      <c r="CX1510" s="9"/>
    </row>
    <row r="1511" spans="1:102">
      <c r="A1511" s="6" t="str">
        <f t="shared" si="231"/>
        <v>03010828</v>
      </c>
      <c r="B1511" s="6" t="s">
        <v>1951</v>
      </c>
      <c r="C1511" s="6" t="s">
        <v>2072</v>
      </c>
      <c r="D1511" s="6">
        <v>1502</v>
      </c>
      <c r="E1511" s="6">
        <v>301</v>
      </c>
      <c r="F1511" s="6" t="s">
        <v>1419</v>
      </c>
      <c r="G1511" s="6">
        <v>828</v>
      </c>
      <c r="H1511" s="6" t="s">
        <v>1102</v>
      </c>
      <c r="I1511" s="33">
        <v>2275321.0374848451</v>
      </c>
      <c r="J1511" s="88">
        <v>9.6568697397225678E-2</v>
      </c>
      <c r="K1511" s="89">
        <f t="shared" si="240"/>
        <v>2236123.8901868048</v>
      </c>
      <c r="L1511" s="88">
        <f>IF(K1514&gt;0, K1511/K1514, 0)</f>
        <v>9.4669906300055506E-2</v>
      </c>
      <c r="M1511" s="58"/>
      <c r="N1511" s="9">
        <f>ROUND(M1514*L1511,0)</f>
        <v>1558140</v>
      </c>
      <c r="O1511" s="9">
        <v>1492387</v>
      </c>
      <c r="P1511" s="9">
        <f>N1511-O1511</f>
        <v>65753</v>
      </c>
      <c r="Q1511" s="40">
        <f t="shared" si="239"/>
        <v>4.4058947176570156</v>
      </c>
      <c r="R1511" s="9">
        <v>103.00000000908</v>
      </c>
      <c r="S1511" s="9">
        <f t="shared" si="237"/>
        <v>98.999999989800003</v>
      </c>
      <c r="T1511" s="90">
        <f t="shared" si="232"/>
        <v>301</v>
      </c>
      <c r="U1511" s="90">
        <f t="shared" si="233"/>
        <v>828</v>
      </c>
      <c r="V1511" s="373">
        <f t="shared" si="234"/>
        <v>1502</v>
      </c>
      <c r="W1511" s="90">
        <f t="shared" si="235"/>
        <v>98.999999989800003</v>
      </c>
      <c r="X1511" s="90">
        <f t="shared" si="236"/>
        <v>2236123.8901868048</v>
      </c>
      <c r="Y1511" s="141">
        <f t="shared" si="238"/>
        <v>1502</v>
      </c>
      <c r="Z1511" s="298">
        <v>301</v>
      </c>
      <c r="AA1511" s="299">
        <v>828</v>
      </c>
      <c r="AB1511" s="299">
        <v>1502</v>
      </c>
      <c r="AC1511" s="301">
        <v>98.999999989800003</v>
      </c>
      <c r="AD1511" s="301">
        <v>2236123.8901868048</v>
      </c>
      <c r="AE1511" s="126"/>
      <c r="AF1511" s="298"/>
      <c r="AG1511" s="299"/>
      <c r="AH1511" s="299"/>
      <c r="AI1511" s="301"/>
      <c r="AJ1511" s="301"/>
      <c r="AK1511" s="426"/>
      <c r="AL1511" s="298"/>
      <c r="AM1511" s="299"/>
      <c r="AN1511" s="299"/>
      <c r="AO1511" s="301"/>
      <c r="AP1511" s="301"/>
      <c r="AQ1511" s="426"/>
      <c r="AR1511" s="298"/>
      <c r="AS1511" s="299"/>
      <c r="AT1511" s="299"/>
      <c r="AU1511" s="301"/>
      <c r="AV1511" s="301"/>
      <c r="AW1511" s="88"/>
      <c r="AX1511" s="298"/>
      <c r="AY1511" s="299"/>
      <c r="AZ1511" s="299"/>
      <c r="BA1511" s="301"/>
      <c r="BB1511" s="301"/>
      <c r="BC1511" s="426"/>
      <c r="BD1511" s="298"/>
      <c r="BE1511" s="299"/>
      <c r="BF1511" s="299"/>
      <c r="BG1511" s="301"/>
      <c r="BH1511" s="301"/>
      <c r="BI1511" s="88"/>
      <c r="BJ1511" s="298"/>
      <c r="BK1511" s="299"/>
      <c r="BL1511" s="299"/>
      <c r="BM1511" s="301"/>
      <c r="BN1511" s="301"/>
      <c r="BO1511" s="88"/>
      <c r="BP1511" s="9"/>
      <c r="BS1511" s="81"/>
      <c r="BT1511" s="81"/>
      <c r="BV1511" s="9"/>
      <c r="BY1511" s="81"/>
      <c r="BZ1511" s="81"/>
      <c r="CB1511" s="9"/>
      <c r="CE1511" s="81"/>
      <c r="CF1511" s="81"/>
      <c r="CH1511" s="9"/>
      <c r="CK1511" s="81"/>
      <c r="CL1511" s="81"/>
      <c r="CR1511" s="9"/>
      <c r="CS1511" s="9"/>
      <c r="CT1511" s="9"/>
      <c r="CU1511" s="9"/>
      <c r="CV1511" s="9"/>
      <c r="CW1511" s="129"/>
      <c r="CX1511" s="9"/>
    </row>
    <row r="1512" spans="1:102">
      <c r="A1512" s="6" t="str">
        <f t="shared" si="231"/>
        <v>03010998</v>
      </c>
      <c r="B1512" s="6" t="s">
        <v>1951</v>
      </c>
      <c r="C1512" s="6" t="s">
        <v>2091</v>
      </c>
      <c r="D1512" s="6">
        <v>1503</v>
      </c>
      <c r="E1512" s="6">
        <v>301</v>
      </c>
      <c r="F1512" s="6" t="s">
        <v>1547</v>
      </c>
      <c r="G1512" s="6">
        <v>998</v>
      </c>
      <c r="H1512" s="6" t="s">
        <v>1547</v>
      </c>
      <c r="I1512" s="33">
        <v>0</v>
      </c>
      <c r="J1512" s="88">
        <v>0</v>
      </c>
      <c r="K1512" s="89">
        <f t="shared" si="240"/>
        <v>0</v>
      </c>
      <c r="L1512" s="88">
        <f>IF(K1514&gt;0, K1512/K1514, 0)</f>
        <v>0</v>
      </c>
      <c r="M1512" s="58"/>
      <c r="N1512" s="9">
        <f>ROUND(M1514*L1512,0)</f>
        <v>0</v>
      </c>
      <c r="O1512" s="9">
        <v>0</v>
      </c>
      <c r="P1512" s="9">
        <f>N1512-O1512</f>
        <v>0</v>
      </c>
      <c r="Q1512" s="40">
        <f t="shared" si="239"/>
        <v>0</v>
      </c>
      <c r="R1512" s="9">
        <v>0</v>
      </c>
      <c r="S1512" s="9">
        <f t="shared" si="237"/>
        <v>0</v>
      </c>
      <c r="T1512" s="90">
        <f t="shared" si="232"/>
        <v>301</v>
      </c>
      <c r="U1512" s="90">
        <f t="shared" si="233"/>
        <v>998</v>
      </c>
      <c r="V1512" s="373">
        <f t="shared" si="234"/>
        <v>1503</v>
      </c>
      <c r="W1512" s="90">
        <f t="shared" si="235"/>
        <v>0</v>
      </c>
      <c r="X1512" s="90">
        <f t="shared" si="236"/>
        <v>0</v>
      </c>
      <c r="Y1512" s="141">
        <f t="shared" si="238"/>
        <v>1503</v>
      </c>
      <c r="Z1512" s="298">
        <v>301</v>
      </c>
      <c r="AA1512" s="299">
        <v>998</v>
      </c>
      <c r="AB1512" s="299">
        <v>1503</v>
      </c>
      <c r="AC1512" s="301">
        <v>0</v>
      </c>
      <c r="AD1512" s="301">
        <v>0</v>
      </c>
      <c r="AE1512" s="126"/>
      <c r="AF1512" s="298"/>
      <c r="AG1512" s="299"/>
      <c r="AH1512" s="299"/>
      <c r="AI1512" s="301"/>
      <c r="AJ1512" s="301"/>
      <c r="AK1512" s="426"/>
      <c r="AL1512" s="298"/>
      <c r="AM1512" s="299"/>
      <c r="AN1512" s="299"/>
      <c r="AO1512" s="301"/>
      <c r="AP1512" s="301"/>
      <c r="AQ1512" s="426"/>
      <c r="AR1512" s="298"/>
      <c r="AS1512" s="299"/>
      <c r="AT1512" s="299"/>
      <c r="AU1512" s="301"/>
      <c r="AV1512" s="301"/>
      <c r="AW1512" s="88"/>
      <c r="AX1512" s="298"/>
      <c r="AY1512" s="299"/>
      <c r="AZ1512" s="299"/>
      <c r="BA1512" s="301"/>
      <c r="BB1512" s="301"/>
      <c r="BC1512" s="426"/>
      <c r="BD1512" s="298"/>
      <c r="BE1512" s="299"/>
      <c r="BF1512" s="299"/>
      <c r="BG1512" s="301"/>
      <c r="BH1512" s="301"/>
      <c r="BI1512" s="88"/>
      <c r="BJ1512" s="298"/>
      <c r="BK1512" s="299"/>
      <c r="BL1512" s="299"/>
      <c r="BM1512" s="301"/>
      <c r="BN1512" s="301"/>
      <c r="BO1512" s="88"/>
      <c r="BP1512" s="9"/>
      <c r="BS1512" s="81"/>
      <c r="BT1512" s="81"/>
      <c r="BV1512" s="9"/>
      <c r="BY1512" s="81"/>
      <c r="BZ1512" s="81"/>
      <c r="CB1512" s="9"/>
      <c r="CE1512" s="81"/>
      <c r="CF1512" s="81"/>
      <c r="CH1512" s="9"/>
      <c r="CK1512" s="81"/>
      <c r="CL1512" s="81"/>
      <c r="CR1512" s="9"/>
      <c r="CS1512" s="9"/>
      <c r="CT1512" s="9"/>
      <c r="CU1512" s="9"/>
      <c r="CV1512" s="9"/>
      <c r="CW1512" s="129"/>
      <c r="CX1512" s="9"/>
    </row>
    <row r="1513" spans="1:102">
      <c r="A1513" s="6" t="str">
        <f t="shared" si="231"/>
        <v>03010998</v>
      </c>
      <c r="B1513" s="6" t="s">
        <v>1951</v>
      </c>
      <c r="C1513" s="6" t="s">
        <v>2091</v>
      </c>
      <c r="D1513" s="6">
        <v>1504</v>
      </c>
      <c r="E1513" s="6">
        <v>301</v>
      </c>
      <c r="F1513" s="6" t="s">
        <v>1547</v>
      </c>
      <c r="G1513" s="6">
        <v>998</v>
      </c>
      <c r="H1513" s="6" t="s">
        <v>1547</v>
      </c>
      <c r="I1513" s="33">
        <v>0</v>
      </c>
      <c r="J1513" s="88">
        <v>0</v>
      </c>
      <c r="K1513" s="89">
        <f t="shared" si="240"/>
        <v>0</v>
      </c>
      <c r="L1513" s="88">
        <f>IF(K1514&gt;0, K1513/K1514, 0)</f>
        <v>0</v>
      </c>
      <c r="M1513" s="58"/>
      <c r="N1513" s="9">
        <f>ROUND(M1514*L1513,0)</f>
        <v>0</v>
      </c>
      <c r="O1513" s="9">
        <v>0</v>
      </c>
      <c r="P1513" s="9">
        <f>N1513-O1513</f>
        <v>0</v>
      </c>
      <c r="Q1513" s="40">
        <f t="shared" si="239"/>
        <v>0</v>
      </c>
      <c r="R1513" s="9">
        <v>0</v>
      </c>
      <c r="S1513" s="9">
        <f t="shared" si="237"/>
        <v>0</v>
      </c>
      <c r="T1513" s="90">
        <f t="shared" si="232"/>
        <v>301</v>
      </c>
      <c r="U1513" s="90">
        <f t="shared" si="233"/>
        <v>998</v>
      </c>
      <c r="V1513" s="373">
        <f t="shared" si="234"/>
        <v>1504</v>
      </c>
      <c r="W1513" s="90">
        <f t="shared" si="235"/>
        <v>0</v>
      </c>
      <c r="X1513" s="90">
        <f t="shared" si="236"/>
        <v>0</v>
      </c>
      <c r="Y1513" s="141">
        <f t="shared" si="238"/>
        <v>1504</v>
      </c>
      <c r="Z1513" s="298">
        <v>301</v>
      </c>
      <c r="AA1513" s="299">
        <v>998</v>
      </c>
      <c r="AB1513" s="299">
        <v>1504</v>
      </c>
      <c r="AC1513" s="301">
        <v>0</v>
      </c>
      <c r="AD1513" s="301">
        <v>0</v>
      </c>
      <c r="AE1513" s="126"/>
      <c r="AF1513" s="298"/>
      <c r="AG1513" s="299"/>
      <c r="AH1513" s="299"/>
      <c r="AI1513" s="301"/>
      <c r="AJ1513" s="301"/>
      <c r="AK1513" s="426"/>
      <c r="AL1513" s="298"/>
      <c r="AM1513" s="299"/>
      <c r="AN1513" s="299"/>
      <c r="AO1513" s="301"/>
      <c r="AP1513" s="301"/>
      <c r="AQ1513" s="426"/>
      <c r="AR1513" s="298"/>
      <c r="AS1513" s="299"/>
      <c r="AT1513" s="299"/>
      <c r="AU1513" s="301"/>
      <c r="AV1513" s="301"/>
      <c r="AW1513" s="88"/>
      <c r="AX1513" s="298"/>
      <c r="AY1513" s="299"/>
      <c r="AZ1513" s="299"/>
      <c r="BA1513" s="301"/>
      <c r="BB1513" s="301"/>
      <c r="BC1513" s="426"/>
      <c r="BD1513" s="298"/>
      <c r="BE1513" s="299"/>
      <c r="BF1513" s="299"/>
      <c r="BG1513" s="301"/>
      <c r="BH1513" s="301"/>
      <c r="BI1513" s="88"/>
      <c r="BJ1513" s="298"/>
      <c r="BK1513" s="299"/>
      <c r="BL1513" s="299"/>
      <c r="BM1513" s="301"/>
      <c r="BN1513" s="301"/>
      <c r="BO1513" s="88"/>
      <c r="BP1513" s="9"/>
      <c r="BS1513" s="81"/>
      <c r="BT1513" s="81"/>
      <c r="BV1513" s="9"/>
      <c r="BY1513" s="81"/>
      <c r="BZ1513" s="81"/>
      <c r="CB1513" s="9"/>
      <c r="CE1513" s="81"/>
      <c r="CF1513" s="81"/>
      <c r="CH1513" s="9"/>
      <c r="CK1513" s="81"/>
      <c r="CL1513" s="81"/>
      <c r="CR1513" s="9"/>
      <c r="CS1513" s="9"/>
      <c r="CT1513" s="9"/>
      <c r="CU1513" s="9"/>
      <c r="CV1513" s="9"/>
      <c r="CW1513" s="129"/>
      <c r="CX1513" s="9"/>
    </row>
    <row r="1514" spans="1:102">
      <c r="A1514" s="6" t="str">
        <f t="shared" si="231"/>
        <v>03010999</v>
      </c>
      <c r="B1514" s="6" t="s">
        <v>1951</v>
      </c>
      <c r="C1514" s="6" t="s">
        <v>2092</v>
      </c>
      <c r="D1514" s="6">
        <v>1505</v>
      </c>
      <c r="E1514" s="10">
        <v>301</v>
      </c>
      <c r="F1514" s="10" t="s">
        <v>1419</v>
      </c>
      <c r="G1514" s="10">
        <v>999</v>
      </c>
      <c r="H1514" s="10" t="s">
        <v>593</v>
      </c>
      <c r="I1514" s="92">
        <v>23561683.017484844</v>
      </c>
      <c r="J1514" s="472">
        <v>1</v>
      </c>
      <c r="K1514" s="53">
        <f>SUM(K1510:K1513)</f>
        <v>23620218.690186806</v>
      </c>
      <c r="L1514" s="91">
        <f>SUM(L1510:L1513)</f>
        <v>1</v>
      </c>
      <c r="M1514" s="79">
        <f>VLOOKUP(E1514,town351,24)</f>
        <v>16458663</v>
      </c>
      <c r="N1514" s="79">
        <f>SUM(N1510:N1513)</f>
        <v>16458663</v>
      </c>
      <c r="O1514" s="79">
        <v>15454144</v>
      </c>
      <c r="P1514" s="79">
        <f>SUM(P1510:P1513)</f>
        <v>1004519</v>
      </c>
      <c r="Q1514" s="39">
        <f t="shared" si="239"/>
        <v>6.4999976705277236</v>
      </c>
      <c r="R1514" s="9">
        <v>1722.0000000090799</v>
      </c>
      <c r="S1514" s="9">
        <f t="shared" si="237"/>
        <v>1692.9999999898</v>
      </c>
      <c r="T1514" s="90">
        <f t="shared" si="232"/>
        <v>301</v>
      </c>
      <c r="U1514" s="90">
        <f t="shared" si="233"/>
        <v>999</v>
      </c>
      <c r="V1514" s="373">
        <f t="shared" si="234"/>
        <v>1505</v>
      </c>
      <c r="W1514" s="90">
        <f t="shared" si="235"/>
        <v>1692.9999999898</v>
      </c>
      <c r="X1514" s="90">
        <f t="shared" si="236"/>
        <v>23620218.690186806</v>
      </c>
      <c r="Y1514" s="141">
        <f t="shared" si="238"/>
        <v>1505</v>
      </c>
      <c r="Z1514" s="298">
        <v>301</v>
      </c>
      <c r="AA1514" s="299">
        <v>999</v>
      </c>
      <c r="AB1514" s="299">
        <v>1505</v>
      </c>
      <c r="AC1514" s="301">
        <v>1692.9999999898</v>
      </c>
      <c r="AD1514" s="301">
        <v>23620218.690186806</v>
      </c>
      <c r="AE1514" s="126"/>
      <c r="AF1514" s="298"/>
      <c r="AG1514" s="299"/>
      <c r="AH1514" s="299"/>
      <c r="AI1514" s="301"/>
      <c r="AJ1514" s="301"/>
      <c r="AK1514" s="426"/>
      <c r="AL1514" s="298"/>
      <c r="AM1514" s="299"/>
      <c r="AN1514" s="299"/>
      <c r="AO1514" s="301"/>
      <c r="AP1514" s="301"/>
      <c r="AQ1514" s="426"/>
      <c r="AR1514" s="298"/>
      <c r="AS1514" s="299"/>
      <c r="AT1514" s="299"/>
      <c r="AU1514" s="301"/>
      <c r="AV1514" s="301"/>
      <c r="AW1514" s="91"/>
      <c r="AX1514" s="298"/>
      <c r="AY1514" s="299"/>
      <c r="AZ1514" s="299"/>
      <c r="BA1514" s="301"/>
      <c r="BB1514" s="301"/>
      <c r="BC1514" s="426"/>
      <c r="BD1514" s="298"/>
      <c r="BE1514" s="299"/>
      <c r="BF1514" s="299"/>
      <c r="BG1514" s="301"/>
      <c r="BH1514" s="301"/>
      <c r="BI1514" s="91"/>
      <c r="BJ1514" s="298"/>
      <c r="BK1514" s="299"/>
      <c r="BL1514" s="299"/>
      <c r="BM1514" s="301"/>
      <c r="BN1514" s="301"/>
      <c r="BO1514" s="91"/>
      <c r="BP1514" s="9"/>
      <c r="BS1514" s="81"/>
      <c r="BT1514" s="81"/>
      <c r="BV1514" s="9"/>
      <c r="BY1514" s="81"/>
      <c r="BZ1514" s="81"/>
      <c r="CB1514" s="9"/>
      <c r="CE1514" s="81"/>
      <c r="CF1514" s="81"/>
      <c r="CH1514" s="9"/>
      <c r="CK1514" s="81"/>
      <c r="CL1514" s="81"/>
      <c r="CR1514" s="9"/>
      <c r="CS1514" s="9"/>
      <c r="CT1514" s="9"/>
      <c r="CU1514" s="9"/>
      <c r="CV1514" s="9"/>
      <c r="CW1514" s="129"/>
      <c r="CX1514" s="9"/>
    </row>
    <row r="1515" spans="1:102">
      <c r="A1515" s="6" t="str">
        <f t="shared" si="231"/>
        <v>03020302</v>
      </c>
      <c r="B1515" s="6" t="s">
        <v>1952</v>
      </c>
      <c r="C1515" s="6" t="s">
        <v>1952</v>
      </c>
      <c r="D1515" s="6">
        <v>1506</v>
      </c>
      <c r="E1515" s="6">
        <v>302</v>
      </c>
      <c r="F1515" s="6" t="s">
        <v>1420</v>
      </c>
      <c r="G1515" s="6">
        <v>302</v>
      </c>
      <c r="H1515" s="6" t="s">
        <v>983</v>
      </c>
      <c r="I1515" s="33">
        <v>268153.68999999994</v>
      </c>
      <c r="J1515" s="88">
        <v>1</v>
      </c>
      <c r="K1515" s="89">
        <f>X1515</f>
        <v>322864.62</v>
      </c>
      <c r="L1515" s="88">
        <f>IF(K1519&gt;0, K1515/K1519, 0)</f>
        <v>1</v>
      </c>
      <c r="M1515" s="58"/>
      <c r="N1515" s="9">
        <f>ROUND(M1519*L1515,0)</f>
        <v>266363</v>
      </c>
      <c r="O1515" s="9">
        <v>221227</v>
      </c>
      <c r="P1515" s="9">
        <f>N1515-O1515</f>
        <v>45136</v>
      </c>
      <c r="Q1515" s="40">
        <f t="shared" si="239"/>
        <v>20.402572922834917</v>
      </c>
      <c r="R1515" s="9">
        <v>24</v>
      </c>
      <c r="S1515" s="9">
        <f t="shared" si="237"/>
        <v>28</v>
      </c>
      <c r="T1515" s="90">
        <f t="shared" si="232"/>
        <v>302</v>
      </c>
      <c r="U1515" s="90">
        <f t="shared" si="233"/>
        <v>302</v>
      </c>
      <c r="V1515" s="373">
        <f t="shared" si="234"/>
        <v>1506</v>
      </c>
      <c r="W1515" s="90">
        <f t="shared" si="235"/>
        <v>28</v>
      </c>
      <c r="X1515" s="90">
        <f t="shared" si="236"/>
        <v>322864.62</v>
      </c>
      <c r="Y1515" s="141">
        <f t="shared" si="238"/>
        <v>1506</v>
      </c>
      <c r="Z1515" s="298">
        <v>302</v>
      </c>
      <c r="AA1515" s="299">
        <v>302</v>
      </c>
      <c r="AB1515" s="299">
        <v>1506</v>
      </c>
      <c r="AC1515" s="301">
        <v>28</v>
      </c>
      <c r="AD1515" s="301">
        <v>322864.62</v>
      </c>
      <c r="AE1515" s="126"/>
      <c r="AF1515" s="298"/>
      <c r="AG1515" s="299"/>
      <c r="AH1515" s="299"/>
      <c r="AI1515" s="301"/>
      <c r="AJ1515" s="301"/>
      <c r="AK1515" s="426"/>
      <c r="AL1515" s="298"/>
      <c r="AM1515" s="299"/>
      <c r="AN1515" s="299"/>
      <c r="AO1515" s="301"/>
      <c r="AP1515" s="301"/>
      <c r="AQ1515" s="426"/>
      <c r="AR1515" s="298"/>
      <c r="AS1515" s="299"/>
      <c r="AT1515" s="299"/>
      <c r="AU1515" s="301"/>
      <c r="AV1515" s="301"/>
      <c r="AW1515" s="88"/>
      <c r="AX1515" s="298"/>
      <c r="AY1515" s="299"/>
      <c r="AZ1515" s="299"/>
      <c r="BA1515" s="301"/>
      <c r="BB1515" s="301"/>
      <c r="BC1515" s="426"/>
      <c r="BD1515" s="298"/>
      <c r="BE1515" s="299"/>
      <c r="BF1515" s="299"/>
      <c r="BG1515" s="301"/>
      <c r="BH1515" s="301"/>
      <c r="BI1515" s="88"/>
      <c r="BJ1515" s="298"/>
      <c r="BK1515" s="299"/>
      <c r="BL1515" s="299"/>
      <c r="BM1515" s="301"/>
      <c r="BN1515" s="301"/>
      <c r="BO1515" s="88"/>
      <c r="BP1515" s="9"/>
      <c r="BS1515" s="81"/>
      <c r="BT1515" s="81"/>
      <c r="BV1515" s="9"/>
      <c r="BY1515" s="81"/>
      <c r="BZ1515" s="81"/>
      <c r="CB1515" s="9"/>
      <c r="CE1515" s="81"/>
      <c r="CF1515" s="81"/>
      <c r="CH1515" s="9"/>
      <c r="CK1515" s="81"/>
      <c r="CL1515" s="81"/>
      <c r="CR1515" s="9"/>
      <c r="CS1515" s="9"/>
      <c r="CT1515" s="9"/>
      <c r="CU1515" s="9"/>
      <c r="CV1515" s="9"/>
      <c r="CW1515" s="129"/>
      <c r="CX1515" s="9"/>
    </row>
    <row r="1516" spans="1:102">
      <c r="A1516" s="6" t="str">
        <f t="shared" si="231"/>
        <v>03020998</v>
      </c>
      <c r="B1516" s="6" t="s">
        <v>1952</v>
      </c>
      <c r="C1516" s="6" t="s">
        <v>2091</v>
      </c>
      <c r="D1516" s="6">
        <v>1507</v>
      </c>
      <c r="E1516" s="6">
        <v>302</v>
      </c>
      <c r="F1516" s="6" t="s">
        <v>1547</v>
      </c>
      <c r="G1516" s="6">
        <v>998</v>
      </c>
      <c r="H1516" s="6" t="s">
        <v>1547</v>
      </c>
      <c r="I1516" s="33">
        <v>0</v>
      </c>
      <c r="J1516" s="88">
        <v>0</v>
      </c>
      <c r="K1516" s="89">
        <f t="shared" si="240"/>
        <v>0</v>
      </c>
      <c r="L1516" s="88">
        <f>IF(K1519&gt;0, K1516/K1519, 0)</f>
        <v>0</v>
      </c>
      <c r="M1516" s="58"/>
      <c r="N1516" s="9">
        <f>ROUND(M1519*L1516,0)</f>
        <v>0</v>
      </c>
      <c r="O1516" s="9">
        <v>0</v>
      </c>
      <c r="P1516" s="9">
        <f>N1516-O1516</f>
        <v>0</v>
      </c>
      <c r="Q1516" s="40">
        <f t="shared" si="239"/>
        <v>0</v>
      </c>
      <c r="R1516" s="9">
        <v>0</v>
      </c>
      <c r="S1516" s="9">
        <f t="shared" si="237"/>
        <v>0</v>
      </c>
      <c r="T1516" s="90">
        <f t="shared" si="232"/>
        <v>302</v>
      </c>
      <c r="U1516" s="90">
        <f t="shared" si="233"/>
        <v>998</v>
      </c>
      <c r="V1516" s="373">
        <f t="shared" si="234"/>
        <v>1507</v>
      </c>
      <c r="W1516" s="90">
        <f t="shared" si="235"/>
        <v>0</v>
      </c>
      <c r="X1516" s="90">
        <f t="shared" si="236"/>
        <v>0</v>
      </c>
      <c r="Y1516" s="141">
        <f t="shared" si="238"/>
        <v>1507</v>
      </c>
      <c r="Z1516" s="298">
        <v>302</v>
      </c>
      <c r="AA1516" s="299">
        <v>998</v>
      </c>
      <c r="AB1516" s="299">
        <v>1507</v>
      </c>
      <c r="AC1516" s="301">
        <v>0</v>
      </c>
      <c r="AD1516" s="301">
        <v>0</v>
      </c>
      <c r="AE1516" s="126"/>
      <c r="AF1516" s="298"/>
      <c r="AG1516" s="299"/>
      <c r="AH1516" s="299"/>
      <c r="AI1516" s="301"/>
      <c r="AJ1516" s="301"/>
      <c r="AK1516" s="426"/>
      <c r="AL1516" s="298"/>
      <c r="AM1516" s="299"/>
      <c r="AN1516" s="299"/>
      <c r="AO1516" s="301"/>
      <c r="AP1516" s="301"/>
      <c r="AQ1516" s="426"/>
      <c r="AR1516" s="298"/>
      <c r="AS1516" s="299"/>
      <c r="AT1516" s="299"/>
      <c r="AU1516" s="301"/>
      <c r="AV1516" s="301"/>
      <c r="AW1516" s="88"/>
      <c r="AX1516" s="298"/>
      <c r="AY1516" s="299"/>
      <c r="AZ1516" s="299"/>
      <c r="BA1516" s="301"/>
      <c r="BB1516" s="301"/>
      <c r="BC1516" s="426"/>
      <c r="BD1516" s="298"/>
      <c r="BE1516" s="299"/>
      <c r="BF1516" s="299"/>
      <c r="BG1516" s="301"/>
      <c r="BH1516" s="301"/>
      <c r="BI1516" s="88"/>
      <c r="BJ1516" s="298"/>
      <c r="BK1516" s="299"/>
      <c r="BL1516" s="299"/>
      <c r="BM1516" s="301"/>
      <c r="BN1516" s="301"/>
      <c r="BO1516" s="88"/>
      <c r="BP1516" s="9"/>
      <c r="BS1516" s="81"/>
      <c r="BT1516" s="81"/>
      <c r="BV1516" s="9"/>
      <c r="BY1516" s="81"/>
      <c r="BZ1516" s="81"/>
      <c r="CB1516" s="9"/>
      <c r="CE1516" s="81"/>
      <c r="CF1516" s="81"/>
      <c r="CH1516" s="9"/>
      <c r="CK1516" s="81"/>
      <c r="CL1516" s="81"/>
      <c r="CR1516" s="9"/>
      <c r="CS1516" s="9"/>
      <c r="CT1516" s="9"/>
      <c r="CU1516" s="9"/>
      <c r="CV1516" s="9"/>
      <c r="CW1516" s="129"/>
      <c r="CX1516" s="9"/>
    </row>
    <row r="1517" spans="1:102">
      <c r="A1517" s="6" t="str">
        <f t="shared" si="231"/>
        <v>03020998</v>
      </c>
      <c r="B1517" s="6" t="s">
        <v>1952</v>
      </c>
      <c r="C1517" s="6" t="s">
        <v>2091</v>
      </c>
      <c r="D1517" s="6">
        <v>1508</v>
      </c>
      <c r="E1517" s="6">
        <v>302</v>
      </c>
      <c r="F1517" s="6" t="s">
        <v>1547</v>
      </c>
      <c r="G1517" s="6">
        <v>998</v>
      </c>
      <c r="H1517" s="6" t="s">
        <v>1547</v>
      </c>
      <c r="I1517" s="33">
        <v>0</v>
      </c>
      <c r="J1517" s="88">
        <v>0</v>
      </c>
      <c r="K1517" s="89">
        <f t="shared" si="240"/>
        <v>0</v>
      </c>
      <c r="L1517" s="88">
        <f>IF(K1519&gt;0, K1517/K1519, 0)</f>
        <v>0</v>
      </c>
      <c r="M1517" s="58"/>
      <c r="N1517" s="9">
        <f>ROUND(M1519*L1517,0)</f>
        <v>0</v>
      </c>
      <c r="O1517" s="9">
        <v>0</v>
      </c>
      <c r="P1517" s="9">
        <f>N1517-O1517</f>
        <v>0</v>
      </c>
      <c r="Q1517" s="40">
        <f t="shared" si="239"/>
        <v>0</v>
      </c>
      <c r="R1517" s="9">
        <v>0</v>
      </c>
      <c r="S1517" s="9">
        <f t="shared" si="237"/>
        <v>0</v>
      </c>
      <c r="T1517" s="90">
        <f t="shared" si="232"/>
        <v>302</v>
      </c>
      <c r="U1517" s="90">
        <f t="shared" si="233"/>
        <v>998</v>
      </c>
      <c r="V1517" s="373">
        <f t="shared" si="234"/>
        <v>1508</v>
      </c>
      <c r="W1517" s="90">
        <f t="shared" si="235"/>
        <v>0</v>
      </c>
      <c r="X1517" s="90">
        <f t="shared" si="236"/>
        <v>0</v>
      </c>
      <c r="Y1517" s="141">
        <f t="shared" si="238"/>
        <v>1508</v>
      </c>
      <c r="Z1517" s="298">
        <v>302</v>
      </c>
      <c r="AA1517" s="299">
        <v>998</v>
      </c>
      <c r="AB1517" s="299">
        <v>1508</v>
      </c>
      <c r="AC1517" s="301">
        <v>0</v>
      </c>
      <c r="AD1517" s="301">
        <v>0</v>
      </c>
      <c r="AE1517" s="126"/>
      <c r="AF1517" s="298"/>
      <c r="AG1517" s="299"/>
      <c r="AH1517" s="299"/>
      <c r="AI1517" s="301"/>
      <c r="AJ1517" s="301"/>
      <c r="AK1517" s="426"/>
      <c r="AL1517" s="298"/>
      <c r="AM1517" s="299"/>
      <c r="AN1517" s="299"/>
      <c r="AO1517" s="301"/>
      <c r="AP1517" s="301"/>
      <c r="AQ1517" s="426"/>
      <c r="AR1517" s="298"/>
      <c r="AS1517" s="299"/>
      <c r="AT1517" s="299"/>
      <c r="AU1517" s="301"/>
      <c r="AV1517" s="301"/>
      <c r="AW1517" s="88"/>
      <c r="AX1517" s="298"/>
      <c r="AY1517" s="299"/>
      <c r="AZ1517" s="299"/>
      <c r="BA1517" s="301"/>
      <c r="BB1517" s="301"/>
      <c r="BC1517" s="426"/>
      <c r="BD1517" s="298"/>
      <c r="BE1517" s="299"/>
      <c r="BF1517" s="299"/>
      <c r="BG1517" s="301"/>
      <c r="BH1517" s="301"/>
      <c r="BI1517" s="88"/>
      <c r="BJ1517" s="298"/>
      <c r="BK1517" s="299"/>
      <c r="BL1517" s="299"/>
      <c r="BM1517" s="301"/>
      <c r="BN1517" s="301"/>
      <c r="BO1517" s="88"/>
      <c r="BP1517" s="9"/>
      <c r="BS1517" s="81"/>
      <c r="BT1517" s="81"/>
      <c r="BV1517" s="9"/>
      <c r="BY1517" s="81"/>
      <c r="BZ1517" s="81"/>
      <c r="CB1517" s="9"/>
      <c r="CE1517" s="81"/>
      <c r="CF1517" s="81"/>
      <c r="CH1517" s="9"/>
      <c r="CK1517" s="81"/>
      <c r="CL1517" s="81"/>
      <c r="CR1517" s="9"/>
      <c r="CS1517" s="9"/>
      <c r="CT1517" s="9"/>
      <c r="CU1517" s="9"/>
      <c r="CV1517" s="9"/>
      <c r="CW1517" s="129"/>
      <c r="CX1517" s="9"/>
    </row>
    <row r="1518" spans="1:102">
      <c r="A1518" s="6" t="str">
        <f t="shared" si="231"/>
        <v>03020998</v>
      </c>
      <c r="B1518" s="6" t="s">
        <v>1952</v>
      </c>
      <c r="C1518" s="6" t="s">
        <v>2091</v>
      </c>
      <c r="D1518" s="6">
        <v>1509</v>
      </c>
      <c r="E1518" s="6">
        <v>302</v>
      </c>
      <c r="F1518" s="6" t="s">
        <v>1547</v>
      </c>
      <c r="G1518" s="6">
        <v>998</v>
      </c>
      <c r="H1518" s="6" t="s">
        <v>1547</v>
      </c>
      <c r="I1518" s="33">
        <v>0</v>
      </c>
      <c r="J1518" s="88">
        <v>0</v>
      </c>
      <c r="K1518" s="89">
        <f t="shared" si="240"/>
        <v>0</v>
      </c>
      <c r="L1518" s="88">
        <f>IF(K1519&gt;0, K1518/K1519, 0)</f>
        <v>0</v>
      </c>
      <c r="M1518" s="58"/>
      <c r="N1518" s="9">
        <f>ROUND(M1519*L1518,0)</f>
        <v>0</v>
      </c>
      <c r="O1518" s="9">
        <v>0</v>
      </c>
      <c r="P1518" s="9">
        <f>N1518-O1518</f>
        <v>0</v>
      </c>
      <c r="Q1518" s="40">
        <f t="shared" si="239"/>
        <v>0</v>
      </c>
      <c r="R1518" s="9">
        <v>0</v>
      </c>
      <c r="S1518" s="9">
        <f t="shared" si="237"/>
        <v>0</v>
      </c>
      <c r="T1518" s="90">
        <f t="shared" si="232"/>
        <v>302</v>
      </c>
      <c r="U1518" s="90">
        <f t="shared" si="233"/>
        <v>998</v>
      </c>
      <c r="V1518" s="373">
        <f t="shared" si="234"/>
        <v>1509</v>
      </c>
      <c r="W1518" s="90">
        <f t="shared" si="235"/>
        <v>0</v>
      </c>
      <c r="X1518" s="90">
        <f t="shared" si="236"/>
        <v>0</v>
      </c>
      <c r="Y1518" s="141">
        <f t="shared" si="238"/>
        <v>1509</v>
      </c>
      <c r="Z1518" s="298">
        <v>302</v>
      </c>
      <c r="AA1518" s="299">
        <v>998</v>
      </c>
      <c r="AB1518" s="299">
        <v>1509</v>
      </c>
      <c r="AC1518" s="301">
        <v>0</v>
      </c>
      <c r="AD1518" s="301">
        <v>0</v>
      </c>
      <c r="AE1518" s="126"/>
      <c r="AF1518" s="298"/>
      <c r="AG1518" s="299"/>
      <c r="AH1518" s="299"/>
      <c r="AI1518" s="301"/>
      <c r="AJ1518" s="301"/>
      <c r="AK1518" s="426"/>
      <c r="AL1518" s="298"/>
      <c r="AM1518" s="299"/>
      <c r="AN1518" s="299"/>
      <c r="AO1518" s="301"/>
      <c r="AP1518" s="301"/>
      <c r="AQ1518" s="426"/>
      <c r="AR1518" s="298"/>
      <c r="AS1518" s="299"/>
      <c r="AT1518" s="299"/>
      <c r="AU1518" s="301"/>
      <c r="AV1518" s="301"/>
      <c r="AW1518" s="88"/>
      <c r="AX1518" s="298"/>
      <c r="AY1518" s="299"/>
      <c r="AZ1518" s="299"/>
      <c r="BA1518" s="301"/>
      <c r="BB1518" s="301"/>
      <c r="BC1518" s="426"/>
      <c r="BD1518" s="298"/>
      <c r="BE1518" s="299"/>
      <c r="BF1518" s="299"/>
      <c r="BG1518" s="301"/>
      <c r="BH1518" s="301"/>
      <c r="BI1518" s="88"/>
      <c r="BJ1518" s="298"/>
      <c r="BK1518" s="299"/>
      <c r="BL1518" s="299"/>
      <c r="BM1518" s="301"/>
      <c r="BN1518" s="301"/>
      <c r="BO1518" s="88"/>
      <c r="BP1518" s="9"/>
      <c r="BS1518" s="81"/>
      <c r="BT1518" s="81"/>
      <c r="BV1518" s="9"/>
      <c r="BY1518" s="81"/>
      <c r="BZ1518" s="81"/>
      <c r="CB1518" s="9"/>
      <c r="CE1518" s="81"/>
      <c r="CF1518" s="81"/>
      <c r="CH1518" s="9"/>
      <c r="CK1518" s="81"/>
      <c r="CL1518" s="81"/>
      <c r="CR1518" s="9"/>
      <c r="CS1518" s="9"/>
      <c r="CT1518" s="9"/>
      <c r="CU1518" s="9"/>
      <c r="CV1518" s="9"/>
      <c r="CW1518" s="129"/>
      <c r="CX1518" s="9"/>
    </row>
    <row r="1519" spans="1:102">
      <c r="A1519" s="6" t="str">
        <f t="shared" si="231"/>
        <v>03020999</v>
      </c>
      <c r="B1519" s="6" t="s">
        <v>1952</v>
      </c>
      <c r="C1519" s="6" t="s">
        <v>2092</v>
      </c>
      <c r="D1519" s="6">
        <v>1510</v>
      </c>
      <c r="E1519" s="10">
        <v>302</v>
      </c>
      <c r="F1519" s="10" t="s">
        <v>1420</v>
      </c>
      <c r="G1519" s="10">
        <v>999</v>
      </c>
      <c r="H1519" s="10" t="s">
        <v>593</v>
      </c>
      <c r="I1519" s="92">
        <v>268153.68999999994</v>
      </c>
      <c r="J1519" s="472">
        <v>1</v>
      </c>
      <c r="K1519" s="53">
        <f>SUM(K1515:K1518)</f>
        <v>322864.62</v>
      </c>
      <c r="L1519" s="91">
        <f>SUM(L1515:L1518)</f>
        <v>1</v>
      </c>
      <c r="M1519" s="79">
        <f>VLOOKUP(E1519,town351,24)</f>
        <v>266363</v>
      </c>
      <c r="N1519" s="79">
        <f>SUM(N1515:N1518)</f>
        <v>266363</v>
      </c>
      <c r="O1519" s="79">
        <v>221227</v>
      </c>
      <c r="P1519" s="79">
        <f>SUM(P1515:P1518)</f>
        <v>45136</v>
      </c>
      <c r="Q1519" s="39">
        <f t="shared" si="239"/>
        <v>20.402572922834917</v>
      </c>
      <c r="R1519" s="9">
        <v>24</v>
      </c>
      <c r="S1519" s="9">
        <f t="shared" si="237"/>
        <v>28</v>
      </c>
      <c r="T1519" s="90">
        <f t="shared" si="232"/>
        <v>302</v>
      </c>
      <c r="U1519" s="90">
        <f t="shared" si="233"/>
        <v>999</v>
      </c>
      <c r="V1519" s="373">
        <f t="shared" si="234"/>
        <v>1510</v>
      </c>
      <c r="W1519" s="90">
        <f t="shared" si="235"/>
        <v>28</v>
      </c>
      <c r="X1519" s="90">
        <f t="shared" si="236"/>
        <v>322864.62</v>
      </c>
      <c r="Y1519" s="141">
        <f t="shared" si="238"/>
        <v>1510</v>
      </c>
      <c r="Z1519" s="298">
        <v>302</v>
      </c>
      <c r="AA1519" s="299">
        <v>999</v>
      </c>
      <c r="AB1519" s="299">
        <v>1510</v>
      </c>
      <c r="AC1519" s="301">
        <v>28</v>
      </c>
      <c r="AD1519" s="301">
        <v>322864.62</v>
      </c>
      <c r="AE1519" s="126"/>
      <c r="AF1519" s="298"/>
      <c r="AG1519" s="299"/>
      <c r="AH1519" s="299"/>
      <c r="AI1519" s="301"/>
      <c r="AJ1519" s="301"/>
      <c r="AK1519" s="426"/>
      <c r="AL1519" s="298"/>
      <c r="AM1519" s="299"/>
      <c r="AN1519" s="299"/>
      <c r="AO1519" s="301"/>
      <c r="AP1519" s="301"/>
      <c r="AQ1519" s="426"/>
      <c r="AR1519" s="298"/>
      <c r="AS1519" s="299"/>
      <c r="AT1519" s="299"/>
      <c r="AU1519" s="301"/>
      <c r="AV1519" s="301"/>
      <c r="AW1519" s="91"/>
      <c r="AX1519" s="298"/>
      <c r="AY1519" s="299"/>
      <c r="AZ1519" s="299"/>
      <c r="BA1519" s="301"/>
      <c r="BB1519" s="301"/>
      <c r="BC1519" s="426"/>
      <c r="BD1519" s="298"/>
      <c r="BE1519" s="299"/>
      <c r="BF1519" s="299"/>
      <c r="BG1519" s="301"/>
      <c r="BH1519" s="301"/>
      <c r="BI1519" s="91"/>
      <c r="BJ1519" s="298"/>
      <c r="BK1519" s="299"/>
      <c r="BL1519" s="299"/>
      <c r="BM1519" s="301"/>
      <c r="BN1519" s="301"/>
      <c r="BO1519" s="91"/>
      <c r="BP1519" s="9"/>
      <c r="BS1519" s="81"/>
      <c r="BT1519" s="81"/>
      <c r="BV1519" s="9"/>
      <c r="BY1519" s="81"/>
      <c r="BZ1519" s="81"/>
      <c r="CB1519" s="9"/>
      <c r="CE1519" s="81"/>
      <c r="CF1519" s="81"/>
      <c r="CH1519" s="9"/>
      <c r="CK1519" s="81"/>
      <c r="CL1519" s="81"/>
      <c r="CR1519" s="9"/>
      <c r="CS1519" s="9"/>
      <c r="CT1519" s="9"/>
      <c r="CU1519" s="9"/>
      <c r="CV1519" s="9"/>
      <c r="CW1519" s="129"/>
      <c r="CX1519" s="9"/>
    </row>
    <row r="1520" spans="1:102">
      <c r="A1520" s="6" t="str">
        <f t="shared" si="231"/>
        <v>03030303</v>
      </c>
      <c r="B1520" s="6" t="s">
        <v>1953</v>
      </c>
      <c r="C1520" s="6" t="s">
        <v>1953</v>
      </c>
      <c r="D1520" s="6">
        <v>1511</v>
      </c>
      <c r="E1520" s="6">
        <v>303</v>
      </c>
      <c r="F1520" s="6" t="s">
        <v>1421</v>
      </c>
      <c r="G1520" s="6">
        <v>303</v>
      </c>
      <c r="H1520" s="6" t="s">
        <v>984</v>
      </c>
      <c r="I1520" s="33">
        <v>82453.8</v>
      </c>
      <c r="J1520" s="88">
        <v>5.1262136625986592E-3</v>
      </c>
      <c r="K1520" s="89">
        <f>X1520</f>
        <v>84301.650000000009</v>
      </c>
      <c r="L1520" s="88">
        <f>IF(K1524&gt;0, K1520/K1524, 0)</f>
        <v>5.2329760496550295E-3</v>
      </c>
      <c r="M1520" s="58"/>
      <c r="N1520" s="9">
        <f>ROUND(M1524*L1520,0)</f>
        <v>65499</v>
      </c>
      <c r="O1520" s="9">
        <v>61452</v>
      </c>
      <c r="P1520" s="9">
        <f>N1520-O1520</f>
        <v>4047</v>
      </c>
      <c r="Q1520" s="40">
        <f t="shared" si="239"/>
        <v>6.5856278070689322</v>
      </c>
      <c r="R1520" s="9">
        <v>5</v>
      </c>
      <c r="S1520" s="9">
        <f t="shared" si="237"/>
        <v>5</v>
      </c>
      <c r="T1520" s="90">
        <f t="shared" si="232"/>
        <v>303</v>
      </c>
      <c r="U1520" s="90">
        <f t="shared" si="233"/>
        <v>303</v>
      </c>
      <c r="V1520" s="373">
        <f t="shared" si="234"/>
        <v>1511</v>
      </c>
      <c r="W1520" s="90">
        <f t="shared" si="235"/>
        <v>5</v>
      </c>
      <c r="X1520" s="90">
        <f t="shared" si="236"/>
        <v>84301.650000000009</v>
      </c>
      <c r="Y1520" s="141">
        <f t="shared" si="238"/>
        <v>1511</v>
      </c>
      <c r="Z1520" s="298">
        <v>303</v>
      </c>
      <c r="AA1520" s="299">
        <v>303</v>
      </c>
      <c r="AB1520" s="299">
        <v>1511</v>
      </c>
      <c r="AC1520" s="301">
        <v>5</v>
      </c>
      <c r="AD1520" s="301">
        <v>84301.650000000009</v>
      </c>
      <c r="AE1520" s="126"/>
      <c r="AF1520" s="298"/>
      <c r="AG1520" s="299"/>
      <c r="AH1520" s="299"/>
      <c r="AI1520" s="301"/>
      <c r="AJ1520" s="301"/>
      <c r="AK1520" s="426"/>
      <c r="AL1520" s="298"/>
      <c r="AM1520" s="299"/>
      <c r="AN1520" s="299"/>
      <c r="AO1520" s="301"/>
      <c r="AP1520" s="301"/>
      <c r="AQ1520" s="426"/>
      <c r="AR1520" s="298"/>
      <c r="AS1520" s="299"/>
      <c r="AT1520" s="299"/>
      <c r="AU1520" s="301"/>
      <c r="AV1520" s="301"/>
      <c r="AW1520" s="88"/>
      <c r="AX1520" s="298"/>
      <c r="AY1520" s="299"/>
      <c r="AZ1520" s="299"/>
      <c r="BA1520" s="301"/>
      <c r="BB1520" s="301"/>
      <c r="BC1520" s="426"/>
      <c r="BD1520" s="298"/>
      <c r="BE1520" s="299"/>
      <c r="BF1520" s="299"/>
      <c r="BG1520" s="301"/>
      <c r="BH1520" s="301"/>
      <c r="BI1520" s="88"/>
      <c r="BJ1520" s="298"/>
      <c r="BK1520" s="299"/>
      <c r="BL1520" s="299"/>
      <c r="BM1520" s="301"/>
      <c r="BN1520" s="301"/>
      <c r="BO1520" s="88"/>
      <c r="BP1520" s="9"/>
      <c r="BS1520" s="81"/>
      <c r="BT1520" s="81"/>
      <c r="BV1520" s="9"/>
      <c r="BY1520" s="81"/>
      <c r="BZ1520" s="81"/>
      <c r="CB1520" s="9"/>
      <c r="CE1520" s="81"/>
      <c r="CF1520" s="81"/>
      <c r="CH1520" s="9"/>
      <c r="CK1520" s="81"/>
      <c r="CL1520" s="81"/>
      <c r="CR1520" s="9"/>
      <c r="CS1520" s="9"/>
      <c r="CT1520" s="9"/>
      <c r="CU1520" s="9"/>
      <c r="CV1520" s="9"/>
      <c r="CW1520" s="129"/>
      <c r="CX1520" s="9"/>
    </row>
    <row r="1521" spans="1:102">
      <c r="A1521" s="6" t="str">
        <f t="shared" si="231"/>
        <v>03030710</v>
      </c>
      <c r="B1521" s="6" t="s">
        <v>1953</v>
      </c>
      <c r="C1521" s="6" t="s">
        <v>2037</v>
      </c>
      <c r="D1521" s="6">
        <v>1512</v>
      </c>
      <c r="E1521" s="6">
        <v>303</v>
      </c>
      <c r="F1521" s="6" t="s">
        <v>1421</v>
      </c>
      <c r="G1521" s="6">
        <v>710</v>
      </c>
      <c r="H1521" s="6" t="s">
        <v>1067</v>
      </c>
      <c r="I1521" s="33">
        <v>14283983.680606524</v>
      </c>
      <c r="J1521" s="88">
        <v>0.8880458183838883</v>
      </c>
      <c r="K1521" s="89">
        <f t="shared" si="240"/>
        <v>14223881.599901132</v>
      </c>
      <c r="L1521" s="88">
        <f>IF(K1524&gt;0, K1521/K1524, 0)</f>
        <v>0.88293920398250192</v>
      </c>
      <c r="M1521" s="58"/>
      <c r="N1521" s="9">
        <f>ROUND(M1524*L1521,0)</f>
        <v>11051358</v>
      </c>
      <c r="O1521" s="9">
        <v>10645796</v>
      </c>
      <c r="P1521" s="9">
        <f>N1521-O1521</f>
        <v>405562</v>
      </c>
      <c r="Q1521" s="40">
        <f t="shared" si="239"/>
        <v>3.8095977041077997</v>
      </c>
      <c r="R1521" s="9">
        <v>1158.9746712142501</v>
      </c>
      <c r="S1521" s="9">
        <f t="shared" si="237"/>
        <v>1120.3988006013601</v>
      </c>
      <c r="T1521" s="90">
        <f t="shared" si="232"/>
        <v>303</v>
      </c>
      <c r="U1521" s="90">
        <f t="shared" si="233"/>
        <v>710</v>
      </c>
      <c r="V1521" s="373">
        <f t="shared" si="234"/>
        <v>1512</v>
      </c>
      <c r="W1521" s="90">
        <f t="shared" si="235"/>
        <v>1120.3988006013601</v>
      </c>
      <c r="X1521" s="90">
        <f t="shared" si="236"/>
        <v>14223881.599901132</v>
      </c>
      <c r="Y1521" s="141">
        <f t="shared" si="238"/>
        <v>1512</v>
      </c>
      <c r="Z1521" s="298">
        <v>303</v>
      </c>
      <c r="AA1521" s="299">
        <v>710</v>
      </c>
      <c r="AB1521" s="299">
        <v>1512</v>
      </c>
      <c r="AC1521" s="301">
        <v>1120.3988006013601</v>
      </c>
      <c r="AD1521" s="301">
        <v>14223881.599901132</v>
      </c>
      <c r="AE1521" s="126"/>
      <c r="AF1521" s="298"/>
      <c r="AG1521" s="299"/>
      <c r="AH1521" s="299"/>
      <c r="AI1521" s="301"/>
      <c r="AJ1521" s="301"/>
      <c r="AK1521" s="426"/>
      <c r="AL1521" s="298"/>
      <c r="AM1521" s="299"/>
      <c r="AN1521" s="299"/>
      <c r="AO1521" s="301"/>
      <c r="AP1521" s="301"/>
      <c r="AQ1521" s="426"/>
      <c r="AR1521" s="298"/>
      <c r="AS1521" s="299"/>
      <c r="AT1521" s="299"/>
      <c r="AU1521" s="301"/>
      <c r="AV1521" s="301"/>
      <c r="AW1521" s="88"/>
      <c r="AX1521" s="298"/>
      <c r="AY1521" s="299"/>
      <c r="AZ1521" s="299"/>
      <c r="BA1521" s="301"/>
      <c r="BB1521" s="301"/>
      <c r="BC1521" s="426"/>
      <c r="BD1521" s="298"/>
      <c r="BE1521" s="299"/>
      <c r="BF1521" s="299"/>
      <c r="BG1521" s="301"/>
      <c r="BH1521" s="301"/>
      <c r="BI1521" s="88"/>
      <c r="BJ1521" s="298"/>
      <c r="BK1521" s="299"/>
      <c r="BL1521" s="299"/>
      <c r="BM1521" s="301"/>
      <c r="BN1521" s="301"/>
      <c r="BO1521" s="88"/>
      <c r="BP1521" s="9"/>
      <c r="BS1521" s="81"/>
      <c r="BT1521" s="81"/>
      <c r="BV1521" s="9"/>
      <c r="BY1521" s="81"/>
      <c r="BZ1521" s="81"/>
      <c r="CB1521" s="9"/>
      <c r="CE1521" s="81"/>
      <c r="CF1521" s="81"/>
      <c r="CH1521" s="9"/>
      <c r="CK1521" s="81"/>
      <c r="CL1521" s="81"/>
      <c r="CR1521" s="9"/>
      <c r="CS1521" s="9"/>
      <c r="CT1521" s="9"/>
      <c r="CU1521" s="9"/>
      <c r="CV1521" s="9"/>
      <c r="CW1521" s="129"/>
      <c r="CX1521" s="9"/>
    </row>
    <row r="1522" spans="1:102">
      <c r="A1522" s="6" t="str">
        <f t="shared" si="231"/>
        <v>03030805</v>
      </c>
      <c r="B1522" s="6" t="s">
        <v>1953</v>
      </c>
      <c r="C1522" s="6" t="s">
        <v>2063</v>
      </c>
      <c r="D1522" s="6">
        <v>1513</v>
      </c>
      <c r="E1522" s="6">
        <v>303</v>
      </c>
      <c r="F1522" s="6" t="s">
        <v>1421</v>
      </c>
      <c r="G1522" s="6">
        <v>805</v>
      </c>
      <c r="H1522" s="6" t="s">
        <v>1093</v>
      </c>
      <c r="I1522" s="33">
        <v>1718299.7986042001</v>
      </c>
      <c r="J1522" s="88">
        <v>0.10682796795351307</v>
      </c>
      <c r="K1522" s="89">
        <f t="shared" si="240"/>
        <v>1801512.112751516</v>
      </c>
      <c r="L1522" s="88">
        <f>IF(K1524&gt;0, K1522/K1524, 0)</f>
        <v>0.11182781996784302</v>
      </c>
      <c r="M1522" s="58"/>
      <c r="N1522" s="9">
        <f>ROUND(M1524*L1522,0)</f>
        <v>1399699</v>
      </c>
      <c r="O1522" s="9">
        <v>1280642</v>
      </c>
      <c r="P1522" s="9">
        <f>N1522-O1522</f>
        <v>119057</v>
      </c>
      <c r="Q1522" s="40">
        <f t="shared" si="239"/>
        <v>9.2966652663273575</v>
      </c>
      <c r="R1522" s="9">
        <v>90.9999999976</v>
      </c>
      <c r="S1522" s="9">
        <f t="shared" si="237"/>
        <v>93.000000004079993</v>
      </c>
      <c r="T1522" s="90">
        <f t="shared" si="232"/>
        <v>303</v>
      </c>
      <c r="U1522" s="90">
        <f t="shared" si="233"/>
        <v>805</v>
      </c>
      <c r="V1522" s="373">
        <f t="shared" si="234"/>
        <v>1513</v>
      </c>
      <c r="W1522" s="90">
        <f t="shared" si="235"/>
        <v>93.000000004079993</v>
      </c>
      <c r="X1522" s="90">
        <f t="shared" si="236"/>
        <v>1801512.112751516</v>
      </c>
      <c r="Y1522" s="141">
        <f t="shared" si="238"/>
        <v>1513</v>
      </c>
      <c r="Z1522" s="298">
        <v>303</v>
      </c>
      <c r="AA1522" s="299">
        <v>805</v>
      </c>
      <c r="AB1522" s="299">
        <v>1513</v>
      </c>
      <c r="AC1522" s="301">
        <v>93.000000004079993</v>
      </c>
      <c r="AD1522" s="301">
        <v>1801512.112751516</v>
      </c>
      <c r="AE1522" s="126"/>
      <c r="AF1522" s="298"/>
      <c r="AG1522" s="299"/>
      <c r="AH1522" s="299"/>
      <c r="AI1522" s="301"/>
      <c r="AJ1522" s="301"/>
      <c r="AK1522" s="426"/>
      <c r="AL1522" s="298"/>
      <c r="AM1522" s="299"/>
      <c r="AN1522" s="299"/>
      <c r="AO1522" s="301"/>
      <c r="AP1522" s="301"/>
      <c r="AQ1522" s="426"/>
      <c r="AR1522" s="298"/>
      <c r="AS1522" s="299"/>
      <c r="AT1522" s="299"/>
      <c r="AU1522" s="301"/>
      <c r="AV1522" s="301"/>
      <c r="AW1522" s="88"/>
      <c r="AX1522" s="298"/>
      <c r="AY1522" s="299"/>
      <c r="AZ1522" s="299"/>
      <c r="BA1522" s="301"/>
      <c r="BB1522" s="301"/>
      <c r="BC1522" s="426"/>
      <c r="BD1522" s="298"/>
      <c r="BE1522" s="299"/>
      <c r="BF1522" s="299"/>
      <c r="BG1522" s="301"/>
      <c r="BH1522" s="301"/>
      <c r="BI1522" s="88"/>
      <c r="BJ1522" s="298"/>
      <c r="BK1522" s="299"/>
      <c r="BL1522" s="299"/>
      <c r="BM1522" s="301"/>
      <c r="BN1522" s="301"/>
      <c r="BO1522" s="88"/>
      <c r="BP1522" s="9"/>
      <c r="BS1522" s="81"/>
      <c r="BT1522" s="81"/>
      <c r="BV1522" s="9"/>
      <c r="BY1522" s="81"/>
      <c r="BZ1522" s="81"/>
      <c r="CB1522" s="9"/>
      <c r="CE1522" s="81"/>
      <c r="CF1522" s="81"/>
      <c r="CH1522" s="9"/>
      <c r="CK1522" s="81"/>
      <c r="CL1522" s="81"/>
      <c r="CR1522" s="9"/>
      <c r="CS1522" s="9"/>
      <c r="CT1522" s="9"/>
      <c r="CU1522" s="9"/>
      <c r="CV1522" s="9"/>
      <c r="CW1522" s="129"/>
      <c r="CX1522" s="9"/>
    </row>
    <row r="1523" spans="1:102">
      <c r="A1523" s="6" t="str">
        <f t="shared" si="231"/>
        <v>03030998</v>
      </c>
      <c r="B1523" s="6" t="s">
        <v>1953</v>
      </c>
      <c r="C1523" s="6" t="s">
        <v>2091</v>
      </c>
      <c r="D1523" s="6">
        <v>1514</v>
      </c>
      <c r="E1523" s="6">
        <v>303</v>
      </c>
      <c r="F1523" s="6" t="s">
        <v>1547</v>
      </c>
      <c r="G1523" s="6">
        <v>998</v>
      </c>
      <c r="H1523" s="6" t="s">
        <v>1547</v>
      </c>
      <c r="I1523" s="33">
        <v>0</v>
      </c>
      <c r="J1523" s="88">
        <v>0</v>
      </c>
      <c r="K1523" s="89">
        <f t="shared" si="240"/>
        <v>0</v>
      </c>
      <c r="L1523" s="88">
        <f>IF(K1524&gt;0, K1523/K1524, 0)</f>
        <v>0</v>
      </c>
      <c r="M1523" s="58"/>
      <c r="N1523" s="9">
        <f>ROUND(M1524*L1523,0)</f>
        <v>0</v>
      </c>
      <c r="O1523" s="9">
        <v>0</v>
      </c>
      <c r="P1523" s="9">
        <f>N1523-O1523</f>
        <v>0</v>
      </c>
      <c r="Q1523" s="40">
        <f t="shared" si="239"/>
        <v>0</v>
      </c>
      <c r="R1523" s="9">
        <v>0</v>
      </c>
      <c r="S1523" s="9">
        <f t="shared" si="237"/>
        <v>0</v>
      </c>
      <c r="T1523" s="90">
        <f t="shared" si="232"/>
        <v>303</v>
      </c>
      <c r="U1523" s="90">
        <f t="shared" si="233"/>
        <v>998</v>
      </c>
      <c r="V1523" s="373">
        <f t="shared" si="234"/>
        <v>1514</v>
      </c>
      <c r="W1523" s="90">
        <f t="shared" si="235"/>
        <v>0</v>
      </c>
      <c r="X1523" s="90">
        <f t="shared" si="236"/>
        <v>0</v>
      </c>
      <c r="Y1523" s="141">
        <f t="shared" si="238"/>
        <v>1514</v>
      </c>
      <c r="Z1523" s="298">
        <v>303</v>
      </c>
      <c r="AA1523" s="299">
        <v>998</v>
      </c>
      <c r="AB1523" s="299">
        <v>1514</v>
      </c>
      <c r="AC1523" s="301">
        <v>0</v>
      </c>
      <c r="AD1523" s="301">
        <v>0</v>
      </c>
      <c r="AE1523" s="126"/>
      <c r="AF1523" s="298"/>
      <c r="AG1523" s="299"/>
      <c r="AH1523" s="299"/>
      <c r="AI1523" s="301"/>
      <c r="AJ1523" s="301"/>
      <c r="AK1523" s="426"/>
      <c r="AL1523" s="298"/>
      <c r="AM1523" s="299"/>
      <c r="AN1523" s="299"/>
      <c r="AO1523" s="301"/>
      <c r="AP1523" s="301"/>
      <c r="AQ1523" s="426"/>
      <c r="AR1523" s="298"/>
      <c r="AS1523" s="299"/>
      <c r="AT1523" s="299"/>
      <c r="AU1523" s="301"/>
      <c r="AV1523" s="301"/>
      <c r="AW1523" s="88"/>
      <c r="AX1523" s="298"/>
      <c r="AY1523" s="299"/>
      <c r="AZ1523" s="299"/>
      <c r="BA1523" s="301"/>
      <c r="BB1523" s="301"/>
      <c r="BC1523" s="426"/>
      <c r="BD1523" s="298"/>
      <c r="BE1523" s="299"/>
      <c r="BF1523" s="299"/>
      <c r="BG1523" s="301"/>
      <c r="BH1523" s="301"/>
      <c r="BI1523" s="88"/>
      <c r="BJ1523" s="298"/>
      <c r="BK1523" s="299"/>
      <c r="BL1523" s="299"/>
      <c r="BM1523" s="301"/>
      <c r="BN1523" s="301"/>
      <c r="BO1523" s="88"/>
      <c r="BP1523" s="9"/>
      <c r="BS1523" s="81"/>
      <c r="BT1523" s="81"/>
      <c r="BV1523" s="9"/>
      <c r="BY1523" s="81"/>
      <c r="BZ1523" s="81"/>
      <c r="CB1523" s="9"/>
      <c r="CE1523" s="81"/>
      <c r="CF1523" s="81"/>
      <c r="CH1523" s="9"/>
      <c r="CK1523" s="81"/>
      <c r="CL1523" s="81"/>
      <c r="CR1523" s="9"/>
      <c r="CS1523" s="9"/>
      <c r="CT1523" s="9"/>
      <c r="CU1523" s="9"/>
      <c r="CV1523" s="9"/>
      <c r="CW1523" s="129"/>
      <c r="CX1523" s="9"/>
    </row>
    <row r="1524" spans="1:102">
      <c r="A1524" s="6" t="str">
        <f t="shared" si="231"/>
        <v>03030999</v>
      </c>
      <c r="B1524" s="6" t="s">
        <v>1953</v>
      </c>
      <c r="C1524" s="6" t="s">
        <v>2092</v>
      </c>
      <c r="D1524" s="6">
        <v>1515</v>
      </c>
      <c r="E1524" s="10">
        <v>303</v>
      </c>
      <c r="F1524" s="10" t="s">
        <v>1421</v>
      </c>
      <c r="G1524" s="10">
        <v>999</v>
      </c>
      <c r="H1524" s="10" t="s">
        <v>593</v>
      </c>
      <c r="I1524" s="92">
        <v>16084737.279210724</v>
      </c>
      <c r="J1524" s="472">
        <v>1</v>
      </c>
      <c r="K1524" s="53">
        <f>SUM(K1520:K1523)</f>
        <v>16109695.362652648</v>
      </c>
      <c r="L1524" s="91">
        <f>SUM(L1520:L1523)</f>
        <v>1</v>
      </c>
      <c r="M1524" s="79">
        <f>VLOOKUP(E1524,town351,24)</f>
        <v>12516556</v>
      </c>
      <c r="N1524" s="79">
        <f>SUM(N1520:N1523)</f>
        <v>12516556</v>
      </c>
      <c r="O1524" s="79">
        <v>11987890</v>
      </c>
      <c r="P1524" s="79">
        <f>SUM(P1520:P1523)</f>
        <v>528666</v>
      </c>
      <c r="Q1524" s="39">
        <f t="shared" si="239"/>
        <v>4.4100004254293292</v>
      </c>
      <c r="R1524" s="9">
        <v>1254.9746712118501</v>
      </c>
      <c r="S1524" s="9">
        <f t="shared" si="237"/>
        <v>1218.3988006054401</v>
      </c>
      <c r="T1524" s="90">
        <f t="shared" si="232"/>
        <v>303</v>
      </c>
      <c r="U1524" s="90">
        <f t="shared" si="233"/>
        <v>999</v>
      </c>
      <c r="V1524" s="373">
        <f t="shared" si="234"/>
        <v>1515</v>
      </c>
      <c r="W1524" s="90">
        <f t="shared" si="235"/>
        <v>1218.3988006054401</v>
      </c>
      <c r="X1524" s="90">
        <f t="shared" si="236"/>
        <v>16109695.362652648</v>
      </c>
      <c r="Y1524" s="141">
        <f t="shared" si="238"/>
        <v>1515</v>
      </c>
      <c r="Z1524" s="298">
        <v>303</v>
      </c>
      <c r="AA1524" s="299">
        <v>999</v>
      </c>
      <c r="AB1524" s="299">
        <v>1515</v>
      </c>
      <c r="AC1524" s="301">
        <v>1218.3988006054401</v>
      </c>
      <c r="AD1524" s="301">
        <v>16109695.362652648</v>
      </c>
      <c r="AE1524" s="126"/>
      <c r="AF1524" s="298"/>
      <c r="AG1524" s="299"/>
      <c r="AH1524" s="299"/>
      <c r="AI1524" s="301"/>
      <c r="AJ1524" s="301"/>
      <c r="AK1524" s="426"/>
      <c r="AL1524" s="298"/>
      <c r="AM1524" s="299"/>
      <c r="AN1524" s="299"/>
      <c r="AO1524" s="301"/>
      <c r="AP1524" s="301"/>
      <c r="AQ1524" s="426"/>
      <c r="AR1524" s="298"/>
      <c r="AS1524" s="299"/>
      <c r="AT1524" s="299"/>
      <c r="AU1524" s="301"/>
      <c r="AV1524" s="301"/>
      <c r="AW1524" s="91"/>
      <c r="AX1524" s="298"/>
      <c r="AY1524" s="299"/>
      <c r="AZ1524" s="299"/>
      <c r="BA1524" s="301"/>
      <c r="BB1524" s="301"/>
      <c r="BC1524" s="426"/>
      <c r="BD1524" s="298"/>
      <c r="BE1524" s="299"/>
      <c r="BF1524" s="299"/>
      <c r="BG1524" s="301"/>
      <c r="BH1524" s="301"/>
      <c r="BI1524" s="91"/>
      <c r="BJ1524" s="298"/>
      <c r="BK1524" s="299"/>
      <c r="BL1524" s="299"/>
      <c r="BM1524" s="301"/>
      <c r="BN1524" s="301"/>
      <c r="BO1524" s="91"/>
      <c r="BP1524" s="9"/>
      <c r="BS1524" s="81"/>
      <c r="BT1524" s="81"/>
      <c r="BV1524" s="9"/>
      <c r="BY1524" s="81"/>
      <c r="BZ1524" s="81"/>
      <c r="CB1524" s="9"/>
      <c r="CE1524" s="81"/>
      <c r="CF1524" s="81"/>
      <c r="CH1524" s="9"/>
      <c r="CK1524" s="81"/>
      <c r="CL1524" s="81"/>
      <c r="CR1524" s="9"/>
      <c r="CS1524" s="9"/>
      <c r="CT1524" s="9"/>
      <c r="CU1524" s="9"/>
      <c r="CV1524" s="9"/>
      <c r="CW1524" s="129"/>
      <c r="CX1524" s="9"/>
    </row>
    <row r="1525" spans="1:102">
      <c r="A1525" s="6" t="str">
        <f t="shared" si="231"/>
        <v>03040304</v>
      </c>
      <c r="B1525" s="6" t="s">
        <v>1954</v>
      </c>
      <c r="C1525" s="6" t="s">
        <v>1954</v>
      </c>
      <c r="D1525" s="6">
        <v>1516</v>
      </c>
      <c r="E1525" s="6">
        <v>304</v>
      </c>
      <c r="F1525" s="6" t="s">
        <v>1422</v>
      </c>
      <c r="G1525" s="6">
        <v>304</v>
      </c>
      <c r="H1525" s="6" t="s">
        <v>985</v>
      </c>
      <c r="I1525" s="33">
        <v>22214657.669999998</v>
      </c>
      <c r="J1525" s="88">
        <v>0.90744121049235316</v>
      </c>
      <c r="K1525" s="89">
        <f>X1525</f>
        <v>22397904.870000001</v>
      </c>
      <c r="L1525" s="88">
        <f>IF(K1529&gt;0, K1525/K1529, 0)</f>
        <v>0.89406564720429804</v>
      </c>
      <c r="M1525" s="58"/>
      <c r="N1525" s="9">
        <f>ROUND(M1529*L1525,0)</f>
        <v>15614534</v>
      </c>
      <c r="O1525" s="9">
        <v>14882274</v>
      </c>
      <c r="P1525" s="9">
        <f>N1525-O1525</f>
        <v>732260</v>
      </c>
      <c r="Q1525" s="40">
        <f t="shared" si="239"/>
        <v>4.9203502099208762</v>
      </c>
      <c r="R1525" s="9">
        <v>1690</v>
      </c>
      <c r="S1525" s="9">
        <f t="shared" si="237"/>
        <v>1649</v>
      </c>
      <c r="T1525" s="90">
        <f t="shared" si="232"/>
        <v>304</v>
      </c>
      <c r="U1525" s="90">
        <f t="shared" si="233"/>
        <v>304</v>
      </c>
      <c r="V1525" s="373">
        <f t="shared" si="234"/>
        <v>1516</v>
      </c>
      <c r="W1525" s="90">
        <f t="shared" si="235"/>
        <v>1649</v>
      </c>
      <c r="X1525" s="90">
        <f t="shared" si="236"/>
        <v>22397904.870000001</v>
      </c>
      <c r="Y1525" s="141">
        <f t="shared" si="238"/>
        <v>1516</v>
      </c>
      <c r="Z1525" s="298">
        <v>304</v>
      </c>
      <c r="AA1525" s="299">
        <v>304</v>
      </c>
      <c r="AB1525" s="299">
        <v>1516</v>
      </c>
      <c r="AC1525" s="301">
        <v>1649</v>
      </c>
      <c r="AD1525" s="301">
        <v>22397904.870000001</v>
      </c>
      <c r="AE1525" s="126"/>
      <c r="AF1525" s="298"/>
      <c r="AG1525" s="299"/>
      <c r="AH1525" s="299"/>
      <c r="AI1525" s="301"/>
      <c r="AJ1525" s="301"/>
      <c r="AK1525" s="426"/>
      <c r="AL1525" s="298"/>
      <c r="AM1525" s="299"/>
      <c r="AN1525" s="299"/>
      <c r="AO1525" s="301"/>
      <c r="AP1525" s="301"/>
      <c r="AQ1525" s="426"/>
      <c r="AR1525" s="298"/>
      <c r="AS1525" s="299"/>
      <c r="AT1525" s="299"/>
      <c r="AU1525" s="301"/>
      <c r="AV1525" s="301"/>
      <c r="AW1525" s="88"/>
      <c r="AX1525" s="298"/>
      <c r="AY1525" s="299"/>
      <c r="AZ1525" s="299"/>
      <c r="BA1525" s="301"/>
      <c r="BB1525" s="301"/>
      <c r="BC1525" s="426"/>
      <c r="BD1525" s="298"/>
      <c r="BE1525" s="299"/>
      <c r="BF1525" s="299"/>
      <c r="BG1525" s="301"/>
      <c r="BH1525" s="301"/>
      <c r="BI1525" s="88"/>
      <c r="BJ1525" s="298"/>
      <c r="BK1525" s="299"/>
      <c r="BL1525" s="299"/>
      <c r="BM1525" s="301"/>
      <c r="BN1525" s="301"/>
      <c r="BO1525" s="88"/>
      <c r="BP1525" s="9"/>
      <c r="BS1525" s="81"/>
      <c r="BT1525" s="81"/>
      <c r="BV1525" s="9"/>
      <c r="BY1525" s="81"/>
      <c r="BZ1525" s="81"/>
      <c r="CB1525" s="9"/>
      <c r="CE1525" s="81"/>
      <c r="CF1525" s="81"/>
      <c r="CH1525" s="9"/>
      <c r="CK1525" s="81"/>
      <c r="CL1525" s="81"/>
      <c r="CR1525" s="9"/>
      <c r="CS1525" s="9"/>
      <c r="CT1525" s="9"/>
      <c r="CU1525" s="9"/>
      <c r="CV1525" s="9"/>
      <c r="CW1525" s="129"/>
      <c r="CX1525" s="9"/>
    </row>
    <row r="1526" spans="1:102">
      <c r="A1526" s="6" t="str">
        <f t="shared" si="231"/>
        <v>03040805</v>
      </c>
      <c r="B1526" s="6" t="s">
        <v>1954</v>
      </c>
      <c r="C1526" s="6" t="s">
        <v>2063</v>
      </c>
      <c r="D1526" s="6">
        <v>1517</v>
      </c>
      <c r="E1526" s="6">
        <v>304</v>
      </c>
      <c r="F1526" s="6" t="s">
        <v>1422</v>
      </c>
      <c r="G1526" s="6">
        <v>805</v>
      </c>
      <c r="H1526" s="6" t="s">
        <v>1093</v>
      </c>
      <c r="I1526" s="33">
        <v>2265889.8444190635</v>
      </c>
      <c r="J1526" s="88">
        <v>9.2558789507646955E-2</v>
      </c>
      <c r="K1526" s="89">
        <f t="shared" si="240"/>
        <v>2653840.4241371965</v>
      </c>
      <c r="L1526" s="88">
        <f>IF(K1529&gt;0, K1526/K1529, 0)</f>
        <v>0.10593435279570197</v>
      </c>
      <c r="M1526" s="58"/>
      <c r="N1526" s="9">
        <f>ROUND(M1529*L1526,0)</f>
        <v>1850105</v>
      </c>
      <c r="O1526" s="9">
        <v>1517988</v>
      </c>
      <c r="P1526" s="9">
        <f>N1526-O1526</f>
        <v>332117</v>
      </c>
      <c r="Q1526" s="40">
        <f t="shared" si="239"/>
        <v>21.878763204979222</v>
      </c>
      <c r="R1526" s="9">
        <v>120.00000000243999</v>
      </c>
      <c r="S1526" s="9">
        <f t="shared" si="237"/>
        <v>137.00000000479</v>
      </c>
      <c r="T1526" s="90">
        <f t="shared" si="232"/>
        <v>304</v>
      </c>
      <c r="U1526" s="90">
        <f t="shared" si="233"/>
        <v>805</v>
      </c>
      <c r="V1526" s="373">
        <f t="shared" si="234"/>
        <v>1517</v>
      </c>
      <c r="W1526" s="90">
        <f t="shared" si="235"/>
        <v>137.00000000479</v>
      </c>
      <c r="X1526" s="90">
        <f t="shared" si="236"/>
        <v>2653840.4241371965</v>
      </c>
      <c r="Y1526" s="141">
        <f t="shared" si="238"/>
        <v>1517</v>
      </c>
      <c r="Z1526" s="298">
        <v>304</v>
      </c>
      <c r="AA1526" s="299">
        <v>805</v>
      </c>
      <c r="AB1526" s="299">
        <v>1517</v>
      </c>
      <c r="AC1526" s="301">
        <v>137.00000000479</v>
      </c>
      <c r="AD1526" s="301">
        <v>2653840.4241371965</v>
      </c>
      <c r="AE1526" s="126"/>
      <c r="AF1526" s="298"/>
      <c r="AG1526" s="299"/>
      <c r="AH1526" s="299"/>
      <c r="AI1526" s="301"/>
      <c r="AJ1526" s="301"/>
      <c r="AK1526" s="426"/>
      <c r="AL1526" s="298"/>
      <c r="AM1526" s="299"/>
      <c r="AN1526" s="299"/>
      <c r="AO1526" s="301"/>
      <c r="AP1526" s="301"/>
      <c r="AQ1526" s="426"/>
      <c r="AR1526" s="298"/>
      <c r="AS1526" s="299"/>
      <c r="AT1526" s="299"/>
      <c r="AU1526" s="301"/>
      <c r="AV1526" s="301"/>
      <c r="AW1526" s="88"/>
      <c r="AX1526" s="298"/>
      <c r="AY1526" s="299"/>
      <c r="AZ1526" s="299"/>
      <c r="BA1526" s="301"/>
      <c r="BB1526" s="301"/>
      <c r="BC1526" s="426"/>
      <c r="BD1526" s="298"/>
      <c r="BE1526" s="299"/>
      <c r="BF1526" s="299"/>
      <c r="BG1526" s="301"/>
      <c r="BH1526" s="301"/>
      <c r="BI1526" s="88"/>
      <c r="BJ1526" s="298"/>
      <c r="BK1526" s="299"/>
      <c r="BL1526" s="299"/>
      <c r="BM1526" s="301"/>
      <c r="BN1526" s="301"/>
      <c r="BO1526" s="88"/>
      <c r="BP1526" s="9"/>
      <c r="BS1526" s="81"/>
      <c r="BT1526" s="81"/>
      <c r="BV1526" s="9"/>
      <c r="BY1526" s="81"/>
      <c r="BZ1526" s="81"/>
      <c r="CB1526" s="9"/>
      <c r="CE1526" s="81"/>
      <c r="CF1526" s="81"/>
      <c r="CH1526" s="9"/>
      <c r="CK1526" s="81"/>
      <c r="CL1526" s="81"/>
      <c r="CR1526" s="9"/>
      <c r="CS1526" s="9"/>
      <c r="CT1526" s="9"/>
      <c r="CU1526" s="9"/>
      <c r="CV1526" s="9"/>
      <c r="CW1526" s="129"/>
      <c r="CX1526" s="9"/>
    </row>
    <row r="1527" spans="1:102">
      <c r="A1527" s="6" t="str">
        <f t="shared" si="231"/>
        <v>03040998</v>
      </c>
      <c r="B1527" s="6" t="s">
        <v>1954</v>
      </c>
      <c r="C1527" s="6" t="s">
        <v>2091</v>
      </c>
      <c r="D1527" s="6">
        <v>1518</v>
      </c>
      <c r="E1527" s="6">
        <v>304</v>
      </c>
      <c r="F1527" s="6" t="s">
        <v>1547</v>
      </c>
      <c r="G1527" s="6">
        <v>998</v>
      </c>
      <c r="H1527" s="6" t="s">
        <v>1547</v>
      </c>
      <c r="I1527" s="33">
        <v>0</v>
      </c>
      <c r="J1527" s="88">
        <v>0</v>
      </c>
      <c r="K1527" s="89">
        <f t="shared" si="240"/>
        <v>0</v>
      </c>
      <c r="L1527" s="88">
        <f>IF(K1529&gt;0, K1527/K1529, 0)</f>
        <v>0</v>
      </c>
      <c r="M1527" s="58"/>
      <c r="N1527" s="9">
        <f>ROUND(M1529*L1527,0)</f>
        <v>0</v>
      </c>
      <c r="O1527" s="9">
        <v>0</v>
      </c>
      <c r="P1527" s="9">
        <f>N1527-O1527</f>
        <v>0</v>
      </c>
      <c r="Q1527" s="40">
        <f t="shared" si="239"/>
        <v>0</v>
      </c>
      <c r="R1527" s="9">
        <v>0</v>
      </c>
      <c r="S1527" s="9">
        <f t="shared" si="237"/>
        <v>0</v>
      </c>
      <c r="T1527" s="90">
        <f t="shared" si="232"/>
        <v>304</v>
      </c>
      <c r="U1527" s="90">
        <f t="shared" si="233"/>
        <v>998</v>
      </c>
      <c r="V1527" s="373">
        <f t="shared" si="234"/>
        <v>1518</v>
      </c>
      <c r="W1527" s="90">
        <f t="shared" si="235"/>
        <v>0</v>
      </c>
      <c r="X1527" s="90">
        <f t="shared" si="236"/>
        <v>0</v>
      </c>
      <c r="Y1527" s="141">
        <f t="shared" si="238"/>
        <v>1518</v>
      </c>
      <c r="Z1527" s="298">
        <v>304</v>
      </c>
      <c r="AA1527" s="299">
        <v>998</v>
      </c>
      <c r="AB1527" s="299">
        <v>1518</v>
      </c>
      <c r="AC1527" s="301">
        <v>0</v>
      </c>
      <c r="AD1527" s="301">
        <v>0</v>
      </c>
      <c r="AE1527" s="126"/>
      <c r="AF1527" s="298"/>
      <c r="AG1527" s="299"/>
      <c r="AH1527" s="299"/>
      <c r="AI1527" s="301"/>
      <c r="AJ1527" s="301"/>
      <c r="AK1527" s="426"/>
      <c r="AL1527" s="298"/>
      <c r="AM1527" s="299"/>
      <c r="AN1527" s="299"/>
      <c r="AO1527" s="301"/>
      <c r="AP1527" s="301"/>
      <c r="AQ1527" s="426"/>
      <c r="AR1527" s="298"/>
      <c r="AS1527" s="299"/>
      <c r="AT1527" s="299"/>
      <c r="AU1527" s="301"/>
      <c r="AV1527" s="301"/>
      <c r="AW1527" s="88"/>
      <c r="AX1527" s="298"/>
      <c r="AY1527" s="299"/>
      <c r="AZ1527" s="299"/>
      <c r="BA1527" s="301"/>
      <c r="BB1527" s="301"/>
      <c r="BC1527" s="426"/>
      <c r="BD1527" s="298"/>
      <c r="BE1527" s="299"/>
      <c r="BF1527" s="299"/>
      <c r="BG1527" s="301"/>
      <c r="BH1527" s="301"/>
      <c r="BI1527" s="88"/>
      <c r="BJ1527" s="298"/>
      <c r="BK1527" s="299"/>
      <c r="BL1527" s="299"/>
      <c r="BM1527" s="301"/>
      <c r="BN1527" s="301"/>
      <c r="BO1527" s="88"/>
      <c r="BP1527" s="9"/>
      <c r="BS1527" s="81"/>
      <c r="BT1527" s="81"/>
      <c r="BV1527" s="9"/>
      <c r="BY1527" s="81"/>
      <c r="BZ1527" s="81"/>
      <c r="CB1527" s="9"/>
      <c r="CE1527" s="81"/>
      <c r="CF1527" s="81"/>
      <c r="CH1527" s="9"/>
      <c r="CK1527" s="81"/>
      <c r="CL1527" s="81"/>
      <c r="CR1527" s="9"/>
      <c r="CS1527" s="9"/>
      <c r="CT1527" s="9"/>
      <c r="CU1527" s="9"/>
      <c r="CV1527" s="9"/>
      <c r="CW1527" s="129"/>
      <c r="CX1527" s="9"/>
    </row>
    <row r="1528" spans="1:102">
      <c r="A1528" s="6" t="str">
        <f t="shared" si="231"/>
        <v>03040998</v>
      </c>
      <c r="B1528" s="6" t="s">
        <v>1954</v>
      </c>
      <c r="C1528" s="6" t="s">
        <v>2091</v>
      </c>
      <c r="D1528" s="6">
        <v>1519</v>
      </c>
      <c r="E1528" s="6">
        <v>304</v>
      </c>
      <c r="F1528" s="6" t="s">
        <v>1547</v>
      </c>
      <c r="G1528" s="6">
        <v>998</v>
      </c>
      <c r="H1528" s="6" t="s">
        <v>1547</v>
      </c>
      <c r="I1528" s="33">
        <v>0</v>
      </c>
      <c r="J1528" s="88">
        <v>0</v>
      </c>
      <c r="K1528" s="89">
        <f t="shared" si="240"/>
        <v>0</v>
      </c>
      <c r="L1528" s="88">
        <f>IF(K1529&gt;0, K1528/K1529, 0)</f>
        <v>0</v>
      </c>
      <c r="M1528" s="58"/>
      <c r="N1528" s="9">
        <f>ROUND(M1529*L1528,0)</f>
        <v>0</v>
      </c>
      <c r="O1528" s="9">
        <v>0</v>
      </c>
      <c r="P1528" s="9">
        <f>N1528-O1528</f>
        <v>0</v>
      </c>
      <c r="Q1528" s="40">
        <f t="shared" si="239"/>
        <v>0</v>
      </c>
      <c r="R1528" s="9">
        <v>0</v>
      </c>
      <c r="S1528" s="9">
        <f t="shared" si="237"/>
        <v>0</v>
      </c>
      <c r="T1528" s="90">
        <f t="shared" si="232"/>
        <v>304</v>
      </c>
      <c r="U1528" s="90">
        <f t="shared" si="233"/>
        <v>998</v>
      </c>
      <c r="V1528" s="373">
        <f t="shared" si="234"/>
        <v>1519</v>
      </c>
      <c r="W1528" s="90">
        <f t="shared" si="235"/>
        <v>0</v>
      </c>
      <c r="X1528" s="90">
        <f t="shared" si="236"/>
        <v>0</v>
      </c>
      <c r="Y1528" s="141">
        <f t="shared" si="238"/>
        <v>1519</v>
      </c>
      <c r="Z1528" s="298">
        <v>304</v>
      </c>
      <c r="AA1528" s="299">
        <v>998</v>
      </c>
      <c r="AB1528" s="299">
        <v>1519</v>
      </c>
      <c r="AC1528" s="301">
        <v>0</v>
      </c>
      <c r="AD1528" s="301">
        <v>0</v>
      </c>
      <c r="AE1528" s="126"/>
      <c r="AF1528" s="298"/>
      <c r="AG1528" s="299"/>
      <c r="AH1528" s="299"/>
      <c r="AI1528" s="301"/>
      <c r="AJ1528" s="301"/>
      <c r="AK1528" s="426"/>
      <c r="AL1528" s="298"/>
      <c r="AM1528" s="299"/>
      <c r="AN1528" s="299"/>
      <c r="AO1528" s="301"/>
      <c r="AP1528" s="301"/>
      <c r="AQ1528" s="426"/>
      <c r="AR1528" s="298"/>
      <c r="AS1528" s="299"/>
      <c r="AT1528" s="299"/>
      <c r="AU1528" s="301"/>
      <c r="AV1528" s="301"/>
      <c r="AW1528" s="88"/>
      <c r="AX1528" s="298"/>
      <c r="AY1528" s="299"/>
      <c r="AZ1528" s="299"/>
      <c r="BA1528" s="301"/>
      <c r="BB1528" s="301"/>
      <c r="BC1528" s="426"/>
      <c r="BD1528" s="298"/>
      <c r="BE1528" s="299"/>
      <c r="BF1528" s="299"/>
      <c r="BG1528" s="301"/>
      <c r="BH1528" s="301"/>
      <c r="BI1528" s="88"/>
      <c r="BJ1528" s="298"/>
      <c r="BK1528" s="299"/>
      <c r="BL1528" s="299"/>
      <c r="BM1528" s="301"/>
      <c r="BN1528" s="301"/>
      <c r="BO1528" s="88"/>
      <c r="BP1528" s="9"/>
      <c r="BS1528" s="81"/>
      <c r="BT1528" s="81"/>
      <c r="BV1528" s="9"/>
      <c r="BY1528" s="81"/>
      <c r="BZ1528" s="81"/>
      <c r="CB1528" s="9"/>
      <c r="CE1528" s="81"/>
      <c r="CF1528" s="81"/>
      <c r="CH1528" s="9"/>
      <c r="CK1528" s="81"/>
      <c r="CL1528" s="81"/>
      <c r="CR1528" s="9"/>
      <c r="CS1528" s="9"/>
      <c r="CT1528" s="9"/>
      <c r="CU1528" s="9"/>
      <c r="CV1528" s="9"/>
      <c r="CW1528" s="129"/>
      <c r="CX1528" s="9"/>
    </row>
    <row r="1529" spans="1:102">
      <c r="A1529" s="6" t="str">
        <f t="shared" si="231"/>
        <v>03040999</v>
      </c>
      <c r="B1529" s="6" t="s">
        <v>1954</v>
      </c>
      <c r="C1529" s="6" t="s">
        <v>2092</v>
      </c>
      <c r="D1529" s="6">
        <v>1520</v>
      </c>
      <c r="E1529" s="10">
        <v>304</v>
      </c>
      <c r="F1529" s="10" t="s">
        <v>1422</v>
      </c>
      <c r="G1529" s="10">
        <v>999</v>
      </c>
      <c r="H1529" s="10" t="s">
        <v>593</v>
      </c>
      <c r="I1529" s="92">
        <v>24480547.51441906</v>
      </c>
      <c r="J1529" s="472">
        <v>1</v>
      </c>
      <c r="K1529" s="53">
        <f>SUM(K1525:K1528)</f>
        <v>25051745.294137198</v>
      </c>
      <c r="L1529" s="91">
        <f>SUM(L1525:L1528)</f>
        <v>1</v>
      </c>
      <c r="M1529" s="79">
        <f>VLOOKUP(E1529,town351,24)</f>
        <v>17464639</v>
      </c>
      <c r="N1529" s="79">
        <f>SUM(N1525:N1528)</f>
        <v>17464639</v>
      </c>
      <c r="O1529" s="79">
        <v>16400262</v>
      </c>
      <c r="P1529" s="79">
        <f>SUM(P1525:P1528)</f>
        <v>1064377</v>
      </c>
      <c r="Q1529" s="39">
        <f t="shared" si="239"/>
        <v>6.4899999768296386</v>
      </c>
      <c r="R1529" s="9">
        <v>1810.0000000024399</v>
      </c>
      <c r="S1529" s="9">
        <f t="shared" si="237"/>
        <v>1786.0000000047901</v>
      </c>
      <c r="T1529" s="90">
        <f t="shared" si="232"/>
        <v>304</v>
      </c>
      <c r="U1529" s="90">
        <f t="shared" si="233"/>
        <v>999</v>
      </c>
      <c r="V1529" s="373">
        <f t="shared" si="234"/>
        <v>1520</v>
      </c>
      <c r="W1529" s="90">
        <f t="shared" si="235"/>
        <v>1786.0000000047901</v>
      </c>
      <c r="X1529" s="90">
        <f t="shared" si="236"/>
        <v>25051745.294137198</v>
      </c>
      <c r="Y1529" s="141">
        <f t="shared" si="238"/>
        <v>1520</v>
      </c>
      <c r="Z1529" s="298">
        <v>304</v>
      </c>
      <c r="AA1529" s="299">
        <v>999</v>
      </c>
      <c r="AB1529" s="299">
        <v>1520</v>
      </c>
      <c r="AC1529" s="301">
        <v>1786.0000000047901</v>
      </c>
      <c r="AD1529" s="301">
        <v>25051745.294137198</v>
      </c>
      <c r="AE1529" s="126"/>
      <c r="AF1529" s="298"/>
      <c r="AG1529" s="299"/>
      <c r="AH1529" s="299"/>
      <c r="AI1529" s="301"/>
      <c r="AJ1529" s="301"/>
      <c r="AK1529" s="426"/>
      <c r="AL1529" s="298"/>
      <c r="AM1529" s="299"/>
      <c r="AN1529" s="299"/>
      <c r="AO1529" s="301"/>
      <c r="AP1529" s="301"/>
      <c r="AQ1529" s="426"/>
      <c r="AR1529" s="298"/>
      <c r="AS1529" s="299"/>
      <c r="AT1529" s="299"/>
      <c r="AU1529" s="301"/>
      <c r="AV1529" s="301"/>
      <c r="AW1529" s="91"/>
      <c r="AX1529" s="298"/>
      <c r="AY1529" s="299"/>
      <c r="AZ1529" s="299"/>
      <c r="BA1529" s="301"/>
      <c r="BB1529" s="301"/>
      <c r="BC1529" s="426"/>
      <c r="BD1529" s="298"/>
      <c r="BE1529" s="299"/>
      <c r="BF1529" s="299"/>
      <c r="BG1529" s="301"/>
      <c r="BH1529" s="301"/>
      <c r="BI1529" s="91"/>
      <c r="BJ1529" s="298"/>
      <c r="BK1529" s="299"/>
      <c r="BL1529" s="299"/>
      <c r="BM1529" s="301"/>
      <c r="BN1529" s="301"/>
      <c r="BO1529" s="91"/>
      <c r="BP1529" s="9"/>
      <c r="BS1529" s="81"/>
      <c r="BT1529" s="81"/>
      <c r="BV1529" s="9"/>
      <c r="BY1529" s="81"/>
      <c r="BZ1529" s="81"/>
      <c r="CB1529" s="9"/>
      <c r="CE1529" s="81"/>
      <c r="CF1529" s="81"/>
      <c r="CH1529" s="9"/>
      <c r="CK1529" s="81"/>
      <c r="CL1529" s="81"/>
      <c r="CR1529" s="9"/>
      <c r="CS1529" s="9"/>
      <c r="CT1529" s="9"/>
      <c r="CU1529" s="9"/>
      <c r="CV1529" s="9"/>
      <c r="CW1529" s="129"/>
      <c r="CX1529" s="9"/>
    </row>
    <row r="1530" spans="1:102">
      <c r="A1530" s="6" t="str">
        <f t="shared" si="231"/>
        <v>03050305</v>
      </c>
      <c r="B1530" s="6" t="s">
        <v>1955</v>
      </c>
      <c r="C1530" s="6" t="s">
        <v>1955</v>
      </c>
      <c r="D1530" s="6">
        <v>1521</v>
      </c>
      <c r="E1530" s="6">
        <v>305</v>
      </c>
      <c r="F1530" s="6" t="s">
        <v>1423</v>
      </c>
      <c r="G1530" s="6">
        <v>305</v>
      </c>
      <c r="H1530" s="6" t="s">
        <v>986</v>
      </c>
      <c r="I1530" s="33">
        <v>43061534.5506</v>
      </c>
      <c r="J1530" s="88">
        <v>0.94881338942737348</v>
      </c>
      <c r="K1530" s="89">
        <f>X1530</f>
        <v>44741734.350440003</v>
      </c>
      <c r="L1530" s="88">
        <f>IF(K1534&gt;0, K1530/K1534, 0)</f>
        <v>0.94911528860099381</v>
      </c>
      <c r="M1530" s="58"/>
      <c r="N1530" s="9">
        <f>ROUND(M1534*L1530,0)</f>
        <v>36213785</v>
      </c>
      <c r="O1530" s="9">
        <v>34517798</v>
      </c>
      <c r="P1530" s="9">
        <f>N1530-O1530</f>
        <v>1695987</v>
      </c>
      <c r="Q1530" s="40">
        <f t="shared" si="239"/>
        <v>4.9133696187688454</v>
      </c>
      <c r="R1530" s="9">
        <v>3317</v>
      </c>
      <c r="S1530" s="9">
        <f t="shared" si="237"/>
        <v>3359</v>
      </c>
      <c r="T1530" s="90">
        <f t="shared" si="232"/>
        <v>305</v>
      </c>
      <c r="U1530" s="90">
        <f t="shared" si="233"/>
        <v>305</v>
      </c>
      <c r="V1530" s="373">
        <f t="shared" si="234"/>
        <v>1521</v>
      </c>
      <c r="W1530" s="90">
        <f t="shared" si="235"/>
        <v>3359</v>
      </c>
      <c r="X1530" s="90">
        <f t="shared" si="236"/>
        <v>44741734.350440003</v>
      </c>
      <c r="Y1530" s="141">
        <f t="shared" si="238"/>
        <v>1521</v>
      </c>
      <c r="Z1530" s="298">
        <v>305</v>
      </c>
      <c r="AA1530" s="299">
        <v>305</v>
      </c>
      <c r="AB1530" s="299">
        <v>1521</v>
      </c>
      <c r="AC1530" s="301">
        <v>3359</v>
      </c>
      <c r="AD1530" s="301">
        <v>44741734.350440003</v>
      </c>
      <c r="AE1530" s="126"/>
      <c r="AF1530" s="298"/>
      <c r="AG1530" s="299"/>
      <c r="AH1530" s="299"/>
      <c r="AI1530" s="301"/>
      <c r="AJ1530" s="301"/>
      <c r="AK1530" s="426"/>
      <c r="AL1530" s="298"/>
      <c r="AM1530" s="299"/>
      <c r="AN1530" s="299"/>
      <c r="AO1530" s="301"/>
      <c r="AP1530" s="301"/>
      <c r="AQ1530" s="426"/>
      <c r="AR1530" s="298"/>
      <c r="AS1530" s="299"/>
      <c r="AT1530" s="299"/>
      <c r="AU1530" s="301"/>
      <c r="AV1530" s="301"/>
      <c r="AW1530" s="88"/>
      <c r="AX1530" s="298"/>
      <c r="AY1530" s="299"/>
      <c r="AZ1530" s="299"/>
      <c r="BA1530" s="301"/>
      <c r="BB1530" s="301"/>
      <c r="BC1530" s="426"/>
      <c r="BD1530" s="298"/>
      <c r="BE1530" s="299"/>
      <c r="BF1530" s="299"/>
      <c r="BG1530" s="301"/>
      <c r="BH1530" s="301"/>
      <c r="BI1530" s="88"/>
      <c r="BJ1530" s="298"/>
      <c r="BK1530" s="299"/>
      <c r="BL1530" s="299"/>
      <c r="BM1530" s="301"/>
      <c r="BN1530" s="301"/>
      <c r="BO1530" s="88"/>
      <c r="BP1530" s="9"/>
      <c r="BS1530" s="81"/>
      <c r="BT1530" s="81"/>
      <c r="BV1530" s="9"/>
      <c r="BY1530" s="81"/>
      <c r="BZ1530" s="81"/>
      <c r="CB1530" s="9"/>
      <c r="CE1530" s="81"/>
      <c r="CF1530" s="81"/>
      <c r="CH1530" s="9"/>
      <c r="CK1530" s="81"/>
      <c r="CL1530" s="81"/>
      <c r="CR1530" s="9"/>
      <c r="CS1530" s="9"/>
      <c r="CT1530" s="9"/>
      <c r="CU1530" s="9"/>
      <c r="CV1530" s="9"/>
      <c r="CW1530" s="129"/>
      <c r="CX1530" s="9"/>
    </row>
    <row r="1531" spans="1:102">
      <c r="A1531" s="6" t="str">
        <f t="shared" si="231"/>
        <v>03050853</v>
      </c>
      <c r="B1531" s="6" t="s">
        <v>1955</v>
      </c>
      <c r="C1531" s="6" t="s">
        <v>2078</v>
      </c>
      <c r="D1531" s="6">
        <v>1522</v>
      </c>
      <c r="E1531" s="6">
        <v>305</v>
      </c>
      <c r="F1531" s="6" t="s">
        <v>1423</v>
      </c>
      <c r="G1531" s="6">
        <v>853</v>
      </c>
      <c r="H1531" s="6" t="s">
        <v>1108</v>
      </c>
      <c r="I1531" s="33">
        <v>2323084.8386651967</v>
      </c>
      <c r="J1531" s="88">
        <v>5.1186610572626613E-2</v>
      </c>
      <c r="K1531" s="89">
        <f t="shared" si="240"/>
        <v>2398728.865983156</v>
      </c>
      <c r="L1531" s="88">
        <f>IF(K1534&gt;0, K1531/K1534, 0)</f>
        <v>5.0884711399006112E-2</v>
      </c>
      <c r="M1531" s="58"/>
      <c r="N1531" s="9">
        <f>ROUND(M1534*L1531,0)</f>
        <v>1941522</v>
      </c>
      <c r="O1531" s="9">
        <v>1862167</v>
      </c>
      <c r="P1531" s="9">
        <f>N1531-O1531</f>
        <v>79355</v>
      </c>
      <c r="Q1531" s="40">
        <f t="shared" si="239"/>
        <v>4.2614330508488232</v>
      </c>
      <c r="R1531" s="9">
        <v>100.99999999762001</v>
      </c>
      <c r="S1531" s="9">
        <f t="shared" si="237"/>
        <v>100.999999996</v>
      </c>
      <c r="T1531" s="90">
        <f t="shared" si="232"/>
        <v>305</v>
      </c>
      <c r="U1531" s="90">
        <f t="shared" si="233"/>
        <v>853</v>
      </c>
      <c r="V1531" s="373">
        <f t="shared" si="234"/>
        <v>1522</v>
      </c>
      <c r="W1531" s="90">
        <f t="shared" si="235"/>
        <v>100.999999996</v>
      </c>
      <c r="X1531" s="90">
        <f t="shared" si="236"/>
        <v>2398728.865983156</v>
      </c>
      <c r="Y1531" s="141">
        <f t="shared" si="238"/>
        <v>1522</v>
      </c>
      <c r="Z1531" s="298">
        <v>305</v>
      </c>
      <c r="AA1531" s="299">
        <v>853</v>
      </c>
      <c r="AB1531" s="299">
        <v>1522</v>
      </c>
      <c r="AC1531" s="301">
        <v>100.999999996</v>
      </c>
      <c r="AD1531" s="301">
        <v>2398728.865983156</v>
      </c>
      <c r="AE1531" s="126"/>
      <c r="AF1531" s="298"/>
      <c r="AG1531" s="299"/>
      <c r="AH1531" s="299"/>
      <c r="AI1531" s="301"/>
      <c r="AJ1531" s="301"/>
      <c r="AK1531" s="426"/>
      <c r="AL1531" s="298"/>
      <c r="AM1531" s="299"/>
      <c r="AN1531" s="299"/>
      <c r="AO1531" s="301"/>
      <c r="AP1531" s="301"/>
      <c r="AQ1531" s="426"/>
      <c r="AR1531" s="298"/>
      <c r="AS1531" s="299"/>
      <c r="AT1531" s="299"/>
      <c r="AU1531" s="301"/>
      <c r="AV1531" s="301"/>
      <c r="AW1531" s="88"/>
      <c r="AX1531" s="298"/>
      <c r="AY1531" s="299"/>
      <c r="AZ1531" s="299"/>
      <c r="BA1531" s="301"/>
      <c r="BB1531" s="301"/>
      <c r="BC1531" s="426"/>
      <c r="BD1531" s="298"/>
      <c r="BE1531" s="299"/>
      <c r="BF1531" s="299"/>
      <c r="BG1531" s="301"/>
      <c r="BH1531" s="301"/>
      <c r="BI1531" s="88"/>
      <c r="BJ1531" s="298"/>
      <c r="BK1531" s="299"/>
      <c r="BL1531" s="299"/>
      <c r="BM1531" s="301"/>
      <c r="BN1531" s="301"/>
      <c r="BO1531" s="88"/>
      <c r="BP1531" s="9"/>
      <c r="BS1531" s="81"/>
      <c r="BT1531" s="81"/>
      <c r="BV1531" s="9"/>
      <c r="BY1531" s="81"/>
      <c r="BZ1531" s="81"/>
      <c r="CB1531" s="9"/>
      <c r="CE1531" s="81"/>
      <c r="CF1531" s="81"/>
      <c r="CH1531" s="9"/>
      <c r="CK1531" s="81"/>
      <c r="CL1531" s="81"/>
      <c r="CR1531" s="9"/>
      <c r="CS1531" s="9"/>
      <c r="CT1531" s="9"/>
      <c r="CU1531" s="9"/>
      <c r="CV1531" s="9"/>
      <c r="CW1531" s="129"/>
      <c r="CX1531" s="9"/>
    </row>
    <row r="1532" spans="1:102">
      <c r="A1532" s="6" t="str">
        <f t="shared" si="231"/>
        <v>03050998</v>
      </c>
      <c r="B1532" s="6" t="s">
        <v>1955</v>
      </c>
      <c r="C1532" s="6" t="s">
        <v>2091</v>
      </c>
      <c r="D1532" s="6">
        <v>1523</v>
      </c>
      <c r="E1532" s="6">
        <v>305</v>
      </c>
      <c r="F1532" s="6" t="s">
        <v>1547</v>
      </c>
      <c r="G1532" s="6">
        <v>998</v>
      </c>
      <c r="I1532" s="33">
        <v>0</v>
      </c>
      <c r="J1532" s="88">
        <v>0</v>
      </c>
      <c r="K1532" s="89">
        <f t="shared" si="240"/>
        <v>0</v>
      </c>
      <c r="L1532" s="88">
        <f>IF(K1534&gt;0, K1532/K1534, 0)</f>
        <v>0</v>
      </c>
      <c r="M1532" s="58"/>
      <c r="N1532" s="9">
        <f>ROUND(M1534*L1532,0)</f>
        <v>0</v>
      </c>
      <c r="O1532" s="9">
        <v>0</v>
      </c>
      <c r="P1532" s="9">
        <f>N1532-O1532</f>
        <v>0</v>
      </c>
      <c r="Q1532" s="40">
        <f t="shared" si="239"/>
        <v>0</v>
      </c>
      <c r="R1532" s="9">
        <v>0</v>
      </c>
      <c r="S1532" s="9">
        <f t="shared" si="237"/>
        <v>0</v>
      </c>
      <c r="T1532" s="90">
        <f t="shared" si="232"/>
        <v>305</v>
      </c>
      <c r="U1532" s="90">
        <f t="shared" si="233"/>
        <v>998</v>
      </c>
      <c r="V1532" s="373">
        <f t="shared" si="234"/>
        <v>1523</v>
      </c>
      <c r="W1532" s="90">
        <f t="shared" si="235"/>
        <v>0</v>
      </c>
      <c r="X1532" s="90">
        <f t="shared" si="236"/>
        <v>0</v>
      </c>
      <c r="Y1532" s="141">
        <f t="shared" si="238"/>
        <v>1523</v>
      </c>
      <c r="Z1532" s="298">
        <v>305</v>
      </c>
      <c r="AA1532" s="299">
        <v>998</v>
      </c>
      <c r="AB1532" s="299">
        <v>1523</v>
      </c>
      <c r="AC1532" s="301">
        <v>0</v>
      </c>
      <c r="AD1532" s="301">
        <v>0</v>
      </c>
      <c r="AE1532" s="126"/>
      <c r="AF1532" s="298"/>
      <c r="AG1532" s="299"/>
      <c r="AH1532" s="299"/>
      <c r="AI1532" s="301"/>
      <c r="AJ1532" s="301"/>
      <c r="AK1532" s="426"/>
      <c r="AL1532" s="298"/>
      <c r="AM1532" s="299"/>
      <c r="AN1532" s="299"/>
      <c r="AO1532" s="301"/>
      <c r="AP1532" s="301"/>
      <c r="AQ1532" s="426"/>
      <c r="AR1532" s="298"/>
      <c r="AS1532" s="299"/>
      <c r="AT1532" s="299"/>
      <c r="AU1532" s="301"/>
      <c r="AV1532" s="301"/>
      <c r="AW1532" s="88"/>
      <c r="AX1532" s="298"/>
      <c r="AY1532" s="299"/>
      <c r="AZ1532" s="299"/>
      <c r="BA1532" s="301"/>
      <c r="BB1532" s="301"/>
      <c r="BC1532" s="426"/>
      <c r="BD1532" s="298"/>
      <c r="BE1532" s="299"/>
      <c r="BF1532" s="299"/>
      <c r="BG1532" s="301"/>
      <c r="BH1532" s="301"/>
      <c r="BI1532" s="88"/>
      <c r="BJ1532" s="298"/>
      <c r="BK1532" s="299"/>
      <c r="BL1532" s="299"/>
      <c r="BM1532" s="301"/>
      <c r="BN1532" s="301"/>
      <c r="BO1532" s="88"/>
      <c r="BP1532" s="9"/>
      <c r="BS1532" s="81"/>
      <c r="BT1532" s="81"/>
      <c r="BV1532" s="9"/>
      <c r="BY1532" s="81"/>
      <c r="BZ1532" s="81"/>
      <c r="CB1532" s="9"/>
      <c r="CE1532" s="81"/>
      <c r="CF1532" s="81"/>
      <c r="CH1532" s="9"/>
      <c r="CK1532" s="81"/>
      <c r="CL1532" s="81"/>
      <c r="CR1532" s="9"/>
      <c r="CS1532" s="9"/>
      <c r="CT1532" s="9"/>
      <c r="CU1532" s="9"/>
      <c r="CV1532" s="9"/>
      <c r="CW1532" s="129"/>
      <c r="CX1532" s="9"/>
    </row>
    <row r="1533" spans="1:102">
      <c r="A1533" s="6" t="str">
        <f t="shared" si="231"/>
        <v>03050998</v>
      </c>
      <c r="B1533" s="6" t="s">
        <v>1955</v>
      </c>
      <c r="C1533" s="6" t="s">
        <v>2091</v>
      </c>
      <c r="D1533" s="6">
        <v>1524</v>
      </c>
      <c r="E1533" s="6">
        <v>305</v>
      </c>
      <c r="F1533" s="6" t="s">
        <v>1547</v>
      </c>
      <c r="G1533" s="6">
        <v>998</v>
      </c>
      <c r="H1533" s="6" t="s">
        <v>1547</v>
      </c>
      <c r="I1533" s="33">
        <v>0</v>
      </c>
      <c r="J1533" s="88">
        <v>0</v>
      </c>
      <c r="K1533" s="89">
        <f t="shared" si="240"/>
        <v>0</v>
      </c>
      <c r="L1533" s="88">
        <f>IF(K1534&gt;0, K1533/K1534, 0)</f>
        <v>0</v>
      </c>
      <c r="M1533" s="58"/>
      <c r="N1533" s="9">
        <f>ROUND(M1534*L1533,0)</f>
        <v>0</v>
      </c>
      <c r="O1533" s="9">
        <v>0</v>
      </c>
      <c r="P1533" s="9">
        <f>N1533-O1533</f>
        <v>0</v>
      </c>
      <c r="Q1533" s="40">
        <f t="shared" si="239"/>
        <v>0</v>
      </c>
      <c r="R1533" s="9">
        <v>0</v>
      </c>
      <c r="S1533" s="9">
        <f t="shared" si="237"/>
        <v>0</v>
      </c>
      <c r="T1533" s="90">
        <f t="shared" si="232"/>
        <v>305</v>
      </c>
      <c r="U1533" s="90">
        <f t="shared" si="233"/>
        <v>998</v>
      </c>
      <c r="V1533" s="373">
        <f t="shared" si="234"/>
        <v>1524</v>
      </c>
      <c r="W1533" s="90">
        <f t="shared" si="235"/>
        <v>0</v>
      </c>
      <c r="X1533" s="90">
        <f t="shared" si="236"/>
        <v>0</v>
      </c>
      <c r="Y1533" s="141">
        <f t="shared" si="238"/>
        <v>1524</v>
      </c>
      <c r="Z1533" s="298">
        <v>305</v>
      </c>
      <c r="AA1533" s="299">
        <v>998</v>
      </c>
      <c r="AB1533" s="299">
        <v>1524</v>
      </c>
      <c r="AC1533" s="301">
        <v>0</v>
      </c>
      <c r="AD1533" s="301">
        <v>0</v>
      </c>
      <c r="AE1533" s="126"/>
      <c r="AF1533" s="298"/>
      <c r="AG1533" s="299"/>
      <c r="AH1533" s="299"/>
      <c r="AI1533" s="301"/>
      <c r="AJ1533" s="301"/>
      <c r="AK1533" s="426"/>
      <c r="AL1533" s="298"/>
      <c r="AM1533" s="299"/>
      <c r="AN1533" s="299"/>
      <c r="AO1533" s="301"/>
      <c r="AP1533" s="301"/>
      <c r="AQ1533" s="426"/>
      <c r="AR1533" s="298"/>
      <c r="AS1533" s="299"/>
      <c r="AT1533" s="299"/>
      <c r="AU1533" s="301"/>
      <c r="AV1533" s="301"/>
      <c r="AW1533" s="88"/>
      <c r="AX1533" s="298"/>
      <c r="AY1533" s="299"/>
      <c r="AZ1533" s="299"/>
      <c r="BA1533" s="301"/>
      <c r="BB1533" s="301"/>
      <c r="BC1533" s="426"/>
      <c r="BD1533" s="298"/>
      <c r="BE1533" s="299"/>
      <c r="BF1533" s="299"/>
      <c r="BG1533" s="301"/>
      <c r="BH1533" s="301"/>
      <c r="BI1533" s="88"/>
      <c r="BJ1533" s="298"/>
      <c r="BK1533" s="299"/>
      <c r="BL1533" s="299"/>
      <c r="BM1533" s="301"/>
      <c r="BN1533" s="301"/>
      <c r="BO1533" s="88"/>
      <c r="BP1533" s="9"/>
      <c r="BS1533" s="81"/>
      <c r="BT1533" s="81"/>
      <c r="BV1533" s="9"/>
      <c r="BY1533" s="81"/>
      <c r="BZ1533" s="81"/>
      <c r="CB1533" s="9"/>
      <c r="CE1533" s="81"/>
      <c r="CF1533" s="81"/>
      <c r="CH1533" s="9"/>
      <c r="CK1533" s="81"/>
      <c r="CL1533" s="81"/>
      <c r="CR1533" s="9"/>
      <c r="CS1533" s="9"/>
      <c r="CT1533" s="9"/>
      <c r="CU1533" s="9"/>
      <c r="CV1533" s="9"/>
      <c r="CW1533" s="129"/>
      <c r="CX1533" s="9"/>
    </row>
    <row r="1534" spans="1:102">
      <c r="A1534" s="6" t="str">
        <f t="shared" si="231"/>
        <v>03050999</v>
      </c>
      <c r="B1534" s="6" t="s">
        <v>1955</v>
      </c>
      <c r="C1534" s="6" t="s">
        <v>2092</v>
      </c>
      <c r="D1534" s="6">
        <v>1525</v>
      </c>
      <c r="E1534" s="10">
        <v>305</v>
      </c>
      <c r="F1534" s="10" t="s">
        <v>1423</v>
      </c>
      <c r="G1534" s="10">
        <v>999</v>
      </c>
      <c r="H1534" s="10" t="s">
        <v>593</v>
      </c>
      <c r="I1534" s="92">
        <v>45384619.389265195</v>
      </c>
      <c r="J1534" s="472">
        <v>1</v>
      </c>
      <c r="K1534" s="53">
        <f>SUM(K1530:K1533)</f>
        <v>47140463.216423161</v>
      </c>
      <c r="L1534" s="91">
        <f>SUM(L1530:L1533)</f>
        <v>0.99999999999999989</v>
      </c>
      <c r="M1534" s="79">
        <f>VLOOKUP(E1534,town351,24)</f>
        <v>38155307</v>
      </c>
      <c r="N1534" s="79">
        <f>SUM(N1530:N1533)</f>
        <v>38155307</v>
      </c>
      <c r="O1534" s="79">
        <v>36379965</v>
      </c>
      <c r="P1534" s="79">
        <f>SUM(P1530:P1533)</f>
        <v>1775342</v>
      </c>
      <c r="Q1534" s="39">
        <f t="shared" si="239"/>
        <v>4.8799991973604149</v>
      </c>
      <c r="R1534" s="9">
        <v>3417.9999999976199</v>
      </c>
      <c r="S1534" s="9">
        <f t="shared" si="237"/>
        <v>3459.999999996</v>
      </c>
      <c r="T1534" s="90">
        <f t="shared" si="232"/>
        <v>305</v>
      </c>
      <c r="U1534" s="90">
        <f t="shared" si="233"/>
        <v>999</v>
      </c>
      <c r="V1534" s="373">
        <f t="shared" si="234"/>
        <v>1525</v>
      </c>
      <c r="W1534" s="90">
        <f t="shared" si="235"/>
        <v>3459.999999996</v>
      </c>
      <c r="X1534" s="90">
        <f t="shared" si="236"/>
        <v>47140463.216423161</v>
      </c>
      <c r="Y1534" s="141">
        <f t="shared" si="238"/>
        <v>1525</v>
      </c>
      <c r="Z1534" s="298">
        <v>305</v>
      </c>
      <c r="AA1534" s="299">
        <v>999</v>
      </c>
      <c r="AB1534" s="299">
        <v>1525</v>
      </c>
      <c r="AC1534" s="301">
        <v>3459.999999996</v>
      </c>
      <c r="AD1534" s="301">
        <v>47140463.216423161</v>
      </c>
      <c r="AE1534" s="126"/>
      <c r="AF1534" s="298"/>
      <c r="AG1534" s="299"/>
      <c r="AH1534" s="299"/>
      <c r="AI1534" s="301"/>
      <c r="AJ1534" s="301"/>
      <c r="AK1534" s="426"/>
      <c r="AL1534" s="298"/>
      <c r="AM1534" s="299"/>
      <c r="AN1534" s="299"/>
      <c r="AO1534" s="301"/>
      <c r="AP1534" s="301"/>
      <c r="AQ1534" s="426"/>
      <c r="AR1534" s="298"/>
      <c r="AS1534" s="299"/>
      <c r="AT1534" s="299"/>
      <c r="AU1534" s="301"/>
      <c r="AV1534" s="301"/>
      <c r="AW1534" s="91"/>
      <c r="AX1534" s="298"/>
      <c r="AY1534" s="299"/>
      <c r="AZ1534" s="299"/>
      <c r="BA1534" s="301"/>
      <c r="BB1534" s="301"/>
      <c r="BC1534" s="426"/>
      <c r="BD1534" s="298"/>
      <c r="BE1534" s="299"/>
      <c r="BF1534" s="299"/>
      <c r="BG1534" s="301"/>
      <c r="BH1534" s="301"/>
      <c r="BI1534" s="91"/>
      <c r="BJ1534" s="298"/>
      <c r="BK1534" s="299"/>
      <c r="BL1534" s="299"/>
      <c r="BM1534" s="301"/>
      <c r="BN1534" s="301"/>
      <c r="BO1534" s="91"/>
      <c r="BP1534" s="9"/>
      <c r="BS1534" s="81"/>
      <c r="BT1534" s="81"/>
      <c r="BV1534" s="9"/>
      <c r="BY1534" s="81"/>
      <c r="BZ1534" s="81"/>
      <c r="CB1534" s="9"/>
      <c r="CE1534" s="81"/>
      <c r="CF1534" s="81"/>
      <c r="CH1534" s="9"/>
      <c r="CK1534" s="81"/>
      <c r="CL1534" s="81"/>
      <c r="CR1534" s="9"/>
      <c r="CS1534" s="9"/>
      <c r="CT1534" s="9"/>
      <c r="CU1534" s="9"/>
      <c r="CV1534" s="9"/>
      <c r="CW1534" s="129"/>
      <c r="CX1534" s="9"/>
    </row>
    <row r="1535" spans="1:102">
      <c r="A1535" s="6" t="str">
        <f t="shared" si="231"/>
        <v>03060306</v>
      </c>
      <c r="B1535" s="6" t="s">
        <v>1956</v>
      </c>
      <c r="C1535" s="6" t="s">
        <v>1956</v>
      </c>
      <c r="D1535" s="6">
        <v>1526</v>
      </c>
      <c r="E1535" s="6">
        <v>306</v>
      </c>
      <c r="F1535" s="6" t="s">
        <v>1424</v>
      </c>
      <c r="G1535" s="6">
        <v>306</v>
      </c>
      <c r="H1535" s="6" t="s">
        <v>987</v>
      </c>
      <c r="I1535" s="33">
        <v>1628374.74</v>
      </c>
      <c r="J1535" s="88">
        <v>0.42432647258069378</v>
      </c>
      <c r="K1535" s="89">
        <f>X1535</f>
        <v>1625333.8399999999</v>
      </c>
      <c r="L1535" s="88">
        <f>IF(K1539&gt;0, K1535/K1539, 0)</f>
        <v>0.42969085545879743</v>
      </c>
      <c r="M1535" s="58"/>
      <c r="N1535" s="9">
        <f>ROUND(M1539*L1535,0)</f>
        <v>599401</v>
      </c>
      <c r="O1535" s="9">
        <v>566808</v>
      </c>
      <c r="P1535" s="9">
        <f>N1535-O1535</f>
        <v>32593</v>
      </c>
      <c r="Q1535" s="40">
        <f t="shared" si="239"/>
        <v>5.7502716969414687</v>
      </c>
      <c r="R1535" s="9">
        <v>111</v>
      </c>
      <c r="S1535" s="9">
        <f t="shared" si="237"/>
        <v>105</v>
      </c>
      <c r="T1535" s="90">
        <f t="shared" si="232"/>
        <v>306</v>
      </c>
      <c r="U1535" s="90">
        <f t="shared" si="233"/>
        <v>306</v>
      </c>
      <c r="V1535" s="373">
        <f t="shared" si="234"/>
        <v>1526</v>
      </c>
      <c r="W1535" s="90">
        <f t="shared" si="235"/>
        <v>105</v>
      </c>
      <c r="X1535" s="90">
        <f t="shared" si="236"/>
        <v>1625333.8399999999</v>
      </c>
      <c r="Y1535" s="141">
        <f t="shared" si="238"/>
        <v>1526</v>
      </c>
      <c r="Z1535" s="298">
        <v>306</v>
      </c>
      <c r="AA1535" s="299">
        <v>306</v>
      </c>
      <c r="AB1535" s="299">
        <v>1526</v>
      </c>
      <c r="AC1535" s="301">
        <v>105</v>
      </c>
      <c r="AD1535" s="301">
        <v>1625333.8399999999</v>
      </c>
      <c r="AE1535" s="126"/>
      <c r="AF1535" s="298"/>
      <c r="AG1535" s="299"/>
      <c r="AH1535" s="299"/>
      <c r="AI1535" s="301"/>
      <c r="AJ1535" s="301"/>
      <c r="AK1535" s="426"/>
      <c r="AL1535" s="298"/>
      <c r="AM1535" s="299"/>
      <c r="AN1535" s="299"/>
      <c r="AO1535" s="301"/>
      <c r="AP1535" s="301"/>
      <c r="AQ1535" s="426"/>
      <c r="AR1535" s="298"/>
      <c r="AS1535" s="299"/>
      <c r="AT1535" s="299"/>
      <c r="AU1535" s="301"/>
      <c r="AV1535" s="301"/>
      <c r="AW1535" s="88"/>
      <c r="AX1535" s="298"/>
      <c r="AY1535" s="299"/>
      <c r="AZ1535" s="299"/>
      <c r="BA1535" s="301"/>
      <c r="BB1535" s="301"/>
      <c r="BC1535" s="426"/>
      <c r="BD1535" s="298"/>
      <c r="BE1535" s="299"/>
      <c r="BF1535" s="299"/>
      <c r="BG1535" s="301"/>
      <c r="BH1535" s="301"/>
      <c r="BI1535" s="88"/>
      <c r="BJ1535" s="298"/>
      <c r="BK1535" s="299"/>
      <c r="BL1535" s="299"/>
      <c r="BM1535" s="301"/>
      <c r="BN1535" s="301"/>
      <c r="BO1535" s="88"/>
      <c r="BP1535" s="9"/>
      <c r="BS1535" s="81"/>
      <c r="BT1535" s="81"/>
      <c r="BV1535" s="9"/>
      <c r="BY1535" s="81"/>
      <c r="BZ1535" s="81"/>
      <c r="CB1535" s="9"/>
      <c r="CE1535" s="81"/>
      <c r="CF1535" s="81"/>
      <c r="CH1535" s="9"/>
      <c r="CK1535" s="81"/>
      <c r="CL1535" s="81"/>
      <c r="CR1535" s="9"/>
      <c r="CS1535" s="9"/>
      <c r="CT1535" s="9"/>
      <c r="CU1535" s="9"/>
      <c r="CV1535" s="9"/>
      <c r="CW1535" s="129"/>
      <c r="CX1535" s="9"/>
    </row>
    <row r="1536" spans="1:102">
      <c r="A1536" s="6" t="str">
        <f t="shared" si="231"/>
        <v>03060770</v>
      </c>
      <c r="B1536" s="6" t="s">
        <v>1956</v>
      </c>
      <c r="C1536" s="6" t="s">
        <v>2056</v>
      </c>
      <c r="D1536" s="6">
        <v>1527</v>
      </c>
      <c r="E1536" s="6">
        <v>306</v>
      </c>
      <c r="F1536" s="6" t="s">
        <v>1424</v>
      </c>
      <c r="G1536" s="6">
        <v>770</v>
      </c>
      <c r="H1536" s="6" t="s">
        <v>1086</v>
      </c>
      <c r="I1536" s="33">
        <v>2209176.8746717274</v>
      </c>
      <c r="J1536" s="88">
        <v>0.57567352741930611</v>
      </c>
      <c r="K1536" s="89">
        <f t="shared" si="240"/>
        <v>2157231.7402345818</v>
      </c>
      <c r="L1536" s="88">
        <f>IF(K1539&gt;0, K1536/K1539, 0)</f>
        <v>0.57030914454120252</v>
      </c>
      <c r="M1536" s="58"/>
      <c r="N1536" s="9">
        <f>ROUND(M1539*L1536,0)</f>
        <v>795557</v>
      </c>
      <c r="O1536" s="9">
        <v>768975</v>
      </c>
      <c r="P1536" s="9">
        <f>N1536-O1536</f>
        <v>26582</v>
      </c>
      <c r="Q1536" s="40">
        <f t="shared" si="239"/>
        <v>3.456809389121883</v>
      </c>
      <c r="R1536" s="9">
        <v>146.99999999664001</v>
      </c>
      <c r="S1536" s="9">
        <f t="shared" si="237"/>
        <v>137.18002627440001</v>
      </c>
      <c r="T1536" s="90">
        <f t="shared" si="232"/>
        <v>306</v>
      </c>
      <c r="U1536" s="90">
        <f t="shared" si="233"/>
        <v>770</v>
      </c>
      <c r="V1536" s="373">
        <f t="shared" si="234"/>
        <v>1527</v>
      </c>
      <c r="W1536" s="90">
        <f t="shared" si="235"/>
        <v>137.18002627440001</v>
      </c>
      <c r="X1536" s="90">
        <f t="shared" si="236"/>
        <v>2157231.7402345818</v>
      </c>
      <c r="Y1536" s="141">
        <f t="shared" si="238"/>
        <v>1527</v>
      </c>
      <c r="Z1536" s="298">
        <v>306</v>
      </c>
      <c r="AA1536" s="299">
        <v>770</v>
      </c>
      <c r="AB1536" s="299">
        <v>1527</v>
      </c>
      <c r="AC1536" s="301">
        <v>137.18002627440001</v>
      </c>
      <c r="AD1536" s="301">
        <v>2157231.7402345818</v>
      </c>
      <c r="AE1536" s="126"/>
      <c r="AF1536" s="298"/>
      <c r="AG1536" s="299"/>
      <c r="AH1536" s="299"/>
      <c r="AI1536" s="301"/>
      <c r="AJ1536" s="301"/>
      <c r="AK1536" s="426"/>
      <c r="AL1536" s="298"/>
      <c r="AM1536" s="299"/>
      <c r="AN1536" s="299"/>
      <c r="AO1536" s="301"/>
      <c r="AP1536" s="301"/>
      <c r="AQ1536" s="426"/>
      <c r="AR1536" s="298"/>
      <c r="AS1536" s="299"/>
      <c r="AT1536" s="299"/>
      <c r="AU1536" s="301"/>
      <c r="AV1536" s="301"/>
      <c r="AW1536" s="88"/>
      <c r="AX1536" s="298"/>
      <c r="AY1536" s="299"/>
      <c r="AZ1536" s="299"/>
      <c r="BA1536" s="301"/>
      <c r="BB1536" s="301"/>
      <c r="BC1536" s="426"/>
      <c r="BD1536" s="298"/>
      <c r="BE1536" s="299"/>
      <c r="BF1536" s="299"/>
      <c r="BG1536" s="301"/>
      <c r="BH1536" s="301"/>
      <c r="BI1536" s="88"/>
      <c r="BJ1536" s="298"/>
      <c r="BK1536" s="299"/>
      <c r="BL1536" s="299"/>
      <c r="BM1536" s="301"/>
      <c r="BN1536" s="301"/>
      <c r="BO1536" s="88"/>
      <c r="BP1536" s="9"/>
      <c r="BS1536" s="81"/>
      <c r="BT1536" s="81"/>
      <c r="BV1536" s="9"/>
      <c r="BY1536" s="81"/>
      <c r="BZ1536" s="81"/>
      <c r="CB1536" s="9"/>
      <c r="CE1536" s="81"/>
      <c r="CF1536" s="81"/>
      <c r="CH1536" s="9"/>
      <c r="CK1536" s="81"/>
      <c r="CL1536" s="81"/>
      <c r="CR1536" s="9"/>
      <c r="CS1536" s="9"/>
      <c r="CT1536" s="9"/>
      <c r="CU1536" s="9"/>
      <c r="CV1536" s="9"/>
      <c r="CW1536" s="129"/>
      <c r="CX1536" s="9"/>
    </row>
    <row r="1537" spans="1:102">
      <c r="A1537" s="6" t="str">
        <f t="shared" si="231"/>
        <v>03060998</v>
      </c>
      <c r="B1537" s="6" t="s">
        <v>1956</v>
      </c>
      <c r="C1537" s="6" t="s">
        <v>2091</v>
      </c>
      <c r="D1537" s="6">
        <v>1528</v>
      </c>
      <c r="E1537" s="6">
        <v>306</v>
      </c>
      <c r="F1537" s="6" t="s">
        <v>1547</v>
      </c>
      <c r="G1537" s="6">
        <v>998</v>
      </c>
      <c r="H1537" s="6" t="s">
        <v>1547</v>
      </c>
      <c r="I1537" s="33">
        <v>0</v>
      </c>
      <c r="J1537" s="88">
        <v>0</v>
      </c>
      <c r="K1537" s="89">
        <f t="shared" si="240"/>
        <v>0</v>
      </c>
      <c r="L1537" s="88">
        <f>IF(K1539&gt;0, K1537/K1539, 0)</f>
        <v>0</v>
      </c>
      <c r="M1537" s="58"/>
      <c r="N1537" s="9">
        <f>ROUND(M1539*L1537,0)</f>
        <v>0</v>
      </c>
      <c r="O1537" s="9">
        <v>0</v>
      </c>
      <c r="P1537" s="9">
        <f>N1537-O1537</f>
        <v>0</v>
      </c>
      <c r="Q1537" s="40">
        <f t="shared" si="239"/>
        <v>0</v>
      </c>
      <c r="R1537" s="9">
        <v>0</v>
      </c>
      <c r="S1537" s="9">
        <f t="shared" si="237"/>
        <v>0</v>
      </c>
      <c r="T1537" s="90">
        <f t="shared" si="232"/>
        <v>306</v>
      </c>
      <c r="U1537" s="90">
        <f t="shared" si="233"/>
        <v>998</v>
      </c>
      <c r="V1537" s="373">
        <f t="shared" si="234"/>
        <v>1528</v>
      </c>
      <c r="W1537" s="90">
        <f t="shared" si="235"/>
        <v>0</v>
      </c>
      <c r="X1537" s="90">
        <f t="shared" si="236"/>
        <v>0</v>
      </c>
      <c r="Y1537" s="141">
        <f t="shared" si="238"/>
        <v>1528</v>
      </c>
      <c r="Z1537" s="298">
        <v>306</v>
      </c>
      <c r="AA1537" s="299">
        <v>998</v>
      </c>
      <c r="AB1537" s="299">
        <v>1528</v>
      </c>
      <c r="AC1537" s="301">
        <v>0</v>
      </c>
      <c r="AD1537" s="301">
        <v>0</v>
      </c>
      <c r="AE1537" s="126"/>
      <c r="AF1537" s="298"/>
      <c r="AG1537" s="299"/>
      <c r="AH1537" s="299"/>
      <c r="AI1537" s="301"/>
      <c r="AJ1537" s="301"/>
      <c r="AK1537" s="426"/>
      <c r="AL1537" s="298"/>
      <c r="AM1537" s="299"/>
      <c r="AN1537" s="299"/>
      <c r="AO1537" s="301"/>
      <c r="AP1537" s="301"/>
      <c r="AQ1537" s="426"/>
      <c r="AR1537" s="298"/>
      <c r="AS1537" s="299"/>
      <c r="AT1537" s="299"/>
      <c r="AU1537" s="301"/>
      <c r="AV1537" s="301"/>
      <c r="AW1537" s="88"/>
      <c r="AX1537" s="298"/>
      <c r="AY1537" s="299"/>
      <c r="AZ1537" s="299"/>
      <c r="BA1537" s="301"/>
      <c r="BB1537" s="301"/>
      <c r="BC1537" s="426"/>
      <c r="BD1537" s="298"/>
      <c r="BE1537" s="299"/>
      <c r="BF1537" s="299"/>
      <c r="BG1537" s="301"/>
      <c r="BH1537" s="301"/>
      <c r="BI1537" s="88"/>
      <c r="BJ1537" s="298"/>
      <c r="BK1537" s="299"/>
      <c r="BL1537" s="299"/>
      <c r="BM1537" s="301"/>
      <c r="BN1537" s="301"/>
      <c r="BO1537" s="88"/>
      <c r="BP1537" s="9"/>
      <c r="BS1537" s="81"/>
      <c r="BT1537" s="81"/>
      <c r="BV1537" s="9"/>
      <c r="BY1537" s="81"/>
      <c r="BZ1537" s="81"/>
      <c r="CB1537" s="9"/>
      <c r="CE1537" s="81"/>
      <c r="CF1537" s="81"/>
      <c r="CH1537" s="9"/>
      <c r="CK1537" s="81"/>
      <c r="CL1537" s="81"/>
      <c r="CR1537" s="9"/>
      <c r="CS1537" s="9"/>
      <c r="CT1537" s="9"/>
      <c r="CU1537" s="9"/>
      <c r="CV1537" s="9"/>
      <c r="CW1537" s="129"/>
      <c r="CX1537" s="9"/>
    </row>
    <row r="1538" spans="1:102">
      <c r="A1538" s="6" t="str">
        <f t="shared" si="231"/>
        <v>03060998</v>
      </c>
      <c r="B1538" s="6" t="s">
        <v>1956</v>
      </c>
      <c r="C1538" s="6" t="s">
        <v>2091</v>
      </c>
      <c r="D1538" s="6">
        <v>1529</v>
      </c>
      <c r="E1538" s="6">
        <v>306</v>
      </c>
      <c r="F1538" s="6" t="s">
        <v>1547</v>
      </c>
      <c r="G1538" s="6">
        <v>998</v>
      </c>
      <c r="H1538" s="6" t="s">
        <v>1547</v>
      </c>
      <c r="I1538" s="33">
        <v>0</v>
      </c>
      <c r="J1538" s="88">
        <v>0</v>
      </c>
      <c r="K1538" s="89">
        <f t="shared" si="240"/>
        <v>0</v>
      </c>
      <c r="L1538" s="88">
        <f>IF(K1539&gt;0, K1538/K1539, 0)</f>
        <v>0</v>
      </c>
      <c r="M1538" s="58"/>
      <c r="N1538" s="9">
        <f>ROUND(M1539*L1538,0)</f>
        <v>0</v>
      </c>
      <c r="O1538" s="9">
        <v>0</v>
      </c>
      <c r="P1538" s="9">
        <f>N1538-O1538</f>
        <v>0</v>
      </c>
      <c r="Q1538" s="40">
        <f t="shared" si="239"/>
        <v>0</v>
      </c>
      <c r="R1538" s="9">
        <v>0</v>
      </c>
      <c r="S1538" s="9">
        <f t="shared" si="237"/>
        <v>0</v>
      </c>
      <c r="T1538" s="90">
        <f t="shared" si="232"/>
        <v>306</v>
      </c>
      <c r="U1538" s="90">
        <f t="shared" si="233"/>
        <v>998</v>
      </c>
      <c r="V1538" s="373">
        <f t="shared" si="234"/>
        <v>1529</v>
      </c>
      <c r="W1538" s="90">
        <f t="shared" si="235"/>
        <v>0</v>
      </c>
      <c r="X1538" s="90">
        <f t="shared" si="236"/>
        <v>0</v>
      </c>
      <c r="Y1538" s="141">
        <f t="shared" si="238"/>
        <v>1529</v>
      </c>
      <c r="Z1538" s="298">
        <v>306</v>
      </c>
      <c r="AA1538" s="299">
        <v>998</v>
      </c>
      <c r="AB1538" s="299">
        <v>1529</v>
      </c>
      <c r="AC1538" s="301">
        <v>0</v>
      </c>
      <c r="AD1538" s="301">
        <v>0</v>
      </c>
      <c r="AE1538" s="126"/>
      <c r="AF1538" s="298"/>
      <c r="AG1538" s="299"/>
      <c r="AH1538" s="299"/>
      <c r="AI1538" s="301"/>
      <c r="AJ1538" s="301"/>
      <c r="AK1538" s="426"/>
      <c r="AL1538" s="298"/>
      <c r="AM1538" s="299"/>
      <c r="AN1538" s="299"/>
      <c r="AO1538" s="301"/>
      <c r="AP1538" s="301"/>
      <c r="AQ1538" s="426"/>
      <c r="AR1538" s="298"/>
      <c r="AS1538" s="299"/>
      <c r="AT1538" s="299"/>
      <c r="AU1538" s="301"/>
      <c r="AV1538" s="301"/>
      <c r="AW1538" s="88"/>
      <c r="AX1538" s="298"/>
      <c r="AY1538" s="299"/>
      <c r="AZ1538" s="299"/>
      <c r="BA1538" s="301"/>
      <c r="BB1538" s="301"/>
      <c r="BC1538" s="426"/>
      <c r="BD1538" s="298"/>
      <c r="BE1538" s="299"/>
      <c r="BF1538" s="299"/>
      <c r="BG1538" s="301"/>
      <c r="BH1538" s="301"/>
      <c r="BI1538" s="88"/>
      <c r="BJ1538" s="298"/>
      <c r="BK1538" s="299"/>
      <c r="BL1538" s="299"/>
      <c r="BM1538" s="301"/>
      <c r="BN1538" s="301"/>
      <c r="BO1538" s="88"/>
      <c r="BP1538" s="9"/>
      <c r="BS1538" s="81"/>
      <c r="BT1538" s="81"/>
      <c r="BV1538" s="9"/>
      <c r="BY1538" s="81"/>
      <c r="BZ1538" s="81"/>
      <c r="CB1538" s="9"/>
      <c r="CE1538" s="81"/>
      <c r="CF1538" s="81"/>
      <c r="CH1538" s="9"/>
      <c r="CK1538" s="81"/>
      <c r="CL1538" s="81"/>
      <c r="CR1538" s="9"/>
      <c r="CS1538" s="9"/>
      <c r="CT1538" s="9"/>
      <c r="CU1538" s="9"/>
      <c r="CV1538" s="9"/>
      <c r="CW1538" s="129"/>
      <c r="CX1538" s="9"/>
    </row>
    <row r="1539" spans="1:102">
      <c r="A1539" s="6" t="str">
        <f t="shared" si="231"/>
        <v>03060999</v>
      </c>
      <c r="B1539" s="6" t="s">
        <v>1956</v>
      </c>
      <c r="C1539" s="6" t="s">
        <v>2092</v>
      </c>
      <c r="D1539" s="6">
        <v>1530</v>
      </c>
      <c r="E1539" s="10">
        <v>306</v>
      </c>
      <c r="F1539" s="10" t="s">
        <v>1424</v>
      </c>
      <c r="G1539" s="10">
        <v>999</v>
      </c>
      <c r="H1539" s="10" t="s">
        <v>593</v>
      </c>
      <c r="I1539" s="92">
        <v>3837551.6146717276</v>
      </c>
      <c r="J1539" s="472">
        <v>0.99999999999999989</v>
      </c>
      <c r="K1539" s="53">
        <f>SUM(K1535:K1538)</f>
        <v>3782565.5802345816</v>
      </c>
      <c r="L1539" s="91">
        <f>SUM(L1535:L1538)</f>
        <v>1</v>
      </c>
      <c r="M1539" s="79">
        <f>VLOOKUP(E1539,town351,24)</f>
        <v>1394958</v>
      </c>
      <c r="N1539" s="79">
        <f>SUM(N1535:N1538)</f>
        <v>1394958</v>
      </c>
      <c r="O1539" s="79">
        <v>1335783</v>
      </c>
      <c r="P1539" s="79">
        <f>SUM(P1535:P1538)</f>
        <v>59175</v>
      </c>
      <c r="Q1539" s="39">
        <f t="shared" si="239"/>
        <v>4.4299860082064226</v>
      </c>
      <c r="R1539" s="9">
        <v>257.99999999663999</v>
      </c>
      <c r="S1539" s="9">
        <f t="shared" si="237"/>
        <v>242.18002627440001</v>
      </c>
      <c r="T1539" s="90">
        <f t="shared" si="232"/>
        <v>306</v>
      </c>
      <c r="U1539" s="90">
        <f t="shared" si="233"/>
        <v>999</v>
      </c>
      <c r="V1539" s="373">
        <f t="shared" si="234"/>
        <v>1530</v>
      </c>
      <c r="W1539" s="90">
        <f t="shared" si="235"/>
        <v>242.18002627440001</v>
      </c>
      <c r="X1539" s="90">
        <f t="shared" si="236"/>
        <v>3782565.5802345816</v>
      </c>
      <c r="Y1539" s="141">
        <f t="shared" si="238"/>
        <v>1530</v>
      </c>
      <c r="Z1539" s="298">
        <v>306</v>
      </c>
      <c r="AA1539" s="299">
        <v>999</v>
      </c>
      <c r="AB1539" s="299">
        <v>1530</v>
      </c>
      <c r="AC1539" s="301">
        <v>242.18002627440001</v>
      </c>
      <c r="AD1539" s="301">
        <v>3782565.5802345816</v>
      </c>
      <c r="AE1539" s="126"/>
      <c r="AF1539" s="298"/>
      <c r="AG1539" s="299"/>
      <c r="AH1539" s="299"/>
      <c r="AI1539" s="301"/>
      <c r="AJ1539" s="301"/>
      <c r="AK1539" s="426"/>
      <c r="AL1539" s="298"/>
      <c r="AM1539" s="299"/>
      <c r="AN1539" s="299"/>
      <c r="AO1539" s="301"/>
      <c r="AP1539" s="301"/>
      <c r="AQ1539" s="426"/>
      <c r="AR1539" s="298"/>
      <c r="AS1539" s="299"/>
      <c r="AT1539" s="299"/>
      <c r="AU1539" s="301"/>
      <c r="AV1539" s="301"/>
      <c r="AW1539" s="91"/>
      <c r="AX1539" s="298"/>
      <c r="AY1539" s="299"/>
      <c r="AZ1539" s="299"/>
      <c r="BA1539" s="301"/>
      <c r="BB1539" s="301"/>
      <c r="BC1539" s="426"/>
      <c r="BD1539" s="298"/>
      <c r="BE1539" s="299"/>
      <c r="BF1539" s="299"/>
      <c r="BG1539" s="301"/>
      <c r="BH1539" s="301"/>
      <c r="BI1539" s="91"/>
      <c r="BJ1539" s="298"/>
      <c r="BK1539" s="299"/>
      <c r="BL1539" s="299"/>
      <c r="BM1539" s="301"/>
      <c r="BN1539" s="301"/>
      <c r="BO1539" s="91"/>
      <c r="BP1539" s="9"/>
      <c r="BS1539" s="81"/>
      <c r="BT1539" s="81"/>
      <c r="BV1539" s="9"/>
      <c r="BY1539" s="81"/>
      <c r="BZ1539" s="81"/>
      <c r="CB1539" s="9"/>
      <c r="CE1539" s="81"/>
      <c r="CF1539" s="81"/>
      <c r="CH1539" s="9"/>
      <c r="CK1539" s="81"/>
      <c r="CL1539" s="81"/>
      <c r="CR1539" s="9"/>
      <c r="CS1539" s="9"/>
      <c r="CT1539" s="9"/>
      <c r="CU1539" s="9"/>
      <c r="CV1539" s="9"/>
      <c r="CW1539" s="129"/>
      <c r="CX1539" s="9"/>
    </row>
    <row r="1540" spans="1:102">
      <c r="A1540" s="6" t="str">
        <f t="shared" si="231"/>
        <v>03070307</v>
      </c>
      <c r="B1540" s="6" t="s">
        <v>1957</v>
      </c>
      <c r="C1540" s="6" t="s">
        <v>1957</v>
      </c>
      <c r="D1540" s="6">
        <v>1531</v>
      </c>
      <c r="E1540" s="6">
        <v>307</v>
      </c>
      <c r="F1540" s="6" t="s">
        <v>1425</v>
      </c>
      <c r="G1540" s="6">
        <v>307</v>
      </c>
      <c r="H1540" s="6" t="s">
        <v>988</v>
      </c>
      <c r="I1540" s="33">
        <v>47191402.9124</v>
      </c>
      <c r="J1540" s="88">
        <v>0.95357360964830351</v>
      </c>
      <c r="K1540" s="89">
        <f>X1540</f>
        <v>47733569.965189993</v>
      </c>
      <c r="L1540" s="88">
        <f>IF(K1544&gt;0, K1540/K1544, 0)</f>
        <v>0.95111253984190114</v>
      </c>
      <c r="M1540" s="58"/>
      <c r="N1540" s="9">
        <f>ROUND(M1544*L1540,0)</f>
        <v>39164094</v>
      </c>
      <c r="O1540" s="9">
        <v>37306825</v>
      </c>
      <c r="P1540" s="9">
        <f>N1540-O1540</f>
        <v>1857269</v>
      </c>
      <c r="Q1540" s="40">
        <f t="shared" si="239"/>
        <v>4.9783625382218935</v>
      </c>
      <c r="R1540" s="9">
        <v>3680</v>
      </c>
      <c r="S1540" s="9">
        <f t="shared" si="237"/>
        <v>3643</v>
      </c>
      <c r="T1540" s="90">
        <f t="shared" si="232"/>
        <v>307</v>
      </c>
      <c r="U1540" s="90">
        <f t="shared" si="233"/>
        <v>307</v>
      </c>
      <c r="V1540" s="373">
        <f t="shared" si="234"/>
        <v>1531</v>
      </c>
      <c r="W1540" s="90">
        <f t="shared" si="235"/>
        <v>3643</v>
      </c>
      <c r="X1540" s="90">
        <f t="shared" si="236"/>
        <v>47733569.965189993</v>
      </c>
      <c r="Y1540" s="141">
        <f t="shared" si="238"/>
        <v>1531</v>
      </c>
      <c r="Z1540" s="298">
        <v>307</v>
      </c>
      <c r="AA1540" s="299">
        <v>307</v>
      </c>
      <c r="AB1540" s="299">
        <v>1531</v>
      </c>
      <c r="AC1540" s="301">
        <v>3643</v>
      </c>
      <c r="AD1540" s="301">
        <v>47733569.965189993</v>
      </c>
      <c r="AE1540" s="126"/>
      <c r="AF1540" s="298"/>
      <c r="AG1540" s="299"/>
      <c r="AH1540" s="299"/>
      <c r="AI1540" s="301"/>
      <c r="AJ1540" s="301"/>
      <c r="AK1540" s="426"/>
      <c r="AL1540" s="298"/>
      <c r="AM1540" s="299"/>
      <c r="AN1540" s="299"/>
      <c r="AO1540" s="301"/>
      <c r="AP1540" s="301"/>
      <c r="AQ1540" s="426"/>
      <c r="AR1540" s="298"/>
      <c r="AS1540" s="299"/>
      <c r="AT1540" s="299"/>
      <c r="AU1540" s="301"/>
      <c r="AV1540" s="301"/>
      <c r="AW1540" s="88"/>
      <c r="AX1540" s="298"/>
      <c r="AY1540" s="299"/>
      <c r="AZ1540" s="299"/>
      <c r="BA1540" s="301"/>
      <c r="BB1540" s="301"/>
      <c r="BC1540" s="426"/>
      <c r="BD1540" s="298"/>
      <c r="BE1540" s="299"/>
      <c r="BF1540" s="299"/>
      <c r="BG1540" s="301"/>
      <c r="BH1540" s="301"/>
      <c r="BI1540" s="88"/>
      <c r="BJ1540" s="298"/>
      <c r="BK1540" s="299"/>
      <c r="BL1540" s="299"/>
      <c r="BM1540" s="301"/>
      <c r="BN1540" s="301"/>
      <c r="BO1540" s="88"/>
      <c r="BP1540" s="9"/>
      <c r="BS1540" s="81"/>
      <c r="BT1540" s="81"/>
      <c r="BV1540" s="9"/>
      <c r="BY1540" s="81"/>
      <c r="BZ1540" s="81"/>
      <c r="CB1540" s="9"/>
      <c r="CE1540" s="81"/>
      <c r="CF1540" s="81"/>
      <c r="CH1540" s="9"/>
      <c r="CK1540" s="81"/>
      <c r="CL1540" s="81"/>
      <c r="CR1540" s="9"/>
      <c r="CS1540" s="9"/>
      <c r="CT1540" s="9"/>
      <c r="CU1540" s="9"/>
      <c r="CV1540" s="9"/>
      <c r="CW1540" s="129"/>
      <c r="CX1540" s="9"/>
    </row>
    <row r="1541" spans="1:102">
      <c r="A1541" s="6" t="str">
        <f t="shared" si="231"/>
        <v>03070878</v>
      </c>
      <c r="B1541" s="6" t="s">
        <v>1957</v>
      </c>
      <c r="C1541" s="6" t="s">
        <v>2085</v>
      </c>
      <c r="D1541" s="6">
        <v>1532</v>
      </c>
      <c r="E1541" s="6">
        <v>307</v>
      </c>
      <c r="F1541" s="6" t="s">
        <v>1425</v>
      </c>
      <c r="G1541" s="6">
        <v>878</v>
      </c>
      <c r="H1541" s="6" t="s">
        <v>1115</v>
      </c>
      <c r="I1541" s="33">
        <v>1845535.2192073043</v>
      </c>
      <c r="J1541" s="88">
        <v>3.7291828004760663E-2</v>
      </c>
      <c r="K1541" s="89">
        <f t="shared" si="240"/>
        <v>1902920.0312582578</v>
      </c>
      <c r="L1541" s="88">
        <f>IF(K1544&gt;0, K1541/K1544, 0)</f>
        <v>3.7916525107297566E-2</v>
      </c>
      <c r="M1541" s="58"/>
      <c r="N1541" s="9">
        <f>ROUND(M1544*L1541,0)</f>
        <v>1561294</v>
      </c>
      <c r="O1541" s="9">
        <v>1458975</v>
      </c>
      <c r="P1541" s="9">
        <f>N1541-O1541</f>
        <v>102319</v>
      </c>
      <c r="Q1541" s="40">
        <f t="shared" si="239"/>
        <v>7.0130742473311747</v>
      </c>
      <c r="R1541" s="9">
        <v>89.999999998149988</v>
      </c>
      <c r="S1541" s="9">
        <f t="shared" si="237"/>
        <v>91.0000000008</v>
      </c>
      <c r="T1541" s="90">
        <f t="shared" si="232"/>
        <v>307</v>
      </c>
      <c r="U1541" s="90">
        <f t="shared" si="233"/>
        <v>878</v>
      </c>
      <c r="V1541" s="373">
        <f t="shared" si="234"/>
        <v>1532</v>
      </c>
      <c r="W1541" s="90">
        <f t="shared" si="235"/>
        <v>91.0000000008</v>
      </c>
      <c r="X1541" s="90">
        <f t="shared" si="236"/>
        <v>1902920.0312582578</v>
      </c>
      <c r="Y1541" s="141">
        <f t="shared" si="238"/>
        <v>1532</v>
      </c>
      <c r="Z1541" s="298">
        <v>307</v>
      </c>
      <c r="AA1541" s="299">
        <v>878</v>
      </c>
      <c r="AB1541" s="299">
        <v>1532</v>
      </c>
      <c r="AC1541" s="301">
        <v>91.0000000008</v>
      </c>
      <c r="AD1541" s="301">
        <v>1902920.0312582578</v>
      </c>
      <c r="AE1541" s="126"/>
      <c r="AF1541" s="298"/>
      <c r="AG1541" s="299"/>
      <c r="AH1541" s="299"/>
      <c r="AI1541" s="301"/>
      <c r="AJ1541" s="301"/>
      <c r="AK1541" s="426"/>
      <c r="AL1541" s="298"/>
      <c r="AM1541" s="299"/>
      <c r="AN1541" s="299"/>
      <c r="AO1541" s="301"/>
      <c r="AP1541" s="301"/>
      <c r="AQ1541" s="426"/>
      <c r="AR1541" s="298"/>
      <c r="AS1541" s="299"/>
      <c r="AT1541" s="299"/>
      <c r="AU1541" s="301"/>
      <c r="AV1541" s="301"/>
      <c r="AW1541" s="88"/>
      <c r="AX1541" s="298"/>
      <c r="AY1541" s="299"/>
      <c r="AZ1541" s="299"/>
      <c r="BA1541" s="301"/>
      <c r="BB1541" s="301"/>
      <c r="BC1541" s="426"/>
      <c r="BD1541" s="298"/>
      <c r="BE1541" s="299"/>
      <c r="BF1541" s="299"/>
      <c r="BG1541" s="301"/>
      <c r="BH1541" s="301"/>
      <c r="BI1541" s="88"/>
      <c r="BJ1541" s="298"/>
      <c r="BK1541" s="299"/>
      <c r="BL1541" s="299"/>
      <c r="BM1541" s="301"/>
      <c r="BN1541" s="301"/>
      <c r="BO1541" s="88"/>
      <c r="BP1541" s="9"/>
      <c r="BS1541" s="81"/>
      <c r="BT1541" s="81"/>
      <c r="BV1541" s="9"/>
      <c r="BY1541" s="81"/>
      <c r="BZ1541" s="81"/>
      <c r="CB1541" s="9"/>
      <c r="CE1541" s="81"/>
      <c r="CF1541" s="81"/>
      <c r="CH1541" s="9"/>
      <c r="CK1541" s="81"/>
      <c r="CL1541" s="81"/>
      <c r="CR1541" s="9"/>
      <c r="CS1541" s="9"/>
      <c r="CT1541" s="9"/>
      <c r="CU1541" s="9"/>
      <c r="CV1541" s="9"/>
      <c r="CW1541" s="129"/>
      <c r="CX1541" s="9"/>
    </row>
    <row r="1542" spans="1:102">
      <c r="A1542" s="6" t="str">
        <f t="shared" si="231"/>
        <v>03070915</v>
      </c>
      <c r="B1542" s="6" t="s">
        <v>1957</v>
      </c>
      <c r="C1542" s="6" t="s">
        <v>2089</v>
      </c>
      <c r="D1542" s="6">
        <v>1533</v>
      </c>
      <c r="E1542" s="6">
        <v>307</v>
      </c>
      <c r="F1542" s="6" t="s">
        <v>1425</v>
      </c>
      <c r="G1542" s="6">
        <v>915</v>
      </c>
      <c r="H1542" s="6" t="s">
        <v>1119</v>
      </c>
      <c r="I1542" s="33">
        <v>452060.34204499499</v>
      </c>
      <c r="J1542" s="88">
        <v>9.134562346935951E-3</v>
      </c>
      <c r="K1542" s="89">
        <f t="shared" si="240"/>
        <v>550599.29702748952</v>
      </c>
      <c r="L1542" s="88">
        <f>IF(K1544&gt;0, K1542/K1544, 0)</f>
        <v>1.0970935050801338E-2</v>
      </c>
      <c r="M1542" s="58"/>
      <c r="N1542" s="9">
        <f>ROUND(M1544*L1542,0)</f>
        <v>451752</v>
      </c>
      <c r="O1542" s="9">
        <v>357373</v>
      </c>
      <c r="P1542" s="9">
        <f>N1542-O1542</f>
        <v>94379</v>
      </c>
      <c r="Q1542" s="40">
        <f t="shared" si="239"/>
        <v>26.409101974687513</v>
      </c>
      <c r="R1542" s="9">
        <v>21.000000000210001</v>
      </c>
      <c r="S1542" s="9">
        <f t="shared" si="237"/>
        <v>24.99999999928</v>
      </c>
      <c r="T1542" s="90">
        <f t="shared" si="232"/>
        <v>307</v>
      </c>
      <c r="U1542" s="90">
        <f t="shared" si="233"/>
        <v>915</v>
      </c>
      <c r="V1542" s="373">
        <f t="shared" si="234"/>
        <v>1533</v>
      </c>
      <c r="W1542" s="90">
        <f t="shared" si="235"/>
        <v>24.99999999928</v>
      </c>
      <c r="X1542" s="90">
        <f t="shared" si="236"/>
        <v>550599.29702748952</v>
      </c>
      <c r="Y1542" s="141">
        <f t="shared" si="238"/>
        <v>1533</v>
      </c>
      <c r="Z1542" s="298">
        <v>307</v>
      </c>
      <c r="AA1542" s="299">
        <v>915</v>
      </c>
      <c r="AB1542" s="299">
        <v>1533</v>
      </c>
      <c r="AC1542" s="301">
        <v>24.99999999928</v>
      </c>
      <c r="AD1542" s="301">
        <v>550599.29702748952</v>
      </c>
      <c r="AE1542" s="126"/>
      <c r="AF1542" s="298"/>
      <c r="AG1542" s="299"/>
      <c r="AH1542" s="299"/>
      <c r="AI1542" s="301"/>
      <c r="AJ1542" s="301"/>
      <c r="AK1542" s="426"/>
      <c r="AL1542" s="298"/>
      <c r="AM1542" s="299"/>
      <c r="AN1542" s="299"/>
      <c r="AO1542" s="301"/>
      <c r="AP1542" s="301"/>
      <c r="AQ1542" s="426"/>
      <c r="AR1542" s="298"/>
      <c r="AS1542" s="299"/>
      <c r="AT1542" s="299"/>
      <c r="AU1542" s="301"/>
      <c r="AV1542" s="301"/>
      <c r="AW1542" s="88"/>
      <c r="AX1542" s="298"/>
      <c r="AY1542" s="299"/>
      <c r="AZ1542" s="299"/>
      <c r="BA1542" s="301"/>
      <c r="BB1542" s="301"/>
      <c r="BC1542" s="426"/>
      <c r="BD1542" s="298"/>
      <c r="BE1542" s="299"/>
      <c r="BF1542" s="299"/>
      <c r="BG1542" s="301"/>
      <c r="BH1542" s="301"/>
      <c r="BI1542" s="88"/>
      <c r="BJ1542" s="298"/>
      <c r="BK1542" s="299"/>
      <c r="BL1542" s="299"/>
      <c r="BM1542" s="301"/>
      <c r="BN1542" s="301"/>
      <c r="BO1542" s="88"/>
      <c r="BP1542" s="9"/>
      <c r="BS1542" s="81"/>
      <c r="BT1542" s="81"/>
      <c r="BV1542" s="9"/>
      <c r="BY1542" s="81"/>
      <c r="BZ1542" s="81"/>
      <c r="CB1542" s="9"/>
      <c r="CE1542" s="81"/>
      <c r="CF1542" s="81"/>
      <c r="CH1542" s="9"/>
      <c r="CK1542" s="81"/>
      <c r="CL1542" s="81"/>
      <c r="CR1542" s="9"/>
      <c r="CS1542" s="9"/>
      <c r="CT1542" s="9"/>
      <c r="CU1542" s="9"/>
      <c r="CV1542" s="9"/>
      <c r="CW1542" s="129"/>
      <c r="CX1542" s="9"/>
    </row>
    <row r="1543" spans="1:102">
      <c r="A1543" s="6" t="str">
        <f t="shared" si="231"/>
        <v>03070998</v>
      </c>
      <c r="B1543" s="6" t="s">
        <v>1957</v>
      </c>
      <c r="C1543" s="6" t="s">
        <v>2091</v>
      </c>
      <c r="D1543" s="6">
        <v>1534</v>
      </c>
      <c r="E1543" s="6">
        <v>307</v>
      </c>
      <c r="F1543" s="6" t="s">
        <v>1547</v>
      </c>
      <c r="G1543" s="6">
        <v>998</v>
      </c>
      <c r="H1543" s="6" t="s">
        <v>1547</v>
      </c>
      <c r="I1543" s="33">
        <v>0</v>
      </c>
      <c r="J1543" s="88">
        <v>0</v>
      </c>
      <c r="K1543" s="89">
        <f t="shared" si="240"/>
        <v>0</v>
      </c>
      <c r="L1543" s="88">
        <f>IF(K1544&gt;0, K1543/K1544, 0)</f>
        <v>0</v>
      </c>
      <c r="M1543" s="58"/>
      <c r="N1543" s="9">
        <f>ROUND(M1544*L1543,0)</f>
        <v>0</v>
      </c>
      <c r="O1543" s="9">
        <v>0</v>
      </c>
      <c r="P1543" s="9">
        <f>N1543-O1543</f>
        <v>0</v>
      </c>
      <c r="Q1543" s="40">
        <f t="shared" si="239"/>
        <v>0</v>
      </c>
      <c r="R1543" s="9">
        <v>0</v>
      </c>
      <c r="S1543" s="9">
        <f t="shared" si="237"/>
        <v>0</v>
      </c>
      <c r="T1543" s="90">
        <f t="shared" si="232"/>
        <v>307</v>
      </c>
      <c r="U1543" s="90">
        <f t="shared" si="233"/>
        <v>998</v>
      </c>
      <c r="V1543" s="373">
        <f t="shared" si="234"/>
        <v>1534</v>
      </c>
      <c r="W1543" s="90">
        <f t="shared" si="235"/>
        <v>0</v>
      </c>
      <c r="X1543" s="90">
        <f t="shared" si="236"/>
        <v>0</v>
      </c>
      <c r="Y1543" s="141">
        <f t="shared" si="238"/>
        <v>1534</v>
      </c>
      <c r="Z1543" s="298">
        <v>307</v>
      </c>
      <c r="AA1543" s="299">
        <v>998</v>
      </c>
      <c r="AB1543" s="299">
        <v>1534</v>
      </c>
      <c r="AC1543" s="301">
        <v>0</v>
      </c>
      <c r="AD1543" s="301">
        <v>0</v>
      </c>
      <c r="AE1543" s="126"/>
      <c r="AF1543" s="298"/>
      <c r="AG1543" s="299"/>
      <c r="AH1543" s="299"/>
      <c r="AI1543" s="301"/>
      <c r="AJ1543" s="301"/>
      <c r="AK1543" s="426"/>
      <c r="AL1543" s="298"/>
      <c r="AM1543" s="299"/>
      <c r="AN1543" s="299"/>
      <c r="AO1543" s="301"/>
      <c r="AP1543" s="301"/>
      <c r="AQ1543" s="426"/>
      <c r="AR1543" s="298"/>
      <c r="AS1543" s="299"/>
      <c r="AT1543" s="299"/>
      <c r="AU1543" s="301"/>
      <c r="AV1543" s="301"/>
      <c r="AW1543" s="88"/>
      <c r="AX1543" s="298"/>
      <c r="AY1543" s="299"/>
      <c r="AZ1543" s="299"/>
      <c r="BA1543" s="301"/>
      <c r="BB1543" s="301"/>
      <c r="BC1543" s="426"/>
      <c r="BD1543" s="298"/>
      <c r="BE1543" s="299"/>
      <c r="BF1543" s="299"/>
      <c r="BG1543" s="301"/>
      <c r="BH1543" s="301"/>
      <c r="BI1543" s="88"/>
      <c r="BJ1543" s="298"/>
      <c r="BK1543" s="299"/>
      <c r="BL1543" s="299"/>
      <c r="BM1543" s="301"/>
      <c r="BN1543" s="301"/>
      <c r="BO1543" s="88"/>
      <c r="BP1543" s="9"/>
      <c r="BS1543" s="81"/>
      <c r="BT1543" s="81"/>
      <c r="BV1543" s="9"/>
      <c r="BY1543" s="81"/>
      <c r="BZ1543" s="81"/>
      <c r="CB1543" s="9"/>
      <c r="CE1543" s="81"/>
      <c r="CF1543" s="81"/>
      <c r="CH1543" s="9"/>
      <c r="CK1543" s="81"/>
      <c r="CL1543" s="81"/>
      <c r="CR1543" s="9"/>
      <c r="CS1543" s="9"/>
      <c r="CT1543" s="9"/>
      <c r="CU1543" s="9"/>
      <c r="CV1543" s="9"/>
      <c r="CW1543" s="129"/>
      <c r="CX1543" s="9"/>
    </row>
    <row r="1544" spans="1:102">
      <c r="A1544" s="6" t="str">
        <f t="shared" si="231"/>
        <v>03070999</v>
      </c>
      <c r="B1544" s="6" t="s">
        <v>1957</v>
      </c>
      <c r="C1544" s="6" t="s">
        <v>2092</v>
      </c>
      <c r="D1544" s="6">
        <v>1535</v>
      </c>
      <c r="E1544" s="10">
        <v>307</v>
      </c>
      <c r="F1544" s="10" t="s">
        <v>1425</v>
      </c>
      <c r="G1544" s="10">
        <v>999</v>
      </c>
      <c r="H1544" s="10" t="s">
        <v>593</v>
      </c>
      <c r="I1544" s="92">
        <v>49488998.473652296</v>
      </c>
      <c r="J1544" s="472">
        <v>1</v>
      </c>
      <c r="K1544" s="53">
        <f>SUM(K1540:K1543)</f>
        <v>50187089.29347574</v>
      </c>
      <c r="L1544" s="91">
        <f>SUM(L1540:L1543)</f>
        <v>1</v>
      </c>
      <c r="M1544" s="79">
        <f>VLOOKUP(E1544,town351,24)</f>
        <v>41177140</v>
      </c>
      <c r="N1544" s="79">
        <f>SUM(N1540:N1543)</f>
        <v>41177140</v>
      </c>
      <c r="O1544" s="79">
        <v>39123173</v>
      </c>
      <c r="P1544" s="79">
        <f>SUM(P1540:P1543)</f>
        <v>2053967</v>
      </c>
      <c r="Q1544" s="39">
        <f t="shared" si="239"/>
        <v>5.2500010671424837</v>
      </c>
      <c r="R1544" s="9">
        <v>3790.9999999983602</v>
      </c>
      <c r="S1544" s="9">
        <f t="shared" si="237"/>
        <v>3759.00000000008</v>
      </c>
      <c r="T1544" s="90">
        <f t="shared" si="232"/>
        <v>307</v>
      </c>
      <c r="U1544" s="90">
        <f t="shared" si="233"/>
        <v>999</v>
      </c>
      <c r="V1544" s="373">
        <f t="shared" si="234"/>
        <v>1535</v>
      </c>
      <c r="W1544" s="90">
        <f t="shared" si="235"/>
        <v>3759.00000000008</v>
      </c>
      <c r="X1544" s="90">
        <f t="shared" si="236"/>
        <v>50187089.29347574</v>
      </c>
      <c r="Y1544" s="141">
        <f t="shared" si="238"/>
        <v>1535</v>
      </c>
      <c r="Z1544" s="298">
        <v>307</v>
      </c>
      <c r="AA1544" s="299">
        <v>999</v>
      </c>
      <c r="AB1544" s="299">
        <v>1535</v>
      </c>
      <c r="AC1544" s="301">
        <v>3759.00000000008</v>
      </c>
      <c r="AD1544" s="301">
        <v>50187089.29347574</v>
      </c>
      <c r="AE1544" s="126"/>
      <c r="AF1544" s="298"/>
      <c r="AG1544" s="299"/>
      <c r="AH1544" s="299"/>
      <c r="AI1544" s="301"/>
      <c r="AJ1544" s="301"/>
      <c r="AK1544" s="426"/>
      <c r="AL1544" s="298"/>
      <c r="AM1544" s="299"/>
      <c r="AN1544" s="299"/>
      <c r="AO1544" s="301"/>
      <c r="AP1544" s="301"/>
      <c r="AQ1544" s="426"/>
      <c r="AR1544" s="298"/>
      <c r="AS1544" s="299"/>
      <c r="AT1544" s="299"/>
      <c r="AU1544" s="301"/>
      <c r="AV1544" s="301"/>
      <c r="AW1544" s="91"/>
      <c r="AX1544" s="298"/>
      <c r="AY1544" s="299"/>
      <c r="AZ1544" s="299"/>
      <c r="BA1544" s="301"/>
      <c r="BB1544" s="301"/>
      <c r="BC1544" s="426"/>
      <c r="BD1544" s="298"/>
      <c r="BE1544" s="299"/>
      <c r="BF1544" s="299"/>
      <c r="BG1544" s="301"/>
      <c r="BH1544" s="301"/>
      <c r="BI1544" s="91"/>
      <c r="BJ1544" s="298"/>
      <c r="BK1544" s="299"/>
      <c r="BL1544" s="299"/>
      <c r="BM1544" s="301"/>
      <c r="BN1544" s="301"/>
      <c r="BO1544" s="91"/>
      <c r="BP1544" s="9"/>
      <c r="BS1544" s="81"/>
      <c r="BT1544" s="81"/>
      <c r="BV1544" s="9"/>
      <c r="BY1544" s="81"/>
      <c r="BZ1544" s="81"/>
      <c r="CB1544" s="9"/>
      <c r="CE1544" s="81"/>
      <c r="CF1544" s="81"/>
      <c r="CH1544" s="9"/>
      <c r="CK1544" s="81"/>
      <c r="CL1544" s="81"/>
      <c r="CR1544" s="9"/>
      <c r="CS1544" s="9"/>
      <c r="CT1544" s="9"/>
      <c r="CU1544" s="9"/>
      <c r="CV1544" s="9"/>
      <c r="CW1544" s="129"/>
      <c r="CX1544" s="9"/>
    </row>
    <row r="1545" spans="1:102">
      <c r="A1545" s="6" t="str">
        <f t="shared" si="231"/>
        <v>03080308</v>
      </c>
      <c r="B1545" s="6" t="s">
        <v>1958</v>
      </c>
      <c r="C1545" s="6" t="s">
        <v>1958</v>
      </c>
      <c r="D1545" s="6">
        <v>1536</v>
      </c>
      <c r="E1545" s="6">
        <v>308</v>
      </c>
      <c r="F1545" s="6" t="s">
        <v>1426</v>
      </c>
      <c r="G1545" s="6">
        <v>308</v>
      </c>
      <c r="H1545" s="6" t="s">
        <v>989</v>
      </c>
      <c r="I1545" s="33">
        <v>98129290.060850009</v>
      </c>
      <c r="J1545" s="88">
        <v>1</v>
      </c>
      <c r="K1545" s="89">
        <f>X1545</f>
        <v>103566216.31179999</v>
      </c>
      <c r="L1545" s="88">
        <f>IF(K1549&gt;0, K1545/K1549, 0)</f>
        <v>1</v>
      </c>
      <c r="M1545" s="58"/>
      <c r="N1545" s="9">
        <f>ROUND(M1549*L1545,0)</f>
        <v>79254279</v>
      </c>
      <c r="O1545" s="9">
        <v>74508112</v>
      </c>
      <c r="P1545" s="9">
        <f>N1545-O1545</f>
        <v>4746167</v>
      </c>
      <c r="Q1545" s="40">
        <f t="shared" si="239"/>
        <v>6.3700003564712526</v>
      </c>
      <c r="R1545" s="9">
        <v>5657</v>
      </c>
      <c r="S1545" s="9">
        <f t="shared" si="237"/>
        <v>5718</v>
      </c>
      <c r="T1545" s="90">
        <f t="shared" si="232"/>
        <v>308</v>
      </c>
      <c r="U1545" s="90">
        <f t="shared" si="233"/>
        <v>308</v>
      </c>
      <c r="V1545" s="373">
        <f t="shared" si="234"/>
        <v>1536</v>
      </c>
      <c r="W1545" s="90">
        <f t="shared" si="235"/>
        <v>5718</v>
      </c>
      <c r="X1545" s="90">
        <f t="shared" si="236"/>
        <v>103566216.31179999</v>
      </c>
      <c r="Y1545" s="141">
        <f t="shared" si="238"/>
        <v>1536</v>
      </c>
      <c r="Z1545" s="298">
        <v>308</v>
      </c>
      <c r="AA1545" s="299">
        <v>308</v>
      </c>
      <c r="AB1545" s="299">
        <v>1536</v>
      </c>
      <c r="AC1545" s="301">
        <v>5718</v>
      </c>
      <c r="AD1545" s="301">
        <v>103566216.31179999</v>
      </c>
      <c r="AE1545" s="126"/>
      <c r="AF1545" s="298"/>
      <c r="AG1545" s="299"/>
      <c r="AH1545" s="299"/>
      <c r="AI1545" s="301"/>
      <c r="AJ1545" s="301"/>
      <c r="AK1545" s="426"/>
      <c r="AL1545" s="298"/>
      <c r="AM1545" s="299"/>
      <c r="AN1545" s="299"/>
      <c r="AO1545" s="301"/>
      <c r="AP1545" s="301"/>
      <c r="AQ1545" s="426"/>
      <c r="AR1545" s="298"/>
      <c r="AS1545" s="299"/>
      <c r="AT1545" s="299"/>
      <c r="AU1545" s="301"/>
      <c r="AV1545" s="301"/>
      <c r="AW1545" s="88"/>
      <c r="AX1545" s="298"/>
      <c r="AY1545" s="299"/>
      <c r="AZ1545" s="299"/>
      <c r="BA1545" s="301"/>
      <c r="BB1545" s="301"/>
      <c r="BC1545" s="426"/>
      <c r="BD1545" s="298"/>
      <c r="BE1545" s="299"/>
      <c r="BF1545" s="299"/>
      <c r="BG1545" s="301"/>
      <c r="BH1545" s="301"/>
      <c r="BI1545" s="88"/>
      <c r="BJ1545" s="298"/>
      <c r="BK1545" s="299"/>
      <c r="BL1545" s="299"/>
      <c r="BM1545" s="301"/>
      <c r="BN1545" s="301"/>
      <c r="BO1545" s="88"/>
      <c r="BP1545" s="9"/>
      <c r="BS1545" s="81"/>
      <c r="BT1545" s="81"/>
      <c r="BV1545" s="9"/>
      <c r="BY1545" s="81"/>
      <c r="BZ1545" s="81"/>
      <c r="CB1545" s="9"/>
      <c r="CE1545" s="81"/>
      <c r="CF1545" s="81"/>
      <c r="CH1545" s="9"/>
      <c r="CK1545" s="81"/>
      <c r="CL1545" s="81"/>
      <c r="CR1545" s="9"/>
      <c r="CS1545" s="9"/>
      <c r="CT1545" s="9"/>
      <c r="CU1545" s="9"/>
      <c r="CV1545" s="9"/>
      <c r="CW1545" s="129"/>
      <c r="CX1545" s="9"/>
    </row>
    <row r="1546" spans="1:102">
      <c r="A1546" s="6" t="str">
        <f t="shared" ref="A1546:A1609" si="241">B1546&amp;C1546</f>
        <v>03080998</v>
      </c>
      <c r="B1546" s="6" t="s">
        <v>1958</v>
      </c>
      <c r="C1546" s="6" t="s">
        <v>2091</v>
      </c>
      <c r="D1546" s="6">
        <v>1537</v>
      </c>
      <c r="E1546" s="6">
        <v>308</v>
      </c>
      <c r="F1546" s="6" t="s">
        <v>1547</v>
      </c>
      <c r="G1546" s="6">
        <v>998</v>
      </c>
      <c r="H1546" s="6" t="s">
        <v>1547</v>
      </c>
      <c r="I1546" s="33">
        <v>0</v>
      </c>
      <c r="J1546" s="88">
        <v>0</v>
      </c>
      <c r="K1546" s="89">
        <f t="shared" si="240"/>
        <v>0</v>
      </c>
      <c r="L1546" s="88">
        <f>IF(K1549&gt;0, K1546/K1549, 0)</f>
        <v>0</v>
      </c>
      <c r="M1546" s="58"/>
      <c r="N1546" s="9">
        <f>ROUND(M1549*L1546,0)</f>
        <v>0</v>
      </c>
      <c r="O1546" s="9">
        <v>0</v>
      </c>
      <c r="P1546" s="9">
        <f>N1546-O1546</f>
        <v>0</v>
      </c>
      <c r="Q1546" s="40">
        <f t="shared" si="239"/>
        <v>0</v>
      </c>
      <c r="R1546" s="9">
        <v>0</v>
      </c>
      <c r="S1546" s="9">
        <f t="shared" si="237"/>
        <v>0</v>
      </c>
      <c r="T1546" s="90">
        <f t="shared" ref="T1546:T1609" si="242">VLOOKUP($D1546, foundoptions, VLOOKUP($T$6, foundoptcell, 2, FALSE), FALSE)</f>
        <v>308</v>
      </c>
      <c r="U1546" s="90">
        <f t="shared" ref="U1546:U1609" si="243">VLOOKUP($D1546, foundoptions, VLOOKUP($T$6, foundoptcell, 2, FALSE)+1, FALSE)</f>
        <v>998</v>
      </c>
      <c r="V1546" s="373">
        <f t="shared" ref="V1546:V1609" si="244">VLOOKUP($D1546, foundoptions, VLOOKUP($T$6, foundoptcell, 2, FALSE)+2, FALSE)</f>
        <v>1537</v>
      </c>
      <c r="W1546" s="90">
        <f t="shared" ref="W1546:W1609" si="245">VLOOKUP($D1546, foundoptions, VLOOKUP($T$6, foundoptcell, 2, FALSE)+3, FALSE)</f>
        <v>0</v>
      </c>
      <c r="X1546" s="90">
        <f t="shared" ref="X1546:X1609" si="246">VLOOKUP($D1546, foundoptions, VLOOKUP($T$6, foundoptcell, 2, FALSE)+4, FALSE)</f>
        <v>0</v>
      </c>
      <c r="Y1546" s="141">
        <f t="shared" si="238"/>
        <v>1537</v>
      </c>
      <c r="Z1546" s="298">
        <v>308</v>
      </c>
      <c r="AA1546" s="299">
        <v>998</v>
      </c>
      <c r="AB1546" s="299">
        <v>1537</v>
      </c>
      <c r="AC1546" s="301">
        <v>0</v>
      </c>
      <c r="AD1546" s="301">
        <v>0</v>
      </c>
      <c r="AE1546" s="126"/>
      <c r="AF1546" s="298"/>
      <c r="AG1546" s="299"/>
      <c r="AH1546" s="299"/>
      <c r="AI1546" s="301"/>
      <c r="AJ1546" s="301"/>
      <c r="AK1546" s="426"/>
      <c r="AL1546" s="298"/>
      <c r="AM1546" s="299"/>
      <c r="AN1546" s="299"/>
      <c r="AO1546" s="301"/>
      <c r="AP1546" s="301"/>
      <c r="AQ1546" s="426"/>
      <c r="AR1546" s="298"/>
      <c r="AS1546" s="299"/>
      <c r="AT1546" s="299"/>
      <c r="AU1546" s="301"/>
      <c r="AV1546" s="301"/>
      <c r="AW1546" s="88"/>
      <c r="AX1546" s="298"/>
      <c r="AY1546" s="299"/>
      <c r="AZ1546" s="299"/>
      <c r="BA1546" s="301"/>
      <c r="BB1546" s="301"/>
      <c r="BC1546" s="426"/>
      <c r="BD1546" s="298"/>
      <c r="BE1546" s="299"/>
      <c r="BF1546" s="299"/>
      <c r="BG1546" s="301"/>
      <c r="BH1546" s="301"/>
      <c r="BI1546" s="88"/>
      <c r="BJ1546" s="298"/>
      <c r="BK1546" s="299"/>
      <c r="BL1546" s="299"/>
      <c r="BM1546" s="301"/>
      <c r="BN1546" s="301"/>
      <c r="BO1546" s="88"/>
      <c r="BP1546" s="9"/>
      <c r="BS1546" s="81"/>
      <c r="BT1546" s="81"/>
      <c r="BV1546" s="9"/>
      <c r="BY1546" s="81"/>
      <c r="BZ1546" s="81"/>
      <c r="CB1546" s="9"/>
      <c r="CE1546" s="81"/>
      <c r="CF1546" s="81"/>
      <c r="CH1546" s="9"/>
      <c r="CK1546" s="81"/>
      <c r="CL1546" s="81"/>
      <c r="CR1546" s="9"/>
      <c r="CS1546" s="9"/>
      <c r="CT1546" s="9"/>
      <c r="CU1546" s="9"/>
      <c r="CV1546" s="9"/>
      <c r="CW1546" s="129"/>
      <c r="CX1546" s="9"/>
    </row>
    <row r="1547" spans="1:102">
      <c r="A1547" s="6" t="str">
        <f t="shared" si="241"/>
        <v>03080998</v>
      </c>
      <c r="B1547" s="6" t="s">
        <v>1958</v>
      </c>
      <c r="C1547" s="6" t="s">
        <v>2091</v>
      </c>
      <c r="D1547" s="6">
        <v>1538</v>
      </c>
      <c r="E1547" s="6">
        <v>308</v>
      </c>
      <c r="F1547" s="6" t="s">
        <v>1547</v>
      </c>
      <c r="G1547" s="6">
        <v>998</v>
      </c>
      <c r="H1547" s="6" t="s">
        <v>1547</v>
      </c>
      <c r="I1547" s="33">
        <v>0</v>
      </c>
      <c r="J1547" s="88">
        <v>0</v>
      </c>
      <c r="K1547" s="89">
        <f t="shared" si="240"/>
        <v>0</v>
      </c>
      <c r="L1547" s="88">
        <f>IF(K1549&gt;0, K1547/K1549, 0)</f>
        <v>0</v>
      </c>
      <c r="M1547" s="58"/>
      <c r="N1547" s="9">
        <f>ROUND(M1549*L1547,0)</f>
        <v>0</v>
      </c>
      <c r="O1547" s="9">
        <v>0</v>
      </c>
      <c r="P1547" s="9">
        <f>N1547-O1547</f>
        <v>0</v>
      </c>
      <c r="Q1547" s="40">
        <f t="shared" si="239"/>
        <v>0</v>
      </c>
      <c r="R1547" s="9">
        <v>0</v>
      </c>
      <c r="S1547" s="9">
        <f t="shared" ref="S1547:S1610" si="247">W1547</f>
        <v>0</v>
      </c>
      <c r="T1547" s="90">
        <f t="shared" si="242"/>
        <v>308</v>
      </c>
      <c r="U1547" s="90">
        <f t="shared" si="243"/>
        <v>998</v>
      </c>
      <c r="V1547" s="373">
        <f t="shared" si="244"/>
        <v>1538</v>
      </c>
      <c r="W1547" s="90">
        <f t="shared" si="245"/>
        <v>0</v>
      </c>
      <c r="X1547" s="90">
        <f t="shared" si="246"/>
        <v>0</v>
      </c>
      <c r="Y1547" s="141">
        <f t="shared" ref="Y1547:Y1610" si="248">D1547</f>
        <v>1538</v>
      </c>
      <c r="Z1547" s="298">
        <v>308</v>
      </c>
      <c r="AA1547" s="299">
        <v>998</v>
      </c>
      <c r="AB1547" s="299">
        <v>1538</v>
      </c>
      <c r="AC1547" s="301">
        <v>0</v>
      </c>
      <c r="AD1547" s="301">
        <v>0</v>
      </c>
      <c r="AE1547" s="126"/>
      <c r="AF1547" s="298"/>
      <c r="AG1547" s="299"/>
      <c r="AH1547" s="299"/>
      <c r="AI1547" s="301"/>
      <c r="AJ1547" s="301"/>
      <c r="AK1547" s="426"/>
      <c r="AL1547" s="298"/>
      <c r="AM1547" s="299"/>
      <c r="AN1547" s="299"/>
      <c r="AO1547" s="301"/>
      <c r="AP1547" s="301"/>
      <c r="AQ1547" s="426"/>
      <c r="AR1547" s="298"/>
      <c r="AS1547" s="299"/>
      <c r="AT1547" s="299"/>
      <c r="AU1547" s="301"/>
      <c r="AV1547" s="301"/>
      <c r="AW1547" s="88"/>
      <c r="AX1547" s="298"/>
      <c r="AY1547" s="299"/>
      <c r="AZ1547" s="299"/>
      <c r="BA1547" s="301"/>
      <c r="BB1547" s="301"/>
      <c r="BC1547" s="426"/>
      <c r="BD1547" s="298"/>
      <c r="BE1547" s="299"/>
      <c r="BF1547" s="299"/>
      <c r="BG1547" s="301"/>
      <c r="BH1547" s="301"/>
      <c r="BI1547" s="88"/>
      <c r="BJ1547" s="298"/>
      <c r="BK1547" s="299"/>
      <c r="BL1547" s="299"/>
      <c r="BM1547" s="301"/>
      <c r="BN1547" s="301"/>
      <c r="BO1547" s="88"/>
      <c r="BP1547" s="9"/>
      <c r="BS1547" s="81"/>
      <c r="BT1547" s="81"/>
      <c r="BV1547" s="9"/>
      <c r="BY1547" s="81"/>
      <c r="BZ1547" s="81"/>
      <c r="CB1547" s="9"/>
      <c r="CE1547" s="81"/>
      <c r="CF1547" s="81"/>
      <c r="CH1547" s="9"/>
      <c r="CK1547" s="81"/>
      <c r="CL1547" s="81"/>
      <c r="CR1547" s="9"/>
      <c r="CS1547" s="9"/>
      <c r="CT1547" s="9"/>
      <c r="CU1547" s="9"/>
      <c r="CV1547" s="9"/>
      <c r="CW1547" s="129"/>
      <c r="CX1547" s="9"/>
    </row>
    <row r="1548" spans="1:102">
      <c r="A1548" s="6" t="str">
        <f t="shared" si="241"/>
        <v>03080998</v>
      </c>
      <c r="B1548" s="6" t="s">
        <v>1958</v>
      </c>
      <c r="C1548" s="6" t="s">
        <v>2091</v>
      </c>
      <c r="D1548" s="6">
        <v>1539</v>
      </c>
      <c r="E1548" s="6">
        <v>308</v>
      </c>
      <c r="F1548" s="6" t="s">
        <v>1547</v>
      </c>
      <c r="G1548" s="6">
        <v>998</v>
      </c>
      <c r="H1548" s="6" t="s">
        <v>1547</v>
      </c>
      <c r="I1548" s="33">
        <v>0</v>
      </c>
      <c r="J1548" s="88">
        <v>0</v>
      </c>
      <c r="K1548" s="89">
        <f t="shared" si="240"/>
        <v>0</v>
      </c>
      <c r="L1548" s="88">
        <f>IF(K1549&gt;0, K1548/K1549, 0)</f>
        <v>0</v>
      </c>
      <c r="M1548" s="58"/>
      <c r="N1548" s="9">
        <f>ROUND(M1549*L1548,0)</f>
        <v>0</v>
      </c>
      <c r="O1548" s="9">
        <v>0</v>
      </c>
      <c r="P1548" s="9">
        <f>N1548-O1548</f>
        <v>0</v>
      </c>
      <c r="Q1548" s="40">
        <f t="shared" si="239"/>
        <v>0</v>
      </c>
      <c r="R1548" s="9">
        <v>0</v>
      </c>
      <c r="S1548" s="9">
        <f t="shared" si="247"/>
        <v>0</v>
      </c>
      <c r="T1548" s="90">
        <f t="shared" si="242"/>
        <v>308</v>
      </c>
      <c r="U1548" s="90">
        <f t="shared" si="243"/>
        <v>998</v>
      </c>
      <c r="V1548" s="373">
        <f t="shared" si="244"/>
        <v>1539</v>
      </c>
      <c r="W1548" s="90">
        <f t="shared" si="245"/>
        <v>0</v>
      </c>
      <c r="X1548" s="90">
        <f t="shared" si="246"/>
        <v>0</v>
      </c>
      <c r="Y1548" s="141">
        <f t="shared" si="248"/>
        <v>1539</v>
      </c>
      <c r="Z1548" s="298">
        <v>308</v>
      </c>
      <c r="AA1548" s="299">
        <v>998</v>
      </c>
      <c r="AB1548" s="299">
        <v>1539</v>
      </c>
      <c r="AC1548" s="301">
        <v>0</v>
      </c>
      <c r="AD1548" s="301">
        <v>0</v>
      </c>
      <c r="AE1548" s="126"/>
      <c r="AF1548" s="298"/>
      <c r="AG1548" s="299"/>
      <c r="AH1548" s="299"/>
      <c r="AI1548" s="301"/>
      <c r="AJ1548" s="301"/>
      <c r="AK1548" s="426"/>
      <c r="AL1548" s="298"/>
      <c r="AM1548" s="299"/>
      <c r="AN1548" s="299"/>
      <c r="AO1548" s="301"/>
      <c r="AP1548" s="301"/>
      <c r="AQ1548" s="426"/>
      <c r="AR1548" s="298"/>
      <c r="AS1548" s="299"/>
      <c r="AT1548" s="299"/>
      <c r="AU1548" s="301"/>
      <c r="AV1548" s="301"/>
      <c r="AW1548" s="88"/>
      <c r="AX1548" s="298"/>
      <c r="AY1548" s="299"/>
      <c r="AZ1548" s="299"/>
      <c r="BA1548" s="301"/>
      <c r="BB1548" s="301"/>
      <c r="BC1548" s="426"/>
      <c r="BD1548" s="298"/>
      <c r="BE1548" s="299"/>
      <c r="BF1548" s="299"/>
      <c r="BG1548" s="301"/>
      <c r="BH1548" s="301"/>
      <c r="BI1548" s="88"/>
      <c r="BJ1548" s="298"/>
      <c r="BK1548" s="299"/>
      <c r="BL1548" s="299"/>
      <c r="BM1548" s="301"/>
      <c r="BN1548" s="301"/>
      <c r="BO1548" s="88"/>
      <c r="BP1548" s="9"/>
      <c r="BS1548" s="81"/>
      <c r="BT1548" s="81"/>
      <c r="BV1548" s="9"/>
      <c r="BY1548" s="81"/>
      <c r="BZ1548" s="81"/>
      <c r="CB1548" s="9"/>
      <c r="CE1548" s="81"/>
      <c r="CF1548" s="81"/>
      <c r="CH1548" s="9"/>
      <c r="CK1548" s="81"/>
      <c r="CL1548" s="81"/>
      <c r="CR1548" s="9"/>
      <c r="CS1548" s="9"/>
      <c r="CT1548" s="9"/>
      <c r="CU1548" s="9"/>
      <c r="CV1548" s="9"/>
      <c r="CW1548" s="129"/>
      <c r="CX1548" s="9"/>
    </row>
    <row r="1549" spans="1:102">
      <c r="A1549" s="6" t="str">
        <f t="shared" si="241"/>
        <v>03080999</v>
      </c>
      <c r="B1549" s="6" t="s">
        <v>1958</v>
      </c>
      <c r="C1549" s="6" t="s">
        <v>2092</v>
      </c>
      <c r="D1549" s="6">
        <v>1540</v>
      </c>
      <c r="E1549" s="10">
        <v>308</v>
      </c>
      <c r="F1549" s="10" t="s">
        <v>1426</v>
      </c>
      <c r="G1549" s="10">
        <v>999</v>
      </c>
      <c r="H1549" s="10" t="s">
        <v>593</v>
      </c>
      <c r="I1549" s="92">
        <v>98129290.060850009</v>
      </c>
      <c r="J1549" s="472">
        <v>1</v>
      </c>
      <c r="K1549" s="53">
        <f>SUM(K1545:K1548)</f>
        <v>103566216.31179999</v>
      </c>
      <c r="L1549" s="91">
        <f>SUM(L1545:L1548)</f>
        <v>1</v>
      </c>
      <c r="M1549" s="79">
        <f>VLOOKUP(E1549,town351,24)</f>
        <v>79254279</v>
      </c>
      <c r="N1549" s="79">
        <f>SUM(N1545:N1548)</f>
        <v>79254279</v>
      </c>
      <c r="O1549" s="79">
        <v>74508112</v>
      </c>
      <c r="P1549" s="79">
        <f>SUM(P1545:P1548)</f>
        <v>4746167</v>
      </c>
      <c r="Q1549" s="39">
        <f t="shared" si="239"/>
        <v>6.3700003564712526</v>
      </c>
      <c r="R1549" s="9">
        <v>5657</v>
      </c>
      <c r="S1549" s="9">
        <f t="shared" si="247"/>
        <v>5718</v>
      </c>
      <c r="T1549" s="90">
        <f t="shared" si="242"/>
        <v>308</v>
      </c>
      <c r="U1549" s="90">
        <f t="shared" si="243"/>
        <v>999</v>
      </c>
      <c r="V1549" s="373">
        <f t="shared" si="244"/>
        <v>1540</v>
      </c>
      <c r="W1549" s="90">
        <f t="shared" si="245"/>
        <v>5718</v>
      </c>
      <c r="X1549" s="90">
        <f t="shared" si="246"/>
        <v>103566216.31179999</v>
      </c>
      <c r="Y1549" s="141">
        <f t="shared" si="248"/>
        <v>1540</v>
      </c>
      <c r="Z1549" s="298">
        <v>308</v>
      </c>
      <c r="AA1549" s="299">
        <v>999</v>
      </c>
      <c r="AB1549" s="299">
        <v>1540</v>
      </c>
      <c r="AC1549" s="301">
        <v>5718</v>
      </c>
      <c r="AD1549" s="301">
        <v>103566216.31179999</v>
      </c>
      <c r="AE1549" s="126"/>
      <c r="AF1549" s="298"/>
      <c r="AG1549" s="299"/>
      <c r="AH1549" s="299"/>
      <c r="AI1549" s="301"/>
      <c r="AJ1549" s="301"/>
      <c r="AK1549" s="426"/>
      <c r="AL1549" s="298"/>
      <c r="AM1549" s="299"/>
      <c r="AN1549" s="299"/>
      <c r="AO1549" s="301"/>
      <c r="AP1549" s="301"/>
      <c r="AQ1549" s="426"/>
      <c r="AR1549" s="298"/>
      <c r="AS1549" s="299"/>
      <c r="AT1549" s="299"/>
      <c r="AU1549" s="301"/>
      <c r="AV1549" s="301"/>
      <c r="AW1549" s="91"/>
      <c r="AX1549" s="298"/>
      <c r="AY1549" s="299"/>
      <c r="AZ1549" s="299"/>
      <c r="BA1549" s="301"/>
      <c r="BB1549" s="301"/>
      <c r="BC1549" s="426"/>
      <c r="BD1549" s="298"/>
      <c r="BE1549" s="299"/>
      <c r="BF1549" s="299"/>
      <c r="BG1549" s="301"/>
      <c r="BH1549" s="301"/>
      <c r="BI1549" s="91"/>
      <c r="BJ1549" s="298"/>
      <c r="BK1549" s="299"/>
      <c r="BL1549" s="299"/>
      <c r="BM1549" s="301"/>
      <c r="BN1549" s="301"/>
      <c r="BO1549" s="91"/>
      <c r="BP1549" s="9"/>
      <c r="BS1549" s="81"/>
      <c r="BT1549" s="81"/>
      <c r="BV1549" s="9"/>
      <c r="BY1549" s="81"/>
      <c r="BZ1549" s="81"/>
      <c r="CB1549" s="9"/>
      <c r="CE1549" s="81"/>
      <c r="CF1549" s="81"/>
      <c r="CH1549" s="9"/>
      <c r="CK1549" s="81"/>
      <c r="CL1549" s="81"/>
      <c r="CR1549" s="9"/>
      <c r="CS1549" s="9"/>
      <c r="CT1549" s="9"/>
      <c r="CU1549" s="9"/>
      <c r="CV1549" s="9"/>
      <c r="CW1549" s="129"/>
      <c r="CX1549" s="9"/>
    </row>
    <row r="1550" spans="1:102">
      <c r="A1550" s="6" t="str">
        <f t="shared" si="241"/>
        <v>03090309</v>
      </c>
      <c r="B1550" s="6" t="s">
        <v>1959</v>
      </c>
      <c r="C1550" s="6" t="s">
        <v>1959</v>
      </c>
      <c r="D1550" s="6">
        <v>1541</v>
      </c>
      <c r="E1550" s="6">
        <v>309</v>
      </c>
      <c r="F1550" s="6" t="s">
        <v>1427</v>
      </c>
      <c r="G1550" s="6">
        <v>309</v>
      </c>
      <c r="H1550" s="6" t="s">
        <v>990</v>
      </c>
      <c r="I1550" s="33">
        <v>19400007.25</v>
      </c>
      <c r="J1550" s="88">
        <v>0.88726977198060542</v>
      </c>
      <c r="K1550" s="89">
        <f>X1550</f>
        <v>20308799.120000001</v>
      </c>
      <c r="L1550" s="88">
        <f>IF(K1554&gt;0, K1550/K1554, 0)</f>
        <v>0.89615772295032359</v>
      </c>
      <c r="M1550" s="58"/>
      <c r="N1550" s="9">
        <f>ROUND(M1554*L1550,0)</f>
        <v>6201461</v>
      </c>
      <c r="O1550" s="9">
        <v>5872745</v>
      </c>
      <c r="P1550" s="9">
        <f>N1550-O1550</f>
        <v>328716</v>
      </c>
      <c r="Q1550" s="40">
        <f t="shared" si="239"/>
        <v>5.5973143734318453</v>
      </c>
      <c r="R1550" s="9">
        <v>1264</v>
      </c>
      <c r="S1550" s="9">
        <f t="shared" si="247"/>
        <v>1266</v>
      </c>
      <c r="T1550" s="90">
        <f t="shared" si="242"/>
        <v>309</v>
      </c>
      <c r="U1550" s="90">
        <f t="shared" si="243"/>
        <v>309</v>
      </c>
      <c r="V1550" s="373">
        <f t="shared" si="244"/>
        <v>1541</v>
      </c>
      <c r="W1550" s="90">
        <f t="shared" si="245"/>
        <v>1266</v>
      </c>
      <c r="X1550" s="90">
        <f t="shared" si="246"/>
        <v>20308799.120000001</v>
      </c>
      <c r="Y1550" s="141">
        <f t="shared" si="248"/>
        <v>1541</v>
      </c>
      <c r="Z1550" s="298">
        <v>309</v>
      </c>
      <c r="AA1550" s="299">
        <v>309</v>
      </c>
      <c r="AB1550" s="299">
        <v>1541</v>
      </c>
      <c r="AC1550" s="301">
        <v>1266</v>
      </c>
      <c r="AD1550" s="301">
        <v>20308799.120000001</v>
      </c>
      <c r="AE1550" s="126"/>
      <c r="AF1550" s="298"/>
      <c r="AG1550" s="299"/>
      <c r="AH1550" s="299"/>
      <c r="AI1550" s="301"/>
      <c r="AJ1550" s="301"/>
      <c r="AK1550" s="426"/>
      <c r="AL1550" s="298"/>
      <c r="AM1550" s="299"/>
      <c r="AN1550" s="299"/>
      <c r="AO1550" s="301"/>
      <c r="AP1550" s="301"/>
      <c r="AQ1550" s="426"/>
      <c r="AR1550" s="298"/>
      <c r="AS1550" s="299"/>
      <c r="AT1550" s="299"/>
      <c r="AU1550" s="301"/>
      <c r="AV1550" s="301"/>
      <c r="AW1550" s="88"/>
      <c r="AX1550" s="298"/>
      <c r="AY1550" s="299"/>
      <c r="AZ1550" s="299"/>
      <c r="BA1550" s="301"/>
      <c r="BB1550" s="301"/>
      <c r="BC1550" s="426"/>
      <c r="BD1550" s="298"/>
      <c r="BE1550" s="299"/>
      <c r="BF1550" s="299"/>
      <c r="BG1550" s="301"/>
      <c r="BH1550" s="301"/>
      <c r="BI1550" s="88"/>
      <c r="BJ1550" s="298"/>
      <c r="BK1550" s="299"/>
      <c r="BL1550" s="299"/>
      <c r="BM1550" s="301"/>
      <c r="BN1550" s="301"/>
      <c r="BO1550" s="88"/>
      <c r="BP1550" s="9"/>
      <c r="BS1550" s="81"/>
      <c r="BT1550" s="81"/>
      <c r="BV1550" s="9"/>
      <c r="BY1550" s="81"/>
      <c r="BZ1550" s="81"/>
      <c r="CB1550" s="9"/>
      <c r="CE1550" s="81"/>
      <c r="CF1550" s="81"/>
      <c r="CH1550" s="9"/>
      <c r="CK1550" s="81"/>
      <c r="CL1550" s="81"/>
      <c r="CR1550" s="9"/>
      <c r="CS1550" s="9"/>
      <c r="CT1550" s="9"/>
      <c r="CU1550" s="9"/>
      <c r="CV1550" s="9"/>
      <c r="CW1550" s="129"/>
      <c r="CX1550" s="9"/>
    </row>
    <row r="1551" spans="1:102">
      <c r="A1551" s="6" t="str">
        <f t="shared" si="241"/>
        <v>03090860</v>
      </c>
      <c r="B1551" s="6" t="s">
        <v>1959</v>
      </c>
      <c r="C1551" s="6" t="s">
        <v>2080</v>
      </c>
      <c r="D1551" s="6">
        <v>1542</v>
      </c>
      <c r="E1551" s="6">
        <v>309</v>
      </c>
      <c r="F1551" s="6" t="s">
        <v>1427</v>
      </c>
      <c r="G1551" s="6">
        <v>860</v>
      </c>
      <c r="H1551" s="6" t="s">
        <v>1110</v>
      </c>
      <c r="I1551" s="33">
        <v>2464827.8459758167</v>
      </c>
      <c r="J1551" s="88">
        <v>0.11273022801939465</v>
      </c>
      <c r="K1551" s="89">
        <f t="shared" si="240"/>
        <v>2353282.1184895006</v>
      </c>
      <c r="L1551" s="88">
        <f>IF(K1554&gt;0, K1551/K1554, 0)</f>
        <v>0.10384227704967641</v>
      </c>
      <c r="M1551" s="58"/>
      <c r="N1551" s="9">
        <f>ROUND(M1554*L1551,0)</f>
        <v>718594</v>
      </c>
      <c r="O1551" s="9">
        <v>746150</v>
      </c>
      <c r="P1551" s="9">
        <f>N1551-O1551</f>
        <v>-27556</v>
      </c>
      <c r="Q1551" s="40">
        <f t="shared" si="239"/>
        <v>-3.6930912015010389</v>
      </c>
      <c r="R1551" s="9">
        <v>115.9999999998</v>
      </c>
      <c r="S1551" s="9">
        <f t="shared" si="247"/>
        <v>107.99999999844999</v>
      </c>
      <c r="T1551" s="90">
        <f t="shared" si="242"/>
        <v>309</v>
      </c>
      <c r="U1551" s="90">
        <f t="shared" si="243"/>
        <v>860</v>
      </c>
      <c r="V1551" s="373">
        <f t="shared" si="244"/>
        <v>1542</v>
      </c>
      <c r="W1551" s="90">
        <f t="shared" si="245"/>
        <v>107.99999999844999</v>
      </c>
      <c r="X1551" s="90">
        <f t="shared" si="246"/>
        <v>2353282.1184895006</v>
      </c>
      <c r="Y1551" s="141">
        <f t="shared" si="248"/>
        <v>1542</v>
      </c>
      <c r="Z1551" s="298">
        <v>309</v>
      </c>
      <c r="AA1551" s="299">
        <v>860</v>
      </c>
      <c r="AB1551" s="299">
        <v>1542</v>
      </c>
      <c r="AC1551" s="301">
        <v>107.99999999844999</v>
      </c>
      <c r="AD1551" s="301">
        <v>2353282.1184895006</v>
      </c>
      <c r="AE1551" s="126"/>
      <c r="AF1551" s="298"/>
      <c r="AG1551" s="299"/>
      <c r="AH1551" s="299"/>
      <c r="AI1551" s="301"/>
      <c r="AJ1551" s="301"/>
      <c r="AK1551" s="426"/>
      <c r="AL1551" s="298"/>
      <c r="AM1551" s="299"/>
      <c r="AN1551" s="299"/>
      <c r="AO1551" s="301"/>
      <c r="AP1551" s="301"/>
      <c r="AQ1551" s="426"/>
      <c r="AR1551" s="298"/>
      <c r="AS1551" s="299"/>
      <c r="AT1551" s="299"/>
      <c r="AU1551" s="301"/>
      <c r="AV1551" s="301"/>
      <c r="AW1551" s="88"/>
      <c r="AX1551" s="298"/>
      <c r="AY1551" s="299"/>
      <c r="AZ1551" s="299"/>
      <c r="BA1551" s="301"/>
      <c r="BB1551" s="301"/>
      <c r="BC1551" s="426"/>
      <c r="BD1551" s="298"/>
      <c r="BE1551" s="299"/>
      <c r="BF1551" s="299"/>
      <c r="BG1551" s="301"/>
      <c r="BH1551" s="301"/>
      <c r="BI1551" s="88"/>
      <c r="BJ1551" s="298"/>
      <c r="BK1551" s="299"/>
      <c r="BL1551" s="299"/>
      <c r="BM1551" s="301"/>
      <c r="BN1551" s="301"/>
      <c r="BO1551" s="88"/>
      <c r="BP1551" s="9"/>
      <c r="BS1551" s="81"/>
      <c r="BT1551" s="81"/>
      <c r="BV1551" s="9"/>
      <c r="BY1551" s="81"/>
      <c r="BZ1551" s="81"/>
      <c r="CB1551" s="9"/>
      <c r="CE1551" s="81"/>
      <c r="CF1551" s="81"/>
      <c r="CH1551" s="9"/>
      <c r="CK1551" s="81"/>
      <c r="CL1551" s="81"/>
      <c r="CR1551" s="9"/>
      <c r="CS1551" s="9"/>
      <c r="CT1551" s="9"/>
      <c r="CU1551" s="9"/>
      <c r="CV1551" s="9"/>
      <c r="CW1551" s="129"/>
      <c r="CX1551" s="9"/>
    </row>
    <row r="1552" spans="1:102">
      <c r="A1552" s="6" t="str">
        <f t="shared" si="241"/>
        <v>03090998</v>
      </c>
      <c r="B1552" s="6" t="s">
        <v>1959</v>
      </c>
      <c r="C1552" s="6" t="s">
        <v>2091</v>
      </c>
      <c r="D1552" s="6">
        <v>1543</v>
      </c>
      <c r="E1552" s="6">
        <v>309</v>
      </c>
      <c r="F1552" s="6" t="s">
        <v>1547</v>
      </c>
      <c r="G1552" s="6">
        <v>998</v>
      </c>
      <c r="H1552" s="6" t="s">
        <v>1547</v>
      </c>
      <c r="I1552" s="33">
        <v>0</v>
      </c>
      <c r="J1552" s="88">
        <v>0</v>
      </c>
      <c r="K1552" s="89">
        <f t="shared" si="240"/>
        <v>0</v>
      </c>
      <c r="L1552" s="88">
        <f>IF(K1554&gt;0, K1552/K1554, 0)</f>
        <v>0</v>
      </c>
      <c r="M1552" s="58"/>
      <c r="N1552" s="9">
        <f>ROUND(M1554*L1552,0)</f>
        <v>0</v>
      </c>
      <c r="O1552" s="9">
        <v>0</v>
      </c>
      <c r="P1552" s="9">
        <f>N1552-O1552</f>
        <v>0</v>
      </c>
      <c r="Q1552" s="40">
        <f>IF(O1552&gt;0,P1552*100/O1552,IF(P1552&gt;0,100,0))</f>
        <v>0</v>
      </c>
      <c r="R1552" s="9">
        <v>0</v>
      </c>
      <c r="S1552" s="9">
        <f t="shared" si="247"/>
        <v>0</v>
      </c>
      <c r="T1552" s="90">
        <f t="shared" si="242"/>
        <v>309</v>
      </c>
      <c r="U1552" s="90">
        <f t="shared" si="243"/>
        <v>998</v>
      </c>
      <c r="V1552" s="373">
        <f t="shared" si="244"/>
        <v>1543</v>
      </c>
      <c r="W1552" s="90">
        <f t="shared" si="245"/>
        <v>0</v>
      </c>
      <c r="X1552" s="90">
        <f t="shared" si="246"/>
        <v>0</v>
      </c>
      <c r="Y1552" s="141">
        <f t="shared" si="248"/>
        <v>1543</v>
      </c>
      <c r="Z1552" s="298">
        <v>309</v>
      </c>
      <c r="AA1552" s="299">
        <v>998</v>
      </c>
      <c r="AB1552" s="299">
        <v>1543</v>
      </c>
      <c r="AC1552" s="301">
        <v>0</v>
      </c>
      <c r="AD1552" s="301">
        <v>0</v>
      </c>
      <c r="AE1552" s="126"/>
      <c r="AF1552" s="298"/>
      <c r="AG1552" s="299"/>
      <c r="AH1552" s="299"/>
      <c r="AI1552" s="301"/>
      <c r="AJ1552" s="301"/>
      <c r="AK1552" s="426"/>
      <c r="AL1552" s="298"/>
      <c r="AM1552" s="299"/>
      <c r="AN1552" s="299"/>
      <c r="AO1552" s="301"/>
      <c r="AP1552" s="301"/>
      <c r="AQ1552" s="426"/>
      <c r="AR1552" s="298"/>
      <c r="AS1552" s="299"/>
      <c r="AT1552" s="299"/>
      <c r="AU1552" s="301"/>
      <c r="AV1552" s="301"/>
      <c r="AW1552" s="88"/>
      <c r="AX1552" s="298"/>
      <c r="AY1552" s="299"/>
      <c r="AZ1552" s="299"/>
      <c r="BA1552" s="301"/>
      <c r="BB1552" s="301"/>
      <c r="BC1552" s="426"/>
      <c r="BD1552" s="298"/>
      <c r="BE1552" s="299"/>
      <c r="BF1552" s="299"/>
      <c r="BG1552" s="301"/>
      <c r="BH1552" s="301"/>
      <c r="BI1552" s="88"/>
      <c r="BJ1552" s="298"/>
      <c r="BK1552" s="299"/>
      <c r="BL1552" s="299"/>
      <c r="BM1552" s="301"/>
      <c r="BN1552" s="301"/>
      <c r="BO1552" s="88"/>
      <c r="BP1552" s="9"/>
      <c r="BS1552" s="81"/>
      <c r="BT1552" s="81"/>
      <c r="BV1552" s="9"/>
      <c r="BY1552" s="81"/>
      <c r="BZ1552" s="81"/>
      <c r="CB1552" s="9"/>
      <c r="CE1552" s="81"/>
      <c r="CF1552" s="81"/>
      <c r="CH1552" s="9"/>
      <c r="CK1552" s="81"/>
      <c r="CL1552" s="81"/>
      <c r="CR1552" s="9"/>
      <c r="CS1552" s="9"/>
      <c r="CT1552" s="9"/>
      <c r="CU1552" s="9"/>
      <c r="CV1552" s="9"/>
      <c r="CW1552" s="129"/>
      <c r="CX1552" s="9"/>
    </row>
    <row r="1553" spans="1:102">
      <c r="A1553" s="6" t="str">
        <f t="shared" si="241"/>
        <v>03090998</v>
      </c>
      <c r="B1553" s="6" t="s">
        <v>1959</v>
      </c>
      <c r="C1553" s="6" t="s">
        <v>2091</v>
      </c>
      <c r="D1553" s="6">
        <v>1544</v>
      </c>
      <c r="E1553" s="6">
        <v>309</v>
      </c>
      <c r="F1553" s="6" t="s">
        <v>1547</v>
      </c>
      <c r="G1553" s="6">
        <v>998</v>
      </c>
      <c r="H1553" s="6" t="s">
        <v>1547</v>
      </c>
      <c r="I1553" s="33">
        <v>0</v>
      </c>
      <c r="J1553" s="88">
        <v>0</v>
      </c>
      <c r="K1553" s="89">
        <f t="shared" si="240"/>
        <v>0</v>
      </c>
      <c r="L1553" s="88">
        <f>IF(K1554&gt;0, K1553/K1554, 0)</f>
        <v>0</v>
      </c>
      <c r="M1553" s="58"/>
      <c r="N1553" s="9">
        <f>ROUND(M1554*L1553,0)</f>
        <v>0</v>
      </c>
      <c r="O1553" s="9">
        <v>0</v>
      </c>
      <c r="P1553" s="9">
        <f>N1553-O1553</f>
        <v>0</v>
      </c>
      <c r="Q1553" s="40">
        <f>IF(O1553&gt;0,P1553*100/O1553,IF(P1553&gt;0,100,0))</f>
        <v>0</v>
      </c>
      <c r="R1553" s="9">
        <v>0</v>
      </c>
      <c r="S1553" s="9">
        <f t="shared" si="247"/>
        <v>0</v>
      </c>
      <c r="T1553" s="90">
        <f t="shared" si="242"/>
        <v>309</v>
      </c>
      <c r="U1553" s="90">
        <f t="shared" si="243"/>
        <v>998</v>
      </c>
      <c r="V1553" s="373">
        <f t="shared" si="244"/>
        <v>1544</v>
      </c>
      <c r="W1553" s="90">
        <f t="shared" si="245"/>
        <v>0</v>
      </c>
      <c r="X1553" s="90">
        <f t="shared" si="246"/>
        <v>0</v>
      </c>
      <c r="Y1553" s="141">
        <f t="shared" si="248"/>
        <v>1544</v>
      </c>
      <c r="Z1553" s="298">
        <v>309</v>
      </c>
      <c r="AA1553" s="299">
        <v>998</v>
      </c>
      <c r="AB1553" s="299">
        <v>1544</v>
      </c>
      <c r="AC1553" s="301">
        <v>0</v>
      </c>
      <c r="AD1553" s="301">
        <v>0</v>
      </c>
      <c r="AE1553" s="126"/>
      <c r="AF1553" s="298"/>
      <c r="AG1553" s="299"/>
      <c r="AH1553" s="299"/>
      <c r="AI1553" s="301"/>
      <c r="AJ1553" s="301"/>
      <c r="AK1553" s="426"/>
      <c r="AL1553" s="298"/>
      <c r="AM1553" s="299"/>
      <c r="AN1553" s="299"/>
      <c r="AO1553" s="301"/>
      <c r="AP1553" s="301"/>
      <c r="AQ1553" s="426"/>
      <c r="AR1553" s="298"/>
      <c r="AS1553" s="299"/>
      <c r="AT1553" s="299"/>
      <c r="AU1553" s="301"/>
      <c r="AV1553" s="301"/>
      <c r="AW1553" s="88"/>
      <c r="AX1553" s="298"/>
      <c r="AY1553" s="299"/>
      <c r="AZ1553" s="299"/>
      <c r="BA1553" s="301"/>
      <c r="BB1553" s="301"/>
      <c r="BC1553" s="426"/>
      <c r="BD1553" s="298"/>
      <c r="BE1553" s="299"/>
      <c r="BF1553" s="299"/>
      <c r="BG1553" s="301"/>
      <c r="BH1553" s="301"/>
      <c r="BI1553" s="88"/>
      <c r="BJ1553" s="298"/>
      <c r="BK1553" s="299"/>
      <c r="BL1553" s="299"/>
      <c r="BM1553" s="301"/>
      <c r="BN1553" s="301"/>
      <c r="BO1553" s="88"/>
      <c r="BP1553" s="9"/>
      <c r="BS1553" s="81"/>
      <c r="BT1553" s="81"/>
      <c r="BV1553" s="9"/>
      <c r="BY1553" s="81"/>
      <c r="BZ1553" s="81"/>
      <c r="CB1553" s="9"/>
      <c r="CE1553" s="81"/>
      <c r="CF1553" s="81"/>
      <c r="CH1553" s="9"/>
      <c r="CK1553" s="81"/>
      <c r="CL1553" s="81"/>
      <c r="CR1553" s="9"/>
      <c r="CS1553" s="9"/>
      <c r="CT1553" s="9"/>
      <c r="CU1553" s="9"/>
      <c r="CV1553" s="9"/>
      <c r="CW1553" s="129"/>
      <c r="CX1553" s="9"/>
    </row>
    <row r="1554" spans="1:102">
      <c r="A1554" s="6" t="str">
        <f t="shared" si="241"/>
        <v>03090999</v>
      </c>
      <c r="B1554" s="6" t="s">
        <v>1959</v>
      </c>
      <c r="C1554" s="6" t="s">
        <v>2092</v>
      </c>
      <c r="D1554" s="6">
        <v>1545</v>
      </c>
      <c r="E1554" s="10">
        <v>309</v>
      </c>
      <c r="F1554" s="10" t="s">
        <v>1427</v>
      </c>
      <c r="G1554" s="10">
        <v>999</v>
      </c>
      <c r="H1554" s="10" t="s">
        <v>593</v>
      </c>
      <c r="I1554" s="92">
        <v>21864835.095975816</v>
      </c>
      <c r="J1554" s="472">
        <v>1</v>
      </c>
      <c r="K1554" s="53">
        <f>SUM(K1550:K1553)</f>
        <v>22662081.238489501</v>
      </c>
      <c r="L1554" s="91">
        <f>SUM(L1550:L1553)</f>
        <v>1</v>
      </c>
      <c r="M1554" s="79">
        <f>VLOOKUP(E1554,town351,24)</f>
        <v>6920055</v>
      </c>
      <c r="N1554" s="79">
        <f>SUM(N1550:N1553)</f>
        <v>6920055</v>
      </c>
      <c r="O1554" s="79">
        <v>6618895</v>
      </c>
      <c r="P1554" s="79">
        <f>SUM(P1550:P1553)</f>
        <v>301160</v>
      </c>
      <c r="Q1554" s="39">
        <f t="shared" ref="Q1554:Q1615" si="249">IF(O1554&gt;0,P1554*100/O1554,IF(P1554&gt;0,100,0))</f>
        <v>4.5500041925427128</v>
      </c>
      <c r="R1554" s="9">
        <v>1379.9999999997999</v>
      </c>
      <c r="S1554" s="9">
        <f t="shared" si="247"/>
        <v>1373.99999999845</v>
      </c>
      <c r="T1554" s="90">
        <f t="shared" si="242"/>
        <v>309</v>
      </c>
      <c r="U1554" s="90">
        <f t="shared" si="243"/>
        <v>999</v>
      </c>
      <c r="V1554" s="373">
        <f t="shared" si="244"/>
        <v>1545</v>
      </c>
      <c r="W1554" s="90">
        <f t="shared" si="245"/>
        <v>1373.99999999845</v>
      </c>
      <c r="X1554" s="90">
        <f t="shared" si="246"/>
        <v>22662081.238489501</v>
      </c>
      <c r="Y1554" s="141">
        <f t="shared" si="248"/>
        <v>1545</v>
      </c>
      <c r="Z1554" s="298">
        <v>309</v>
      </c>
      <c r="AA1554" s="299">
        <v>999</v>
      </c>
      <c r="AB1554" s="299">
        <v>1545</v>
      </c>
      <c r="AC1554" s="301">
        <v>1373.99999999845</v>
      </c>
      <c r="AD1554" s="301">
        <v>22662081.238489501</v>
      </c>
      <c r="AE1554" s="126"/>
      <c r="AF1554" s="298"/>
      <c r="AG1554" s="299"/>
      <c r="AH1554" s="299"/>
      <c r="AI1554" s="301"/>
      <c r="AJ1554" s="301"/>
      <c r="AK1554" s="426"/>
      <c r="AL1554" s="298"/>
      <c r="AM1554" s="299"/>
      <c r="AN1554" s="299"/>
      <c r="AO1554" s="301"/>
      <c r="AP1554" s="301"/>
      <c r="AQ1554" s="426"/>
      <c r="AR1554" s="298"/>
      <c r="AS1554" s="299"/>
      <c r="AT1554" s="299"/>
      <c r="AU1554" s="301"/>
      <c r="AV1554" s="301"/>
      <c r="AW1554" s="91"/>
      <c r="AX1554" s="298"/>
      <c r="AY1554" s="299"/>
      <c r="AZ1554" s="299"/>
      <c r="BA1554" s="301"/>
      <c r="BB1554" s="301"/>
      <c r="BC1554" s="426"/>
      <c r="BD1554" s="298"/>
      <c r="BE1554" s="299"/>
      <c r="BF1554" s="299"/>
      <c r="BG1554" s="301"/>
      <c r="BH1554" s="301"/>
      <c r="BI1554" s="91"/>
      <c r="BJ1554" s="298"/>
      <c r="BK1554" s="299"/>
      <c r="BL1554" s="299"/>
      <c r="BM1554" s="301"/>
      <c r="BN1554" s="301"/>
      <c r="BO1554" s="91"/>
      <c r="BP1554" s="9"/>
      <c r="BS1554" s="81"/>
      <c r="BT1554" s="81"/>
      <c r="BV1554" s="9"/>
      <c r="BY1554" s="81"/>
      <c r="BZ1554" s="81"/>
      <c r="CB1554" s="9"/>
      <c r="CE1554" s="81"/>
      <c r="CF1554" s="81"/>
      <c r="CH1554" s="9"/>
      <c r="CK1554" s="81"/>
      <c r="CL1554" s="81"/>
      <c r="CR1554" s="9"/>
      <c r="CS1554" s="9"/>
      <c r="CT1554" s="9"/>
      <c r="CU1554" s="9"/>
      <c r="CV1554" s="9"/>
      <c r="CW1554" s="129"/>
      <c r="CX1554" s="9"/>
    </row>
    <row r="1555" spans="1:102">
      <c r="A1555" s="6" t="str">
        <f t="shared" si="241"/>
        <v>03100310</v>
      </c>
      <c r="B1555" s="6" t="s">
        <v>1960</v>
      </c>
      <c r="C1555" s="6" t="s">
        <v>1960</v>
      </c>
      <c r="D1555" s="6">
        <v>1546</v>
      </c>
      <c r="E1555" s="6">
        <v>310</v>
      </c>
      <c r="F1555" s="6" t="s">
        <v>1428</v>
      </c>
      <c r="G1555" s="6">
        <v>310</v>
      </c>
      <c r="H1555" s="6" t="s">
        <v>991</v>
      </c>
      <c r="I1555" s="33">
        <v>37763668.480000004</v>
      </c>
      <c r="J1555" s="88">
        <v>0.8833515731090924</v>
      </c>
      <c r="K1555" s="89">
        <f>X1555</f>
        <v>37911821.280000001</v>
      </c>
      <c r="L1555" s="88">
        <f>IF(K1559&gt;0, K1555/K1559, 0)</f>
        <v>0.8719231958871132</v>
      </c>
      <c r="M1555" s="58"/>
      <c r="N1555" s="9">
        <f>ROUND(M1559*L1555,0)</f>
        <v>22749870</v>
      </c>
      <c r="O1555" s="9">
        <v>21536212</v>
      </c>
      <c r="P1555" s="9">
        <f>N1555-O1555</f>
        <v>1213658</v>
      </c>
      <c r="Q1555" s="40">
        <f t="shared" si="249"/>
        <v>5.6354292946224716</v>
      </c>
      <c r="R1555" s="9">
        <v>2307</v>
      </c>
      <c r="S1555" s="9">
        <f t="shared" si="247"/>
        <v>2244</v>
      </c>
      <c r="T1555" s="90">
        <f t="shared" si="242"/>
        <v>310</v>
      </c>
      <c r="U1555" s="90">
        <f t="shared" si="243"/>
        <v>310</v>
      </c>
      <c r="V1555" s="373">
        <f t="shared" si="244"/>
        <v>1546</v>
      </c>
      <c r="W1555" s="90">
        <f t="shared" si="245"/>
        <v>2244</v>
      </c>
      <c r="X1555" s="90">
        <f t="shared" si="246"/>
        <v>37911821.280000001</v>
      </c>
      <c r="Y1555" s="141">
        <f t="shared" si="248"/>
        <v>1546</v>
      </c>
      <c r="Z1555" s="298">
        <v>310</v>
      </c>
      <c r="AA1555" s="299">
        <v>310</v>
      </c>
      <c r="AB1555" s="299">
        <v>1546</v>
      </c>
      <c r="AC1555" s="301">
        <v>2244</v>
      </c>
      <c r="AD1555" s="301">
        <v>37911821.280000001</v>
      </c>
      <c r="AE1555" s="126"/>
      <c r="AF1555" s="298"/>
      <c r="AG1555" s="299"/>
      <c r="AH1555" s="299"/>
      <c r="AI1555" s="301"/>
      <c r="AJ1555" s="301"/>
      <c r="AK1555" s="426"/>
      <c r="AL1555" s="298"/>
      <c r="AM1555" s="299"/>
      <c r="AN1555" s="299"/>
      <c r="AO1555" s="301"/>
      <c r="AP1555" s="301"/>
      <c r="AQ1555" s="426"/>
      <c r="AR1555" s="298"/>
      <c r="AS1555" s="299"/>
      <c r="AT1555" s="299"/>
      <c r="AU1555" s="301"/>
      <c r="AV1555" s="301"/>
      <c r="AW1555" s="88"/>
      <c r="AX1555" s="298"/>
      <c r="AY1555" s="299"/>
      <c r="AZ1555" s="299"/>
      <c r="BA1555" s="301"/>
      <c r="BB1555" s="301"/>
      <c r="BC1555" s="426"/>
      <c r="BD1555" s="298"/>
      <c r="BE1555" s="299"/>
      <c r="BF1555" s="299"/>
      <c r="BG1555" s="301"/>
      <c r="BH1555" s="301"/>
      <c r="BI1555" s="88"/>
      <c r="BJ1555" s="298"/>
      <c r="BK1555" s="299"/>
      <c r="BL1555" s="299"/>
      <c r="BM1555" s="301"/>
      <c r="BN1555" s="301"/>
      <c r="BO1555" s="88"/>
      <c r="BP1555" s="9"/>
      <c r="BS1555" s="81"/>
      <c r="BT1555" s="81"/>
      <c r="BV1555" s="9"/>
      <c r="BY1555" s="81"/>
      <c r="BZ1555" s="81"/>
      <c r="CB1555" s="9"/>
      <c r="CE1555" s="81"/>
      <c r="CF1555" s="81"/>
      <c r="CH1555" s="9"/>
      <c r="CK1555" s="81"/>
      <c r="CL1555" s="81"/>
      <c r="CR1555" s="9"/>
      <c r="CS1555" s="9"/>
      <c r="CT1555" s="9"/>
      <c r="CU1555" s="9"/>
      <c r="CV1555" s="9"/>
      <c r="CW1555" s="129"/>
      <c r="CX1555" s="9"/>
    </row>
    <row r="1556" spans="1:102">
      <c r="A1556" s="6" t="str">
        <f t="shared" si="241"/>
        <v>03100879</v>
      </c>
      <c r="B1556" s="6" t="s">
        <v>1960</v>
      </c>
      <c r="C1556" s="6" t="s">
        <v>2086</v>
      </c>
      <c r="D1556" s="6">
        <v>1547</v>
      </c>
      <c r="E1556" s="6">
        <v>310</v>
      </c>
      <c r="F1556" s="6" t="s">
        <v>1428</v>
      </c>
      <c r="G1556" s="6">
        <v>879</v>
      </c>
      <c r="H1556" s="6" t="s">
        <v>1116</v>
      </c>
      <c r="I1556" s="33">
        <v>4986771.5821430152</v>
      </c>
      <c r="J1556" s="88">
        <v>0.11664842689090754</v>
      </c>
      <c r="K1556" s="89">
        <f t="shared" si="240"/>
        <v>5568867.6830086112</v>
      </c>
      <c r="L1556" s="88">
        <f>IF(K1559&gt;0, K1556/K1559, 0)</f>
        <v>0.12807680411288674</v>
      </c>
      <c r="M1556" s="58"/>
      <c r="N1556" s="9">
        <f>ROUND(M1559*L1556,0)</f>
        <v>3341728</v>
      </c>
      <c r="O1556" s="9">
        <v>2843902</v>
      </c>
      <c r="P1556" s="9">
        <f>N1556-O1556</f>
        <v>497826</v>
      </c>
      <c r="Q1556" s="40">
        <f t="shared" si="249"/>
        <v>17.505033577106385</v>
      </c>
      <c r="R1556" s="9">
        <v>238.20152091501998</v>
      </c>
      <c r="S1556" s="9">
        <f t="shared" si="247"/>
        <v>262.92145369320002</v>
      </c>
      <c r="T1556" s="90">
        <f t="shared" si="242"/>
        <v>310</v>
      </c>
      <c r="U1556" s="90">
        <f t="shared" si="243"/>
        <v>879</v>
      </c>
      <c r="V1556" s="373">
        <f t="shared" si="244"/>
        <v>1547</v>
      </c>
      <c r="W1556" s="90">
        <f t="shared" si="245"/>
        <v>262.92145369320002</v>
      </c>
      <c r="X1556" s="90">
        <f t="shared" si="246"/>
        <v>5568867.6830086112</v>
      </c>
      <c r="Y1556" s="141">
        <f t="shared" si="248"/>
        <v>1547</v>
      </c>
      <c r="Z1556" s="298">
        <v>310</v>
      </c>
      <c r="AA1556" s="299">
        <v>879</v>
      </c>
      <c r="AB1556" s="299">
        <v>1547</v>
      </c>
      <c r="AC1556" s="301">
        <v>262.92145369320002</v>
      </c>
      <c r="AD1556" s="301">
        <v>5568867.6830086112</v>
      </c>
      <c r="AE1556" s="126"/>
      <c r="AF1556" s="298"/>
      <c r="AG1556" s="299"/>
      <c r="AH1556" s="299"/>
      <c r="AI1556" s="301"/>
      <c r="AJ1556" s="301"/>
      <c r="AK1556" s="426"/>
      <c r="AL1556" s="298"/>
      <c r="AM1556" s="299"/>
      <c r="AN1556" s="299"/>
      <c r="AO1556" s="301"/>
      <c r="AP1556" s="301"/>
      <c r="AQ1556" s="426"/>
      <c r="AR1556" s="298"/>
      <c r="AS1556" s="299"/>
      <c r="AT1556" s="299"/>
      <c r="AU1556" s="301"/>
      <c r="AV1556" s="301"/>
      <c r="AW1556" s="88"/>
      <c r="AX1556" s="298"/>
      <c r="AY1556" s="299"/>
      <c r="AZ1556" s="299"/>
      <c r="BA1556" s="301"/>
      <c r="BB1556" s="301"/>
      <c r="BC1556" s="426"/>
      <c r="BD1556" s="298"/>
      <c r="BE1556" s="299"/>
      <c r="BF1556" s="299"/>
      <c r="BG1556" s="301"/>
      <c r="BH1556" s="301"/>
      <c r="BI1556" s="88"/>
      <c r="BJ1556" s="298"/>
      <c r="BK1556" s="299"/>
      <c r="BL1556" s="299"/>
      <c r="BM1556" s="301"/>
      <c r="BN1556" s="301"/>
      <c r="BO1556" s="88"/>
      <c r="BP1556" s="9"/>
      <c r="BS1556" s="81"/>
      <c r="BT1556" s="81"/>
      <c r="BV1556" s="9"/>
      <c r="BY1556" s="81"/>
      <c r="BZ1556" s="81"/>
      <c r="CB1556" s="9"/>
      <c r="CE1556" s="81"/>
      <c r="CF1556" s="81"/>
      <c r="CH1556" s="9"/>
      <c r="CK1556" s="81"/>
      <c r="CL1556" s="81"/>
      <c r="CR1556" s="9"/>
      <c r="CS1556" s="9"/>
      <c r="CT1556" s="9"/>
      <c r="CU1556" s="9"/>
      <c r="CV1556" s="9"/>
      <c r="CW1556" s="129"/>
      <c r="CX1556" s="9"/>
    </row>
    <row r="1557" spans="1:102">
      <c r="A1557" s="6" t="str">
        <f t="shared" si="241"/>
        <v>03100998</v>
      </c>
      <c r="B1557" s="6" t="s">
        <v>1960</v>
      </c>
      <c r="C1557" s="6" t="s">
        <v>2091</v>
      </c>
      <c r="D1557" s="6">
        <v>1548</v>
      </c>
      <c r="E1557" s="6">
        <v>310</v>
      </c>
      <c r="F1557" s="6" t="s">
        <v>1547</v>
      </c>
      <c r="G1557" s="6">
        <v>998</v>
      </c>
      <c r="H1557" s="6" t="s">
        <v>1547</v>
      </c>
      <c r="I1557" s="33">
        <v>0</v>
      </c>
      <c r="J1557" s="88">
        <v>0</v>
      </c>
      <c r="K1557" s="89">
        <f t="shared" si="240"/>
        <v>0</v>
      </c>
      <c r="L1557" s="88">
        <f>IF(K1559&gt;0, K1557/K1559, 0)</f>
        <v>0</v>
      </c>
      <c r="M1557" s="58"/>
      <c r="N1557" s="9">
        <f>ROUND(M1559*L1557,0)</f>
        <v>0</v>
      </c>
      <c r="O1557" s="9">
        <v>0</v>
      </c>
      <c r="P1557" s="9">
        <f>N1557-O1557</f>
        <v>0</v>
      </c>
      <c r="Q1557" s="40">
        <f t="shared" si="249"/>
        <v>0</v>
      </c>
      <c r="R1557" s="9">
        <v>0</v>
      </c>
      <c r="S1557" s="9">
        <f t="shared" si="247"/>
        <v>0</v>
      </c>
      <c r="T1557" s="90">
        <f t="shared" si="242"/>
        <v>310</v>
      </c>
      <c r="U1557" s="90">
        <f t="shared" si="243"/>
        <v>998</v>
      </c>
      <c r="V1557" s="373">
        <f t="shared" si="244"/>
        <v>1548</v>
      </c>
      <c r="W1557" s="90">
        <f t="shared" si="245"/>
        <v>0</v>
      </c>
      <c r="X1557" s="90">
        <f t="shared" si="246"/>
        <v>0</v>
      </c>
      <c r="Y1557" s="141">
        <f t="shared" si="248"/>
        <v>1548</v>
      </c>
      <c r="Z1557" s="298">
        <v>310</v>
      </c>
      <c r="AA1557" s="299">
        <v>998</v>
      </c>
      <c r="AB1557" s="299">
        <v>1548</v>
      </c>
      <c r="AC1557" s="301">
        <v>0</v>
      </c>
      <c r="AD1557" s="301">
        <v>0</v>
      </c>
      <c r="AE1557" s="126"/>
      <c r="AF1557" s="298"/>
      <c r="AG1557" s="299"/>
      <c r="AH1557" s="299"/>
      <c r="AI1557" s="301"/>
      <c r="AJ1557" s="301"/>
      <c r="AK1557" s="426"/>
      <c r="AL1557" s="298"/>
      <c r="AM1557" s="299"/>
      <c r="AN1557" s="299"/>
      <c r="AO1557" s="301"/>
      <c r="AP1557" s="301"/>
      <c r="AQ1557" s="426"/>
      <c r="AR1557" s="298"/>
      <c r="AS1557" s="299"/>
      <c r="AT1557" s="299"/>
      <c r="AU1557" s="301"/>
      <c r="AV1557" s="301"/>
      <c r="AW1557" s="88"/>
      <c r="AX1557" s="298"/>
      <c r="AY1557" s="299"/>
      <c r="AZ1557" s="299"/>
      <c r="BA1557" s="301"/>
      <c r="BB1557" s="301"/>
      <c r="BC1557" s="426"/>
      <c r="BD1557" s="298"/>
      <c r="BE1557" s="299"/>
      <c r="BF1557" s="299"/>
      <c r="BG1557" s="301"/>
      <c r="BH1557" s="301"/>
      <c r="BI1557" s="88"/>
      <c r="BJ1557" s="298"/>
      <c r="BK1557" s="299"/>
      <c r="BL1557" s="299"/>
      <c r="BM1557" s="301"/>
      <c r="BN1557" s="301"/>
      <c r="BO1557" s="88"/>
      <c r="BP1557" s="9"/>
      <c r="BS1557" s="81"/>
      <c r="BT1557" s="81"/>
      <c r="BV1557" s="9"/>
      <c r="BY1557" s="81"/>
      <c r="BZ1557" s="81"/>
      <c r="CB1557" s="9"/>
      <c r="CE1557" s="81"/>
      <c r="CF1557" s="81"/>
      <c r="CH1557" s="9"/>
      <c r="CK1557" s="81"/>
      <c r="CL1557" s="81"/>
      <c r="CR1557" s="9"/>
      <c r="CS1557" s="9"/>
      <c r="CT1557" s="9"/>
      <c r="CU1557" s="9"/>
      <c r="CV1557" s="9"/>
      <c r="CW1557" s="129"/>
      <c r="CX1557" s="9"/>
    </row>
    <row r="1558" spans="1:102">
      <c r="A1558" s="6" t="str">
        <f t="shared" si="241"/>
        <v>03100998</v>
      </c>
      <c r="B1558" s="6" t="s">
        <v>1960</v>
      </c>
      <c r="C1558" s="6" t="s">
        <v>2091</v>
      </c>
      <c r="D1558" s="6">
        <v>1549</v>
      </c>
      <c r="E1558" s="6">
        <v>310</v>
      </c>
      <c r="F1558" s="6" t="s">
        <v>1547</v>
      </c>
      <c r="G1558" s="6">
        <v>998</v>
      </c>
      <c r="H1558" s="6" t="s">
        <v>1547</v>
      </c>
      <c r="I1558" s="33">
        <v>0</v>
      </c>
      <c r="J1558" s="88">
        <v>0</v>
      </c>
      <c r="K1558" s="89">
        <f t="shared" si="240"/>
        <v>0</v>
      </c>
      <c r="L1558" s="88">
        <f>IF(K1559&gt;0, K1558/K1559, 0)</f>
        <v>0</v>
      </c>
      <c r="M1558" s="58"/>
      <c r="N1558" s="9">
        <f>ROUND(M1559*L1558,0)</f>
        <v>0</v>
      </c>
      <c r="O1558" s="9">
        <v>0</v>
      </c>
      <c r="P1558" s="9">
        <f>N1558-O1558</f>
        <v>0</v>
      </c>
      <c r="Q1558" s="40">
        <f t="shared" si="249"/>
        <v>0</v>
      </c>
      <c r="R1558" s="9">
        <v>0</v>
      </c>
      <c r="S1558" s="9">
        <f t="shared" si="247"/>
        <v>0</v>
      </c>
      <c r="T1558" s="90">
        <f t="shared" si="242"/>
        <v>310</v>
      </c>
      <c r="U1558" s="90">
        <f t="shared" si="243"/>
        <v>998</v>
      </c>
      <c r="V1558" s="373">
        <f t="shared" si="244"/>
        <v>1549</v>
      </c>
      <c r="W1558" s="90">
        <f t="shared" si="245"/>
        <v>0</v>
      </c>
      <c r="X1558" s="90">
        <f t="shared" si="246"/>
        <v>0</v>
      </c>
      <c r="Y1558" s="141">
        <f t="shared" si="248"/>
        <v>1549</v>
      </c>
      <c r="Z1558" s="298">
        <v>310</v>
      </c>
      <c r="AA1558" s="299">
        <v>998</v>
      </c>
      <c r="AB1558" s="299">
        <v>1549</v>
      </c>
      <c r="AC1558" s="301">
        <v>0</v>
      </c>
      <c r="AD1558" s="301">
        <v>0</v>
      </c>
      <c r="AE1558" s="126"/>
      <c r="AF1558" s="298"/>
      <c r="AG1558" s="299"/>
      <c r="AH1558" s="299"/>
      <c r="AI1558" s="301"/>
      <c r="AJ1558" s="301"/>
      <c r="AK1558" s="426"/>
      <c r="AL1558" s="298"/>
      <c r="AM1558" s="299"/>
      <c r="AN1558" s="299"/>
      <c r="AO1558" s="301"/>
      <c r="AP1558" s="301"/>
      <c r="AQ1558" s="426"/>
      <c r="AR1558" s="298"/>
      <c r="AS1558" s="299"/>
      <c r="AT1558" s="299"/>
      <c r="AU1558" s="301"/>
      <c r="AV1558" s="301"/>
      <c r="AW1558" s="88"/>
      <c r="AX1558" s="298"/>
      <c r="AY1558" s="299"/>
      <c r="AZ1558" s="299"/>
      <c r="BA1558" s="301"/>
      <c r="BB1558" s="301"/>
      <c r="BC1558" s="426"/>
      <c r="BD1558" s="298"/>
      <c r="BE1558" s="299"/>
      <c r="BF1558" s="299"/>
      <c r="BG1558" s="301"/>
      <c r="BH1558" s="301"/>
      <c r="BI1558" s="88"/>
      <c r="BJ1558" s="298"/>
      <c r="BK1558" s="299"/>
      <c r="BL1558" s="299"/>
      <c r="BM1558" s="301"/>
      <c r="BN1558" s="301"/>
      <c r="BO1558" s="88"/>
      <c r="BP1558" s="9"/>
      <c r="BS1558" s="81"/>
      <c r="BT1558" s="81"/>
      <c r="BV1558" s="9"/>
      <c r="BY1558" s="81"/>
      <c r="BZ1558" s="81"/>
      <c r="CB1558" s="9"/>
      <c r="CE1558" s="81"/>
      <c r="CF1558" s="81"/>
      <c r="CH1558" s="9"/>
      <c r="CK1558" s="81"/>
      <c r="CL1558" s="81"/>
      <c r="CR1558" s="9"/>
      <c r="CS1558" s="9"/>
      <c r="CT1558" s="9"/>
      <c r="CU1558" s="9"/>
      <c r="CV1558" s="9"/>
      <c r="CW1558" s="129"/>
      <c r="CX1558" s="9"/>
    </row>
    <row r="1559" spans="1:102">
      <c r="A1559" s="6" t="str">
        <f t="shared" si="241"/>
        <v>03100999</v>
      </c>
      <c r="B1559" s="6" t="s">
        <v>1960</v>
      </c>
      <c r="C1559" s="6" t="s">
        <v>2092</v>
      </c>
      <c r="D1559" s="6">
        <v>1550</v>
      </c>
      <c r="E1559" s="10">
        <v>310</v>
      </c>
      <c r="F1559" s="10" t="s">
        <v>1428</v>
      </c>
      <c r="G1559" s="10">
        <v>999</v>
      </c>
      <c r="H1559" s="10" t="s">
        <v>593</v>
      </c>
      <c r="I1559" s="92">
        <v>42750440.06214302</v>
      </c>
      <c r="J1559" s="472">
        <v>1</v>
      </c>
      <c r="K1559" s="53">
        <f>SUM(K1555:K1558)</f>
        <v>43480688.963008612</v>
      </c>
      <c r="L1559" s="91">
        <f>SUM(L1555:L1558)</f>
        <v>1</v>
      </c>
      <c r="M1559" s="79">
        <f>VLOOKUP(E1559,town351,24)</f>
        <v>26091598</v>
      </c>
      <c r="N1559" s="79">
        <f>SUM(N1555:N1558)</f>
        <v>26091598</v>
      </c>
      <c r="O1559" s="79">
        <v>24380114</v>
      </c>
      <c r="P1559" s="79">
        <f>SUM(P1555:P1558)</f>
        <v>1711484</v>
      </c>
      <c r="Q1559" s="39">
        <f t="shared" si="249"/>
        <v>7.01999998851523</v>
      </c>
      <c r="R1559" s="9">
        <v>2545.20152091502</v>
      </c>
      <c r="S1559" s="9">
        <f t="shared" si="247"/>
        <v>2506.9214536932</v>
      </c>
      <c r="T1559" s="90">
        <f t="shared" si="242"/>
        <v>310</v>
      </c>
      <c r="U1559" s="90">
        <f t="shared" si="243"/>
        <v>999</v>
      </c>
      <c r="V1559" s="373">
        <f t="shared" si="244"/>
        <v>1550</v>
      </c>
      <c r="W1559" s="90">
        <f t="shared" si="245"/>
        <v>2506.9214536932</v>
      </c>
      <c r="X1559" s="90">
        <f t="shared" si="246"/>
        <v>43480688.963008612</v>
      </c>
      <c r="Y1559" s="141">
        <f t="shared" si="248"/>
        <v>1550</v>
      </c>
      <c r="Z1559" s="298">
        <v>310</v>
      </c>
      <c r="AA1559" s="299">
        <v>999</v>
      </c>
      <c r="AB1559" s="299">
        <v>1550</v>
      </c>
      <c r="AC1559" s="301">
        <v>2506.9214536932</v>
      </c>
      <c r="AD1559" s="301">
        <v>43480688.963008612</v>
      </c>
      <c r="AE1559" s="126"/>
      <c r="AF1559" s="298"/>
      <c r="AG1559" s="299"/>
      <c r="AH1559" s="299"/>
      <c r="AI1559" s="301"/>
      <c r="AJ1559" s="301"/>
      <c r="AK1559" s="426"/>
      <c r="AL1559" s="298"/>
      <c r="AM1559" s="299"/>
      <c r="AN1559" s="299"/>
      <c r="AO1559" s="301"/>
      <c r="AP1559" s="301"/>
      <c r="AQ1559" s="426"/>
      <c r="AR1559" s="298"/>
      <c r="AS1559" s="299"/>
      <c r="AT1559" s="299"/>
      <c r="AU1559" s="301"/>
      <c r="AV1559" s="301"/>
      <c r="AW1559" s="91"/>
      <c r="AX1559" s="298"/>
      <c r="AY1559" s="299"/>
      <c r="AZ1559" s="299"/>
      <c r="BA1559" s="301"/>
      <c r="BB1559" s="301"/>
      <c r="BC1559" s="426"/>
      <c r="BD1559" s="298"/>
      <c r="BE1559" s="299"/>
      <c r="BF1559" s="299"/>
      <c r="BG1559" s="301"/>
      <c r="BH1559" s="301"/>
      <c r="BI1559" s="91"/>
      <c r="BJ1559" s="298"/>
      <c r="BK1559" s="299"/>
      <c r="BL1559" s="299"/>
      <c r="BM1559" s="301"/>
      <c r="BN1559" s="301"/>
      <c r="BO1559" s="91"/>
      <c r="BP1559" s="9"/>
      <c r="BS1559" s="81"/>
      <c r="BT1559" s="81"/>
      <c r="BV1559" s="9"/>
      <c r="BY1559" s="81"/>
      <c r="BZ1559" s="81"/>
      <c r="CB1559" s="9"/>
      <c r="CE1559" s="81"/>
      <c r="CF1559" s="81"/>
      <c r="CH1559" s="9"/>
      <c r="CK1559" s="81"/>
      <c r="CL1559" s="81"/>
      <c r="CR1559" s="9"/>
      <c r="CS1559" s="9"/>
      <c r="CT1559" s="9"/>
      <c r="CU1559" s="9"/>
      <c r="CV1559" s="9"/>
      <c r="CW1559" s="129"/>
      <c r="CX1559" s="9"/>
    </row>
    <row r="1560" spans="1:102">
      <c r="A1560" s="6" t="str">
        <f t="shared" si="241"/>
        <v>03110311</v>
      </c>
      <c r="B1560" s="6" t="s">
        <v>1961</v>
      </c>
      <c r="C1560" s="6" t="s">
        <v>1961</v>
      </c>
      <c r="D1560" s="6">
        <v>1551</v>
      </c>
      <c r="E1560" s="6">
        <v>311</v>
      </c>
      <c r="F1560" s="6" t="s">
        <v>1429</v>
      </c>
      <c r="G1560" s="6">
        <v>311</v>
      </c>
      <c r="H1560" s="6" t="s">
        <v>992</v>
      </c>
      <c r="I1560" s="33">
        <v>16490.760000000002</v>
      </c>
      <c r="J1560" s="88">
        <v>1.5124951385852921E-3</v>
      </c>
      <c r="K1560" s="89">
        <f>X1560</f>
        <v>16860.330000000002</v>
      </c>
      <c r="L1560" s="88">
        <f>IF(K1564&gt;0, K1560/K1564, 0)</f>
        <v>1.6194220537099284E-3</v>
      </c>
      <c r="M1560" s="58"/>
      <c r="N1560" s="9">
        <f>ROUND(M1564*L1560,0)</f>
        <v>5405</v>
      </c>
      <c r="O1560" s="9">
        <v>4845</v>
      </c>
      <c r="P1560" s="9">
        <f>N1560-O1560</f>
        <v>560</v>
      </c>
      <c r="Q1560" s="40">
        <f t="shared" si="249"/>
        <v>11.558307533539733</v>
      </c>
      <c r="R1560" s="9">
        <v>1</v>
      </c>
      <c r="S1560" s="9">
        <f t="shared" si="247"/>
        <v>1</v>
      </c>
      <c r="T1560" s="90">
        <f t="shared" si="242"/>
        <v>311</v>
      </c>
      <c r="U1560" s="90">
        <f t="shared" si="243"/>
        <v>311</v>
      </c>
      <c r="V1560" s="373">
        <f t="shared" si="244"/>
        <v>1551</v>
      </c>
      <c r="W1560" s="90">
        <f t="shared" si="245"/>
        <v>1</v>
      </c>
      <c r="X1560" s="90">
        <f t="shared" si="246"/>
        <v>16860.330000000002</v>
      </c>
      <c r="Y1560" s="141">
        <f t="shared" si="248"/>
        <v>1551</v>
      </c>
      <c r="Z1560" s="298">
        <v>311</v>
      </c>
      <c r="AA1560" s="299">
        <v>311</v>
      </c>
      <c r="AB1560" s="299">
        <v>1551</v>
      </c>
      <c r="AC1560" s="301">
        <v>1</v>
      </c>
      <c r="AD1560" s="301">
        <v>16860.330000000002</v>
      </c>
      <c r="AE1560" s="126"/>
      <c r="AF1560" s="298"/>
      <c r="AG1560" s="299"/>
      <c r="AH1560" s="299"/>
      <c r="AI1560" s="301"/>
      <c r="AJ1560" s="301"/>
      <c r="AK1560" s="426"/>
      <c r="AL1560" s="298"/>
      <c r="AM1560" s="299"/>
      <c r="AN1560" s="299"/>
      <c r="AO1560" s="301"/>
      <c r="AP1560" s="301"/>
      <c r="AQ1560" s="426"/>
      <c r="AR1560" s="298"/>
      <c r="AS1560" s="299"/>
      <c r="AT1560" s="299"/>
      <c r="AU1560" s="301"/>
      <c r="AV1560" s="301"/>
      <c r="AW1560" s="88"/>
      <c r="AX1560" s="298"/>
      <c r="AY1560" s="299"/>
      <c r="AZ1560" s="299"/>
      <c r="BA1560" s="301"/>
      <c r="BB1560" s="301"/>
      <c r="BC1560" s="426"/>
      <c r="BD1560" s="298"/>
      <c r="BE1560" s="299"/>
      <c r="BF1560" s="299"/>
      <c r="BG1560" s="301"/>
      <c r="BH1560" s="301"/>
      <c r="BI1560" s="88"/>
      <c r="BJ1560" s="298"/>
      <c r="BK1560" s="299"/>
      <c r="BL1560" s="299"/>
      <c r="BM1560" s="301"/>
      <c r="BN1560" s="301"/>
      <c r="BO1560" s="88"/>
      <c r="BP1560" s="9"/>
      <c r="BS1560" s="81"/>
      <c r="BT1560" s="81"/>
      <c r="BV1560" s="9"/>
      <c r="BY1560" s="81"/>
      <c r="BZ1560" s="81"/>
      <c r="CB1560" s="9"/>
      <c r="CE1560" s="81"/>
      <c r="CF1560" s="81"/>
      <c r="CH1560" s="9"/>
      <c r="CK1560" s="81"/>
      <c r="CL1560" s="81"/>
      <c r="CR1560" s="9"/>
      <c r="CS1560" s="9"/>
      <c r="CT1560" s="9"/>
      <c r="CU1560" s="9"/>
      <c r="CV1560" s="9"/>
      <c r="CW1560" s="129"/>
      <c r="CX1560" s="9"/>
    </row>
    <row r="1561" spans="1:102">
      <c r="A1561" s="6" t="str">
        <f t="shared" si="241"/>
        <v>03110778</v>
      </c>
      <c r="B1561" s="6" t="s">
        <v>1961</v>
      </c>
      <c r="C1561" s="6" t="s">
        <v>2060</v>
      </c>
      <c r="D1561" s="6">
        <v>1552</v>
      </c>
      <c r="E1561" s="6">
        <v>311</v>
      </c>
      <c r="F1561" s="6" t="s">
        <v>1429</v>
      </c>
      <c r="G1561" s="6">
        <v>778</v>
      </c>
      <c r="H1561" s="6" t="s">
        <v>1090</v>
      </c>
      <c r="I1561" s="33">
        <v>9824100.3064649906</v>
      </c>
      <c r="J1561" s="88">
        <v>0.90104421836850301</v>
      </c>
      <c r="K1561" s="89">
        <f t="shared" si="240"/>
        <v>9239613.683993686</v>
      </c>
      <c r="L1561" s="88">
        <f>IF(K1564&gt;0, K1561/K1564, 0)</f>
        <v>0.88745796598402338</v>
      </c>
      <c r="M1561" s="58"/>
      <c r="N1561" s="9">
        <f>ROUND(M1564*L1561,0)</f>
        <v>2961937</v>
      </c>
      <c r="O1561" s="9">
        <v>2886067</v>
      </c>
      <c r="P1561" s="9">
        <f>N1561-O1561</f>
        <v>75870</v>
      </c>
      <c r="Q1561" s="40">
        <f t="shared" si="249"/>
        <v>2.6288370990694254</v>
      </c>
      <c r="R1561" s="9">
        <v>651.02928128219992</v>
      </c>
      <c r="S1561" s="9">
        <f t="shared" si="247"/>
        <v>608.81291548242007</v>
      </c>
      <c r="T1561" s="90">
        <f t="shared" si="242"/>
        <v>311</v>
      </c>
      <c r="U1561" s="90">
        <f t="shared" si="243"/>
        <v>778</v>
      </c>
      <c r="V1561" s="373">
        <f t="shared" si="244"/>
        <v>1552</v>
      </c>
      <c r="W1561" s="90">
        <f t="shared" si="245"/>
        <v>608.81291548242007</v>
      </c>
      <c r="X1561" s="90">
        <f t="shared" si="246"/>
        <v>9239613.683993686</v>
      </c>
      <c r="Y1561" s="141">
        <f t="shared" si="248"/>
        <v>1552</v>
      </c>
      <c r="Z1561" s="298">
        <v>311</v>
      </c>
      <c r="AA1561" s="299">
        <v>778</v>
      </c>
      <c r="AB1561" s="299">
        <v>1552</v>
      </c>
      <c r="AC1561" s="301">
        <v>608.81291548242007</v>
      </c>
      <c r="AD1561" s="301">
        <v>9239613.683993686</v>
      </c>
      <c r="AE1561" s="126"/>
      <c r="AF1561" s="298"/>
      <c r="AG1561" s="299"/>
      <c r="AH1561" s="299"/>
      <c r="AI1561" s="301"/>
      <c r="AJ1561" s="301"/>
      <c r="AK1561" s="426"/>
      <c r="AL1561" s="298"/>
      <c r="AM1561" s="299"/>
      <c r="AN1561" s="299"/>
      <c r="AO1561" s="301"/>
      <c r="AP1561" s="301"/>
      <c r="AQ1561" s="426"/>
      <c r="AR1561" s="298"/>
      <c r="AS1561" s="299"/>
      <c r="AT1561" s="299"/>
      <c r="AU1561" s="301"/>
      <c r="AV1561" s="301"/>
      <c r="AW1561" s="88"/>
      <c r="AX1561" s="298"/>
      <c r="AY1561" s="299"/>
      <c r="AZ1561" s="299"/>
      <c r="BA1561" s="301"/>
      <c r="BB1561" s="301"/>
      <c r="BC1561" s="426"/>
      <c r="BD1561" s="298"/>
      <c r="BE1561" s="299"/>
      <c r="BF1561" s="299"/>
      <c r="BG1561" s="301"/>
      <c r="BH1561" s="301"/>
      <c r="BI1561" s="88"/>
      <c r="BJ1561" s="298"/>
      <c r="BK1561" s="299"/>
      <c r="BL1561" s="299"/>
      <c r="BM1561" s="301"/>
      <c r="BN1561" s="301"/>
      <c r="BO1561" s="88"/>
      <c r="BP1561" s="9"/>
      <c r="BS1561" s="81"/>
      <c r="BT1561" s="81"/>
      <c r="BV1561" s="9"/>
      <c r="BY1561" s="81"/>
      <c r="BZ1561" s="81"/>
      <c r="CB1561" s="9"/>
      <c r="CE1561" s="81"/>
      <c r="CF1561" s="81"/>
      <c r="CH1561" s="9"/>
      <c r="CK1561" s="81"/>
      <c r="CL1561" s="81"/>
      <c r="CR1561" s="9"/>
      <c r="CS1561" s="9"/>
      <c r="CT1561" s="9"/>
      <c r="CU1561" s="9"/>
      <c r="CV1561" s="9"/>
      <c r="CW1561" s="129"/>
      <c r="CX1561" s="9"/>
    </row>
    <row r="1562" spans="1:102">
      <c r="A1562" s="6" t="str">
        <f t="shared" si="241"/>
        <v>03110860</v>
      </c>
      <c r="B1562" s="6" t="s">
        <v>1961</v>
      </c>
      <c r="C1562" s="6" t="s">
        <v>2080</v>
      </c>
      <c r="D1562" s="6">
        <v>1553</v>
      </c>
      <c r="E1562" s="6">
        <v>311</v>
      </c>
      <c r="F1562" s="6" t="s">
        <v>1429</v>
      </c>
      <c r="G1562" s="6">
        <v>860</v>
      </c>
      <c r="H1562" s="6" t="s">
        <v>1110</v>
      </c>
      <c r="I1562" s="33">
        <v>1062425.7957409839</v>
      </c>
      <c r="J1562" s="88">
        <v>9.7443286492911702E-2</v>
      </c>
      <c r="K1562" s="89">
        <f t="shared" si="240"/>
        <v>1154851.410020845</v>
      </c>
      <c r="L1562" s="88">
        <f>IF(K1564&gt;0, K1562/K1564, 0)</f>
        <v>0.11092261196226665</v>
      </c>
      <c r="M1562" s="58"/>
      <c r="N1562" s="9">
        <f>ROUND(M1564*L1562,0)</f>
        <v>370210</v>
      </c>
      <c r="O1562" s="9">
        <v>312113</v>
      </c>
      <c r="P1562" s="9">
        <f>N1562-O1562</f>
        <v>58097</v>
      </c>
      <c r="Q1562" s="40">
        <f t="shared" si="249"/>
        <v>18.614091691150321</v>
      </c>
      <c r="R1562" s="9">
        <v>50.000000002819995</v>
      </c>
      <c r="S1562" s="9">
        <f t="shared" si="247"/>
        <v>53.000000000219998</v>
      </c>
      <c r="T1562" s="90">
        <f t="shared" si="242"/>
        <v>311</v>
      </c>
      <c r="U1562" s="90">
        <f t="shared" si="243"/>
        <v>860</v>
      </c>
      <c r="V1562" s="373">
        <f t="shared" si="244"/>
        <v>1553</v>
      </c>
      <c r="W1562" s="90">
        <f t="shared" si="245"/>
        <v>53.000000000219998</v>
      </c>
      <c r="X1562" s="90">
        <f t="shared" si="246"/>
        <v>1154851.410020845</v>
      </c>
      <c r="Y1562" s="141">
        <f t="shared" si="248"/>
        <v>1553</v>
      </c>
      <c r="Z1562" s="298">
        <v>311</v>
      </c>
      <c r="AA1562" s="299">
        <v>860</v>
      </c>
      <c r="AB1562" s="299">
        <v>1553</v>
      </c>
      <c r="AC1562" s="301">
        <v>53.000000000219998</v>
      </c>
      <c r="AD1562" s="301">
        <v>1154851.410020845</v>
      </c>
      <c r="AE1562" s="126"/>
      <c r="AF1562" s="298"/>
      <c r="AG1562" s="299"/>
      <c r="AH1562" s="299"/>
      <c r="AI1562" s="301"/>
      <c r="AJ1562" s="301"/>
      <c r="AK1562" s="426"/>
      <c r="AL1562" s="298"/>
      <c r="AM1562" s="299"/>
      <c r="AN1562" s="299"/>
      <c r="AO1562" s="301"/>
      <c r="AP1562" s="301"/>
      <c r="AQ1562" s="426"/>
      <c r="AR1562" s="298"/>
      <c r="AS1562" s="299"/>
      <c r="AT1562" s="299"/>
      <c r="AU1562" s="301"/>
      <c r="AV1562" s="301"/>
      <c r="AW1562" s="88"/>
      <c r="AX1562" s="298"/>
      <c r="AY1562" s="299"/>
      <c r="AZ1562" s="299"/>
      <c r="BA1562" s="301"/>
      <c r="BB1562" s="301"/>
      <c r="BC1562" s="426"/>
      <c r="BD1562" s="298"/>
      <c r="BE1562" s="299"/>
      <c r="BF1562" s="299"/>
      <c r="BG1562" s="301"/>
      <c r="BH1562" s="301"/>
      <c r="BI1562" s="88"/>
      <c r="BJ1562" s="298"/>
      <c r="BK1562" s="299"/>
      <c r="BL1562" s="299"/>
      <c r="BM1562" s="301"/>
      <c r="BN1562" s="301"/>
      <c r="BO1562" s="88"/>
      <c r="BP1562" s="9"/>
      <c r="BS1562" s="81"/>
      <c r="BT1562" s="81"/>
      <c r="BV1562" s="9"/>
      <c r="BY1562" s="81"/>
      <c r="BZ1562" s="81"/>
      <c r="CB1562" s="9"/>
      <c r="CE1562" s="81"/>
      <c r="CF1562" s="81"/>
      <c r="CH1562" s="9"/>
      <c r="CK1562" s="81"/>
      <c r="CL1562" s="81"/>
      <c r="CR1562" s="9"/>
      <c r="CS1562" s="9"/>
      <c r="CT1562" s="9"/>
      <c r="CU1562" s="9"/>
      <c r="CV1562" s="9"/>
      <c r="CW1562" s="129"/>
      <c r="CX1562" s="9"/>
    </row>
    <row r="1563" spans="1:102">
      <c r="A1563" s="6" t="str">
        <f t="shared" si="241"/>
        <v>03110998</v>
      </c>
      <c r="B1563" s="6" t="s">
        <v>1961</v>
      </c>
      <c r="C1563" s="6" t="s">
        <v>2091</v>
      </c>
      <c r="D1563" s="6">
        <v>1554</v>
      </c>
      <c r="E1563" s="6">
        <v>311</v>
      </c>
      <c r="F1563" s="6" t="s">
        <v>1547</v>
      </c>
      <c r="G1563" s="6">
        <v>998</v>
      </c>
      <c r="H1563" s="6" t="s">
        <v>1547</v>
      </c>
      <c r="I1563" s="33">
        <v>0</v>
      </c>
      <c r="J1563" s="88">
        <v>0</v>
      </c>
      <c r="K1563" s="89">
        <f t="shared" si="240"/>
        <v>0</v>
      </c>
      <c r="L1563" s="88">
        <f>IF(K1564&gt;0, K1563/K1564, 0)</f>
        <v>0</v>
      </c>
      <c r="M1563" s="58"/>
      <c r="N1563" s="9">
        <f>ROUND(M1564*L1563,0)</f>
        <v>0</v>
      </c>
      <c r="O1563" s="9">
        <v>0</v>
      </c>
      <c r="P1563" s="9">
        <f>N1563-O1563</f>
        <v>0</v>
      </c>
      <c r="Q1563" s="40">
        <f t="shared" si="249"/>
        <v>0</v>
      </c>
      <c r="R1563" s="9">
        <v>0</v>
      </c>
      <c r="S1563" s="9">
        <f t="shared" si="247"/>
        <v>0</v>
      </c>
      <c r="T1563" s="90">
        <f t="shared" si="242"/>
        <v>311</v>
      </c>
      <c r="U1563" s="90">
        <f t="shared" si="243"/>
        <v>998</v>
      </c>
      <c r="V1563" s="373">
        <f t="shared" si="244"/>
        <v>1554</v>
      </c>
      <c r="W1563" s="90">
        <f t="shared" si="245"/>
        <v>0</v>
      </c>
      <c r="X1563" s="90">
        <f t="shared" si="246"/>
        <v>0</v>
      </c>
      <c r="Y1563" s="141">
        <f t="shared" si="248"/>
        <v>1554</v>
      </c>
      <c r="Z1563" s="298">
        <v>311</v>
      </c>
      <c r="AA1563" s="299">
        <v>998</v>
      </c>
      <c r="AB1563" s="299">
        <v>1554</v>
      </c>
      <c r="AC1563" s="301">
        <v>0</v>
      </c>
      <c r="AD1563" s="301">
        <v>0</v>
      </c>
      <c r="AE1563" s="126"/>
      <c r="AF1563" s="298"/>
      <c r="AG1563" s="299"/>
      <c r="AH1563" s="299"/>
      <c r="AI1563" s="301"/>
      <c r="AJ1563" s="301"/>
      <c r="AK1563" s="426"/>
      <c r="AL1563" s="298"/>
      <c r="AM1563" s="299"/>
      <c r="AN1563" s="299"/>
      <c r="AO1563" s="301"/>
      <c r="AP1563" s="301"/>
      <c r="AQ1563" s="426"/>
      <c r="AR1563" s="298"/>
      <c r="AS1563" s="299"/>
      <c r="AT1563" s="299"/>
      <c r="AU1563" s="301"/>
      <c r="AV1563" s="301"/>
      <c r="AW1563" s="88"/>
      <c r="AX1563" s="298"/>
      <c r="AY1563" s="299"/>
      <c r="AZ1563" s="299"/>
      <c r="BA1563" s="301"/>
      <c r="BB1563" s="301"/>
      <c r="BC1563" s="426"/>
      <c r="BD1563" s="298"/>
      <c r="BE1563" s="299"/>
      <c r="BF1563" s="299"/>
      <c r="BG1563" s="301"/>
      <c r="BH1563" s="301"/>
      <c r="BI1563" s="88"/>
      <c r="BJ1563" s="298"/>
      <c r="BK1563" s="299"/>
      <c r="BL1563" s="299"/>
      <c r="BM1563" s="301"/>
      <c r="BN1563" s="301"/>
      <c r="BO1563" s="88"/>
      <c r="BP1563" s="9"/>
      <c r="BS1563" s="81"/>
      <c r="BT1563" s="81"/>
      <c r="BV1563" s="9"/>
      <c r="BY1563" s="81"/>
      <c r="BZ1563" s="81"/>
      <c r="CB1563" s="9"/>
      <c r="CE1563" s="81"/>
      <c r="CF1563" s="81"/>
      <c r="CH1563" s="9"/>
      <c r="CK1563" s="81"/>
      <c r="CL1563" s="81"/>
      <c r="CR1563" s="9"/>
      <c r="CS1563" s="9"/>
      <c r="CT1563" s="9"/>
      <c r="CU1563" s="9"/>
      <c r="CV1563" s="9"/>
      <c r="CW1563" s="129"/>
      <c r="CX1563" s="9"/>
    </row>
    <row r="1564" spans="1:102">
      <c r="A1564" s="6" t="str">
        <f t="shared" si="241"/>
        <v>03110999</v>
      </c>
      <c r="B1564" s="6" t="s">
        <v>1961</v>
      </c>
      <c r="C1564" s="6" t="s">
        <v>2092</v>
      </c>
      <c r="D1564" s="6">
        <v>1555</v>
      </c>
      <c r="E1564" s="10">
        <v>311</v>
      </c>
      <c r="F1564" s="10" t="s">
        <v>1429</v>
      </c>
      <c r="G1564" s="10">
        <v>999</v>
      </c>
      <c r="H1564" s="10" t="s">
        <v>593</v>
      </c>
      <c r="I1564" s="92">
        <v>10903016.862205975</v>
      </c>
      <c r="J1564" s="472">
        <v>1</v>
      </c>
      <c r="K1564" s="53">
        <f>SUM(K1560:K1563)</f>
        <v>10411325.424014531</v>
      </c>
      <c r="L1564" s="91">
        <f>SUM(L1560:L1563)</f>
        <v>0.99999999999999989</v>
      </c>
      <c r="M1564" s="79">
        <f>VLOOKUP(E1564,town351,24)</f>
        <v>3337552</v>
      </c>
      <c r="N1564" s="79">
        <f>SUM(N1560:N1563)</f>
        <v>3337552</v>
      </c>
      <c r="O1564" s="79">
        <v>3203025</v>
      </c>
      <c r="P1564" s="79">
        <f>SUM(P1560:P1563)</f>
        <v>134527</v>
      </c>
      <c r="Q1564" s="39">
        <f t="shared" si="249"/>
        <v>4.1999984389756557</v>
      </c>
      <c r="R1564" s="9">
        <v>702.02928128501992</v>
      </c>
      <c r="S1564" s="9">
        <f t="shared" si="247"/>
        <v>662.81291548264005</v>
      </c>
      <c r="T1564" s="90">
        <f t="shared" si="242"/>
        <v>311</v>
      </c>
      <c r="U1564" s="90">
        <f t="shared" si="243"/>
        <v>999</v>
      </c>
      <c r="V1564" s="373">
        <f t="shared" si="244"/>
        <v>1555</v>
      </c>
      <c r="W1564" s="90">
        <f t="shared" si="245"/>
        <v>662.81291548264005</v>
      </c>
      <c r="X1564" s="90">
        <f t="shared" si="246"/>
        <v>10411325.424014531</v>
      </c>
      <c r="Y1564" s="141">
        <f t="shared" si="248"/>
        <v>1555</v>
      </c>
      <c r="Z1564" s="298">
        <v>311</v>
      </c>
      <c r="AA1564" s="299">
        <v>999</v>
      </c>
      <c r="AB1564" s="299">
        <v>1555</v>
      </c>
      <c r="AC1564" s="301">
        <v>662.81291548264005</v>
      </c>
      <c r="AD1564" s="301">
        <v>10411325.424014531</v>
      </c>
      <c r="AE1564" s="126"/>
      <c r="AF1564" s="298"/>
      <c r="AG1564" s="299"/>
      <c r="AH1564" s="299"/>
      <c r="AI1564" s="301"/>
      <c r="AJ1564" s="301"/>
      <c r="AK1564" s="426"/>
      <c r="AL1564" s="298"/>
      <c r="AM1564" s="299"/>
      <c r="AN1564" s="299"/>
      <c r="AO1564" s="301"/>
      <c r="AP1564" s="301"/>
      <c r="AQ1564" s="426"/>
      <c r="AR1564" s="298"/>
      <c r="AS1564" s="299"/>
      <c r="AT1564" s="299"/>
      <c r="AU1564" s="301"/>
      <c r="AV1564" s="301"/>
      <c r="AW1564" s="91"/>
      <c r="AX1564" s="298"/>
      <c r="AY1564" s="299"/>
      <c r="AZ1564" s="299"/>
      <c r="BA1564" s="301"/>
      <c r="BB1564" s="301"/>
      <c r="BC1564" s="426"/>
      <c r="BD1564" s="298"/>
      <c r="BE1564" s="299"/>
      <c r="BF1564" s="299"/>
      <c r="BG1564" s="301"/>
      <c r="BH1564" s="301"/>
      <c r="BI1564" s="91"/>
      <c r="BJ1564" s="298"/>
      <c r="BK1564" s="299"/>
      <c r="BL1564" s="299"/>
      <c r="BM1564" s="301"/>
      <c r="BN1564" s="301"/>
      <c r="BO1564" s="91"/>
      <c r="BP1564" s="9"/>
      <c r="BS1564" s="81"/>
      <c r="BT1564" s="81"/>
      <c r="BV1564" s="9"/>
      <c r="BY1564" s="81"/>
      <c r="BZ1564" s="81"/>
      <c r="CB1564" s="9"/>
      <c r="CE1564" s="81"/>
      <c r="CF1564" s="81"/>
      <c r="CH1564" s="9"/>
      <c r="CK1564" s="81"/>
      <c r="CL1564" s="81"/>
      <c r="CR1564" s="9"/>
      <c r="CS1564" s="9"/>
      <c r="CT1564" s="9"/>
      <c r="CU1564" s="9"/>
      <c r="CV1564" s="9"/>
      <c r="CW1564" s="129"/>
      <c r="CX1564" s="9"/>
    </row>
    <row r="1565" spans="1:102">
      <c r="A1565" s="6" t="str">
        <f t="shared" si="241"/>
        <v>03120312</v>
      </c>
      <c r="B1565" s="6" t="s">
        <v>1962</v>
      </c>
      <c r="C1565" s="6" t="s">
        <v>1962</v>
      </c>
      <c r="D1565" s="499">
        <v>1556</v>
      </c>
      <c r="E1565" s="499">
        <v>312</v>
      </c>
      <c r="F1565" s="499" t="s">
        <v>1430</v>
      </c>
      <c r="G1565" s="499">
        <v>312</v>
      </c>
      <c r="H1565" s="499" t="s">
        <v>993</v>
      </c>
      <c r="I1565" s="505">
        <v>860882.41</v>
      </c>
      <c r="J1565" s="88">
        <v>0.87042717475881903</v>
      </c>
      <c r="K1565" s="89">
        <f>X1565</f>
        <v>700343.84</v>
      </c>
      <c r="L1565" s="88">
        <f>IF(K1569&gt;0, K1565/K1569, 0)</f>
        <v>0.86501876006001588</v>
      </c>
      <c r="M1565" s="58"/>
      <c r="N1565" s="9">
        <f>ROUND(M1569*L1565,0)</f>
        <v>501075</v>
      </c>
      <c r="O1565" s="501">
        <v>480702</v>
      </c>
      <c r="P1565" s="501"/>
      <c r="Q1565" s="507">
        <f t="shared" si="249"/>
        <v>0</v>
      </c>
      <c r="R1565" s="501">
        <v>58</v>
      </c>
      <c r="S1565" s="9">
        <f t="shared" si="247"/>
        <v>51</v>
      </c>
      <c r="T1565" s="90">
        <f t="shared" si="242"/>
        <v>312</v>
      </c>
      <c r="U1565" s="90">
        <f t="shared" si="243"/>
        <v>312</v>
      </c>
      <c r="V1565" s="373">
        <f t="shared" si="244"/>
        <v>1556</v>
      </c>
      <c r="W1565" s="90">
        <f t="shared" si="245"/>
        <v>51</v>
      </c>
      <c r="X1565" s="90">
        <f t="shared" si="246"/>
        <v>700343.84</v>
      </c>
      <c r="Y1565" s="141">
        <f t="shared" si="248"/>
        <v>1556</v>
      </c>
      <c r="Z1565" s="298">
        <v>312</v>
      </c>
      <c r="AA1565" s="299">
        <v>312</v>
      </c>
      <c r="AB1565" s="299">
        <v>1556</v>
      </c>
      <c r="AC1565" s="301">
        <v>51</v>
      </c>
      <c r="AD1565" s="301">
        <v>700343.84</v>
      </c>
      <c r="AE1565" s="126"/>
      <c r="AF1565" s="298"/>
      <c r="AG1565" s="299"/>
      <c r="AH1565" s="299"/>
      <c r="AI1565" s="301"/>
      <c r="AJ1565" s="301"/>
      <c r="AK1565" s="426"/>
      <c r="AL1565" s="298"/>
      <c r="AM1565" s="299"/>
      <c r="AN1565" s="299"/>
      <c r="AO1565" s="301"/>
      <c r="AP1565" s="301"/>
      <c r="AQ1565" s="426"/>
      <c r="AR1565" s="298"/>
      <c r="AS1565" s="299"/>
      <c r="AT1565" s="299"/>
      <c r="AU1565" s="301"/>
      <c r="AV1565" s="301"/>
      <c r="AW1565" s="88"/>
      <c r="AX1565" s="298"/>
      <c r="AY1565" s="299"/>
      <c r="AZ1565" s="299"/>
      <c r="BA1565" s="301"/>
      <c r="BB1565" s="301"/>
      <c r="BC1565" s="426"/>
      <c r="BD1565" s="298"/>
      <c r="BE1565" s="299"/>
      <c r="BF1565" s="299"/>
      <c r="BG1565" s="301"/>
      <c r="BH1565" s="301"/>
      <c r="BI1565" s="88"/>
      <c r="BJ1565" s="298"/>
      <c r="BK1565" s="299"/>
      <c r="BL1565" s="299"/>
      <c r="BM1565" s="301"/>
      <c r="BN1565" s="301"/>
      <c r="BO1565" s="88"/>
      <c r="BP1565" s="9"/>
      <c r="BS1565" s="81"/>
      <c r="BT1565" s="81"/>
      <c r="BV1565" s="9"/>
      <c r="BY1565" s="81"/>
      <c r="BZ1565" s="81"/>
      <c r="CB1565" s="9"/>
      <c r="CE1565" s="81"/>
      <c r="CF1565" s="81"/>
      <c r="CH1565" s="9"/>
      <c r="CK1565" s="81"/>
      <c r="CL1565" s="81"/>
      <c r="CR1565" s="9"/>
      <c r="CS1565" s="9"/>
      <c r="CT1565" s="9"/>
      <c r="CU1565" s="9"/>
      <c r="CV1565" s="9"/>
      <c r="CW1565" s="129"/>
      <c r="CX1565" s="9"/>
    </row>
    <row r="1566" spans="1:102">
      <c r="A1566" s="6" t="str">
        <f t="shared" si="241"/>
        <v>03120818</v>
      </c>
      <c r="B1566" s="6" t="s">
        <v>1962</v>
      </c>
      <c r="C1566" s="475" t="s">
        <v>2068</v>
      </c>
      <c r="D1566" s="499">
        <v>1557</v>
      </c>
      <c r="E1566" s="499">
        <v>312</v>
      </c>
      <c r="F1566" s="499" t="s">
        <v>1430</v>
      </c>
      <c r="G1566" s="499">
        <v>818</v>
      </c>
      <c r="H1566" s="499" t="s">
        <v>1098</v>
      </c>
      <c r="I1566" s="505">
        <v>128151.98019873923</v>
      </c>
      <c r="J1566" s="88">
        <v>0.12957282524118097</v>
      </c>
      <c r="K1566" s="89">
        <f t="shared" si="240"/>
        <v>109284.65863673412</v>
      </c>
      <c r="L1566" s="88">
        <f>IF(K1569&gt;0, K1566/K1569, 0)</f>
        <v>0.13498123993998415</v>
      </c>
      <c r="M1566" s="58"/>
      <c r="N1566" s="9">
        <f>ROUND(M1569*L1566,0)</f>
        <v>78190</v>
      </c>
      <c r="O1566" s="501">
        <v>71558</v>
      </c>
      <c r="P1566" s="501">
        <f>N1566-O1566</f>
        <v>6632</v>
      </c>
      <c r="Q1566" s="507">
        <f t="shared" si="249"/>
        <v>9.2680063724531152</v>
      </c>
      <c r="R1566" s="501">
        <v>5.9999999975999998</v>
      </c>
      <c r="S1566" s="9">
        <f t="shared" si="247"/>
        <v>5.0000000025300002</v>
      </c>
      <c r="T1566" s="90">
        <f t="shared" si="242"/>
        <v>312</v>
      </c>
      <c r="U1566" s="90">
        <f t="shared" si="243"/>
        <v>818</v>
      </c>
      <c r="V1566" s="373">
        <f t="shared" si="244"/>
        <v>1557</v>
      </c>
      <c r="W1566" s="90">
        <f t="shared" si="245"/>
        <v>5.0000000025300002</v>
      </c>
      <c r="X1566" s="90">
        <f t="shared" si="246"/>
        <v>109284.65863673412</v>
      </c>
      <c r="Y1566" s="141">
        <f t="shared" si="248"/>
        <v>1557</v>
      </c>
      <c r="Z1566" s="298">
        <v>312</v>
      </c>
      <c r="AA1566" s="299">
        <v>818</v>
      </c>
      <c r="AB1566" s="299">
        <v>1557</v>
      </c>
      <c r="AC1566" s="301">
        <v>5.0000000025300002</v>
      </c>
      <c r="AD1566" s="301">
        <v>109284.65863673412</v>
      </c>
      <c r="AE1566" s="126"/>
      <c r="AF1566" s="298"/>
      <c r="AG1566" s="299"/>
      <c r="AH1566" s="299"/>
      <c r="AI1566" s="301"/>
      <c r="AJ1566" s="301"/>
      <c r="AK1566" s="426"/>
      <c r="AL1566" s="298"/>
      <c r="AM1566" s="299"/>
      <c r="AN1566" s="299"/>
      <c r="AO1566" s="301"/>
      <c r="AP1566" s="301"/>
      <c r="AQ1566" s="426"/>
      <c r="AR1566" s="298"/>
      <c r="AS1566" s="299"/>
      <c r="AT1566" s="299"/>
      <c r="AU1566" s="301"/>
      <c r="AV1566" s="301"/>
      <c r="AW1566" s="88"/>
      <c r="AX1566" s="298"/>
      <c r="AY1566" s="299"/>
      <c r="AZ1566" s="299"/>
      <c r="BA1566" s="301"/>
      <c r="BB1566" s="301"/>
      <c r="BC1566" s="426"/>
      <c r="BD1566" s="298"/>
      <c r="BE1566" s="299"/>
      <c r="BF1566" s="299"/>
      <c r="BG1566" s="301"/>
      <c r="BH1566" s="301"/>
      <c r="BI1566" s="88"/>
      <c r="BJ1566" s="298"/>
      <c r="BK1566" s="299"/>
      <c r="BL1566" s="299"/>
      <c r="BM1566" s="301"/>
      <c r="BN1566" s="301"/>
      <c r="BO1566" s="88"/>
      <c r="BP1566" s="9"/>
      <c r="BS1566" s="81"/>
      <c r="BT1566" s="81"/>
      <c r="BV1566" s="9"/>
      <c r="BY1566" s="81"/>
      <c r="BZ1566" s="81"/>
      <c r="CB1566" s="9"/>
      <c r="CE1566" s="81"/>
      <c r="CF1566" s="81"/>
      <c r="CH1566" s="9"/>
      <c r="CK1566" s="81"/>
      <c r="CL1566" s="81"/>
      <c r="CR1566" s="9"/>
      <c r="CS1566" s="9"/>
      <c r="CT1566" s="9"/>
      <c r="CU1566" s="9"/>
      <c r="CV1566" s="9"/>
      <c r="CW1566" s="129"/>
      <c r="CX1566" s="9"/>
    </row>
    <row r="1567" spans="1:102">
      <c r="A1567" s="6" t="str">
        <f t="shared" si="241"/>
        <v>03120312</v>
      </c>
      <c r="B1567" s="6" t="s">
        <v>1962</v>
      </c>
      <c r="C1567" s="475" t="s">
        <v>1962</v>
      </c>
      <c r="D1567" s="499">
        <v>1558</v>
      </c>
      <c r="E1567" s="499">
        <v>312</v>
      </c>
      <c r="F1567" s="499"/>
      <c r="G1567" s="499">
        <v>998</v>
      </c>
      <c r="H1567" s="499"/>
      <c r="I1567" s="505">
        <v>0</v>
      </c>
      <c r="J1567" s="88">
        <v>0</v>
      </c>
      <c r="K1567" s="89">
        <f t="shared" si="240"/>
        <v>0</v>
      </c>
      <c r="L1567" s="88">
        <f>IF(K1569&gt;0, K1567/K1569, 0)</f>
        <v>0</v>
      </c>
      <c r="M1567" s="58"/>
      <c r="N1567" s="9">
        <f>ROUND(M1569*L1567,0)</f>
        <v>0</v>
      </c>
      <c r="O1567" s="501">
        <v>0</v>
      </c>
      <c r="P1567" s="501">
        <f>N1567-O1567</f>
        <v>0</v>
      </c>
      <c r="Q1567" s="507">
        <f t="shared" si="249"/>
        <v>0</v>
      </c>
      <c r="R1567" s="501">
        <v>0</v>
      </c>
      <c r="S1567" s="9">
        <f t="shared" si="247"/>
        <v>0</v>
      </c>
      <c r="T1567" s="90">
        <f t="shared" si="242"/>
        <v>312</v>
      </c>
      <c r="U1567" s="90">
        <f t="shared" si="243"/>
        <v>998</v>
      </c>
      <c r="V1567" s="373">
        <f t="shared" si="244"/>
        <v>1558</v>
      </c>
      <c r="W1567" s="90">
        <f t="shared" si="245"/>
        <v>0</v>
      </c>
      <c r="X1567" s="90">
        <f t="shared" si="246"/>
        <v>0</v>
      </c>
      <c r="Y1567" s="141">
        <f t="shared" si="248"/>
        <v>1558</v>
      </c>
      <c r="Z1567" s="298">
        <v>312</v>
      </c>
      <c r="AA1567" s="299">
        <v>998</v>
      </c>
      <c r="AB1567" s="299">
        <v>1558</v>
      </c>
      <c r="AC1567" s="301">
        <v>0</v>
      </c>
      <c r="AD1567" s="301">
        <v>0</v>
      </c>
      <c r="AE1567" s="126"/>
      <c r="AF1567" s="298"/>
      <c r="AG1567" s="299"/>
      <c r="AH1567" s="299"/>
      <c r="AI1567" s="301"/>
      <c r="AJ1567" s="301"/>
      <c r="AK1567" s="426"/>
      <c r="AL1567" s="298"/>
      <c r="AM1567" s="299"/>
      <c r="AN1567" s="299"/>
      <c r="AO1567" s="301"/>
      <c r="AP1567" s="301"/>
      <c r="AQ1567" s="426"/>
      <c r="AR1567" s="298"/>
      <c r="AS1567" s="299"/>
      <c r="AT1567" s="299"/>
      <c r="AU1567" s="301"/>
      <c r="AV1567" s="301"/>
      <c r="AW1567" s="88"/>
      <c r="AX1567" s="298"/>
      <c r="AY1567" s="299"/>
      <c r="AZ1567" s="299"/>
      <c r="BA1567" s="301"/>
      <c r="BB1567" s="301"/>
      <c r="BC1567" s="426"/>
      <c r="BD1567" s="298"/>
      <c r="BE1567" s="299"/>
      <c r="BF1567" s="299"/>
      <c r="BG1567" s="301"/>
      <c r="BH1567" s="301"/>
      <c r="BI1567" s="88"/>
      <c r="BJ1567" s="298"/>
      <c r="BK1567" s="299"/>
      <c r="BL1567" s="299"/>
      <c r="BM1567" s="301"/>
      <c r="BN1567" s="301"/>
      <c r="BO1567" s="88"/>
      <c r="BP1567" s="9"/>
      <c r="BS1567" s="81"/>
      <c r="BT1567" s="81"/>
      <c r="BV1567" s="9"/>
      <c r="BY1567" s="81"/>
      <c r="BZ1567" s="81"/>
      <c r="CB1567" s="9"/>
      <c r="CE1567" s="81"/>
      <c r="CF1567" s="81"/>
      <c r="CH1567" s="9"/>
      <c r="CK1567" s="81"/>
      <c r="CL1567" s="81"/>
      <c r="CR1567" s="9"/>
      <c r="CS1567" s="9"/>
      <c r="CT1567" s="9"/>
      <c r="CU1567" s="9"/>
      <c r="CV1567" s="9"/>
      <c r="CW1567" s="129"/>
      <c r="CX1567" s="9"/>
    </row>
    <row r="1568" spans="1:102">
      <c r="A1568" s="6" t="str">
        <f t="shared" si="241"/>
        <v>03120998</v>
      </c>
      <c r="B1568" s="6" t="s">
        <v>1962</v>
      </c>
      <c r="C1568" s="6" t="s">
        <v>2091</v>
      </c>
      <c r="D1568" s="499">
        <v>1559</v>
      </c>
      <c r="E1568" s="499">
        <v>312</v>
      </c>
      <c r="F1568" s="499" t="s">
        <v>1547</v>
      </c>
      <c r="G1568" s="499">
        <v>998</v>
      </c>
      <c r="H1568" s="499" t="s">
        <v>1547</v>
      </c>
      <c r="I1568" s="505">
        <v>0</v>
      </c>
      <c r="J1568" s="88">
        <v>0</v>
      </c>
      <c r="K1568" s="89">
        <f t="shared" si="240"/>
        <v>0</v>
      </c>
      <c r="L1568" s="88">
        <f>IF(K1569&gt;0, K1568/K1569, 0)</f>
        <v>0</v>
      </c>
      <c r="M1568" s="58"/>
      <c r="N1568" s="9">
        <f>ROUND(M1569*L1568,0)</f>
        <v>0</v>
      </c>
      <c r="O1568" s="501">
        <v>0</v>
      </c>
      <c r="P1568" s="501">
        <f>N1568-O1568</f>
        <v>0</v>
      </c>
      <c r="Q1568" s="507">
        <f t="shared" si="249"/>
        <v>0</v>
      </c>
      <c r="R1568" s="501">
        <v>0</v>
      </c>
      <c r="S1568" s="9">
        <f t="shared" si="247"/>
        <v>0</v>
      </c>
      <c r="T1568" s="90">
        <f t="shared" si="242"/>
        <v>312</v>
      </c>
      <c r="U1568" s="90">
        <f t="shared" si="243"/>
        <v>998</v>
      </c>
      <c r="V1568" s="373">
        <f t="shared" si="244"/>
        <v>1559</v>
      </c>
      <c r="W1568" s="90">
        <f t="shared" si="245"/>
        <v>0</v>
      </c>
      <c r="X1568" s="90">
        <f t="shared" si="246"/>
        <v>0</v>
      </c>
      <c r="Y1568" s="141">
        <f t="shared" si="248"/>
        <v>1559</v>
      </c>
      <c r="Z1568" s="298">
        <v>312</v>
      </c>
      <c r="AA1568" s="299">
        <v>998</v>
      </c>
      <c r="AB1568" s="299">
        <v>1559</v>
      </c>
      <c r="AC1568" s="301">
        <v>0</v>
      </c>
      <c r="AD1568" s="301">
        <v>0</v>
      </c>
      <c r="AE1568" s="126"/>
      <c r="AF1568" s="298"/>
      <c r="AG1568" s="299"/>
      <c r="AH1568" s="299"/>
      <c r="AI1568" s="301"/>
      <c r="AJ1568" s="301"/>
      <c r="AK1568" s="426"/>
      <c r="AL1568" s="298"/>
      <c r="AM1568" s="299"/>
      <c r="AN1568" s="299"/>
      <c r="AO1568" s="301"/>
      <c r="AP1568" s="301"/>
      <c r="AQ1568" s="426"/>
      <c r="AR1568" s="298"/>
      <c r="AS1568" s="299"/>
      <c r="AT1568" s="299"/>
      <c r="AU1568" s="301"/>
      <c r="AV1568" s="301"/>
      <c r="AW1568" s="88"/>
      <c r="AX1568" s="298"/>
      <c r="AY1568" s="299"/>
      <c r="AZ1568" s="299"/>
      <c r="BA1568" s="301"/>
      <c r="BB1568" s="301"/>
      <c r="BC1568" s="426"/>
      <c r="BD1568" s="298"/>
      <c r="BE1568" s="299"/>
      <c r="BF1568" s="299"/>
      <c r="BG1568" s="301"/>
      <c r="BH1568" s="301"/>
      <c r="BI1568" s="88"/>
      <c r="BJ1568" s="298"/>
      <c r="BK1568" s="299"/>
      <c r="BL1568" s="299"/>
      <c r="BM1568" s="301"/>
      <c r="BN1568" s="301"/>
      <c r="BO1568" s="88"/>
      <c r="BP1568" s="9"/>
      <c r="BS1568" s="81"/>
      <c r="BT1568" s="81"/>
      <c r="BV1568" s="9"/>
      <c r="BY1568" s="81"/>
      <c r="BZ1568" s="81"/>
      <c r="CB1568" s="9"/>
      <c r="CE1568" s="81"/>
      <c r="CF1568" s="81"/>
      <c r="CH1568" s="9"/>
      <c r="CK1568" s="81"/>
      <c r="CL1568" s="81"/>
      <c r="CR1568" s="9"/>
      <c r="CS1568" s="9"/>
      <c r="CT1568" s="9"/>
      <c r="CU1568" s="9"/>
      <c r="CV1568" s="9"/>
      <c r="CW1568" s="129"/>
      <c r="CX1568" s="9"/>
    </row>
    <row r="1569" spans="1:102">
      <c r="A1569" s="6" t="str">
        <f t="shared" si="241"/>
        <v>03120999</v>
      </c>
      <c r="B1569" s="6" t="s">
        <v>1962</v>
      </c>
      <c r="C1569" s="6" t="s">
        <v>2092</v>
      </c>
      <c r="D1569" s="499">
        <v>1560</v>
      </c>
      <c r="E1569" s="500">
        <v>312</v>
      </c>
      <c r="F1569" s="500" t="s">
        <v>1430</v>
      </c>
      <c r="G1569" s="500">
        <v>999</v>
      </c>
      <c r="H1569" s="500" t="s">
        <v>593</v>
      </c>
      <c r="I1569" s="506">
        <v>989034.39019873925</v>
      </c>
      <c r="J1569" s="472">
        <v>1</v>
      </c>
      <c r="K1569" s="53">
        <f>SUM(K1565:K1568)</f>
        <v>809628.49863673409</v>
      </c>
      <c r="L1569" s="91">
        <f>SUM(L1565:L1568)</f>
        <v>1</v>
      </c>
      <c r="M1569" s="79">
        <f>VLOOKUP(E1569,town351,24)</f>
        <v>579265</v>
      </c>
      <c r="N1569" s="79">
        <f>SUM(N1565:N1568)</f>
        <v>579265</v>
      </c>
      <c r="O1569" s="504">
        <v>552260</v>
      </c>
      <c r="P1569" s="504">
        <v>465071</v>
      </c>
      <c r="Q1569" s="508">
        <f t="shared" si="249"/>
        <v>84.21232752688951</v>
      </c>
      <c r="R1569" s="504">
        <v>63.9999999976</v>
      </c>
      <c r="S1569" s="9">
        <f t="shared" si="247"/>
        <v>56.000000002530001</v>
      </c>
      <c r="T1569" s="90">
        <f t="shared" si="242"/>
        <v>312</v>
      </c>
      <c r="U1569" s="90">
        <f t="shared" si="243"/>
        <v>999</v>
      </c>
      <c r="V1569" s="373">
        <f t="shared" si="244"/>
        <v>1560</v>
      </c>
      <c r="W1569" s="90">
        <f t="shared" si="245"/>
        <v>56.000000002530001</v>
      </c>
      <c r="X1569" s="90">
        <f t="shared" si="246"/>
        <v>809628.49863673409</v>
      </c>
      <c r="Y1569" s="141">
        <f t="shared" si="248"/>
        <v>1560</v>
      </c>
      <c r="Z1569" s="298">
        <v>312</v>
      </c>
      <c r="AA1569" s="299">
        <v>999</v>
      </c>
      <c r="AB1569" s="299">
        <v>1560</v>
      </c>
      <c r="AC1569" s="301">
        <v>56.000000002530001</v>
      </c>
      <c r="AD1569" s="301">
        <v>809628.49863673409</v>
      </c>
      <c r="AE1569" s="126"/>
      <c r="AF1569" s="298"/>
      <c r="AG1569" s="299"/>
      <c r="AH1569" s="299"/>
      <c r="AI1569" s="301"/>
      <c r="AJ1569" s="301"/>
      <c r="AK1569" s="426"/>
      <c r="AL1569" s="298"/>
      <c r="AM1569" s="299"/>
      <c r="AN1569" s="299"/>
      <c r="AO1569" s="301"/>
      <c r="AP1569" s="301"/>
      <c r="AQ1569" s="426"/>
      <c r="AR1569" s="298"/>
      <c r="AS1569" s="299"/>
      <c r="AT1569" s="299"/>
      <c r="AU1569" s="301"/>
      <c r="AV1569" s="301"/>
      <c r="AW1569" s="91"/>
      <c r="AX1569" s="298"/>
      <c r="AY1569" s="299"/>
      <c r="AZ1569" s="299"/>
      <c r="BA1569" s="301"/>
      <c r="BB1569" s="301"/>
      <c r="BC1569" s="426"/>
      <c r="BD1569" s="298"/>
      <c r="BE1569" s="299"/>
      <c r="BF1569" s="299"/>
      <c r="BG1569" s="301"/>
      <c r="BH1569" s="301"/>
      <c r="BI1569" s="91"/>
      <c r="BJ1569" s="298"/>
      <c r="BK1569" s="299"/>
      <c r="BL1569" s="299"/>
      <c r="BM1569" s="301"/>
      <c r="BN1569" s="301"/>
      <c r="BO1569" s="91"/>
      <c r="BP1569" s="9"/>
      <c r="BS1569" s="81"/>
      <c r="BT1569" s="81"/>
      <c r="BV1569" s="9"/>
      <c r="BY1569" s="81"/>
      <c r="BZ1569" s="81"/>
      <c r="CB1569" s="9"/>
      <c r="CE1569" s="81"/>
      <c r="CF1569" s="81"/>
      <c r="CH1569" s="9"/>
      <c r="CK1569" s="81"/>
      <c r="CL1569" s="81"/>
      <c r="CR1569" s="9"/>
      <c r="CS1569" s="9"/>
      <c r="CT1569" s="9"/>
      <c r="CU1569" s="9"/>
      <c r="CV1569" s="9"/>
      <c r="CW1569" s="129"/>
      <c r="CX1569" s="9"/>
    </row>
    <row r="1570" spans="1:102">
      <c r="A1570" s="6" t="str">
        <f t="shared" si="241"/>
        <v>03130313</v>
      </c>
      <c r="B1570" s="6" t="s">
        <v>1963</v>
      </c>
      <c r="C1570" s="6" t="s">
        <v>1963</v>
      </c>
      <c r="D1570" s="6">
        <v>1561</v>
      </c>
      <c r="E1570" s="6">
        <v>313</v>
      </c>
      <c r="F1570" s="6" t="s">
        <v>1431</v>
      </c>
      <c r="G1570" s="6">
        <v>313</v>
      </c>
      <c r="H1570" s="6" t="s">
        <v>994</v>
      </c>
      <c r="I1570" s="33">
        <v>65963.040000000008</v>
      </c>
      <c r="J1570" s="88">
        <v>7.8544240076846975E-2</v>
      </c>
      <c r="K1570" s="89">
        <f>X1570</f>
        <v>101161.98000000001</v>
      </c>
      <c r="L1570" s="88">
        <f>IF(K1574&gt;0, K1570/K1574, 0)</f>
        <v>0.10582132267059365</v>
      </c>
      <c r="M1570" s="58"/>
      <c r="N1570" s="9">
        <f>ROUND(M1574*L1570,0)</f>
        <v>63929</v>
      </c>
      <c r="O1570" s="9">
        <v>45577</v>
      </c>
      <c r="P1570" s="9">
        <f>N1570-O1570</f>
        <v>18352</v>
      </c>
      <c r="Q1570" s="40">
        <f t="shared" si="249"/>
        <v>40.265923601816709</v>
      </c>
      <c r="R1570" s="9">
        <v>4</v>
      </c>
      <c r="S1570" s="9">
        <f t="shared" si="247"/>
        <v>6</v>
      </c>
      <c r="T1570" s="90">
        <f t="shared" si="242"/>
        <v>313</v>
      </c>
      <c r="U1570" s="90">
        <f t="shared" si="243"/>
        <v>313</v>
      </c>
      <c r="V1570" s="373">
        <f t="shared" si="244"/>
        <v>1561</v>
      </c>
      <c r="W1570" s="90">
        <f t="shared" si="245"/>
        <v>6</v>
      </c>
      <c r="X1570" s="90">
        <f t="shared" si="246"/>
        <v>101161.98000000001</v>
      </c>
      <c r="Y1570" s="141">
        <f t="shared" si="248"/>
        <v>1561</v>
      </c>
      <c r="Z1570" s="298">
        <v>313</v>
      </c>
      <c r="AA1570" s="299">
        <v>313</v>
      </c>
      <c r="AB1570" s="299">
        <v>1561</v>
      </c>
      <c r="AC1570" s="301">
        <v>6</v>
      </c>
      <c r="AD1570" s="301">
        <v>101161.98000000001</v>
      </c>
      <c r="AE1570" s="126"/>
      <c r="AF1570" s="298"/>
      <c r="AG1570" s="299"/>
      <c r="AH1570" s="299"/>
      <c r="AI1570" s="301"/>
      <c r="AJ1570" s="301"/>
      <c r="AK1570" s="426"/>
      <c r="AL1570" s="298"/>
      <c r="AM1570" s="299"/>
      <c r="AN1570" s="299"/>
      <c r="AO1570" s="301"/>
      <c r="AP1570" s="301"/>
      <c r="AQ1570" s="426"/>
      <c r="AR1570" s="298"/>
      <c r="AS1570" s="299"/>
      <c r="AT1570" s="299"/>
      <c r="AU1570" s="301"/>
      <c r="AV1570" s="301"/>
      <c r="AW1570" s="88"/>
      <c r="AX1570" s="298"/>
      <c r="AY1570" s="299"/>
      <c r="AZ1570" s="299"/>
      <c r="BA1570" s="301"/>
      <c r="BB1570" s="301"/>
      <c r="BC1570" s="426"/>
      <c r="BD1570" s="298"/>
      <c r="BE1570" s="299"/>
      <c r="BF1570" s="299"/>
      <c r="BG1570" s="301"/>
      <c r="BH1570" s="301"/>
      <c r="BI1570" s="88"/>
      <c r="BJ1570" s="298"/>
      <c r="BK1570" s="299"/>
      <c r="BL1570" s="299"/>
      <c r="BM1570" s="301"/>
      <c r="BN1570" s="301"/>
      <c r="BO1570" s="88"/>
      <c r="BP1570" s="9"/>
      <c r="BS1570" s="81"/>
      <c r="BT1570" s="81"/>
      <c r="BV1570" s="9"/>
      <c r="BY1570" s="81"/>
      <c r="BZ1570" s="81"/>
      <c r="CB1570" s="9"/>
      <c r="CE1570" s="81"/>
      <c r="CF1570" s="81"/>
      <c r="CH1570" s="9"/>
      <c r="CK1570" s="81"/>
      <c r="CL1570" s="81"/>
      <c r="CR1570" s="9"/>
      <c r="CS1570" s="9"/>
      <c r="CT1570" s="9"/>
      <c r="CU1570" s="9"/>
      <c r="CV1570" s="9"/>
      <c r="CW1570" s="129"/>
      <c r="CX1570" s="9"/>
    </row>
    <row r="1571" spans="1:102">
      <c r="A1571" s="6" t="str">
        <f t="shared" si="241"/>
        <v>03130635</v>
      </c>
      <c r="B1571" s="6" t="s">
        <v>1963</v>
      </c>
      <c r="C1571" s="6" t="s">
        <v>2015</v>
      </c>
      <c r="D1571" s="6">
        <v>1562</v>
      </c>
      <c r="E1571" s="6">
        <v>313</v>
      </c>
      <c r="F1571" s="6" t="s">
        <v>1431</v>
      </c>
      <c r="G1571" s="6">
        <v>635</v>
      </c>
      <c r="H1571" s="6" t="s">
        <v>1045</v>
      </c>
      <c r="I1571" s="33">
        <v>773857.16750932671</v>
      </c>
      <c r="J1571" s="88">
        <v>0.92145575992315298</v>
      </c>
      <c r="K1571" s="89">
        <f t="shared" si="240"/>
        <v>854807.73807754205</v>
      </c>
      <c r="L1571" s="88">
        <f>IF(K1574&gt;0, K1571/K1574, 0)</f>
        <v>0.89417867732940637</v>
      </c>
      <c r="M1571" s="58"/>
      <c r="N1571" s="9">
        <f>ROUND(M1574*L1571,0)</f>
        <v>540192</v>
      </c>
      <c r="O1571" s="9">
        <v>534695</v>
      </c>
      <c r="P1571" s="9">
        <f>N1571-O1571</f>
        <v>5497</v>
      </c>
      <c r="Q1571" s="40">
        <f t="shared" si="249"/>
        <v>1.0280627273492364</v>
      </c>
      <c r="R1571" s="9">
        <v>54.107722259719999</v>
      </c>
      <c r="S1571" s="9">
        <f t="shared" si="247"/>
        <v>58.087628869759996</v>
      </c>
      <c r="T1571" s="90">
        <f t="shared" si="242"/>
        <v>313</v>
      </c>
      <c r="U1571" s="90">
        <f t="shared" si="243"/>
        <v>635</v>
      </c>
      <c r="V1571" s="373">
        <f t="shared" si="244"/>
        <v>1562</v>
      </c>
      <c r="W1571" s="90">
        <f t="shared" si="245"/>
        <v>58.087628869759996</v>
      </c>
      <c r="X1571" s="90">
        <f t="shared" si="246"/>
        <v>854807.73807754205</v>
      </c>
      <c r="Y1571" s="141">
        <f t="shared" si="248"/>
        <v>1562</v>
      </c>
      <c r="Z1571" s="298">
        <v>313</v>
      </c>
      <c r="AA1571" s="299">
        <v>635</v>
      </c>
      <c r="AB1571" s="299">
        <v>1562</v>
      </c>
      <c r="AC1571" s="301">
        <v>58.087628869759996</v>
      </c>
      <c r="AD1571" s="301">
        <v>854807.73807754205</v>
      </c>
      <c r="AE1571" s="126"/>
      <c r="AF1571" s="298"/>
      <c r="AG1571" s="299"/>
      <c r="AH1571" s="299"/>
      <c r="AI1571" s="301"/>
      <c r="AJ1571" s="301"/>
      <c r="AK1571" s="426"/>
      <c r="AL1571" s="298"/>
      <c r="AM1571" s="299"/>
      <c r="AN1571" s="299"/>
      <c r="AO1571" s="301"/>
      <c r="AP1571" s="301"/>
      <c r="AQ1571" s="426"/>
      <c r="AR1571" s="298"/>
      <c r="AS1571" s="299"/>
      <c r="AT1571" s="299"/>
      <c r="AU1571" s="301"/>
      <c r="AV1571" s="301"/>
      <c r="AW1571" s="88"/>
      <c r="AX1571" s="298"/>
      <c r="AY1571" s="299"/>
      <c r="AZ1571" s="299"/>
      <c r="BA1571" s="301"/>
      <c r="BB1571" s="301"/>
      <c r="BC1571" s="426"/>
      <c r="BD1571" s="298"/>
      <c r="BE1571" s="299"/>
      <c r="BF1571" s="299"/>
      <c r="BG1571" s="301"/>
      <c r="BH1571" s="301"/>
      <c r="BI1571" s="88"/>
      <c r="BJ1571" s="298"/>
      <c r="BK1571" s="299"/>
      <c r="BL1571" s="299"/>
      <c r="BM1571" s="301"/>
      <c r="BN1571" s="301"/>
      <c r="BO1571" s="88"/>
      <c r="BP1571" s="9"/>
      <c r="BS1571" s="81"/>
      <c r="BT1571" s="81"/>
      <c r="BV1571" s="9"/>
      <c r="BY1571" s="81"/>
      <c r="BZ1571" s="81"/>
      <c r="CB1571" s="9"/>
      <c r="CE1571" s="81"/>
      <c r="CF1571" s="81"/>
      <c r="CH1571" s="9"/>
      <c r="CK1571" s="81"/>
      <c r="CL1571" s="81"/>
      <c r="CR1571" s="9"/>
      <c r="CS1571" s="9"/>
      <c r="CT1571" s="9"/>
      <c r="CU1571" s="9"/>
      <c r="CV1571" s="9"/>
      <c r="CW1571" s="129"/>
      <c r="CX1571" s="9"/>
    </row>
    <row r="1572" spans="1:102">
      <c r="A1572" s="6" t="str">
        <f t="shared" si="241"/>
        <v>03130998</v>
      </c>
      <c r="B1572" s="6" t="s">
        <v>1963</v>
      </c>
      <c r="C1572" s="6" t="s">
        <v>2091</v>
      </c>
      <c r="D1572" s="6">
        <v>1563</v>
      </c>
      <c r="E1572" s="6">
        <v>313</v>
      </c>
      <c r="F1572" s="6" t="s">
        <v>1547</v>
      </c>
      <c r="G1572" s="6">
        <v>998</v>
      </c>
      <c r="H1572" s="6" t="s">
        <v>1547</v>
      </c>
      <c r="I1572" s="33">
        <v>0</v>
      </c>
      <c r="J1572" s="88">
        <v>0</v>
      </c>
      <c r="K1572" s="89">
        <f t="shared" si="240"/>
        <v>0</v>
      </c>
      <c r="L1572" s="88">
        <f>IF(K1574&gt;0, K1572/K1574, 0)</f>
        <v>0</v>
      </c>
      <c r="M1572" s="58"/>
      <c r="N1572" s="9">
        <f>ROUND(M1574*L1572,0)</f>
        <v>0</v>
      </c>
      <c r="O1572" s="9">
        <v>0</v>
      </c>
      <c r="P1572" s="9">
        <f>N1572-O1572</f>
        <v>0</v>
      </c>
      <c r="Q1572" s="40">
        <f t="shared" si="249"/>
        <v>0</v>
      </c>
      <c r="R1572" s="9">
        <v>0</v>
      </c>
      <c r="S1572" s="9">
        <f t="shared" si="247"/>
        <v>0</v>
      </c>
      <c r="T1572" s="90">
        <f t="shared" si="242"/>
        <v>313</v>
      </c>
      <c r="U1572" s="90">
        <f t="shared" si="243"/>
        <v>998</v>
      </c>
      <c r="V1572" s="373">
        <f t="shared" si="244"/>
        <v>1563</v>
      </c>
      <c r="W1572" s="90">
        <f t="shared" si="245"/>
        <v>0</v>
      </c>
      <c r="X1572" s="90">
        <f t="shared" si="246"/>
        <v>0</v>
      </c>
      <c r="Y1572" s="141">
        <f t="shared" si="248"/>
        <v>1563</v>
      </c>
      <c r="Z1572" s="298">
        <v>313</v>
      </c>
      <c r="AA1572" s="299">
        <v>998</v>
      </c>
      <c r="AB1572" s="299">
        <v>1563</v>
      </c>
      <c r="AC1572" s="301">
        <v>0</v>
      </c>
      <c r="AD1572" s="301">
        <v>0</v>
      </c>
      <c r="AE1572" s="126"/>
      <c r="AF1572" s="298"/>
      <c r="AG1572" s="299"/>
      <c r="AH1572" s="299"/>
      <c r="AI1572" s="301"/>
      <c r="AJ1572" s="301"/>
      <c r="AK1572" s="426"/>
      <c r="AL1572" s="298"/>
      <c r="AM1572" s="299"/>
      <c r="AN1572" s="299"/>
      <c r="AO1572" s="301"/>
      <c r="AP1572" s="301"/>
      <c r="AQ1572" s="426"/>
      <c r="AR1572" s="298"/>
      <c r="AS1572" s="299"/>
      <c r="AT1572" s="299"/>
      <c r="AU1572" s="301"/>
      <c r="AV1572" s="301"/>
      <c r="AW1572" s="88"/>
      <c r="AX1572" s="298"/>
      <c r="AY1572" s="299"/>
      <c r="AZ1572" s="299"/>
      <c r="BA1572" s="301"/>
      <c r="BB1572" s="301"/>
      <c r="BC1572" s="426"/>
      <c r="BD1572" s="298"/>
      <c r="BE1572" s="299"/>
      <c r="BF1572" s="299"/>
      <c r="BG1572" s="301"/>
      <c r="BH1572" s="301"/>
      <c r="BI1572" s="88"/>
      <c r="BJ1572" s="298"/>
      <c r="BK1572" s="299"/>
      <c r="BL1572" s="299"/>
      <c r="BM1572" s="301"/>
      <c r="BN1572" s="301"/>
      <c r="BO1572" s="88"/>
      <c r="BP1572" s="9"/>
      <c r="BS1572" s="81"/>
      <c r="BT1572" s="81"/>
      <c r="BV1572" s="9"/>
      <c r="BY1572" s="81"/>
      <c r="BZ1572" s="81"/>
      <c r="CB1572" s="9"/>
      <c r="CE1572" s="81"/>
      <c r="CF1572" s="81"/>
      <c r="CH1572" s="9"/>
      <c r="CK1572" s="81"/>
      <c r="CL1572" s="81"/>
      <c r="CR1572" s="9"/>
      <c r="CS1572" s="9"/>
      <c r="CT1572" s="9"/>
      <c r="CU1572" s="9"/>
      <c r="CV1572" s="9"/>
      <c r="CW1572" s="129"/>
      <c r="CX1572" s="9"/>
    </row>
    <row r="1573" spans="1:102">
      <c r="A1573" s="6" t="str">
        <f t="shared" si="241"/>
        <v>03130998</v>
      </c>
      <c r="B1573" s="6" t="s">
        <v>1963</v>
      </c>
      <c r="C1573" s="6" t="s">
        <v>2091</v>
      </c>
      <c r="D1573" s="6">
        <v>1564</v>
      </c>
      <c r="E1573" s="6">
        <v>313</v>
      </c>
      <c r="F1573" s="6" t="s">
        <v>1547</v>
      </c>
      <c r="G1573" s="6">
        <v>998</v>
      </c>
      <c r="H1573" s="6" t="s">
        <v>1547</v>
      </c>
      <c r="I1573" s="33">
        <v>0</v>
      </c>
      <c r="J1573" s="88">
        <v>0</v>
      </c>
      <c r="K1573" s="89">
        <f t="shared" si="240"/>
        <v>0</v>
      </c>
      <c r="L1573" s="88">
        <f>IF(K1574&gt;0, K1573/K1574, 0)</f>
        <v>0</v>
      </c>
      <c r="M1573" s="58"/>
      <c r="N1573" s="9">
        <f>ROUND(M1574*L1573,0)</f>
        <v>0</v>
      </c>
      <c r="O1573" s="9">
        <v>0</v>
      </c>
      <c r="P1573" s="9">
        <f>N1573-O1573</f>
        <v>0</v>
      </c>
      <c r="Q1573" s="40">
        <f t="shared" si="249"/>
        <v>0</v>
      </c>
      <c r="R1573" s="9">
        <v>0</v>
      </c>
      <c r="S1573" s="9">
        <f t="shared" si="247"/>
        <v>0</v>
      </c>
      <c r="T1573" s="90">
        <f t="shared" si="242"/>
        <v>313</v>
      </c>
      <c r="U1573" s="90">
        <f t="shared" si="243"/>
        <v>998</v>
      </c>
      <c r="V1573" s="373">
        <f t="shared" si="244"/>
        <v>1564</v>
      </c>
      <c r="W1573" s="90">
        <f t="shared" si="245"/>
        <v>0</v>
      </c>
      <c r="X1573" s="90">
        <f t="shared" si="246"/>
        <v>0</v>
      </c>
      <c r="Y1573" s="141">
        <f t="shared" si="248"/>
        <v>1564</v>
      </c>
      <c r="Z1573" s="298">
        <v>313</v>
      </c>
      <c r="AA1573" s="299">
        <v>998</v>
      </c>
      <c r="AB1573" s="299">
        <v>1564</v>
      </c>
      <c r="AC1573" s="301">
        <v>0</v>
      </c>
      <c r="AD1573" s="301">
        <v>0</v>
      </c>
      <c r="AE1573" s="126"/>
      <c r="AF1573" s="298"/>
      <c r="AG1573" s="299"/>
      <c r="AH1573" s="299"/>
      <c r="AI1573" s="301"/>
      <c r="AJ1573" s="301"/>
      <c r="AK1573" s="426"/>
      <c r="AL1573" s="298"/>
      <c r="AM1573" s="299"/>
      <c r="AN1573" s="299"/>
      <c r="AO1573" s="301"/>
      <c r="AP1573" s="301"/>
      <c r="AQ1573" s="426"/>
      <c r="AR1573" s="298"/>
      <c r="AS1573" s="299"/>
      <c r="AT1573" s="299"/>
      <c r="AU1573" s="301"/>
      <c r="AV1573" s="301"/>
      <c r="AW1573" s="88"/>
      <c r="AX1573" s="298"/>
      <c r="AY1573" s="299"/>
      <c r="AZ1573" s="299"/>
      <c r="BA1573" s="301"/>
      <c r="BB1573" s="301"/>
      <c r="BC1573" s="426"/>
      <c r="BD1573" s="298"/>
      <c r="BE1573" s="299"/>
      <c r="BF1573" s="299"/>
      <c r="BG1573" s="301"/>
      <c r="BH1573" s="301"/>
      <c r="BI1573" s="88"/>
      <c r="BJ1573" s="298"/>
      <c r="BK1573" s="299"/>
      <c r="BL1573" s="299"/>
      <c r="BM1573" s="301"/>
      <c r="BN1573" s="301"/>
      <c r="BO1573" s="88"/>
      <c r="BP1573" s="9"/>
      <c r="BS1573" s="81"/>
      <c r="BT1573" s="81"/>
      <c r="BV1573" s="9"/>
      <c r="BY1573" s="81"/>
      <c r="BZ1573" s="81"/>
      <c r="CB1573" s="9"/>
      <c r="CE1573" s="81"/>
      <c r="CF1573" s="81"/>
      <c r="CH1573" s="9"/>
      <c r="CK1573" s="81"/>
      <c r="CL1573" s="81"/>
      <c r="CR1573" s="9"/>
      <c r="CS1573" s="9"/>
      <c r="CT1573" s="9"/>
      <c r="CU1573" s="9"/>
      <c r="CV1573" s="9"/>
      <c r="CW1573" s="129"/>
      <c r="CX1573" s="9"/>
    </row>
    <row r="1574" spans="1:102">
      <c r="A1574" s="6" t="str">
        <f t="shared" si="241"/>
        <v>03130999</v>
      </c>
      <c r="B1574" s="6" t="s">
        <v>1963</v>
      </c>
      <c r="C1574" s="6" t="s">
        <v>2092</v>
      </c>
      <c r="D1574" s="6">
        <v>1565</v>
      </c>
      <c r="E1574" s="10">
        <v>313</v>
      </c>
      <c r="F1574" s="10" t="s">
        <v>1431</v>
      </c>
      <c r="G1574" s="10">
        <v>999</v>
      </c>
      <c r="H1574" s="10" t="s">
        <v>593</v>
      </c>
      <c r="I1574" s="92">
        <v>839820.20750932675</v>
      </c>
      <c r="J1574" s="472">
        <v>1</v>
      </c>
      <c r="K1574" s="53">
        <f>SUM(K1570:K1573)</f>
        <v>955969.71807754203</v>
      </c>
      <c r="L1574" s="91">
        <f>SUM(L1570:L1573)</f>
        <v>1</v>
      </c>
      <c r="M1574" s="79">
        <f>VLOOKUP(E1574,town351,24)</f>
        <v>604121</v>
      </c>
      <c r="N1574" s="79">
        <f>SUM(N1570:N1573)</f>
        <v>604121</v>
      </c>
      <c r="O1574" s="79">
        <v>580272</v>
      </c>
      <c r="P1574" s="79">
        <f>SUM(P1570:P1573)</f>
        <v>23849</v>
      </c>
      <c r="Q1574" s="39">
        <f t="shared" si="249"/>
        <v>4.109969117930901</v>
      </c>
      <c r="R1574" s="9">
        <v>58.107722259719999</v>
      </c>
      <c r="S1574" s="9">
        <f t="shared" si="247"/>
        <v>64.087628869759996</v>
      </c>
      <c r="T1574" s="90">
        <f t="shared" si="242"/>
        <v>313</v>
      </c>
      <c r="U1574" s="90">
        <f t="shared" si="243"/>
        <v>999</v>
      </c>
      <c r="V1574" s="373">
        <f t="shared" si="244"/>
        <v>1565</v>
      </c>
      <c r="W1574" s="90">
        <f t="shared" si="245"/>
        <v>64.087628869759996</v>
      </c>
      <c r="X1574" s="90">
        <f t="shared" si="246"/>
        <v>955969.71807754203</v>
      </c>
      <c r="Y1574" s="141">
        <f t="shared" si="248"/>
        <v>1565</v>
      </c>
      <c r="Z1574" s="298">
        <v>313</v>
      </c>
      <c r="AA1574" s="299">
        <v>999</v>
      </c>
      <c r="AB1574" s="299">
        <v>1565</v>
      </c>
      <c r="AC1574" s="301">
        <v>64.087628869759996</v>
      </c>
      <c r="AD1574" s="301">
        <v>955969.71807754203</v>
      </c>
      <c r="AE1574" s="126"/>
      <c r="AF1574" s="298"/>
      <c r="AG1574" s="299"/>
      <c r="AH1574" s="299"/>
      <c r="AI1574" s="301"/>
      <c r="AJ1574" s="301"/>
      <c r="AK1574" s="426"/>
      <c r="AL1574" s="298"/>
      <c r="AM1574" s="299"/>
      <c r="AN1574" s="299"/>
      <c r="AO1574" s="301"/>
      <c r="AP1574" s="301"/>
      <c r="AQ1574" s="426"/>
      <c r="AR1574" s="298"/>
      <c r="AS1574" s="299"/>
      <c r="AT1574" s="299"/>
      <c r="AU1574" s="301"/>
      <c r="AV1574" s="301"/>
      <c r="AW1574" s="91"/>
      <c r="AX1574" s="298"/>
      <c r="AY1574" s="299"/>
      <c r="AZ1574" s="299"/>
      <c r="BA1574" s="301"/>
      <c r="BB1574" s="301"/>
      <c r="BC1574" s="426"/>
      <c r="BD1574" s="298"/>
      <c r="BE1574" s="299"/>
      <c r="BF1574" s="299"/>
      <c r="BG1574" s="301"/>
      <c r="BH1574" s="301"/>
      <c r="BI1574" s="91"/>
      <c r="BJ1574" s="298"/>
      <c r="BK1574" s="299"/>
      <c r="BL1574" s="299"/>
      <c r="BM1574" s="301"/>
      <c r="BN1574" s="301"/>
      <c r="BO1574" s="91"/>
      <c r="BP1574" s="9"/>
      <c r="BS1574" s="81"/>
      <c r="BT1574" s="81"/>
      <c r="BV1574" s="9"/>
      <c r="BY1574" s="81"/>
      <c r="BZ1574" s="81"/>
      <c r="CB1574" s="9"/>
      <c r="CE1574" s="81"/>
      <c r="CF1574" s="81"/>
      <c r="CH1574" s="9"/>
      <c r="CK1574" s="81"/>
      <c r="CL1574" s="81"/>
      <c r="CR1574" s="9"/>
      <c r="CS1574" s="9"/>
      <c r="CT1574" s="9"/>
      <c r="CU1574" s="9"/>
      <c r="CV1574" s="9"/>
      <c r="CW1574" s="129"/>
      <c r="CX1574" s="9"/>
    </row>
    <row r="1575" spans="1:102">
      <c r="A1575" s="6" t="str">
        <f t="shared" si="241"/>
        <v>03140314</v>
      </c>
      <c r="B1575" s="6" t="s">
        <v>1964</v>
      </c>
      <c r="C1575" s="6" t="s">
        <v>1964</v>
      </c>
      <c r="D1575" s="6">
        <v>1566</v>
      </c>
      <c r="E1575" s="6">
        <v>314</v>
      </c>
      <c r="F1575" s="6" t="s">
        <v>1432</v>
      </c>
      <c r="G1575" s="6">
        <v>314</v>
      </c>
      <c r="H1575" s="6" t="s">
        <v>995</v>
      </c>
      <c r="I1575" s="33">
        <v>39855550.60148</v>
      </c>
      <c r="J1575" s="88">
        <v>1</v>
      </c>
      <c r="K1575" s="89">
        <f t="shared" ref="K1575:K1638" si="250">X1575</f>
        <v>42285807.326579988</v>
      </c>
      <c r="L1575" s="88">
        <f>IF(K1579&gt;0, K1575/K1579, 0)</f>
        <v>1</v>
      </c>
      <c r="M1575" s="58"/>
      <c r="N1575" s="9">
        <f>ROUND(M1579*L1575,0)</f>
        <v>34885791</v>
      </c>
      <c r="O1575" s="9">
        <v>32047587</v>
      </c>
      <c r="P1575" s="9">
        <f>N1575-O1575</f>
        <v>2838204</v>
      </c>
      <c r="Q1575" s="40">
        <f t="shared" si="249"/>
        <v>8.8562174743452609</v>
      </c>
      <c r="R1575" s="9">
        <v>2661</v>
      </c>
      <c r="S1575" s="9">
        <f t="shared" si="247"/>
        <v>2713</v>
      </c>
      <c r="T1575" s="90">
        <f t="shared" si="242"/>
        <v>314</v>
      </c>
      <c r="U1575" s="90">
        <f t="shared" si="243"/>
        <v>314</v>
      </c>
      <c r="V1575" s="373">
        <f t="shared" si="244"/>
        <v>1566</v>
      </c>
      <c r="W1575" s="90">
        <f t="shared" si="245"/>
        <v>2713</v>
      </c>
      <c r="X1575" s="90">
        <f t="shared" si="246"/>
        <v>42285807.326579988</v>
      </c>
      <c r="Y1575" s="141">
        <f t="shared" si="248"/>
        <v>1566</v>
      </c>
      <c r="Z1575" s="298">
        <v>314</v>
      </c>
      <c r="AA1575" s="299">
        <v>314</v>
      </c>
      <c r="AB1575" s="299">
        <v>1566</v>
      </c>
      <c r="AC1575" s="301">
        <v>2713</v>
      </c>
      <c r="AD1575" s="301">
        <v>42285807.326579988</v>
      </c>
      <c r="AE1575" s="126"/>
      <c r="AF1575" s="298"/>
      <c r="AG1575" s="299"/>
      <c r="AH1575" s="299"/>
      <c r="AI1575" s="301"/>
      <c r="AJ1575" s="301"/>
      <c r="AK1575" s="426"/>
      <c r="AL1575" s="298"/>
      <c r="AM1575" s="299"/>
      <c r="AN1575" s="299"/>
      <c r="AO1575" s="301"/>
      <c r="AP1575" s="301"/>
      <c r="AQ1575" s="426"/>
      <c r="AR1575" s="298"/>
      <c r="AS1575" s="299"/>
      <c r="AT1575" s="299"/>
      <c r="AU1575" s="301"/>
      <c r="AV1575" s="301"/>
      <c r="AW1575" s="88"/>
      <c r="AX1575" s="298"/>
      <c r="AY1575" s="299"/>
      <c r="AZ1575" s="299"/>
      <c r="BA1575" s="301"/>
      <c r="BB1575" s="301"/>
      <c r="BC1575" s="426"/>
      <c r="BD1575" s="298"/>
      <c r="BE1575" s="299"/>
      <c r="BF1575" s="299"/>
      <c r="BG1575" s="301"/>
      <c r="BH1575" s="301"/>
      <c r="BI1575" s="88"/>
      <c r="BJ1575" s="298"/>
      <c r="BK1575" s="299"/>
      <c r="BL1575" s="299"/>
      <c r="BM1575" s="301"/>
      <c r="BN1575" s="301"/>
      <c r="BO1575" s="88"/>
      <c r="BP1575" s="9"/>
      <c r="BS1575" s="81"/>
      <c r="BT1575" s="81"/>
      <c r="BV1575" s="9"/>
      <c r="BY1575" s="81"/>
      <c r="BZ1575" s="81"/>
      <c r="CB1575" s="9"/>
      <c r="CE1575" s="81"/>
      <c r="CF1575" s="81"/>
      <c r="CH1575" s="9"/>
      <c r="CK1575" s="81"/>
      <c r="CL1575" s="81"/>
      <c r="CR1575" s="9"/>
      <c r="CS1575" s="9"/>
      <c r="CT1575" s="9"/>
      <c r="CU1575" s="9"/>
      <c r="CV1575" s="9"/>
      <c r="CW1575" s="129"/>
      <c r="CX1575" s="9"/>
    </row>
    <row r="1576" spans="1:102">
      <c r="A1576" s="6" t="str">
        <f t="shared" si="241"/>
        <v>03140998</v>
      </c>
      <c r="B1576" s="6" t="s">
        <v>1964</v>
      </c>
      <c r="C1576" s="6" t="s">
        <v>2091</v>
      </c>
      <c r="D1576" s="6">
        <v>1567</v>
      </c>
      <c r="E1576" s="6">
        <v>314</v>
      </c>
      <c r="F1576" s="6" t="s">
        <v>1547</v>
      </c>
      <c r="G1576" s="6">
        <v>998</v>
      </c>
      <c r="H1576" s="6" t="s">
        <v>1547</v>
      </c>
      <c r="I1576" s="33">
        <v>0</v>
      </c>
      <c r="J1576" s="88">
        <v>0</v>
      </c>
      <c r="K1576" s="89">
        <f t="shared" si="250"/>
        <v>0</v>
      </c>
      <c r="L1576" s="88">
        <f>IF(K1579&gt;0, K1576/K1579, 0)</f>
        <v>0</v>
      </c>
      <c r="M1576" s="58"/>
      <c r="N1576" s="9">
        <f>ROUND(M1579*L1576,0)</f>
        <v>0</v>
      </c>
      <c r="O1576" s="9">
        <v>0</v>
      </c>
      <c r="P1576" s="9">
        <f>N1576-O1576</f>
        <v>0</v>
      </c>
      <c r="Q1576" s="40">
        <f t="shared" si="249"/>
        <v>0</v>
      </c>
      <c r="R1576" s="9">
        <v>0</v>
      </c>
      <c r="S1576" s="9">
        <f t="shared" si="247"/>
        <v>0</v>
      </c>
      <c r="T1576" s="90">
        <f t="shared" si="242"/>
        <v>314</v>
      </c>
      <c r="U1576" s="90">
        <f t="shared" si="243"/>
        <v>998</v>
      </c>
      <c r="V1576" s="373">
        <f t="shared" si="244"/>
        <v>1567</v>
      </c>
      <c r="W1576" s="90">
        <f t="shared" si="245"/>
        <v>0</v>
      </c>
      <c r="X1576" s="90">
        <f t="shared" si="246"/>
        <v>0</v>
      </c>
      <c r="Y1576" s="141">
        <f t="shared" si="248"/>
        <v>1567</v>
      </c>
      <c r="Z1576" s="298">
        <v>314</v>
      </c>
      <c r="AA1576" s="299">
        <v>998</v>
      </c>
      <c r="AB1576" s="299">
        <v>1567</v>
      </c>
      <c r="AC1576" s="301">
        <v>0</v>
      </c>
      <c r="AD1576" s="301">
        <v>0</v>
      </c>
      <c r="AE1576" s="126"/>
      <c r="AF1576" s="298"/>
      <c r="AG1576" s="299"/>
      <c r="AH1576" s="299"/>
      <c r="AI1576" s="301"/>
      <c r="AJ1576" s="301"/>
      <c r="AK1576" s="426"/>
      <c r="AL1576" s="298"/>
      <c r="AM1576" s="299"/>
      <c r="AN1576" s="299"/>
      <c r="AO1576" s="301"/>
      <c r="AP1576" s="301"/>
      <c r="AQ1576" s="426"/>
      <c r="AR1576" s="298"/>
      <c r="AS1576" s="299"/>
      <c r="AT1576" s="299"/>
      <c r="AU1576" s="301"/>
      <c r="AV1576" s="301"/>
      <c r="AW1576" s="88"/>
      <c r="AX1576" s="298"/>
      <c r="AY1576" s="299"/>
      <c r="AZ1576" s="299"/>
      <c r="BA1576" s="301"/>
      <c r="BB1576" s="301"/>
      <c r="BC1576" s="426"/>
      <c r="BD1576" s="298"/>
      <c r="BE1576" s="299"/>
      <c r="BF1576" s="299"/>
      <c r="BG1576" s="301"/>
      <c r="BH1576" s="301"/>
      <c r="BI1576" s="88"/>
      <c r="BJ1576" s="298"/>
      <c r="BK1576" s="299"/>
      <c r="BL1576" s="299"/>
      <c r="BM1576" s="301"/>
      <c r="BN1576" s="301"/>
      <c r="BO1576" s="88"/>
      <c r="BP1576" s="9"/>
      <c r="BS1576" s="81"/>
      <c r="BT1576" s="81"/>
      <c r="BV1576" s="9"/>
      <c r="BY1576" s="81"/>
      <c r="BZ1576" s="81"/>
      <c r="CB1576" s="9"/>
      <c r="CE1576" s="81"/>
      <c r="CF1576" s="81"/>
      <c r="CH1576" s="9"/>
      <c r="CK1576" s="81"/>
      <c r="CL1576" s="81"/>
      <c r="CR1576" s="9"/>
      <c r="CS1576" s="9"/>
      <c r="CT1576" s="9"/>
      <c r="CU1576" s="9"/>
      <c r="CV1576" s="9"/>
      <c r="CW1576" s="129"/>
      <c r="CX1576" s="9"/>
    </row>
    <row r="1577" spans="1:102">
      <c r="A1577" s="6" t="str">
        <f t="shared" si="241"/>
        <v>03140998</v>
      </c>
      <c r="B1577" s="6" t="s">
        <v>1964</v>
      </c>
      <c r="C1577" s="6" t="s">
        <v>2091</v>
      </c>
      <c r="D1577" s="6">
        <v>1568</v>
      </c>
      <c r="E1577" s="6">
        <v>314</v>
      </c>
      <c r="F1577" s="6" t="s">
        <v>1547</v>
      </c>
      <c r="G1577" s="6">
        <v>998</v>
      </c>
      <c r="H1577" s="6" t="s">
        <v>1547</v>
      </c>
      <c r="I1577" s="33">
        <v>0</v>
      </c>
      <c r="J1577" s="88">
        <v>0</v>
      </c>
      <c r="K1577" s="89">
        <f t="shared" si="250"/>
        <v>0</v>
      </c>
      <c r="L1577" s="88">
        <f>IF(K1579&gt;0, K1577/K1579, 0)</f>
        <v>0</v>
      </c>
      <c r="M1577" s="58"/>
      <c r="N1577" s="9">
        <f>ROUND(M1579*L1577,0)</f>
        <v>0</v>
      </c>
      <c r="O1577" s="9">
        <v>0</v>
      </c>
      <c r="P1577" s="9">
        <f>N1577-O1577</f>
        <v>0</v>
      </c>
      <c r="Q1577" s="40">
        <f t="shared" si="249"/>
        <v>0</v>
      </c>
      <c r="R1577" s="9">
        <v>0</v>
      </c>
      <c r="S1577" s="9">
        <f t="shared" si="247"/>
        <v>0</v>
      </c>
      <c r="T1577" s="90">
        <f t="shared" si="242"/>
        <v>314</v>
      </c>
      <c r="U1577" s="90">
        <f t="shared" si="243"/>
        <v>998</v>
      </c>
      <c r="V1577" s="373">
        <f t="shared" si="244"/>
        <v>1568</v>
      </c>
      <c r="W1577" s="90">
        <f t="shared" si="245"/>
        <v>0</v>
      </c>
      <c r="X1577" s="90">
        <f t="shared" si="246"/>
        <v>0</v>
      </c>
      <c r="Y1577" s="141">
        <f t="shared" si="248"/>
        <v>1568</v>
      </c>
      <c r="Z1577" s="298">
        <v>314</v>
      </c>
      <c r="AA1577" s="299">
        <v>998</v>
      </c>
      <c r="AB1577" s="299">
        <v>1568</v>
      </c>
      <c r="AC1577" s="301">
        <v>0</v>
      </c>
      <c r="AD1577" s="301">
        <v>0</v>
      </c>
      <c r="AE1577" s="126"/>
      <c r="AF1577" s="298"/>
      <c r="AG1577" s="299"/>
      <c r="AH1577" s="299"/>
      <c r="AI1577" s="301"/>
      <c r="AJ1577" s="301"/>
      <c r="AK1577" s="426"/>
      <c r="AL1577" s="298"/>
      <c r="AM1577" s="299"/>
      <c r="AN1577" s="299"/>
      <c r="AO1577" s="301"/>
      <c r="AP1577" s="301"/>
      <c r="AQ1577" s="426"/>
      <c r="AR1577" s="298"/>
      <c r="AS1577" s="299"/>
      <c r="AT1577" s="299"/>
      <c r="AU1577" s="301"/>
      <c r="AV1577" s="301"/>
      <c r="AW1577" s="88"/>
      <c r="AX1577" s="298"/>
      <c r="AY1577" s="299"/>
      <c r="AZ1577" s="299"/>
      <c r="BA1577" s="301"/>
      <c r="BB1577" s="301"/>
      <c r="BC1577" s="426"/>
      <c r="BD1577" s="298"/>
      <c r="BE1577" s="299"/>
      <c r="BF1577" s="299"/>
      <c r="BG1577" s="301"/>
      <c r="BH1577" s="301"/>
      <c r="BI1577" s="88"/>
      <c r="BJ1577" s="298"/>
      <c r="BK1577" s="299"/>
      <c r="BL1577" s="299"/>
      <c r="BM1577" s="301"/>
      <c r="BN1577" s="301"/>
      <c r="BO1577" s="88"/>
      <c r="BP1577" s="9"/>
      <c r="BS1577" s="81"/>
      <c r="BT1577" s="81"/>
      <c r="BV1577" s="9"/>
      <c r="BY1577" s="81"/>
      <c r="BZ1577" s="81"/>
      <c r="CB1577" s="9"/>
      <c r="CE1577" s="81"/>
      <c r="CF1577" s="81"/>
      <c r="CH1577" s="9"/>
      <c r="CK1577" s="81"/>
      <c r="CL1577" s="81"/>
      <c r="CR1577" s="9"/>
      <c r="CS1577" s="9"/>
      <c r="CT1577" s="9"/>
      <c r="CU1577" s="9"/>
      <c r="CV1577" s="9"/>
      <c r="CW1577" s="129"/>
      <c r="CX1577" s="9"/>
    </row>
    <row r="1578" spans="1:102">
      <c r="A1578" s="6" t="str">
        <f t="shared" si="241"/>
        <v>03140998</v>
      </c>
      <c r="B1578" s="6" t="s">
        <v>1964</v>
      </c>
      <c r="C1578" s="6" t="s">
        <v>2091</v>
      </c>
      <c r="D1578" s="6">
        <v>1569</v>
      </c>
      <c r="E1578" s="6">
        <v>314</v>
      </c>
      <c r="F1578" s="6" t="s">
        <v>1547</v>
      </c>
      <c r="G1578" s="6">
        <v>998</v>
      </c>
      <c r="H1578" s="6" t="s">
        <v>1547</v>
      </c>
      <c r="I1578" s="33">
        <v>0</v>
      </c>
      <c r="J1578" s="88">
        <v>0</v>
      </c>
      <c r="K1578" s="89">
        <f t="shared" si="250"/>
        <v>0</v>
      </c>
      <c r="L1578" s="88">
        <f>IF(K1579&gt;0, K1578/K1579, 0)</f>
        <v>0</v>
      </c>
      <c r="M1578" s="58"/>
      <c r="N1578" s="9">
        <f>ROUND(M1579*L1578,0)</f>
        <v>0</v>
      </c>
      <c r="O1578" s="9">
        <v>0</v>
      </c>
      <c r="P1578" s="9">
        <f>N1578-O1578</f>
        <v>0</v>
      </c>
      <c r="Q1578" s="40">
        <f t="shared" si="249"/>
        <v>0</v>
      </c>
      <c r="R1578" s="9">
        <v>0</v>
      </c>
      <c r="S1578" s="9">
        <f t="shared" si="247"/>
        <v>0</v>
      </c>
      <c r="T1578" s="90">
        <f t="shared" si="242"/>
        <v>314</v>
      </c>
      <c r="U1578" s="90">
        <f t="shared" si="243"/>
        <v>998</v>
      </c>
      <c r="V1578" s="373">
        <f t="shared" si="244"/>
        <v>1569</v>
      </c>
      <c r="W1578" s="90">
        <f t="shared" si="245"/>
        <v>0</v>
      </c>
      <c r="X1578" s="90">
        <f t="shared" si="246"/>
        <v>0</v>
      </c>
      <c r="Y1578" s="141">
        <f t="shared" si="248"/>
        <v>1569</v>
      </c>
      <c r="Z1578" s="298">
        <v>314</v>
      </c>
      <c r="AA1578" s="299">
        <v>998</v>
      </c>
      <c r="AB1578" s="299">
        <v>1569</v>
      </c>
      <c r="AC1578" s="301">
        <v>0</v>
      </c>
      <c r="AD1578" s="301">
        <v>0</v>
      </c>
      <c r="AE1578" s="126"/>
      <c r="AF1578" s="298"/>
      <c r="AG1578" s="299"/>
      <c r="AH1578" s="299"/>
      <c r="AI1578" s="301"/>
      <c r="AJ1578" s="301"/>
      <c r="AK1578" s="426"/>
      <c r="AL1578" s="298"/>
      <c r="AM1578" s="299"/>
      <c r="AN1578" s="299"/>
      <c r="AO1578" s="301"/>
      <c r="AP1578" s="301"/>
      <c r="AQ1578" s="426"/>
      <c r="AR1578" s="298"/>
      <c r="AS1578" s="299"/>
      <c r="AT1578" s="299"/>
      <c r="AU1578" s="301"/>
      <c r="AV1578" s="301"/>
      <c r="AW1578" s="88"/>
      <c r="AX1578" s="298"/>
      <c r="AY1578" s="299"/>
      <c r="AZ1578" s="299"/>
      <c r="BA1578" s="301"/>
      <c r="BB1578" s="301"/>
      <c r="BC1578" s="426"/>
      <c r="BD1578" s="298"/>
      <c r="BE1578" s="299"/>
      <c r="BF1578" s="299"/>
      <c r="BG1578" s="301"/>
      <c r="BH1578" s="301"/>
      <c r="BI1578" s="88"/>
      <c r="BJ1578" s="298"/>
      <c r="BK1578" s="299"/>
      <c r="BL1578" s="299"/>
      <c r="BM1578" s="301"/>
      <c r="BN1578" s="301"/>
      <c r="BO1578" s="88"/>
      <c r="BP1578" s="9"/>
      <c r="BS1578" s="81"/>
      <c r="BT1578" s="81"/>
      <c r="BV1578" s="9"/>
      <c r="BY1578" s="81"/>
      <c r="BZ1578" s="81"/>
      <c r="CB1578" s="9"/>
      <c r="CE1578" s="81"/>
      <c r="CF1578" s="81"/>
      <c r="CH1578" s="9"/>
      <c r="CK1578" s="81"/>
      <c r="CL1578" s="81"/>
      <c r="CR1578" s="9"/>
      <c r="CS1578" s="9"/>
      <c r="CT1578" s="9"/>
      <c r="CU1578" s="9"/>
      <c r="CV1578" s="9"/>
      <c r="CW1578" s="129"/>
      <c r="CX1578" s="9"/>
    </row>
    <row r="1579" spans="1:102">
      <c r="A1579" s="6" t="str">
        <f t="shared" si="241"/>
        <v>03140999</v>
      </c>
      <c r="B1579" s="6" t="s">
        <v>1964</v>
      </c>
      <c r="C1579" s="6" t="s">
        <v>2092</v>
      </c>
      <c r="D1579" s="6">
        <v>1570</v>
      </c>
      <c r="E1579" s="10">
        <v>314</v>
      </c>
      <c r="F1579" s="10" t="s">
        <v>1432</v>
      </c>
      <c r="G1579" s="10">
        <v>999</v>
      </c>
      <c r="H1579" s="10" t="s">
        <v>593</v>
      </c>
      <c r="I1579" s="92">
        <v>39855550.60148</v>
      </c>
      <c r="J1579" s="472">
        <v>1</v>
      </c>
      <c r="K1579" s="53">
        <f>SUM(K1575:K1578)</f>
        <v>42285807.326579988</v>
      </c>
      <c r="L1579" s="91">
        <f>SUM(L1575:L1578)</f>
        <v>1</v>
      </c>
      <c r="M1579" s="79">
        <f>VLOOKUP(E1579,town351,24)</f>
        <v>34885791</v>
      </c>
      <c r="N1579" s="79">
        <f>SUM(N1575:N1578)</f>
        <v>34885791</v>
      </c>
      <c r="O1579" s="79">
        <v>32047587</v>
      </c>
      <c r="P1579" s="79">
        <f>SUM(P1575:P1578)</f>
        <v>2838204</v>
      </c>
      <c r="Q1579" s="39">
        <f t="shared" si="249"/>
        <v>8.8562174743452609</v>
      </c>
      <c r="R1579" s="9">
        <v>2661</v>
      </c>
      <c r="S1579" s="9">
        <f t="shared" si="247"/>
        <v>2713</v>
      </c>
      <c r="T1579" s="90">
        <f t="shared" si="242"/>
        <v>314</v>
      </c>
      <c r="U1579" s="90">
        <f t="shared" si="243"/>
        <v>999</v>
      </c>
      <c r="V1579" s="373">
        <f t="shared" si="244"/>
        <v>1570</v>
      </c>
      <c r="W1579" s="90">
        <f t="shared" si="245"/>
        <v>2713</v>
      </c>
      <c r="X1579" s="90">
        <f t="shared" si="246"/>
        <v>42285807.326579988</v>
      </c>
      <c r="Y1579" s="141">
        <f t="shared" si="248"/>
        <v>1570</v>
      </c>
      <c r="Z1579" s="298">
        <v>314</v>
      </c>
      <c r="AA1579" s="299">
        <v>999</v>
      </c>
      <c r="AB1579" s="299">
        <v>1570</v>
      </c>
      <c r="AC1579" s="301">
        <v>2713</v>
      </c>
      <c r="AD1579" s="301">
        <v>42285807.326579988</v>
      </c>
      <c r="AE1579" s="126"/>
      <c r="AF1579" s="298"/>
      <c r="AG1579" s="299"/>
      <c r="AH1579" s="299"/>
      <c r="AI1579" s="301"/>
      <c r="AJ1579" s="301"/>
      <c r="AK1579" s="426"/>
      <c r="AL1579" s="298"/>
      <c r="AM1579" s="299"/>
      <c r="AN1579" s="299"/>
      <c r="AO1579" s="301"/>
      <c r="AP1579" s="301"/>
      <c r="AQ1579" s="426"/>
      <c r="AR1579" s="298"/>
      <c r="AS1579" s="299"/>
      <c r="AT1579" s="299"/>
      <c r="AU1579" s="301"/>
      <c r="AV1579" s="301"/>
      <c r="AW1579" s="91"/>
      <c r="AX1579" s="298"/>
      <c r="AY1579" s="299"/>
      <c r="AZ1579" s="299"/>
      <c r="BA1579" s="301"/>
      <c r="BB1579" s="301"/>
      <c r="BC1579" s="426"/>
      <c r="BD1579" s="298"/>
      <c r="BE1579" s="299"/>
      <c r="BF1579" s="299"/>
      <c r="BG1579" s="301"/>
      <c r="BH1579" s="301"/>
      <c r="BI1579" s="91"/>
      <c r="BJ1579" s="298"/>
      <c r="BK1579" s="299"/>
      <c r="BL1579" s="299"/>
      <c r="BM1579" s="301"/>
      <c r="BN1579" s="301"/>
      <c r="BO1579" s="91"/>
      <c r="BP1579" s="9"/>
      <c r="BS1579" s="81"/>
      <c r="BT1579" s="81"/>
      <c r="BV1579" s="9"/>
      <c r="BY1579" s="81"/>
      <c r="BZ1579" s="81"/>
      <c r="CB1579" s="9"/>
      <c r="CE1579" s="81"/>
      <c r="CF1579" s="81"/>
      <c r="CH1579" s="9"/>
      <c r="CK1579" s="81"/>
      <c r="CL1579" s="81"/>
      <c r="CR1579" s="9"/>
      <c r="CS1579" s="9"/>
      <c r="CT1579" s="9"/>
      <c r="CU1579" s="9"/>
      <c r="CV1579" s="9"/>
      <c r="CW1579" s="129"/>
      <c r="CX1579" s="9"/>
    </row>
    <row r="1580" spans="1:102">
      <c r="A1580" s="6" t="str">
        <f t="shared" si="241"/>
        <v>03150315</v>
      </c>
      <c r="B1580" s="6" t="s">
        <v>1965</v>
      </c>
      <c r="C1580" s="6" t="s">
        <v>1965</v>
      </c>
      <c r="D1580" s="6">
        <v>1571</v>
      </c>
      <c r="E1580" s="6">
        <v>315</v>
      </c>
      <c r="F1580" s="6" t="s">
        <v>1433</v>
      </c>
      <c r="G1580" s="6">
        <v>315</v>
      </c>
      <c r="H1580" s="6" t="s">
        <v>996</v>
      </c>
      <c r="I1580" s="33">
        <v>33119434.224909998</v>
      </c>
      <c r="J1580" s="88">
        <v>1</v>
      </c>
      <c r="K1580" s="89">
        <f>X1580</f>
        <v>33905314.106570005</v>
      </c>
      <c r="L1580" s="88">
        <f>IF(K1584&gt;0, K1580/K1584, 0)</f>
        <v>1</v>
      </c>
      <c r="M1580" s="58"/>
      <c r="N1580" s="9">
        <f>ROUND(M1584*L1580,0)</f>
        <v>27971884</v>
      </c>
      <c r="O1580" s="9">
        <v>25852462</v>
      </c>
      <c r="P1580" s="9">
        <f>N1580-O1580</f>
        <v>2119422</v>
      </c>
      <c r="Q1580" s="40">
        <f t="shared" si="249"/>
        <v>8.198143758996725</v>
      </c>
      <c r="R1580" s="9">
        <v>2681</v>
      </c>
      <c r="S1580" s="9">
        <f t="shared" si="247"/>
        <v>2672</v>
      </c>
      <c r="T1580" s="90">
        <f t="shared" si="242"/>
        <v>315</v>
      </c>
      <c r="U1580" s="90">
        <f t="shared" si="243"/>
        <v>315</v>
      </c>
      <c r="V1580" s="373">
        <f t="shared" si="244"/>
        <v>1571</v>
      </c>
      <c r="W1580" s="90">
        <f t="shared" si="245"/>
        <v>2672</v>
      </c>
      <c r="X1580" s="90">
        <f t="shared" si="246"/>
        <v>33905314.106570005</v>
      </c>
      <c r="Y1580" s="141">
        <f t="shared" si="248"/>
        <v>1571</v>
      </c>
      <c r="Z1580" s="298">
        <v>315</v>
      </c>
      <c r="AA1580" s="299">
        <v>315</v>
      </c>
      <c r="AB1580" s="299">
        <v>1571</v>
      </c>
      <c r="AC1580" s="301">
        <v>2672</v>
      </c>
      <c r="AD1580" s="301">
        <v>33905314.106570005</v>
      </c>
      <c r="AE1580" s="126"/>
      <c r="AF1580" s="298"/>
      <c r="AG1580" s="299"/>
      <c r="AH1580" s="299"/>
      <c r="AI1580" s="301"/>
      <c r="AJ1580" s="301"/>
      <c r="AK1580" s="426"/>
      <c r="AL1580" s="298"/>
      <c r="AM1580" s="299"/>
      <c r="AN1580" s="299"/>
      <c r="AO1580" s="301"/>
      <c r="AP1580" s="301"/>
      <c r="AQ1580" s="426"/>
      <c r="AR1580" s="298"/>
      <c r="AS1580" s="299"/>
      <c r="AT1580" s="299"/>
      <c r="AU1580" s="301"/>
      <c r="AV1580" s="301"/>
      <c r="AW1580" s="88"/>
      <c r="AX1580" s="298"/>
      <c r="AY1580" s="299"/>
      <c r="AZ1580" s="299"/>
      <c r="BA1580" s="301"/>
      <c r="BB1580" s="301"/>
      <c r="BC1580" s="426"/>
      <c r="BD1580" s="298"/>
      <c r="BE1580" s="299"/>
      <c r="BF1580" s="299"/>
      <c r="BG1580" s="301"/>
      <c r="BH1580" s="301"/>
      <c r="BI1580" s="88"/>
      <c r="BJ1580" s="298"/>
      <c r="BK1580" s="299"/>
      <c r="BL1580" s="299"/>
      <c r="BM1580" s="301"/>
      <c r="BN1580" s="301"/>
      <c r="BO1580" s="88"/>
      <c r="BP1580" s="9"/>
      <c r="BS1580" s="81"/>
      <c r="BT1580" s="81"/>
      <c r="BV1580" s="9"/>
      <c r="BY1580" s="81"/>
      <c r="BZ1580" s="81"/>
      <c r="CB1580" s="9"/>
      <c r="CE1580" s="81"/>
      <c r="CF1580" s="81"/>
      <c r="CH1580" s="9"/>
      <c r="CK1580" s="81"/>
      <c r="CL1580" s="81"/>
      <c r="CR1580" s="9"/>
      <c r="CS1580" s="9"/>
      <c r="CT1580" s="9"/>
      <c r="CU1580" s="9"/>
      <c r="CV1580" s="9"/>
      <c r="CW1580" s="129"/>
      <c r="CX1580" s="9"/>
    </row>
    <row r="1581" spans="1:102">
      <c r="A1581" s="6" t="str">
        <f t="shared" si="241"/>
        <v>03150830</v>
      </c>
      <c r="B1581" s="6" t="s">
        <v>1965</v>
      </c>
      <c r="C1581" s="6" t="s">
        <v>2074</v>
      </c>
      <c r="D1581" s="6">
        <v>1572</v>
      </c>
      <c r="E1581" s="6">
        <v>315</v>
      </c>
      <c r="G1581" s="6">
        <v>998</v>
      </c>
      <c r="I1581" s="33">
        <v>0</v>
      </c>
      <c r="J1581" s="88">
        <v>0</v>
      </c>
      <c r="K1581" s="89">
        <f t="shared" si="250"/>
        <v>0</v>
      </c>
      <c r="L1581" s="88">
        <f>IF(K1584&gt;0, K1581/K1584, 0)</f>
        <v>0</v>
      </c>
      <c r="M1581" s="58"/>
      <c r="N1581" s="9">
        <f>ROUND(M1584*L1581,0)</f>
        <v>0</v>
      </c>
      <c r="O1581" s="9">
        <v>0</v>
      </c>
      <c r="P1581" s="9">
        <f>N1581-O1581</f>
        <v>0</v>
      </c>
      <c r="Q1581" s="40">
        <f t="shared" si="249"/>
        <v>0</v>
      </c>
      <c r="R1581" s="9">
        <v>0</v>
      </c>
      <c r="S1581" s="9">
        <f t="shared" si="247"/>
        <v>0</v>
      </c>
      <c r="T1581" s="90">
        <f t="shared" si="242"/>
        <v>315</v>
      </c>
      <c r="U1581" s="90">
        <f t="shared" si="243"/>
        <v>998</v>
      </c>
      <c r="V1581" s="373">
        <f t="shared" si="244"/>
        <v>1572</v>
      </c>
      <c r="W1581" s="90">
        <f t="shared" si="245"/>
        <v>0</v>
      </c>
      <c r="X1581" s="90">
        <f t="shared" si="246"/>
        <v>0</v>
      </c>
      <c r="Y1581" s="141">
        <f t="shared" si="248"/>
        <v>1572</v>
      </c>
      <c r="Z1581" s="298">
        <v>315</v>
      </c>
      <c r="AA1581" s="299">
        <v>998</v>
      </c>
      <c r="AB1581" s="299">
        <v>1572</v>
      </c>
      <c r="AC1581" s="301">
        <v>0</v>
      </c>
      <c r="AD1581" s="301">
        <v>0</v>
      </c>
      <c r="AE1581" s="126"/>
      <c r="AF1581" s="298"/>
      <c r="AG1581" s="299"/>
      <c r="AH1581" s="299"/>
      <c r="AI1581" s="301"/>
      <c r="AJ1581" s="301"/>
      <c r="AK1581" s="426"/>
      <c r="AL1581" s="298"/>
      <c r="AM1581" s="299"/>
      <c r="AN1581" s="299"/>
      <c r="AO1581" s="301"/>
      <c r="AP1581" s="301"/>
      <c r="AQ1581" s="426"/>
      <c r="AR1581" s="298"/>
      <c r="AS1581" s="299"/>
      <c r="AT1581" s="299"/>
      <c r="AU1581" s="301"/>
      <c r="AV1581" s="301"/>
      <c r="AW1581" s="88"/>
      <c r="AX1581" s="298"/>
      <c r="AY1581" s="299"/>
      <c r="AZ1581" s="299"/>
      <c r="BA1581" s="301"/>
      <c r="BB1581" s="301"/>
      <c r="BC1581" s="426"/>
      <c r="BD1581" s="298"/>
      <c r="BE1581" s="299"/>
      <c r="BF1581" s="299"/>
      <c r="BG1581" s="301"/>
      <c r="BH1581" s="301"/>
      <c r="BI1581" s="88"/>
      <c r="BJ1581" s="298"/>
      <c r="BK1581" s="299"/>
      <c r="BL1581" s="299"/>
      <c r="BM1581" s="301"/>
      <c r="BN1581" s="301"/>
      <c r="BO1581" s="88"/>
      <c r="BP1581" s="9"/>
      <c r="BS1581" s="81"/>
      <c r="BT1581" s="81"/>
      <c r="BV1581" s="9"/>
      <c r="BY1581" s="81"/>
      <c r="BZ1581" s="81"/>
      <c r="CB1581" s="9"/>
      <c r="CE1581" s="81"/>
      <c r="CF1581" s="81"/>
      <c r="CH1581" s="9"/>
      <c r="CK1581" s="81"/>
      <c r="CL1581" s="81"/>
      <c r="CR1581" s="9"/>
      <c r="CS1581" s="9"/>
      <c r="CT1581" s="9"/>
      <c r="CU1581" s="9"/>
      <c r="CV1581" s="9"/>
      <c r="CW1581" s="129"/>
      <c r="CX1581" s="9"/>
    </row>
    <row r="1582" spans="1:102">
      <c r="A1582" s="6" t="str">
        <f t="shared" si="241"/>
        <v>03150998</v>
      </c>
      <c r="B1582" s="6" t="s">
        <v>1965</v>
      </c>
      <c r="C1582" s="6" t="s">
        <v>2091</v>
      </c>
      <c r="D1582" s="6">
        <v>1573</v>
      </c>
      <c r="E1582" s="6">
        <v>315</v>
      </c>
      <c r="F1582" s="6" t="s">
        <v>1547</v>
      </c>
      <c r="G1582" s="6">
        <v>998</v>
      </c>
      <c r="H1582" s="6" t="s">
        <v>1547</v>
      </c>
      <c r="I1582" s="33">
        <v>0</v>
      </c>
      <c r="J1582" s="88">
        <v>0</v>
      </c>
      <c r="K1582" s="89">
        <f t="shared" si="250"/>
        <v>0</v>
      </c>
      <c r="L1582" s="88">
        <f>IF(K1584&gt;0, K1582/K1584, 0)</f>
        <v>0</v>
      </c>
      <c r="M1582" s="58"/>
      <c r="N1582" s="9">
        <f>ROUND(M1584*L1582,0)</f>
        <v>0</v>
      </c>
      <c r="O1582" s="9">
        <v>0</v>
      </c>
      <c r="P1582" s="9">
        <f>N1582-O1582</f>
        <v>0</v>
      </c>
      <c r="Q1582" s="40">
        <f t="shared" si="249"/>
        <v>0</v>
      </c>
      <c r="R1582" s="9">
        <v>0</v>
      </c>
      <c r="S1582" s="9">
        <f t="shared" si="247"/>
        <v>0</v>
      </c>
      <c r="T1582" s="90">
        <f t="shared" si="242"/>
        <v>315</v>
      </c>
      <c r="U1582" s="90">
        <f t="shared" si="243"/>
        <v>998</v>
      </c>
      <c r="V1582" s="373">
        <f t="shared" si="244"/>
        <v>1573</v>
      </c>
      <c r="W1582" s="90">
        <f t="shared" si="245"/>
        <v>0</v>
      </c>
      <c r="X1582" s="90">
        <f t="shared" si="246"/>
        <v>0</v>
      </c>
      <c r="Y1582" s="141">
        <f t="shared" si="248"/>
        <v>1573</v>
      </c>
      <c r="Z1582" s="298">
        <v>315</v>
      </c>
      <c r="AA1582" s="299">
        <v>998</v>
      </c>
      <c r="AB1582" s="299">
        <v>1573</v>
      </c>
      <c r="AC1582" s="301">
        <v>0</v>
      </c>
      <c r="AD1582" s="301">
        <v>0</v>
      </c>
      <c r="AE1582" s="126"/>
      <c r="AF1582" s="298"/>
      <c r="AG1582" s="299"/>
      <c r="AH1582" s="299"/>
      <c r="AI1582" s="301"/>
      <c r="AJ1582" s="301"/>
      <c r="AK1582" s="426"/>
      <c r="AL1582" s="298"/>
      <c r="AM1582" s="299"/>
      <c r="AN1582" s="299"/>
      <c r="AO1582" s="301"/>
      <c r="AP1582" s="301"/>
      <c r="AQ1582" s="426"/>
      <c r="AR1582" s="298"/>
      <c r="AS1582" s="299"/>
      <c r="AT1582" s="299"/>
      <c r="AU1582" s="301"/>
      <c r="AV1582" s="301"/>
      <c r="AW1582" s="88"/>
      <c r="AX1582" s="298"/>
      <c r="AY1582" s="299"/>
      <c r="AZ1582" s="299"/>
      <c r="BA1582" s="301"/>
      <c r="BB1582" s="301"/>
      <c r="BC1582" s="426"/>
      <c r="BD1582" s="298"/>
      <c r="BE1582" s="299"/>
      <c r="BF1582" s="299"/>
      <c r="BG1582" s="301"/>
      <c r="BH1582" s="301"/>
      <c r="BI1582" s="88"/>
      <c r="BJ1582" s="298"/>
      <c r="BK1582" s="299"/>
      <c r="BL1582" s="299"/>
      <c r="BM1582" s="301"/>
      <c r="BN1582" s="301"/>
      <c r="BO1582" s="88"/>
      <c r="BP1582" s="9"/>
      <c r="BS1582" s="81"/>
      <c r="BT1582" s="81"/>
      <c r="BV1582" s="9"/>
      <c r="BY1582" s="81"/>
      <c r="BZ1582" s="81"/>
      <c r="CB1582" s="9"/>
      <c r="CE1582" s="81"/>
      <c r="CF1582" s="81"/>
      <c r="CH1582" s="9"/>
      <c r="CK1582" s="81"/>
      <c r="CL1582" s="81"/>
      <c r="CR1582" s="9"/>
      <c r="CS1582" s="9"/>
      <c r="CT1582" s="9"/>
      <c r="CU1582" s="9"/>
      <c r="CV1582" s="9"/>
      <c r="CW1582" s="129"/>
      <c r="CX1582" s="9"/>
    </row>
    <row r="1583" spans="1:102">
      <c r="A1583" s="6" t="str">
        <f t="shared" si="241"/>
        <v>03150998</v>
      </c>
      <c r="B1583" s="6" t="s">
        <v>1965</v>
      </c>
      <c r="C1583" s="6" t="s">
        <v>2091</v>
      </c>
      <c r="D1583" s="6">
        <v>1574</v>
      </c>
      <c r="E1583" s="6">
        <v>315</v>
      </c>
      <c r="F1583" s="6" t="s">
        <v>1547</v>
      </c>
      <c r="G1583" s="6">
        <v>998</v>
      </c>
      <c r="H1583" s="6" t="s">
        <v>1547</v>
      </c>
      <c r="I1583" s="33">
        <v>0</v>
      </c>
      <c r="J1583" s="88">
        <v>0</v>
      </c>
      <c r="K1583" s="89">
        <f t="shared" si="250"/>
        <v>0</v>
      </c>
      <c r="L1583" s="88">
        <f>IF(K1584&gt;0, K1583/K1584, 0)</f>
        <v>0</v>
      </c>
      <c r="M1583" s="58"/>
      <c r="N1583" s="9">
        <f>ROUND(M1584*L1583,0)</f>
        <v>0</v>
      </c>
      <c r="O1583" s="9">
        <v>0</v>
      </c>
      <c r="P1583" s="9">
        <f>N1583-O1583</f>
        <v>0</v>
      </c>
      <c r="Q1583" s="40">
        <f t="shared" si="249"/>
        <v>0</v>
      </c>
      <c r="R1583" s="9">
        <v>0</v>
      </c>
      <c r="S1583" s="9">
        <f t="shared" si="247"/>
        <v>0</v>
      </c>
      <c r="T1583" s="90">
        <f t="shared" si="242"/>
        <v>315</v>
      </c>
      <c r="U1583" s="90">
        <f t="shared" si="243"/>
        <v>998</v>
      </c>
      <c r="V1583" s="373">
        <f t="shared" si="244"/>
        <v>1574</v>
      </c>
      <c r="W1583" s="90">
        <f t="shared" si="245"/>
        <v>0</v>
      </c>
      <c r="X1583" s="90">
        <f t="shared" si="246"/>
        <v>0</v>
      </c>
      <c r="Y1583" s="141">
        <f t="shared" si="248"/>
        <v>1574</v>
      </c>
      <c r="Z1583" s="298">
        <v>315</v>
      </c>
      <c r="AA1583" s="299">
        <v>998</v>
      </c>
      <c r="AB1583" s="299">
        <v>1574</v>
      </c>
      <c r="AC1583" s="301">
        <v>0</v>
      </c>
      <c r="AD1583" s="301">
        <v>0</v>
      </c>
      <c r="AE1583" s="126"/>
      <c r="AF1583" s="298"/>
      <c r="AG1583" s="299"/>
      <c r="AH1583" s="299"/>
      <c r="AI1583" s="301"/>
      <c r="AJ1583" s="301"/>
      <c r="AK1583" s="426"/>
      <c r="AL1583" s="298"/>
      <c r="AM1583" s="299"/>
      <c r="AN1583" s="299"/>
      <c r="AO1583" s="301"/>
      <c r="AP1583" s="301"/>
      <c r="AQ1583" s="426"/>
      <c r="AR1583" s="298"/>
      <c r="AS1583" s="299"/>
      <c r="AT1583" s="299"/>
      <c r="AU1583" s="301"/>
      <c r="AV1583" s="301"/>
      <c r="AW1583" s="88"/>
      <c r="AX1583" s="298"/>
      <c r="AY1583" s="299"/>
      <c r="AZ1583" s="299"/>
      <c r="BA1583" s="301"/>
      <c r="BB1583" s="301"/>
      <c r="BC1583" s="426"/>
      <c r="BD1583" s="298"/>
      <c r="BE1583" s="299"/>
      <c r="BF1583" s="299"/>
      <c r="BG1583" s="301"/>
      <c r="BH1583" s="301"/>
      <c r="BI1583" s="88"/>
      <c r="BJ1583" s="298"/>
      <c r="BK1583" s="299"/>
      <c r="BL1583" s="299"/>
      <c r="BM1583" s="301"/>
      <c r="BN1583" s="301"/>
      <c r="BO1583" s="88"/>
      <c r="BP1583" s="9"/>
      <c r="BS1583" s="81"/>
      <c r="BT1583" s="81"/>
      <c r="BV1583" s="9"/>
      <c r="BY1583" s="81"/>
      <c r="BZ1583" s="81"/>
      <c r="CB1583" s="9"/>
      <c r="CE1583" s="81"/>
      <c r="CF1583" s="81"/>
      <c r="CH1583" s="9"/>
      <c r="CK1583" s="81"/>
      <c r="CL1583" s="81"/>
      <c r="CR1583" s="9"/>
      <c r="CS1583" s="9"/>
      <c r="CT1583" s="9"/>
      <c r="CU1583" s="9"/>
      <c r="CV1583" s="9"/>
      <c r="CW1583" s="129"/>
      <c r="CX1583" s="9"/>
    </row>
    <row r="1584" spans="1:102">
      <c r="A1584" s="6" t="str">
        <f t="shared" si="241"/>
        <v>03150999</v>
      </c>
      <c r="B1584" s="6" t="s">
        <v>1965</v>
      </c>
      <c r="C1584" s="6" t="s">
        <v>2092</v>
      </c>
      <c r="D1584" s="6">
        <v>1575</v>
      </c>
      <c r="E1584" s="10">
        <v>315</v>
      </c>
      <c r="F1584" s="10" t="s">
        <v>1433</v>
      </c>
      <c r="G1584" s="10">
        <v>999</v>
      </c>
      <c r="H1584" s="10" t="s">
        <v>593</v>
      </c>
      <c r="I1584" s="92">
        <v>33119434.224909998</v>
      </c>
      <c r="J1584" s="472">
        <v>1</v>
      </c>
      <c r="K1584" s="53">
        <f>SUM(K1580:K1583)</f>
        <v>33905314.106570005</v>
      </c>
      <c r="L1584" s="91">
        <f>SUM(L1580:L1583)</f>
        <v>1</v>
      </c>
      <c r="M1584" s="79">
        <f>VLOOKUP(E1584,town351,24)</f>
        <v>27971884</v>
      </c>
      <c r="N1584" s="79">
        <f>SUM(N1580:N1583)</f>
        <v>27971884</v>
      </c>
      <c r="O1584" s="79">
        <v>25852462</v>
      </c>
      <c r="P1584" s="79">
        <f>SUM(P1580:P1583)</f>
        <v>2119422</v>
      </c>
      <c r="Q1584" s="39">
        <f t="shared" si="249"/>
        <v>8.198143758996725</v>
      </c>
      <c r="R1584" s="9">
        <v>2681</v>
      </c>
      <c r="S1584" s="9">
        <f t="shared" si="247"/>
        <v>2672</v>
      </c>
      <c r="T1584" s="90">
        <f t="shared" si="242"/>
        <v>315</v>
      </c>
      <c r="U1584" s="90">
        <f t="shared" si="243"/>
        <v>999</v>
      </c>
      <c r="V1584" s="373">
        <f t="shared" si="244"/>
        <v>1575</v>
      </c>
      <c r="W1584" s="90">
        <f t="shared" si="245"/>
        <v>2672</v>
      </c>
      <c r="X1584" s="90">
        <f t="shared" si="246"/>
        <v>33905314.106570005</v>
      </c>
      <c r="Y1584" s="141">
        <f t="shared" si="248"/>
        <v>1575</v>
      </c>
      <c r="Z1584" s="298">
        <v>315</v>
      </c>
      <c r="AA1584" s="299">
        <v>999</v>
      </c>
      <c r="AB1584" s="299">
        <v>1575</v>
      </c>
      <c r="AC1584" s="301">
        <v>2672</v>
      </c>
      <c r="AD1584" s="301">
        <v>33905314.106570005</v>
      </c>
      <c r="AE1584" s="126"/>
      <c r="AF1584" s="298"/>
      <c r="AG1584" s="299"/>
      <c r="AH1584" s="299"/>
      <c r="AI1584" s="301"/>
      <c r="AJ1584" s="301"/>
      <c r="AK1584" s="426"/>
      <c r="AL1584" s="298"/>
      <c r="AM1584" s="299"/>
      <c r="AN1584" s="299"/>
      <c r="AO1584" s="301"/>
      <c r="AP1584" s="301"/>
      <c r="AQ1584" s="426"/>
      <c r="AR1584" s="298"/>
      <c r="AS1584" s="299"/>
      <c r="AT1584" s="299"/>
      <c r="AU1584" s="301"/>
      <c r="AV1584" s="301"/>
      <c r="AW1584" s="91"/>
      <c r="AX1584" s="298"/>
      <c r="AY1584" s="299"/>
      <c r="AZ1584" s="299"/>
      <c r="BA1584" s="301"/>
      <c r="BB1584" s="301"/>
      <c r="BC1584" s="426"/>
      <c r="BD1584" s="298"/>
      <c r="BE1584" s="299"/>
      <c r="BF1584" s="299"/>
      <c r="BG1584" s="301"/>
      <c r="BH1584" s="301"/>
      <c r="BI1584" s="91"/>
      <c r="BJ1584" s="298"/>
      <c r="BK1584" s="299"/>
      <c r="BL1584" s="299"/>
      <c r="BM1584" s="301"/>
      <c r="BN1584" s="301"/>
      <c r="BO1584" s="91"/>
      <c r="BP1584" s="9"/>
      <c r="BS1584" s="81"/>
      <c r="BT1584" s="81"/>
      <c r="BV1584" s="9"/>
      <c r="BY1584" s="81"/>
      <c r="BZ1584" s="81"/>
      <c r="CB1584" s="9"/>
      <c r="CE1584" s="81"/>
      <c r="CF1584" s="81"/>
      <c r="CH1584" s="9"/>
      <c r="CK1584" s="81"/>
      <c r="CL1584" s="81"/>
      <c r="CR1584" s="9"/>
      <c r="CS1584" s="9"/>
      <c r="CT1584" s="9"/>
      <c r="CU1584" s="9"/>
      <c r="CV1584" s="9"/>
      <c r="CW1584" s="129"/>
      <c r="CX1584" s="9"/>
    </row>
    <row r="1585" spans="1:102">
      <c r="A1585" s="6" t="str">
        <f t="shared" si="241"/>
        <v>03160316</v>
      </c>
      <c r="B1585" s="6" t="s">
        <v>1966</v>
      </c>
      <c r="C1585" s="6" t="s">
        <v>1966</v>
      </c>
      <c r="D1585" s="6">
        <v>1576</v>
      </c>
      <c r="E1585" s="6">
        <v>316</v>
      </c>
      <c r="F1585" s="6" t="s">
        <v>1434</v>
      </c>
      <c r="G1585" s="6">
        <v>316</v>
      </c>
      <c r="H1585" s="6" t="s">
        <v>997</v>
      </c>
      <c r="I1585" s="33">
        <v>31971769.840000004</v>
      </c>
      <c r="J1585" s="88">
        <v>0.91758440657138229</v>
      </c>
      <c r="K1585" s="89">
        <f>X1585</f>
        <v>33656707.75</v>
      </c>
      <c r="L1585" s="88">
        <f>IF(K1589&gt;0, K1585/K1589, 0)</f>
        <v>0.91414809162578003</v>
      </c>
      <c r="M1585" s="58"/>
      <c r="N1585" s="9">
        <f>ROUND(M1589*L1585,0)</f>
        <v>13578012</v>
      </c>
      <c r="O1585" s="9">
        <v>12851534</v>
      </c>
      <c r="P1585" s="9">
        <f>N1585-O1585</f>
        <v>726478</v>
      </c>
      <c r="Q1585" s="40">
        <f t="shared" si="249"/>
        <v>5.6528504690568457</v>
      </c>
      <c r="R1585" s="9">
        <v>1907</v>
      </c>
      <c r="S1585" s="9">
        <f t="shared" si="247"/>
        <v>1921</v>
      </c>
      <c r="T1585" s="90">
        <f t="shared" si="242"/>
        <v>316</v>
      </c>
      <c r="U1585" s="90">
        <f t="shared" si="243"/>
        <v>316</v>
      </c>
      <c r="V1585" s="373">
        <f t="shared" si="244"/>
        <v>1576</v>
      </c>
      <c r="W1585" s="90">
        <f t="shared" si="245"/>
        <v>1921</v>
      </c>
      <c r="X1585" s="90">
        <f t="shared" si="246"/>
        <v>33656707.75</v>
      </c>
      <c r="Y1585" s="141">
        <f t="shared" si="248"/>
        <v>1576</v>
      </c>
      <c r="Z1585" s="298">
        <v>316</v>
      </c>
      <c r="AA1585" s="299">
        <v>316</v>
      </c>
      <c r="AB1585" s="299">
        <v>1576</v>
      </c>
      <c r="AC1585" s="301">
        <v>1921</v>
      </c>
      <c r="AD1585" s="301">
        <v>33656707.75</v>
      </c>
      <c r="AE1585" s="126"/>
      <c r="AF1585" s="298"/>
      <c r="AG1585" s="299"/>
      <c r="AH1585" s="299"/>
      <c r="AI1585" s="301"/>
      <c r="AJ1585" s="301"/>
      <c r="AK1585" s="426"/>
      <c r="AL1585" s="298"/>
      <c r="AM1585" s="299"/>
      <c r="AN1585" s="299"/>
      <c r="AO1585" s="301"/>
      <c r="AP1585" s="301"/>
      <c r="AQ1585" s="426"/>
      <c r="AR1585" s="298"/>
      <c r="AS1585" s="299"/>
      <c r="AT1585" s="299"/>
      <c r="AU1585" s="301"/>
      <c r="AV1585" s="301"/>
      <c r="AW1585" s="88"/>
      <c r="AX1585" s="298"/>
      <c r="AY1585" s="299"/>
      <c r="AZ1585" s="299"/>
      <c r="BA1585" s="301"/>
      <c r="BB1585" s="301"/>
      <c r="BC1585" s="426"/>
      <c r="BD1585" s="298"/>
      <c r="BE1585" s="299"/>
      <c r="BF1585" s="299"/>
      <c r="BG1585" s="301"/>
      <c r="BH1585" s="301"/>
      <c r="BI1585" s="88"/>
      <c r="BJ1585" s="298"/>
      <c r="BK1585" s="299"/>
      <c r="BL1585" s="299"/>
      <c r="BM1585" s="301"/>
      <c r="BN1585" s="301"/>
      <c r="BO1585" s="88"/>
      <c r="BP1585" s="9"/>
      <c r="BS1585" s="81"/>
      <c r="BT1585" s="81"/>
      <c r="BV1585" s="9"/>
      <c r="BY1585" s="81"/>
      <c r="BZ1585" s="81"/>
      <c r="CB1585" s="9"/>
      <c r="CE1585" s="81"/>
      <c r="CF1585" s="81"/>
      <c r="CH1585" s="9"/>
      <c r="CK1585" s="81"/>
      <c r="CL1585" s="81"/>
      <c r="CR1585" s="9"/>
      <c r="CS1585" s="9"/>
      <c r="CT1585" s="9"/>
      <c r="CU1585" s="9"/>
      <c r="CV1585" s="9"/>
      <c r="CW1585" s="129"/>
      <c r="CX1585" s="9"/>
    </row>
    <row r="1586" spans="1:102">
      <c r="A1586" s="6" t="str">
        <f t="shared" si="241"/>
        <v>03160876</v>
      </c>
      <c r="B1586" s="6" t="s">
        <v>1966</v>
      </c>
      <c r="C1586" s="6" t="s">
        <v>2084</v>
      </c>
      <c r="D1586" s="6">
        <v>1577</v>
      </c>
      <c r="E1586" s="6">
        <v>316</v>
      </c>
      <c r="F1586" s="6" t="s">
        <v>1434</v>
      </c>
      <c r="G1586" s="6">
        <v>876</v>
      </c>
      <c r="H1586" s="6" t="s">
        <v>1114</v>
      </c>
      <c r="I1586" s="33">
        <v>2871640.3258993286</v>
      </c>
      <c r="J1586" s="88">
        <v>8.2415593428617831E-2</v>
      </c>
      <c r="K1586" s="89">
        <f t="shared" si="250"/>
        <v>3160858.3077519061</v>
      </c>
      <c r="L1586" s="88">
        <f>IF(K1589&gt;0, K1586/K1589, 0)</f>
        <v>8.5851908374219923E-2</v>
      </c>
      <c r="M1586" s="58"/>
      <c r="N1586" s="9">
        <f>ROUND(M1589*L1586,0)</f>
        <v>1275174</v>
      </c>
      <c r="O1586" s="9">
        <v>1154299</v>
      </c>
      <c r="P1586" s="9">
        <f>N1586-O1586</f>
        <v>120875</v>
      </c>
      <c r="Q1586" s="40">
        <f t="shared" si="249"/>
        <v>10.471723530904905</v>
      </c>
      <c r="R1586" s="9">
        <v>142.00000000032</v>
      </c>
      <c r="S1586" s="9">
        <f t="shared" si="247"/>
        <v>152.99999999944001</v>
      </c>
      <c r="T1586" s="90">
        <f t="shared" si="242"/>
        <v>316</v>
      </c>
      <c r="U1586" s="90">
        <f t="shared" si="243"/>
        <v>876</v>
      </c>
      <c r="V1586" s="373">
        <f t="shared" si="244"/>
        <v>1577</v>
      </c>
      <c r="W1586" s="90">
        <f t="shared" si="245"/>
        <v>152.99999999944001</v>
      </c>
      <c r="X1586" s="90">
        <f t="shared" si="246"/>
        <v>3160858.3077519061</v>
      </c>
      <c r="Y1586" s="141">
        <f t="shared" si="248"/>
        <v>1577</v>
      </c>
      <c r="Z1586" s="298">
        <v>316</v>
      </c>
      <c r="AA1586" s="299">
        <v>876</v>
      </c>
      <c r="AB1586" s="299">
        <v>1577</v>
      </c>
      <c r="AC1586" s="301">
        <v>152.99999999944001</v>
      </c>
      <c r="AD1586" s="301">
        <v>3160858.3077519061</v>
      </c>
      <c r="AE1586" s="126"/>
      <c r="AF1586" s="298"/>
      <c r="AG1586" s="299"/>
      <c r="AH1586" s="299"/>
      <c r="AI1586" s="301"/>
      <c r="AJ1586" s="301"/>
      <c r="AK1586" s="426"/>
      <c r="AL1586" s="298"/>
      <c r="AM1586" s="299"/>
      <c r="AN1586" s="299"/>
      <c r="AO1586" s="301"/>
      <c r="AP1586" s="301"/>
      <c r="AQ1586" s="426"/>
      <c r="AR1586" s="298"/>
      <c r="AS1586" s="299"/>
      <c r="AT1586" s="299"/>
      <c r="AU1586" s="301"/>
      <c r="AV1586" s="301"/>
      <c r="AW1586" s="88"/>
      <c r="AX1586" s="298"/>
      <c r="AY1586" s="299"/>
      <c r="AZ1586" s="299"/>
      <c r="BA1586" s="301"/>
      <c r="BB1586" s="301"/>
      <c r="BC1586" s="426"/>
      <c r="BD1586" s="298"/>
      <c r="BE1586" s="299"/>
      <c r="BF1586" s="299"/>
      <c r="BG1586" s="301"/>
      <c r="BH1586" s="301"/>
      <c r="BI1586" s="88"/>
      <c r="BJ1586" s="298"/>
      <c r="BK1586" s="299"/>
      <c r="BL1586" s="299"/>
      <c r="BM1586" s="301"/>
      <c r="BN1586" s="301"/>
      <c r="BO1586" s="88"/>
      <c r="BP1586" s="9"/>
      <c r="BS1586" s="81"/>
      <c r="BT1586" s="81"/>
      <c r="BV1586" s="9"/>
      <c r="BY1586" s="81"/>
      <c r="BZ1586" s="81"/>
      <c r="CB1586" s="9"/>
      <c r="CE1586" s="81"/>
      <c r="CF1586" s="81"/>
      <c r="CH1586" s="9"/>
      <c r="CK1586" s="81"/>
      <c r="CL1586" s="81"/>
      <c r="CR1586" s="9"/>
      <c r="CS1586" s="9"/>
      <c r="CT1586" s="9"/>
      <c r="CU1586" s="9"/>
      <c r="CV1586" s="9"/>
      <c r="CW1586" s="129"/>
      <c r="CX1586" s="9"/>
    </row>
    <row r="1587" spans="1:102">
      <c r="A1587" s="6" t="str">
        <f t="shared" si="241"/>
        <v>03160998</v>
      </c>
      <c r="B1587" s="6" t="s">
        <v>1966</v>
      </c>
      <c r="C1587" s="6" t="s">
        <v>2091</v>
      </c>
      <c r="D1587" s="6">
        <v>1578</v>
      </c>
      <c r="E1587" s="6">
        <v>316</v>
      </c>
      <c r="F1587" s="6" t="s">
        <v>1547</v>
      </c>
      <c r="G1587" s="6">
        <v>998</v>
      </c>
      <c r="H1587" s="6" t="s">
        <v>1547</v>
      </c>
      <c r="I1587" s="33">
        <v>0</v>
      </c>
      <c r="J1587" s="88">
        <v>0</v>
      </c>
      <c r="K1587" s="89">
        <f t="shared" si="250"/>
        <v>0</v>
      </c>
      <c r="L1587" s="88">
        <f>IF(K1589&gt;0, K1587/K1589, 0)</f>
        <v>0</v>
      </c>
      <c r="M1587" s="58"/>
      <c r="N1587" s="9">
        <f>ROUND(M1589*L1587,0)</f>
        <v>0</v>
      </c>
      <c r="O1587" s="9">
        <v>0</v>
      </c>
      <c r="P1587" s="9">
        <f>N1587-O1587</f>
        <v>0</v>
      </c>
      <c r="Q1587" s="40">
        <f t="shared" si="249"/>
        <v>0</v>
      </c>
      <c r="R1587" s="9">
        <v>0</v>
      </c>
      <c r="S1587" s="9">
        <f t="shared" si="247"/>
        <v>0</v>
      </c>
      <c r="T1587" s="90">
        <f t="shared" si="242"/>
        <v>316</v>
      </c>
      <c r="U1587" s="90">
        <f t="shared" si="243"/>
        <v>998</v>
      </c>
      <c r="V1587" s="373">
        <f t="shared" si="244"/>
        <v>1578</v>
      </c>
      <c r="W1587" s="90">
        <f t="shared" si="245"/>
        <v>0</v>
      </c>
      <c r="X1587" s="90">
        <f t="shared" si="246"/>
        <v>0</v>
      </c>
      <c r="Y1587" s="141">
        <f t="shared" si="248"/>
        <v>1578</v>
      </c>
      <c r="Z1587" s="298">
        <v>316</v>
      </c>
      <c r="AA1587" s="299">
        <v>998</v>
      </c>
      <c r="AB1587" s="299">
        <v>1578</v>
      </c>
      <c r="AC1587" s="301">
        <v>0</v>
      </c>
      <c r="AD1587" s="301">
        <v>0</v>
      </c>
      <c r="AE1587" s="126"/>
      <c r="AF1587" s="298"/>
      <c r="AG1587" s="299"/>
      <c r="AH1587" s="299"/>
      <c r="AI1587" s="301"/>
      <c r="AJ1587" s="301"/>
      <c r="AK1587" s="426"/>
      <c r="AL1587" s="298"/>
      <c r="AM1587" s="299"/>
      <c r="AN1587" s="299"/>
      <c r="AO1587" s="301"/>
      <c r="AP1587" s="301"/>
      <c r="AQ1587" s="426"/>
      <c r="AR1587" s="298"/>
      <c r="AS1587" s="299"/>
      <c r="AT1587" s="299"/>
      <c r="AU1587" s="301"/>
      <c r="AV1587" s="301"/>
      <c r="AW1587" s="88"/>
      <c r="AX1587" s="298"/>
      <c r="AY1587" s="299"/>
      <c r="AZ1587" s="299"/>
      <c r="BA1587" s="301"/>
      <c r="BB1587" s="301"/>
      <c r="BC1587" s="426"/>
      <c r="BD1587" s="298"/>
      <c r="BE1587" s="299"/>
      <c r="BF1587" s="299"/>
      <c r="BG1587" s="301"/>
      <c r="BH1587" s="301"/>
      <c r="BI1587" s="88"/>
      <c r="BJ1587" s="298"/>
      <c r="BK1587" s="299"/>
      <c r="BL1587" s="299"/>
      <c r="BM1587" s="301"/>
      <c r="BN1587" s="301"/>
      <c r="BO1587" s="88"/>
      <c r="BP1587" s="9"/>
      <c r="BS1587" s="81"/>
      <c r="BT1587" s="81"/>
      <c r="BV1587" s="9"/>
      <c r="BY1587" s="81"/>
      <c r="BZ1587" s="81"/>
      <c r="CB1587" s="9"/>
      <c r="CE1587" s="81"/>
      <c r="CF1587" s="81"/>
      <c r="CH1587" s="9"/>
      <c r="CK1587" s="81"/>
      <c r="CL1587" s="81"/>
      <c r="CR1587" s="9"/>
      <c r="CS1587" s="9"/>
      <c r="CT1587" s="9"/>
      <c r="CU1587" s="9"/>
      <c r="CV1587" s="9"/>
      <c r="CW1587" s="129"/>
      <c r="CX1587" s="9"/>
    </row>
    <row r="1588" spans="1:102">
      <c r="A1588" s="6" t="str">
        <f t="shared" si="241"/>
        <v>03160998</v>
      </c>
      <c r="B1588" s="6" t="s">
        <v>1966</v>
      </c>
      <c r="C1588" s="6" t="s">
        <v>2091</v>
      </c>
      <c r="D1588" s="6">
        <v>1579</v>
      </c>
      <c r="E1588" s="6">
        <v>316</v>
      </c>
      <c r="F1588" s="6" t="s">
        <v>1547</v>
      </c>
      <c r="G1588" s="6">
        <v>998</v>
      </c>
      <c r="H1588" s="6" t="s">
        <v>1547</v>
      </c>
      <c r="I1588" s="33">
        <v>0</v>
      </c>
      <c r="J1588" s="88">
        <v>0</v>
      </c>
      <c r="K1588" s="89">
        <f t="shared" si="250"/>
        <v>0</v>
      </c>
      <c r="L1588" s="88">
        <f>IF(K1589&gt;0, K1588/K1589, 0)</f>
        <v>0</v>
      </c>
      <c r="M1588" s="58"/>
      <c r="N1588" s="9">
        <f>ROUND(M1589*L1588,0)</f>
        <v>0</v>
      </c>
      <c r="O1588" s="9">
        <v>0</v>
      </c>
      <c r="P1588" s="9">
        <f>N1588-O1588</f>
        <v>0</v>
      </c>
      <c r="Q1588" s="40">
        <f t="shared" si="249"/>
        <v>0</v>
      </c>
      <c r="R1588" s="9">
        <v>0</v>
      </c>
      <c r="S1588" s="9">
        <f t="shared" si="247"/>
        <v>0</v>
      </c>
      <c r="T1588" s="90">
        <f t="shared" si="242"/>
        <v>316</v>
      </c>
      <c r="U1588" s="90">
        <f t="shared" si="243"/>
        <v>998</v>
      </c>
      <c r="V1588" s="373">
        <f t="shared" si="244"/>
        <v>1579</v>
      </c>
      <c r="W1588" s="90">
        <f t="shared" si="245"/>
        <v>0</v>
      </c>
      <c r="X1588" s="90">
        <f t="shared" si="246"/>
        <v>0</v>
      </c>
      <c r="Y1588" s="141">
        <f t="shared" si="248"/>
        <v>1579</v>
      </c>
      <c r="Z1588" s="298">
        <v>316</v>
      </c>
      <c r="AA1588" s="299">
        <v>998</v>
      </c>
      <c r="AB1588" s="299">
        <v>1579</v>
      </c>
      <c r="AC1588" s="301">
        <v>0</v>
      </c>
      <c r="AD1588" s="301">
        <v>0</v>
      </c>
      <c r="AE1588" s="126"/>
      <c r="AF1588" s="298"/>
      <c r="AG1588" s="299"/>
      <c r="AH1588" s="299"/>
      <c r="AI1588" s="301"/>
      <c r="AJ1588" s="301"/>
      <c r="AK1588" s="426"/>
      <c r="AL1588" s="298"/>
      <c r="AM1588" s="299"/>
      <c r="AN1588" s="299"/>
      <c r="AO1588" s="301"/>
      <c r="AP1588" s="301"/>
      <c r="AQ1588" s="426"/>
      <c r="AR1588" s="298"/>
      <c r="AS1588" s="299"/>
      <c r="AT1588" s="299"/>
      <c r="AU1588" s="301"/>
      <c r="AV1588" s="301"/>
      <c r="AW1588" s="88"/>
      <c r="AX1588" s="298"/>
      <c r="AY1588" s="299"/>
      <c r="AZ1588" s="299"/>
      <c r="BA1588" s="301"/>
      <c r="BB1588" s="301"/>
      <c r="BC1588" s="426"/>
      <c r="BD1588" s="298"/>
      <c r="BE1588" s="299"/>
      <c r="BF1588" s="299"/>
      <c r="BG1588" s="301"/>
      <c r="BH1588" s="301"/>
      <c r="BI1588" s="88"/>
      <c r="BJ1588" s="298"/>
      <c r="BK1588" s="299"/>
      <c r="BL1588" s="299"/>
      <c r="BM1588" s="301"/>
      <c r="BN1588" s="301"/>
      <c r="BO1588" s="88"/>
      <c r="BP1588" s="9"/>
      <c r="BS1588" s="81"/>
      <c r="BT1588" s="81"/>
      <c r="BV1588" s="9"/>
      <c r="BY1588" s="81"/>
      <c r="BZ1588" s="81"/>
      <c r="CB1588" s="9"/>
      <c r="CE1588" s="81"/>
      <c r="CF1588" s="81"/>
      <c r="CH1588" s="9"/>
      <c r="CK1588" s="81"/>
      <c r="CL1588" s="81"/>
      <c r="CR1588" s="9"/>
      <c r="CS1588" s="9"/>
      <c r="CT1588" s="9"/>
      <c r="CU1588" s="9"/>
      <c r="CV1588" s="9"/>
      <c r="CW1588" s="129"/>
      <c r="CX1588" s="9"/>
    </row>
    <row r="1589" spans="1:102">
      <c r="A1589" s="6" t="str">
        <f t="shared" si="241"/>
        <v>03160999</v>
      </c>
      <c r="B1589" s="6" t="s">
        <v>1966</v>
      </c>
      <c r="C1589" s="6" t="s">
        <v>2092</v>
      </c>
      <c r="D1589" s="6">
        <v>1580</v>
      </c>
      <c r="E1589" s="10">
        <v>316</v>
      </c>
      <c r="F1589" s="10" t="s">
        <v>1434</v>
      </c>
      <c r="G1589" s="10">
        <v>999</v>
      </c>
      <c r="H1589" s="10" t="s">
        <v>593</v>
      </c>
      <c r="I1589" s="92">
        <v>34843410.165899329</v>
      </c>
      <c r="J1589" s="472">
        <v>1.0000000000000002</v>
      </c>
      <c r="K1589" s="53">
        <f>SUM(K1585:K1588)</f>
        <v>36817566.057751909</v>
      </c>
      <c r="L1589" s="91">
        <f>SUM(L1585:L1588)</f>
        <v>1</v>
      </c>
      <c r="M1589" s="79">
        <f>VLOOKUP(E1589,town351,24)</f>
        <v>14853186</v>
      </c>
      <c r="N1589" s="79">
        <f>SUM(N1585:N1588)</f>
        <v>14853186</v>
      </c>
      <c r="O1589" s="79">
        <v>14005833</v>
      </c>
      <c r="P1589" s="79">
        <f>SUM(P1585:P1588)</f>
        <v>847353</v>
      </c>
      <c r="Q1589" s="39">
        <f t="shared" si="249"/>
        <v>6.0500007389778245</v>
      </c>
      <c r="R1589" s="9">
        <v>2049.0000000003201</v>
      </c>
      <c r="S1589" s="9">
        <f t="shared" si="247"/>
        <v>2073.9999999994402</v>
      </c>
      <c r="T1589" s="90">
        <f t="shared" si="242"/>
        <v>316</v>
      </c>
      <c r="U1589" s="90">
        <f t="shared" si="243"/>
        <v>999</v>
      </c>
      <c r="V1589" s="373">
        <f t="shared" si="244"/>
        <v>1580</v>
      </c>
      <c r="W1589" s="90">
        <f t="shared" si="245"/>
        <v>2073.9999999994402</v>
      </c>
      <c r="X1589" s="90">
        <f t="shared" si="246"/>
        <v>36817566.057751909</v>
      </c>
      <c r="Y1589" s="141">
        <f t="shared" si="248"/>
        <v>1580</v>
      </c>
      <c r="Z1589" s="298">
        <v>316</v>
      </c>
      <c r="AA1589" s="299">
        <v>999</v>
      </c>
      <c r="AB1589" s="299">
        <v>1580</v>
      </c>
      <c r="AC1589" s="301">
        <v>2073.9999999994402</v>
      </c>
      <c r="AD1589" s="301">
        <v>36817566.057751909</v>
      </c>
      <c r="AE1589" s="126"/>
      <c r="AF1589" s="298"/>
      <c r="AG1589" s="299"/>
      <c r="AH1589" s="299"/>
      <c r="AI1589" s="301"/>
      <c r="AJ1589" s="301"/>
      <c r="AK1589" s="426"/>
      <c r="AL1589" s="298"/>
      <c r="AM1589" s="299"/>
      <c r="AN1589" s="299"/>
      <c r="AO1589" s="301"/>
      <c r="AP1589" s="301"/>
      <c r="AQ1589" s="426"/>
      <c r="AR1589" s="298"/>
      <c r="AS1589" s="299"/>
      <c r="AT1589" s="299"/>
      <c r="AU1589" s="301"/>
      <c r="AV1589" s="301"/>
      <c r="AW1589" s="91"/>
      <c r="AX1589" s="298"/>
      <c r="AY1589" s="299"/>
      <c r="AZ1589" s="299"/>
      <c r="BA1589" s="301"/>
      <c r="BB1589" s="301"/>
      <c r="BC1589" s="426"/>
      <c r="BD1589" s="298"/>
      <c r="BE1589" s="299"/>
      <c r="BF1589" s="299"/>
      <c r="BG1589" s="301"/>
      <c r="BH1589" s="301"/>
      <c r="BI1589" s="91"/>
      <c r="BJ1589" s="298"/>
      <c r="BK1589" s="299"/>
      <c r="BL1589" s="299"/>
      <c r="BM1589" s="301"/>
      <c r="BN1589" s="301"/>
      <c r="BO1589" s="91"/>
      <c r="BP1589" s="9"/>
      <c r="BS1589" s="81"/>
      <c r="BT1589" s="81"/>
      <c r="BV1589" s="9"/>
      <c r="BY1589" s="81"/>
      <c r="BZ1589" s="81"/>
      <c r="CB1589" s="9"/>
      <c r="CE1589" s="81"/>
      <c r="CF1589" s="81"/>
      <c r="CH1589" s="9"/>
      <c r="CK1589" s="81"/>
      <c r="CL1589" s="81"/>
      <c r="CR1589" s="9"/>
      <c r="CS1589" s="9"/>
      <c r="CT1589" s="9"/>
      <c r="CU1589" s="9"/>
      <c r="CV1589" s="9"/>
      <c r="CW1589" s="129"/>
      <c r="CX1589" s="9"/>
    </row>
    <row r="1590" spans="1:102">
      <c r="A1590" s="6" t="str">
        <f t="shared" si="241"/>
        <v>03170317</v>
      </c>
      <c r="B1590" s="6" t="s">
        <v>1967</v>
      </c>
      <c r="C1590" s="6" t="s">
        <v>1967</v>
      </c>
      <c r="D1590" s="6">
        <v>1581</v>
      </c>
      <c r="E1590" s="6">
        <v>317</v>
      </c>
      <c r="F1590" s="6" t="s">
        <v>1435</v>
      </c>
      <c r="G1590" s="6">
        <v>317</v>
      </c>
      <c r="H1590" s="6" t="s">
        <v>998</v>
      </c>
      <c r="I1590" s="33">
        <v>52634797.2425</v>
      </c>
      <c r="J1590" s="88">
        <v>0.99959118523000212</v>
      </c>
      <c r="K1590" s="89">
        <f>X1590</f>
        <v>53567076.591169998</v>
      </c>
      <c r="L1590" s="88">
        <f>IF(K1594&gt;0, K1590/K1594, 0)</f>
        <v>0.99958902143111805</v>
      </c>
      <c r="M1590" s="58"/>
      <c r="N1590" s="9">
        <f>ROUND(M1594*L1590,0)</f>
        <v>44192838</v>
      </c>
      <c r="O1590" s="9">
        <v>43423707</v>
      </c>
      <c r="P1590" s="9">
        <f>N1590-O1590</f>
        <v>769131</v>
      </c>
      <c r="Q1590" s="40">
        <f t="shared" si="249"/>
        <v>1.7712237234835801</v>
      </c>
      <c r="R1590" s="9">
        <v>4180</v>
      </c>
      <c r="S1590" s="9">
        <f t="shared" si="247"/>
        <v>4118</v>
      </c>
      <c r="T1590" s="90">
        <f t="shared" si="242"/>
        <v>317</v>
      </c>
      <c r="U1590" s="90">
        <f t="shared" si="243"/>
        <v>317</v>
      </c>
      <c r="V1590" s="373">
        <f t="shared" si="244"/>
        <v>1581</v>
      </c>
      <c r="W1590" s="90">
        <f t="shared" si="245"/>
        <v>4118</v>
      </c>
      <c r="X1590" s="90">
        <f t="shared" si="246"/>
        <v>53567076.591169998</v>
      </c>
      <c r="Y1590" s="141">
        <f t="shared" si="248"/>
        <v>1581</v>
      </c>
      <c r="Z1590" s="298">
        <v>317</v>
      </c>
      <c r="AA1590" s="299">
        <v>317</v>
      </c>
      <c r="AB1590" s="299">
        <v>1581</v>
      </c>
      <c r="AC1590" s="301">
        <v>4118</v>
      </c>
      <c r="AD1590" s="301">
        <v>53567076.591169998</v>
      </c>
      <c r="AE1590" s="126"/>
      <c r="AF1590" s="298"/>
      <c r="AG1590" s="299"/>
      <c r="AH1590" s="299"/>
      <c r="AI1590" s="301"/>
      <c r="AJ1590" s="301"/>
      <c r="AK1590" s="426"/>
      <c r="AL1590" s="298"/>
      <c r="AM1590" s="299"/>
      <c r="AN1590" s="299"/>
      <c r="AO1590" s="301"/>
      <c r="AP1590" s="301"/>
      <c r="AQ1590" s="426"/>
      <c r="AR1590" s="298"/>
      <c r="AS1590" s="299"/>
      <c r="AT1590" s="299"/>
      <c r="AU1590" s="301"/>
      <c r="AV1590" s="301"/>
      <c r="AW1590" s="88"/>
      <c r="AX1590" s="298"/>
      <c r="AY1590" s="299"/>
      <c r="AZ1590" s="299"/>
      <c r="BA1590" s="301"/>
      <c r="BB1590" s="301"/>
      <c r="BC1590" s="426"/>
      <c r="BD1590" s="298"/>
      <c r="BE1590" s="299"/>
      <c r="BF1590" s="299"/>
      <c r="BG1590" s="301"/>
      <c r="BH1590" s="301"/>
      <c r="BI1590" s="88"/>
      <c r="BJ1590" s="298"/>
      <c r="BK1590" s="299"/>
      <c r="BL1590" s="299"/>
      <c r="BM1590" s="301"/>
      <c r="BN1590" s="301"/>
      <c r="BO1590" s="88"/>
      <c r="BP1590" s="9"/>
      <c r="BS1590" s="81"/>
      <c r="BT1590" s="81"/>
      <c r="BV1590" s="9"/>
      <c r="BY1590" s="81"/>
      <c r="BZ1590" s="81"/>
      <c r="CB1590" s="9"/>
      <c r="CE1590" s="81"/>
      <c r="CF1590" s="81"/>
      <c r="CH1590" s="9"/>
      <c r="CK1590" s="81"/>
      <c r="CL1590" s="81"/>
      <c r="CR1590" s="9"/>
      <c r="CS1590" s="9"/>
      <c r="CT1590" s="9"/>
      <c r="CU1590" s="9"/>
      <c r="CV1590" s="9"/>
      <c r="CW1590" s="129"/>
      <c r="CX1590" s="9"/>
    </row>
    <row r="1591" spans="1:102">
      <c r="A1591" s="6" t="str">
        <f t="shared" si="241"/>
        <v>03170915</v>
      </c>
      <c r="B1591" s="6" t="s">
        <v>1967</v>
      </c>
      <c r="C1591" s="6" t="s">
        <v>2089</v>
      </c>
      <c r="D1591" s="6">
        <v>1582</v>
      </c>
      <c r="E1591" s="6">
        <v>317</v>
      </c>
      <c r="F1591" s="6" t="s">
        <v>1435</v>
      </c>
      <c r="G1591" s="6">
        <v>915</v>
      </c>
      <c r="H1591" s="6" t="s">
        <v>1119</v>
      </c>
      <c r="I1591" s="33">
        <v>21526.682954523571</v>
      </c>
      <c r="J1591" s="88">
        <v>4.0881476999797523E-4</v>
      </c>
      <c r="K1591" s="89">
        <f t="shared" si="250"/>
        <v>22023.971857067027</v>
      </c>
      <c r="L1591" s="88">
        <f>IF(K1594&gt;0, K1591/K1594, 0)</f>
        <v>4.1097856888201088E-4</v>
      </c>
      <c r="M1591" s="58"/>
      <c r="N1591" s="9">
        <f>ROUND(M1594*L1591,0)</f>
        <v>18170</v>
      </c>
      <c r="O1591" s="9">
        <v>17760</v>
      </c>
      <c r="P1591" s="9">
        <f>N1591-O1591</f>
        <v>410</v>
      </c>
      <c r="Q1591" s="40">
        <f t="shared" si="249"/>
        <v>2.3085585585585586</v>
      </c>
      <c r="R1591" s="9">
        <v>1.00000000001</v>
      </c>
      <c r="S1591" s="9">
        <f t="shared" si="247"/>
        <v>0.99999999888000002</v>
      </c>
      <c r="T1591" s="90">
        <f t="shared" si="242"/>
        <v>317</v>
      </c>
      <c r="U1591" s="90">
        <f t="shared" si="243"/>
        <v>915</v>
      </c>
      <c r="V1591" s="373">
        <f t="shared" si="244"/>
        <v>1582</v>
      </c>
      <c r="W1591" s="90">
        <f t="shared" si="245"/>
        <v>0.99999999888000002</v>
      </c>
      <c r="X1591" s="90">
        <f t="shared" si="246"/>
        <v>22023.971857067027</v>
      </c>
      <c r="Y1591" s="141">
        <f t="shared" si="248"/>
        <v>1582</v>
      </c>
      <c r="Z1591" s="298">
        <v>317</v>
      </c>
      <c r="AA1591" s="299">
        <v>915</v>
      </c>
      <c r="AB1591" s="299">
        <v>1582</v>
      </c>
      <c r="AC1591" s="301">
        <v>0.99999999888000002</v>
      </c>
      <c r="AD1591" s="301">
        <v>22023.971857067027</v>
      </c>
      <c r="AE1591" s="126"/>
      <c r="AF1591" s="298"/>
      <c r="AG1591" s="299"/>
      <c r="AH1591" s="299"/>
      <c r="AI1591" s="301"/>
      <c r="AJ1591" s="301"/>
      <c r="AK1591" s="426"/>
      <c r="AL1591" s="298"/>
      <c r="AM1591" s="299"/>
      <c r="AN1591" s="299"/>
      <c r="AO1591" s="301"/>
      <c r="AP1591" s="301"/>
      <c r="AQ1591" s="426"/>
      <c r="AR1591" s="298"/>
      <c r="AS1591" s="299"/>
      <c r="AT1591" s="299"/>
      <c r="AU1591" s="301"/>
      <c r="AV1591" s="301"/>
      <c r="AW1591" s="88"/>
      <c r="AX1591" s="298"/>
      <c r="AY1591" s="299"/>
      <c r="AZ1591" s="299"/>
      <c r="BA1591" s="301"/>
      <c r="BB1591" s="301"/>
      <c r="BC1591" s="426"/>
      <c r="BD1591" s="298"/>
      <c r="BE1591" s="299"/>
      <c r="BF1591" s="299"/>
      <c r="BG1591" s="301"/>
      <c r="BH1591" s="301"/>
      <c r="BI1591" s="88"/>
      <c r="BJ1591" s="298"/>
      <c r="BK1591" s="299"/>
      <c r="BL1591" s="299"/>
      <c r="BM1591" s="301"/>
      <c r="BN1591" s="301"/>
      <c r="BO1591" s="88"/>
      <c r="BP1591" s="9"/>
      <c r="BS1591" s="81"/>
      <c r="BT1591" s="81"/>
      <c r="BV1591" s="9"/>
      <c r="BY1591" s="81"/>
      <c r="BZ1591" s="81"/>
      <c r="CB1591" s="9"/>
      <c r="CE1591" s="81"/>
      <c r="CF1591" s="81"/>
      <c r="CH1591" s="9"/>
      <c r="CK1591" s="81"/>
      <c r="CL1591" s="81"/>
      <c r="CR1591" s="9"/>
      <c r="CS1591" s="9"/>
      <c r="CT1591" s="9"/>
      <c r="CU1591" s="9"/>
      <c r="CV1591" s="9"/>
      <c r="CW1591" s="129"/>
      <c r="CX1591" s="9"/>
    </row>
    <row r="1592" spans="1:102">
      <c r="A1592" s="6" t="str">
        <f t="shared" si="241"/>
        <v>03170998</v>
      </c>
      <c r="B1592" s="6" t="s">
        <v>1967</v>
      </c>
      <c r="C1592" s="6" t="s">
        <v>2091</v>
      </c>
      <c r="D1592" s="6">
        <v>1583</v>
      </c>
      <c r="E1592" s="6">
        <v>317</v>
      </c>
      <c r="F1592" s="6" t="s">
        <v>1547</v>
      </c>
      <c r="G1592" s="6">
        <v>998</v>
      </c>
      <c r="H1592" s="6" t="s">
        <v>1547</v>
      </c>
      <c r="I1592" s="33">
        <v>0</v>
      </c>
      <c r="J1592" s="88">
        <v>0</v>
      </c>
      <c r="K1592" s="89">
        <f t="shared" si="250"/>
        <v>0</v>
      </c>
      <c r="L1592" s="88">
        <f>IF(K1594&gt;0, K1592/K1594, 0)</f>
        <v>0</v>
      </c>
      <c r="M1592" s="58"/>
      <c r="N1592" s="9">
        <f>ROUND(M1594*L1592,0)</f>
        <v>0</v>
      </c>
      <c r="O1592" s="9">
        <v>0</v>
      </c>
      <c r="P1592" s="9">
        <f>N1592-O1592</f>
        <v>0</v>
      </c>
      <c r="Q1592" s="40">
        <f t="shared" si="249"/>
        <v>0</v>
      </c>
      <c r="R1592" s="9">
        <v>0</v>
      </c>
      <c r="S1592" s="9">
        <f t="shared" si="247"/>
        <v>0</v>
      </c>
      <c r="T1592" s="90">
        <f t="shared" si="242"/>
        <v>317</v>
      </c>
      <c r="U1592" s="90">
        <f t="shared" si="243"/>
        <v>998</v>
      </c>
      <c r="V1592" s="373">
        <f t="shared" si="244"/>
        <v>1583</v>
      </c>
      <c r="W1592" s="90">
        <f t="shared" si="245"/>
        <v>0</v>
      </c>
      <c r="X1592" s="90">
        <f t="shared" si="246"/>
        <v>0</v>
      </c>
      <c r="Y1592" s="141">
        <f t="shared" si="248"/>
        <v>1583</v>
      </c>
      <c r="Z1592" s="298">
        <v>317</v>
      </c>
      <c r="AA1592" s="299">
        <v>998</v>
      </c>
      <c r="AB1592" s="299">
        <v>1583</v>
      </c>
      <c r="AC1592" s="301">
        <v>0</v>
      </c>
      <c r="AD1592" s="301">
        <v>0</v>
      </c>
      <c r="AE1592" s="126"/>
      <c r="AF1592" s="298"/>
      <c r="AG1592" s="299"/>
      <c r="AH1592" s="299"/>
      <c r="AI1592" s="301"/>
      <c r="AJ1592" s="301"/>
      <c r="AK1592" s="426"/>
      <c r="AL1592" s="298"/>
      <c r="AM1592" s="299"/>
      <c r="AN1592" s="299"/>
      <c r="AO1592" s="301"/>
      <c r="AP1592" s="301"/>
      <c r="AQ1592" s="426"/>
      <c r="AR1592" s="298"/>
      <c r="AS1592" s="299"/>
      <c r="AT1592" s="299"/>
      <c r="AU1592" s="301"/>
      <c r="AV1592" s="301"/>
      <c r="AW1592" s="88"/>
      <c r="AX1592" s="298"/>
      <c r="AY1592" s="299"/>
      <c r="AZ1592" s="299"/>
      <c r="BA1592" s="301"/>
      <c r="BB1592" s="301"/>
      <c r="BC1592" s="426"/>
      <c r="BD1592" s="298"/>
      <c r="BE1592" s="299"/>
      <c r="BF1592" s="299"/>
      <c r="BG1592" s="301"/>
      <c r="BH1592" s="301"/>
      <c r="BI1592" s="88"/>
      <c r="BJ1592" s="298"/>
      <c r="BK1592" s="299"/>
      <c r="BL1592" s="299"/>
      <c r="BM1592" s="301"/>
      <c r="BN1592" s="301"/>
      <c r="BO1592" s="88"/>
      <c r="BP1592" s="9"/>
      <c r="BS1592" s="81"/>
      <c r="BT1592" s="81"/>
      <c r="BV1592" s="9"/>
      <c r="BY1592" s="81"/>
      <c r="BZ1592" s="81"/>
      <c r="CB1592" s="9"/>
      <c r="CE1592" s="81"/>
      <c r="CF1592" s="81"/>
      <c r="CH1592" s="9"/>
      <c r="CK1592" s="81"/>
      <c r="CL1592" s="81"/>
      <c r="CR1592" s="9"/>
      <c r="CS1592" s="9"/>
      <c r="CT1592" s="9"/>
      <c r="CU1592" s="9"/>
      <c r="CV1592" s="9"/>
      <c r="CW1592" s="129"/>
      <c r="CX1592" s="9"/>
    </row>
    <row r="1593" spans="1:102">
      <c r="A1593" s="6" t="str">
        <f t="shared" si="241"/>
        <v>03170998</v>
      </c>
      <c r="B1593" s="6" t="s">
        <v>1967</v>
      </c>
      <c r="C1593" s="6" t="s">
        <v>2091</v>
      </c>
      <c r="D1593" s="6">
        <v>1584</v>
      </c>
      <c r="E1593" s="6">
        <v>317</v>
      </c>
      <c r="F1593" s="6" t="s">
        <v>1547</v>
      </c>
      <c r="G1593" s="6">
        <v>998</v>
      </c>
      <c r="H1593" s="6" t="s">
        <v>1547</v>
      </c>
      <c r="I1593" s="33">
        <v>0</v>
      </c>
      <c r="J1593" s="88">
        <v>0</v>
      </c>
      <c r="K1593" s="89">
        <f t="shared" si="250"/>
        <v>0</v>
      </c>
      <c r="L1593" s="88">
        <f>IF(K1594&gt;0, K1593/K1594, 0)</f>
        <v>0</v>
      </c>
      <c r="M1593" s="58"/>
      <c r="N1593" s="9">
        <f>ROUND(M1594*L1593,0)</f>
        <v>0</v>
      </c>
      <c r="O1593" s="9">
        <v>0</v>
      </c>
      <c r="P1593" s="9">
        <f>N1593-O1593</f>
        <v>0</v>
      </c>
      <c r="Q1593" s="40">
        <f t="shared" si="249"/>
        <v>0</v>
      </c>
      <c r="R1593" s="9">
        <v>0</v>
      </c>
      <c r="S1593" s="9">
        <f t="shared" si="247"/>
        <v>0</v>
      </c>
      <c r="T1593" s="90">
        <f t="shared" si="242"/>
        <v>317</v>
      </c>
      <c r="U1593" s="90">
        <f t="shared" si="243"/>
        <v>998</v>
      </c>
      <c r="V1593" s="373">
        <f t="shared" si="244"/>
        <v>1584</v>
      </c>
      <c r="W1593" s="90">
        <f t="shared" si="245"/>
        <v>0</v>
      </c>
      <c r="X1593" s="90">
        <f t="shared" si="246"/>
        <v>0</v>
      </c>
      <c r="Y1593" s="141">
        <f t="shared" si="248"/>
        <v>1584</v>
      </c>
      <c r="Z1593" s="298">
        <v>317</v>
      </c>
      <c r="AA1593" s="299">
        <v>998</v>
      </c>
      <c r="AB1593" s="299">
        <v>1584</v>
      </c>
      <c r="AC1593" s="301">
        <v>0</v>
      </c>
      <c r="AD1593" s="301">
        <v>0</v>
      </c>
      <c r="AE1593" s="126"/>
      <c r="AF1593" s="298"/>
      <c r="AG1593" s="299"/>
      <c r="AH1593" s="299"/>
      <c r="AI1593" s="301"/>
      <c r="AJ1593" s="301"/>
      <c r="AK1593" s="426"/>
      <c r="AL1593" s="298"/>
      <c r="AM1593" s="299"/>
      <c r="AN1593" s="299"/>
      <c r="AO1593" s="301"/>
      <c r="AP1593" s="301"/>
      <c r="AQ1593" s="426"/>
      <c r="AR1593" s="298"/>
      <c r="AS1593" s="299"/>
      <c r="AT1593" s="299"/>
      <c r="AU1593" s="301"/>
      <c r="AV1593" s="301"/>
      <c r="AW1593" s="88"/>
      <c r="AX1593" s="298"/>
      <c r="AY1593" s="299"/>
      <c r="AZ1593" s="299"/>
      <c r="BA1593" s="301"/>
      <c r="BB1593" s="301"/>
      <c r="BC1593" s="426"/>
      <c r="BD1593" s="298"/>
      <c r="BE1593" s="299"/>
      <c r="BF1593" s="299"/>
      <c r="BG1593" s="301"/>
      <c r="BH1593" s="301"/>
      <c r="BI1593" s="88"/>
      <c r="BJ1593" s="298"/>
      <c r="BK1593" s="299"/>
      <c r="BL1593" s="299"/>
      <c r="BM1593" s="301"/>
      <c r="BN1593" s="301"/>
      <c r="BO1593" s="88"/>
      <c r="BP1593" s="9"/>
      <c r="BS1593" s="81"/>
      <c r="BT1593" s="81"/>
      <c r="BV1593" s="9"/>
      <c r="BY1593" s="81"/>
      <c r="BZ1593" s="81"/>
      <c r="CB1593" s="9"/>
      <c r="CE1593" s="81"/>
      <c r="CF1593" s="81"/>
      <c r="CH1593" s="9"/>
      <c r="CK1593" s="81"/>
      <c r="CL1593" s="81"/>
      <c r="CR1593" s="9"/>
      <c r="CS1593" s="9"/>
      <c r="CT1593" s="9"/>
      <c r="CU1593" s="9"/>
      <c r="CV1593" s="9"/>
      <c r="CW1593" s="129"/>
      <c r="CX1593" s="9"/>
    </row>
    <row r="1594" spans="1:102">
      <c r="A1594" s="6" t="str">
        <f t="shared" si="241"/>
        <v>03170999</v>
      </c>
      <c r="B1594" s="6" t="s">
        <v>1967</v>
      </c>
      <c r="C1594" s="6" t="s">
        <v>2092</v>
      </c>
      <c r="D1594" s="6">
        <v>1585</v>
      </c>
      <c r="E1594" s="10">
        <v>317</v>
      </c>
      <c r="F1594" s="10" t="s">
        <v>1435</v>
      </c>
      <c r="G1594" s="10">
        <v>999</v>
      </c>
      <c r="H1594" s="10" t="s">
        <v>593</v>
      </c>
      <c r="I1594" s="92">
        <v>52656323.92545452</v>
      </c>
      <c r="J1594" s="472">
        <v>1</v>
      </c>
      <c r="K1594" s="53">
        <f>SUM(K1590:K1593)</f>
        <v>53589100.563027062</v>
      </c>
      <c r="L1594" s="91">
        <f>SUM(L1590:L1593)</f>
        <v>1</v>
      </c>
      <c r="M1594" s="79">
        <f>VLOOKUP(E1594,town351,24)</f>
        <v>44211008</v>
      </c>
      <c r="N1594" s="79">
        <f>SUM(N1590:N1593)</f>
        <v>44211008</v>
      </c>
      <c r="O1594" s="79">
        <v>43441467</v>
      </c>
      <c r="P1594" s="79">
        <f>SUM(P1590:P1593)</f>
        <v>769541</v>
      </c>
      <c r="Q1594" s="39">
        <f t="shared" si="249"/>
        <v>1.7714433999201731</v>
      </c>
      <c r="R1594" s="9">
        <v>4181.00000000001</v>
      </c>
      <c r="S1594" s="9">
        <f t="shared" si="247"/>
        <v>4118.9999999988804</v>
      </c>
      <c r="T1594" s="90">
        <f t="shared" si="242"/>
        <v>317</v>
      </c>
      <c r="U1594" s="90">
        <f t="shared" si="243"/>
        <v>999</v>
      </c>
      <c r="V1594" s="373">
        <f t="shared" si="244"/>
        <v>1585</v>
      </c>
      <c r="W1594" s="90">
        <f t="shared" si="245"/>
        <v>4118.9999999988804</v>
      </c>
      <c r="X1594" s="90">
        <f t="shared" si="246"/>
        <v>53589100.563027062</v>
      </c>
      <c r="Y1594" s="141">
        <f t="shared" si="248"/>
        <v>1585</v>
      </c>
      <c r="Z1594" s="298">
        <v>317</v>
      </c>
      <c r="AA1594" s="299">
        <v>999</v>
      </c>
      <c r="AB1594" s="299">
        <v>1585</v>
      </c>
      <c r="AC1594" s="301">
        <v>4118.9999999988804</v>
      </c>
      <c r="AD1594" s="301">
        <v>53589100.563027062</v>
      </c>
      <c r="AE1594" s="126"/>
      <c r="AF1594" s="298"/>
      <c r="AG1594" s="299"/>
      <c r="AH1594" s="299"/>
      <c r="AI1594" s="301"/>
      <c r="AJ1594" s="301"/>
      <c r="AK1594" s="426"/>
      <c r="AL1594" s="298"/>
      <c r="AM1594" s="299"/>
      <c r="AN1594" s="299"/>
      <c r="AO1594" s="301"/>
      <c r="AP1594" s="301"/>
      <c r="AQ1594" s="426"/>
      <c r="AR1594" s="298"/>
      <c r="AS1594" s="299"/>
      <c r="AT1594" s="299"/>
      <c r="AU1594" s="301"/>
      <c r="AV1594" s="301"/>
      <c r="AW1594" s="91"/>
      <c r="AX1594" s="298"/>
      <c r="AY1594" s="299"/>
      <c r="AZ1594" s="299"/>
      <c r="BA1594" s="301"/>
      <c r="BB1594" s="301"/>
      <c r="BC1594" s="426"/>
      <c r="BD1594" s="298"/>
      <c r="BE1594" s="299"/>
      <c r="BF1594" s="299"/>
      <c r="BG1594" s="301"/>
      <c r="BH1594" s="301"/>
      <c r="BI1594" s="91"/>
      <c r="BJ1594" s="298"/>
      <c r="BK1594" s="299"/>
      <c r="BL1594" s="299"/>
      <c r="BM1594" s="301"/>
      <c r="BN1594" s="301"/>
      <c r="BO1594" s="91"/>
      <c r="BP1594" s="9"/>
      <c r="BS1594" s="81"/>
      <c r="BT1594" s="81"/>
      <c r="BV1594" s="9"/>
      <c r="BY1594" s="81"/>
      <c r="BZ1594" s="81"/>
      <c r="CB1594" s="9"/>
      <c r="CE1594" s="81"/>
      <c r="CF1594" s="81"/>
      <c r="CH1594" s="9"/>
      <c r="CK1594" s="81"/>
      <c r="CL1594" s="81"/>
      <c r="CR1594" s="9"/>
      <c r="CS1594" s="9"/>
      <c r="CT1594" s="9"/>
      <c r="CU1594" s="9"/>
      <c r="CV1594" s="9"/>
      <c r="CW1594" s="129"/>
      <c r="CX1594" s="9"/>
    </row>
    <row r="1595" spans="1:102">
      <c r="A1595" s="6" t="str">
        <f t="shared" si="241"/>
        <v>03180318</v>
      </c>
      <c r="B1595" s="6" t="s">
        <v>1968</v>
      </c>
      <c r="C1595" s="6" t="s">
        <v>1968</v>
      </c>
      <c r="D1595" s="6">
        <v>1586</v>
      </c>
      <c r="E1595" s="6">
        <v>318</v>
      </c>
      <c r="F1595" s="6" t="s">
        <v>1436</v>
      </c>
      <c r="G1595" s="6">
        <v>318</v>
      </c>
      <c r="H1595" s="6" t="s">
        <v>999</v>
      </c>
      <c r="I1595" s="33">
        <v>1610248.3900000004</v>
      </c>
      <c r="J1595" s="88">
        <v>0.41111514489075995</v>
      </c>
      <c r="K1595" s="89">
        <f>X1595</f>
        <v>1446546.9000000001</v>
      </c>
      <c r="L1595" s="88">
        <f>IF(K1599&gt;0, K1595/K1599, 0)</f>
        <v>0.40001080108315645</v>
      </c>
      <c r="M1595" s="58"/>
      <c r="N1595" s="9">
        <f>ROUND(M1599*L1595,0)</f>
        <v>1193401</v>
      </c>
      <c r="O1595" s="9">
        <v>1328455</v>
      </c>
      <c r="P1595" s="9">
        <f>N1595-O1595</f>
        <v>-135054</v>
      </c>
      <c r="Q1595" s="40">
        <f t="shared" si="249"/>
        <v>-10.166245751643826</v>
      </c>
      <c r="R1595" s="9">
        <v>116</v>
      </c>
      <c r="S1595" s="9">
        <f t="shared" si="247"/>
        <v>105</v>
      </c>
      <c r="T1595" s="90">
        <f t="shared" si="242"/>
        <v>318</v>
      </c>
      <c r="U1595" s="90">
        <f t="shared" si="243"/>
        <v>318</v>
      </c>
      <c r="V1595" s="373">
        <f t="shared" si="244"/>
        <v>1586</v>
      </c>
      <c r="W1595" s="90">
        <f t="shared" si="245"/>
        <v>105</v>
      </c>
      <c r="X1595" s="90">
        <f t="shared" si="246"/>
        <v>1446546.9000000001</v>
      </c>
      <c r="Y1595" s="141">
        <f t="shared" si="248"/>
        <v>1586</v>
      </c>
      <c r="Z1595" s="298">
        <v>318</v>
      </c>
      <c r="AA1595" s="299">
        <v>318</v>
      </c>
      <c r="AB1595" s="299">
        <v>1586</v>
      </c>
      <c r="AC1595" s="301">
        <v>105</v>
      </c>
      <c r="AD1595" s="301">
        <v>1446546.9000000001</v>
      </c>
      <c r="AE1595" s="126"/>
      <c r="AF1595" s="298"/>
      <c r="AG1595" s="299"/>
      <c r="AH1595" s="299"/>
      <c r="AI1595" s="301"/>
      <c r="AJ1595" s="301"/>
      <c r="AK1595" s="426"/>
      <c r="AL1595" s="298"/>
      <c r="AM1595" s="299"/>
      <c r="AN1595" s="299"/>
      <c r="AO1595" s="301"/>
      <c r="AP1595" s="301"/>
      <c r="AQ1595" s="426"/>
      <c r="AR1595" s="298"/>
      <c r="AS1595" s="299"/>
      <c r="AT1595" s="299"/>
      <c r="AU1595" s="301"/>
      <c r="AV1595" s="301"/>
      <c r="AW1595" s="88"/>
      <c r="AX1595" s="298"/>
      <c r="AY1595" s="299"/>
      <c r="AZ1595" s="299"/>
      <c r="BA1595" s="301"/>
      <c r="BB1595" s="301"/>
      <c r="BC1595" s="426"/>
      <c r="BD1595" s="298"/>
      <c r="BE1595" s="299"/>
      <c r="BF1595" s="299"/>
      <c r="BG1595" s="301"/>
      <c r="BH1595" s="301"/>
      <c r="BI1595" s="88"/>
      <c r="BJ1595" s="298"/>
      <c r="BK1595" s="299"/>
      <c r="BL1595" s="299"/>
      <c r="BM1595" s="301"/>
      <c r="BN1595" s="301"/>
      <c r="BO1595" s="88"/>
      <c r="BP1595" s="9"/>
      <c r="BS1595" s="81"/>
      <c r="BT1595" s="81"/>
      <c r="BV1595" s="9"/>
      <c r="BY1595" s="81"/>
      <c r="BZ1595" s="81"/>
      <c r="CB1595" s="9"/>
      <c r="CE1595" s="81"/>
      <c r="CF1595" s="81"/>
      <c r="CH1595" s="9"/>
      <c r="CK1595" s="81"/>
      <c r="CL1595" s="81"/>
      <c r="CR1595" s="9"/>
      <c r="CS1595" s="9"/>
      <c r="CT1595" s="9"/>
      <c r="CU1595" s="9"/>
      <c r="CV1595" s="9"/>
      <c r="CW1595" s="129"/>
      <c r="CX1595" s="9"/>
    </row>
    <row r="1596" spans="1:102">
      <c r="A1596" s="6" t="str">
        <f t="shared" si="241"/>
        <v>03180660</v>
      </c>
      <c r="B1596" s="6" t="s">
        <v>1968</v>
      </c>
      <c r="C1596" s="6" t="s">
        <v>2021</v>
      </c>
      <c r="D1596" s="6">
        <v>1587</v>
      </c>
      <c r="E1596" s="6">
        <v>318</v>
      </c>
      <c r="F1596" s="6" t="s">
        <v>1436</v>
      </c>
      <c r="G1596" s="6">
        <v>660</v>
      </c>
      <c r="H1596" s="6" t="s">
        <v>1051</v>
      </c>
      <c r="I1596" s="33">
        <v>2023493.5335029818</v>
      </c>
      <c r="J1596" s="88">
        <v>0.51662143702661545</v>
      </c>
      <c r="K1596" s="89">
        <f t="shared" si="250"/>
        <v>1929640.8058926903</v>
      </c>
      <c r="L1596" s="88">
        <f>IF(K1599&gt;0, K1596/K1599, 0)</f>
        <v>0.53359981938220091</v>
      </c>
      <c r="M1596" s="58"/>
      <c r="N1596" s="9">
        <f>ROUND(M1599*L1596,0)</f>
        <v>1591953</v>
      </c>
      <c r="O1596" s="9">
        <v>1669382</v>
      </c>
      <c r="P1596" s="9">
        <f>N1596-O1596</f>
        <v>-77429</v>
      </c>
      <c r="Q1596" s="40">
        <f t="shared" si="249"/>
        <v>-4.6381834714882517</v>
      </c>
      <c r="R1596" s="9">
        <v>141.00000000012</v>
      </c>
      <c r="S1596" s="9">
        <f t="shared" si="247"/>
        <v>131.00000000489999</v>
      </c>
      <c r="T1596" s="90">
        <f t="shared" si="242"/>
        <v>318</v>
      </c>
      <c r="U1596" s="90">
        <f t="shared" si="243"/>
        <v>660</v>
      </c>
      <c r="V1596" s="373">
        <f t="shared" si="244"/>
        <v>1587</v>
      </c>
      <c r="W1596" s="90">
        <f t="shared" si="245"/>
        <v>131.00000000489999</v>
      </c>
      <c r="X1596" s="90">
        <f t="shared" si="246"/>
        <v>1929640.8058926903</v>
      </c>
      <c r="Y1596" s="141">
        <f t="shared" si="248"/>
        <v>1587</v>
      </c>
      <c r="Z1596" s="298">
        <v>318</v>
      </c>
      <c r="AA1596" s="299">
        <v>660</v>
      </c>
      <c r="AB1596" s="299">
        <v>1587</v>
      </c>
      <c r="AC1596" s="301">
        <v>131.00000000489999</v>
      </c>
      <c r="AD1596" s="301">
        <v>1929640.8058926903</v>
      </c>
      <c r="AE1596" s="126"/>
      <c r="AF1596" s="298"/>
      <c r="AG1596" s="299"/>
      <c r="AH1596" s="299"/>
      <c r="AI1596" s="301"/>
      <c r="AJ1596" s="301"/>
      <c r="AK1596" s="426"/>
      <c r="AL1596" s="298"/>
      <c r="AM1596" s="299"/>
      <c r="AN1596" s="299"/>
      <c r="AO1596" s="301"/>
      <c r="AP1596" s="301"/>
      <c r="AQ1596" s="426"/>
      <c r="AR1596" s="298"/>
      <c r="AS1596" s="299"/>
      <c r="AT1596" s="299"/>
      <c r="AU1596" s="301"/>
      <c r="AV1596" s="301"/>
      <c r="AW1596" s="88"/>
      <c r="AX1596" s="298"/>
      <c r="AY1596" s="299"/>
      <c r="AZ1596" s="299"/>
      <c r="BA1596" s="301"/>
      <c r="BB1596" s="301"/>
      <c r="BC1596" s="426"/>
      <c r="BD1596" s="298"/>
      <c r="BE1596" s="299"/>
      <c r="BF1596" s="299"/>
      <c r="BG1596" s="301"/>
      <c r="BH1596" s="301"/>
      <c r="BI1596" s="88"/>
      <c r="BJ1596" s="298"/>
      <c r="BK1596" s="299"/>
      <c r="BL1596" s="299"/>
      <c r="BM1596" s="301"/>
      <c r="BN1596" s="301"/>
      <c r="BO1596" s="88"/>
      <c r="BP1596" s="9"/>
      <c r="BS1596" s="81"/>
      <c r="BT1596" s="81"/>
      <c r="BV1596" s="9"/>
      <c r="BY1596" s="81"/>
      <c r="BZ1596" s="81"/>
      <c r="CB1596" s="9"/>
      <c r="CE1596" s="81"/>
      <c r="CF1596" s="81"/>
      <c r="CH1596" s="9"/>
      <c r="CK1596" s="81"/>
      <c r="CL1596" s="81"/>
      <c r="CR1596" s="9"/>
      <c r="CS1596" s="9"/>
      <c r="CT1596" s="9"/>
      <c r="CU1596" s="9"/>
      <c r="CV1596" s="9"/>
      <c r="CW1596" s="129"/>
      <c r="CX1596" s="9"/>
    </row>
    <row r="1597" spans="1:102">
      <c r="A1597" s="6" t="str">
        <f t="shared" si="241"/>
        <v>03180815</v>
      </c>
      <c r="B1597" s="6" t="s">
        <v>1968</v>
      </c>
      <c r="C1597" s="6" t="s">
        <v>2066</v>
      </c>
      <c r="D1597" s="6">
        <v>1588</v>
      </c>
      <c r="E1597" s="6">
        <v>318</v>
      </c>
      <c r="F1597" s="6" t="s">
        <v>1436</v>
      </c>
      <c r="G1597" s="6">
        <v>815</v>
      </c>
      <c r="H1597" s="6" t="s">
        <v>1096</v>
      </c>
      <c r="I1597" s="33">
        <v>283040.0535459778</v>
      </c>
      <c r="J1597" s="88">
        <v>7.2263418082624556E-2</v>
      </c>
      <c r="K1597" s="89">
        <f t="shared" si="250"/>
        <v>240081.89503562043</v>
      </c>
      <c r="L1597" s="88">
        <f>IF(K1599&gt;0, K1597/K1599, 0)</f>
        <v>6.6389379534642676E-2</v>
      </c>
      <c r="M1597" s="58"/>
      <c r="N1597" s="9">
        <f>ROUND(M1599*L1597,0)</f>
        <v>198068</v>
      </c>
      <c r="O1597" s="9">
        <v>233508</v>
      </c>
      <c r="P1597" s="9">
        <f>N1597-O1597</f>
        <v>-35440</v>
      </c>
      <c r="Q1597" s="40">
        <f t="shared" si="249"/>
        <v>-15.177210202648304</v>
      </c>
      <c r="R1597" s="9">
        <v>13.038980508030001</v>
      </c>
      <c r="S1597" s="9">
        <f t="shared" si="247"/>
        <v>11.01651651884</v>
      </c>
      <c r="T1597" s="90">
        <f t="shared" si="242"/>
        <v>318</v>
      </c>
      <c r="U1597" s="90">
        <f t="shared" si="243"/>
        <v>815</v>
      </c>
      <c r="V1597" s="373">
        <f t="shared" si="244"/>
        <v>1588</v>
      </c>
      <c r="W1597" s="90">
        <f t="shared" si="245"/>
        <v>11.01651651884</v>
      </c>
      <c r="X1597" s="90">
        <f t="shared" si="246"/>
        <v>240081.89503562043</v>
      </c>
      <c r="Y1597" s="141">
        <f t="shared" si="248"/>
        <v>1588</v>
      </c>
      <c r="Z1597" s="298">
        <v>318</v>
      </c>
      <c r="AA1597" s="299">
        <v>815</v>
      </c>
      <c r="AB1597" s="299">
        <v>1588</v>
      </c>
      <c r="AC1597" s="301">
        <v>11.01651651884</v>
      </c>
      <c r="AD1597" s="301">
        <v>240081.89503562043</v>
      </c>
      <c r="AE1597" s="126"/>
      <c r="AF1597" s="298"/>
      <c r="AG1597" s="299"/>
      <c r="AH1597" s="299"/>
      <c r="AI1597" s="301"/>
      <c r="AJ1597" s="301"/>
      <c r="AK1597" s="426"/>
      <c r="AL1597" s="298"/>
      <c r="AM1597" s="299"/>
      <c r="AN1597" s="299"/>
      <c r="AO1597" s="301"/>
      <c r="AP1597" s="301"/>
      <c r="AQ1597" s="426"/>
      <c r="AR1597" s="298"/>
      <c r="AS1597" s="299"/>
      <c r="AT1597" s="299"/>
      <c r="AU1597" s="301"/>
      <c r="AV1597" s="301"/>
      <c r="AW1597" s="88"/>
      <c r="AX1597" s="298"/>
      <c r="AY1597" s="299"/>
      <c r="AZ1597" s="299"/>
      <c r="BA1597" s="301"/>
      <c r="BB1597" s="301"/>
      <c r="BC1597" s="426"/>
      <c r="BD1597" s="298"/>
      <c r="BE1597" s="299"/>
      <c r="BF1597" s="299"/>
      <c r="BG1597" s="301"/>
      <c r="BH1597" s="301"/>
      <c r="BI1597" s="88"/>
      <c r="BJ1597" s="298"/>
      <c r="BK1597" s="299"/>
      <c r="BL1597" s="299"/>
      <c r="BM1597" s="301"/>
      <c r="BN1597" s="301"/>
      <c r="BO1597" s="88"/>
      <c r="BP1597" s="9"/>
      <c r="BS1597" s="81"/>
      <c r="BT1597" s="81"/>
      <c r="BV1597" s="9"/>
      <c r="BY1597" s="81"/>
      <c r="BZ1597" s="81"/>
      <c r="CB1597" s="9"/>
      <c r="CE1597" s="81"/>
      <c r="CF1597" s="81"/>
      <c r="CH1597" s="9"/>
      <c r="CK1597" s="81"/>
      <c r="CL1597" s="81"/>
      <c r="CR1597" s="9"/>
      <c r="CS1597" s="9"/>
      <c r="CT1597" s="9"/>
      <c r="CU1597" s="9"/>
      <c r="CV1597" s="9"/>
      <c r="CW1597" s="129"/>
      <c r="CX1597" s="9"/>
    </row>
    <row r="1598" spans="1:102">
      <c r="A1598" s="6" t="str">
        <f t="shared" si="241"/>
        <v>03180998</v>
      </c>
      <c r="B1598" s="6" t="s">
        <v>1968</v>
      </c>
      <c r="C1598" s="6" t="s">
        <v>2091</v>
      </c>
      <c r="D1598" s="6">
        <v>1589</v>
      </c>
      <c r="E1598" s="6">
        <v>318</v>
      </c>
      <c r="F1598" s="6" t="s">
        <v>1547</v>
      </c>
      <c r="G1598" s="6">
        <v>998</v>
      </c>
      <c r="H1598" s="6" t="s">
        <v>1547</v>
      </c>
      <c r="I1598" s="33">
        <v>0</v>
      </c>
      <c r="J1598" s="88">
        <v>0</v>
      </c>
      <c r="K1598" s="89">
        <f t="shared" si="250"/>
        <v>0</v>
      </c>
      <c r="L1598" s="88">
        <f>IF(K1599&gt;0, K1598/K1599, 0)</f>
        <v>0</v>
      </c>
      <c r="M1598" s="58"/>
      <c r="N1598" s="9">
        <f>ROUND(M1599*L1598,0)</f>
        <v>0</v>
      </c>
      <c r="O1598" s="9">
        <v>0</v>
      </c>
      <c r="P1598" s="9">
        <f>N1598-O1598</f>
        <v>0</v>
      </c>
      <c r="Q1598" s="40">
        <f t="shared" si="249"/>
        <v>0</v>
      </c>
      <c r="R1598" s="9">
        <v>0</v>
      </c>
      <c r="S1598" s="9">
        <f t="shared" si="247"/>
        <v>0</v>
      </c>
      <c r="T1598" s="90">
        <f t="shared" si="242"/>
        <v>318</v>
      </c>
      <c r="U1598" s="90">
        <f t="shared" si="243"/>
        <v>998</v>
      </c>
      <c r="V1598" s="373">
        <f t="shared" si="244"/>
        <v>1589</v>
      </c>
      <c r="W1598" s="90">
        <f t="shared" si="245"/>
        <v>0</v>
      </c>
      <c r="X1598" s="90">
        <f t="shared" si="246"/>
        <v>0</v>
      </c>
      <c r="Y1598" s="141">
        <f t="shared" si="248"/>
        <v>1589</v>
      </c>
      <c r="Z1598" s="298">
        <v>318</v>
      </c>
      <c r="AA1598" s="299">
        <v>998</v>
      </c>
      <c r="AB1598" s="299">
        <v>1589</v>
      </c>
      <c r="AC1598" s="301">
        <v>0</v>
      </c>
      <c r="AD1598" s="301">
        <v>0</v>
      </c>
      <c r="AE1598" s="126"/>
      <c r="AF1598" s="298"/>
      <c r="AG1598" s="299"/>
      <c r="AH1598" s="299"/>
      <c r="AI1598" s="301"/>
      <c r="AJ1598" s="301"/>
      <c r="AK1598" s="426"/>
      <c r="AL1598" s="298"/>
      <c r="AM1598" s="299"/>
      <c r="AN1598" s="299"/>
      <c r="AO1598" s="301"/>
      <c r="AP1598" s="301"/>
      <c r="AQ1598" s="426"/>
      <c r="AR1598" s="298"/>
      <c r="AS1598" s="299"/>
      <c r="AT1598" s="299"/>
      <c r="AU1598" s="301"/>
      <c r="AV1598" s="301"/>
      <c r="AW1598" s="88"/>
      <c r="AX1598" s="298"/>
      <c r="AY1598" s="299"/>
      <c r="AZ1598" s="299"/>
      <c r="BA1598" s="301"/>
      <c r="BB1598" s="301"/>
      <c r="BC1598" s="426"/>
      <c r="BD1598" s="298"/>
      <c r="BE1598" s="299"/>
      <c r="BF1598" s="299"/>
      <c r="BG1598" s="301"/>
      <c r="BH1598" s="301"/>
      <c r="BI1598" s="88"/>
      <c r="BJ1598" s="298"/>
      <c r="BK1598" s="299"/>
      <c r="BL1598" s="299"/>
      <c r="BM1598" s="301"/>
      <c r="BN1598" s="301"/>
      <c r="BO1598" s="88"/>
      <c r="BP1598" s="9"/>
      <c r="BS1598" s="81"/>
      <c r="BT1598" s="81"/>
      <c r="BV1598" s="9"/>
      <c r="BY1598" s="81"/>
      <c r="BZ1598" s="81"/>
      <c r="CB1598" s="9"/>
      <c r="CE1598" s="81"/>
      <c r="CF1598" s="81"/>
      <c r="CH1598" s="9"/>
      <c r="CK1598" s="81"/>
      <c r="CL1598" s="81"/>
      <c r="CR1598" s="9"/>
      <c r="CS1598" s="9"/>
      <c r="CT1598" s="9"/>
      <c r="CU1598" s="9"/>
      <c r="CV1598" s="9"/>
      <c r="CW1598" s="129"/>
      <c r="CX1598" s="9"/>
    </row>
    <row r="1599" spans="1:102">
      <c r="A1599" s="6" t="str">
        <f t="shared" si="241"/>
        <v>03180999</v>
      </c>
      <c r="B1599" s="6" t="s">
        <v>1968</v>
      </c>
      <c r="C1599" s="6" t="s">
        <v>2092</v>
      </c>
      <c r="D1599" s="6">
        <v>1590</v>
      </c>
      <c r="E1599" s="10">
        <v>318</v>
      </c>
      <c r="F1599" s="10" t="s">
        <v>1436</v>
      </c>
      <c r="G1599" s="10">
        <v>999</v>
      </c>
      <c r="H1599" s="10" t="s">
        <v>593</v>
      </c>
      <c r="I1599" s="92">
        <v>3916781.97704896</v>
      </c>
      <c r="J1599" s="472">
        <v>1</v>
      </c>
      <c r="K1599" s="53">
        <f>SUM(K1595:K1598)</f>
        <v>3616269.6009283108</v>
      </c>
      <c r="L1599" s="91">
        <f>SUM(L1595:L1598)</f>
        <v>1</v>
      </c>
      <c r="M1599" s="79">
        <f>VLOOKUP(E1599,town351,24)</f>
        <v>2983422</v>
      </c>
      <c r="N1599" s="79">
        <f>SUM(N1595:N1598)</f>
        <v>2983422</v>
      </c>
      <c r="O1599" s="79">
        <v>3231345</v>
      </c>
      <c r="P1599" s="79">
        <f>SUM(P1595:P1598)</f>
        <v>-247923</v>
      </c>
      <c r="Q1599" s="39">
        <f t="shared" si="249"/>
        <v>-7.672439804477702</v>
      </c>
      <c r="R1599" s="9">
        <v>270.03898050815002</v>
      </c>
      <c r="S1599" s="9">
        <f t="shared" si="247"/>
        <v>247.01651652373999</v>
      </c>
      <c r="T1599" s="90">
        <f t="shared" si="242"/>
        <v>318</v>
      </c>
      <c r="U1599" s="90">
        <f t="shared" si="243"/>
        <v>999</v>
      </c>
      <c r="V1599" s="373">
        <f t="shared" si="244"/>
        <v>1590</v>
      </c>
      <c r="W1599" s="90">
        <f t="shared" si="245"/>
        <v>247.01651652373999</v>
      </c>
      <c r="X1599" s="90">
        <f t="shared" si="246"/>
        <v>3616269.6009283108</v>
      </c>
      <c r="Y1599" s="141">
        <f t="shared" si="248"/>
        <v>1590</v>
      </c>
      <c r="Z1599" s="298">
        <v>318</v>
      </c>
      <c r="AA1599" s="299">
        <v>999</v>
      </c>
      <c r="AB1599" s="299">
        <v>1590</v>
      </c>
      <c r="AC1599" s="301">
        <v>247.01651652373999</v>
      </c>
      <c r="AD1599" s="301">
        <v>3616269.6009283108</v>
      </c>
      <c r="AE1599" s="126"/>
      <c r="AF1599" s="298"/>
      <c r="AG1599" s="299"/>
      <c r="AH1599" s="299"/>
      <c r="AI1599" s="301"/>
      <c r="AJ1599" s="301"/>
      <c r="AK1599" s="426"/>
      <c r="AL1599" s="298"/>
      <c r="AM1599" s="299"/>
      <c r="AN1599" s="299"/>
      <c r="AO1599" s="301"/>
      <c r="AP1599" s="301"/>
      <c r="AQ1599" s="426"/>
      <c r="AR1599" s="298"/>
      <c r="AS1599" s="299"/>
      <c r="AT1599" s="299"/>
      <c r="AU1599" s="301"/>
      <c r="AV1599" s="301"/>
      <c r="AW1599" s="91"/>
      <c r="AX1599" s="298"/>
      <c r="AY1599" s="299"/>
      <c r="AZ1599" s="299"/>
      <c r="BA1599" s="301"/>
      <c r="BB1599" s="301"/>
      <c r="BC1599" s="426"/>
      <c r="BD1599" s="298"/>
      <c r="BE1599" s="299"/>
      <c r="BF1599" s="299"/>
      <c r="BG1599" s="301"/>
      <c r="BH1599" s="301"/>
      <c r="BI1599" s="91"/>
      <c r="BJ1599" s="298"/>
      <c r="BK1599" s="299"/>
      <c r="BL1599" s="299"/>
      <c r="BM1599" s="301"/>
      <c r="BN1599" s="301"/>
      <c r="BO1599" s="91"/>
      <c r="BP1599" s="9"/>
      <c r="BS1599" s="81"/>
      <c r="BT1599" s="81"/>
      <c r="BV1599" s="9"/>
      <c r="BY1599" s="81"/>
      <c r="BZ1599" s="81"/>
      <c r="CB1599" s="9"/>
      <c r="CE1599" s="81"/>
      <c r="CF1599" s="81"/>
      <c r="CH1599" s="9"/>
      <c r="CK1599" s="81"/>
      <c r="CL1599" s="81"/>
      <c r="CR1599" s="9"/>
      <c r="CS1599" s="9"/>
      <c r="CT1599" s="9"/>
      <c r="CU1599" s="9"/>
      <c r="CV1599" s="9"/>
      <c r="CW1599" s="129"/>
      <c r="CX1599" s="9"/>
    </row>
    <row r="1600" spans="1:102">
      <c r="A1600" s="6" t="str">
        <f t="shared" si="241"/>
        <v>03190319</v>
      </c>
      <c r="B1600" s="6" t="s">
        <v>1969</v>
      </c>
      <c r="C1600" s="6" t="s">
        <v>1969</v>
      </c>
      <c r="D1600" s="6">
        <v>1591</v>
      </c>
      <c r="E1600" s="6">
        <v>319</v>
      </c>
      <c r="F1600" s="6" t="s">
        <v>1437</v>
      </c>
      <c r="G1600" s="6">
        <v>319</v>
      </c>
      <c r="H1600" s="6" t="s">
        <v>1000</v>
      </c>
      <c r="I1600" s="33">
        <v>0</v>
      </c>
      <c r="J1600" s="88">
        <v>0</v>
      </c>
      <c r="K1600" s="89">
        <f>X1600</f>
        <v>0</v>
      </c>
      <c r="L1600" s="88">
        <f>IF(K1604&gt;0, K1600/K1604, 0)</f>
        <v>0</v>
      </c>
      <c r="M1600" s="58"/>
      <c r="N1600" s="9">
        <f>ROUND(M1604*L1600,0)</f>
        <v>0</v>
      </c>
      <c r="O1600" s="9">
        <v>0</v>
      </c>
      <c r="P1600" s="9">
        <f>N1600-O1600</f>
        <v>0</v>
      </c>
      <c r="Q1600" s="40">
        <f t="shared" si="249"/>
        <v>0</v>
      </c>
      <c r="R1600" s="9">
        <v>0</v>
      </c>
      <c r="S1600" s="9">
        <f t="shared" si="247"/>
        <v>0</v>
      </c>
      <c r="T1600" s="90">
        <f t="shared" si="242"/>
        <v>319</v>
      </c>
      <c r="U1600" s="90">
        <f t="shared" si="243"/>
        <v>319</v>
      </c>
      <c r="V1600" s="373">
        <f t="shared" si="244"/>
        <v>1591</v>
      </c>
      <c r="W1600" s="90">
        <f t="shared" si="245"/>
        <v>0</v>
      </c>
      <c r="X1600" s="90">
        <f t="shared" si="246"/>
        <v>0</v>
      </c>
      <c r="Y1600" s="141">
        <f t="shared" si="248"/>
        <v>1591</v>
      </c>
      <c r="Z1600" s="298">
        <v>319</v>
      </c>
      <c r="AA1600" s="299">
        <v>319</v>
      </c>
      <c r="AB1600" s="299">
        <v>1591</v>
      </c>
      <c r="AC1600" s="301">
        <v>0</v>
      </c>
      <c r="AD1600" s="301">
        <v>0</v>
      </c>
      <c r="AE1600" s="126"/>
      <c r="AF1600" s="298"/>
      <c r="AG1600" s="299"/>
      <c r="AH1600" s="299"/>
      <c r="AI1600" s="301"/>
      <c r="AJ1600" s="301"/>
      <c r="AK1600" s="426"/>
      <c r="AL1600" s="298"/>
      <c r="AM1600" s="299"/>
      <c r="AN1600" s="299"/>
      <c r="AO1600" s="301"/>
      <c r="AP1600" s="301"/>
      <c r="AQ1600" s="426"/>
      <c r="AR1600" s="298"/>
      <c r="AS1600" s="299"/>
      <c r="AT1600" s="299"/>
      <c r="AU1600" s="301"/>
      <c r="AV1600" s="301"/>
      <c r="AW1600" s="88"/>
      <c r="AX1600" s="298"/>
      <c r="AY1600" s="299"/>
      <c r="AZ1600" s="299"/>
      <c r="BA1600" s="301"/>
      <c r="BB1600" s="301"/>
      <c r="BC1600" s="426"/>
      <c r="BD1600" s="298"/>
      <c r="BE1600" s="299"/>
      <c r="BF1600" s="299"/>
      <c r="BG1600" s="301"/>
      <c r="BH1600" s="301"/>
      <c r="BI1600" s="88"/>
      <c r="BJ1600" s="298"/>
      <c r="BK1600" s="299"/>
      <c r="BL1600" s="299"/>
      <c r="BM1600" s="301"/>
      <c r="BN1600" s="301"/>
      <c r="BO1600" s="88"/>
      <c r="BP1600" s="9"/>
      <c r="BS1600" s="81"/>
      <c r="BT1600" s="81"/>
      <c r="BV1600" s="9"/>
      <c r="BY1600" s="81"/>
      <c r="BZ1600" s="81"/>
      <c r="CB1600" s="9"/>
      <c r="CE1600" s="81"/>
      <c r="CF1600" s="81"/>
      <c r="CH1600" s="9"/>
      <c r="CK1600" s="81"/>
      <c r="CL1600" s="81"/>
      <c r="CR1600" s="9"/>
      <c r="CS1600" s="9"/>
      <c r="CT1600" s="9"/>
      <c r="CU1600" s="9"/>
      <c r="CV1600" s="9"/>
      <c r="CW1600" s="129"/>
      <c r="CX1600" s="9"/>
    </row>
    <row r="1601" spans="1:102">
      <c r="A1601" s="6" t="str">
        <f t="shared" si="241"/>
        <v>03190728</v>
      </c>
      <c r="B1601" s="6" t="s">
        <v>1969</v>
      </c>
      <c r="C1601" s="6" t="s">
        <v>2043</v>
      </c>
      <c r="D1601" s="6">
        <v>1592</v>
      </c>
      <c r="E1601" s="6">
        <v>319</v>
      </c>
      <c r="F1601" s="6" t="s">
        <v>1437</v>
      </c>
      <c r="G1601" s="6">
        <v>728</v>
      </c>
      <c r="H1601" s="6" t="s">
        <v>1073</v>
      </c>
      <c r="I1601" s="33">
        <v>1030269.736005569</v>
      </c>
      <c r="J1601" s="88">
        <v>0.57822552151764028</v>
      </c>
      <c r="K1601" s="89">
        <f t="shared" si="250"/>
        <v>942498.40726609004</v>
      </c>
      <c r="L1601" s="88">
        <f>IF(K1604&gt;0, K1601/K1604, 0)</f>
        <v>0.51939668515940829</v>
      </c>
      <c r="M1601" s="58"/>
      <c r="N1601" s="9">
        <f>ROUND(M1604*L1601,0)</f>
        <v>354209</v>
      </c>
      <c r="O1601" s="9">
        <v>371797</v>
      </c>
      <c r="P1601" s="9">
        <f>N1601-O1601</f>
        <v>-17588</v>
      </c>
      <c r="Q1601" s="40">
        <f t="shared" si="249"/>
        <v>-4.7305384389868665</v>
      </c>
      <c r="R1601" s="9">
        <v>69.68333333371001</v>
      </c>
      <c r="S1601" s="9">
        <f t="shared" si="247"/>
        <v>65.719008263999996</v>
      </c>
      <c r="T1601" s="90">
        <f t="shared" si="242"/>
        <v>319</v>
      </c>
      <c r="U1601" s="90">
        <f t="shared" si="243"/>
        <v>728</v>
      </c>
      <c r="V1601" s="373">
        <f t="shared" si="244"/>
        <v>1592</v>
      </c>
      <c r="W1601" s="90">
        <f t="shared" si="245"/>
        <v>65.719008263999996</v>
      </c>
      <c r="X1601" s="90">
        <f t="shared" si="246"/>
        <v>942498.40726609004</v>
      </c>
      <c r="Y1601" s="141">
        <f t="shared" si="248"/>
        <v>1592</v>
      </c>
      <c r="Z1601" s="298">
        <v>319</v>
      </c>
      <c r="AA1601" s="299">
        <v>728</v>
      </c>
      <c r="AB1601" s="299">
        <v>1592</v>
      </c>
      <c r="AC1601" s="301">
        <v>65.719008263999996</v>
      </c>
      <c r="AD1601" s="301">
        <v>942498.40726609004</v>
      </c>
      <c r="AE1601" s="126"/>
      <c r="AF1601" s="298"/>
      <c r="AG1601" s="299"/>
      <c r="AH1601" s="299"/>
      <c r="AI1601" s="301"/>
      <c r="AJ1601" s="301"/>
      <c r="AK1601" s="426"/>
      <c r="AL1601" s="298"/>
      <c r="AM1601" s="299"/>
      <c r="AN1601" s="299"/>
      <c r="AO1601" s="301"/>
      <c r="AP1601" s="301"/>
      <c r="AQ1601" s="426"/>
      <c r="AR1601" s="298"/>
      <c r="AS1601" s="299"/>
      <c r="AT1601" s="299"/>
      <c r="AU1601" s="301"/>
      <c r="AV1601" s="301"/>
      <c r="AW1601" s="88"/>
      <c r="AX1601" s="298"/>
      <c r="AY1601" s="299"/>
      <c r="AZ1601" s="299"/>
      <c r="BA1601" s="301"/>
      <c r="BB1601" s="301"/>
      <c r="BC1601" s="426"/>
      <c r="BD1601" s="298"/>
      <c r="BE1601" s="299"/>
      <c r="BF1601" s="299"/>
      <c r="BG1601" s="301"/>
      <c r="BH1601" s="301"/>
      <c r="BI1601" s="88"/>
      <c r="BJ1601" s="298"/>
      <c r="BK1601" s="299"/>
      <c r="BL1601" s="299"/>
      <c r="BM1601" s="301"/>
      <c r="BN1601" s="301"/>
      <c r="BO1601" s="88"/>
      <c r="BP1601" s="9"/>
      <c r="BS1601" s="81"/>
      <c r="BT1601" s="81"/>
      <c r="BV1601" s="9"/>
      <c r="BY1601" s="81"/>
      <c r="BZ1601" s="81"/>
      <c r="CB1601" s="9"/>
      <c r="CE1601" s="81"/>
      <c r="CF1601" s="81"/>
      <c r="CH1601" s="9"/>
      <c r="CK1601" s="81"/>
      <c r="CL1601" s="81"/>
      <c r="CR1601" s="9"/>
      <c r="CS1601" s="9"/>
      <c r="CT1601" s="9"/>
      <c r="CU1601" s="9"/>
      <c r="CV1601" s="9"/>
      <c r="CW1601" s="129"/>
      <c r="CX1601" s="9"/>
    </row>
    <row r="1602" spans="1:102">
      <c r="A1602" s="6" t="str">
        <f t="shared" si="241"/>
        <v>03190755</v>
      </c>
      <c r="B1602" s="6" t="s">
        <v>1969</v>
      </c>
      <c r="C1602" s="6" t="s">
        <v>2050</v>
      </c>
      <c r="D1602" s="6">
        <v>1593</v>
      </c>
      <c r="E1602" s="6">
        <v>319</v>
      </c>
      <c r="F1602" s="6" t="s">
        <v>1437</v>
      </c>
      <c r="G1602" s="6">
        <v>755</v>
      </c>
      <c r="H1602" s="6" t="s">
        <v>1080</v>
      </c>
      <c r="I1602" s="33">
        <v>559280.67882690253</v>
      </c>
      <c r="J1602" s="88">
        <v>0.31388902428914744</v>
      </c>
      <c r="K1602" s="89">
        <f t="shared" si="250"/>
        <v>697248.41545582085</v>
      </c>
      <c r="L1602" s="88">
        <f>IF(K1604&gt;0, K1602/K1604, 0)</f>
        <v>0.384243106331489</v>
      </c>
      <c r="M1602" s="58"/>
      <c r="N1602" s="9">
        <f>ROUND(M1604*L1602,0)</f>
        <v>262040</v>
      </c>
      <c r="O1602" s="9">
        <v>201830</v>
      </c>
      <c r="P1602" s="9">
        <f>N1602-O1602</f>
        <v>60210</v>
      </c>
      <c r="Q1602" s="40">
        <f t="shared" si="249"/>
        <v>29.832036862706239</v>
      </c>
      <c r="R1602" s="9">
        <v>34.999999998140005</v>
      </c>
      <c r="S1602" s="9">
        <f t="shared" si="247"/>
        <v>42.000000000770001</v>
      </c>
      <c r="T1602" s="90">
        <f t="shared" si="242"/>
        <v>319</v>
      </c>
      <c r="U1602" s="90">
        <f t="shared" si="243"/>
        <v>755</v>
      </c>
      <c r="V1602" s="373">
        <f t="shared" si="244"/>
        <v>1593</v>
      </c>
      <c r="W1602" s="90">
        <f t="shared" si="245"/>
        <v>42.000000000770001</v>
      </c>
      <c r="X1602" s="90">
        <f t="shared" si="246"/>
        <v>697248.41545582085</v>
      </c>
      <c r="Y1602" s="141">
        <f t="shared" si="248"/>
        <v>1593</v>
      </c>
      <c r="Z1602" s="298">
        <v>319</v>
      </c>
      <c r="AA1602" s="299">
        <v>755</v>
      </c>
      <c r="AB1602" s="299">
        <v>1593</v>
      </c>
      <c r="AC1602" s="301">
        <v>42.000000000770001</v>
      </c>
      <c r="AD1602" s="301">
        <v>697248.41545582085</v>
      </c>
      <c r="AE1602" s="126"/>
      <c r="AF1602" s="298"/>
      <c r="AG1602" s="299"/>
      <c r="AH1602" s="299"/>
      <c r="AI1602" s="301"/>
      <c r="AJ1602" s="301"/>
      <c r="AK1602" s="426"/>
      <c r="AL1602" s="298"/>
      <c r="AM1602" s="299"/>
      <c r="AN1602" s="299"/>
      <c r="AO1602" s="301"/>
      <c r="AP1602" s="301"/>
      <c r="AQ1602" s="426"/>
      <c r="AR1602" s="298"/>
      <c r="AS1602" s="299"/>
      <c r="AT1602" s="299"/>
      <c r="AU1602" s="301"/>
      <c r="AV1602" s="301"/>
      <c r="AW1602" s="88"/>
      <c r="AX1602" s="298"/>
      <c r="AY1602" s="299"/>
      <c r="AZ1602" s="299"/>
      <c r="BA1602" s="301"/>
      <c r="BB1602" s="301"/>
      <c r="BC1602" s="426"/>
      <c r="BD1602" s="298"/>
      <c r="BE1602" s="299"/>
      <c r="BF1602" s="299"/>
      <c r="BG1602" s="301"/>
      <c r="BH1602" s="301"/>
      <c r="BI1602" s="88"/>
      <c r="BJ1602" s="298"/>
      <c r="BK1602" s="299"/>
      <c r="BL1602" s="299"/>
      <c r="BM1602" s="301"/>
      <c r="BN1602" s="301"/>
      <c r="BO1602" s="88"/>
      <c r="BP1602" s="9"/>
      <c r="BS1602" s="81"/>
      <c r="BT1602" s="81"/>
      <c r="BV1602" s="9"/>
      <c r="BY1602" s="81"/>
      <c r="BZ1602" s="81"/>
      <c r="CB1602" s="9"/>
      <c r="CE1602" s="81"/>
      <c r="CF1602" s="81"/>
      <c r="CH1602" s="9"/>
      <c r="CK1602" s="81"/>
      <c r="CL1602" s="81"/>
      <c r="CR1602" s="9"/>
      <c r="CS1602" s="9"/>
      <c r="CT1602" s="9"/>
      <c r="CU1602" s="9"/>
      <c r="CV1602" s="9"/>
      <c r="CW1602" s="129"/>
      <c r="CX1602" s="9"/>
    </row>
    <row r="1603" spans="1:102">
      <c r="A1603" s="6" t="str">
        <f t="shared" si="241"/>
        <v>03190818</v>
      </c>
      <c r="B1603" s="6" t="s">
        <v>1969</v>
      </c>
      <c r="C1603" s="6" t="s">
        <v>2068</v>
      </c>
      <c r="D1603" s="6">
        <v>1594</v>
      </c>
      <c r="E1603" s="6">
        <v>319</v>
      </c>
      <c r="F1603" s="6" t="s">
        <v>1437</v>
      </c>
      <c r="G1603" s="6">
        <v>818</v>
      </c>
      <c r="H1603" s="6" t="s">
        <v>1098</v>
      </c>
      <c r="I1603" s="33">
        <v>192227.97035791312</v>
      </c>
      <c r="J1603" s="88">
        <v>0.10788545419321237</v>
      </c>
      <c r="K1603" s="89">
        <f t="shared" si="250"/>
        <v>174855.45371893211</v>
      </c>
      <c r="L1603" s="88">
        <f>IF(K1604&gt;0, K1603/K1604, 0)</f>
        <v>9.6360208509102735E-2</v>
      </c>
      <c r="M1603" s="58"/>
      <c r="N1603" s="9">
        <f>ROUND(M1604*L1603,0)</f>
        <v>65714</v>
      </c>
      <c r="O1603" s="9">
        <v>69370</v>
      </c>
      <c r="P1603" s="9">
        <f>N1603-O1603</f>
        <v>-3656</v>
      </c>
      <c r="Q1603" s="40">
        <f t="shared" si="249"/>
        <v>-5.2702897506126565</v>
      </c>
      <c r="R1603" s="9">
        <v>8.9999999991999999</v>
      </c>
      <c r="S1603" s="9">
        <f t="shared" si="247"/>
        <v>7.99999999948</v>
      </c>
      <c r="T1603" s="90">
        <f t="shared" si="242"/>
        <v>319</v>
      </c>
      <c r="U1603" s="90">
        <f t="shared" si="243"/>
        <v>818</v>
      </c>
      <c r="V1603" s="373">
        <f t="shared" si="244"/>
        <v>1594</v>
      </c>
      <c r="W1603" s="90">
        <f t="shared" si="245"/>
        <v>7.99999999948</v>
      </c>
      <c r="X1603" s="90">
        <f t="shared" si="246"/>
        <v>174855.45371893211</v>
      </c>
      <c r="Y1603" s="141">
        <f t="shared" si="248"/>
        <v>1594</v>
      </c>
      <c r="Z1603" s="298">
        <v>319</v>
      </c>
      <c r="AA1603" s="299">
        <v>818</v>
      </c>
      <c r="AB1603" s="299">
        <v>1594</v>
      </c>
      <c r="AC1603" s="301">
        <v>7.99999999948</v>
      </c>
      <c r="AD1603" s="301">
        <v>174855.45371893211</v>
      </c>
      <c r="AE1603" s="126"/>
      <c r="AF1603" s="298"/>
      <c r="AG1603" s="299"/>
      <c r="AH1603" s="299"/>
      <c r="AI1603" s="301"/>
      <c r="AJ1603" s="301"/>
      <c r="AK1603" s="426"/>
      <c r="AL1603" s="298"/>
      <c r="AM1603" s="299"/>
      <c r="AN1603" s="299"/>
      <c r="AO1603" s="301"/>
      <c r="AP1603" s="301"/>
      <c r="AQ1603" s="426"/>
      <c r="AR1603" s="298"/>
      <c r="AS1603" s="299"/>
      <c r="AT1603" s="299"/>
      <c r="AU1603" s="301"/>
      <c r="AV1603" s="301"/>
      <c r="AW1603" s="88"/>
      <c r="AX1603" s="298"/>
      <c r="AY1603" s="299"/>
      <c r="AZ1603" s="299"/>
      <c r="BA1603" s="301"/>
      <c r="BB1603" s="301"/>
      <c r="BC1603" s="426"/>
      <c r="BD1603" s="298"/>
      <c r="BE1603" s="299"/>
      <c r="BF1603" s="299"/>
      <c r="BG1603" s="301"/>
      <c r="BH1603" s="301"/>
      <c r="BI1603" s="88"/>
      <c r="BJ1603" s="298"/>
      <c r="BK1603" s="299"/>
      <c r="BL1603" s="299"/>
      <c r="BM1603" s="301"/>
      <c r="BN1603" s="301"/>
      <c r="BO1603" s="88"/>
      <c r="BP1603" s="9"/>
      <c r="BS1603" s="81"/>
      <c r="BT1603" s="81"/>
      <c r="BV1603" s="9"/>
      <c r="BY1603" s="81"/>
      <c r="BZ1603" s="81"/>
      <c r="CB1603" s="9"/>
      <c r="CE1603" s="81"/>
      <c r="CF1603" s="81"/>
      <c r="CH1603" s="9"/>
      <c r="CK1603" s="81"/>
      <c r="CL1603" s="81"/>
      <c r="CR1603" s="9"/>
      <c r="CS1603" s="9"/>
      <c r="CT1603" s="9"/>
      <c r="CU1603" s="9"/>
      <c r="CV1603" s="9"/>
      <c r="CW1603" s="129"/>
      <c r="CX1603" s="9"/>
    </row>
    <row r="1604" spans="1:102">
      <c r="A1604" s="6" t="str">
        <f t="shared" si="241"/>
        <v>03190999</v>
      </c>
      <c r="B1604" s="6" t="s">
        <v>1969</v>
      </c>
      <c r="C1604" s="6" t="s">
        <v>2092</v>
      </c>
      <c r="D1604" s="6">
        <v>1595</v>
      </c>
      <c r="E1604" s="10">
        <v>319</v>
      </c>
      <c r="F1604" s="10" t="s">
        <v>1437</v>
      </c>
      <c r="G1604" s="10">
        <v>999</v>
      </c>
      <c r="H1604" s="10" t="s">
        <v>593</v>
      </c>
      <c r="I1604" s="92">
        <v>1781778.3851903845</v>
      </c>
      <c r="J1604" s="472">
        <v>1</v>
      </c>
      <c r="K1604" s="53">
        <f>SUM(K1600:K1603)</f>
        <v>1814602.276440843</v>
      </c>
      <c r="L1604" s="91">
        <f>SUM(L1600:L1603)</f>
        <v>1</v>
      </c>
      <c r="M1604" s="79">
        <f>VLOOKUP(E1604,town351,24)</f>
        <v>681963</v>
      </c>
      <c r="N1604" s="79">
        <f>SUM(N1600:N1603)</f>
        <v>681963</v>
      </c>
      <c r="O1604" s="79">
        <v>642997</v>
      </c>
      <c r="P1604" s="79">
        <f>SUM(P1600:P1603)</f>
        <v>38966</v>
      </c>
      <c r="Q1604" s="39">
        <f t="shared" si="249"/>
        <v>6.0600593781930554</v>
      </c>
      <c r="R1604" s="9">
        <v>113.68333333105001</v>
      </c>
      <c r="S1604" s="9">
        <f t="shared" si="247"/>
        <v>115.71900826424999</v>
      </c>
      <c r="T1604" s="90">
        <f t="shared" si="242"/>
        <v>319</v>
      </c>
      <c r="U1604" s="90">
        <f t="shared" si="243"/>
        <v>999</v>
      </c>
      <c r="V1604" s="373">
        <f t="shared" si="244"/>
        <v>1595</v>
      </c>
      <c r="W1604" s="90">
        <f t="shared" si="245"/>
        <v>115.71900826424999</v>
      </c>
      <c r="X1604" s="90">
        <f t="shared" si="246"/>
        <v>1814602.276440843</v>
      </c>
      <c r="Y1604" s="141">
        <f t="shared" si="248"/>
        <v>1595</v>
      </c>
      <c r="Z1604" s="298">
        <v>319</v>
      </c>
      <c r="AA1604" s="299">
        <v>999</v>
      </c>
      <c r="AB1604" s="299">
        <v>1595</v>
      </c>
      <c r="AC1604" s="301">
        <v>115.71900826424999</v>
      </c>
      <c r="AD1604" s="301">
        <v>1814602.276440843</v>
      </c>
      <c r="AE1604" s="126"/>
      <c r="AF1604" s="298"/>
      <c r="AG1604" s="299"/>
      <c r="AH1604" s="299"/>
      <c r="AI1604" s="301"/>
      <c r="AJ1604" s="301"/>
      <c r="AK1604" s="426"/>
      <c r="AL1604" s="298"/>
      <c r="AM1604" s="299"/>
      <c r="AN1604" s="299"/>
      <c r="AO1604" s="301"/>
      <c r="AP1604" s="301"/>
      <c r="AQ1604" s="426"/>
      <c r="AR1604" s="298"/>
      <c r="AS1604" s="299"/>
      <c r="AT1604" s="299"/>
      <c r="AU1604" s="301"/>
      <c r="AV1604" s="301"/>
      <c r="AW1604" s="91"/>
      <c r="AX1604" s="298"/>
      <c r="AY1604" s="299"/>
      <c r="AZ1604" s="299"/>
      <c r="BA1604" s="301"/>
      <c r="BB1604" s="301"/>
      <c r="BC1604" s="426"/>
      <c r="BD1604" s="298"/>
      <c r="BE1604" s="299"/>
      <c r="BF1604" s="299"/>
      <c r="BG1604" s="301"/>
      <c r="BH1604" s="301"/>
      <c r="BI1604" s="91"/>
      <c r="BJ1604" s="298"/>
      <c r="BK1604" s="299"/>
      <c r="BL1604" s="299"/>
      <c r="BM1604" s="301"/>
      <c r="BN1604" s="301"/>
      <c r="BO1604" s="91"/>
      <c r="BP1604" s="9"/>
      <c r="BS1604" s="81"/>
      <c r="BT1604" s="81"/>
      <c r="BV1604" s="9"/>
      <c r="BY1604" s="81"/>
      <c r="BZ1604" s="81"/>
      <c r="CB1604" s="9"/>
      <c r="CE1604" s="81"/>
      <c r="CF1604" s="81"/>
      <c r="CH1604" s="9"/>
      <c r="CK1604" s="81"/>
      <c r="CL1604" s="81"/>
      <c r="CR1604" s="9"/>
      <c r="CS1604" s="9"/>
      <c r="CT1604" s="9"/>
      <c r="CU1604" s="9"/>
      <c r="CV1604" s="9"/>
      <c r="CW1604" s="129"/>
      <c r="CX1604" s="9"/>
    </row>
    <row r="1605" spans="1:102">
      <c r="A1605" s="6" t="str">
        <f t="shared" si="241"/>
        <v>03200320</v>
      </c>
      <c r="B1605" s="6" t="s">
        <v>1970</v>
      </c>
      <c r="C1605" s="6" t="s">
        <v>1970</v>
      </c>
      <c r="D1605" s="6">
        <v>1596</v>
      </c>
      <c r="E1605" s="6">
        <v>320</v>
      </c>
      <c r="F1605" s="6" t="s">
        <v>1438</v>
      </c>
      <c r="G1605" s="6">
        <v>320</v>
      </c>
      <c r="H1605" s="6" t="s">
        <v>1001</v>
      </c>
      <c r="I1605" s="33">
        <v>0</v>
      </c>
      <c r="J1605" s="88">
        <v>0</v>
      </c>
      <c r="K1605" s="89">
        <f>X1605</f>
        <v>0</v>
      </c>
      <c r="L1605" s="88">
        <f>IF(K1609&gt;0, K1605/K1609, 0)</f>
        <v>0</v>
      </c>
      <c r="M1605" s="58"/>
      <c r="N1605" s="9">
        <f>ROUND(M1609*L1605,0)</f>
        <v>0</v>
      </c>
      <c r="O1605" s="9">
        <v>0</v>
      </c>
      <c r="P1605" s="9">
        <f>N1605-O1605</f>
        <v>0</v>
      </c>
      <c r="Q1605" s="40">
        <f t="shared" si="249"/>
        <v>0</v>
      </c>
      <c r="R1605" s="9">
        <v>0</v>
      </c>
      <c r="S1605" s="9">
        <f t="shared" si="247"/>
        <v>0</v>
      </c>
      <c r="T1605" s="90">
        <f t="shared" si="242"/>
        <v>320</v>
      </c>
      <c r="U1605" s="90">
        <f t="shared" si="243"/>
        <v>320</v>
      </c>
      <c r="V1605" s="373">
        <f t="shared" si="244"/>
        <v>1596</v>
      </c>
      <c r="W1605" s="90">
        <f t="shared" si="245"/>
        <v>0</v>
      </c>
      <c r="X1605" s="90">
        <f t="shared" si="246"/>
        <v>0</v>
      </c>
      <c r="Y1605" s="141">
        <f t="shared" si="248"/>
        <v>1596</v>
      </c>
      <c r="Z1605" s="298">
        <v>320</v>
      </c>
      <c r="AA1605" s="299">
        <v>320</v>
      </c>
      <c r="AB1605" s="299">
        <v>1596</v>
      </c>
      <c r="AC1605" s="301">
        <v>0</v>
      </c>
      <c r="AD1605" s="301">
        <v>0</v>
      </c>
      <c r="AE1605" s="126"/>
      <c r="AF1605" s="298"/>
      <c r="AG1605" s="299"/>
      <c r="AH1605" s="299"/>
      <c r="AI1605" s="301"/>
      <c r="AJ1605" s="301"/>
      <c r="AK1605" s="426"/>
      <c r="AL1605" s="298"/>
      <c r="AM1605" s="299"/>
      <c r="AN1605" s="299"/>
      <c r="AO1605" s="301"/>
      <c r="AP1605" s="301"/>
      <c r="AQ1605" s="426"/>
      <c r="AR1605" s="298"/>
      <c r="AS1605" s="299"/>
      <c r="AT1605" s="299"/>
      <c r="AU1605" s="301"/>
      <c r="AV1605" s="301"/>
      <c r="AW1605" s="88"/>
      <c r="AX1605" s="298"/>
      <c r="AY1605" s="299"/>
      <c r="AZ1605" s="299"/>
      <c r="BA1605" s="301"/>
      <c r="BB1605" s="301"/>
      <c r="BC1605" s="426"/>
      <c r="BD1605" s="298"/>
      <c r="BE1605" s="299"/>
      <c r="BF1605" s="299"/>
      <c r="BG1605" s="301"/>
      <c r="BH1605" s="301"/>
      <c r="BI1605" s="88"/>
      <c r="BJ1605" s="298"/>
      <c r="BK1605" s="299"/>
      <c r="BL1605" s="299"/>
      <c r="BM1605" s="301"/>
      <c r="BN1605" s="301"/>
      <c r="BO1605" s="88"/>
      <c r="BP1605" s="9"/>
      <c r="BS1605" s="81"/>
      <c r="BT1605" s="81"/>
      <c r="BV1605" s="9"/>
      <c r="BY1605" s="81"/>
      <c r="BZ1605" s="81"/>
      <c r="CB1605" s="9"/>
      <c r="CE1605" s="81"/>
      <c r="CF1605" s="81"/>
      <c r="CH1605" s="9"/>
      <c r="CK1605" s="81"/>
      <c r="CL1605" s="81"/>
      <c r="CR1605" s="9"/>
      <c r="CS1605" s="9"/>
      <c r="CT1605" s="9"/>
      <c r="CU1605" s="9"/>
      <c r="CV1605" s="9"/>
      <c r="CW1605" s="129"/>
      <c r="CX1605" s="9"/>
    </row>
    <row r="1606" spans="1:102">
      <c r="A1606" s="6" t="str">
        <f t="shared" si="241"/>
        <v>03200675</v>
      </c>
      <c r="B1606" s="6" t="s">
        <v>1970</v>
      </c>
      <c r="C1606" s="6" t="s">
        <v>2028</v>
      </c>
      <c r="D1606" s="6">
        <v>1597</v>
      </c>
      <c r="E1606" s="6">
        <v>320</v>
      </c>
      <c r="F1606" s="6" t="s">
        <v>1438</v>
      </c>
      <c r="G1606" s="6">
        <v>675</v>
      </c>
      <c r="H1606" s="6" t="s">
        <v>1058</v>
      </c>
      <c r="I1606" s="33">
        <v>6727046.7222713241</v>
      </c>
      <c r="J1606" s="88">
        <v>0.9687616735479756</v>
      </c>
      <c r="K1606" s="89">
        <f t="shared" si="250"/>
        <v>7024808.7980984719</v>
      </c>
      <c r="L1606" s="88">
        <f>IF(K1609&gt;0, K1606/K1609, 0)</f>
        <v>0.95606465450400968</v>
      </c>
      <c r="M1606" s="58"/>
      <c r="N1606" s="9">
        <f>ROUND(M1609*L1606,0)</f>
        <v>5587757</v>
      </c>
      <c r="O1606" s="9">
        <v>5332422</v>
      </c>
      <c r="P1606" s="9">
        <f>N1606-O1606</f>
        <v>255335</v>
      </c>
      <c r="Q1606" s="40">
        <f t="shared" si="249"/>
        <v>4.7883494592138431</v>
      </c>
      <c r="R1606" s="9">
        <v>546.65024631300003</v>
      </c>
      <c r="S1606" s="9">
        <f t="shared" si="247"/>
        <v>558.60256410118996</v>
      </c>
      <c r="T1606" s="90">
        <f t="shared" si="242"/>
        <v>320</v>
      </c>
      <c r="U1606" s="90">
        <f t="shared" si="243"/>
        <v>675</v>
      </c>
      <c r="V1606" s="373">
        <f t="shared" si="244"/>
        <v>1597</v>
      </c>
      <c r="W1606" s="90">
        <f t="shared" si="245"/>
        <v>558.60256410118996</v>
      </c>
      <c r="X1606" s="90">
        <f t="shared" si="246"/>
        <v>7024808.7980984719</v>
      </c>
      <c r="Y1606" s="141">
        <f t="shared" si="248"/>
        <v>1597</v>
      </c>
      <c r="Z1606" s="298">
        <v>320</v>
      </c>
      <c r="AA1606" s="299">
        <v>675</v>
      </c>
      <c r="AB1606" s="299">
        <v>1597</v>
      </c>
      <c r="AC1606" s="301">
        <v>558.60256410118996</v>
      </c>
      <c r="AD1606" s="301">
        <v>7024808.7980984719</v>
      </c>
      <c r="AE1606" s="126"/>
      <c r="AF1606" s="298"/>
      <c r="AG1606" s="299"/>
      <c r="AH1606" s="299"/>
      <c r="AI1606" s="301"/>
      <c r="AJ1606" s="301"/>
      <c r="AK1606" s="426"/>
      <c r="AL1606" s="298"/>
      <c r="AM1606" s="299"/>
      <c r="AN1606" s="299"/>
      <c r="AO1606" s="301"/>
      <c r="AP1606" s="301"/>
      <c r="AQ1606" s="426"/>
      <c r="AR1606" s="298"/>
      <c r="AS1606" s="299"/>
      <c r="AT1606" s="299"/>
      <c r="AU1606" s="301"/>
      <c r="AV1606" s="301"/>
      <c r="AW1606" s="88"/>
      <c r="AX1606" s="298"/>
      <c r="AY1606" s="299"/>
      <c r="AZ1606" s="299"/>
      <c r="BA1606" s="301"/>
      <c r="BB1606" s="301"/>
      <c r="BC1606" s="426"/>
      <c r="BD1606" s="298"/>
      <c r="BE1606" s="299"/>
      <c r="BF1606" s="299"/>
      <c r="BG1606" s="301"/>
      <c r="BH1606" s="301"/>
      <c r="BI1606" s="88"/>
      <c r="BJ1606" s="298"/>
      <c r="BK1606" s="299"/>
      <c r="BL1606" s="299"/>
      <c r="BM1606" s="301"/>
      <c r="BN1606" s="301"/>
      <c r="BO1606" s="88"/>
      <c r="BP1606" s="9"/>
      <c r="BS1606" s="81"/>
      <c r="BT1606" s="81"/>
      <c r="BV1606" s="9"/>
      <c r="BY1606" s="81"/>
      <c r="BZ1606" s="81"/>
      <c r="CB1606" s="9"/>
      <c r="CE1606" s="81"/>
      <c r="CF1606" s="81"/>
      <c r="CH1606" s="9"/>
      <c r="CK1606" s="81"/>
      <c r="CL1606" s="81"/>
      <c r="CR1606" s="9"/>
      <c r="CS1606" s="9"/>
      <c r="CT1606" s="9"/>
      <c r="CU1606" s="9"/>
      <c r="CV1606" s="9"/>
      <c r="CW1606" s="129"/>
      <c r="CX1606" s="9"/>
    </row>
    <row r="1607" spans="1:102">
      <c r="A1607" s="6" t="str">
        <f t="shared" si="241"/>
        <v>03200817</v>
      </c>
      <c r="B1607" s="6" t="s">
        <v>1970</v>
      </c>
      <c r="C1607" s="6" t="s">
        <v>2067</v>
      </c>
      <c r="D1607" s="6">
        <v>1598</v>
      </c>
      <c r="E1607" s="6">
        <v>320</v>
      </c>
      <c r="F1607" s="6" t="s">
        <v>1438</v>
      </c>
      <c r="G1607" s="6">
        <v>817</v>
      </c>
      <c r="H1607" s="6" t="s">
        <v>1097</v>
      </c>
      <c r="I1607" s="33">
        <v>216917.83160528351</v>
      </c>
      <c r="J1607" s="88">
        <v>3.1238326452024411E-2</v>
      </c>
      <c r="K1607" s="89">
        <f t="shared" si="250"/>
        <v>322820.63784467045</v>
      </c>
      <c r="L1607" s="88">
        <f>IF(K1609&gt;0, K1607/K1609, 0)</f>
        <v>4.3935345495990319E-2</v>
      </c>
      <c r="M1607" s="58"/>
      <c r="N1607" s="9">
        <f>ROUND(M1609*L1607,0)</f>
        <v>256782</v>
      </c>
      <c r="O1607" s="9">
        <v>171947</v>
      </c>
      <c r="P1607" s="9">
        <f>N1607-O1607</f>
        <v>84835</v>
      </c>
      <c r="Q1607" s="40">
        <f t="shared" si="249"/>
        <v>49.337877369189343</v>
      </c>
      <c r="R1607" s="9">
        <v>11.000000003730001</v>
      </c>
      <c r="S1607" s="9">
        <f t="shared" si="247"/>
        <v>16.000000005419999</v>
      </c>
      <c r="T1607" s="90">
        <f t="shared" si="242"/>
        <v>320</v>
      </c>
      <c r="U1607" s="90">
        <f t="shared" si="243"/>
        <v>817</v>
      </c>
      <c r="V1607" s="373">
        <f t="shared" si="244"/>
        <v>1598</v>
      </c>
      <c r="W1607" s="90">
        <f t="shared" si="245"/>
        <v>16.000000005419999</v>
      </c>
      <c r="X1607" s="90">
        <f t="shared" si="246"/>
        <v>322820.63784467045</v>
      </c>
      <c r="Y1607" s="141">
        <f t="shared" si="248"/>
        <v>1598</v>
      </c>
      <c r="Z1607" s="298">
        <v>320</v>
      </c>
      <c r="AA1607" s="299">
        <v>817</v>
      </c>
      <c r="AB1607" s="299">
        <v>1598</v>
      </c>
      <c r="AC1607" s="301">
        <v>16.000000005419999</v>
      </c>
      <c r="AD1607" s="301">
        <v>322820.63784467045</v>
      </c>
      <c r="AE1607" s="126"/>
      <c r="AF1607" s="298"/>
      <c r="AG1607" s="299"/>
      <c r="AH1607" s="299"/>
      <c r="AI1607" s="301"/>
      <c r="AJ1607" s="301"/>
      <c r="AK1607" s="426"/>
      <c r="AL1607" s="298"/>
      <c r="AM1607" s="299"/>
      <c r="AN1607" s="299"/>
      <c r="AO1607" s="301"/>
      <c r="AP1607" s="301"/>
      <c r="AQ1607" s="426"/>
      <c r="AR1607" s="298"/>
      <c r="AS1607" s="299"/>
      <c r="AT1607" s="299"/>
      <c r="AU1607" s="301"/>
      <c r="AV1607" s="301"/>
      <c r="AW1607" s="88"/>
      <c r="AX1607" s="298"/>
      <c r="AY1607" s="299"/>
      <c r="AZ1607" s="299"/>
      <c r="BA1607" s="301"/>
      <c r="BB1607" s="301"/>
      <c r="BC1607" s="426"/>
      <c r="BD1607" s="298"/>
      <c r="BE1607" s="299"/>
      <c r="BF1607" s="299"/>
      <c r="BG1607" s="301"/>
      <c r="BH1607" s="301"/>
      <c r="BI1607" s="88"/>
      <c r="BJ1607" s="298"/>
      <c r="BK1607" s="299"/>
      <c r="BL1607" s="299"/>
      <c r="BM1607" s="301"/>
      <c r="BN1607" s="301"/>
      <c r="BO1607" s="88"/>
      <c r="BP1607" s="9"/>
      <c r="BS1607" s="81"/>
      <c r="BT1607" s="81"/>
      <c r="BV1607" s="9"/>
      <c r="BY1607" s="81"/>
      <c r="BZ1607" s="81"/>
      <c r="CB1607" s="9"/>
      <c r="CE1607" s="81"/>
      <c r="CF1607" s="81"/>
      <c r="CH1607" s="9"/>
      <c r="CK1607" s="81"/>
      <c r="CL1607" s="81"/>
      <c r="CR1607" s="9"/>
      <c r="CS1607" s="9"/>
      <c r="CT1607" s="9"/>
      <c r="CU1607" s="9"/>
      <c r="CV1607" s="9"/>
      <c r="CW1607" s="129"/>
      <c r="CX1607" s="9"/>
    </row>
    <row r="1608" spans="1:102">
      <c r="A1608" s="6" t="str">
        <f t="shared" si="241"/>
        <v>03200998</v>
      </c>
      <c r="B1608" s="6" t="s">
        <v>1970</v>
      </c>
      <c r="C1608" s="6" t="s">
        <v>2091</v>
      </c>
      <c r="D1608" s="6">
        <v>1599</v>
      </c>
      <c r="E1608" s="6">
        <v>320</v>
      </c>
      <c r="F1608" s="6" t="s">
        <v>1547</v>
      </c>
      <c r="G1608" s="6">
        <v>998</v>
      </c>
      <c r="I1608" s="33">
        <v>0</v>
      </c>
      <c r="J1608" s="88">
        <v>0</v>
      </c>
      <c r="K1608" s="89">
        <f t="shared" si="250"/>
        <v>0</v>
      </c>
      <c r="L1608" s="88">
        <f>IF(K1609&gt;0, K1608/K1609, 0)</f>
        <v>0</v>
      </c>
      <c r="M1608" s="58"/>
      <c r="N1608" s="9">
        <f>ROUND(M1609*L1608,0)</f>
        <v>0</v>
      </c>
      <c r="O1608" s="9">
        <v>0</v>
      </c>
      <c r="P1608" s="9">
        <f>N1608-O1608</f>
        <v>0</v>
      </c>
      <c r="Q1608" s="40">
        <f t="shared" si="249"/>
        <v>0</v>
      </c>
      <c r="R1608" s="9">
        <v>0</v>
      </c>
      <c r="S1608" s="9">
        <f t="shared" si="247"/>
        <v>0</v>
      </c>
      <c r="T1608" s="90">
        <f t="shared" si="242"/>
        <v>320</v>
      </c>
      <c r="U1608" s="90">
        <f t="shared" si="243"/>
        <v>998</v>
      </c>
      <c r="V1608" s="373">
        <f t="shared" si="244"/>
        <v>1599</v>
      </c>
      <c r="W1608" s="90">
        <f t="shared" si="245"/>
        <v>0</v>
      </c>
      <c r="X1608" s="90">
        <f t="shared" si="246"/>
        <v>0</v>
      </c>
      <c r="Y1608" s="141">
        <f t="shared" si="248"/>
        <v>1599</v>
      </c>
      <c r="Z1608" s="298">
        <v>320</v>
      </c>
      <c r="AA1608" s="299">
        <v>998</v>
      </c>
      <c r="AB1608" s="299">
        <v>1599</v>
      </c>
      <c r="AC1608" s="301">
        <v>0</v>
      </c>
      <c r="AD1608" s="301">
        <v>0</v>
      </c>
      <c r="AE1608" s="126"/>
      <c r="AF1608" s="298"/>
      <c r="AG1608" s="299"/>
      <c r="AH1608" s="299"/>
      <c r="AI1608" s="301"/>
      <c r="AJ1608" s="301"/>
      <c r="AK1608" s="426"/>
      <c r="AL1608" s="298"/>
      <c r="AM1608" s="299"/>
      <c r="AN1608" s="299"/>
      <c r="AO1608" s="301"/>
      <c r="AP1608" s="301"/>
      <c r="AQ1608" s="426"/>
      <c r="AR1608" s="298"/>
      <c r="AS1608" s="299"/>
      <c r="AT1608" s="299"/>
      <c r="AU1608" s="301"/>
      <c r="AV1608" s="301"/>
      <c r="AW1608" s="88"/>
      <c r="AX1608" s="298"/>
      <c r="AY1608" s="299"/>
      <c r="AZ1608" s="299"/>
      <c r="BA1608" s="301"/>
      <c r="BB1608" s="301"/>
      <c r="BC1608" s="426"/>
      <c r="BD1608" s="298"/>
      <c r="BE1608" s="299"/>
      <c r="BF1608" s="299"/>
      <c r="BG1608" s="301"/>
      <c r="BH1608" s="301"/>
      <c r="BI1608" s="88"/>
      <c r="BJ1608" s="298"/>
      <c r="BK1608" s="299"/>
      <c r="BL1608" s="299"/>
      <c r="BM1608" s="301"/>
      <c r="BN1608" s="301"/>
      <c r="BO1608" s="88"/>
      <c r="BP1608" s="9"/>
      <c r="BS1608" s="81"/>
      <c r="BT1608" s="81"/>
      <c r="BV1608" s="9"/>
      <c r="BY1608" s="81"/>
      <c r="BZ1608" s="81"/>
      <c r="CB1608" s="9"/>
      <c r="CE1608" s="81"/>
      <c r="CF1608" s="81"/>
      <c r="CH1608" s="9"/>
      <c r="CK1608" s="81"/>
      <c r="CL1608" s="81"/>
      <c r="CR1608" s="9"/>
      <c r="CS1608" s="9"/>
      <c r="CT1608" s="9"/>
      <c r="CU1608" s="9"/>
      <c r="CV1608" s="9"/>
      <c r="CW1608" s="129"/>
      <c r="CX1608" s="9"/>
    </row>
    <row r="1609" spans="1:102">
      <c r="A1609" s="6" t="str">
        <f t="shared" si="241"/>
        <v>03200999</v>
      </c>
      <c r="B1609" s="6" t="s">
        <v>1970</v>
      </c>
      <c r="C1609" s="6" t="s">
        <v>2092</v>
      </c>
      <c r="D1609" s="6">
        <v>1600</v>
      </c>
      <c r="E1609" s="10">
        <v>320</v>
      </c>
      <c r="F1609" s="10" t="s">
        <v>1438</v>
      </c>
      <c r="G1609" s="10">
        <v>999</v>
      </c>
      <c r="H1609" s="10" t="s">
        <v>593</v>
      </c>
      <c r="I1609" s="92">
        <v>6943964.5538766077</v>
      </c>
      <c r="J1609" s="472">
        <v>1</v>
      </c>
      <c r="K1609" s="53">
        <f>SUM(K1605:K1608)</f>
        <v>7347629.4359431425</v>
      </c>
      <c r="L1609" s="91">
        <f>SUM(L1605:L1608)</f>
        <v>1</v>
      </c>
      <c r="M1609" s="79">
        <f>VLOOKUP(E1609,town351,24)</f>
        <v>5844539</v>
      </c>
      <c r="N1609" s="79">
        <f>SUM(N1605:N1608)</f>
        <v>5844539</v>
      </c>
      <c r="O1609" s="79">
        <v>5504369</v>
      </c>
      <c r="P1609" s="79">
        <f>SUM(P1605:P1608)</f>
        <v>340170</v>
      </c>
      <c r="Q1609" s="39">
        <f t="shared" si="249"/>
        <v>6.1799999236969763</v>
      </c>
      <c r="R1609" s="9">
        <v>557.65024631672998</v>
      </c>
      <c r="S1609" s="9">
        <f t="shared" si="247"/>
        <v>574.60256410660998</v>
      </c>
      <c r="T1609" s="90">
        <f t="shared" si="242"/>
        <v>320</v>
      </c>
      <c r="U1609" s="90">
        <f t="shared" si="243"/>
        <v>999</v>
      </c>
      <c r="V1609" s="373">
        <f t="shared" si="244"/>
        <v>1600</v>
      </c>
      <c r="W1609" s="90">
        <f t="shared" si="245"/>
        <v>574.60256410660998</v>
      </c>
      <c r="X1609" s="90">
        <f t="shared" si="246"/>
        <v>7347629.4359431425</v>
      </c>
      <c r="Y1609" s="141">
        <f t="shared" si="248"/>
        <v>1600</v>
      </c>
      <c r="Z1609" s="298">
        <v>320</v>
      </c>
      <c r="AA1609" s="299">
        <v>999</v>
      </c>
      <c r="AB1609" s="299">
        <v>1600</v>
      </c>
      <c r="AC1609" s="301">
        <v>574.60256410660998</v>
      </c>
      <c r="AD1609" s="301">
        <v>7347629.4359431425</v>
      </c>
      <c r="AE1609" s="126"/>
      <c r="AF1609" s="298"/>
      <c r="AG1609" s="299"/>
      <c r="AH1609" s="299"/>
      <c r="AI1609" s="301"/>
      <c r="AJ1609" s="301"/>
      <c r="AK1609" s="426"/>
      <c r="AL1609" s="298"/>
      <c r="AM1609" s="299"/>
      <c r="AN1609" s="299"/>
      <c r="AO1609" s="301"/>
      <c r="AP1609" s="301"/>
      <c r="AQ1609" s="426"/>
      <c r="AR1609" s="298"/>
      <c r="AS1609" s="299"/>
      <c r="AT1609" s="299"/>
      <c r="AU1609" s="301"/>
      <c r="AV1609" s="301"/>
      <c r="AW1609" s="91"/>
      <c r="AX1609" s="298"/>
      <c r="AY1609" s="299"/>
      <c r="AZ1609" s="299"/>
      <c r="BA1609" s="301"/>
      <c r="BB1609" s="301"/>
      <c r="BC1609" s="426"/>
      <c r="BD1609" s="298"/>
      <c r="BE1609" s="299"/>
      <c r="BF1609" s="299"/>
      <c r="BG1609" s="301"/>
      <c r="BH1609" s="301"/>
      <c r="BI1609" s="91"/>
      <c r="BJ1609" s="298"/>
      <c r="BK1609" s="299"/>
      <c r="BL1609" s="299"/>
      <c r="BM1609" s="301"/>
      <c r="BN1609" s="301"/>
      <c r="BO1609" s="91"/>
      <c r="BP1609" s="9"/>
      <c r="BS1609" s="81"/>
      <c r="BT1609" s="81"/>
      <c r="BV1609" s="9"/>
      <c r="BY1609" s="81"/>
      <c r="BZ1609" s="81"/>
      <c r="CB1609" s="9"/>
      <c r="CE1609" s="81"/>
      <c r="CF1609" s="81"/>
      <c r="CH1609" s="9"/>
      <c r="CK1609" s="81"/>
      <c r="CL1609" s="81"/>
      <c r="CR1609" s="9"/>
      <c r="CS1609" s="9"/>
      <c r="CT1609" s="9"/>
      <c r="CU1609" s="9"/>
      <c r="CV1609" s="9"/>
      <c r="CW1609" s="129"/>
      <c r="CX1609" s="9"/>
    </row>
    <row r="1610" spans="1:102">
      <c r="A1610" s="6" t="str">
        <f t="shared" ref="A1610:A1673" si="251">B1610&amp;C1610</f>
        <v>03210321</v>
      </c>
      <c r="B1610" s="6" t="s">
        <v>1971</v>
      </c>
      <c r="C1610" s="6" t="s">
        <v>1971</v>
      </c>
      <c r="D1610" s="6">
        <v>1601</v>
      </c>
      <c r="E1610" s="6">
        <v>321</v>
      </c>
      <c r="F1610" s="6" t="s">
        <v>1439</v>
      </c>
      <c r="G1610" s="6">
        <v>321</v>
      </c>
      <c r="H1610" s="6" t="s">
        <v>1002</v>
      </c>
      <c r="I1610" s="33">
        <v>47373904.239999995</v>
      </c>
      <c r="J1610" s="88">
        <v>0.97368833121466969</v>
      </c>
      <c r="K1610" s="89">
        <f>X1610</f>
        <v>49809693.649999991</v>
      </c>
      <c r="L1610" s="88">
        <f>IF(K1614&gt;0, K1610/K1614, 0)</f>
        <v>0.97011479405118362</v>
      </c>
      <c r="M1610" s="58"/>
      <c r="N1610" s="9">
        <f>ROUND(M1614*L1610,0)</f>
        <v>38095421</v>
      </c>
      <c r="O1610" s="9">
        <v>35784512</v>
      </c>
      <c r="P1610" s="9">
        <f>N1610-O1610</f>
        <v>2310909</v>
      </c>
      <c r="Q1610" s="40">
        <f t="shared" si="249"/>
        <v>6.457846903151844</v>
      </c>
      <c r="R1610" s="9">
        <v>3764</v>
      </c>
      <c r="S1610" s="9">
        <f t="shared" si="247"/>
        <v>3819</v>
      </c>
      <c r="T1610" s="90">
        <f t="shared" ref="T1610:T1673" si="252">VLOOKUP($D1610, foundoptions, VLOOKUP($T$6, foundoptcell, 2, FALSE), FALSE)</f>
        <v>321</v>
      </c>
      <c r="U1610" s="90">
        <f t="shared" ref="U1610:U1673" si="253">VLOOKUP($D1610, foundoptions, VLOOKUP($T$6, foundoptcell, 2, FALSE)+1, FALSE)</f>
        <v>321</v>
      </c>
      <c r="V1610" s="373">
        <f t="shared" ref="V1610:V1673" si="254">VLOOKUP($D1610, foundoptions, VLOOKUP($T$6, foundoptcell, 2, FALSE)+2, FALSE)</f>
        <v>1601</v>
      </c>
      <c r="W1610" s="90">
        <f t="shared" ref="W1610:W1673" si="255">VLOOKUP($D1610, foundoptions, VLOOKUP($T$6, foundoptcell, 2, FALSE)+3, FALSE)</f>
        <v>3819</v>
      </c>
      <c r="X1610" s="90">
        <f t="shared" ref="X1610:X1673" si="256">VLOOKUP($D1610, foundoptions, VLOOKUP($T$6, foundoptcell, 2, FALSE)+4, FALSE)</f>
        <v>49809693.649999991</v>
      </c>
      <c r="Y1610" s="141">
        <f t="shared" si="248"/>
        <v>1601</v>
      </c>
      <c r="Z1610" s="298">
        <v>321</v>
      </c>
      <c r="AA1610" s="299">
        <v>321</v>
      </c>
      <c r="AB1610" s="299">
        <v>1601</v>
      </c>
      <c r="AC1610" s="301">
        <v>3819</v>
      </c>
      <c r="AD1610" s="301">
        <v>49809693.649999991</v>
      </c>
      <c r="AE1610" s="126"/>
      <c r="AF1610" s="298"/>
      <c r="AG1610" s="299"/>
      <c r="AH1610" s="299"/>
      <c r="AI1610" s="301"/>
      <c r="AJ1610" s="301"/>
      <c r="AK1610" s="426"/>
      <c r="AL1610" s="298"/>
      <c r="AM1610" s="299"/>
      <c r="AN1610" s="299"/>
      <c r="AO1610" s="301"/>
      <c r="AP1610" s="301"/>
      <c r="AQ1610" s="426"/>
      <c r="AR1610" s="298"/>
      <c r="AS1610" s="299"/>
      <c r="AT1610" s="299"/>
      <c r="AU1610" s="301"/>
      <c r="AV1610" s="301"/>
      <c r="AW1610" s="88"/>
      <c r="AX1610" s="298"/>
      <c r="AY1610" s="299"/>
      <c r="AZ1610" s="299"/>
      <c r="BA1610" s="301"/>
      <c r="BB1610" s="301"/>
      <c r="BC1610" s="426"/>
      <c r="BD1610" s="298"/>
      <c r="BE1610" s="299"/>
      <c r="BF1610" s="299"/>
      <c r="BG1610" s="301"/>
      <c r="BH1610" s="301"/>
      <c r="BI1610" s="88"/>
      <c r="BJ1610" s="298"/>
      <c r="BK1610" s="299"/>
      <c r="BL1610" s="299"/>
      <c r="BM1610" s="301"/>
      <c r="BN1610" s="301"/>
      <c r="BO1610" s="88"/>
      <c r="BP1610" s="9"/>
      <c r="BS1610" s="81"/>
      <c r="BT1610" s="81"/>
      <c r="BV1610" s="9"/>
      <c r="BY1610" s="81"/>
      <c r="BZ1610" s="81"/>
      <c r="CB1610" s="9"/>
      <c r="CE1610" s="81"/>
      <c r="CF1610" s="81"/>
      <c r="CH1610" s="9"/>
      <c r="CK1610" s="81"/>
      <c r="CL1610" s="81"/>
      <c r="CR1610" s="9"/>
      <c r="CS1610" s="9"/>
      <c r="CT1610" s="9"/>
      <c r="CU1610" s="9"/>
      <c r="CV1610" s="9"/>
      <c r="CW1610" s="129"/>
      <c r="CX1610" s="9"/>
    </row>
    <row r="1611" spans="1:102">
      <c r="A1611" s="6" t="str">
        <f t="shared" si="251"/>
        <v>03210801</v>
      </c>
      <c r="B1611" s="6" t="s">
        <v>1971</v>
      </c>
      <c r="C1611" s="6" t="s">
        <v>2062</v>
      </c>
      <c r="D1611" s="6">
        <v>1602</v>
      </c>
      <c r="E1611" s="6">
        <v>321</v>
      </c>
      <c r="F1611" s="6" t="s">
        <v>1439</v>
      </c>
      <c r="G1611" s="6">
        <v>801</v>
      </c>
      <c r="H1611" s="6" t="s">
        <v>1092</v>
      </c>
      <c r="I1611" s="33">
        <v>1280169.8833915864</v>
      </c>
      <c r="J1611" s="88">
        <v>2.6311668785330245E-2</v>
      </c>
      <c r="K1611" s="89">
        <f t="shared" si="250"/>
        <v>1534429.7005939318</v>
      </c>
      <c r="L1611" s="88">
        <f>IF(K1614&gt;0, K1611/K1614, 0)</f>
        <v>2.9885205948816385E-2</v>
      </c>
      <c r="M1611" s="58"/>
      <c r="N1611" s="9">
        <f>ROUND(M1614*L1611,0)</f>
        <v>1173562</v>
      </c>
      <c r="O1611" s="9">
        <v>966993</v>
      </c>
      <c r="P1611" s="9">
        <f>N1611-O1611</f>
        <v>206569</v>
      </c>
      <c r="Q1611" s="40">
        <f t="shared" si="249"/>
        <v>21.361995381559122</v>
      </c>
      <c r="R1611" s="9">
        <v>58.000000000509999</v>
      </c>
      <c r="S1611" s="9">
        <f t="shared" ref="S1611:S1674" si="257">W1611</f>
        <v>67.000000004380013</v>
      </c>
      <c r="T1611" s="90">
        <f t="shared" si="252"/>
        <v>321</v>
      </c>
      <c r="U1611" s="90">
        <f t="shared" si="253"/>
        <v>801</v>
      </c>
      <c r="V1611" s="373">
        <f t="shared" si="254"/>
        <v>1602</v>
      </c>
      <c r="W1611" s="90">
        <f t="shared" si="255"/>
        <v>67.000000004380013</v>
      </c>
      <c r="X1611" s="90">
        <f t="shared" si="256"/>
        <v>1534429.7005939318</v>
      </c>
      <c r="Y1611" s="141">
        <f t="shared" ref="Y1611:Y1674" si="258">D1611</f>
        <v>1602</v>
      </c>
      <c r="Z1611" s="298">
        <v>321</v>
      </c>
      <c r="AA1611" s="299">
        <v>801</v>
      </c>
      <c r="AB1611" s="299">
        <v>1602</v>
      </c>
      <c r="AC1611" s="301">
        <v>67.000000004380013</v>
      </c>
      <c r="AD1611" s="301">
        <v>1534429.7005939318</v>
      </c>
      <c r="AE1611" s="126"/>
      <c r="AF1611" s="298"/>
      <c r="AG1611" s="299"/>
      <c r="AH1611" s="299"/>
      <c r="AI1611" s="301"/>
      <c r="AJ1611" s="301"/>
      <c r="AK1611" s="426"/>
      <c r="AL1611" s="298"/>
      <c r="AM1611" s="299"/>
      <c r="AN1611" s="299"/>
      <c r="AO1611" s="301"/>
      <c r="AP1611" s="301"/>
      <c r="AQ1611" s="426"/>
      <c r="AR1611" s="298"/>
      <c r="AS1611" s="299"/>
      <c r="AT1611" s="299"/>
      <c r="AU1611" s="301"/>
      <c r="AV1611" s="301"/>
      <c r="AW1611" s="88"/>
      <c r="AX1611" s="298"/>
      <c r="AY1611" s="299"/>
      <c r="AZ1611" s="299"/>
      <c r="BA1611" s="301"/>
      <c r="BB1611" s="301"/>
      <c r="BC1611" s="426"/>
      <c r="BD1611" s="298"/>
      <c r="BE1611" s="299"/>
      <c r="BF1611" s="299"/>
      <c r="BG1611" s="301"/>
      <c r="BH1611" s="301"/>
      <c r="BI1611" s="88"/>
      <c r="BJ1611" s="298"/>
      <c r="BK1611" s="299"/>
      <c r="BL1611" s="299"/>
      <c r="BM1611" s="301"/>
      <c r="BN1611" s="301"/>
      <c r="BO1611" s="88"/>
      <c r="BP1611" s="9"/>
      <c r="BS1611" s="81"/>
      <c r="BT1611" s="81"/>
      <c r="BV1611" s="9"/>
      <c r="BY1611" s="81"/>
      <c r="BZ1611" s="81"/>
      <c r="CB1611" s="9"/>
      <c r="CE1611" s="81"/>
      <c r="CF1611" s="81"/>
      <c r="CH1611" s="9"/>
      <c r="CK1611" s="81"/>
      <c r="CL1611" s="81"/>
      <c r="CR1611" s="9"/>
      <c r="CS1611" s="9"/>
      <c r="CT1611" s="9"/>
      <c r="CU1611" s="9"/>
      <c r="CV1611" s="9"/>
      <c r="CW1611" s="129"/>
      <c r="CX1611" s="9"/>
    </row>
    <row r="1612" spans="1:102">
      <c r="A1612" s="6" t="str">
        <f t="shared" si="251"/>
        <v>03210998</v>
      </c>
      <c r="B1612" s="6" t="s">
        <v>1971</v>
      </c>
      <c r="C1612" s="6" t="s">
        <v>2091</v>
      </c>
      <c r="D1612" s="6">
        <v>1603</v>
      </c>
      <c r="E1612" s="6">
        <v>321</v>
      </c>
      <c r="F1612" s="6" t="s">
        <v>1547</v>
      </c>
      <c r="G1612" s="6">
        <v>998</v>
      </c>
      <c r="H1612" s="6" t="s">
        <v>1547</v>
      </c>
      <c r="I1612" s="33">
        <v>0</v>
      </c>
      <c r="J1612" s="88">
        <v>0</v>
      </c>
      <c r="K1612" s="89">
        <f t="shared" si="250"/>
        <v>0</v>
      </c>
      <c r="L1612" s="88">
        <f>IF(K1614&gt;0, K1612/K1614, 0)</f>
        <v>0</v>
      </c>
      <c r="M1612" s="58"/>
      <c r="N1612" s="9">
        <f>ROUND(M1614*L1612,0)</f>
        <v>0</v>
      </c>
      <c r="O1612" s="9">
        <v>0</v>
      </c>
      <c r="P1612" s="9">
        <f>N1612-O1612</f>
        <v>0</v>
      </c>
      <c r="Q1612" s="40">
        <f t="shared" si="249"/>
        <v>0</v>
      </c>
      <c r="R1612" s="9">
        <v>0</v>
      </c>
      <c r="S1612" s="9">
        <f t="shared" si="257"/>
        <v>0</v>
      </c>
      <c r="T1612" s="90">
        <f t="shared" si="252"/>
        <v>321</v>
      </c>
      <c r="U1612" s="90">
        <f t="shared" si="253"/>
        <v>998</v>
      </c>
      <c r="V1612" s="373">
        <f t="shared" si="254"/>
        <v>1603</v>
      </c>
      <c r="W1612" s="90">
        <f t="shared" si="255"/>
        <v>0</v>
      </c>
      <c r="X1612" s="90">
        <f t="shared" si="256"/>
        <v>0</v>
      </c>
      <c r="Y1612" s="141">
        <f t="shared" si="258"/>
        <v>1603</v>
      </c>
      <c r="Z1612" s="298">
        <v>321</v>
      </c>
      <c r="AA1612" s="299">
        <v>998</v>
      </c>
      <c r="AB1612" s="299">
        <v>1603</v>
      </c>
      <c r="AC1612" s="301">
        <v>0</v>
      </c>
      <c r="AD1612" s="301">
        <v>0</v>
      </c>
      <c r="AE1612" s="126"/>
      <c r="AF1612" s="298"/>
      <c r="AG1612" s="299"/>
      <c r="AH1612" s="299"/>
      <c r="AI1612" s="301"/>
      <c r="AJ1612" s="301"/>
      <c r="AK1612" s="426"/>
      <c r="AL1612" s="298"/>
      <c r="AM1612" s="299"/>
      <c r="AN1612" s="299"/>
      <c r="AO1612" s="301"/>
      <c r="AP1612" s="301"/>
      <c r="AQ1612" s="426"/>
      <c r="AR1612" s="298"/>
      <c r="AS1612" s="299"/>
      <c r="AT1612" s="299"/>
      <c r="AU1612" s="301"/>
      <c r="AV1612" s="301"/>
      <c r="AW1612" s="88"/>
      <c r="AX1612" s="298"/>
      <c r="AY1612" s="299"/>
      <c r="AZ1612" s="299"/>
      <c r="BA1612" s="301"/>
      <c r="BB1612" s="301"/>
      <c r="BC1612" s="426"/>
      <c r="BD1612" s="298"/>
      <c r="BE1612" s="299"/>
      <c r="BF1612" s="299"/>
      <c r="BG1612" s="301"/>
      <c r="BH1612" s="301"/>
      <c r="BI1612" s="88"/>
      <c r="BJ1612" s="298"/>
      <c r="BK1612" s="299"/>
      <c r="BL1612" s="299"/>
      <c r="BM1612" s="301"/>
      <c r="BN1612" s="301"/>
      <c r="BO1612" s="88"/>
      <c r="BP1612" s="9"/>
      <c r="BS1612" s="81"/>
      <c r="BT1612" s="81"/>
      <c r="BV1612" s="9"/>
      <c r="BY1612" s="81"/>
      <c r="BZ1612" s="81"/>
      <c r="CB1612" s="9"/>
      <c r="CE1612" s="81"/>
      <c r="CF1612" s="81"/>
      <c r="CH1612" s="9"/>
      <c r="CK1612" s="81"/>
      <c r="CL1612" s="81"/>
      <c r="CR1612" s="9"/>
      <c r="CS1612" s="9"/>
      <c r="CT1612" s="9"/>
      <c r="CU1612" s="9"/>
      <c r="CV1612" s="9"/>
      <c r="CW1612" s="129"/>
      <c r="CX1612" s="9"/>
    </row>
    <row r="1613" spans="1:102">
      <c r="A1613" s="6" t="str">
        <f t="shared" si="251"/>
        <v>03210998</v>
      </c>
      <c r="B1613" s="6" t="s">
        <v>1971</v>
      </c>
      <c r="C1613" s="6" t="s">
        <v>2091</v>
      </c>
      <c r="D1613" s="6">
        <v>1604</v>
      </c>
      <c r="E1613" s="6">
        <v>321</v>
      </c>
      <c r="F1613" s="6" t="s">
        <v>1547</v>
      </c>
      <c r="G1613" s="6">
        <v>998</v>
      </c>
      <c r="H1613" s="6" t="s">
        <v>1547</v>
      </c>
      <c r="I1613" s="33">
        <v>0</v>
      </c>
      <c r="J1613" s="88">
        <v>0</v>
      </c>
      <c r="K1613" s="89">
        <f t="shared" si="250"/>
        <v>0</v>
      </c>
      <c r="L1613" s="88">
        <f>IF(K1614&gt;0, K1613/K1614, 0)</f>
        <v>0</v>
      </c>
      <c r="M1613" s="58"/>
      <c r="N1613" s="9">
        <f>ROUND(M1614*L1613,0)</f>
        <v>0</v>
      </c>
      <c r="O1613" s="9">
        <v>0</v>
      </c>
      <c r="P1613" s="9">
        <f>N1613-O1613</f>
        <v>0</v>
      </c>
      <c r="Q1613" s="40">
        <f t="shared" si="249"/>
        <v>0</v>
      </c>
      <c r="R1613" s="9">
        <v>0</v>
      </c>
      <c r="S1613" s="9">
        <f t="shared" si="257"/>
        <v>0</v>
      </c>
      <c r="T1613" s="90">
        <f t="shared" si="252"/>
        <v>321</v>
      </c>
      <c r="U1613" s="90">
        <f t="shared" si="253"/>
        <v>998</v>
      </c>
      <c r="V1613" s="373">
        <f t="shared" si="254"/>
        <v>1604</v>
      </c>
      <c r="W1613" s="90">
        <f t="shared" si="255"/>
        <v>0</v>
      </c>
      <c r="X1613" s="90">
        <f t="shared" si="256"/>
        <v>0</v>
      </c>
      <c r="Y1613" s="141">
        <f t="shared" si="258"/>
        <v>1604</v>
      </c>
      <c r="Z1613" s="298">
        <v>321</v>
      </c>
      <c r="AA1613" s="299">
        <v>998</v>
      </c>
      <c r="AB1613" s="299">
        <v>1604</v>
      </c>
      <c r="AC1613" s="301">
        <v>0</v>
      </c>
      <c r="AD1613" s="301">
        <v>0</v>
      </c>
      <c r="AE1613" s="126"/>
      <c r="AF1613" s="298"/>
      <c r="AG1613" s="299"/>
      <c r="AH1613" s="299"/>
      <c r="AI1613" s="301"/>
      <c r="AJ1613" s="301"/>
      <c r="AK1613" s="426"/>
      <c r="AL1613" s="298"/>
      <c r="AM1613" s="299"/>
      <c r="AN1613" s="299"/>
      <c r="AO1613" s="301"/>
      <c r="AP1613" s="301"/>
      <c r="AQ1613" s="426"/>
      <c r="AR1613" s="298"/>
      <c r="AS1613" s="299"/>
      <c r="AT1613" s="299"/>
      <c r="AU1613" s="301"/>
      <c r="AV1613" s="301"/>
      <c r="AW1613" s="88"/>
      <c r="AX1613" s="298"/>
      <c r="AY1613" s="299"/>
      <c r="AZ1613" s="299"/>
      <c r="BA1613" s="301"/>
      <c r="BB1613" s="301"/>
      <c r="BC1613" s="426"/>
      <c r="BD1613" s="298"/>
      <c r="BE1613" s="299"/>
      <c r="BF1613" s="299"/>
      <c r="BG1613" s="301"/>
      <c r="BH1613" s="301"/>
      <c r="BI1613" s="88"/>
      <c r="BJ1613" s="298"/>
      <c r="BK1613" s="299"/>
      <c r="BL1613" s="299"/>
      <c r="BM1613" s="301"/>
      <c r="BN1613" s="301"/>
      <c r="BO1613" s="88"/>
      <c r="BP1613" s="9"/>
      <c r="BS1613" s="81"/>
      <c r="BT1613" s="81"/>
      <c r="BV1613" s="9"/>
      <c r="BY1613" s="81"/>
      <c r="BZ1613" s="81"/>
      <c r="CB1613" s="9"/>
      <c r="CE1613" s="81"/>
      <c r="CF1613" s="81"/>
      <c r="CH1613" s="9"/>
      <c r="CK1613" s="81"/>
      <c r="CL1613" s="81"/>
      <c r="CR1613" s="9"/>
      <c r="CS1613" s="9"/>
      <c r="CT1613" s="9"/>
      <c r="CU1613" s="9"/>
      <c r="CV1613" s="9"/>
      <c r="CW1613" s="129"/>
      <c r="CX1613" s="9"/>
    </row>
    <row r="1614" spans="1:102">
      <c r="A1614" s="6" t="str">
        <f t="shared" si="251"/>
        <v>03210999</v>
      </c>
      <c r="B1614" s="6" t="s">
        <v>1971</v>
      </c>
      <c r="C1614" s="6" t="s">
        <v>2092</v>
      </c>
      <c r="D1614" s="6">
        <v>1605</v>
      </c>
      <c r="E1614" s="10">
        <v>321</v>
      </c>
      <c r="F1614" s="10" t="s">
        <v>1439</v>
      </c>
      <c r="G1614" s="10">
        <v>999</v>
      </c>
      <c r="H1614" s="10" t="s">
        <v>593</v>
      </c>
      <c r="I1614" s="92">
        <v>48654074.123391584</v>
      </c>
      <c r="J1614" s="472">
        <v>0.99999999999999989</v>
      </c>
      <c r="K1614" s="53">
        <f>SUM(K1610:K1613)</f>
        <v>51344123.350593925</v>
      </c>
      <c r="L1614" s="91">
        <f>SUM(L1610:L1613)</f>
        <v>1</v>
      </c>
      <c r="M1614" s="79">
        <f>VLOOKUP(E1614,town351,24)</f>
        <v>39268983</v>
      </c>
      <c r="N1614" s="79">
        <f>SUM(N1610:N1613)</f>
        <v>39268983</v>
      </c>
      <c r="O1614" s="79">
        <v>36751505</v>
      </c>
      <c r="P1614" s="79">
        <f>SUM(P1610:P1613)</f>
        <v>2517478</v>
      </c>
      <c r="Q1614" s="39">
        <f t="shared" si="249"/>
        <v>6.8499997483096271</v>
      </c>
      <c r="R1614" s="9">
        <v>3822.0000000005102</v>
      </c>
      <c r="S1614" s="9">
        <f t="shared" si="257"/>
        <v>3886.0000000043801</v>
      </c>
      <c r="T1614" s="90">
        <f t="shared" si="252"/>
        <v>321</v>
      </c>
      <c r="U1614" s="90">
        <f t="shared" si="253"/>
        <v>999</v>
      </c>
      <c r="V1614" s="373">
        <f t="shared" si="254"/>
        <v>1605</v>
      </c>
      <c r="W1614" s="90">
        <f t="shared" si="255"/>
        <v>3886.0000000043801</v>
      </c>
      <c r="X1614" s="90">
        <f t="shared" si="256"/>
        <v>51344123.350593925</v>
      </c>
      <c r="Y1614" s="141">
        <f t="shared" si="258"/>
        <v>1605</v>
      </c>
      <c r="Z1614" s="298">
        <v>321</v>
      </c>
      <c r="AA1614" s="299">
        <v>999</v>
      </c>
      <c r="AB1614" s="299">
        <v>1605</v>
      </c>
      <c r="AC1614" s="301">
        <v>3886.0000000043801</v>
      </c>
      <c r="AD1614" s="301">
        <v>51344123.350593925</v>
      </c>
      <c r="AE1614" s="126"/>
      <c r="AF1614" s="298"/>
      <c r="AG1614" s="299"/>
      <c r="AH1614" s="299"/>
      <c r="AI1614" s="301"/>
      <c r="AJ1614" s="301"/>
      <c r="AK1614" s="426"/>
      <c r="AL1614" s="298"/>
      <c r="AM1614" s="299"/>
      <c r="AN1614" s="299"/>
      <c r="AO1614" s="301"/>
      <c r="AP1614" s="301"/>
      <c r="AQ1614" s="426"/>
      <c r="AR1614" s="298"/>
      <c r="AS1614" s="299"/>
      <c r="AT1614" s="299"/>
      <c r="AU1614" s="301"/>
      <c r="AV1614" s="301"/>
      <c r="AW1614" s="91"/>
      <c r="AX1614" s="298"/>
      <c r="AY1614" s="299"/>
      <c r="AZ1614" s="299"/>
      <c r="BA1614" s="301"/>
      <c r="BB1614" s="301"/>
      <c r="BC1614" s="426"/>
      <c r="BD1614" s="298"/>
      <c r="BE1614" s="299"/>
      <c r="BF1614" s="299"/>
      <c r="BG1614" s="301"/>
      <c r="BH1614" s="301"/>
      <c r="BI1614" s="91"/>
      <c r="BJ1614" s="298"/>
      <c r="BK1614" s="299"/>
      <c r="BL1614" s="299"/>
      <c r="BM1614" s="301"/>
      <c r="BN1614" s="301"/>
      <c r="BO1614" s="91"/>
      <c r="BP1614" s="9"/>
      <c r="BS1614" s="81"/>
      <c r="BT1614" s="81"/>
      <c r="BV1614" s="9"/>
      <c r="BY1614" s="81"/>
      <c r="BZ1614" s="81"/>
      <c r="CB1614" s="9"/>
      <c r="CE1614" s="81"/>
      <c r="CF1614" s="81"/>
      <c r="CH1614" s="9"/>
      <c r="CK1614" s="81"/>
      <c r="CL1614" s="81"/>
      <c r="CR1614" s="9"/>
      <c r="CS1614" s="9"/>
      <c r="CT1614" s="9"/>
      <c r="CU1614" s="9"/>
      <c r="CV1614" s="9"/>
      <c r="CW1614" s="129"/>
      <c r="CX1614" s="9"/>
    </row>
    <row r="1615" spans="1:102">
      <c r="A1615" s="6" t="str">
        <f t="shared" si="251"/>
        <v>03220322</v>
      </c>
      <c r="B1615" s="6" t="s">
        <v>1972</v>
      </c>
      <c r="C1615" s="6" t="s">
        <v>1972</v>
      </c>
      <c r="D1615" s="6">
        <v>1606</v>
      </c>
      <c r="E1615" s="6">
        <v>322</v>
      </c>
      <c r="F1615" s="6" t="s">
        <v>1440</v>
      </c>
      <c r="G1615" s="6">
        <v>322</v>
      </c>
      <c r="H1615" s="6" t="s">
        <v>1003</v>
      </c>
      <c r="I1615" s="33">
        <v>11278495.76</v>
      </c>
      <c r="J1615" s="88">
        <v>1</v>
      </c>
      <c r="K1615" s="89">
        <f>X1615</f>
        <v>11804797.720000001</v>
      </c>
      <c r="L1615" s="88">
        <f>IF(K1619&gt;0, K1615/K1619, 0)</f>
        <v>1</v>
      </c>
      <c r="M1615" s="58"/>
      <c r="N1615" s="9">
        <f>ROUND(M1619*L1615,0)</f>
        <v>8971206</v>
      </c>
      <c r="O1615" s="9">
        <v>8476196</v>
      </c>
      <c r="P1615" s="9">
        <f>N1615-O1615</f>
        <v>495010</v>
      </c>
      <c r="Q1615" s="40">
        <f t="shared" si="249"/>
        <v>5.8400018121336501</v>
      </c>
      <c r="R1615" s="9">
        <v>826</v>
      </c>
      <c r="S1615" s="9">
        <f t="shared" si="257"/>
        <v>830</v>
      </c>
      <c r="T1615" s="90">
        <f t="shared" si="252"/>
        <v>322</v>
      </c>
      <c r="U1615" s="90">
        <f t="shared" si="253"/>
        <v>322</v>
      </c>
      <c r="V1615" s="373">
        <f t="shared" si="254"/>
        <v>1606</v>
      </c>
      <c r="W1615" s="90">
        <f t="shared" si="255"/>
        <v>830</v>
      </c>
      <c r="X1615" s="90">
        <f t="shared" si="256"/>
        <v>11804797.720000001</v>
      </c>
      <c r="Y1615" s="141">
        <f t="shared" si="258"/>
        <v>1606</v>
      </c>
      <c r="Z1615" s="298">
        <v>322</v>
      </c>
      <c r="AA1615" s="299">
        <v>322</v>
      </c>
      <c r="AB1615" s="299">
        <v>1606</v>
      </c>
      <c r="AC1615" s="301">
        <v>830</v>
      </c>
      <c r="AD1615" s="301">
        <v>11804797.720000001</v>
      </c>
      <c r="AE1615" s="126"/>
      <c r="AF1615" s="298"/>
      <c r="AG1615" s="299"/>
      <c r="AH1615" s="299"/>
      <c r="AI1615" s="301"/>
      <c r="AJ1615" s="301"/>
      <c r="AK1615" s="426"/>
      <c r="AL1615" s="298"/>
      <c r="AM1615" s="299"/>
      <c r="AN1615" s="299"/>
      <c r="AO1615" s="301"/>
      <c r="AP1615" s="301"/>
      <c r="AQ1615" s="426"/>
      <c r="AR1615" s="298"/>
      <c r="AS1615" s="299"/>
      <c r="AT1615" s="299"/>
      <c r="AU1615" s="301"/>
      <c r="AV1615" s="301"/>
      <c r="AW1615" s="88"/>
      <c r="AX1615" s="298"/>
      <c r="AY1615" s="299"/>
      <c r="AZ1615" s="299"/>
      <c r="BA1615" s="301"/>
      <c r="BB1615" s="301"/>
      <c r="BC1615" s="426"/>
      <c r="BD1615" s="298"/>
      <c r="BE1615" s="299"/>
      <c r="BF1615" s="299"/>
      <c r="BG1615" s="301"/>
      <c r="BH1615" s="301"/>
      <c r="BI1615" s="88"/>
      <c r="BJ1615" s="298"/>
      <c r="BK1615" s="299"/>
      <c r="BL1615" s="299"/>
      <c r="BM1615" s="301"/>
      <c r="BN1615" s="301"/>
      <c r="BO1615" s="88"/>
      <c r="BP1615" s="9"/>
      <c r="BS1615" s="81"/>
      <c r="BT1615" s="81"/>
      <c r="BV1615" s="9"/>
      <c r="BY1615" s="81"/>
      <c r="BZ1615" s="81"/>
      <c r="CB1615" s="9"/>
      <c r="CE1615" s="81"/>
      <c r="CF1615" s="81"/>
      <c r="CH1615" s="9"/>
      <c r="CK1615" s="81"/>
      <c r="CL1615" s="81"/>
      <c r="CR1615" s="9"/>
      <c r="CS1615" s="9"/>
      <c r="CT1615" s="9"/>
      <c r="CU1615" s="9"/>
      <c r="CV1615" s="9"/>
      <c r="CW1615" s="129"/>
      <c r="CX1615" s="9"/>
    </row>
    <row r="1616" spans="1:102">
      <c r="A1616" s="6" t="str">
        <f t="shared" si="251"/>
        <v>03220998</v>
      </c>
      <c r="B1616" s="6" t="s">
        <v>1972</v>
      </c>
      <c r="C1616" s="6" t="s">
        <v>2091</v>
      </c>
      <c r="D1616" s="6">
        <v>1607</v>
      </c>
      <c r="E1616" s="6">
        <v>322</v>
      </c>
      <c r="F1616" s="6" t="s">
        <v>1547</v>
      </c>
      <c r="G1616" s="6">
        <v>998</v>
      </c>
      <c r="H1616" s="6" t="s">
        <v>1547</v>
      </c>
      <c r="I1616" s="33">
        <v>0</v>
      </c>
      <c r="J1616" s="88">
        <v>0</v>
      </c>
      <c r="K1616" s="89">
        <f t="shared" si="250"/>
        <v>0</v>
      </c>
      <c r="L1616" s="88">
        <f>IF(K1619&gt;0, K1616/K1619, 0)</f>
        <v>0</v>
      </c>
      <c r="M1616" s="58"/>
      <c r="N1616" s="9">
        <f>ROUND(M1619*L1616,0)</f>
        <v>0</v>
      </c>
      <c r="O1616" s="9">
        <v>0</v>
      </c>
      <c r="P1616" s="9">
        <f>N1616-O1616</f>
        <v>0</v>
      </c>
      <c r="Q1616" s="40">
        <f>IF(O1616&gt;0,P1616*100/O1616,IF(P1616&gt;0,100,0))</f>
        <v>0</v>
      </c>
      <c r="R1616" s="9">
        <v>0</v>
      </c>
      <c r="S1616" s="9">
        <f t="shared" si="257"/>
        <v>0</v>
      </c>
      <c r="T1616" s="90">
        <f t="shared" si="252"/>
        <v>322</v>
      </c>
      <c r="U1616" s="90">
        <f t="shared" si="253"/>
        <v>998</v>
      </c>
      <c r="V1616" s="373">
        <f t="shared" si="254"/>
        <v>1607</v>
      </c>
      <c r="W1616" s="90">
        <f t="shared" si="255"/>
        <v>0</v>
      </c>
      <c r="X1616" s="90">
        <f t="shared" si="256"/>
        <v>0</v>
      </c>
      <c r="Y1616" s="141">
        <f t="shared" si="258"/>
        <v>1607</v>
      </c>
      <c r="Z1616" s="298">
        <v>322</v>
      </c>
      <c r="AA1616" s="299">
        <v>998</v>
      </c>
      <c r="AB1616" s="299">
        <v>1607</v>
      </c>
      <c r="AC1616" s="301">
        <v>0</v>
      </c>
      <c r="AD1616" s="301">
        <v>0</v>
      </c>
      <c r="AE1616" s="126"/>
      <c r="AF1616" s="298"/>
      <c r="AG1616" s="299"/>
      <c r="AH1616" s="299"/>
      <c r="AI1616" s="301"/>
      <c r="AJ1616" s="301"/>
      <c r="AK1616" s="426"/>
      <c r="AL1616" s="298"/>
      <c r="AM1616" s="299"/>
      <c r="AN1616" s="299"/>
      <c r="AO1616" s="301"/>
      <c r="AP1616" s="301"/>
      <c r="AQ1616" s="426"/>
      <c r="AR1616" s="298"/>
      <c r="AS1616" s="299"/>
      <c r="AT1616" s="299"/>
      <c r="AU1616" s="301"/>
      <c r="AV1616" s="301"/>
      <c r="AW1616" s="88"/>
      <c r="AX1616" s="298"/>
      <c r="AY1616" s="299"/>
      <c r="AZ1616" s="299"/>
      <c r="BA1616" s="301"/>
      <c r="BB1616" s="301"/>
      <c r="BC1616" s="426"/>
      <c r="BD1616" s="298"/>
      <c r="BE1616" s="299"/>
      <c r="BF1616" s="299"/>
      <c r="BG1616" s="301"/>
      <c r="BH1616" s="301"/>
      <c r="BI1616" s="88"/>
      <c r="BJ1616" s="298"/>
      <c r="BK1616" s="299"/>
      <c r="BL1616" s="299"/>
      <c r="BM1616" s="301"/>
      <c r="BN1616" s="301"/>
      <c r="BO1616" s="88"/>
      <c r="BP1616" s="9"/>
      <c r="BS1616" s="81"/>
      <c r="BT1616" s="81"/>
      <c r="BV1616" s="9"/>
      <c r="BY1616" s="81"/>
      <c r="BZ1616" s="81"/>
      <c r="CB1616" s="9"/>
      <c r="CE1616" s="81"/>
      <c r="CF1616" s="81"/>
      <c r="CH1616" s="9"/>
      <c r="CK1616" s="81"/>
      <c r="CL1616" s="81"/>
      <c r="CR1616" s="9"/>
      <c r="CS1616" s="9"/>
      <c r="CT1616" s="9"/>
      <c r="CU1616" s="9"/>
      <c r="CV1616" s="9"/>
      <c r="CW1616" s="129"/>
      <c r="CX1616" s="9"/>
    </row>
    <row r="1617" spans="1:102">
      <c r="A1617" s="6" t="str">
        <f t="shared" si="251"/>
        <v>03220998</v>
      </c>
      <c r="B1617" s="6" t="s">
        <v>1972</v>
      </c>
      <c r="C1617" s="6" t="s">
        <v>2091</v>
      </c>
      <c r="D1617" s="6">
        <v>1608</v>
      </c>
      <c r="E1617" s="6">
        <v>322</v>
      </c>
      <c r="F1617" s="6" t="s">
        <v>1547</v>
      </c>
      <c r="G1617" s="6">
        <v>998</v>
      </c>
      <c r="H1617" s="6" t="s">
        <v>1547</v>
      </c>
      <c r="I1617" s="33">
        <v>0</v>
      </c>
      <c r="J1617" s="88">
        <v>0</v>
      </c>
      <c r="K1617" s="89">
        <f t="shared" si="250"/>
        <v>0</v>
      </c>
      <c r="L1617" s="88">
        <f>IF(K1619&gt;0, K1617/K1619, 0)</f>
        <v>0</v>
      </c>
      <c r="M1617" s="58"/>
      <c r="N1617" s="9">
        <f>ROUND(M1619*L1617,0)</f>
        <v>0</v>
      </c>
      <c r="O1617" s="9">
        <v>0</v>
      </c>
      <c r="P1617" s="9">
        <f>N1617-O1617</f>
        <v>0</v>
      </c>
      <c r="Q1617" s="40">
        <f>IF(O1617&gt;0,P1617*100/O1617,IF(P1617&gt;0,100,0))</f>
        <v>0</v>
      </c>
      <c r="R1617" s="9">
        <v>0</v>
      </c>
      <c r="S1617" s="9">
        <f t="shared" si="257"/>
        <v>0</v>
      </c>
      <c r="T1617" s="90">
        <f t="shared" si="252"/>
        <v>322</v>
      </c>
      <c r="U1617" s="90">
        <f t="shared" si="253"/>
        <v>998</v>
      </c>
      <c r="V1617" s="373">
        <f t="shared" si="254"/>
        <v>1608</v>
      </c>
      <c r="W1617" s="90">
        <f t="shared" si="255"/>
        <v>0</v>
      </c>
      <c r="X1617" s="90">
        <f t="shared" si="256"/>
        <v>0</v>
      </c>
      <c r="Y1617" s="141">
        <f t="shared" si="258"/>
        <v>1608</v>
      </c>
      <c r="Z1617" s="298">
        <v>322</v>
      </c>
      <c r="AA1617" s="299">
        <v>998</v>
      </c>
      <c r="AB1617" s="299">
        <v>1608</v>
      </c>
      <c r="AC1617" s="301">
        <v>0</v>
      </c>
      <c r="AD1617" s="301">
        <v>0</v>
      </c>
      <c r="AE1617" s="126"/>
      <c r="AF1617" s="298"/>
      <c r="AG1617" s="299"/>
      <c r="AH1617" s="299"/>
      <c r="AI1617" s="301"/>
      <c r="AJ1617" s="301"/>
      <c r="AK1617" s="426"/>
      <c r="AL1617" s="298"/>
      <c r="AM1617" s="299"/>
      <c r="AN1617" s="299"/>
      <c r="AO1617" s="301"/>
      <c r="AP1617" s="301"/>
      <c r="AQ1617" s="426"/>
      <c r="AR1617" s="298"/>
      <c r="AS1617" s="299"/>
      <c r="AT1617" s="299"/>
      <c r="AU1617" s="301"/>
      <c r="AV1617" s="301"/>
      <c r="AW1617" s="88"/>
      <c r="AX1617" s="298"/>
      <c r="AY1617" s="299"/>
      <c r="AZ1617" s="299"/>
      <c r="BA1617" s="301"/>
      <c r="BB1617" s="301"/>
      <c r="BC1617" s="426"/>
      <c r="BD1617" s="298"/>
      <c r="BE1617" s="299"/>
      <c r="BF1617" s="299"/>
      <c r="BG1617" s="301"/>
      <c r="BH1617" s="301"/>
      <c r="BI1617" s="88"/>
      <c r="BJ1617" s="298"/>
      <c r="BK1617" s="299"/>
      <c r="BL1617" s="299"/>
      <c r="BM1617" s="301"/>
      <c r="BN1617" s="301"/>
      <c r="BO1617" s="88"/>
      <c r="BP1617" s="9"/>
      <c r="BS1617" s="81"/>
      <c r="BT1617" s="81"/>
      <c r="BV1617" s="9"/>
      <c r="BY1617" s="81"/>
      <c r="BZ1617" s="81"/>
      <c r="CB1617" s="9"/>
      <c r="CE1617" s="81"/>
      <c r="CF1617" s="81"/>
      <c r="CH1617" s="9"/>
      <c r="CK1617" s="81"/>
      <c r="CL1617" s="81"/>
      <c r="CR1617" s="9"/>
      <c r="CS1617" s="9"/>
      <c r="CT1617" s="9"/>
      <c r="CU1617" s="9"/>
      <c r="CV1617" s="9"/>
      <c r="CW1617" s="129"/>
      <c r="CX1617" s="9"/>
    </row>
    <row r="1618" spans="1:102">
      <c r="A1618" s="6" t="str">
        <f t="shared" si="251"/>
        <v>03220998</v>
      </c>
      <c r="B1618" s="6" t="s">
        <v>1972</v>
      </c>
      <c r="C1618" s="6" t="s">
        <v>2091</v>
      </c>
      <c r="D1618" s="6">
        <v>1609</v>
      </c>
      <c r="E1618" s="6">
        <v>322</v>
      </c>
      <c r="F1618" s="6" t="s">
        <v>1547</v>
      </c>
      <c r="G1618" s="6">
        <v>998</v>
      </c>
      <c r="H1618" s="6" t="s">
        <v>1547</v>
      </c>
      <c r="I1618" s="33">
        <v>0</v>
      </c>
      <c r="J1618" s="88">
        <v>0</v>
      </c>
      <c r="K1618" s="89">
        <f t="shared" si="250"/>
        <v>0</v>
      </c>
      <c r="L1618" s="88">
        <f>IF(K1619&gt;0, K1618/K1619, 0)</f>
        <v>0</v>
      </c>
      <c r="M1618" s="58"/>
      <c r="N1618" s="9">
        <f>ROUND(M1619*L1618,0)</f>
        <v>0</v>
      </c>
      <c r="O1618" s="9">
        <v>0</v>
      </c>
      <c r="P1618" s="9">
        <f>N1618-O1618</f>
        <v>0</v>
      </c>
      <c r="Q1618" s="40">
        <f>IF(O1618&gt;0,P1618*100/O1618,IF(P1618&gt;0,100,0))</f>
        <v>0</v>
      </c>
      <c r="R1618" s="9">
        <v>0</v>
      </c>
      <c r="S1618" s="9">
        <f t="shared" si="257"/>
        <v>0</v>
      </c>
      <c r="T1618" s="90">
        <f t="shared" si="252"/>
        <v>322</v>
      </c>
      <c r="U1618" s="90">
        <f t="shared" si="253"/>
        <v>998</v>
      </c>
      <c r="V1618" s="373">
        <f t="shared" si="254"/>
        <v>1609</v>
      </c>
      <c r="W1618" s="90">
        <f t="shared" si="255"/>
        <v>0</v>
      </c>
      <c r="X1618" s="90">
        <f t="shared" si="256"/>
        <v>0</v>
      </c>
      <c r="Y1618" s="141">
        <f t="shared" si="258"/>
        <v>1609</v>
      </c>
      <c r="Z1618" s="298">
        <v>322</v>
      </c>
      <c r="AA1618" s="299">
        <v>998</v>
      </c>
      <c r="AB1618" s="299">
        <v>1609</v>
      </c>
      <c r="AC1618" s="301">
        <v>0</v>
      </c>
      <c r="AD1618" s="301">
        <v>0</v>
      </c>
      <c r="AE1618" s="126"/>
      <c r="AF1618" s="298"/>
      <c r="AG1618" s="299"/>
      <c r="AH1618" s="299"/>
      <c r="AI1618" s="301"/>
      <c r="AJ1618" s="301"/>
      <c r="AK1618" s="426"/>
      <c r="AL1618" s="298"/>
      <c r="AM1618" s="299"/>
      <c r="AN1618" s="299"/>
      <c r="AO1618" s="301"/>
      <c r="AP1618" s="301"/>
      <c r="AQ1618" s="426"/>
      <c r="AR1618" s="298"/>
      <c r="AS1618" s="299"/>
      <c r="AT1618" s="299"/>
      <c r="AU1618" s="301"/>
      <c r="AV1618" s="301"/>
      <c r="AW1618" s="88"/>
      <c r="AX1618" s="298"/>
      <c r="AY1618" s="299"/>
      <c r="AZ1618" s="299"/>
      <c r="BA1618" s="301"/>
      <c r="BB1618" s="301"/>
      <c r="BC1618" s="426"/>
      <c r="BD1618" s="298"/>
      <c r="BE1618" s="299"/>
      <c r="BF1618" s="299"/>
      <c r="BG1618" s="301"/>
      <c r="BH1618" s="301"/>
      <c r="BI1618" s="88"/>
      <c r="BJ1618" s="298"/>
      <c r="BK1618" s="299"/>
      <c r="BL1618" s="299"/>
      <c r="BM1618" s="301"/>
      <c r="BN1618" s="301"/>
      <c r="BO1618" s="88"/>
      <c r="BP1618" s="9"/>
      <c r="BS1618" s="81"/>
      <c r="BT1618" s="81"/>
      <c r="BV1618" s="9"/>
      <c r="BY1618" s="81"/>
      <c r="BZ1618" s="81"/>
      <c r="CB1618" s="9"/>
      <c r="CE1618" s="81"/>
      <c r="CF1618" s="81"/>
      <c r="CH1618" s="9"/>
      <c r="CK1618" s="81"/>
      <c r="CL1618" s="81"/>
      <c r="CR1618" s="9"/>
      <c r="CS1618" s="9"/>
      <c r="CT1618" s="9"/>
      <c r="CU1618" s="9"/>
      <c r="CV1618" s="9"/>
      <c r="CW1618" s="129"/>
      <c r="CX1618" s="9"/>
    </row>
    <row r="1619" spans="1:102">
      <c r="A1619" s="6" t="str">
        <f t="shared" si="251"/>
        <v>03220999</v>
      </c>
      <c r="B1619" s="6" t="s">
        <v>1972</v>
      </c>
      <c r="C1619" s="6" t="s">
        <v>2092</v>
      </c>
      <c r="D1619" s="6">
        <v>1610</v>
      </c>
      <c r="E1619" s="10">
        <v>322</v>
      </c>
      <c r="F1619" s="10" t="s">
        <v>1440</v>
      </c>
      <c r="G1619" s="10">
        <v>999</v>
      </c>
      <c r="H1619" s="10" t="s">
        <v>593</v>
      </c>
      <c r="I1619" s="92">
        <v>11278495.76</v>
      </c>
      <c r="J1619" s="472">
        <v>1</v>
      </c>
      <c r="K1619" s="53">
        <f>SUM(K1615:K1618)</f>
        <v>11804797.720000001</v>
      </c>
      <c r="L1619" s="91">
        <f>SUM(L1615:L1618)</f>
        <v>1</v>
      </c>
      <c r="M1619" s="79">
        <f>VLOOKUP(E1619,town351,24)</f>
        <v>8971206</v>
      </c>
      <c r="N1619" s="79">
        <f>SUM(N1615:N1618)</f>
        <v>8971206</v>
      </c>
      <c r="O1619" s="79">
        <v>8476196</v>
      </c>
      <c r="P1619" s="79">
        <f>SUM(P1615:P1618)</f>
        <v>495010</v>
      </c>
      <c r="Q1619" s="39">
        <f t="shared" ref="Q1619:Q1679" si="259">IF(O1619&gt;0,P1619*100/O1619,IF(P1619&gt;0,100,0))</f>
        <v>5.8400018121336501</v>
      </c>
      <c r="R1619" s="9">
        <v>826</v>
      </c>
      <c r="S1619" s="9">
        <f t="shared" si="257"/>
        <v>830</v>
      </c>
      <c r="T1619" s="90">
        <f t="shared" si="252"/>
        <v>322</v>
      </c>
      <c r="U1619" s="90">
        <f t="shared" si="253"/>
        <v>999</v>
      </c>
      <c r="V1619" s="373">
        <f t="shared" si="254"/>
        <v>1610</v>
      </c>
      <c r="W1619" s="90">
        <f t="shared" si="255"/>
        <v>830</v>
      </c>
      <c r="X1619" s="90">
        <f t="shared" si="256"/>
        <v>11804797.720000001</v>
      </c>
      <c r="Y1619" s="141">
        <f t="shared" si="258"/>
        <v>1610</v>
      </c>
      <c r="Z1619" s="298">
        <v>322</v>
      </c>
      <c r="AA1619" s="299">
        <v>999</v>
      </c>
      <c r="AB1619" s="299">
        <v>1610</v>
      </c>
      <c r="AC1619" s="301">
        <v>830</v>
      </c>
      <c r="AD1619" s="301">
        <v>11804797.720000001</v>
      </c>
      <c r="AE1619" s="126"/>
      <c r="AF1619" s="298"/>
      <c r="AG1619" s="299"/>
      <c r="AH1619" s="299"/>
      <c r="AI1619" s="301"/>
      <c r="AJ1619" s="301"/>
      <c r="AK1619" s="426"/>
      <c r="AL1619" s="298"/>
      <c r="AM1619" s="299"/>
      <c r="AN1619" s="299"/>
      <c r="AO1619" s="301"/>
      <c r="AP1619" s="301"/>
      <c r="AQ1619" s="426"/>
      <c r="AR1619" s="298"/>
      <c r="AS1619" s="299"/>
      <c r="AT1619" s="299"/>
      <c r="AU1619" s="301"/>
      <c r="AV1619" s="301"/>
      <c r="AW1619" s="91"/>
      <c r="AX1619" s="298"/>
      <c r="AY1619" s="299"/>
      <c r="AZ1619" s="299"/>
      <c r="BA1619" s="301"/>
      <c r="BB1619" s="301"/>
      <c r="BC1619" s="426"/>
      <c r="BD1619" s="298"/>
      <c r="BE1619" s="299"/>
      <c r="BF1619" s="299"/>
      <c r="BG1619" s="301"/>
      <c r="BH1619" s="301"/>
      <c r="BI1619" s="91"/>
      <c r="BJ1619" s="298"/>
      <c r="BK1619" s="299"/>
      <c r="BL1619" s="299"/>
      <c r="BM1619" s="301"/>
      <c r="BN1619" s="301"/>
      <c r="BO1619" s="91"/>
      <c r="BP1619" s="9"/>
      <c r="BS1619" s="81"/>
      <c r="BT1619" s="81"/>
      <c r="BV1619" s="9"/>
      <c r="BY1619" s="81"/>
      <c r="BZ1619" s="81"/>
      <c r="CB1619" s="9"/>
      <c r="CE1619" s="81"/>
      <c r="CF1619" s="81"/>
      <c r="CH1619" s="9"/>
      <c r="CK1619" s="81"/>
      <c r="CL1619" s="81"/>
      <c r="CR1619" s="9"/>
      <c r="CS1619" s="9"/>
      <c r="CT1619" s="9"/>
      <c r="CU1619" s="9"/>
      <c r="CV1619" s="9"/>
      <c r="CW1619" s="129"/>
      <c r="CX1619" s="9"/>
    </row>
    <row r="1620" spans="1:102">
      <c r="A1620" s="6" t="str">
        <f t="shared" si="251"/>
        <v>03230323</v>
      </c>
      <c r="B1620" s="6" t="s">
        <v>1973</v>
      </c>
      <c r="C1620" s="6" t="s">
        <v>1973</v>
      </c>
      <c r="D1620" s="6">
        <v>1611</v>
      </c>
      <c r="E1620" s="6">
        <v>323</v>
      </c>
      <c r="F1620" s="6" t="s">
        <v>1441</v>
      </c>
      <c r="G1620" s="6">
        <v>323</v>
      </c>
      <c r="H1620" s="6" t="s">
        <v>1004</v>
      </c>
      <c r="I1620" s="33">
        <v>15250441.900000002</v>
      </c>
      <c r="J1620" s="88">
        <v>0.91662292406761281</v>
      </c>
      <c r="K1620" s="89">
        <f>X1620</f>
        <v>15992142.17</v>
      </c>
      <c r="L1620" s="88">
        <f>IF(K1624&gt;0, K1620/K1624, 0)</f>
        <v>0.90688301958424933</v>
      </c>
      <c r="M1620" s="58"/>
      <c r="N1620" s="9">
        <f>ROUND(M1624*L1620,0)</f>
        <v>9060869</v>
      </c>
      <c r="O1620" s="9">
        <v>8732058</v>
      </c>
      <c r="P1620" s="9">
        <f>N1620-O1620</f>
        <v>328811</v>
      </c>
      <c r="Q1620" s="40">
        <f t="shared" si="259"/>
        <v>3.7655613373158996</v>
      </c>
      <c r="R1620" s="9">
        <v>1130</v>
      </c>
      <c r="S1620" s="9">
        <f t="shared" si="257"/>
        <v>1154</v>
      </c>
      <c r="T1620" s="90">
        <f t="shared" si="252"/>
        <v>323</v>
      </c>
      <c r="U1620" s="90">
        <f t="shared" si="253"/>
        <v>323</v>
      </c>
      <c r="V1620" s="373">
        <f t="shared" si="254"/>
        <v>1611</v>
      </c>
      <c r="W1620" s="90">
        <f t="shared" si="255"/>
        <v>1154</v>
      </c>
      <c r="X1620" s="90">
        <f t="shared" si="256"/>
        <v>15992142.17</v>
      </c>
      <c r="Y1620" s="141">
        <f t="shared" si="258"/>
        <v>1611</v>
      </c>
      <c r="Z1620" s="298">
        <v>323</v>
      </c>
      <c r="AA1620" s="299">
        <v>323</v>
      </c>
      <c r="AB1620" s="299">
        <v>1611</v>
      </c>
      <c r="AC1620" s="301">
        <v>1154</v>
      </c>
      <c r="AD1620" s="301">
        <v>15992142.17</v>
      </c>
      <c r="AE1620" s="126"/>
      <c r="AF1620" s="298"/>
      <c r="AG1620" s="299"/>
      <c r="AH1620" s="299"/>
      <c r="AI1620" s="301"/>
      <c r="AJ1620" s="301"/>
      <c r="AK1620" s="426"/>
      <c r="AL1620" s="298"/>
      <c r="AM1620" s="299"/>
      <c r="AN1620" s="299"/>
      <c r="AO1620" s="301"/>
      <c r="AP1620" s="301"/>
      <c r="AQ1620" s="426"/>
      <c r="AR1620" s="298"/>
      <c r="AS1620" s="299"/>
      <c r="AT1620" s="299"/>
      <c r="AU1620" s="301"/>
      <c r="AV1620" s="301"/>
      <c r="AW1620" s="88"/>
      <c r="AX1620" s="298"/>
      <c r="AY1620" s="299"/>
      <c r="AZ1620" s="299"/>
      <c r="BA1620" s="301"/>
      <c r="BB1620" s="301"/>
      <c r="BC1620" s="426"/>
      <c r="BD1620" s="298"/>
      <c r="BE1620" s="299"/>
      <c r="BF1620" s="299"/>
      <c r="BG1620" s="301"/>
      <c r="BH1620" s="301"/>
      <c r="BI1620" s="88"/>
      <c r="BJ1620" s="298"/>
      <c r="BK1620" s="299"/>
      <c r="BL1620" s="299"/>
      <c r="BM1620" s="301"/>
      <c r="BN1620" s="301"/>
      <c r="BO1620" s="88"/>
      <c r="BP1620" s="9"/>
      <c r="BS1620" s="81"/>
      <c r="BT1620" s="81"/>
      <c r="BV1620" s="9"/>
      <c r="BY1620" s="81"/>
      <c r="BZ1620" s="81"/>
      <c r="CB1620" s="9"/>
      <c r="CE1620" s="81"/>
      <c r="CF1620" s="81"/>
      <c r="CH1620" s="9"/>
      <c r="CK1620" s="81"/>
      <c r="CL1620" s="81"/>
      <c r="CR1620" s="9"/>
      <c r="CS1620" s="9"/>
      <c r="CT1620" s="9"/>
      <c r="CU1620" s="9"/>
      <c r="CV1620" s="9"/>
      <c r="CW1620" s="129"/>
      <c r="CX1620" s="9"/>
    </row>
    <row r="1621" spans="1:102">
      <c r="A1621" s="6" t="str">
        <f t="shared" si="251"/>
        <v>03230872</v>
      </c>
      <c r="B1621" s="6" t="s">
        <v>1973</v>
      </c>
      <c r="C1621" s="6" t="s">
        <v>2082</v>
      </c>
      <c r="D1621" s="6">
        <v>1612</v>
      </c>
      <c r="E1621" s="6">
        <v>323</v>
      </c>
      <c r="F1621" s="6" t="s">
        <v>1441</v>
      </c>
      <c r="G1621" s="6">
        <v>872</v>
      </c>
      <c r="H1621" s="6" t="s">
        <v>1112</v>
      </c>
      <c r="I1621" s="33">
        <v>1387197.7439274334</v>
      </c>
      <c r="J1621" s="88">
        <v>8.3377075932387204E-2</v>
      </c>
      <c r="K1621" s="89">
        <f t="shared" si="250"/>
        <v>1642041.9801580023</v>
      </c>
      <c r="L1621" s="88">
        <f>IF(K1624&gt;0, K1621/K1624, 0)</f>
        <v>9.3116980415750603E-2</v>
      </c>
      <c r="M1621" s="58"/>
      <c r="N1621" s="9">
        <f>ROUND(M1624*L1621,0)</f>
        <v>930352</v>
      </c>
      <c r="O1621" s="9">
        <v>794278</v>
      </c>
      <c r="P1621" s="9">
        <f>N1621-O1621</f>
        <v>136074</v>
      </c>
      <c r="Q1621" s="40">
        <f t="shared" si="259"/>
        <v>17.1317850928768</v>
      </c>
      <c r="R1621" s="9">
        <v>65.279141098569994</v>
      </c>
      <c r="S1621" s="9">
        <f t="shared" si="257"/>
        <v>75.134408596260002</v>
      </c>
      <c r="T1621" s="90">
        <f t="shared" si="252"/>
        <v>323</v>
      </c>
      <c r="U1621" s="90">
        <f t="shared" si="253"/>
        <v>872</v>
      </c>
      <c r="V1621" s="373">
        <f t="shared" si="254"/>
        <v>1612</v>
      </c>
      <c r="W1621" s="90">
        <f t="shared" si="255"/>
        <v>75.134408596260002</v>
      </c>
      <c r="X1621" s="90">
        <f t="shared" si="256"/>
        <v>1642041.9801580023</v>
      </c>
      <c r="Y1621" s="141">
        <f t="shared" si="258"/>
        <v>1612</v>
      </c>
      <c r="Z1621" s="298">
        <v>323</v>
      </c>
      <c r="AA1621" s="299">
        <v>872</v>
      </c>
      <c r="AB1621" s="299">
        <v>1612</v>
      </c>
      <c r="AC1621" s="301">
        <v>75.134408596260002</v>
      </c>
      <c r="AD1621" s="301">
        <v>1642041.9801580023</v>
      </c>
      <c r="AE1621" s="126"/>
      <c r="AF1621" s="298"/>
      <c r="AG1621" s="299"/>
      <c r="AH1621" s="299"/>
      <c r="AI1621" s="301"/>
      <c r="AJ1621" s="301"/>
      <c r="AK1621" s="426"/>
      <c r="AL1621" s="298"/>
      <c r="AM1621" s="299"/>
      <c r="AN1621" s="299"/>
      <c r="AO1621" s="301"/>
      <c r="AP1621" s="301"/>
      <c r="AQ1621" s="426"/>
      <c r="AR1621" s="298"/>
      <c r="AS1621" s="299"/>
      <c r="AT1621" s="299"/>
      <c r="AU1621" s="301"/>
      <c r="AV1621" s="301"/>
      <c r="AW1621" s="88"/>
      <c r="AX1621" s="298"/>
      <c r="AY1621" s="299"/>
      <c r="AZ1621" s="299"/>
      <c r="BA1621" s="301"/>
      <c r="BB1621" s="301"/>
      <c r="BC1621" s="426"/>
      <c r="BD1621" s="298"/>
      <c r="BE1621" s="299"/>
      <c r="BF1621" s="299"/>
      <c r="BG1621" s="301"/>
      <c r="BH1621" s="301"/>
      <c r="BI1621" s="88"/>
      <c r="BJ1621" s="298"/>
      <c r="BK1621" s="299"/>
      <c r="BL1621" s="299"/>
      <c r="BM1621" s="301"/>
      <c r="BN1621" s="301"/>
      <c r="BO1621" s="88"/>
      <c r="BP1621" s="9"/>
      <c r="BS1621" s="81"/>
      <c r="BT1621" s="81"/>
      <c r="BV1621" s="9"/>
      <c r="BY1621" s="81"/>
      <c r="BZ1621" s="81"/>
      <c r="CB1621" s="9"/>
      <c r="CE1621" s="81"/>
      <c r="CF1621" s="81"/>
      <c r="CH1621" s="9"/>
      <c r="CK1621" s="81"/>
      <c r="CL1621" s="81"/>
      <c r="CR1621" s="9"/>
      <c r="CS1621" s="9"/>
      <c r="CT1621" s="9"/>
      <c r="CU1621" s="9"/>
      <c r="CV1621" s="9"/>
      <c r="CW1621" s="129"/>
      <c r="CX1621" s="9"/>
    </row>
    <row r="1622" spans="1:102">
      <c r="A1622" s="6" t="str">
        <f t="shared" si="251"/>
        <v>03230998</v>
      </c>
      <c r="B1622" s="6" t="s">
        <v>1973</v>
      </c>
      <c r="C1622" s="6" t="s">
        <v>2091</v>
      </c>
      <c r="D1622" s="6">
        <v>1613</v>
      </c>
      <c r="E1622" s="6">
        <v>323</v>
      </c>
      <c r="F1622" s="6" t="s">
        <v>1547</v>
      </c>
      <c r="G1622" s="6">
        <v>998</v>
      </c>
      <c r="H1622" s="6" t="s">
        <v>1547</v>
      </c>
      <c r="I1622" s="33">
        <v>0</v>
      </c>
      <c r="J1622" s="88">
        <v>0</v>
      </c>
      <c r="K1622" s="89">
        <f t="shared" si="250"/>
        <v>0</v>
      </c>
      <c r="L1622" s="88">
        <f>IF(K1624&gt;0, K1622/K1624, 0)</f>
        <v>0</v>
      </c>
      <c r="M1622" s="58"/>
      <c r="N1622" s="9">
        <f>ROUND(M1624*L1622,0)</f>
        <v>0</v>
      </c>
      <c r="O1622" s="9">
        <v>0</v>
      </c>
      <c r="P1622" s="9">
        <f>N1622-O1622</f>
        <v>0</v>
      </c>
      <c r="Q1622" s="40">
        <f t="shared" si="259"/>
        <v>0</v>
      </c>
      <c r="R1622" s="9">
        <v>0</v>
      </c>
      <c r="S1622" s="9">
        <f t="shared" si="257"/>
        <v>0</v>
      </c>
      <c r="T1622" s="90">
        <f t="shared" si="252"/>
        <v>323</v>
      </c>
      <c r="U1622" s="90">
        <f t="shared" si="253"/>
        <v>998</v>
      </c>
      <c r="V1622" s="373">
        <f t="shared" si="254"/>
        <v>1613</v>
      </c>
      <c r="W1622" s="90">
        <f t="shared" si="255"/>
        <v>0</v>
      </c>
      <c r="X1622" s="90">
        <f t="shared" si="256"/>
        <v>0</v>
      </c>
      <c r="Y1622" s="141">
        <f t="shared" si="258"/>
        <v>1613</v>
      </c>
      <c r="Z1622" s="298">
        <v>323</v>
      </c>
      <c r="AA1622" s="299">
        <v>998</v>
      </c>
      <c r="AB1622" s="299">
        <v>1613</v>
      </c>
      <c r="AC1622" s="301">
        <v>0</v>
      </c>
      <c r="AD1622" s="301">
        <v>0</v>
      </c>
      <c r="AE1622" s="126"/>
      <c r="AF1622" s="298"/>
      <c r="AG1622" s="299"/>
      <c r="AH1622" s="299"/>
      <c r="AI1622" s="301"/>
      <c r="AJ1622" s="301"/>
      <c r="AK1622" s="426"/>
      <c r="AL1622" s="298"/>
      <c r="AM1622" s="299"/>
      <c r="AN1622" s="299"/>
      <c r="AO1622" s="301"/>
      <c r="AP1622" s="301"/>
      <c r="AQ1622" s="426"/>
      <c r="AR1622" s="298"/>
      <c r="AS1622" s="299"/>
      <c r="AT1622" s="299"/>
      <c r="AU1622" s="301"/>
      <c r="AV1622" s="301"/>
      <c r="AW1622" s="88"/>
      <c r="AX1622" s="298"/>
      <c r="AY1622" s="299"/>
      <c r="AZ1622" s="299"/>
      <c r="BA1622" s="301"/>
      <c r="BB1622" s="301"/>
      <c r="BC1622" s="426"/>
      <c r="BD1622" s="298"/>
      <c r="BE1622" s="299"/>
      <c r="BF1622" s="299"/>
      <c r="BG1622" s="301"/>
      <c r="BH1622" s="301"/>
      <c r="BI1622" s="88"/>
      <c r="BJ1622" s="298"/>
      <c r="BK1622" s="299"/>
      <c r="BL1622" s="299"/>
      <c r="BM1622" s="301"/>
      <c r="BN1622" s="301"/>
      <c r="BO1622" s="88"/>
      <c r="BP1622" s="9"/>
      <c r="BS1622" s="81"/>
      <c r="BT1622" s="81"/>
      <c r="BV1622" s="9"/>
      <c r="BY1622" s="81"/>
      <c r="BZ1622" s="81"/>
      <c r="CB1622" s="9"/>
      <c r="CE1622" s="81"/>
      <c r="CF1622" s="81"/>
      <c r="CH1622" s="9"/>
      <c r="CK1622" s="81"/>
      <c r="CL1622" s="81"/>
      <c r="CR1622" s="9"/>
      <c r="CS1622" s="9"/>
      <c r="CT1622" s="9"/>
      <c r="CU1622" s="9"/>
      <c r="CV1622" s="9"/>
      <c r="CW1622" s="129"/>
      <c r="CX1622" s="9"/>
    </row>
    <row r="1623" spans="1:102">
      <c r="A1623" s="6" t="str">
        <f t="shared" si="251"/>
        <v>03230998</v>
      </c>
      <c r="B1623" s="6" t="s">
        <v>1973</v>
      </c>
      <c r="C1623" s="6" t="s">
        <v>2091</v>
      </c>
      <c r="D1623" s="6">
        <v>1614</v>
      </c>
      <c r="E1623" s="6">
        <v>323</v>
      </c>
      <c r="F1623" s="6" t="s">
        <v>1547</v>
      </c>
      <c r="G1623" s="6">
        <v>998</v>
      </c>
      <c r="H1623" s="6" t="s">
        <v>1547</v>
      </c>
      <c r="I1623" s="33">
        <v>0</v>
      </c>
      <c r="J1623" s="88">
        <v>0</v>
      </c>
      <c r="K1623" s="89">
        <f t="shared" si="250"/>
        <v>0</v>
      </c>
      <c r="L1623" s="88">
        <f>IF(K1624&gt;0, K1623/K1624, 0)</f>
        <v>0</v>
      </c>
      <c r="M1623" s="58"/>
      <c r="N1623" s="9">
        <f>ROUND(M1624*L1623,0)</f>
        <v>0</v>
      </c>
      <c r="O1623" s="9">
        <v>0</v>
      </c>
      <c r="P1623" s="9">
        <f>N1623-O1623</f>
        <v>0</v>
      </c>
      <c r="Q1623" s="40">
        <f t="shared" si="259"/>
        <v>0</v>
      </c>
      <c r="R1623" s="9">
        <v>0</v>
      </c>
      <c r="S1623" s="9">
        <f t="shared" si="257"/>
        <v>0</v>
      </c>
      <c r="T1623" s="90">
        <f t="shared" si="252"/>
        <v>323</v>
      </c>
      <c r="U1623" s="90">
        <f t="shared" si="253"/>
        <v>998</v>
      </c>
      <c r="V1623" s="373">
        <f t="shared" si="254"/>
        <v>1614</v>
      </c>
      <c r="W1623" s="90">
        <f t="shared" si="255"/>
        <v>0</v>
      </c>
      <c r="X1623" s="90">
        <f t="shared" si="256"/>
        <v>0</v>
      </c>
      <c r="Y1623" s="141">
        <f t="shared" si="258"/>
        <v>1614</v>
      </c>
      <c r="Z1623" s="298">
        <v>323</v>
      </c>
      <c r="AA1623" s="299">
        <v>998</v>
      </c>
      <c r="AB1623" s="299">
        <v>1614</v>
      </c>
      <c r="AC1623" s="301">
        <v>0</v>
      </c>
      <c r="AD1623" s="301">
        <v>0</v>
      </c>
      <c r="AE1623" s="126"/>
      <c r="AF1623" s="298"/>
      <c r="AG1623" s="299"/>
      <c r="AH1623" s="299"/>
      <c r="AI1623" s="301"/>
      <c r="AJ1623" s="301"/>
      <c r="AK1623" s="426"/>
      <c r="AL1623" s="298"/>
      <c r="AM1623" s="299"/>
      <c r="AN1623" s="299"/>
      <c r="AO1623" s="301"/>
      <c r="AP1623" s="301"/>
      <c r="AQ1623" s="426"/>
      <c r="AR1623" s="298"/>
      <c r="AS1623" s="299"/>
      <c r="AT1623" s="299"/>
      <c r="AU1623" s="301"/>
      <c r="AV1623" s="301"/>
      <c r="AW1623" s="88"/>
      <c r="AX1623" s="298"/>
      <c r="AY1623" s="299"/>
      <c r="AZ1623" s="299"/>
      <c r="BA1623" s="301"/>
      <c r="BB1623" s="301"/>
      <c r="BC1623" s="426"/>
      <c r="BD1623" s="298"/>
      <c r="BE1623" s="299"/>
      <c r="BF1623" s="299"/>
      <c r="BG1623" s="301"/>
      <c r="BH1623" s="301"/>
      <c r="BI1623" s="88"/>
      <c r="BJ1623" s="298"/>
      <c r="BK1623" s="299"/>
      <c r="BL1623" s="299"/>
      <c r="BM1623" s="301"/>
      <c r="BN1623" s="301"/>
      <c r="BO1623" s="88"/>
      <c r="BP1623" s="9"/>
      <c r="BS1623" s="81"/>
      <c r="BT1623" s="81"/>
      <c r="BV1623" s="9"/>
      <c r="BY1623" s="81"/>
      <c r="BZ1623" s="81"/>
      <c r="CB1623" s="9"/>
      <c r="CE1623" s="81"/>
      <c r="CF1623" s="81"/>
      <c r="CH1623" s="9"/>
      <c r="CK1623" s="81"/>
      <c r="CL1623" s="81"/>
      <c r="CR1623" s="9"/>
      <c r="CS1623" s="9"/>
      <c r="CT1623" s="9"/>
      <c r="CU1623" s="9"/>
      <c r="CV1623" s="9"/>
      <c r="CW1623" s="129"/>
      <c r="CX1623" s="9"/>
    </row>
    <row r="1624" spans="1:102">
      <c r="A1624" s="6" t="str">
        <f t="shared" si="251"/>
        <v>03230999</v>
      </c>
      <c r="B1624" s="6" t="s">
        <v>1973</v>
      </c>
      <c r="C1624" s="6" t="s">
        <v>2092</v>
      </c>
      <c r="D1624" s="6">
        <v>1615</v>
      </c>
      <c r="E1624" s="10">
        <v>323</v>
      </c>
      <c r="F1624" s="10" t="s">
        <v>1441</v>
      </c>
      <c r="G1624" s="10">
        <v>999</v>
      </c>
      <c r="H1624" s="10" t="s">
        <v>593</v>
      </c>
      <c r="I1624" s="92">
        <v>16637639.643927436</v>
      </c>
      <c r="J1624" s="472">
        <v>1</v>
      </c>
      <c r="K1624" s="53">
        <f>SUM(K1620:K1623)</f>
        <v>17634184.150158003</v>
      </c>
      <c r="L1624" s="91">
        <f>SUM(L1620:L1623)</f>
        <v>0.99999999999999989</v>
      </c>
      <c r="M1624" s="79">
        <f>VLOOKUP(E1624,town351,24)</f>
        <v>9991221</v>
      </c>
      <c r="N1624" s="79">
        <f>SUM(N1620:N1623)</f>
        <v>9991221</v>
      </c>
      <c r="O1624" s="79">
        <v>9526336</v>
      </c>
      <c r="P1624" s="79">
        <f>SUM(P1620:P1623)</f>
        <v>464885</v>
      </c>
      <c r="Q1624" s="39">
        <f t="shared" si="259"/>
        <v>4.8799979341480295</v>
      </c>
      <c r="R1624" s="9">
        <v>1195.2791410985701</v>
      </c>
      <c r="S1624" s="9">
        <f t="shared" si="257"/>
        <v>1229.1344085962601</v>
      </c>
      <c r="T1624" s="90">
        <f t="shared" si="252"/>
        <v>323</v>
      </c>
      <c r="U1624" s="90">
        <f t="shared" si="253"/>
        <v>999</v>
      </c>
      <c r="V1624" s="373">
        <f t="shared" si="254"/>
        <v>1615</v>
      </c>
      <c r="W1624" s="90">
        <f t="shared" si="255"/>
        <v>1229.1344085962601</v>
      </c>
      <c r="X1624" s="90">
        <f t="shared" si="256"/>
        <v>17634184.150158003</v>
      </c>
      <c r="Y1624" s="141">
        <f t="shared" si="258"/>
        <v>1615</v>
      </c>
      <c r="Z1624" s="298">
        <v>323</v>
      </c>
      <c r="AA1624" s="299">
        <v>999</v>
      </c>
      <c r="AB1624" s="299">
        <v>1615</v>
      </c>
      <c r="AC1624" s="301">
        <v>1229.1344085962601</v>
      </c>
      <c r="AD1624" s="301">
        <v>17634184.150158003</v>
      </c>
      <c r="AE1624" s="126"/>
      <c r="AF1624" s="298"/>
      <c r="AG1624" s="299"/>
      <c r="AH1624" s="299"/>
      <c r="AI1624" s="301"/>
      <c r="AJ1624" s="301"/>
      <c r="AK1624" s="426"/>
      <c r="AL1624" s="298"/>
      <c r="AM1624" s="299"/>
      <c r="AN1624" s="299"/>
      <c r="AO1624" s="301"/>
      <c r="AP1624" s="301"/>
      <c r="AQ1624" s="426"/>
      <c r="AR1624" s="298"/>
      <c r="AS1624" s="299"/>
      <c r="AT1624" s="299"/>
      <c r="AU1624" s="301"/>
      <c r="AV1624" s="301"/>
      <c r="AW1624" s="91"/>
      <c r="AX1624" s="298"/>
      <c r="AY1624" s="299"/>
      <c r="AZ1624" s="299"/>
      <c r="BA1624" s="301"/>
      <c r="BB1624" s="301"/>
      <c r="BC1624" s="426"/>
      <c r="BD1624" s="298"/>
      <c r="BE1624" s="299"/>
      <c r="BF1624" s="299"/>
      <c r="BG1624" s="301"/>
      <c r="BH1624" s="301"/>
      <c r="BI1624" s="91"/>
      <c r="BJ1624" s="298"/>
      <c r="BK1624" s="299"/>
      <c r="BL1624" s="299"/>
      <c r="BM1624" s="301"/>
      <c r="BN1624" s="301"/>
      <c r="BO1624" s="91"/>
      <c r="BP1624" s="9"/>
      <c r="BS1624" s="81"/>
      <c r="BT1624" s="81"/>
      <c r="BV1624" s="9"/>
      <c r="BY1624" s="81"/>
      <c r="BZ1624" s="81"/>
      <c r="CB1624" s="9"/>
      <c r="CE1624" s="81"/>
      <c r="CF1624" s="81"/>
      <c r="CH1624" s="9"/>
      <c r="CK1624" s="81"/>
      <c r="CL1624" s="81"/>
      <c r="CR1624" s="9"/>
      <c r="CS1624" s="9"/>
      <c r="CT1624" s="9"/>
      <c r="CU1624" s="9"/>
      <c r="CV1624" s="9"/>
      <c r="CW1624" s="129"/>
      <c r="CX1624" s="9"/>
    </row>
    <row r="1625" spans="1:102">
      <c r="A1625" s="6" t="str">
        <f t="shared" si="251"/>
        <v>03240324</v>
      </c>
      <c r="B1625" s="6" t="s">
        <v>1974</v>
      </c>
      <c r="C1625" s="6" t="s">
        <v>1974</v>
      </c>
      <c r="D1625" s="6">
        <v>1616</v>
      </c>
      <c r="E1625" s="6">
        <v>324</v>
      </c>
      <c r="F1625" s="6" t="s">
        <v>1442</v>
      </c>
      <c r="G1625" s="6">
        <v>324</v>
      </c>
      <c r="H1625" s="6" t="s">
        <v>1005</v>
      </c>
      <c r="I1625" s="33">
        <v>393567.83999999997</v>
      </c>
      <c r="J1625" s="88">
        <v>5.3769886908032055E-2</v>
      </c>
      <c r="K1625" s="89">
        <f>X1625</f>
        <v>469702.2</v>
      </c>
      <c r="L1625" s="88">
        <f>IF(K1629&gt;0, K1625/K1629, 0)</f>
        <v>6.7851241657167924E-2</v>
      </c>
      <c r="M1625" s="58"/>
      <c r="N1625" s="9">
        <f>ROUND(M1629*L1625,0)</f>
        <v>266402</v>
      </c>
      <c r="O1625" s="9">
        <v>200356</v>
      </c>
      <c r="P1625" s="9">
        <f>N1625-O1625</f>
        <v>66046</v>
      </c>
      <c r="Q1625" s="40">
        <f t="shared" si="259"/>
        <v>32.964323504162593</v>
      </c>
      <c r="R1625" s="9">
        <v>22</v>
      </c>
      <c r="S1625" s="9">
        <f t="shared" si="257"/>
        <v>26</v>
      </c>
      <c r="T1625" s="90">
        <f t="shared" si="252"/>
        <v>324</v>
      </c>
      <c r="U1625" s="90">
        <f t="shared" si="253"/>
        <v>324</v>
      </c>
      <c r="V1625" s="373">
        <f t="shared" si="254"/>
        <v>1616</v>
      </c>
      <c r="W1625" s="90">
        <f t="shared" si="255"/>
        <v>26</v>
      </c>
      <c r="X1625" s="90">
        <f t="shared" si="256"/>
        <v>469702.2</v>
      </c>
      <c r="Y1625" s="141">
        <f t="shared" si="258"/>
        <v>1616</v>
      </c>
      <c r="Z1625" s="298">
        <v>324</v>
      </c>
      <c r="AA1625" s="299">
        <v>324</v>
      </c>
      <c r="AB1625" s="299">
        <v>1616</v>
      </c>
      <c r="AC1625" s="301">
        <v>26</v>
      </c>
      <c r="AD1625" s="301">
        <v>469702.2</v>
      </c>
      <c r="AE1625" s="126"/>
      <c r="AF1625" s="298"/>
      <c r="AG1625" s="299"/>
      <c r="AH1625" s="299"/>
      <c r="AI1625" s="301"/>
      <c r="AJ1625" s="301"/>
      <c r="AK1625" s="426"/>
      <c r="AL1625" s="298"/>
      <c r="AM1625" s="299"/>
      <c r="AN1625" s="299"/>
      <c r="AO1625" s="301"/>
      <c r="AP1625" s="301"/>
      <c r="AQ1625" s="426"/>
      <c r="AR1625" s="298"/>
      <c r="AS1625" s="299"/>
      <c r="AT1625" s="299"/>
      <c r="AU1625" s="301"/>
      <c r="AV1625" s="301"/>
      <c r="AW1625" s="88"/>
      <c r="AX1625" s="298"/>
      <c r="AY1625" s="299"/>
      <c r="AZ1625" s="299"/>
      <c r="BA1625" s="301"/>
      <c r="BB1625" s="301"/>
      <c r="BC1625" s="426"/>
      <c r="BD1625" s="298"/>
      <c r="BE1625" s="299"/>
      <c r="BF1625" s="299"/>
      <c r="BG1625" s="301"/>
      <c r="BH1625" s="301"/>
      <c r="BI1625" s="88"/>
      <c r="BJ1625" s="298"/>
      <c r="BK1625" s="299"/>
      <c r="BL1625" s="299"/>
      <c r="BM1625" s="301"/>
      <c r="BN1625" s="301"/>
      <c r="BO1625" s="88"/>
      <c r="BP1625" s="9"/>
      <c r="BS1625" s="81"/>
      <c r="BT1625" s="81"/>
      <c r="BV1625" s="9"/>
      <c r="BY1625" s="81"/>
      <c r="BZ1625" s="81"/>
      <c r="CB1625" s="9"/>
      <c r="CE1625" s="81"/>
      <c r="CF1625" s="81"/>
      <c r="CH1625" s="9"/>
      <c r="CK1625" s="81"/>
      <c r="CL1625" s="81"/>
      <c r="CR1625" s="9"/>
      <c r="CS1625" s="9"/>
      <c r="CT1625" s="9"/>
      <c r="CU1625" s="9"/>
      <c r="CV1625" s="9"/>
      <c r="CW1625" s="129"/>
      <c r="CX1625" s="9"/>
    </row>
    <row r="1626" spans="1:102">
      <c r="A1626" s="6" t="str">
        <f t="shared" si="251"/>
        <v>03240778</v>
      </c>
      <c r="B1626" s="6" t="s">
        <v>1974</v>
      </c>
      <c r="C1626" s="6" t="s">
        <v>2060</v>
      </c>
      <c r="D1626" s="6">
        <v>1617</v>
      </c>
      <c r="E1626" s="6">
        <v>324</v>
      </c>
      <c r="F1626" s="6" t="s">
        <v>1442</v>
      </c>
      <c r="G1626" s="6">
        <v>778</v>
      </c>
      <c r="H1626" s="6" t="s">
        <v>1090</v>
      </c>
      <c r="I1626" s="33">
        <v>6925916.4035350084</v>
      </c>
      <c r="J1626" s="88">
        <v>0.94623011309196792</v>
      </c>
      <c r="K1626" s="89">
        <f t="shared" si="250"/>
        <v>6452826.9760063142</v>
      </c>
      <c r="L1626" s="88">
        <f>IF(K1629&gt;0, K1626/K1629, 0)</f>
        <v>0.93214875834283206</v>
      </c>
      <c r="M1626" s="58"/>
      <c r="N1626" s="9">
        <f>ROUND(M1629*L1626,0)</f>
        <v>3659871</v>
      </c>
      <c r="O1626" s="9">
        <v>3525821</v>
      </c>
      <c r="P1626" s="9">
        <f>N1626-O1626</f>
        <v>134050</v>
      </c>
      <c r="Q1626" s="40">
        <f t="shared" si="259"/>
        <v>3.8019513752967038</v>
      </c>
      <c r="R1626" s="9">
        <v>458.97071871779997</v>
      </c>
      <c r="S1626" s="9">
        <f t="shared" si="257"/>
        <v>425.18708451758005</v>
      </c>
      <c r="T1626" s="90">
        <f t="shared" si="252"/>
        <v>324</v>
      </c>
      <c r="U1626" s="90">
        <f t="shared" si="253"/>
        <v>778</v>
      </c>
      <c r="V1626" s="373">
        <f t="shared" si="254"/>
        <v>1617</v>
      </c>
      <c r="W1626" s="90">
        <f t="shared" si="255"/>
        <v>425.18708451758005</v>
      </c>
      <c r="X1626" s="90">
        <f t="shared" si="256"/>
        <v>6452826.9760063142</v>
      </c>
      <c r="Y1626" s="141">
        <f t="shared" si="258"/>
        <v>1617</v>
      </c>
      <c r="Z1626" s="298">
        <v>324</v>
      </c>
      <c r="AA1626" s="299">
        <v>778</v>
      </c>
      <c r="AB1626" s="299">
        <v>1617</v>
      </c>
      <c r="AC1626" s="301">
        <v>425.18708451758005</v>
      </c>
      <c r="AD1626" s="301">
        <v>6452826.9760063142</v>
      </c>
      <c r="AE1626" s="126"/>
      <c r="AF1626" s="298"/>
      <c r="AG1626" s="299"/>
      <c r="AH1626" s="299"/>
      <c r="AI1626" s="301"/>
      <c r="AJ1626" s="301"/>
      <c r="AK1626" s="426"/>
      <c r="AL1626" s="298"/>
      <c r="AM1626" s="299"/>
      <c r="AN1626" s="299"/>
      <c r="AO1626" s="301"/>
      <c r="AP1626" s="301"/>
      <c r="AQ1626" s="426"/>
      <c r="AR1626" s="298"/>
      <c r="AS1626" s="299"/>
      <c r="AT1626" s="299"/>
      <c r="AU1626" s="301"/>
      <c r="AV1626" s="301"/>
      <c r="AW1626" s="88"/>
      <c r="AX1626" s="298"/>
      <c r="AY1626" s="299"/>
      <c r="AZ1626" s="299"/>
      <c r="BA1626" s="301"/>
      <c r="BB1626" s="301"/>
      <c r="BC1626" s="426"/>
      <c r="BD1626" s="298"/>
      <c r="BE1626" s="299"/>
      <c r="BF1626" s="299"/>
      <c r="BG1626" s="301"/>
      <c r="BH1626" s="301"/>
      <c r="BI1626" s="88"/>
      <c r="BJ1626" s="298"/>
      <c r="BK1626" s="299"/>
      <c r="BL1626" s="299"/>
      <c r="BM1626" s="301"/>
      <c r="BN1626" s="301"/>
      <c r="BO1626" s="88"/>
      <c r="BP1626" s="9"/>
      <c r="BS1626" s="81"/>
      <c r="BT1626" s="81"/>
      <c r="BV1626" s="9"/>
      <c r="BY1626" s="81"/>
      <c r="BZ1626" s="81"/>
      <c r="CB1626" s="9"/>
      <c r="CE1626" s="81"/>
      <c r="CF1626" s="81"/>
      <c r="CH1626" s="9"/>
      <c r="CK1626" s="81"/>
      <c r="CL1626" s="81"/>
      <c r="CR1626" s="9"/>
      <c r="CS1626" s="9"/>
      <c r="CT1626" s="9"/>
      <c r="CU1626" s="9"/>
      <c r="CV1626" s="9"/>
      <c r="CW1626" s="129"/>
      <c r="CX1626" s="9"/>
    </row>
    <row r="1627" spans="1:102">
      <c r="A1627" s="6" t="str">
        <f t="shared" si="251"/>
        <v>03240998</v>
      </c>
      <c r="B1627" s="6" t="s">
        <v>1974</v>
      </c>
      <c r="C1627" s="6" t="s">
        <v>2091</v>
      </c>
      <c r="D1627" s="6">
        <v>1618</v>
      </c>
      <c r="E1627" s="6">
        <v>324</v>
      </c>
      <c r="F1627" s="6" t="s">
        <v>1547</v>
      </c>
      <c r="G1627" s="6">
        <v>998</v>
      </c>
      <c r="H1627" s="6" t="s">
        <v>1547</v>
      </c>
      <c r="I1627" s="33">
        <v>0</v>
      </c>
      <c r="J1627" s="88">
        <v>0</v>
      </c>
      <c r="K1627" s="89">
        <f t="shared" si="250"/>
        <v>0</v>
      </c>
      <c r="L1627" s="88">
        <f>IF(K1629&gt;0, K1627/K1629, 0)</f>
        <v>0</v>
      </c>
      <c r="M1627" s="58"/>
      <c r="N1627" s="9">
        <f>ROUND(M1629*L1627,0)</f>
        <v>0</v>
      </c>
      <c r="O1627" s="9">
        <v>0</v>
      </c>
      <c r="P1627" s="9">
        <f>N1627-O1627</f>
        <v>0</v>
      </c>
      <c r="Q1627" s="40">
        <f t="shared" si="259"/>
        <v>0</v>
      </c>
      <c r="R1627" s="9">
        <v>0</v>
      </c>
      <c r="S1627" s="9">
        <f t="shared" si="257"/>
        <v>0</v>
      </c>
      <c r="T1627" s="90">
        <f t="shared" si="252"/>
        <v>324</v>
      </c>
      <c r="U1627" s="90">
        <f t="shared" si="253"/>
        <v>998</v>
      </c>
      <c r="V1627" s="373">
        <f t="shared" si="254"/>
        <v>1618</v>
      </c>
      <c r="W1627" s="90">
        <f t="shared" si="255"/>
        <v>0</v>
      </c>
      <c r="X1627" s="90">
        <f t="shared" si="256"/>
        <v>0</v>
      </c>
      <c r="Y1627" s="141">
        <f t="shared" si="258"/>
        <v>1618</v>
      </c>
      <c r="Z1627" s="298">
        <v>324</v>
      </c>
      <c r="AA1627" s="299">
        <v>998</v>
      </c>
      <c r="AB1627" s="299">
        <v>1618</v>
      </c>
      <c r="AC1627" s="301">
        <v>0</v>
      </c>
      <c r="AD1627" s="301">
        <v>0</v>
      </c>
      <c r="AE1627" s="126"/>
      <c r="AF1627" s="298"/>
      <c r="AG1627" s="299"/>
      <c r="AH1627" s="299"/>
      <c r="AI1627" s="301"/>
      <c r="AJ1627" s="301"/>
      <c r="AK1627" s="426"/>
      <c r="AL1627" s="298"/>
      <c r="AM1627" s="299"/>
      <c r="AN1627" s="299"/>
      <c r="AO1627" s="301"/>
      <c r="AP1627" s="301"/>
      <c r="AQ1627" s="426"/>
      <c r="AR1627" s="298"/>
      <c r="AS1627" s="299"/>
      <c r="AT1627" s="299"/>
      <c r="AU1627" s="301"/>
      <c r="AV1627" s="301"/>
      <c r="AW1627" s="88"/>
      <c r="AX1627" s="298"/>
      <c r="AY1627" s="299"/>
      <c r="AZ1627" s="299"/>
      <c r="BA1627" s="301"/>
      <c r="BB1627" s="301"/>
      <c r="BC1627" s="426"/>
      <c r="BD1627" s="298"/>
      <c r="BE1627" s="299"/>
      <c r="BF1627" s="299"/>
      <c r="BG1627" s="301"/>
      <c r="BH1627" s="301"/>
      <c r="BI1627" s="88"/>
      <c r="BJ1627" s="298"/>
      <c r="BK1627" s="299"/>
      <c r="BL1627" s="299"/>
      <c r="BM1627" s="301"/>
      <c r="BN1627" s="301"/>
      <c r="BO1627" s="88"/>
      <c r="BP1627" s="9"/>
      <c r="BS1627" s="81"/>
      <c r="BT1627" s="81"/>
      <c r="BV1627" s="9"/>
      <c r="BY1627" s="81"/>
      <c r="BZ1627" s="81"/>
      <c r="CB1627" s="9"/>
      <c r="CE1627" s="81"/>
      <c r="CF1627" s="81"/>
      <c r="CH1627" s="9"/>
      <c r="CK1627" s="81"/>
      <c r="CL1627" s="81"/>
      <c r="CR1627" s="9"/>
      <c r="CS1627" s="9"/>
      <c r="CT1627" s="9"/>
      <c r="CU1627" s="9"/>
      <c r="CV1627" s="9"/>
      <c r="CW1627" s="129"/>
      <c r="CX1627" s="9"/>
    </row>
    <row r="1628" spans="1:102">
      <c r="A1628" s="6" t="str">
        <f t="shared" si="251"/>
        <v>03240998</v>
      </c>
      <c r="B1628" s="6" t="s">
        <v>1974</v>
      </c>
      <c r="C1628" s="6" t="s">
        <v>2091</v>
      </c>
      <c r="D1628" s="6">
        <v>1619</v>
      </c>
      <c r="E1628" s="6">
        <v>324</v>
      </c>
      <c r="F1628" s="6" t="s">
        <v>1547</v>
      </c>
      <c r="G1628" s="6">
        <v>998</v>
      </c>
      <c r="H1628" s="6" t="s">
        <v>1547</v>
      </c>
      <c r="I1628" s="33">
        <v>0</v>
      </c>
      <c r="J1628" s="88">
        <v>0</v>
      </c>
      <c r="K1628" s="89">
        <f t="shared" si="250"/>
        <v>0</v>
      </c>
      <c r="L1628" s="88">
        <f>IF(K1629&gt;0, K1628/K1629, 0)</f>
        <v>0</v>
      </c>
      <c r="M1628" s="58"/>
      <c r="N1628" s="9">
        <f>ROUND(M1629*L1628,0)</f>
        <v>0</v>
      </c>
      <c r="O1628" s="9">
        <v>0</v>
      </c>
      <c r="P1628" s="9">
        <f>N1628-O1628</f>
        <v>0</v>
      </c>
      <c r="Q1628" s="40">
        <f t="shared" si="259"/>
        <v>0</v>
      </c>
      <c r="R1628" s="9">
        <v>0</v>
      </c>
      <c r="S1628" s="9">
        <f t="shared" si="257"/>
        <v>0</v>
      </c>
      <c r="T1628" s="90">
        <f t="shared" si="252"/>
        <v>324</v>
      </c>
      <c r="U1628" s="90">
        <f t="shared" si="253"/>
        <v>998</v>
      </c>
      <c r="V1628" s="373">
        <f t="shared" si="254"/>
        <v>1619</v>
      </c>
      <c r="W1628" s="90">
        <f t="shared" si="255"/>
        <v>0</v>
      </c>
      <c r="X1628" s="90">
        <f t="shared" si="256"/>
        <v>0</v>
      </c>
      <c r="Y1628" s="141">
        <f t="shared" si="258"/>
        <v>1619</v>
      </c>
      <c r="Z1628" s="298">
        <v>324</v>
      </c>
      <c r="AA1628" s="299">
        <v>998</v>
      </c>
      <c r="AB1628" s="299">
        <v>1619</v>
      </c>
      <c r="AC1628" s="301">
        <v>0</v>
      </c>
      <c r="AD1628" s="301">
        <v>0</v>
      </c>
      <c r="AE1628" s="126"/>
      <c r="AF1628" s="298"/>
      <c r="AG1628" s="299"/>
      <c r="AH1628" s="299"/>
      <c r="AI1628" s="301"/>
      <c r="AJ1628" s="301"/>
      <c r="AK1628" s="426"/>
      <c r="AL1628" s="298"/>
      <c r="AM1628" s="299"/>
      <c r="AN1628" s="299"/>
      <c r="AO1628" s="301"/>
      <c r="AP1628" s="301"/>
      <c r="AQ1628" s="426"/>
      <c r="AR1628" s="298"/>
      <c r="AS1628" s="299"/>
      <c r="AT1628" s="299"/>
      <c r="AU1628" s="301"/>
      <c r="AV1628" s="301"/>
      <c r="AW1628" s="88"/>
      <c r="AX1628" s="298"/>
      <c r="AY1628" s="299"/>
      <c r="AZ1628" s="299"/>
      <c r="BA1628" s="301"/>
      <c r="BB1628" s="301"/>
      <c r="BC1628" s="426"/>
      <c r="BD1628" s="298"/>
      <c r="BE1628" s="299"/>
      <c r="BF1628" s="299"/>
      <c r="BG1628" s="301"/>
      <c r="BH1628" s="301"/>
      <c r="BI1628" s="88"/>
      <c r="BJ1628" s="298"/>
      <c r="BK1628" s="299"/>
      <c r="BL1628" s="299"/>
      <c r="BM1628" s="301"/>
      <c r="BN1628" s="301"/>
      <c r="BO1628" s="88"/>
      <c r="BP1628" s="9"/>
      <c r="BS1628" s="81"/>
      <c r="BT1628" s="81"/>
      <c r="BV1628" s="9"/>
      <c r="BY1628" s="81"/>
      <c r="BZ1628" s="81"/>
      <c r="CB1628" s="9"/>
      <c r="CE1628" s="81"/>
      <c r="CF1628" s="81"/>
      <c r="CH1628" s="9"/>
      <c r="CK1628" s="81"/>
      <c r="CL1628" s="81"/>
      <c r="CR1628" s="9"/>
      <c r="CS1628" s="9"/>
      <c r="CT1628" s="9"/>
      <c r="CU1628" s="9"/>
      <c r="CV1628" s="9"/>
      <c r="CW1628" s="129"/>
      <c r="CX1628" s="9"/>
    </row>
    <row r="1629" spans="1:102">
      <c r="A1629" s="6" t="str">
        <f t="shared" si="251"/>
        <v>03240999</v>
      </c>
      <c r="B1629" s="6" t="s">
        <v>1974</v>
      </c>
      <c r="C1629" s="6" t="s">
        <v>2092</v>
      </c>
      <c r="D1629" s="6">
        <v>1620</v>
      </c>
      <c r="E1629" s="10">
        <v>324</v>
      </c>
      <c r="F1629" s="10" t="s">
        <v>1442</v>
      </c>
      <c r="G1629" s="10">
        <v>999</v>
      </c>
      <c r="H1629" s="10" t="s">
        <v>593</v>
      </c>
      <c r="I1629" s="92">
        <v>7319484.2435350083</v>
      </c>
      <c r="J1629" s="472">
        <v>1</v>
      </c>
      <c r="K1629" s="53">
        <f>SUM(K1625:K1628)</f>
        <v>6922529.1760063143</v>
      </c>
      <c r="L1629" s="91">
        <f>SUM(L1625:L1628)</f>
        <v>1</v>
      </c>
      <c r="M1629" s="79">
        <f>VLOOKUP(E1629,town351,24)</f>
        <v>3926273</v>
      </c>
      <c r="N1629" s="79">
        <f>SUM(N1625:N1628)</f>
        <v>3926273</v>
      </c>
      <c r="O1629" s="79">
        <v>3726177</v>
      </c>
      <c r="P1629" s="79">
        <f>SUM(P1625:P1628)</f>
        <v>200096</v>
      </c>
      <c r="Q1629" s="39">
        <f t="shared" si="259"/>
        <v>5.3700079196452561</v>
      </c>
      <c r="R1629" s="9">
        <v>480.97071871779997</v>
      </c>
      <c r="S1629" s="9">
        <f t="shared" si="257"/>
        <v>451.18708451758005</v>
      </c>
      <c r="T1629" s="90">
        <f t="shared" si="252"/>
        <v>324</v>
      </c>
      <c r="U1629" s="90">
        <f t="shared" si="253"/>
        <v>999</v>
      </c>
      <c r="V1629" s="373">
        <f t="shared" si="254"/>
        <v>1620</v>
      </c>
      <c r="W1629" s="90">
        <f t="shared" si="255"/>
        <v>451.18708451758005</v>
      </c>
      <c r="X1629" s="90">
        <f t="shared" si="256"/>
        <v>6922529.1760063143</v>
      </c>
      <c r="Y1629" s="141">
        <f t="shared" si="258"/>
        <v>1620</v>
      </c>
      <c r="Z1629" s="298">
        <v>324</v>
      </c>
      <c r="AA1629" s="299">
        <v>999</v>
      </c>
      <c r="AB1629" s="299">
        <v>1620</v>
      </c>
      <c r="AC1629" s="301">
        <v>451.18708451758005</v>
      </c>
      <c r="AD1629" s="301">
        <v>6922529.1760063143</v>
      </c>
      <c r="AE1629" s="126"/>
      <c r="AF1629" s="298"/>
      <c r="AG1629" s="299"/>
      <c r="AH1629" s="299"/>
      <c r="AI1629" s="301"/>
      <c r="AJ1629" s="301"/>
      <c r="AK1629" s="426"/>
      <c r="AL1629" s="298"/>
      <c r="AM1629" s="299"/>
      <c r="AN1629" s="299"/>
      <c r="AO1629" s="301"/>
      <c r="AP1629" s="301"/>
      <c r="AQ1629" s="426"/>
      <c r="AR1629" s="298"/>
      <c r="AS1629" s="299"/>
      <c r="AT1629" s="299"/>
      <c r="AU1629" s="301"/>
      <c r="AV1629" s="301"/>
      <c r="AW1629" s="91"/>
      <c r="AX1629" s="298"/>
      <c r="AY1629" s="299"/>
      <c r="AZ1629" s="299"/>
      <c r="BA1629" s="301"/>
      <c r="BB1629" s="301"/>
      <c r="BC1629" s="426"/>
      <c r="BD1629" s="298"/>
      <c r="BE1629" s="299"/>
      <c r="BF1629" s="299"/>
      <c r="BG1629" s="301"/>
      <c r="BH1629" s="301"/>
      <c r="BI1629" s="91"/>
      <c r="BJ1629" s="298"/>
      <c r="BK1629" s="299"/>
      <c r="BL1629" s="299"/>
      <c r="BM1629" s="301"/>
      <c r="BN1629" s="301"/>
      <c r="BO1629" s="91"/>
      <c r="BP1629" s="9"/>
      <c r="BS1629" s="81"/>
      <c r="BT1629" s="81"/>
      <c r="BV1629" s="9"/>
      <c r="BY1629" s="81"/>
      <c r="BZ1629" s="81"/>
      <c r="CB1629" s="9"/>
      <c r="CE1629" s="81"/>
      <c r="CF1629" s="81"/>
      <c r="CH1629" s="9"/>
      <c r="CK1629" s="81"/>
      <c r="CL1629" s="81"/>
      <c r="CR1629" s="9"/>
      <c r="CS1629" s="9"/>
      <c r="CT1629" s="9"/>
      <c r="CU1629" s="9"/>
      <c r="CV1629" s="9"/>
      <c r="CW1629" s="129"/>
      <c r="CX1629" s="9"/>
    </row>
    <row r="1630" spans="1:102">
      <c r="A1630" s="6" t="str">
        <f t="shared" si="251"/>
        <v>03250325</v>
      </c>
      <c r="B1630" s="6" t="s">
        <v>1975</v>
      </c>
      <c r="C1630" s="6" t="s">
        <v>1975</v>
      </c>
      <c r="D1630" s="6">
        <v>1621</v>
      </c>
      <c r="E1630" s="6">
        <v>325</v>
      </c>
      <c r="F1630" s="6" t="s">
        <v>1443</v>
      </c>
      <c r="G1630" s="6">
        <v>325</v>
      </c>
      <c r="H1630" s="6" t="s">
        <v>1006</v>
      </c>
      <c r="I1630" s="33">
        <v>75008744.25999999</v>
      </c>
      <c r="J1630" s="88">
        <v>1</v>
      </c>
      <c r="K1630" s="89">
        <f>X1630</f>
        <v>77785675.980000004</v>
      </c>
      <c r="L1630" s="88">
        <f>IF(K1634&gt;0, K1630/K1634, 0)</f>
        <v>1</v>
      </c>
      <c r="M1630" s="58"/>
      <c r="N1630" s="9">
        <f>ROUND(M1634*L1630,0)</f>
        <v>33756613</v>
      </c>
      <c r="O1630" s="9">
        <v>32011961</v>
      </c>
      <c r="P1630" s="9">
        <f>N1630-O1630</f>
        <v>1744652</v>
      </c>
      <c r="Q1630" s="40">
        <f t="shared" si="259"/>
        <v>5.4500003920409625</v>
      </c>
      <c r="R1630" s="9">
        <v>4849</v>
      </c>
      <c r="S1630" s="9">
        <f t="shared" si="257"/>
        <v>4815</v>
      </c>
      <c r="T1630" s="90">
        <f t="shared" si="252"/>
        <v>325</v>
      </c>
      <c r="U1630" s="90">
        <f t="shared" si="253"/>
        <v>325</v>
      </c>
      <c r="V1630" s="373">
        <f t="shared" si="254"/>
        <v>1621</v>
      </c>
      <c r="W1630" s="90">
        <f t="shared" si="255"/>
        <v>4815</v>
      </c>
      <c r="X1630" s="90">
        <f t="shared" si="256"/>
        <v>77785675.980000004</v>
      </c>
      <c r="Y1630" s="141">
        <f t="shared" si="258"/>
        <v>1621</v>
      </c>
      <c r="Z1630" s="298">
        <v>325</v>
      </c>
      <c r="AA1630" s="299">
        <v>325</v>
      </c>
      <c r="AB1630" s="299">
        <v>1621</v>
      </c>
      <c r="AC1630" s="301">
        <v>4815</v>
      </c>
      <c r="AD1630" s="301">
        <v>77785675.980000004</v>
      </c>
      <c r="AE1630" s="126"/>
      <c r="AF1630" s="298"/>
      <c r="AG1630" s="299"/>
      <c r="AH1630" s="299"/>
      <c r="AI1630" s="301"/>
      <c r="AJ1630" s="301"/>
      <c r="AK1630" s="426"/>
      <c r="AL1630" s="298"/>
      <c r="AM1630" s="299"/>
      <c r="AN1630" s="299"/>
      <c r="AO1630" s="301"/>
      <c r="AP1630" s="301"/>
      <c r="AQ1630" s="426"/>
      <c r="AR1630" s="298"/>
      <c r="AS1630" s="299"/>
      <c r="AT1630" s="299"/>
      <c r="AU1630" s="301"/>
      <c r="AV1630" s="301"/>
      <c r="AW1630" s="88"/>
      <c r="AX1630" s="298"/>
      <c r="AY1630" s="299"/>
      <c r="AZ1630" s="299"/>
      <c r="BA1630" s="301"/>
      <c r="BB1630" s="301"/>
      <c r="BC1630" s="426"/>
      <c r="BD1630" s="298"/>
      <c r="BE1630" s="299"/>
      <c r="BF1630" s="299"/>
      <c r="BG1630" s="301"/>
      <c r="BH1630" s="301"/>
      <c r="BI1630" s="88"/>
      <c r="BJ1630" s="298"/>
      <c r="BK1630" s="299"/>
      <c r="BL1630" s="299"/>
      <c r="BM1630" s="301"/>
      <c r="BN1630" s="301"/>
      <c r="BO1630" s="88"/>
      <c r="BP1630" s="9"/>
      <c r="BS1630" s="81"/>
      <c r="BT1630" s="81"/>
      <c r="BV1630" s="9"/>
      <c r="BY1630" s="81"/>
      <c r="BZ1630" s="81"/>
      <c r="CB1630" s="9"/>
      <c r="CE1630" s="81"/>
      <c r="CF1630" s="81"/>
      <c r="CH1630" s="9"/>
      <c r="CK1630" s="81"/>
      <c r="CL1630" s="81"/>
      <c r="CR1630" s="9"/>
      <c r="CS1630" s="9"/>
      <c r="CT1630" s="9"/>
      <c r="CU1630" s="9"/>
      <c r="CV1630" s="9"/>
      <c r="CW1630" s="129"/>
      <c r="CX1630" s="9"/>
    </row>
    <row r="1631" spans="1:102">
      <c r="A1631" s="6" t="str">
        <f t="shared" si="251"/>
        <v>03250998</v>
      </c>
      <c r="B1631" s="6" t="s">
        <v>1975</v>
      </c>
      <c r="C1631" s="6" t="s">
        <v>2091</v>
      </c>
      <c r="D1631" s="6">
        <v>1622</v>
      </c>
      <c r="E1631" s="6">
        <v>325</v>
      </c>
      <c r="F1631" s="6" t="s">
        <v>1547</v>
      </c>
      <c r="G1631" s="6">
        <v>998</v>
      </c>
      <c r="H1631" s="6" t="s">
        <v>1547</v>
      </c>
      <c r="I1631" s="33">
        <v>0</v>
      </c>
      <c r="J1631" s="88">
        <v>0</v>
      </c>
      <c r="K1631" s="89">
        <f t="shared" si="250"/>
        <v>0</v>
      </c>
      <c r="L1631" s="88">
        <f>IF(K1634&gt;0, K1631/K1634, 0)</f>
        <v>0</v>
      </c>
      <c r="M1631" s="58"/>
      <c r="N1631" s="9">
        <f>ROUND(M1634*L1631,0)</f>
        <v>0</v>
      </c>
      <c r="O1631" s="9">
        <v>0</v>
      </c>
      <c r="P1631" s="9">
        <f>N1631-O1631</f>
        <v>0</v>
      </c>
      <c r="Q1631" s="40">
        <f t="shared" si="259"/>
        <v>0</v>
      </c>
      <c r="R1631" s="9">
        <v>0</v>
      </c>
      <c r="S1631" s="9">
        <f t="shared" si="257"/>
        <v>0</v>
      </c>
      <c r="T1631" s="90">
        <f t="shared" si="252"/>
        <v>325</v>
      </c>
      <c r="U1631" s="90">
        <f t="shared" si="253"/>
        <v>998</v>
      </c>
      <c r="V1631" s="373">
        <f t="shared" si="254"/>
        <v>1622</v>
      </c>
      <c r="W1631" s="90">
        <f t="shared" si="255"/>
        <v>0</v>
      </c>
      <c r="X1631" s="90">
        <f t="shared" si="256"/>
        <v>0</v>
      </c>
      <c r="Y1631" s="141">
        <f t="shared" si="258"/>
        <v>1622</v>
      </c>
      <c r="Z1631" s="298">
        <v>325</v>
      </c>
      <c r="AA1631" s="299">
        <v>998</v>
      </c>
      <c r="AB1631" s="299">
        <v>1622</v>
      </c>
      <c r="AC1631" s="301">
        <v>0</v>
      </c>
      <c r="AD1631" s="301">
        <v>0</v>
      </c>
      <c r="AE1631" s="126"/>
      <c r="AF1631" s="298"/>
      <c r="AG1631" s="299"/>
      <c r="AH1631" s="299"/>
      <c r="AI1631" s="301"/>
      <c r="AJ1631" s="301"/>
      <c r="AK1631" s="426"/>
      <c r="AL1631" s="298"/>
      <c r="AM1631" s="299"/>
      <c r="AN1631" s="299"/>
      <c r="AO1631" s="301"/>
      <c r="AP1631" s="301"/>
      <c r="AQ1631" s="426"/>
      <c r="AR1631" s="298"/>
      <c r="AS1631" s="299"/>
      <c r="AT1631" s="299"/>
      <c r="AU1631" s="301"/>
      <c r="AV1631" s="301"/>
      <c r="AW1631" s="88"/>
      <c r="AX1631" s="298"/>
      <c r="AY1631" s="299"/>
      <c r="AZ1631" s="299"/>
      <c r="BA1631" s="301"/>
      <c r="BB1631" s="301"/>
      <c r="BC1631" s="426"/>
      <c r="BD1631" s="298"/>
      <c r="BE1631" s="299"/>
      <c r="BF1631" s="299"/>
      <c r="BG1631" s="301"/>
      <c r="BH1631" s="301"/>
      <c r="BI1631" s="88"/>
      <c r="BJ1631" s="298"/>
      <c r="BK1631" s="299"/>
      <c r="BL1631" s="299"/>
      <c r="BM1631" s="301"/>
      <c r="BN1631" s="301"/>
      <c r="BO1631" s="88"/>
      <c r="BP1631" s="9"/>
      <c r="BS1631" s="81"/>
      <c r="BT1631" s="81"/>
      <c r="BV1631" s="9"/>
      <c r="BY1631" s="81"/>
      <c r="BZ1631" s="81"/>
      <c r="CB1631" s="9"/>
      <c r="CE1631" s="81"/>
      <c r="CF1631" s="81"/>
      <c r="CH1631" s="9"/>
      <c r="CK1631" s="81"/>
      <c r="CL1631" s="81"/>
      <c r="CR1631" s="9"/>
      <c r="CS1631" s="9"/>
      <c r="CT1631" s="9"/>
      <c r="CU1631" s="9"/>
      <c r="CV1631" s="9"/>
      <c r="CW1631" s="129"/>
      <c r="CX1631" s="9"/>
    </row>
    <row r="1632" spans="1:102">
      <c r="A1632" s="6" t="str">
        <f t="shared" si="251"/>
        <v>03250998</v>
      </c>
      <c r="B1632" s="6" t="s">
        <v>1975</v>
      </c>
      <c r="C1632" s="6" t="s">
        <v>2091</v>
      </c>
      <c r="D1632" s="6">
        <v>1623</v>
      </c>
      <c r="E1632" s="6">
        <v>325</v>
      </c>
      <c r="F1632" s="6" t="s">
        <v>1547</v>
      </c>
      <c r="G1632" s="6">
        <v>998</v>
      </c>
      <c r="H1632" s="6" t="s">
        <v>1547</v>
      </c>
      <c r="I1632" s="33">
        <v>0</v>
      </c>
      <c r="J1632" s="88">
        <v>0</v>
      </c>
      <c r="K1632" s="89">
        <f t="shared" si="250"/>
        <v>0</v>
      </c>
      <c r="L1632" s="88">
        <f>IF(K1634&gt;0, K1632/K1634, 0)</f>
        <v>0</v>
      </c>
      <c r="M1632" s="58"/>
      <c r="N1632" s="9">
        <f>ROUND(M1634*L1632,0)</f>
        <v>0</v>
      </c>
      <c r="O1632" s="9">
        <v>0</v>
      </c>
      <c r="P1632" s="9">
        <f>N1632-O1632</f>
        <v>0</v>
      </c>
      <c r="Q1632" s="40">
        <f t="shared" si="259"/>
        <v>0</v>
      </c>
      <c r="R1632" s="9">
        <v>0</v>
      </c>
      <c r="S1632" s="9">
        <f t="shared" si="257"/>
        <v>0</v>
      </c>
      <c r="T1632" s="90">
        <f t="shared" si="252"/>
        <v>325</v>
      </c>
      <c r="U1632" s="90">
        <f t="shared" si="253"/>
        <v>998</v>
      </c>
      <c r="V1632" s="373">
        <f t="shared" si="254"/>
        <v>1623</v>
      </c>
      <c r="W1632" s="90">
        <f t="shared" si="255"/>
        <v>0</v>
      </c>
      <c r="X1632" s="90">
        <f t="shared" si="256"/>
        <v>0</v>
      </c>
      <c r="Y1632" s="141">
        <f t="shared" si="258"/>
        <v>1623</v>
      </c>
      <c r="Z1632" s="298">
        <v>325</v>
      </c>
      <c r="AA1632" s="299">
        <v>998</v>
      </c>
      <c r="AB1632" s="299">
        <v>1623</v>
      </c>
      <c r="AC1632" s="301">
        <v>0</v>
      </c>
      <c r="AD1632" s="301">
        <v>0</v>
      </c>
      <c r="AE1632" s="126"/>
      <c r="AF1632" s="298"/>
      <c r="AG1632" s="299"/>
      <c r="AH1632" s="299"/>
      <c r="AI1632" s="301"/>
      <c r="AJ1632" s="301"/>
      <c r="AK1632" s="426"/>
      <c r="AL1632" s="298"/>
      <c r="AM1632" s="299"/>
      <c r="AN1632" s="299"/>
      <c r="AO1632" s="301"/>
      <c r="AP1632" s="301"/>
      <c r="AQ1632" s="426"/>
      <c r="AR1632" s="298"/>
      <c r="AS1632" s="299"/>
      <c r="AT1632" s="299"/>
      <c r="AU1632" s="301"/>
      <c r="AV1632" s="301"/>
      <c r="AW1632" s="88"/>
      <c r="AX1632" s="298"/>
      <c r="AY1632" s="299"/>
      <c r="AZ1632" s="299"/>
      <c r="BA1632" s="301"/>
      <c r="BB1632" s="301"/>
      <c r="BC1632" s="426"/>
      <c r="BD1632" s="298"/>
      <c r="BE1632" s="299"/>
      <c r="BF1632" s="299"/>
      <c r="BG1632" s="301"/>
      <c r="BH1632" s="301"/>
      <c r="BI1632" s="88"/>
      <c r="BJ1632" s="298"/>
      <c r="BK1632" s="299"/>
      <c r="BL1632" s="299"/>
      <c r="BM1632" s="301"/>
      <c r="BN1632" s="301"/>
      <c r="BO1632" s="88"/>
      <c r="BP1632" s="9"/>
      <c r="BS1632" s="81"/>
      <c r="BT1632" s="81"/>
      <c r="BV1632" s="9"/>
      <c r="BY1632" s="81"/>
      <c r="BZ1632" s="81"/>
      <c r="CB1632" s="9"/>
      <c r="CE1632" s="81"/>
      <c r="CF1632" s="81"/>
      <c r="CH1632" s="9"/>
      <c r="CK1632" s="81"/>
      <c r="CL1632" s="81"/>
      <c r="CR1632" s="9"/>
      <c r="CS1632" s="9"/>
      <c r="CT1632" s="9"/>
      <c r="CU1632" s="9"/>
      <c r="CV1632" s="9"/>
      <c r="CW1632" s="129"/>
      <c r="CX1632" s="9"/>
    </row>
    <row r="1633" spans="1:102">
      <c r="A1633" s="6" t="str">
        <f t="shared" si="251"/>
        <v>03250998</v>
      </c>
      <c r="B1633" s="6" t="s">
        <v>1975</v>
      </c>
      <c r="C1633" s="6" t="s">
        <v>2091</v>
      </c>
      <c r="D1633" s="6">
        <v>1624</v>
      </c>
      <c r="E1633" s="6">
        <v>325</v>
      </c>
      <c r="F1633" s="6" t="s">
        <v>1547</v>
      </c>
      <c r="G1633" s="6">
        <v>998</v>
      </c>
      <c r="H1633" s="6" t="s">
        <v>1547</v>
      </c>
      <c r="I1633" s="33">
        <v>0</v>
      </c>
      <c r="J1633" s="88">
        <v>0</v>
      </c>
      <c r="K1633" s="89">
        <f t="shared" si="250"/>
        <v>0</v>
      </c>
      <c r="L1633" s="88">
        <f>IF(K1634&gt;0, K1633/K1634, 0)</f>
        <v>0</v>
      </c>
      <c r="M1633" s="58"/>
      <c r="N1633" s="9">
        <f>ROUND(M1634*L1633,0)</f>
        <v>0</v>
      </c>
      <c r="O1633" s="9">
        <v>0</v>
      </c>
      <c r="P1633" s="9">
        <f>N1633-O1633</f>
        <v>0</v>
      </c>
      <c r="Q1633" s="40">
        <f t="shared" si="259"/>
        <v>0</v>
      </c>
      <c r="R1633" s="9">
        <v>0</v>
      </c>
      <c r="S1633" s="9">
        <f t="shared" si="257"/>
        <v>0</v>
      </c>
      <c r="T1633" s="90">
        <f t="shared" si="252"/>
        <v>325</v>
      </c>
      <c r="U1633" s="90">
        <f t="shared" si="253"/>
        <v>998</v>
      </c>
      <c r="V1633" s="373">
        <f t="shared" si="254"/>
        <v>1624</v>
      </c>
      <c r="W1633" s="90">
        <f t="shared" si="255"/>
        <v>0</v>
      </c>
      <c r="X1633" s="90">
        <f t="shared" si="256"/>
        <v>0</v>
      </c>
      <c r="Y1633" s="141">
        <f t="shared" si="258"/>
        <v>1624</v>
      </c>
      <c r="Z1633" s="298">
        <v>325</v>
      </c>
      <c r="AA1633" s="299">
        <v>998</v>
      </c>
      <c r="AB1633" s="299">
        <v>1624</v>
      </c>
      <c r="AC1633" s="301">
        <v>0</v>
      </c>
      <c r="AD1633" s="301">
        <v>0</v>
      </c>
      <c r="AE1633" s="126"/>
      <c r="AF1633" s="298"/>
      <c r="AG1633" s="299"/>
      <c r="AH1633" s="299"/>
      <c r="AI1633" s="301"/>
      <c r="AJ1633" s="301"/>
      <c r="AK1633" s="426"/>
      <c r="AL1633" s="298"/>
      <c r="AM1633" s="299"/>
      <c r="AN1633" s="299"/>
      <c r="AO1633" s="301"/>
      <c r="AP1633" s="301"/>
      <c r="AQ1633" s="426"/>
      <c r="AR1633" s="298"/>
      <c r="AS1633" s="299"/>
      <c r="AT1633" s="299"/>
      <c r="AU1633" s="301"/>
      <c r="AV1633" s="301"/>
      <c r="AW1633" s="88"/>
      <c r="AX1633" s="298"/>
      <c r="AY1633" s="299"/>
      <c r="AZ1633" s="299"/>
      <c r="BA1633" s="301"/>
      <c r="BB1633" s="301"/>
      <c r="BC1633" s="426"/>
      <c r="BD1633" s="298"/>
      <c r="BE1633" s="299"/>
      <c r="BF1633" s="299"/>
      <c r="BG1633" s="301"/>
      <c r="BH1633" s="301"/>
      <c r="BI1633" s="88"/>
      <c r="BJ1633" s="298"/>
      <c r="BK1633" s="299"/>
      <c r="BL1633" s="299"/>
      <c r="BM1633" s="301"/>
      <c r="BN1633" s="301"/>
      <c r="BO1633" s="88"/>
      <c r="BP1633" s="9"/>
      <c r="BS1633" s="81"/>
      <c r="BT1633" s="81"/>
      <c r="BV1633" s="9"/>
      <c r="BY1633" s="81"/>
      <c r="BZ1633" s="81"/>
      <c r="CB1633" s="9"/>
      <c r="CE1633" s="81"/>
      <c r="CF1633" s="81"/>
      <c r="CH1633" s="9"/>
      <c r="CK1633" s="81"/>
      <c r="CL1633" s="81"/>
      <c r="CR1633" s="9"/>
      <c r="CS1633" s="9"/>
      <c r="CT1633" s="9"/>
      <c r="CU1633" s="9"/>
      <c r="CV1633" s="9"/>
      <c r="CW1633" s="129"/>
      <c r="CX1633" s="9"/>
    </row>
    <row r="1634" spans="1:102">
      <c r="A1634" s="6" t="str">
        <f t="shared" si="251"/>
        <v>03250999</v>
      </c>
      <c r="B1634" s="6" t="s">
        <v>1975</v>
      </c>
      <c r="C1634" s="6" t="s">
        <v>2092</v>
      </c>
      <c r="D1634" s="6">
        <v>1625</v>
      </c>
      <c r="E1634" s="10">
        <v>325</v>
      </c>
      <c r="F1634" s="10" t="s">
        <v>1443</v>
      </c>
      <c r="G1634" s="10">
        <v>999</v>
      </c>
      <c r="H1634" s="10" t="s">
        <v>593</v>
      </c>
      <c r="I1634" s="92">
        <v>75008744.25999999</v>
      </c>
      <c r="J1634" s="472">
        <v>1</v>
      </c>
      <c r="K1634" s="53">
        <f>SUM(K1630:K1633)</f>
        <v>77785675.980000004</v>
      </c>
      <c r="L1634" s="91">
        <f>SUM(L1630:L1633)</f>
        <v>1</v>
      </c>
      <c r="M1634" s="79">
        <f>VLOOKUP(E1634,town351,24)</f>
        <v>33756613</v>
      </c>
      <c r="N1634" s="79">
        <f>SUM(N1630:N1633)</f>
        <v>33756613</v>
      </c>
      <c r="O1634" s="79">
        <v>32011961</v>
      </c>
      <c r="P1634" s="79">
        <f>SUM(P1630:P1633)</f>
        <v>1744652</v>
      </c>
      <c r="Q1634" s="39">
        <f t="shared" si="259"/>
        <v>5.4500003920409625</v>
      </c>
      <c r="R1634" s="9">
        <v>4849</v>
      </c>
      <c r="S1634" s="9">
        <f t="shared" si="257"/>
        <v>4815</v>
      </c>
      <c r="T1634" s="90">
        <f t="shared" si="252"/>
        <v>325</v>
      </c>
      <c r="U1634" s="90">
        <f t="shared" si="253"/>
        <v>999</v>
      </c>
      <c r="V1634" s="373">
        <f t="shared" si="254"/>
        <v>1625</v>
      </c>
      <c r="W1634" s="90">
        <f t="shared" si="255"/>
        <v>4815</v>
      </c>
      <c r="X1634" s="90">
        <f t="shared" si="256"/>
        <v>77785675.980000004</v>
      </c>
      <c r="Y1634" s="141">
        <f t="shared" si="258"/>
        <v>1625</v>
      </c>
      <c r="Z1634" s="298">
        <v>325</v>
      </c>
      <c r="AA1634" s="299">
        <v>999</v>
      </c>
      <c r="AB1634" s="299">
        <v>1625</v>
      </c>
      <c r="AC1634" s="301">
        <v>4815</v>
      </c>
      <c r="AD1634" s="301">
        <v>77785675.980000004</v>
      </c>
      <c r="AE1634" s="126"/>
      <c r="AF1634" s="298"/>
      <c r="AG1634" s="299"/>
      <c r="AH1634" s="299"/>
      <c r="AI1634" s="301"/>
      <c r="AJ1634" s="301"/>
      <c r="AK1634" s="426"/>
      <c r="AL1634" s="298"/>
      <c r="AM1634" s="299"/>
      <c r="AN1634" s="299"/>
      <c r="AO1634" s="301"/>
      <c r="AP1634" s="301"/>
      <c r="AQ1634" s="426"/>
      <c r="AR1634" s="298"/>
      <c r="AS1634" s="299"/>
      <c r="AT1634" s="299"/>
      <c r="AU1634" s="301"/>
      <c r="AV1634" s="301"/>
      <c r="AW1634" s="91"/>
      <c r="AX1634" s="298"/>
      <c r="AY1634" s="299"/>
      <c r="AZ1634" s="299"/>
      <c r="BA1634" s="301"/>
      <c r="BB1634" s="301"/>
      <c r="BC1634" s="426"/>
      <c r="BD1634" s="298"/>
      <c r="BE1634" s="299"/>
      <c r="BF1634" s="299"/>
      <c r="BG1634" s="301"/>
      <c r="BH1634" s="301"/>
      <c r="BI1634" s="91"/>
      <c r="BJ1634" s="298"/>
      <c r="BK1634" s="299"/>
      <c r="BL1634" s="299"/>
      <c r="BM1634" s="301"/>
      <c r="BN1634" s="301"/>
      <c r="BO1634" s="91"/>
      <c r="BP1634" s="9"/>
      <c r="BS1634" s="81"/>
      <c r="BT1634" s="81"/>
      <c r="BV1634" s="9"/>
      <c r="BY1634" s="81"/>
      <c r="BZ1634" s="81"/>
      <c r="CB1634" s="9"/>
      <c r="CE1634" s="81"/>
      <c r="CF1634" s="81"/>
      <c r="CH1634" s="9"/>
      <c r="CK1634" s="81"/>
      <c r="CL1634" s="81"/>
      <c r="CR1634" s="9"/>
      <c r="CS1634" s="9"/>
      <c r="CT1634" s="9"/>
      <c r="CU1634" s="9"/>
      <c r="CV1634" s="9"/>
      <c r="CW1634" s="129"/>
      <c r="CX1634" s="9"/>
    </row>
    <row r="1635" spans="1:102">
      <c r="A1635" s="6" t="str">
        <f t="shared" si="251"/>
        <v>03260326</v>
      </c>
      <c r="B1635" s="6" t="s">
        <v>1976</v>
      </c>
      <c r="C1635" s="6" t="s">
        <v>1976</v>
      </c>
      <c r="D1635" s="6">
        <v>1626</v>
      </c>
      <c r="E1635" s="6">
        <v>326</v>
      </c>
      <c r="F1635" s="6" t="s">
        <v>1444</v>
      </c>
      <c r="G1635" s="6">
        <v>326</v>
      </c>
      <c r="H1635" s="6" t="s">
        <v>1007</v>
      </c>
      <c r="I1635" s="33">
        <v>56419497.774939992</v>
      </c>
      <c r="J1635" s="88">
        <v>0.9722988443221372</v>
      </c>
      <c r="K1635" s="89">
        <f>X1635</f>
        <v>56506301.348869994</v>
      </c>
      <c r="L1635" s="88">
        <f>IF(K1639&gt;0, K1635/K1639, 0)</f>
        <v>0.97130604732442527</v>
      </c>
      <c r="M1635" s="58"/>
      <c r="N1635" s="9">
        <f>ROUND(M1639*L1635,0)</f>
        <v>43815994</v>
      </c>
      <c r="O1635" s="9">
        <v>42434964</v>
      </c>
      <c r="P1635" s="9">
        <f>N1635-O1635</f>
        <v>1381030</v>
      </c>
      <c r="Q1635" s="40">
        <f t="shared" si="259"/>
        <v>3.25446252293274</v>
      </c>
      <c r="R1635" s="9">
        <v>4658</v>
      </c>
      <c r="S1635" s="9">
        <f t="shared" si="257"/>
        <v>4566</v>
      </c>
      <c r="T1635" s="90">
        <f t="shared" si="252"/>
        <v>326</v>
      </c>
      <c r="U1635" s="90">
        <f t="shared" si="253"/>
        <v>326</v>
      </c>
      <c r="V1635" s="373">
        <f t="shared" si="254"/>
        <v>1626</v>
      </c>
      <c r="W1635" s="90">
        <f t="shared" si="255"/>
        <v>4566</v>
      </c>
      <c r="X1635" s="90">
        <f t="shared" si="256"/>
        <v>56506301.348869994</v>
      </c>
      <c r="Y1635" s="141">
        <f t="shared" si="258"/>
        <v>1626</v>
      </c>
      <c r="Z1635" s="298">
        <v>326</v>
      </c>
      <c r="AA1635" s="299">
        <v>326</v>
      </c>
      <c r="AB1635" s="299">
        <v>1626</v>
      </c>
      <c r="AC1635" s="301">
        <v>4566</v>
      </c>
      <c r="AD1635" s="301">
        <v>56506301.348869994</v>
      </c>
      <c r="AE1635" s="126"/>
      <c r="AF1635" s="298"/>
      <c r="AG1635" s="299"/>
      <c r="AH1635" s="299"/>
      <c r="AI1635" s="301"/>
      <c r="AJ1635" s="301"/>
      <c r="AK1635" s="426"/>
      <c r="AL1635" s="298"/>
      <c r="AM1635" s="299"/>
      <c r="AN1635" s="299"/>
      <c r="AO1635" s="301"/>
      <c r="AP1635" s="301"/>
      <c r="AQ1635" s="426"/>
      <c r="AR1635" s="298"/>
      <c r="AS1635" s="299"/>
      <c r="AT1635" s="299"/>
      <c r="AU1635" s="301"/>
      <c r="AV1635" s="301"/>
      <c r="AW1635" s="88"/>
      <c r="AX1635" s="298"/>
      <c r="AY1635" s="299"/>
      <c r="AZ1635" s="299"/>
      <c r="BA1635" s="301"/>
      <c r="BB1635" s="301"/>
      <c r="BC1635" s="426"/>
      <c r="BD1635" s="298"/>
      <c r="BE1635" s="299"/>
      <c r="BF1635" s="299"/>
      <c r="BG1635" s="301"/>
      <c r="BH1635" s="301"/>
      <c r="BI1635" s="88"/>
      <c r="BJ1635" s="298"/>
      <c r="BK1635" s="299"/>
      <c r="BL1635" s="299"/>
      <c r="BM1635" s="301"/>
      <c r="BN1635" s="301"/>
      <c r="BO1635" s="88"/>
      <c r="BP1635" s="9"/>
      <c r="BS1635" s="81"/>
      <c r="BT1635" s="81"/>
      <c r="BV1635" s="9"/>
      <c r="BY1635" s="81"/>
      <c r="BZ1635" s="81"/>
      <c r="CB1635" s="9"/>
      <c r="CE1635" s="81"/>
      <c r="CF1635" s="81"/>
      <c r="CH1635" s="9"/>
      <c r="CK1635" s="81"/>
      <c r="CL1635" s="81"/>
      <c r="CR1635" s="9"/>
      <c r="CS1635" s="9"/>
      <c r="CT1635" s="9"/>
      <c r="CU1635" s="9"/>
      <c r="CV1635" s="9"/>
      <c r="CW1635" s="129"/>
      <c r="CX1635" s="9"/>
    </row>
    <row r="1636" spans="1:102">
      <c r="A1636" s="6" t="str">
        <f t="shared" si="251"/>
        <v>03260852</v>
      </c>
      <c r="B1636" s="6" t="s">
        <v>1976</v>
      </c>
      <c r="C1636" s="6" t="s">
        <v>2077</v>
      </c>
      <c r="D1636" s="6">
        <v>1627</v>
      </c>
      <c r="E1636" s="6">
        <v>326</v>
      </c>
      <c r="F1636" s="6" t="s">
        <v>1444</v>
      </c>
      <c r="G1636" s="6">
        <v>852</v>
      </c>
      <c r="H1636" s="6" t="s">
        <v>1107</v>
      </c>
      <c r="I1636" s="33">
        <v>1607412.4743201283</v>
      </c>
      <c r="J1636" s="88">
        <v>2.7701155677862823E-2</v>
      </c>
      <c r="K1636" s="89">
        <f t="shared" si="250"/>
        <v>1669287.5960594954</v>
      </c>
      <c r="L1636" s="88">
        <f>IF(K1639&gt;0, K1636/K1639, 0)</f>
        <v>2.8693952675574733E-2</v>
      </c>
      <c r="M1636" s="58"/>
      <c r="N1636" s="9">
        <f>ROUND(M1639*L1636,0)</f>
        <v>1294395</v>
      </c>
      <c r="O1636" s="9">
        <v>1208988</v>
      </c>
      <c r="P1636" s="9">
        <f>N1636-O1636</f>
        <v>85407</v>
      </c>
      <c r="Q1636" s="40">
        <f t="shared" si="259"/>
        <v>7.0643381075742688</v>
      </c>
      <c r="R1636" s="9">
        <v>79.000000000349999</v>
      </c>
      <c r="S1636" s="9">
        <f t="shared" si="257"/>
        <v>80.999999997000003</v>
      </c>
      <c r="T1636" s="90">
        <f t="shared" si="252"/>
        <v>326</v>
      </c>
      <c r="U1636" s="90">
        <f t="shared" si="253"/>
        <v>852</v>
      </c>
      <c r="V1636" s="373">
        <f t="shared" si="254"/>
        <v>1627</v>
      </c>
      <c r="W1636" s="90">
        <f t="shared" si="255"/>
        <v>80.999999997000003</v>
      </c>
      <c r="X1636" s="90">
        <f t="shared" si="256"/>
        <v>1669287.5960594954</v>
      </c>
      <c r="Y1636" s="141">
        <f t="shared" si="258"/>
        <v>1627</v>
      </c>
      <c r="Z1636" s="298">
        <v>326</v>
      </c>
      <c r="AA1636" s="299">
        <v>852</v>
      </c>
      <c r="AB1636" s="299">
        <v>1627</v>
      </c>
      <c r="AC1636" s="301">
        <v>80.999999997000003</v>
      </c>
      <c r="AD1636" s="301">
        <v>1669287.5960594954</v>
      </c>
      <c r="AE1636" s="126"/>
      <c r="AF1636" s="298"/>
      <c r="AG1636" s="299"/>
      <c r="AH1636" s="299"/>
      <c r="AI1636" s="301"/>
      <c r="AJ1636" s="301"/>
      <c r="AK1636" s="426"/>
      <c r="AL1636" s="298"/>
      <c r="AM1636" s="299"/>
      <c r="AN1636" s="299"/>
      <c r="AO1636" s="301"/>
      <c r="AP1636" s="301"/>
      <c r="AQ1636" s="426"/>
      <c r="AR1636" s="298"/>
      <c r="AS1636" s="299"/>
      <c r="AT1636" s="299"/>
      <c r="AU1636" s="301"/>
      <c r="AV1636" s="301"/>
      <c r="AW1636" s="88"/>
      <c r="AX1636" s="298"/>
      <c r="AY1636" s="299"/>
      <c r="AZ1636" s="299"/>
      <c r="BA1636" s="301"/>
      <c r="BB1636" s="301"/>
      <c r="BC1636" s="426"/>
      <c r="BD1636" s="298"/>
      <c r="BE1636" s="299"/>
      <c r="BF1636" s="299"/>
      <c r="BG1636" s="301"/>
      <c r="BH1636" s="301"/>
      <c r="BI1636" s="88"/>
      <c r="BJ1636" s="298"/>
      <c r="BK1636" s="299"/>
      <c r="BL1636" s="299"/>
      <c r="BM1636" s="301"/>
      <c r="BN1636" s="301"/>
      <c r="BO1636" s="88"/>
      <c r="BP1636" s="9"/>
      <c r="BS1636" s="81"/>
      <c r="BT1636" s="81"/>
      <c r="BV1636" s="9"/>
      <c r="BY1636" s="81"/>
      <c r="BZ1636" s="81"/>
      <c r="CB1636" s="9"/>
      <c r="CE1636" s="81"/>
      <c r="CF1636" s="81"/>
      <c r="CH1636" s="9"/>
      <c r="CK1636" s="81"/>
      <c r="CL1636" s="81"/>
      <c r="CR1636" s="9"/>
      <c r="CS1636" s="9"/>
      <c r="CT1636" s="9"/>
      <c r="CU1636" s="9"/>
      <c r="CV1636" s="9"/>
      <c r="CW1636" s="129"/>
      <c r="CX1636" s="9"/>
    </row>
    <row r="1637" spans="1:102">
      <c r="A1637" s="6" t="str">
        <f t="shared" si="251"/>
        <v>03260998</v>
      </c>
      <c r="B1637" s="6" t="s">
        <v>1976</v>
      </c>
      <c r="C1637" s="6" t="s">
        <v>2091</v>
      </c>
      <c r="D1637" s="6">
        <v>1628</v>
      </c>
      <c r="E1637" s="6">
        <v>326</v>
      </c>
      <c r="F1637" s="6" t="s">
        <v>1547</v>
      </c>
      <c r="G1637" s="6">
        <v>998</v>
      </c>
      <c r="H1637" s="6" t="s">
        <v>1547</v>
      </c>
      <c r="I1637" s="33">
        <v>0</v>
      </c>
      <c r="J1637" s="88">
        <v>0</v>
      </c>
      <c r="K1637" s="89">
        <f t="shared" si="250"/>
        <v>0</v>
      </c>
      <c r="L1637" s="88">
        <f>IF(K1639&gt;0, K1637/K1639, 0)</f>
        <v>0</v>
      </c>
      <c r="M1637" s="58"/>
      <c r="N1637" s="9">
        <f>ROUND(M1639*L1637,0)</f>
        <v>0</v>
      </c>
      <c r="O1637" s="9">
        <v>0</v>
      </c>
      <c r="P1637" s="9">
        <f>N1637-O1637</f>
        <v>0</v>
      </c>
      <c r="Q1637" s="40">
        <f t="shared" si="259"/>
        <v>0</v>
      </c>
      <c r="R1637" s="9">
        <v>0</v>
      </c>
      <c r="S1637" s="9">
        <f t="shared" si="257"/>
        <v>0</v>
      </c>
      <c r="T1637" s="90">
        <f t="shared" si="252"/>
        <v>326</v>
      </c>
      <c r="U1637" s="90">
        <f t="shared" si="253"/>
        <v>998</v>
      </c>
      <c r="V1637" s="373">
        <f t="shared" si="254"/>
        <v>1628</v>
      </c>
      <c r="W1637" s="90">
        <f t="shared" si="255"/>
        <v>0</v>
      </c>
      <c r="X1637" s="90">
        <f t="shared" si="256"/>
        <v>0</v>
      </c>
      <c r="Y1637" s="141">
        <f t="shared" si="258"/>
        <v>1628</v>
      </c>
      <c r="Z1637" s="298">
        <v>326</v>
      </c>
      <c r="AA1637" s="299">
        <v>998</v>
      </c>
      <c r="AB1637" s="299">
        <v>1628</v>
      </c>
      <c r="AC1637" s="301">
        <v>0</v>
      </c>
      <c r="AD1637" s="301">
        <v>0</v>
      </c>
      <c r="AE1637" s="126"/>
      <c r="AF1637" s="298"/>
      <c r="AG1637" s="299"/>
      <c r="AH1637" s="299"/>
      <c r="AI1637" s="301"/>
      <c r="AJ1637" s="301"/>
      <c r="AK1637" s="426"/>
      <c r="AL1637" s="298"/>
      <c r="AM1637" s="299"/>
      <c r="AN1637" s="299"/>
      <c r="AO1637" s="301"/>
      <c r="AP1637" s="301"/>
      <c r="AQ1637" s="426"/>
      <c r="AR1637" s="298"/>
      <c r="AS1637" s="299"/>
      <c r="AT1637" s="299"/>
      <c r="AU1637" s="301"/>
      <c r="AV1637" s="301"/>
      <c r="AW1637" s="88"/>
      <c r="AX1637" s="298"/>
      <c r="AY1637" s="299"/>
      <c r="AZ1637" s="299"/>
      <c r="BA1637" s="301"/>
      <c r="BB1637" s="301"/>
      <c r="BC1637" s="426"/>
      <c r="BD1637" s="298"/>
      <c r="BE1637" s="299"/>
      <c r="BF1637" s="299"/>
      <c r="BG1637" s="301"/>
      <c r="BH1637" s="301"/>
      <c r="BI1637" s="88"/>
      <c r="BJ1637" s="298"/>
      <c r="BK1637" s="299"/>
      <c r="BL1637" s="299"/>
      <c r="BM1637" s="301"/>
      <c r="BN1637" s="301"/>
      <c r="BO1637" s="88"/>
      <c r="BP1637" s="9"/>
      <c r="BS1637" s="81"/>
      <c r="BT1637" s="81"/>
      <c r="BV1637" s="9"/>
      <c r="BY1637" s="81"/>
      <c r="BZ1637" s="81"/>
      <c r="CB1637" s="9"/>
      <c r="CE1637" s="81"/>
      <c r="CF1637" s="81"/>
      <c r="CH1637" s="9"/>
      <c r="CK1637" s="81"/>
      <c r="CL1637" s="81"/>
      <c r="CR1637" s="9"/>
      <c r="CS1637" s="9"/>
      <c r="CT1637" s="9"/>
      <c r="CU1637" s="9"/>
      <c r="CV1637" s="9"/>
      <c r="CW1637" s="129"/>
      <c r="CX1637" s="9"/>
    </row>
    <row r="1638" spans="1:102">
      <c r="A1638" s="6" t="str">
        <f t="shared" si="251"/>
        <v>03260998</v>
      </c>
      <c r="B1638" s="6" t="s">
        <v>1976</v>
      </c>
      <c r="C1638" s="6" t="s">
        <v>2091</v>
      </c>
      <c r="D1638" s="6">
        <v>1629</v>
      </c>
      <c r="E1638" s="6">
        <v>326</v>
      </c>
      <c r="F1638" s="6" t="s">
        <v>1547</v>
      </c>
      <c r="G1638" s="6">
        <v>998</v>
      </c>
      <c r="H1638" s="6" t="s">
        <v>1547</v>
      </c>
      <c r="I1638" s="33">
        <v>0</v>
      </c>
      <c r="J1638" s="88">
        <v>0</v>
      </c>
      <c r="K1638" s="89">
        <f t="shared" si="250"/>
        <v>0</v>
      </c>
      <c r="L1638" s="88">
        <f>IF(K1639&gt;0, K1638/K1639, 0)</f>
        <v>0</v>
      </c>
      <c r="M1638" s="58"/>
      <c r="N1638" s="9">
        <f>ROUND(M1639*L1638,0)</f>
        <v>0</v>
      </c>
      <c r="O1638" s="9">
        <v>0</v>
      </c>
      <c r="P1638" s="9">
        <f>N1638-O1638</f>
        <v>0</v>
      </c>
      <c r="Q1638" s="40">
        <f t="shared" si="259"/>
        <v>0</v>
      </c>
      <c r="R1638" s="9">
        <v>0</v>
      </c>
      <c r="S1638" s="9">
        <f t="shared" si="257"/>
        <v>0</v>
      </c>
      <c r="T1638" s="90">
        <f t="shared" si="252"/>
        <v>326</v>
      </c>
      <c r="U1638" s="90">
        <f t="shared" si="253"/>
        <v>998</v>
      </c>
      <c r="V1638" s="373">
        <f t="shared" si="254"/>
        <v>1629</v>
      </c>
      <c r="W1638" s="90">
        <f t="shared" si="255"/>
        <v>0</v>
      </c>
      <c r="X1638" s="90">
        <f t="shared" si="256"/>
        <v>0</v>
      </c>
      <c r="Y1638" s="141">
        <f t="shared" si="258"/>
        <v>1629</v>
      </c>
      <c r="Z1638" s="298">
        <v>326</v>
      </c>
      <c r="AA1638" s="299">
        <v>998</v>
      </c>
      <c r="AB1638" s="299">
        <v>1629</v>
      </c>
      <c r="AC1638" s="301">
        <v>0</v>
      </c>
      <c r="AD1638" s="301">
        <v>0</v>
      </c>
      <c r="AE1638" s="126"/>
      <c r="AF1638" s="298"/>
      <c r="AG1638" s="299"/>
      <c r="AH1638" s="299"/>
      <c r="AI1638" s="301"/>
      <c r="AJ1638" s="301"/>
      <c r="AK1638" s="426"/>
      <c r="AL1638" s="298"/>
      <c r="AM1638" s="299"/>
      <c r="AN1638" s="299"/>
      <c r="AO1638" s="301"/>
      <c r="AP1638" s="301"/>
      <c r="AQ1638" s="426"/>
      <c r="AR1638" s="298"/>
      <c r="AS1638" s="299"/>
      <c r="AT1638" s="299"/>
      <c r="AU1638" s="301"/>
      <c r="AV1638" s="301"/>
      <c r="AW1638" s="88"/>
      <c r="AX1638" s="298"/>
      <c r="AY1638" s="299"/>
      <c r="AZ1638" s="299"/>
      <c r="BA1638" s="301"/>
      <c r="BB1638" s="301"/>
      <c r="BC1638" s="426"/>
      <c r="BD1638" s="298"/>
      <c r="BE1638" s="299"/>
      <c r="BF1638" s="299"/>
      <c r="BG1638" s="301"/>
      <c r="BH1638" s="301"/>
      <c r="BI1638" s="88"/>
      <c r="BJ1638" s="298"/>
      <c r="BK1638" s="299"/>
      <c r="BL1638" s="299"/>
      <c r="BM1638" s="301"/>
      <c r="BN1638" s="301"/>
      <c r="BO1638" s="88"/>
      <c r="BP1638" s="9"/>
      <c r="BS1638" s="81"/>
      <c r="BT1638" s="81"/>
      <c r="BV1638" s="9"/>
      <c r="BY1638" s="81"/>
      <c r="BZ1638" s="81"/>
      <c r="CB1638" s="9"/>
      <c r="CE1638" s="81"/>
      <c r="CF1638" s="81"/>
      <c r="CH1638" s="9"/>
      <c r="CK1638" s="81"/>
      <c r="CL1638" s="81"/>
      <c r="CR1638" s="9"/>
      <c r="CS1638" s="9"/>
      <c r="CT1638" s="9"/>
      <c r="CU1638" s="9"/>
      <c r="CV1638" s="9"/>
      <c r="CW1638" s="129"/>
      <c r="CX1638" s="9"/>
    </row>
    <row r="1639" spans="1:102">
      <c r="A1639" s="6" t="str">
        <f t="shared" si="251"/>
        <v>03260999</v>
      </c>
      <c r="B1639" s="6" t="s">
        <v>1976</v>
      </c>
      <c r="C1639" s="6" t="s">
        <v>2092</v>
      </c>
      <c r="D1639" s="6">
        <v>1630</v>
      </c>
      <c r="E1639" s="10">
        <v>326</v>
      </c>
      <c r="F1639" s="10" t="s">
        <v>1444</v>
      </c>
      <c r="G1639" s="10">
        <v>999</v>
      </c>
      <c r="H1639" s="10" t="s">
        <v>593</v>
      </c>
      <c r="I1639" s="92">
        <v>58026910.24926012</v>
      </c>
      <c r="J1639" s="472">
        <v>1</v>
      </c>
      <c r="K1639" s="53">
        <f>SUM(K1635:K1638)</f>
        <v>58175588.944929488</v>
      </c>
      <c r="L1639" s="91">
        <f>SUM(L1635:L1638)</f>
        <v>1</v>
      </c>
      <c r="M1639" s="79">
        <f>VLOOKUP(E1639,town351,24)</f>
        <v>45110389</v>
      </c>
      <c r="N1639" s="79">
        <f>SUM(N1635:N1638)</f>
        <v>45110389</v>
      </c>
      <c r="O1639" s="79">
        <v>43643952</v>
      </c>
      <c r="P1639" s="79">
        <f>SUM(P1635:P1638)</f>
        <v>1466437</v>
      </c>
      <c r="Q1639" s="39">
        <f t="shared" si="259"/>
        <v>3.3600004875818761</v>
      </c>
      <c r="R1639" s="9">
        <v>4737.0000000003502</v>
      </c>
      <c r="S1639" s="9">
        <f t="shared" si="257"/>
        <v>4646.9999999969996</v>
      </c>
      <c r="T1639" s="90">
        <f t="shared" si="252"/>
        <v>326</v>
      </c>
      <c r="U1639" s="90">
        <f t="shared" si="253"/>
        <v>999</v>
      </c>
      <c r="V1639" s="373">
        <f t="shared" si="254"/>
        <v>1630</v>
      </c>
      <c r="W1639" s="90">
        <f t="shared" si="255"/>
        <v>4646.9999999969996</v>
      </c>
      <c r="X1639" s="90">
        <f t="shared" si="256"/>
        <v>58175588.944929488</v>
      </c>
      <c r="Y1639" s="141">
        <f t="shared" si="258"/>
        <v>1630</v>
      </c>
      <c r="Z1639" s="298">
        <v>326</v>
      </c>
      <c r="AA1639" s="299">
        <v>999</v>
      </c>
      <c r="AB1639" s="299">
        <v>1630</v>
      </c>
      <c r="AC1639" s="301">
        <v>4646.9999999969996</v>
      </c>
      <c r="AD1639" s="301">
        <v>58175588.944929488</v>
      </c>
      <c r="AE1639" s="126"/>
      <c r="AF1639" s="298"/>
      <c r="AG1639" s="299"/>
      <c r="AH1639" s="299"/>
      <c r="AI1639" s="301"/>
      <c r="AJ1639" s="301"/>
      <c r="AK1639" s="426"/>
      <c r="AL1639" s="298"/>
      <c r="AM1639" s="299"/>
      <c r="AN1639" s="299"/>
      <c r="AO1639" s="301"/>
      <c r="AP1639" s="301"/>
      <c r="AQ1639" s="426"/>
      <c r="AR1639" s="298"/>
      <c r="AS1639" s="299"/>
      <c r="AT1639" s="299"/>
      <c r="AU1639" s="301"/>
      <c r="AV1639" s="301"/>
      <c r="AW1639" s="91"/>
      <c r="AX1639" s="298"/>
      <c r="AY1639" s="299"/>
      <c r="AZ1639" s="299"/>
      <c r="BA1639" s="301"/>
      <c r="BB1639" s="301"/>
      <c r="BC1639" s="426"/>
      <c r="BD1639" s="298"/>
      <c r="BE1639" s="299"/>
      <c r="BF1639" s="299"/>
      <c r="BG1639" s="301"/>
      <c r="BH1639" s="301"/>
      <c r="BI1639" s="91"/>
      <c r="BJ1639" s="298"/>
      <c r="BK1639" s="299"/>
      <c r="BL1639" s="299"/>
      <c r="BM1639" s="301"/>
      <c r="BN1639" s="301"/>
      <c r="BO1639" s="91"/>
      <c r="BP1639" s="9"/>
      <c r="BS1639" s="81"/>
      <c r="BT1639" s="81"/>
      <c r="BV1639" s="9"/>
      <c r="BY1639" s="81"/>
      <c r="BZ1639" s="81"/>
      <c r="CB1639" s="9"/>
      <c r="CE1639" s="81"/>
      <c r="CF1639" s="81"/>
      <c r="CH1639" s="9"/>
      <c r="CK1639" s="81"/>
      <c r="CL1639" s="81"/>
      <c r="CR1639" s="9"/>
      <c r="CS1639" s="9"/>
      <c r="CT1639" s="9"/>
      <c r="CU1639" s="9"/>
      <c r="CV1639" s="9"/>
      <c r="CW1639" s="129"/>
      <c r="CX1639" s="9"/>
    </row>
    <row r="1640" spans="1:102">
      <c r="A1640" s="6" t="str">
        <f t="shared" si="251"/>
        <v>03270327</v>
      </c>
      <c r="B1640" s="6" t="s">
        <v>1977</v>
      </c>
      <c r="C1640" s="6" t="s">
        <v>1977</v>
      </c>
      <c r="D1640" s="6">
        <v>1631</v>
      </c>
      <c r="E1640" s="6">
        <v>327</v>
      </c>
      <c r="F1640" s="6" t="s">
        <v>1445</v>
      </c>
      <c r="G1640" s="6">
        <v>327</v>
      </c>
      <c r="H1640" s="6" t="s">
        <v>1008</v>
      </c>
      <c r="I1640" s="33">
        <v>1280165.0299999996</v>
      </c>
      <c r="J1640" s="88">
        <v>0.52593716958583703</v>
      </c>
      <c r="K1640" s="89">
        <f t="shared" ref="K1640:K1703" si="260">X1640</f>
        <v>1321578.7600000002</v>
      </c>
      <c r="L1640" s="88">
        <f>IF(K1644&gt;0, K1640/K1644, 0)</f>
        <v>0.5261280947589686</v>
      </c>
      <c r="M1640" s="58"/>
      <c r="N1640" s="9">
        <f>ROUND(M1644*L1640,0)</f>
        <v>1072012</v>
      </c>
      <c r="O1640" s="9">
        <v>1028923</v>
      </c>
      <c r="P1640" s="9">
        <f>N1640-O1640</f>
        <v>43089</v>
      </c>
      <c r="Q1640" s="40">
        <f t="shared" si="259"/>
        <v>4.1877769279139452</v>
      </c>
      <c r="R1640" s="9">
        <v>92</v>
      </c>
      <c r="S1640" s="9">
        <f t="shared" si="257"/>
        <v>92</v>
      </c>
      <c r="T1640" s="90">
        <f t="shared" si="252"/>
        <v>327</v>
      </c>
      <c r="U1640" s="90">
        <f t="shared" si="253"/>
        <v>327</v>
      </c>
      <c r="V1640" s="373">
        <f t="shared" si="254"/>
        <v>1631</v>
      </c>
      <c r="W1640" s="90">
        <f t="shared" si="255"/>
        <v>92</v>
      </c>
      <c r="X1640" s="90">
        <f t="shared" si="256"/>
        <v>1321578.7600000002</v>
      </c>
      <c r="Y1640" s="141">
        <f t="shared" si="258"/>
        <v>1631</v>
      </c>
      <c r="Z1640" s="298">
        <v>327</v>
      </c>
      <c r="AA1640" s="299">
        <v>327</v>
      </c>
      <c r="AB1640" s="299">
        <v>1631</v>
      </c>
      <c r="AC1640" s="301">
        <v>92</v>
      </c>
      <c r="AD1640" s="301">
        <v>1321578.7600000002</v>
      </c>
      <c r="AE1640" s="126"/>
      <c r="AF1640" s="298"/>
      <c r="AG1640" s="299"/>
      <c r="AH1640" s="299"/>
      <c r="AI1640" s="301"/>
      <c r="AJ1640" s="301"/>
      <c r="AK1640" s="426"/>
      <c r="AL1640" s="298"/>
      <c r="AM1640" s="299"/>
      <c r="AN1640" s="299"/>
      <c r="AO1640" s="301"/>
      <c r="AP1640" s="301"/>
      <c r="AQ1640" s="426"/>
      <c r="AR1640" s="298"/>
      <c r="AS1640" s="299"/>
      <c r="AT1640" s="299"/>
      <c r="AU1640" s="301"/>
      <c r="AV1640" s="301"/>
      <c r="AW1640" s="88"/>
      <c r="AX1640" s="298"/>
      <c r="AY1640" s="299"/>
      <c r="AZ1640" s="299"/>
      <c r="BA1640" s="301"/>
      <c r="BB1640" s="301"/>
      <c r="BC1640" s="426"/>
      <c r="BD1640" s="298"/>
      <c r="BE1640" s="299"/>
      <c r="BF1640" s="299"/>
      <c r="BG1640" s="301"/>
      <c r="BH1640" s="301"/>
      <c r="BI1640" s="88"/>
      <c r="BJ1640" s="298"/>
      <c r="BK1640" s="299"/>
      <c r="BL1640" s="299"/>
      <c r="BM1640" s="301"/>
      <c r="BN1640" s="301"/>
      <c r="BO1640" s="88"/>
      <c r="BP1640" s="9"/>
      <c r="BS1640" s="81"/>
      <c r="BT1640" s="81"/>
      <c r="BV1640" s="9"/>
      <c r="BY1640" s="81"/>
      <c r="BZ1640" s="81"/>
      <c r="CB1640" s="9"/>
      <c r="CE1640" s="81"/>
      <c r="CF1640" s="81"/>
      <c r="CH1640" s="9"/>
      <c r="CK1640" s="81"/>
      <c r="CL1640" s="81"/>
      <c r="CR1640" s="9"/>
      <c r="CS1640" s="9"/>
      <c r="CT1640" s="9"/>
      <c r="CU1640" s="9"/>
      <c r="CV1640" s="9"/>
      <c r="CW1640" s="129"/>
      <c r="CX1640" s="9"/>
    </row>
    <row r="1641" spans="1:102">
      <c r="A1641" s="6" t="str">
        <f t="shared" si="251"/>
        <v>03270683</v>
      </c>
      <c r="B1641" s="6" t="s">
        <v>1977</v>
      </c>
      <c r="C1641" s="6" t="s">
        <v>2030</v>
      </c>
      <c r="D1641" s="6">
        <v>1632</v>
      </c>
      <c r="E1641" s="6">
        <v>327</v>
      </c>
      <c r="F1641" s="6" t="s">
        <v>1445</v>
      </c>
      <c r="G1641" s="6">
        <v>683</v>
      </c>
      <c r="H1641" s="6" t="s">
        <v>1060</v>
      </c>
      <c r="I1641" s="33">
        <v>1153899.5389828295</v>
      </c>
      <c r="J1641" s="88">
        <v>0.47406283041416292</v>
      </c>
      <c r="K1641" s="89">
        <f t="shared" si="260"/>
        <v>1190316.6760448017</v>
      </c>
      <c r="L1641" s="88">
        <f>IF(K1644&gt;0, K1641/K1644, 0)</f>
        <v>0.47387190524103145</v>
      </c>
      <c r="M1641" s="58"/>
      <c r="N1641" s="9">
        <f>ROUND(M1644*L1641,0)</f>
        <v>965538</v>
      </c>
      <c r="O1641" s="9">
        <v>927438</v>
      </c>
      <c r="P1641" s="9">
        <f>N1641-O1641</f>
        <v>38100</v>
      </c>
      <c r="Q1641" s="40">
        <f t="shared" si="259"/>
        <v>4.1080913225466285</v>
      </c>
      <c r="R1641" s="9">
        <v>87.150259068799997</v>
      </c>
      <c r="S1641" s="9">
        <f t="shared" si="257"/>
        <v>88.149152540670002</v>
      </c>
      <c r="T1641" s="90">
        <f t="shared" si="252"/>
        <v>327</v>
      </c>
      <c r="U1641" s="90">
        <f t="shared" si="253"/>
        <v>683</v>
      </c>
      <c r="V1641" s="373">
        <f t="shared" si="254"/>
        <v>1632</v>
      </c>
      <c r="W1641" s="90">
        <f t="shared" si="255"/>
        <v>88.149152540670002</v>
      </c>
      <c r="X1641" s="90">
        <f t="shared" si="256"/>
        <v>1190316.6760448017</v>
      </c>
      <c r="Y1641" s="141">
        <f t="shared" si="258"/>
        <v>1632</v>
      </c>
      <c r="Z1641" s="298">
        <v>327</v>
      </c>
      <c r="AA1641" s="299">
        <v>683</v>
      </c>
      <c r="AB1641" s="299">
        <v>1632</v>
      </c>
      <c r="AC1641" s="301">
        <v>88.149152540670002</v>
      </c>
      <c r="AD1641" s="301">
        <v>1190316.6760448017</v>
      </c>
      <c r="AE1641" s="126"/>
      <c r="AF1641" s="298"/>
      <c r="AG1641" s="299"/>
      <c r="AH1641" s="299"/>
      <c r="AI1641" s="301"/>
      <c r="AJ1641" s="301"/>
      <c r="AK1641" s="426"/>
      <c r="AL1641" s="298"/>
      <c r="AM1641" s="299"/>
      <c r="AN1641" s="299"/>
      <c r="AO1641" s="301"/>
      <c r="AP1641" s="301"/>
      <c r="AQ1641" s="426"/>
      <c r="AR1641" s="298"/>
      <c r="AS1641" s="299"/>
      <c r="AT1641" s="299"/>
      <c r="AU1641" s="301"/>
      <c r="AV1641" s="301"/>
      <c r="AW1641" s="88"/>
      <c r="AX1641" s="298"/>
      <c r="AY1641" s="299"/>
      <c r="AZ1641" s="299"/>
      <c r="BA1641" s="301"/>
      <c r="BB1641" s="301"/>
      <c r="BC1641" s="426"/>
      <c r="BD1641" s="298"/>
      <c r="BE1641" s="299"/>
      <c r="BF1641" s="299"/>
      <c r="BG1641" s="301"/>
      <c r="BH1641" s="301"/>
      <c r="BI1641" s="88"/>
      <c r="BJ1641" s="298"/>
      <c r="BK1641" s="299"/>
      <c r="BL1641" s="299"/>
      <c r="BM1641" s="301"/>
      <c r="BN1641" s="301"/>
      <c r="BO1641" s="88"/>
      <c r="BP1641" s="9"/>
      <c r="BS1641" s="81"/>
      <c r="BT1641" s="81"/>
      <c r="BV1641" s="9"/>
      <c r="BY1641" s="81"/>
      <c r="BZ1641" s="81"/>
      <c r="CB1641" s="9"/>
      <c r="CE1641" s="81"/>
      <c r="CF1641" s="81"/>
      <c r="CH1641" s="9"/>
      <c r="CK1641" s="81"/>
      <c r="CL1641" s="81"/>
      <c r="CR1641" s="9"/>
      <c r="CS1641" s="9"/>
      <c r="CT1641" s="9"/>
      <c r="CU1641" s="9"/>
      <c r="CV1641" s="9"/>
      <c r="CW1641" s="129"/>
      <c r="CX1641" s="9"/>
    </row>
    <row r="1642" spans="1:102">
      <c r="A1642" s="6" t="str">
        <f t="shared" si="251"/>
        <v>03270998</v>
      </c>
      <c r="B1642" s="6" t="s">
        <v>1977</v>
      </c>
      <c r="C1642" s="6" t="s">
        <v>2091</v>
      </c>
      <c r="D1642" s="6">
        <v>1633</v>
      </c>
      <c r="E1642" s="6">
        <v>327</v>
      </c>
      <c r="F1642" s="6" t="s">
        <v>1547</v>
      </c>
      <c r="G1642" s="6">
        <v>998</v>
      </c>
      <c r="H1642" s="6" t="s">
        <v>1547</v>
      </c>
      <c r="I1642" s="33">
        <v>0</v>
      </c>
      <c r="J1642" s="88">
        <v>0</v>
      </c>
      <c r="K1642" s="89">
        <f t="shared" si="260"/>
        <v>0</v>
      </c>
      <c r="L1642" s="88">
        <f>IF(K1644&gt;0, K1642/K1644, 0)</f>
        <v>0</v>
      </c>
      <c r="M1642" s="58"/>
      <c r="N1642" s="9">
        <f>ROUND(M1644*L1642,0)</f>
        <v>0</v>
      </c>
      <c r="O1642" s="9">
        <v>0</v>
      </c>
      <c r="P1642" s="9">
        <f>N1642-O1642</f>
        <v>0</v>
      </c>
      <c r="Q1642" s="40">
        <f t="shared" si="259"/>
        <v>0</v>
      </c>
      <c r="R1642" s="9">
        <v>0</v>
      </c>
      <c r="S1642" s="9">
        <f t="shared" si="257"/>
        <v>0</v>
      </c>
      <c r="T1642" s="90">
        <f t="shared" si="252"/>
        <v>327</v>
      </c>
      <c r="U1642" s="90">
        <f t="shared" si="253"/>
        <v>998</v>
      </c>
      <c r="V1642" s="373">
        <f t="shared" si="254"/>
        <v>1633</v>
      </c>
      <c r="W1642" s="90">
        <f t="shared" si="255"/>
        <v>0</v>
      </c>
      <c r="X1642" s="90">
        <f t="shared" si="256"/>
        <v>0</v>
      </c>
      <c r="Y1642" s="141">
        <f t="shared" si="258"/>
        <v>1633</v>
      </c>
      <c r="Z1642" s="298">
        <v>327</v>
      </c>
      <c r="AA1642" s="299">
        <v>998</v>
      </c>
      <c r="AB1642" s="299">
        <v>1633</v>
      </c>
      <c r="AC1642" s="301">
        <v>0</v>
      </c>
      <c r="AD1642" s="301">
        <v>0</v>
      </c>
      <c r="AE1642" s="126"/>
      <c r="AF1642" s="298"/>
      <c r="AG1642" s="299"/>
      <c r="AH1642" s="299"/>
      <c r="AI1642" s="301"/>
      <c r="AJ1642" s="301"/>
      <c r="AK1642" s="426"/>
      <c r="AL1642" s="298"/>
      <c r="AM1642" s="299"/>
      <c r="AN1642" s="299"/>
      <c r="AO1642" s="301"/>
      <c r="AP1642" s="301"/>
      <c r="AQ1642" s="426"/>
      <c r="AR1642" s="298"/>
      <c r="AS1642" s="299"/>
      <c r="AT1642" s="299"/>
      <c r="AU1642" s="301"/>
      <c r="AV1642" s="301"/>
      <c r="AW1642" s="88"/>
      <c r="AX1642" s="298"/>
      <c r="AY1642" s="299"/>
      <c r="AZ1642" s="299"/>
      <c r="BA1642" s="301"/>
      <c r="BB1642" s="301"/>
      <c r="BC1642" s="426"/>
      <c r="BD1642" s="298"/>
      <c r="BE1642" s="299"/>
      <c r="BF1642" s="299"/>
      <c r="BG1642" s="301"/>
      <c r="BH1642" s="301"/>
      <c r="BI1642" s="88"/>
      <c r="BJ1642" s="298"/>
      <c r="BK1642" s="299"/>
      <c r="BL1642" s="299"/>
      <c r="BM1642" s="301"/>
      <c r="BN1642" s="301"/>
      <c r="BO1642" s="88"/>
      <c r="BP1642" s="9"/>
      <c r="BS1642" s="81"/>
      <c r="BT1642" s="81"/>
      <c r="BV1642" s="9"/>
      <c r="BY1642" s="81"/>
      <c r="BZ1642" s="81"/>
      <c r="CB1642" s="9"/>
      <c r="CE1642" s="81"/>
      <c r="CF1642" s="81"/>
      <c r="CH1642" s="9"/>
      <c r="CK1642" s="81"/>
      <c r="CL1642" s="81"/>
      <c r="CR1642" s="9"/>
      <c r="CS1642" s="9"/>
      <c r="CT1642" s="9"/>
      <c r="CU1642" s="9"/>
      <c r="CV1642" s="9"/>
      <c r="CW1642" s="129"/>
      <c r="CX1642" s="9"/>
    </row>
    <row r="1643" spans="1:102">
      <c r="A1643" s="6" t="str">
        <f t="shared" si="251"/>
        <v>03270998</v>
      </c>
      <c r="B1643" s="6" t="s">
        <v>1977</v>
      </c>
      <c r="C1643" s="6" t="s">
        <v>2091</v>
      </c>
      <c r="D1643" s="6">
        <v>1634</v>
      </c>
      <c r="E1643" s="6">
        <v>327</v>
      </c>
      <c r="F1643" s="6" t="s">
        <v>1547</v>
      </c>
      <c r="G1643" s="6">
        <v>998</v>
      </c>
      <c r="H1643" s="6" t="s">
        <v>1547</v>
      </c>
      <c r="I1643" s="33">
        <v>0</v>
      </c>
      <c r="J1643" s="88">
        <v>0</v>
      </c>
      <c r="K1643" s="89">
        <f t="shared" si="260"/>
        <v>0</v>
      </c>
      <c r="L1643" s="88">
        <f>IF(K1644&gt;0, K1643/K1644, 0)</f>
        <v>0</v>
      </c>
      <c r="M1643" s="58"/>
      <c r="N1643" s="9">
        <f>ROUND(M1644*L1643,0)</f>
        <v>0</v>
      </c>
      <c r="O1643" s="9">
        <v>0</v>
      </c>
      <c r="P1643" s="9">
        <f>N1643-O1643</f>
        <v>0</v>
      </c>
      <c r="Q1643" s="40">
        <f t="shared" si="259"/>
        <v>0</v>
      </c>
      <c r="R1643" s="9">
        <v>0</v>
      </c>
      <c r="S1643" s="9">
        <f t="shared" si="257"/>
        <v>0</v>
      </c>
      <c r="T1643" s="90">
        <f t="shared" si="252"/>
        <v>327</v>
      </c>
      <c r="U1643" s="90">
        <f t="shared" si="253"/>
        <v>998</v>
      </c>
      <c r="V1643" s="373">
        <f t="shared" si="254"/>
        <v>1634</v>
      </c>
      <c r="W1643" s="90">
        <f t="shared" si="255"/>
        <v>0</v>
      </c>
      <c r="X1643" s="90">
        <f t="shared" si="256"/>
        <v>0</v>
      </c>
      <c r="Y1643" s="141">
        <f t="shared" si="258"/>
        <v>1634</v>
      </c>
      <c r="Z1643" s="298">
        <v>327</v>
      </c>
      <c r="AA1643" s="299">
        <v>998</v>
      </c>
      <c r="AB1643" s="299">
        <v>1634</v>
      </c>
      <c r="AC1643" s="301">
        <v>0</v>
      </c>
      <c r="AD1643" s="301">
        <v>0</v>
      </c>
      <c r="AE1643" s="126"/>
      <c r="AF1643" s="298"/>
      <c r="AG1643" s="299"/>
      <c r="AH1643" s="299"/>
      <c r="AI1643" s="301"/>
      <c r="AJ1643" s="301"/>
      <c r="AK1643" s="426"/>
      <c r="AL1643" s="298"/>
      <c r="AM1643" s="299"/>
      <c r="AN1643" s="299"/>
      <c r="AO1643" s="301"/>
      <c r="AP1643" s="301"/>
      <c r="AQ1643" s="426"/>
      <c r="AR1643" s="298"/>
      <c r="AS1643" s="299"/>
      <c r="AT1643" s="299"/>
      <c r="AU1643" s="301"/>
      <c r="AV1643" s="301"/>
      <c r="AW1643" s="88"/>
      <c r="AX1643" s="298"/>
      <c r="AY1643" s="299"/>
      <c r="AZ1643" s="299"/>
      <c r="BA1643" s="301"/>
      <c r="BB1643" s="301"/>
      <c r="BC1643" s="426"/>
      <c r="BD1643" s="298"/>
      <c r="BE1643" s="299"/>
      <c r="BF1643" s="299"/>
      <c r="BG1643" s="301"/>
      <c r="BH1643" s="301"/>
      <c r="BI1643" s="88"/>
      <c r="BJ1643" s="298"/>
      <c r="BK1643" s="299"/>
      <c r="BL1643" s="299"/>
      <c r="BM1643" s="301"/>
      <c r="BN1643" s="301"/>
      <c r="BO1643" s="88"/>
      <c r="BP1643" s="9"/>
      <c r="BS1643" s="81"/>
      <c r="BT1643" s="81"/>
      <c r="BV1643" s="9"/>
      <c r="BY1643" s="81"/>
      <c r="BZ1643" s="81"/>
      <c r="CB1643" s="9"/>
      <c r="CE1643" s="81"/>
      <c r="CF1643" s="81"/>
      <c r="CH1643" s="9"/>
      <c r="CK1643" s="81"/>
      <c r="CL1643" s="81"/>
      <c r="CR1643" s="9"/>
      <c r="CS1643" s="9"/>
      <c r="CT1643" s="9"/>
      <c r="CU1643" s="9"/>
      <c r="CV1643" s="9"/>
      <c r="CW1643" s="129"/>
      <c r="CX1643" s="9"/>
    </row>
    <row r="1644" spans="1:102">
      <c r="A1644" s="6" t="str">
        <f t="shared" si="251"/>
        <v>03270999</v>
      </c>
      <c r="B1644" s="6" t="s">
        <v>1977</v>
      </c>
      <c r="C1644" s="6" t="s">
        <v>2092</v>
      </c>
      <c r="D1644" s="6">
        <v>1635</v>
      </c>
      <c r="E1644" s="10">
        <v>327</v>
      </c>
      <c r="F1644" s="10" t="s">
        <v>1445</v>
      </c>
      <c r="G1644" s="10">
        <v>999</v>
      </c>
      <c r="H1644" s="10" t="s">
        <v>593</v>
      </c>
      <c r="I1644" s="92">
        <v>2434064.5689828293</v>
      </c>
      <c r="J1644" s="472">
        <v>1</v>
      </c>
      <c r="K1644" s="53">
        <f>SUM(K1640:K1643)</f>
        <v>2511895.436044802</v>
      </c>
      <c r="L1644" s="91">
        <f>SUM(L1640:L1643)</f>
        <v>1</v>
      </c>
      <c r="M1644" s="79">
        <f>VLOOKUP(E1644,town351,24)</f>
        <v>2037550</v>
      </c>
      <c r="N1644" s="79">
        <f>SUM(N1640:N1643)</f>
        <v>2037550</v>
      </c>
      <c r="O1644" s="79">
        <v>1956361</v>
      </c>
      <c r="P1644" s="79">
        <f>SUM(P1640:P1643)</f>
        <v>81189</v>
      </c>
      <c r="Q1644" s="39">
        <f t="shared" si="259"/>
        <v>4.150000945633245</v>
      </c>
      <c r="R1644" s="9">
        <v>179.15025906879998</v>
      </c>
      <c r="S1644" s="9">
        <f t="shared" si="257"/>
        <v>180.14915254067</v>
      </c>
      <c r="T1644" s="90">
        <f t="shared" si="252"/>
        <v>327</v>
      </c>
      <c r="U1644" s="90">
        <f t="shared" si="253"/>
        <v>999</v>
      </c>
      <c r="V1644" s="373">
        <f t="shared" si="254"/>
        <v>1635</v>
      </c>
      <c r="W1644" s="90">
        <f t="shared" si="255"/>
        <v>180.14915254067</v>
      </c>
      <c r="X1644" s="90">
        <f t="shared" si="256"/>
        <v>2511895.436044802</v>
      </c>
      <c r="Y1644" s="141">
        <f t="shared" si="258"/>
        <v>1635</v>
      </c>
      <c r="Z1644" s="298">
        <v>327</v>
      </c>
      <c r="AA1644" s="299">
        <v>999</v>
      </c>
      <c r="AB1644" s="299">
        <v>1635</v>
      </c>
      <c r="AC1644" s="301">
        <v>180.14915254067</v>
      </c>
      <c r="AD1644" s="301">
        <v>2511895.436044802</v>
      </c>
      <c r="AE1644" s="126"/>
      <c r="AF1644" s="298"/>
      <c r="AG1644" s="299"/>
      <c r="AH1644" s="299"/>
      <c r="AI1644" s="301"/>
      <c r="AJ1644" s="301"/>
      <c r="AK1644" s="426"/>
      <c r="AL1644" s="298"/>
      <c r="AM1644" s="299"/>
      <c r="AN1644" s="299"/>
      <c r="AO1644" s="301"/>
      <c r="AP1644" s="301"/>
      <c r="AQ1644" s="426"/>
      <c r="AR1644" s="298"/>
      <c r="AS1644" s="299"/>
      <c r="AT1644" s="299"/>
      <c r="AU1644" s="301"/>
      <c r="AV1644" s="301"/>
      <c r="AW1644" s="91"/>
      <c r="AX1644" s="298"/>
      <c r="AY1644" s="299"/>
      <c r="AZ1644" s="299"/>
      <c r="BA1644" s="301"/>
      <c r="BB1644" s="301"/>
      <c r="BC1644" s="426"/>
      <c r="BD1644" s="298"/>
      <c r="BE1644" s="299"/>
      <c r="BF1644" s="299"/>
      <c r="BG1644" s="301"/>
      <c r="BH1644" s="301"/>
      <c r="BI1644" s="91"/>
      <c r="BJ1644" s="298"/>
      <c r="BK1644" s="299"/>
      <c r="BL1644" s="299"/>
      <c r="BM1644" s="301"/>
      <c r="BN1644" s="301"/>
      <c r="BO1644" s="91"/>
      <c r="BP1644" s="9"/>
      <c r="BS1644" s="81"/>
      <c r="BT1644" s="81"/>
      <c r="BV1644" s="9"/>
      <c r="BY1644" s="81"/>
      <c r="BZ1644" s="81"/>
      <c r="CB1644" s="9"/>
      <c r="CE1644" s="81"/>
      <c r="CF1644" s="81"/>
      <c r="CH1644" s="9"/>
      <c r="CK1644" s="81"/>
      <c r="CL1644" s="81"/>
      <c r="CR1644" s="9"/>
      <c r="CS1644" s="9"/>
      <c r="CT1644" s="9"/>
      <c r="CU1644" s="9"/>
      <c r="CV1644" s="9"/>
      <c r="CW1644" s="129"/>
      <c r="CX1644" s="9"/>
    </row>
    <row r="1645" spans="1:102">
      <c r="A1645" s="6" t="str">
        <f t="shared" si="251"/>
        <v>03280328</v>
      </c>
      <c r="B1645" s="6" t="s">
        <v>1978</v>
      </c>
      <c r="C1645" s="6" t="s">
        <v>1978</v>
      </c>
      <c r="D1645" s="6">
        <v>1636</v>
      </c>
      <c r="E1645" s="6">
        <v>328</v>
      </c>
      <c r="F1645" s="6" t="s">
        <v>1446</v>
      </c>
      <c r="G1645" s="6">
        <v>328</v>
      </c>
      <c r="H1645" s="6" t="s">
        <v>1009</v>
      </c>
      <c r="I1645" s="33">
        <v>0</v>
      </c>
      <c r="J1645" s="88">
        <v>0</v>
      </c>
      <c r="K1645" s="89">
        <f>X1645</f>
        <v>0</v>
      </c>
      <c r="L1645" s="88">
        <f>IF(K1649&gt;0, K1645/K1649, 0)</f>
        <v>0</v>
      </c>
      <c r="M1645" s="58"/>
      <c r="N1645" s="9">
        <f>ROUND(M1649*L1645,0)</f>
        <v>0</v>
      </c>
      <c r="O1645" s="9">
        <v>0</v>
      </c>
      <c r="P1645" s="9">
        <f>N1645-O1645</f>
        <v>0</v>
      </c>
      <c r="Q1645" s="40">
        <f t="shared" si="259"/>
        <v>0</v>
      </c>
      <c r="R1645" s="9">
        <v>0</v>
      </c>
      <c r="S1645" s="9">
        <f t="shared" si="257"/>
        <v>0</v>
      </c>
      <c r="T1645" s="90">
        <f t="shared" si="252"/>
        <v>328</v>
      </c>
      <c r="U1645" s="90">
        <f t="shared" si="253"/>
        <v>328</v>
      </c>
      <c r="V1645" s="373">
        <f t="shared" si="254"/>
        <v>1636</v>
      </c>
      <c r="W1645" s="90">
        <f t="shared" si="255"/>
        <v>0</v>
      </c>
      <c r="X1645" s="90">
        <f t="shared" si="256"/>
        <v>0</v>
      </c>
      <c r="Y1645" s="141">
        <f t="shared" si="258"/>
        <v>1636</v>
      </c>
      <c r="Z1645" s="298">
        <v>328</v>
      </c>
      <c r="AA1645" s="299">
        <v>328</v>
      </c>
      <c r="AB1645" s="299">
        <v>1636</v>
      </c>
      <c r="AC1645" s="301">
        <v>0</v>
      </c>
      <c r="AD1645" s="301">
        <v>0</v>
      </c>
      <c r="AE1645" s="126"/>
      <c r="AF1645" s="298"/>
      <c r="AG1645" s="299"/>
      <c r="AH1645" s="299"/>
      <c r="AI1645" s="301"/>
      <c r="AJ1645" s="301"/>
      <c r="AK1645" s="426"/>
      <c r="AL1645" s="298"/>
      <c r="AM1645" s="299"/>
      <c r="AN1645" s="299"/>
      <c r="AO1645" s="301"/>
      <c r="AP1645" s="301"/>
      <c r="AQ1645" s="426"/>
      <c r="AR1645" s="298"/>
      <c r="AS1645" s="299"/>
      <c r="AT1645" s="299"/>
      <c r="AU1645" s="301"/>
      <c r="AV1645" s="301"/>
      <c r="AW1645" s="88"/>
      <c r="AX1645" s="298"/>
      <c r="AY1645" s="299"/>
      <c r="AZ1645" s="299"/>
      <c r="BA1645" s="301"/>
      <c r="BB1645" s="301"/>
      <c r="BC1645" s="426"/>
      <c r="BD1645" s="298"/>
      <c r="BE1645" s="299"/>
      <c r="BF1645" s="299"/>
      <c r="BG1645" s="301"/>
      <c r="BH1645" s="301"/>
      <c r="BI1645" s="88"/>
      <c r="BJ1645" s="298"/>
      <c r="BK1645" s="299"/>
      <c r="BL1645" s="299"/>
      <c r="BM1645" s="301"/>
      <c r="BN1645" s="301"/>
      <c r="BO1645" s="88"/>
      <c r="BP1645" s="9"/>
      <c r="BS1645" s="81"/>
      <c r="BT1645" s="81"/>
      <c r="BV1645" s="9"/>
      <c r="BY1645" s="81"/>
      <c r="BZ1645" s="81"/>
      <c r="CB1645" s="9"/>
      <c r="CE1645" s="81"/>
      <c r="CF1645" s="81"/>
      <c r="CH1645" s="9"/>
      <c r="CK1645" s="81"/>
      <c r="CL1645" s="81"/>
      <c r="CR1645" s="9"/>
      <c r="CS1645" s="9"/>
      <c r="CT1645" s="9"/>
      <c r="CU1645" s="9"/>
      <c r="CV1645" s="9"/>
      <c r="CW1645" s="129"/>
      <c r="CX1645" s="9"/>
    </row>
    <row r="1646" spans="1:102">
      <c r="A1646" s="6" t="str">
        <f t="shared" si="251"/>
        <v>03280610</v>
      </c>
      <c r="B1646" s="6" t="s">
        <v>1978</v>
      </c>
      <c r="C1646" s="6" t="s">
        <v>2007</v>
      </c>
      <c r="D1646" s="6">
        <v>1637</v>
      </c>
      <c r="E1646" s="6">
        <v>328</v>
      </c>
      <c r="F1646" s="6" t="s">
        <v>1446</v>
      </c>
      <c r="G1646" s="6">
        <v>610</v>
      </c>
      <c r="H1646" s="6" t="s">
        <v>1037</v>
      </c>
      <c r="I1646" s="33">
        <v>16042876.906395076</v>
      </c>
      <c r="J1646" s="88">
        <v>0.91494205097581172</v>
      </c>
      <c r="K1646" s="89">
        <f t="shared" si="260"/>
        <v>16654373.507311169</v>
      </c>
      <c r="L1646" s="88">
        <f>IF(K1649&gt;0, K1646/K1649, 0)</f>
        <v>0.9204908527182224</v>
      </c>
      <c r="M1646" s="58"/>
      <c r="N1646" s="9">
        <f>ROUND(M1649*L1646,0)</f>
        <v>8884901</v>
      </c>
      <c r="O1646" s="9">
        <v>8297014</v>
      </c>
      <c r="P1646" s="9">
        <f>N1646-O1646</f>
        <v>587887</v>
      </c>
      <c r="Q1646" s="40">
        <f t="shared" si="259"/>
        <v>7.0855249852537314</v>
      </c>
      <c r="R1646" s="9">
        <v>1234.8953037398601</v>
      </c>
      <c r="S1646" s="9">
        <f t="shared" si="257"/>
        <v>1258.1052631535699</v>
      </c>
      <c r="T1646" s="90">
        <f t="shared" si="252"/>
        <v>328</v>
      </c>
      <c r="U1646" s="90">
        <f t="shared" si="253"/>
        <v>610</v>
      </c>
      <c r="V1646" s="373">
        <f t="shared" si="254"/>
        <v>1637</v>
      </c>
      <c r="W1646" s="90">
        <f t="shared" si="255"/>
        <v>1258.1052631535699</v>
      </c>
      <c r="X1646" s="90">
        <f t="shared" si="256"/>
        <v>16654373.507311169</v>
      </c>
      <c r="Y1646" s="141">
        <f t="shared" si="258"/>
        <v>1637</v>
      </c>
      <c r="Z1646" s="298">
        <v>328</v>
      </c>
      <c r="AA1646" s="299">
        <v>610</v>
      </c>
      <c r="AB1646" s="299">
        <v>1637</v>
      </c>
      <c r="AC1646" s="301">
        <v>1258.1052631535699</v>
      </c>
      <c r="AD1646" s="301">
        <v>16654373.507311169</v>
      </c>
      <c r="AE1646" s="126"/>
      <c r="AF1646" s="298"/>
      <c r="AG1646" s="299"/>
      <c r="AH1646" s="299"/>
      <c r="AI1646" s="301"/>
      <c r="AJ1646" s="301"/>
      <c r="AK1646" s="426"/>
      <c r="AL1646" s="298"/>
      <c r="AM1646" s="299"/>
      <c r="AN1646" s="299"/>
      <c r="AO1646" s="301"/>
      <c r="AP1646" s="301"/>
      <c r="AQ1646" s="426"/>
      <c r="AR1646" s="298"/>
      <c r="AS1646" s="299"/>
      <c r="AT1646" s="299"/>
      <c r="AU1646" s="301"/>
      <c r="AV1646" s="301"/>
      <c r="AW1646" s="88"/>
      <c r="AX1646" s="298"/>
      <c r="AY1646" s="299"/>
      <c r="AZ1646" s="299"/>
      <c r="BA1646" s="301"/>
      <c r="BB1646" s="301"/>
      <c r="BC1646" s="426"/>
      <c r="BD1646" s="298"/>
      <c r="BE1646" s="299"/>
      <c r="BF1646" s="299"/>
      <c r="BG1646" s="301"/>
      <c r="BH1646" s="301"/>
      <c r="BI1646" s="88"/>
      <c r="BJ1646" s="298"/>
      <c r="BK1646" s="299"/>
      <c r="BL1646" s="299"/>
      <c r="BM1646" s="301"/>
      <c r="BN1646" s="301"/>
      <c r="BO1646" s="88"/>
      <c r="BP1646" s="9"/>
      <c r="BS1646" s="81"/>
      <c r="BT1646" s="81"/>
      <c r="BV1646" s="9"/>
      <c r="BY1646" s="81"/>
      <c r="BZ1646" s="81"/>
      <c r="CB1646" s="9"/>
      <c r="CE1646" s="81"/>
      <c r="CF1646" s="81"/>
      <c r="CH1646" s="9"/>
      <c r="CK1646" s="81"/>
      <c r="CL1646" s="81"/>
      <c r="CR1646" s="9"/>
      <c r="CS1646" s="9"/>
      <c r="CT1646" s="9"/>
      <c r="CU1646" s="9"/>
      <c r="CV1646" s="9"/>
      <c r="CW1646" s="129"/>
      <c r="CX1646" s="9"/>
    </row>
    <row r="1647" spans="1:102">
      <c r="A1647" s="6" t="str">
        <f t="shared" si="251"/>
        <v>03280832</v>
      </c>
      <c r="B1647" s="6" t="s">
        <v>1978</v>
      </c>
      <c r="C1647" s="6" t="s">
        <v>2075</v>
      </c>
      <c r="D1647" s="6">
        <v>1638</v>
      </c>
      <c r="E1647" s="6">
        <v>328</v>
      </c>
      <c r="F1647" s="6" t="s">
        <v>1446</v>
      </c>
      <c r="G1647" s="6">
        <v>832</v>
      </c>
      <c r="H1647" s="6" t="s">
        <v>1105</v>
      </c>
      <c r="I1647" s="33">
        <v>1491432.3859638162</v>
      </c>
      <c r="J1647" s="88">
        <v>8.5057949024188437E-2</v>
      </c>
      <c r="K1647" s="89">
        <f t="shared" si="260"/>
        <v>1438553.1721127192</v>
      </c>
      <c r="L1647" s="88">
        <f>IF(K1649&gt;0, K1647/K1649, 0)</f>
        <v>7.9509147281777715E-2</v>
      </c>
      <c r="M1647" s="58"/>
      <c r="N1647" s="9">
        <f>ROUND(M1649*L1647,0)</f>
        <v>767450</v>
      </c>
      <c r="O1647" s="9">
        <v>771335</v>
      </c>
      <c r="P1647" s="9">
        <f>N1647-O1647</f>
        <v>-3885</v>
      </c>
      <c r="Q1647" s="40">
        <f t="shared" si="259"/>
        <v>-0.50367220468408669</v>
      </c>
      <c r="R1647" s="9">
        <v>74.101161996749994</v>
      </c>
      <c r="S1647" s="9">
        <f t="shared" si="257"/>
        <v>71.000000000279996</v>
      </c>
      <c r="T1647" s="90">
        <f t="shared" si="252"/>
        <v>328</v>
      </c>
      <c r="U1647" s="90">
        <f t="shared" si="253"/>
        <v>832</v>
      </c>
      <c r="V1647" s="373">
        <f t="shared" si="254"/>
        <v>1638</v>
      </c>
      <c r="W1647" s="90">
        <f t="shared" si="255"/>
        <v>71.000000000279996</v>
      </c>
      <c r="X1647" s="90">
        <f t="shared" si="256"/>
        <v>1438553.1721127192</v>
      </c>
      <c r="Y1647" s="141">
        <f t="shared" si="258"/>
        <v>1638</v>
      </c>
      <c r="Z1647" s="298">
        <v>328</v>
      </c>
      <c r="AA1647" s="299">
        <v>832</v>
      </c>
      <c r="AB1647" s="299">
        <v>1638</v>
      </c>
      <c r="AC1647" s="301">
        <v>71.000000000279996</v>
      </c>
      <c r="AD1647" s="301">
        <v>1438553.1721127192</v>
      </c>
      <c r="AE1647" s="126"/>
      <c r="AF1647" s="298"/>
      <c r="AG1647" s="299"/>
      <c r="AH1647" s="299"/>
      <c r="AI1647" s="301"/>
      <c r="AJ1647" s="301"/>
      <c r="AK1647" s="426"/>
      <c r="AL1647" s="298"/>
      <c r="AM1647" s="299"/>
      <c r="AN1647" s="299"/>
      <c r="AO1647" s="301"/>
      <c r="AP1647" s="301"/>
      <c r="AQ1647" s="426"/>
      <c r="AR1647" s="298"/>
      <c r="AS1647" s="299"/>
      <c r="AT1647" s="299"/>
      <c r="AU1647" s="301"/>
      <c r="AV1647" s="301"/>
      <c r="AW1647" s="88"/>
      <c r="AX1647" s="298"/>
      <c r="AY1647" s="299"/>
      <c r="AZ1647" s="299"/>
      <c r="BA1647" s="301"/>
      <c r="BB1647" s="301"/>
      <c r="BC1647" s="426"/>
      <c r="BD1647" s="298"/>
      <c r="BE1647" s="299"/>
      <c r="BF1647" s="299"/>
      <c r="BG1647" s="301"/>
      <c r="BH1647" s="301"/>
      <c r="BI1647" s="88"/>
      <c r="BJ1647" s="298"/>
      <c r="BK1647" s="299"/>
      <c r="BL1647" s="299"/>
      <c r="BM1647" s="301"/>
      <c r="BN1647" s="301"/>
      <c r="BO1647" s="88"/>
      <c r="BP1647" s="9"/>
      <c r="BS1647" s="81"/>
      <c r="BT1647" s="81"/>
      <c r="BV1647" s="9"/>
      <c r="BY1647" s="81"/>
      <c r="BZ1647" s="81"/>
      <c r="CB1647" s="9"/>
      <c r="CE1647" s="81"/>
      <c r="CF1647" s="81"/>
      <c r="CH1647" s="9"/>
      <c r="CK1647" s="81"/>
      <c r="CL1647" s="81"/>
      <c r="CR1647" s="9"/>
      <c r="CS1647" s="9"/>
      <c r="CT1647" s="9"/>
      <c r="CU1647" s="9"/>
      <c r="CV1647" s="9"/>
      <c r="CW1647" s="129"/>
      <c r="CX1647" s="9"/>
    </row>
    <row r="1648" spans="1:102">
      <c r="A1648" s="6" t="str">
        <f t="shared" si="251"/>
        <v>03280998</v>
      </c>
      <c r="B1648" s="6" t="s">
        <v>1978</v>
      </c>
      <c r="C1648" s="6" t="s">
        <v>2091</v>
      </c>
      <c r="D1648" s="6">
        <v>1639</v>
      </c>
      <c r="E1648" s="6">
        <v>328</v>
      </c>
      <c r="F1648" s="6" t="s">
        <v>1547</v>
      </c>
      <c r="G1648" s="6">
        <v>998</v>
      </c>
      <c r="H1648" s="6" t="s">
        <v>1547</v>
      </c>
      <c r="I1648" s="33">
        <v>0</v>
      </c>
      <c r="J1648" s="88">
        <v>0</v>
      </c>
      <c r="K1648" s="89">
        <f t="shared" si="260"/>
        <v>0</v>
      </c>
      <c r="L1648" s="88">
        <f>IF(K1649&gt;0, K1648/K1649, 0)</f>
        <v>0</v>
      </c>
      <c r="M1648" s="58"/>
      <c r="N1648" s="9">
        <f>ROUND(M1649*L1648,0)</f>
        <v>0</v>
      </c>
      <c r="O1648" s="9">
        <v>0</v>
      </c>
      <c r="P1648" s="9">
        <f>N1648-O1648</f>
        <v>0</v>
      </c>
      <c r="Q1648" s="40">
        <f t="shared" si="259"/>
        <v>0</v>
      </c>
      <c r="R1648" s="9">
        <v>0</v>
      </c>
      <c r="S1648" s="9">
        <f t="shared" si="257"/>
        <v>0</v>
      </c>
      <c r="T1648" s="90">
        <f t="shared" si="252"/>
        <v>328</v>
      </c>
      <c r="U1648" s="90">
        <f t="shared" si="253"/>
        <v>998</v>
      </c>
      <c r="V1648" s="373">
        <f t="shared" si="254"/>
        <v>1639</v>
      </c>
      <c r="W1648" s="90">
        <f t="shared" si="255"/>
        <v>0</v>
      </c>
      <c r="X1648" s="90">
        <f t="shared" si="256"/>
        <v>0</v>
      </c>
      <c r="Y1648" s="141">
        <f t="shared" si="258"/>
        <v>1639</v>
      </c>
      <c r="Z1648" s="298">
        <v>328</v>
      </c>
      <c r="AA1648" s="299">
        <v>998</v>
      </c>
      <c r="AB1648" s="299">
        <v>1639</v>
      </c>
      <c r="AC1648" s="301">
        <v>0</v>
      </c>
      <c r="AD1648" s="301">
        <v>0</v>
      </c>
      <c r="AE1648" s="126"/>
      <c r="AF1648" s="298"/>
      <c r="AG1648" s="299"/>
      <c r="AH1648" s="299"/>
      <c r="AI1648" s="301"/>
      <c r="AJ1648" s="301"/>
      <c r="AK1648" s="426"/>
      <c r="AL1648" s="298"/>
      <c r="AM1648" s="299"/>
      <c r="AN1648" s="299"/>
      <c r="AO1648" s="301"/>
      <c r="AP1648" s="301"/>
      <c r="AQ1648" s="426"/>
      <c r="AR1648" s="298"/>
      <c r="AS1648" s="299"/>
      <c r="AT1648" s="299"/>
      <c r="AU1648" s="301"/>
      <c r="AV1648" s="301"/>
      <c r="AW1648" s="88"/>
      <c r="AX1648" s="298"/>
      <c r="AY1648" s="299"/>
      <c r="AZ1648" s="299"/>
      <c r="BA1648" s="301"/>
      <c r="BB1648" s="301"/>
      <c r="BC1648" s="426"/>
      <c r="BD1648" s="298"/>
      <c r="BE1648" s="299"/>
      <c r="BF1648" s="299"/>
      <c r="BG1648" s="301"/>
      <c r="BH1648" s="301"/>
      <c r="BI1648" s="88"/>
      <c r="BJ1648" s="298"/>
      <c r="BK1648" s="299"/>
      <c r="BL1648" s="299"/>
      <c r="BM1648" s="301"/>
      <c r="BN1648" s="301"/>
      <c r="BO1648" s="88"/>
      <c r="BP1648" s="9"/>
      <c r="BS1648" s="81"/>
      <c r="BT1648" s="81"/>
      <c r="BV1648" s="9"/>
      <c r="BY1648" s="81"/>
      <c r="BZ1648" s="81"/>
      <c r="CB1648" s="9"/>
      <c r="CE1648" s="81"/>
      <c r="CF1648" s="81"/>
      <c r="CH1648" s="9"/>
      <c r="CK1648" s="81"/>
      <c r="CL1648" s="81"/>
      <c r="CR1648" s="9"/>
      <c r="CS1648" s="9"/>
      <c r="CT1648" s="9"/>
      <c r="CU1648" s="9"/>
      <c r="CV1648" s="9"/>
      <c r="CW1648" s="129"/>
      <c r="CX1648" s="9"/>
    </row>
    <row r="1649" spans="1:102">
      <c r="A1649" s="6" t="str">
        <f t="shared" si="251"/>
        <v>03280999</v>
      </c>
      <c r="B1649" s="6" t="s">
        <v>1978</v>
      </c>
      <c r="C1649" s="6" t="s">
        <v>2092</v>
      </c>
      <c r="D1649" s="6">
        <v>1640</v>
      </c>
      <c r="E1649" s="10">
        <v>328</v>
      </c>
      <c r="F1649" s="10" t="s">
        <v>1446</v>
      </c>
      <c r="G1649" s="10">
        <v>999</v>
      </c>
      <c r="H1649" s="10" t="s">
        <v>593</v>
      </c>
      <c r="I1649" s="92">
        <v>17534309.29235889</v>
      </c>
      <c r="J1649" s="472">
        <v>1.0000000000000002</v>
      </c>
      <c r="K1649" s="53">
        <f>SUM(K1645:K1648)</f>
        <v>18092926.679423887</v>
      </c>
      <c r="L1649" s="91">
        <f>SUM(L1645:L1648)</f>
        <v>1</v>
      </c>
      <c r="M1649" s="79">
        <f>VLOOKUP(E1649,town351,24)</f>
        <v>9652351</v>
      </c>
      <c r="N1649" s="79">
        <f>SUM(N1645:N1648)</f>
        <v>9652351</v>
      </c>
      <c r="O1649" s="79">
        <v>9068349</v>
      </c>
      <c r="P1649" s="79">
        <f>SUM(P1645:P1648)</f>
        <v>584002</v>
      </c>
      <c r="Q1649" s="39">
        <f t="shared" si="259"/>
        <v>6.4400035772774071</v>
      </c>
      <c r="R1649" s="9">
        <v>1308.9964657366102</v>
      </c>
      <c r="S1649" s="9">
        <f t="shared" si="257"/>
        <v>1329.1052631538498</v>
      </c>
      <c r="T1649" s="90">
        <f t="shared" si="252"/>
        <v>328</v>
      </c>
      <c r="U1649" s="90">
        <f t="shared" si="253"/>
        <v>999</v>
      </c>
      <c r="V1649" s="373">
        <f t="shared" si="254"/>
        <v>1640</v>
      </c>
      <c r="W1649" s="90">
        <f t="shared" si="255"/>
        <v>1329.1052631538498</v>
      </c>
      <c r="X1649" s="90">
        <f t="shared" si="256"/>
        <v>18092926.679423887</v>
      </c>
      <c r="Y1649" s="141">
        <f t="shared" si="258"/>
        <v>1640</v>
      </c>
      <c r="Z1649" s="298">
        <v>328</v>
      </c>
      <c r="AA1649" s="299">
        <v>999</v>
      </c>
      <c r="AB1649" s="299">
        <v>1640</v>
      </c>
      <c r="AC1649" s="301">
        <v>1329.1052631538498</v>
      </c>
      <c r="AD1649" s="301">
        <v>18092926.679423887</v>
      </c>
      <c r="AE1649" s="126"/>
      <c r="AF1649" s="298"/>
      <c r="AG1649" s="299"/>
      <c r="AH1649" s="299"/>
      <c r="AI1649" s="301"/>
      <c r="AJ1649" s="301"/>
      <c r="AK1649" s="426"/>
      <c r="AL1649" s="298"/>
      <c r="AM1649" s="299"/>
      <c r="AN1649" s="299"/>
      <c r="AO1649" s="301"/>
      <c r="AP1649" s="301"/>
      <c r="AQ1649" s="426"/>
      <c r="AR1649" s="298"/>
      <c r="AS1649" s="299"/>
      <c r="AT1649" s="299"/>
      <c r="AU1649" s="301"/>
      <c r="AV1649" s="301"/>
      <c r="AW1649" s="91"/>
      <c r="AX1649" s="298"/>
      <c r="AY1649" s="299"/>
      <c r="AZ1649" s="299"/>
      <c r="BA1649" s="301"/>
      <c r="BB1649" s="301"/>
      <c r="BC1649" s="426"/>
      <c r="BD1649" s="298"/>
      <c r="BE1649" s="299"/>
      <c r="BF1649" s="299"/>
      <c r="BG1649" s="301"/>
      <c r="BH1649" s="301"/>
      <c r="BI1649" s="91"/>
      <c r="BJ1649" s="298"/>
      <c r="BK1649" s="299"/>
      <c r="BL1649" s="299"/>
      <c r="BM1649" s="301"/>
      <c r="BN1649" s="301"/>
      <c r="BO1649" s="91"/>
      <c r="BP1649" s="9"/>
      <c r="BS1649" s="81"/>
      <c r="BT1649" s="81"/>
      <c r="BV1649" s="9"/>
      <c r="BY1649" s="81"/>
      <c r="BZ1649" s="81"/>
      <c r="CB1649" s="9"/>
      <c r="CE1649" s="81"/>
      <c r="CF1649" s="81"/>
      <c r="CH1649" s="9"/>
      <c r="CK1649" s="81"/>
      <c r="CL1649" s="81"/>
      <c r="CR1649" s="9"/>
      <c r="CS1649" s="9"/>
      <c r="CT1649" s="9"/>
      <c r="CU1649" s="9"/>
      <c r="CV1649" s="9"/>
      <c r="CW1649" s="129"/>
      <c r="CX1649" s="9"/>
    </row>
    <row r="1650" spans="1:102">
      <c r="A1650" s="6" t="str">
        <f t="shared" si="251"/>
        <v>03290329</v>
      </c>
      <c r="B1650" s="6" t="s">
        <v>1979</v>
      </c>
      <c r="C1650" s="6" t="s">
        <v>1979</v>
      </c>
      <c r="D1650" s="6">
        <v>1641</v>
      </c>
      <c r="E1650" s="6">
        <v>329</v>
      </c>
      <c r="F1650" s="6" t="s">
        <v>1447</v>
      </c>
      <c r="G1650" s="6">
        <v>329</v>
      </c>
      <c r="H1650" s="6" t="s">
        <v>1010</v>
      </c>
      <c r="I1650" s="33">
        <v>32981.520000000004</v>
      </c>
      <c r="J1650" s="88">
        <v>4.4947066743438666E-3</v>
      </c>
      <c r="K1650" s="89">
        <f>X1650</f>
        <v>67441.320000000007</v>
      </c>
      <c r="L1650" s="88">
        <f>IF(K1654&gt;0, K1650/K1654, 0)</f>
        <v>8.8816670138353124E-3</v>
      </c>
      <c r="M1650" s="58"/>
      <c r="N1650" s="9">
        <f>ROUND(M1654*L1650,0)</f>
        <v>54290</v>
      </c>
      <c r="O1650" s="9">
        <v>26579</v>
      </c>
      <c r="P1650" s="9">
        <f>N1650-O1650</f>
        <v>27711</v>
      </c>
      <c r="Q1650" s="40">
        <f t="shared" si="259"/>
        <v>104.25900146732383</v>
      </c>
      <c r="R1650" s="9">
        <v>2</v>
      </c>
      <c r="S1650" s="9">
        <f t="shared" si="257"/>
        <v>4</v>
      </c>
      <c r="T1650" s="90">
        <f t="shared" si="252"/>
        <v>329</v>
      </c>
      <c r="U1650" s="90">
        <f t="shared" si="253"/>
        <v>329</v>
      </c>
      <c r="V1650" s="373">
        <f t="shared" si="254"/>
        <v>1641</v>
      </c>
      <c r="W1650" s="90">
        <f t="shared" si="255"/>
        <v>4</v>
      </c>
      <c r="X1650" s="90">
        <f t="shared" si="256"/>
        <v>67441.320000000007</v>
      </c>
      <c r="Y1650" s="141">
        <f t="shared" si="258"/>
        <v>1641</v>
      </c>
      <c r="Z1650" s="298">
        <v>329</v>
      </c>
      <c r="AA1650" s="299">
        <v>329</v>
      </c>
      <c r="AB1650" s="299">
        <v>1641</v>
      </c>
      <c r="AC1650" s="301">
        <v>4</v>
      </c>
      <c r="AD1650" s="301">
        <v>67441.320000000007</v>
      </c>
      <c r="AE1650" s="126"/>
      <c r="AF1650" s="298"/>
      <c r="AG1650" s="299"/>
      <c r="AH1650" s="299"/>
      <c r="AI1650" s="301"/>
      <c r="AJ1650" s="301"/>
      <c r="AK1650" s="426"/>
      <c r="AL1650" s="298"/>
      <c r="AM1650" s="299"/>
      <c r="AN1650" s="299"/>
      <c r="AO1650" s="301"/>
      <c r="AP1650" s="301"/>
      <c r="AQ1650" s="426"/>
      <c r="AR1650" s="298"/>
      <c r="AS1650" s="299"/>
      <c r="AT1650" s="299"/>
      <c r="AU1650" s="301"/>
      <c r="AV1650" s="301"/>
      <c r="AW1650" s="88"/>
      <c r="AX1650" s="298"/>
      <c r="AY1650" s="299"/>
      <c r="AZ1650" s="299"/>
      <c r="BA1650" s="301"/>
      <c r="BB1650" s="301"/>
      <c r="BC1650" s="426"/>
      <c r="BD1650" s="298"/>
      <c r="BE1650" s="299"/>
      <c r="BF1650" s="299"/>
      <c r="BG1650" s="301"/>
      <c r="BH1650" s="301"/>
      <c r="BI1650" s="88"/>
      <c r="BJ1650" s="298"/>
      <c r="BK1650" s="299"/>
      <c r="BL1650" s="299"/>
      <c r="BM1650" s="301"/>
      <c r="BN1650" s="301"/>
      <c r="BO1650" s="88"/>
      <c r="BP1650" s="9"/>
      <c r="BS1650" s="81"/>
      <c r="BT1650" s="81"/>
      <c r="BV1650" s="9"/>
      <c r="BY1650" s="81"/>
      <c r="BZ1650" s="81"/>
      <c r="CB1650" s="9"/>
      <c r="CE1650" s="81"/>
      <c r="CF1650" s="81"/>
      <c r="CH1650" s="9"/>
      <c r="CK1650" s="81"/>
      <c r="CL1650" s="81"/>
      <c r="CR1650" s="9"/>
      <c r="CS1650" s="9"/>
      <c r="CT1650" s="9"/>
      <c r="CU1650" s="9"/>
      <c r="CV1650" s="9"/>
      <c r="CW1650" s="129"/>
      <c r="CX1650" s="9"/>
    </row>
    <row r="1651" spans="1:102">
      <c r="A1651" s="6" t="str">
        <f t="shared" si="251"/>
        <v>03290745</v>
      </c>
      <c r="B1651" s="6" t="s">
        <v>1979</v>
      </c>
      <c r="C1651" s="6" t="s">
        <v>2047</v>
      </c>
      <c r="D1651" s="6">
        <v>1642</v>
      </c>
      <c r="E1651" s="6">
        <v>329</v>
      </c>
      <c r="F1651" s="6" t="s">
        <v>1447</v>
      </c>
      <c r="G1651" s="6">
        <v>745</v>
      </c>
      <c r="H1651" s="6" t="s">
        <v>1077</v>
      </c>
      <c r="I1651" s="33">
        <v>7034482.7592268055</v>
      </c>
      <c r="J1651" s="88">
        <v>0.95865613860287746</v>
      </c>
      <c r="K1651" s="89">
        <f t="shared" si="260"/>
        <v>7205688.7566268397</v>
      </c>
      <c r="L1651" s="88">
        <f>IF(K1654&gt;0, K1651/K1654, 0)</f>
        <v>0.9489512978348672</v>
      </c>
      <c r="M1651" s="58"/>
      <c r="N1651" s="9">
        <f>ROUND(M1654*L1651,0)</f>
        <v>5800575</v>
      </c>
      <c r="O1651" s="9">
        <v>5668857</v>
      </c>
      <c r="P1651" s="9">
        <f>N1651-O1651</f>
        <v>131718</v>
      </c>
      <c r="Q1651" s="40">
        <f t="shared" si="259"/>
        <v>2.3235371786587669</v>
      </c>
      <c r="R1651" s="9">
        <v>575.18458245247996</v>
      </c>
      <c r="S1651" s="9">
        <f t="shared" si="257"/>
        <v>572.72902396852999</v>
      </c>
      <c r="T1651" s="90">
        <f t="shared" si="252"/>
        <v>329</v>
      </c>
      <c r="U1651" s="90">
        <f t="shared" si="253"/>
        <v>745</v>
      </c>
      <c r="V1651" s="373">
        <f t="shared" si="254"/>
        <v>1642</v>
      </c>
      <c r="W1651" s="90">
        <f t="shared" si="255"/>
        <v>572.72902396852999</v>
      </c>
      <c r="X1651" s="90">
        <f t="shared" si="256"/>
        <v>7205688.7566268397</v>
      </c>
      <c r="Y1651" s="141">
        <f t="shared" si="258"/>
        <v>1642</v>
      </c>
      <c r="Z1651" s="298">
        <v>329</v>
      </c>
      <c r="AA1651" s="299">
        <v>745</v>
      </c>
      <c r="AB1651" s="299">
        <v>1642</v>
      </c>
      <c r="AC1651" s="301">
        <v>572.72902396852999</v>
      </c>
      <c r="AD1651" s="301">
        <v>7205688.7566268397</v>
      </c>
      <c r="AE1651" s="126"/>
      <c r="AF1651" s="298"/>
      <c r="AG1651" s="299"/>
      <c r="AH1651" s="299"/>
      <c r="AI1651" s="301"/>
      <c r="AJ1651" s="301"/>
      <c r="AK1651" s="426"/>
      <c r="AL1651" s="298"/>
      <c r="AM1651" s="299"/>
      <c r="AN1651" s="299"/>
      <c r="AO1651" s="301"/>
      <c r="AP1651" s="301"/>
      <c r="AQ1651" s="426"/>
      <c r="AR1651" s="298"/>
      <c r="AS1651" s="299"/>
      <c r="AT1651" s="299"/>
      <c r="AU1651" s="301"/>
      <c r="AV1651" s="301"/>
      <c r="AW1651" s="88"/>
      <c r="AX1651" s="298"/>
      <c r="AY1651" s="299"/>
      <c r="AZ1651" s="299"/>
      <c r="BA1651" s="301"/>
      <c r="BB1651" s="301"/>
      <c r="BC1651" s="426"/>
      <c r="BD1651" s="298"/>
      <c r="BE1651" s="299"/>
      <c r="BF1651" s="299"/>
      <c r="BG1651" s="301"/>
      <c r="BH1651" s="301"/>
      <c r="BI1651" s="88"/>
      <c r="BJ1651" s="298"/>
      <c r="BK1651" s="299"/>
      <c r="BL1651" s="299"/>
      <c r="BM1651" s="301"/>
      <c r="BN1651" s="301"/>
      <c r="BO1651" s="88"/>
      <c r="BP1651" s="9"/>
      <c r="BS1651" s="81"/>
      <c r="BT1651" s="81"/>
      <c r="BV1651" s="9"/>
      <c r="BY1651" s="81"/>
      <c r="BZ1651" s="81"/>
      <c r="CB1651" s="9"/>
      <c r="CE1651" s="81"/>
      <c r="CF1651" s="81"/>
      <c r="CH1651" s="9"/>
      <c r="CK1651" s="81"/>
      <c r="CL1651" s="81"/>
      <c r="CR1651" s="9"/>
      <c r="CS1651" s="9"/>
      <c r="CT1651" s="9"/>
      <c r="CU1651" s="9"/>
      <c r="CV1651" s="9"/>
      <c r="CW1651" s="129"/>
      <c r="CX1651" s="9"/>
    </row>
    <row r="1652" spans="1:102">
      <c r="A1652" s="6" t="str">
        <f t="shared" si="251"/>
        <v>03290885</v>
      </c>
      <c r="B1652" s="6" t="s">
        <v>1979</v>
      </c>
      <c r="C1652" s="6" t="s">
        <v>2087</v>
      </c>
      <c r="D1652" s="6">
        <v>1643</v>
      </c>
      <c r="E1652" s="6">
        <v>329</v>
      </c>
      <c r="F1652" s="6" t="s">
        <v>1447</v>
      </c>
      <c r="G1652" s="6">
        <v>885</v>
      </c>
      <c r="H1652" s="6" t="s">
        <v>1117</v>
      </c>
      <c r="I1652" s="33">
        <v>270393.87028516945</v>
      </c>
      <c r="J1652" s="88">
        <v>3.6849154722778714E-2</v>
      </c>
      <c r="K1652" s="89">
        <f t="shared" si="260"/>
        <v>320187.69749642711</v>
      </c>
      <c r="L1652" s="88">
        <f>IF(K1654&gt;0, K1652/K1654, 0)</f>
        <v>4.2167035151297397E-2</v>
      </c>
      <c r="M1652" s="58"/>
      <c r="N1652" s="9">
        <f>ROUND(M1654*L1652,0)</f>
        <v>257751</v>
      </c>
      <c r="O1652" s="9">
        <v>217901</v>
      </c>
      <c r="P1652" s="9">
        <f>N1652-O1652</f>
        <v>39850</v>
      </c>
      <c r="Q1652" s="40">
        <f t="shared" si="259"/>
        <v>18.288121669932675</v>
      </c>
      <c r="R1652" s="9">
        <v>12.999999998250001</v>
      </c>
      <c r="S1652" s="9">
        <f t="shared" si="257"/>
        <v>15.03532182695</v>
      </c>
      <c r="T1652" s="90">
        <f t="shared" si="252"/>
        <v>329</v>
      </c>
      <c r="U1652" s="90">
        <f t="shared" si="253"/>
        <v>885</v>
      </c>
      <c r="V1652" s="373">
        <f t="shared" si="254"/>
        <v>1643</v>
      </c>
      <c r="W1652" s="90">
        <f t="shared" si="255"/>
        <v>15.03532182695</v>
      </c>
      <c r="X1652" s="90">
        <f t="shared" si="256"/>
        <v>320187.69749642711</v>
      </c>
      <c r="Y1652" s="141">
        <f t="shared" si="258"/>
        <v>1643</v>
      </c>
      <c r="Z1652" s="298">
        <v>329</v>
      </c>
      <c r="AA1652" s="299">
        <v>885</v>
      </c>
      <c r="AB1652" s="299">
        <v>1643</v>
      </c>
      <c r="AC1652" s="301">
        <v>15.03532182695</v>
      </c>
      <c r="AD1652" s="301">
        <v>320187.69749642711</v>
      </c>
      <c r="AE1652" s="126"/>
      <c r="AF1652" s="298"/>
      <c r="AG1652" s="299"/>
      <c r="AH1652" s="299"/>
      <c r="AI1652" s="301"/>
      <c r="AJ1652" s="301"/>
      <c r="AK1652" s="426"/>
      <c r="AL1652" s="298"/>
      <c r="AM1652" s="299"/>
      <c r="AN1652" s="299"/>
      <c r="AO1652" s="301"/>
      <c r="AP1652" s="301"/>
      <c r="AQ1652" s="426"/>
      <c r="AR1652" s="298"/>
      <c r="AS1652" s="299"/>
      <c r="AT1652" s="299"/>
      <c r="AU1652" s="301"/>
      <c r="AV1652" s="301"/>
      <c r="AW1652" s="88"/>
      <c r="AX1652" s="298"/>
      <c r="AY1652" s="299"/>
      <c r="AZ1652" s="299"/>
      <c r="BA1652" s="301"/>
      <c r="BB1652" s="301"/>
      <c r="BC1652" s="426"/>
      <c r="BD1652" s="298"/>
      <c r="BE1652" s="299"/>
      <c r="BF1652" s="299"/>
      <c r="BG1652" s="301"/>
      <c r="BH1652" s="301"/>
      <c r="BI1652" s="88"/>
      <c r="BJ1652" s="298"/>
      <c r="BK1652" s="299"/>
      <c r="BL1652" s="299"/>
      <c r="BM1652" s="301"/>
      <c r="BN1652" s="301"/>
      <c r="BO1652" s="88"/>
      <c r="BP1652" s="9"/>
      <c r="BS1652" s="81"/>
      <c r="BT1652" s="81"/>
      <c r="BV1652" s="9"/>
      <c r="BY1652" s="81"/>
      <c r="BZ1652" s="81"/>
      <c r="CB1652" s="9"/>
      <c r="CE1652" s="81"/>
      <c r="CF1652" s="81"/>
      <c r="CH1652" s="9"/>
      <c r="CK1652" s="81"/>
      <c r="CL1652" s="81"/>
      <c r="CR1652" s="9"/>
      <c r="CS1652" s="9"/>
      <c r="CT1652" s="9"/>
      <c r="CU1652" s="9"/>
      <c r="CV1652" s="9"/>
      <c r="CW1652" s="129"/>
      <c r="CX1652" s="9"/>
    </row>
    <row r="1653" spans="1:102">
      <c r="A1653" s="6" t="str">
        <f t="shared" si="251"/>
        <v>03290998</v>
      </c>
      <c r="B1653" s="6" t="s">
        <v>1979</v>
      </c>
      <c r="C1653" s="6" t="s">
        <v>2091</v>
      </c>
      <c r="D1653" s="6">
        <v>1644</v>
      </c>
      <c r="E1653" s="6">
        <v>329</v>
      </c>
      <c r="F1653" s="6" t="s">
        <v>1547</v>
      </c>
      <c r="G1653" s="6">
        <v>998</v>
      </c>
      <c r="I1653" s="33">
        <v>0</v>
      </c>
      <c r="J1653" s="88">
        <v>0</v>
      </c>
      <c r="K1653" s="89">
        <f t="shared" si="260"/>
        <v>0</v>
      </c>
      <c r="L1653" s="88">
        <f>IF(K1654&gt;0, K1653/K1654, 0)</f>
        <v>0</v>
      </c>
      <c r="M1653" s="58"/>
      <c r="N1653" s="9">
        <f>ROUND(M1654*L1653,0)</f>
        <v>0</v>
      </c>
      <c r="O1653" s="9">
        <v>0</v>
      </c>
      <c r="P1653" s="9">
        <f>N1653-O1653</f>
        <v>0</v>
      </c>
      <c r="Q1653" s="40">
        <f t="shared" si="259"/>
        <v>0</v>
      </c>
      <c r="R1653" s="9">
        <v>0</v>
      </c>
      <c r="S1653" s="9">
        <f t="shared" si="257"/>
        <v>0</v>
      </c>
      <c r="T1653" s="90">
        <f t="shared" si="252"/>
        <v>329</v>
      </c>
      <c r="U1653" s="90">
        <f t="shared" si="253"/>
        <v>998</v>
      </c>
      <c r="V1653" s="373">
        <f t="shared" si="254"/>
        <v>1644</v>
      </c>
      <c r="W1653" s="90">
        <f t="shared" si="255"/>
        <v>0</v>
      </c>
      <c r="X1653" s="90">
        <f t="shared" si="256"/>
        <v>0</v>
      </c>
      <c r="Y1653" s="141">
        <f t="shared" si="258"/>
        <v>1644</v>
      </c>
      <c r="Z1653" s="298">
        <v>329</v>
      </c>
      <c r="AA1653" s="299">
        <v>998</v>
      </c>
      <c r="AB1653" s="299">
        <v>1644</v>
      </c>
      <c r="AC1653" s="301">
        <v>0</v>
      </c>
      <c r="AD1653" s="301">
        <v>0</v>
      </c>
      <c r="AE1653" s="126"/>
      <c r="AF1653" s="298"/>
      <c r="AG1653" s="299"/>
      <c r="AH1653" s="299"/>
      <c r="AI1653" s="301"/>
      <c r="AJ1653" s="301"/>
      <c r="AK1653" s="426"/>
      <c r="AL1653" s="298"/>
      <c r="AM1653" s="299"/>
      <c r="AN1653" s="299"/>
      <c r="AO1653" s="301"/>
      <c r="AP1653" s="301"/>
      <c r="AQ1653" s="426"/>
      <c r="AR1653" s="298"/>
      <c r="AS1653" s="299"/>
      <c r="AT1653" s="299"/>
      <c r="AU1653" s="301"/>
      <c r="AV1653" s="301"/>
      <c r="AW1653" s="88"/>
      <c r="AX1653" s="298"/>
      <c r="AY1653" s="299"/>
      <c r="AZ1653" s="299"/>
      <c r="BA1653" s="301"/>
      <c r="BB1653" s="301"/>
      <c r="BC1653" s="426"/>
      <c r="BD1653" s="298"/>
      <c r="BE1653" s="299"/>
      <c r="BF1653" s="299"/>
      <c r="BG1653" s="301"/>
      <c r="BH1653" s="301"/>
      <c r="BI1653" s="88"/>
      <c r="BJ1653" s="298"/>
      <c r="BK1653" s="299"/>
      <c r="BL1653" s="299"/>
      <c r="BM1653" s="301"/>
      <c r="BN1653" s="301"/>
      <c r="BO1653" s="88"/>
      <c r="BP1653" s="9"/>
      <c r="BS1653" s="81"/>
      <c r="BT1653" s="81"/>
      <c r="BV1653" s="9"/>
      <c r="BY1653" s="81"/>
      <c r="BZ1653" s="81"/>
      <c r="CB1653" s="9"/>
      <c r="CE1653" s="81"/>
      <c r="CF1653" s="81"/>
      <c r="CH1653" s="9"/>
      <c r="CK1653" s="81"/>
      <c r="CL1653" s="81"/>
      <c r="CR1653" s="9"/>
      <c r="CS1653" s="9"/>
      <c r="CT1653" s="9"/>
      <c r="CU1653" s="9"/>
      <c r="CV1653" s="9"/>
      <c r="CW1653" s="129"/>
      <c r="CX1653" s="9"/>
    </row>
    <row r="1654" spans="1:102">
      <c r="A1654" s="6" t="str">
        <f t="shared" si="251"/>
        <v>03290999</v>
      </c>
      <c r="B1654" s="6" t="s">
        <v>1979</v>
      </c>
      <c r="C1654" s="6" t="s">
        <v>2092</v>
      </c>
      <c r="D1654" s="6">
        <v>1645</v>
      </c>
      <c r="E1654" s="10">
        <v>329</v>
      </c>
      <c r="F1654" s="10" t="s">
        <v>1447</v>
      </c>
      <c r="G1654" s="10">
        <v>999</v>
      </c>
      <c r="H1654" s="10" t="s">
        <v>593</v>
      </c>
      <c r="I1654" s="92">
        <v>7337858.1495119743</v>
      </c>
      <c r="J1654" s="472">
        <v>1</v>
      </c>
      <c r="K1654" s="53">
        <f>SUM(K1650:K1653)</f>
        <v>7593317.7741232673</v>
      </c>
      <c r="L1654" s="91">
        <f>SUM(L1650:L1653)</f>
        <v>0.99999999999999989</v>
      </c>
      <c r="M1654" s="79">
        <f>VLOOKUP(E1654,town351,24)</f>
        <v>6112616</v>
      </c>
      <c r="N1654" s="79">
        <f>SUM(N1650:N1653)</f>
        <v>6112616</v>
      </c>
      <c r="O1654" s="79">
        <v>5913337</v>
      </c>
      <c r="P1654" s="79">
        <f>SUM(P1650:P1653)</f>
        <v>199279</v>
      </c>
      <c r="Q1654" s="39">
        <f t="shared" si="259"/>
        <v>3.3699922733982519</v>
      </c>
      <c r="R1654" s="9">
        <v>590.18458245072998</v>
      </c>
      <c r="S1654" s="9">
        <f t="shared" si="257"/>
        <v>591.76434579548004</v>
      </c>
      <c r="T1654" s="90">
        <f t="shared" si="252"/>
        <v>329</v>
      </c>
      <c r="U1654" s="90">
        <f t="shared" si="253"/>
        <v>999</v>
      </c>
      <c r="V1654" s="373">
        <f t="shared" si="254"/>
        <v>1645</v>
      </c>
      <c r="W1654" s="90">
        <f t="shared" si="255"/>
        <v>591.76434579548004</v>
      </c>
      <c r="X1654" s="90">
        <f t="shared" si="256"/>
        <v>7593317.7741232673</v>
      </c>
      <c r="Y1654" s="141">
        <f t="shared" si="258"/>
        <v>1645</v>
      </c>
      <c r="Z1654" s="298">
        <v>329</v>
      </c>
      <c r="AA1654" s="299">
        <v>999</v>
      </c>
      <c r="AB1654" s="299">
        <v>1645</v>
      </c>
      <c r="AC1654" s="301">
        <v>591.76434579548004</v>
      </c>
      <c r="AD1654" s="301">
        <v>7593317.7741232673</v>
      </c>
      <c r="AE1654" s="126"/>
      <c r="AF1654" s="298"/>
      <c r="AG1654" s="299"/>
      <c r="AH1654" s="299"/>
      <c r="AI1654" s="301"/>
      <c r="AJ1654" s="301"/>
      <c r="AK1654" s="426"/>
      <c r="AL1654" s="298"/>
      <c r="AM1654" s="299"/>
      <c r="AN1654" s="299"/>
      <c r="AO1654" s="301"/>
      <c r="AP1654" s="301"/>
      <c r="AQ1654" s="426"/>
      <c r="AR1654" s="298"/>
      <c r="AS1654" s="299"/>
      <c r="AT1654" s="299"/>
      <c r="AU1654" s="301"/>
      <c r="AV1654" s="301"/>
      <c r="AW1654" s="91"/>
      <c r="AX1654" s="298"/>
      <c r="AY1654" s="299"/>
      <c r="AZ1654" s="299"/>
      <c r="BA1654" s="301"/>
      <c r="BB1654" s="301"/>
      <c r="BC1654" s="426"/>
      <c r="BD1654" s="298"/>
      <c r="BE1654" s="299"/>
      <c r="BF1654" s="299"/>
      <c r="BG1654" s="301"/>
      <c r="BH1654" s="301"/>
      <c r="BI1654" s="91"/>
      <c r="BJ1654" s="298"/>
      <c r="BK1654" s="299"/>
      <c r="BL1654" s="299"/>
      <c r="BM1654" s="301"/>
      <c r="BN1654" s="301"/>
      <c r="BO1654" s="91"/>
      <c r="BP1654" s="9"/>
      <c r="BS1654" s="81"/>
      <c r="BT1654" s="81"/>
      <c r="BV1654" s="9"/>
      <c r="BY1654" s="81"/>
      <c r="BZ1654" s="81"/>
      <c r="CB1654" s="9"/>
      <c r="CE1654" s="81"/>
      <c r="CF1654" s="81"/>
      <c r="CH1654" s="9"/>
      <c r="CK1654" s="81"/>
      <c r="CL1654" s="81"/>
      <c r="CR1654" s="9"/>
      <c r="CS1654" s="9"/>
      <c r="CT1654" s="9"/>
      <c r="CU1654" s="9"/>
      <c r="CV1654" s="9"/>
      <c r="CW1654" s="129"/>
      <c r="CX1654" s="9"/>
    </row>
    <row r="1655" spans="1:102">
      <c r="A1655" s="6" t="str">
        <f t="shared" si="251"/>
        <v>03300330</v>
      </c>
      <c r="B1655" s="6" t="s">
        <v>1980</v>
      </c>
      <c r="C1655" s="6" t="s">
        <v>1980</v>
      </c>
      <c r="D1655" s="6">
        <v>1646</v>
      </c>
      <c r="E1655" s="6">
        <v>330</v>
      </c>
      <c r="F1655" s="6" t="s">
        <v>1448</v>
      </c>
      <c r="G1655" s="6">
        <v>330</v>
      </c>
      <c r="H1655" s="6" t="s">
        <v>1011</v>
      </c>
      <c r="I1655" s="33">
        <v>25392258.954960003</v>
      </c>
      <c r="J1655" s="88">
        <v>1</v>
      </c>
      <c r="K1655" s="89">
        <f>X1655</f>
        <v>26381907.903000001</v>
      </c>
      <c r="L1655" s="88">
        <f>IF(K1659&gt;0, K1655/K1659, 0)</f>
        <v>1</v>
      </c>
      <c r="M1655" s="58"/>
      <c r="N1655" s="9">
        <f>ROUND(M1659*L1655,0)</f>
        <v>21765074</v>
      </c>
      <c r="O1655" s="9">
        <v>20948614</v>
      </c>
      <c r="P1655" s="9">
        <f>N1655-O1655</f>
        <v>816460</v>
      </c>
      <c r="Q1655" s="40">
        <f t="shared" si="259"/>
        <v>3.8974416159465251</v>
      </c>
      <c r="R1655" s="9">
        <v>2010</v>
      </c>
      <c r="S1655" s="9">
        <f t="shared" si="257"/>
        <v>2041</v>
      </c>
      <c r="T1655" s="90">
        <f t="shared" si="252"/>
        <v>330</v>
      </c>
      <c r="U1655" s="90">
        <f t="shared" si="253"/>
        <v>330</v>
      </c>
      <c r="V1655" s="373">
        <f t="shared" si="254"/>
        <v>1646</v>
      </c>
      <c r="W1655" s="90">
        <f t="shared" si="255"/>
        <v>2041</v>
      </c>
      <c r="X1655" s="90">
        <f t="shared" si="256"/>
        <v>26381907.903000001</v>
      </c>
      <c r="Y1655" s="141">
        <f t="shared" si="258"/>
        <v>1646</v>
      </c>
      <c r="Z1655" s="298">
        <v>330</v>
      </c>
      <c r="AA1655" s="299">
        <v>330</v>
      </c>
      <c r="AB1655" s="299">
        <v>1646</v>
      </c>
      <c r="AC1655" s="301">
        <v>2041</v>
      </c>
      <c r="AD1655" s="301">
        <v>26381907.903000001</v>
      </c>
      <c r="AE1655" s="126"/>
      <c r="AF1655" s="298"/>
      <c r="AG1655" s="299"/>
      <c r="AH1655" s="299"/>
      <c r="AI1655" s="301"/>
      <c r="AJ1655" s="301"/>
      <c r="AK1655" s="426"/>
      <c r="AL1655" s="298"/>
      <c r="AM1655" s="299"/>
      <c r="AN1655" s="299"/>
      <c r="AO1655" s="301"/>
      <c r="AP1655" s="301"/>
      <c r="AQ1655" s="426"/>
      <c r="AR1655" s="298"/>
      <c r="AS1655" s="299"/>
      <c r="AT1655" s="299"/>
      <c r="AU1655" s="301"/>
      <c r="AV1655" s="301"/>
      <c r="AW1655" s="88"/>
      <c r="AX1655" s="298"/>
      <c r="AY1655" s="299"/>
      <c r="AZ1655" s="299"/>
      <c r="BA1655" s="301"/>
      <c r="BB1655" s="301"/>
      <c r="BC1655" s="426"/>
      <c r="BD1655" s="298"/>
      <c r="BE1655" s="299"/>
      <c r="BF1655" s="299"/>
      <c r="BG1655" s="301"/>
      <c r="BH1655" s="301"/>
      <c r="BI1655" s="88"/>
      <c r="BJ1655" s="298"/>
      <c r="BK1655" s="299"/>
      <c r="BL1655" s="299"/>
      <c r="BM1655" s="301"/>
      <c r="BN1655" s="301"/>
      <c r="BO1655" s="88"/>
      <c r="BP1655" s="9"/>
      <c r="BS1655" s="81"/>
      <c r="BT1655" s="81"/>
      <c r="BV1655" s="9"/>
      <c r="BY1655" s="81"/>
      <c r="BZ1655" s="81"/>
      <c r="CB1655" s="9"/>
      <c r="CE1655" s="81"/>
      <c r="CF1655" s="81"/>
      <c r="CH1655" s="9"/>
      <c r="CK1655" s="81"/>
      <c r="CL1655" s="81"/>
      <c r="CR1655" s="9"/>
      <c r="CS1655" s="9"/>
      <c r="CT1655" s="9"/>
      <c r="CU1655" s="9"/>
      <c r="CV1655" s="9"/>
      <c r="CW1655" s="129"/>
      <c r="CX1655" s="9"/>
    </row>
    <row r="1656" spans="1:102">
      <c r="A1656" s="6" t="str">
        <f t="shared" si="251"/>
        <v>03300830</v>
      </c>
      <c r="B1656" s="6" t="s">
        <v>1980</v>
      </c>
      <c r="C1656" s="6" t="s">
        <v>2074</v>
      </c>
      <c r="D1656" s="6">
        <v>1647</v>
      </c>
      <c r="E1656" s="6">
        <v>330</v>
      </c>
      <c r="G1656" s="6">
        <v>998</v>
      </c>
      <c r="I1656" s="33">
        <v>0</v>
      </c>
      <c r="J1656" s="88">
        <v>0</v>
      </c>
      <c r="K1656" s="89">
        <f t="shared" si="260"/>
        <v>0</v>
      </c>
      <c r="L1656" s="88">
        <f>IF(K1659&gt;0, K1656/K1659, 0)</f>
        <v>0</v>
      </c>
      <c r="M1656" s="58"/>
      <c r="N1656" s="9">
        <f>ROUND(M1659*L1656,0)</f>
        <v>0</v>
      </c>
      <c r="O1656" s="9">
        <v>0</v>
      </c>
      <c r="P1656" s="9">
        <f>N1656-O1656</f>
        <v>0</v>
      </c>
      <c r="Q1656" s="40">
        <f t="shared" si="259"/>
        <v>0</v>
      </c>
      <c r="R1656" s="9">
        <v>0</v>
      </c>
      <c r="S1656" s="9">
        <f t="shared" si="257"/>
        <v>0</v>
      </c>
      <c r="T1656" s="90">
        <f t="shared" si="252"/>
        <v>330</v>
      </c>
      <c r="U1656" s="90">
        <f t="shared" si="253"/>
        <v>998</v>
      </c>
      <c r="V1656" s="373">
        <f t="shared" si="254"/>
        <v>1647</v>
      </c>
      <c r="W1656" s="90">
        <f t="shared" si="255"/>
        <v>0</v>
      </c>
      <c r="X1656" s="90">
        <f t="shared" si="256"/>
        <v>0</v>
      </c>
      <c r="Y1656" s="141">
        <f t="shared" si="258"/>
        <v>1647</v>
      </c>
      <c r="Z1656" s="298">
        <v>330</v>
      </c>
      <c r="AA1656" s="299">
        <v>998</v>
      </c>
      <c r="AB1656" s="299">
        <v>1647</v>
      </c>
      <c r="AC1656" s="301">
        <v>0</v>
      </c>
      <c r="AD1656" s="301">
        <v>0</v>
      </c>
      <c r="AE1656" s="126"/>
      <c r="AF1656" s="298"/>
      <c r="AG1656" s="299"/>
      <c r="AH1656" s="299"/>
      <c r="AI1656" s="301"/>
      <c r="AJ1656" s="301"/>
      <c r="AK1656" s="426"/>
      <c r="AL1656" s="298"/>
      <c r="AM1656" s="299"/>
      <c r="AN1656" s="299"/>
      <c r="AO1656" s="301"/>
      <c r="AP1656" s="301"/>
      <c r="AQ1656" s="426"/>
      <c r="AR1656" s="298"/>
      <c r="AS1656" s="299"/>
      <c r="AT1656" s="299"/>
      <c r="AU1656" s="301"/>
      <c r="AV1656" s="301"/>
      <c r="AW1656" s="88"/>
      <c r="AX1656" s="298"/>
      <c r="AY1656" s="299"/>
      <c r="AZ1656" s="299"/>
      <c r="BA1656" s="301"/>
      <c r="BB1656" s="301"/>
      <c r="BC1656" s="426"/>
      <c r="BD1656" s="298"/>
      <c r="BE1656" s="299"/>
      <c r="BF1656" s="299"/>
      <c r="BG1656" s="301"/>
      <c r="BH1656" s="301"/>
      <c r="BI1656" s="88"/>
      <c r="BJ1656" s="298"/>
      <c r="BK1656" s="299"/>
      <c r="BL1656" s="299"/>
      <c r="BM1656" s="301"/>
      <c r="BN1656" s="301"/>
      <c r="BO1656" s="88"/>
      <c r="BP1656" s="9"/>
      <c r="BS1656" s="81"/>
      <c r="BT1656" s="81"/>
      <c r="BV1656" s="9"/>
      <c r="BY1656" s="81"/>
      <c r="BZ1656" s="81"/>
      <c r="CB1656" s="9"/>
      <c r="CE1656" s="81"/>
      <c r="CF1656" s="81"/>
      <c r="CH1656" s="9"/>
      <c r="CK1656" s="81"/>
      <c r="CL1656" s="81"/>
      <c r="CR1656" s="9"/>
      <c r="CS1656" s="9"/>
      <c r="CT1656" s="9"/>
      <c r="CU1656" s="9"/>
      <c r="CV1656" s="9"/>
      <c r="CW1656" s="129"/>
      <c r="CX1656" s="9"/>
    </row>
    <row r="1657" spans="1:102">
      <c r="A1657" s="6" t="str">
        <f t="shared" si="251"/>
        <v>03300998</v>
      </c>
      <c r="B1657" s="6" t="s">
        <v>1980</v>
      </c>
      <c r="C1657" s="6" t="s">
        <v>2091</v>
      </c>
      <c r="D1657" s="6">
        <v>1648</v>
      </c>
      <c r="E1657" s="6">
        <v>330</v>
      </c>
      <c r="F1657" s="6" t="s">
        <v>1547</v>
      </c>
      <c r="G1657" s="6">
        <v>998</v>
      </c>
      <c r="H1657" s="6" t="s">
        <v>1547</v>
      </c>
      <c r="I1657" s="33">
        <v>0</v>
      </c>
      <c r="J1657" s="88">
        <v>0</v>
      </c>
      <c r="K1657" s="89">
        <f t="shared" si="260"/>
        <v>0</v>
      </c>
      <c r="L1657" s="88">
        <f>IF(K1659&gt;0, K1657/K1659, 0)</f>
        <v>0</v>
      </c>
      <c r="M1657" s="58"/>
      <c r="N1657" s="9">
        <f>ROUND(M1659*L1657,0)</f>
        <v>0</v>
      </c>
      <c r="O1657" s="9">
        <v>0</v>
      </c>
      <c r="P1657" s="9">
        <f>N1657-O1657</f>
        <v>0</v>
      </c>
      <c r="Q1657" s="40">
        <f t="shared" si="259"/>
        <v>0</v>
      </c>
      <c r="R1657" s="9">
        <v>0</v>
      </c>
      <c r="S1657" s="9">
        <f t="shared" si="257"/>
        <v>0</v>
      </c>
      <c r="T1657" s="90">
        <f t="shared" si="252"/>
        <v>330</v>
      </c>
      <c r="U1657" s="90">
        <f t="shared" si="253"/>
        <v>998</v>
      </c>
      <c r="V1657" s="373">
        <f t="shared" si="254"/>
        <v>1648</v>
      </c>
      <c r="W1657" s="90">
        <f t="shared" si="255"/>
        <v>0</v>
      </c>
      <c r="X1657" s="90">
        <f t="shared" si="256"/>
        <v>0</v>
      </c>
      <c r="Y1657" s="141">
        <f t="shared" si="258"/>
        <v>1648</v>
      </c>
      <c r="Z1657" s="298">
        <v>330</v>
      </c>
      <c r="AA1657" s="299">
        <v>998</v>
      </c>
      <c r="AB1657" s="299">
        <v>1648</v>
      </c>
      <c r="AC1657" s="301">
        <v>0</v>
      </c>
      <c r="AD1657" s="301">
        <v>0</v>
      </c>
      <c r="AE1657" s="126"/>
      <c r="AF1657" s="298"/>
      <c r="AG1657" s="299"/>
      <c r="AH1657" s="299"/>
      <c r="AI1657" s="301"/>
      <c r="AJ1657" s="301"/>
      <c r="AK1657" s="426"/>
      <c r="AL1657" s="298"/>
      <c r="AM1657" s="299"/>
      <c r="AN1657" s="299"/>
      <c r="AO1657" s="301"/>
      <c r="AP1657" s="301"/>
      <c r="AQ1657" s="426"/>
      <c r="AR1657" s="298"/>
      <c r="AS1657" s="299"/>
      <c r="AT1657" s="299"/>
      <c r="AU1657" s="301"/>
      <c r="AV1657" s="301"/>
      <c r="AW1657" s="88"/>
      <c r="AX1657" s="298"/>
      <c r="AY1657" s="299"/>
      <c r="AZ1657" s="299"/>
      <c r="BA1657" s="301"/>
      <c r="BB1657" s="301"/>
      <c r="BC1657" s="426"/>
      <c r="BD1657" s="298"/>
      <c r="BE1657" s="299"/>
      <c r="BF1657" s="299"/>
      <c r="BG1657" s="301"/>
      <c r="BH1657" s="301"/>
      <c r="BI1657" s="88"/>
      <c r="BJ1657" s="298"/>
      <c r="BK1657" s="299"/>
      <c r="BL1657" s="299"/>
      <c r="BM1657" s="301"/>
      <c r="BN1657" s="301"/>
      <c r="BO1657" s="88"/>
      <c r="BP1657" s="9"/>
      <c r="BS1657" s="81"/>
      <c r="BT1657" s="81"/>
      <c r="BV1657" s="9"/>
      <c r="BY1657" s="81"/>
      <c r="BZ1657" s="81"/>
      <c r="CB1657" s="9"/>
      <c r="CE1657" s="81"/>
      <c r="CF1657" s="81"/>
      <c r="CH1657" s="9"/>
      <c r="CK1657" s="81"/>
      <c r="CL1657" s="81"/>
      <c r="CR1657" s="9"/>
      <c r="CS1657" s="9"/>
      <c r="CT1657" s="9"/>
      <c r="CU1657" s="9"/>
      <c r="CV1657" s="9"/>
      <c r="CW1657" s="129"/>
      <c r="CX1657" s="9"/>
    </row>
    <row r="1658" spans="1:102">
      <c r="A1658" s="6" t="str">
        <f t="shared" si="251"/>
        <v>03300998</v>
      </c>
      <c r="B1658" s="6" t="s">
        <v>1980</v>
      </c>
      <c r="C1658" s="6" t="s">
        <v>2091</v>
      </c>
      <c r="D1658" s="6">
        <v>1649</v>
      </c>
      <c r="E1658" s="6">
        <v>330</v>
      </c>
      <c r="F1658" s="6" t="s">
        <v>1547</v>
      </c>
      <c r="G1658" s="6">
        <v>998</v>
      </c>
      <c r="H1658" s="6" t="s">
        <v>1547</v>
      </c>
      <c r="I1658" s="33">
        <v>0</v>
      </c>
      <c r="J1658" s="88">
        <v>0</v>
      </c>
      <c r="K1658" s="89">
        <f t="shared" si="260"/>
        <v>0</v>
      </c>
      <c r="L1658" s="88">
        <f>IF(K1659&gt;0, K1658/K1659, 0)</f>
        <v>0</v>
      </c>
      <c r="M1658" s="58"/>
      <c r="N1658" s="9">
        <f>ROUND(M1659*L1658,0)</f>
        <v>0</v>
      </c>
      <c r="O1658" s="9">
        <v>0</v>
      </c>
      <c r="P1658" s="9">
        <f>N1658-O1658</f>
        <v>0</v>
      </c>
      <c r="Q1658" s="40">
        <f t="shared" si="259"/>
        <v>0</v>
      </c>
      <c r="R1658" s="9">
        <v>0</v>
      </c>
      <c r="S1658" s="9">
        <f t="shared" si="257"/>
        <v>0</v>
      </c>
      <c r="T1658" s="90">
        <f t="shared" si="252"/>
        <v>330</v>
      </c>
      <c r="U1658" s="90">
        <f t="shared" si="253"/>
        <v>998</v>
      </c>
      <c r="V1658" s="373">
        <f t="shared" si="254"/>
        <v>1649</v>
      </c>
      <c r="W1658" s="90">
        <f t="shared" si="255"/>
        <v>0</v>
      </c>
      <c r="X1658" s="90">
        <f t="shared" si="256"/>
        <v>0</v>
      </c>
      <c r="Y1658" s="141">
        <f t="shared" si="258"/>
        <v>1649</v>
      </c>
      <c r="Z1658" s="298">
        <v>330</v>
      </c>
      <c r="AA1658" s="299">
        <v>998</v>
      </c>
      <c r="AB1658" s="299">
        <v>1649</v>
      </c>
      <c r="AC1658" s="301">
        <v>0</v>
      </c>
      <c r="AD1658" s="301">
        <v>0</v>
      </c>
      <c r="AE1658" s="126"/>
      <c r="AF1658" s="298"/>
      <c r="AG1658" s="299"/>
      <c r="AH1658" s="299"/>
      <c r="AI1658" s="301"/>
      <c r="AJ1658" s="301"/>
      <c r="AK1658" s="426"/>
      <c r="AL1658" s="298"/>
      <c r="AM1658" s="299"/>
      <c r="AN1658" s="299"/>
      <c r="AO1658" s="301"/>
      <c r="AP1658" s="301"/>
      <c r="AQ1658" s="426"/>
      <c r="AR1658" s="298"/>
      <c r="AS1658" s="299"/>
      <c r="AT1658" s="299"/>
      <c r="AU1658" s="301"/>
      <c r="AV1658" s="301"/>
      <c r="AW1658" s="88"/>
      <c r="AX1658" s="298"/>
      <c r="AY1658" s="299"/>
      <c r="AZ1658" s="299"/>
      <c r="BA1658" s="301"/>
      <c r="BB1658" s="301"/>
      <c r="BC1658" s="426"/>
      <c r="BD1658" s="298"/>
      <c r="BE1658" s="299"/>
      <c r="BF1658" s="299"/>
      <c r="BG1658" s="301"/>
      <c r="BH1658" s="301"/>
      <c r="BI1658" s="88"/>
      <c r="BJ1658" s="298"/>
      <c r="BK1658" s="299"/>
      <c r="BL1658" s="299"/>
      <c r="BM1658" s="301"/>
      <c r="BN1658" s="301"/>
      <c r="BO1658" s="88"/>
      <c r="BP1658" s="9"/>
      <c r="BS1658" s="81"/>
      <c r="BT1658" s="81"/>
      <c r="BV1658" s="9"/>
      <c r="BY1658" s="81"/>
      <c r="BZ1658" s="81"/>
      <c r="CB1658" s="9"/>
      <c r="CE1658" s="81"/>
      <c r="CF1658" s="81"/>
      <c r="CH1658" s="9"/>
      <c r="CK1658" s="81"/>
      <c r="CL1658" s="81"/>
      <c r="CR1658" s="9"/>
      <c r="CS1658" s="9"/>
      <c r="CT1658" s="9"/>
      <c r="CU1658" s="9"/>
      <c r="CV1658" s="9"/>
      <c r="CW1658" s="129"/>
      <c r="CX1658" s="9"/>
    </row>
    <row r="1659" spans="1:102">
      <c r="A1659" s="6" t="str">
        <f t="shared" si="251"/>
        <v>03300999</v>
      </c>
      <c r="B1659" s="6" t="s">
        <v>1980</v>
      </c>
      <c r="C1659" s="6" t="s">
        <v>2092</v>
      </c>
      <c r="D1659" s="6">
        <v>1650</v>
      </c>
      <c r="E1659" s="10">
        <v>330</v>
      </c>
      <c r="F1659" s="10" t="s">
        <v>1448</v>
      </c>
      <c r="G1659" s="10">
        <v>999</v>
      </c>
      <c r="H1659" s="10" t="s">
        <v>593</v>
      </c>
      <c r="I1659" s="92">
        <v>25392258.954960003</v>
      </c>
      <c r="J1659" s="472">
        <v>1</v>
      </c>
      <c r="K1659" s="53">
        <f>SUM(K1655:K1658)</f>
        <v>26381907.903000001</v>
      </c>
      <c r="L1659" s="91">
        <f>SUM(L1655:L1658)</f>
        <v>1</v>
      </c>
      <c r="M1659" s="79">
        <f>VLOOKUP(E1659,town351,24)</f>
        <v>21765074</v>
      </c>
      <c r="N1659" s="79">
        <f>SUM(N1655:N1658)</f>
        <v>21765074</v>
      </c>
      <c r="O1659" s="79">
        <v>20948614</v>
      </c>
      <c r="P1659" s="79">
        <f>SUM(P1655:P1658)</f>
        <v>816460</v>
      </c>
      <c r="Q1659" s="39">
        <f t="shared" si="259"/>
        <v>3.8974416159465251</v>
      </c>
      <c r="R1659" s="9">
        <v>2010</v>
      </c>
      <c r="S1659" s="9">
        <f t="shared" si="257"/>
        <v>2041</v>
      </c>
      <c r="T1659" s="90">
        <f t="shared" si="252"/>
        <v>330</v>
      </c>
      <c r="U1659" s="90">
        <f t="shared" si="253"/>
        <v>999</v>
      </c>
      <c r="V1659" s="373">
        <f t="shared" si="254"/>
        <v>1650</v>
      </c>
      <c r="W1659" s="90">
        <f t="shared" si="255"/>
        <v>2041</v>
      </c>
      <c r="X1659" s="90">
        <f t="shared" si="256"/>
        <v>26381907.903000001</v>
      </c>
      <c r="Y1659" s="141">
        <f t="shared" si="258"/>
        <v>1650</v>
      </c>
      <c r="Z1659" s="298">
        <v>330</v>
      </c>
      <c r="AA1659" s="299">
        <v>999</v>
      </c>
      <c r="AB1659" s="299">
        <v>1650</v>
      </c>
      <c r="AC1659" s="301">
        <v>2041</v>
      </c>
      <c r="AD1659" s="301">
        <v>26381907.903000001</v>
      </c>
      <c r="AE1659" s="126"/>
      <c r="AF1659" s="298"/>
      <c r="AG1659" s="299"/>
      <c r="AH1659" s="299"/>
      <c r="AI1659" s="301"/>
      <c r="AJ1659" s="301"/>
      <c r="AK1659" s="426"/>
      <c r="AL1659" s="298"/>
      <c r="AM1659" s="299"/>
      <c r="AN1659" s="299"/>
      <c r="AO1659" s="301"/>
      <c r="AP1659" s="301"/>
      <c r="AQ1659" s="426"/>
      <c r="AR1659" s="298"/>
      <c r="AS1659" s="299"/>
      <c r="AT1659" s="299"/>
      <c r="AU1659" s="301"/>
      <c r="AV1659" s="301"/>
      <c r="AW1659" s="91"/>
      <c r="AX1659" s="298"/>
      <c r="AY1659" s="299"/>
      <c r="AZ1659" s="299"/>
      <c r="BA1659" s="301"/>
      <c r="BB1659" s="301"/>
      <c r="BC1659" s="426"/>
      <c r="BD1659" s="298"/>
      <c r="BE1659" s="299"/>
      <c r="BF1659" s="299"/>
      <c r="BG1659" s="301"/>
      <c r="BH1659" s="301"/>
      <c r="BI1659" s="91"/>
      <c r="BJ1659" s="298"/>
      <c r="BK1659" s="299"/>
      <c r="BL1659" s="299"/>
      <c r="BM1659" s="301"/>
      <c r="BN1659" s="301"/>
      <c r="BO1659" s="91"/>
      <c r="BP1659" s="9"/>
      <c r="BS1659" s="81"/>
      <c r="BT1659" s="81"/>
      <c r="BV1659" s="9"/>
      <c r="BY1659" s="81"/>
      <c r="BZ1659" s="81"/>
      <c r="CB1659" s="9"/>
      <c r="CE1659" s="81"/>
      <c r="CF1659" s="81"/>
      <c r="CH1659" s="9"/>
      <c r="CK1659" s="81"/>
      <c r="CL1659" s="81"/>
      <c r="CR1659" s="9"/>
      <c r="CS1659" s="9"/>
      <c r="CT1659" s="9"/>
      <c r="CU1659" s="9"/>
      <c r="CV1659" s="9"/>
      <c r="CW1659" s="129"/>
      <c r="CX1659" s="9"/>
    </row>
    <row r="1660" spans="1:102">
      <c r="A1660" s="6" t="str">
        <f t="shared" si="251"/>
        <v>03310331</v>
      </c>
      <c r="B1660" s="6" t="s">
        <v>1981</v>
      </c>
      <c r="C1660" s="6" t="s">
        <v>1981</v>
      </c>
      <c r="D1660" s="6">
        <v>1651</v>
      </c>
      <c r="E1660" s="6">
        <v>331</v>
      </c>
      <c r="F1660" s="6" t="s">
        <v>1449</v>
      </c>
      <c r="G1660" s="6">
        <v>331</v>
      </c>
      <c r="H1660" s="6" t="s">
        <v>1012</v>
      </c>
      <c r="I1660" s="33">
        <v>20926189.139999997</v>
      </c>
      <c r="J1660" s="88">
        <v>0.86805239873403306</v>
      </c>
      <c r="K1660" s="89">
        <f>X1660</f>
        <v>22168976.699999999</v>
      </c>
      <c r="L1660" s="88">
        <f>IF(K1664&gt;0, K1660/K1664, 0)</f>
        <v>0.87272264958418122</v>
      </c>
      <c r="M1660" s="58"/>
      <c r="N1660" s="9">
        <f>ROUND(M1664*L1660,0)</f>
        <v>16573075</v>
      </c>
      <c r="O1660" s="9">
        <v>15677019</v>
      </c>
      <c r="P1660" s="9">
        <f>N1660-O1660</f>
        <v>896056</v>
      </c>
      <c r="Q1660" s="40">
        <f t="shared" si="259"/>
        <v>5.7157295018906336</v>
      </c>
      <c r="R1660" s="9">
        <v>1560</v>
      </c>
      <c r="S1660" s="9">
        <f t="shared" si="257"/>
        <v>1595</v>
      </c>
      <c r="T1660" s="90">
        <f t="shared" si="252"/>
        <v>331</v>
      </c>
      <c r="U1660" s="90">
        <f t="shared" si="253"/>
        <v>331</v>
      </c>
      <c r="V1660" s="373">
        <f t="shared" si="254"/>
        <v>1651</v>
      </c>
      <c r="W1660" s="90">
        <f t="shared" si="255"/>
        <v>1595</v>
      </c>
      <c r="X1660" s="90">
        <f t="shared" si="256"/>
        <v>22168976.699999999</v>
      </c>
      <c r="Y1660" s="141">
        <f t="shared" si="258"/>
        <v>1651</v>
      </c>
      <c r="Z1660" s="298">
        <v>331</v>
      </c>
      <c r="AA1660" s="299">
        <v>331</v>
      </c>
      <c r="AB1660" s="299">
        <v>1651</v>
      </c>
      <c r="AC1660" s="301">
        <v>1595</v>
      </c>
      <c r="AD1660" s="301">
        <v>22168976.699999999</v>
      </c>
      <c r="AE1660" s="126"/>
      <c r="AF1660" s="298"/>
      <c r="AG1660" s="299"/>
      <c r="AH1660" s="299"/>
      <c r="AI1660" s="301"/>
      <c r="AJ1660" s="301"/>
      <c r="AK1660" s="426"/>
      <c r="AL1660" s="298"/>
      <c r="AM1660" s="299"/>
      <c r="AN1660" s="299"/>
      <c r="AO1660" s="301"/>
      <c r="AP1660" s="301"/>
      <c r="AQ1660" s="426"/>
      <c r="AR1660" s="298"/>
      <c r="AS1660" s="299"/>
      <c r="AT1660" s="299"/>
      <c r="AU1660" s="301"/>
      <c r="AV1660" s="301"/>
      <c r="AW1660" s="88"/>
      <c r="AX1660" s="298"/>
      <c r="AY1660" s="299"/>
      <c r="AZ1660" s="299"/>
      <c r="BA1660" s="301"/>
      <c r="BB1660" s="301"/>
      <c r="BC1660" s="426"/>
      <c r="BD1660" s="298"/>
      <c r="BE1660" s="299"/>
      <c r="BF1660" s="299"/>
      <c r="BG1660" s="301"/>
      <c r="BH1660" s="301"/>
      <c r="BI1660" s="88"/>
      <c r="BJ1660" s="298"/>
      <c r="BK1660" s="299"/>
      <c r="BL1660" s="299"/>
      <c r="BM1660" s="301"/>
      <c r="BN1660" s="301"/>
      <c r="BO1660" s="88"/>
      <c r="BP1660" s="9"/>
      <c r="BS1660" s="81"/>
      <c r="BT1660" s="81"/>
      <c r="BV1660" s="9"/>
      <c r="BY1660" s="81"/>
      <c r="BZ1660" s="81"/>
      <c r="CB1660" s="9"/>
      <c r="CE1660" s="81"/>
      <c r="CF1660" s="81"/>
      <c r="CH1660" s="9"/>
      <c r="CK1660" s="81"/>
      <c r="CL1660" s="81"/>
      <c r="CR1660" s="9"/>
      <c r="CS1660" s="9"/>
      <c r="CT1660" s="9"/>
      <c r="CU1660" s="9"/>
      <c r="CV1660" s="9"/>
      <c r="CW1660" s="129"/>
      <c r="CX1660" s="9"/>
    </row>
    <row r="1661" spans="1:102">
      <c r="A1661" s="6" t="str">
        <f t="shared" si="251"/>
        <v>03310821</v>
      </c>
      <c r="B1661" s="6" t="s">
        <v>1981</v>
      </c>
      <c r="C1661" s="6" t="s">
        <v>2069</v>
      </c>
      <c r="D1661" s="6">
        <v>1652</v>
      </c>
      <c r="E1661" s="6">
        <v>331</v>
      </c>
      <c r="F1661" s="6" t="s">
        <v>1449</v>
      </c>
      <c r="G1661" s="6">
        <v>821</v>
      </c>
      <c r="H1661" s="6" t="s">
        <v>1099</v>
      </c>
      <c r="I1661" s="33">
        <v>2488546.1733393492</v>
      </c>
      <c r="J1661" s="88">
        <v>0.10322894726199637</v>
      </c>
      <c r="K1661" s="89">
        <f t="shared" si="260"/>
        <v>2545140.3184631867</v>
      </c>
      <c r="L1661" s="88">
        <f>IF(K1664&gt;0, K1661/K1664, 0)</f>
        <v>0.10019414212712484</v>
      </c>
      <c r="M1661" s="58"/>
      <c r="N1661" s="9">
        <f>ROUND(M1664*L1661,0)</f>
        <v>1902695</v>
      </c>
      <c r="O1661" s="9">
        <v>1864314</v>
      </c>
      <c r="P1661" s="9">
        <f>N1661-O1661</f>
        <v>38381</v>
      </c>
      <c r="Q1661" s="40">
        <f t="shared" si="259"/>
        <v>2.0587197221068982</v>
      </c>
      <c r="R1661" s="9">
        <v>116.99999999649999</v>
      </c>
      <c r="S1661" s="9">
        <f t="shared" si="257"/>
        <v>116.00000000145</v>
      </c>
      <c r="T1661" s="90">
        <f t="shared" si="252"/>
        <v>331</v>
      </c>
      <c r="U1661" s="90">
        <f t="shared" si="253"/>
        <v>821</v>
      </c>
      <c r="V1661" s="373">
        <f t="shared" si="254"/>
        <v>1652</v>
      </c>
      <c r="W1661" s="90">
        <f t="shared" si="255"/>
        <v>116.00000000145</v>
      </c>
      <c r="X1661" s="90">
        <f t="shared" si="256"/>
        <v>2545140.3184631867</v>
      </c>
      <c r="Y1661" s="141">
        <f t="shared" si="258"/>
        <v>1652</v>
      </c>
      <c r="Z1661" s="298">
        <v>331</v>
      </c>
      <c r="AA1661" s="299">
        <v>821</v>
      </c>
      <c r="AB1661" s="299">
        <v>1652</v>
      </c>
      <c r="AC1661" s="301">
        <v>116.00000000145</v>
      </c>
      <c r="AD1661" s="301">
        <v>2545140.3184631867</v>
      </c>
      <c r="AE1661" s="126"/>
      <c r="AF1661" s="298"/>
      <c r="AG1661" s="299"/>
      <c r="AH1661" s="299"/>
      <c r="AI1661" s="301"/>
      <c r="AJ1661" s="301"/>
      <c r="AK1661" s="426"/>
      <c r="AL1661" s="298"/>
      <c r="AM1661" s="299"/>
      <c r="AN1661" s="299"/>
      <c r="AO1661" s="301"/>
      <c r="AP1661" s="301"/>
      <c r="AQ1661" s="426"/>
      <c r="AR1661" s="298"/>
      <c r="AS1661" s="299"/>
      <c r="AT1661" s="299"/>
      <c r="AU1661" s="301"/>
      <c r="AV1661" s="301"/>
      <c r="AW1661" s="88"/>
      <c r="AX1661" s="298"/>
      <c r="AY1661" s="299"/>
      <c r="AZ1661" s="299"/>
      <c r="BA1661" s="301"/>
      <c r="BB1661" s="301"/>
      <c r="BC1661" s="426"/>
      <c r="BD1661" s="298"/>
      <c r="BE1661" s="299"/>
      <c r="BF1661" s="299"/>
      <c r="BG1661" s="301"/>
      <c r="BH1661" s="301"/>
      <c r="BI1661" s="88"/>
      <c r="BJ1661" s="298"/>
      <c r="BK1661" s="299"/>
      <c r="BL1661" s="299"/>
      <c r="BM1661" s="301"/>
      <c r="BN1661" s="301"/>
      <c r="BO1661" s="88"/>
      <c r="BP1661" s="9"/>
      <c r="BS1661" s="81"/>
      <c r="BT1661" s="81"/>
      <c r="BV1661" s="9"/>
      <c r="BY1661" s="81"/>
      <c r="BZ1661" s="81"/>
      <c r="CB1661" s="9"/>
      <c r="CE1661" s="81"/>
      <c r="CF1661" s="81"/>
      <c r="CH1661" s="9"/>
      <c r="CK1661" s="81"/>
      <c r="CL1661" s="81"/>
      <c r="CR1661" s="9"/>
      <c r="CS1661" s="9"/>
      <c r="CT1661" s="9"/>
      <c r="CU1661" s="9"/>
      <c r="CV1661" s="9"/>
      <c r="CW1661" s="129"/>
      <c r="CX1661" s="9"/>
    </row>
    <row r="1662" spans="1:102">
      <c r="A1662" s="6" t="str">
        <f t="shared" si="251"/>
        <v>03310910</v>
      </c>
      <c r="B1662" s="6" t="s">
        <v>1981</v>
      </c>
      <c r="C1662" s="6" t="s">
        <v>2088</v>
      </c>
      <c r="D1662" s="6">
        <v>1653</v>
      </c>
      <c r="E1662" s="6">
        <v>331</v>
      </c>
      <c r="F1662" s="6" t="s">
        <v>1449</v>
      </c>
      <c r="G1662" s="6">
        <v>910</v>
      </c>
      <c r="H1662" s="6" t="s">
        <v>1118</v>
      </c>
      <c r="I1662" s="33">
        <v>692322.24507387273</v>
      </c>
      <c r="J1662" s="88">
        <v>2.8718654003970567E-2</v>
      </c>
      <c r="K1662" s="89">
        <f t="shared" si="260"/>
        <v>687970.01406961621</v>
      </c>
      <c r="L1662" s="88">
        <f>IF(K1664&gt;0, K1662/K1664, 0)</f>
        <v>2.70832082886939E-2</v>
      </c>
      <c r="M1662" s="58"/>
      <c r="N1662" s="9">
        <f>ROUND(M1664*L1662,0)</f>
        <v>514312</v>
      </c>
      <c r="O1662" s="9">
        <v>518659</v>
      </c>
      <c r="P1662" s="9">
        <f>N1662-O1662</f>
        <v>-4347</v>
      </c>
      <c r="Q1662" s="40">
        <f t="shared" si="259"/>
        <v>-0.83812292855228576</v>
      </c>
      <c r="R1662" s="9">
        <v>33.999999999090001</v>
      </c>
      <c r="S1662" s="9">
        <f t="shared" si="257"/>
        <v>32.999999999960004</v>
      </c>
      <c r="T1662" s="90">
        <f t="shared" si="252"/>
        <v>331</v>
      </c>
      <c r="U1662" s="90">
        <f t="shared" si="253"/>
        <v>910</v>
      </c>
      <c r="V1662" s="373">
        <f t="shared" si="254"/>
        <v>1653</v>
      </c>
      <c r="W1662" s="90">
        <f t="shared" si="255"/>
        <v>32.999999999960004</v>
      </c>
      <c r="X1662" s="90">
        <f t="shared" si="256"/>
        <v>687970.01406961621</v>
      </c>
      <c r="Y1662" s="141">
        <f t="shared" si="258"/>
        <v>1653</v>
      </c>
      <c r="Z1662" s="298">
        <v>331</v>
      </c>
      <c r="AA1662" s="299">
        <v>910</v>
      </c>
      <c r="AB1662" s="299">
        <v>1653</v>
      </c>
      <c r="AC1662" s="301">
        <v>32.999999999960004</v>
      </c>
      <c r="AD1662" s="301">
        <v>687970.01406961621</v>
      </c>
      <c r="AE1662" s="126"/>
      <c r="AF1662" s="298"/>
      <c r="AG1662" s="299"/>
      <c r="AH1662" s="299"/>
      <c r="AI1662" s="301"/>
      <c r="AJ1662" s="301"/>
      <c r="AK1662" s="426"/>
      <c r="AL1662" s="298"/>
      <c r="AM1662" s="299"/>
      <c r="AN1662" s="299"/>
      <c r="AO1662" s="301"/>
      <c r="AP1662" s="301"/>
      <c r="AQ1662" s="426"/>
      <c r="AR1662" s="298"/>
      <c r="AS1662" s="299"/>
      <c r="AT1662" s="299"/>
      <c r="AU1662" s="301"/>
      <c r="AV1662" s="301"/>
      <c r="AW1662" s="88"/>
      <c r="AX1662" s="298"/>
      <c r="AY1662" s="299"/>
      <c r="AZ1662" s="299"/>
      <c r="BA1662" s="301"/>
      <c r="BB1662" s="301"/>
      <c r="BC1662" s="426"/>
      <c r="BD1662" s="298"/>
      <c r="BE1662" s="299"/>
      <c r="BF1662" s="299"/>
      <c r="BG1662" s="301"/>
      <c r="BH1662" s="301"/>
      <c r="BI1662" s="88"/>
      <c r="BJ1662" s="298"/>
      <c r="BK1662" s="299"/>
      <c r="BL1662" s="299"/>
      <c r="BM1662" s="301"/>
      <c r="BN1662" s="301"/>
      <c r="BO1662" s="88"/>
      <c r="BP1662" s="9"/>
      <c r="BS1662" s="81"/>
      <c r="BT1662" s="81"/>
      <c r="BV1662" s="9"/>
      <c r="BY1662" s="81"/>
      <c r="BZ1662" s="81"/>
      <c r="CB1662" s="9"/>
      <c r="CE1662" s="81"/>
      <c r="CF1662" s="81"/>
      <c r="CH1662" s="9"/>
      <c r="CK1662" s="81"/>
      <c r="CL1662" s="81"/>
      <c r="CR1662" s="9"/>
      <c r="CS1662" s="9"/>
      <c r="CT1662" s="9"/>
      <c r="CU1662" s="9"/>
      <c r="CV1662" s="9"/>
      <c r="CW1662" s="129"/>
      <c r="CX1662" s="9"/>
    </row>
    <row r="1663" spans="1:102">
      <c r="A1663" s="6" t="str">
        <f t="shared" si="251"/>
        <v>03310998</v>
      </c>
      <c r="B1663" s="6" t="s">
        <v>1981</v>
      </c>
      <c r="C1663" s="6" t="s">
        <v>2091</v>
      </c>
      <c r="D1663" s="6">
        <v>1654</v>
      </c>
      <c r="E1663" s="6">
        <v>331</v>
      </c>
      <c r="F1663" s="6" t="s">
        <v>1547</v>
      </c>
      <c r="G1663" s="6">
        <v>998</v>
      </c>
      <c r="H1663" s="6" t="s">
        <v>1547</v>
      </c>
      <c r="I1663" s="33">
        <v>0</v>
      </c>
      <c r="J1663" s="88">
        <v>0</v>
      </c>
      <c r="K1663" s="89">
        <f t="shared" si="260"/>
        <v>0</v>
      </c>
      <c r="L1663" s="88">
        <f>IF(K1664&gt;0, K1663/K1664, 0)</f>
        <v>0</v>
      </c>
      <c r="M1663" s="58"/>
      <c r="N1663" s="9">
        <f>ROUND(M1664*L1663,0)</f>
        <v>0</v>
      </c>
      <c r="O1663" s="9">
        <v>0</v>
      </c>
      <c r="P1663" s="9">
        <f>N1663-O1663</f>
        <v>0</v>
      </c>
      <c r="Q1663" s="40">
        <f t="shared" si="259"/>
        <v>0</v>
      </c>
      <c r="R1663" s="9">
        <v>0</v>
      </c>
      <c r="S1663" s="9">
        <f t="shared" si="257"/>
        <v>0</v>
      </c>
      <c r="T1663" s="90">
        <f t="shared" si="252"/>
        <v>331</v>
      </c>
      <c r="U1663" s="90">
        <f t="shared" si="253"/>
        <v>998</v>
      </c>
      <c r="V1663" s="373">
        <f t="shared" si="254"/>
        <v>1654</v>
      </c>
      <c r="W1663" s="90">
        <f t="shared" si="255"/>
        <v>0</v>
      </c>
      <c r="X1663" s="90">
        <f t="shared" si="256"/>
        <v>0</v>
      </c>
      <c r="Y1663" s="141">
        <f t="shared" si="258"/>
        <v>1654</v>
      </c>
      <c r="Z1663" s="298">
        <v>331</v>
      </c>
      <c r="AA1663" s="299">
        <v>998</v>
      </c>
      <c r="AB1663" s="299">
        <v>1654</v>
      </c>
      <c r="AC1663" s="301">
        <v>0</v>
      </c>
      <c r="AD1663" s="301">
        <v>0</v>
      </c>
      <c r="AE1663" s="126"/>
      <c r="AF1663" s="298"/>
      <c r="AG1663" s="299"/>
      <c r="AH1663" s="299"/>
      <c r="AI1663" s="301"/>
      <c r="AJ1663" s="301"/>
      <c r="AK1663" s="426"/>
      <c r="AL1663" s="298"/>
      <c r="AM1663" s="299"/>
      <c r="AN1663" s="299"/>
      <c r="AO1663" s="301"/>
      <c r="AP1663" s="301"/>
      <c r="AQ1663" s="426"/>
      <c r="AR1663" s="298"/>
      <c r="AS1663" s="299"/>
      <c r="AT1663" s="299"/>
      <c r="AU1663" s="301"/>
      <c r="AV1663" s="301"/>
      <c r="AW1663" s="88"/>
      <c r="AX1663" s="298"/>
      <c r="AY1663" s="299"/>
      <c r="AZ1663" s="299"/>
      <c r="BA1663" s="301"/>
      <c r="BB1663" s="301"/>
      <c r="BC1663" s="426"/>
      <c r="BD1663" s="298"/>
      <c r="BE1663" s="299"/>
      <c r="BF1663" s="299"/>
      <c r="BG1663" s="301"/>
      <c r="BH1663" s="301"/>
      <c r="BI1663" s="88"/>
      <c r="BJ1663" s="298"/>
      <c r="BK1663" s="299"/>
      <c r="BL1663" s="299"/>
      <c r="BM1663" s="301"/>
      <c r="BN1663" s="301"/>
      <c r="BO1663" s="88"/>
      <c r="BP1663" s="9"/>
      <c r="BS1663" s="81"/>
      <c r="BT1663" s="81"/>
      <c r="BV1663" s="9"/>
      <c r="BY1663" s="81"/>
      <c r="BZ1663" s="81"/>
      <c r="CB1663" s="9"/>
      <c r="CE1663" s="81"/>
      <c r="CF1663" s="81"/>
      <c r="CH1663" s="9"/>
      <c r="CK1663" s="81"/>
      <c r="CL1663" s="81"/>
      <c r="CR1663" s="9"/>
      <c r="CS1663" s="9"/>
      <c r="CT1663" s="9"/>
      <c r="CU1663" s="9"/>
      <c r="CV1663" s="9"/>
      <c r="CW1663" s="129"/>
      <c r="CX1663" s="9"/>
    </row>
    <row r="1664" spans="1:102">
      <c r="A1664" s="6" t="str">
        <f t="shared" si="251"/>
        <v>03310999</v>
      </c>
      <c r="B1664" s="6" t="s">
        <v>1981</v>
      </c>
      <c r="C1664" s="6" t="s">
        <v>2092</v>
      </c>
      <c r="D1664" s="6">
        <v>1655</v>
      </c>
      <c r="E1664" s="10">
        <v>331</v>
      </c>
      <c r="F1664" s="10" t="s">
        <v>1449</v>
      </c>
      <c r="G1664" s="10">
        <v>999</v>
      </c>
      <c r="H1664" s="10" t="s">
        <v>593</v>
      </c>
      <c r="I1664" s="92">
        <v>24107057.558413219</v>
      </c>
      <c r="J1664" s="472">
        <v>1</v>
      </c>
      <c r="K1664" s="53">
        <f>SUM(K1660:K1663)</f>
        <v>25402087.032532804</v>
      </c>
      <c r="L1664" s="91">
        <f>SUM(L1660:L1663)</f>
        <v>1</v>
      </c>
      <c r="M1664" s="79">
        <f>VLOOKUP(E1664,town351,24)</f>
        <v>18990082</v>
      </c>
      <c r="N1664" s="79">
        <f>SUM(N1660:N1663)</f>
        <v>18990082</v>
      </c>
      <c r="O1664" s="79">
        <v>18059992</v>
      </c>
      <c r="P1664" s="79">
        <f>SUM(P1660:P1663)</f>
        <v>930090</v>
      </c>
      <c r="Q1664" s="39">
        <f t="shared" si="259"/>
        <v>5.1500022812856177</v>
      </c>
      <c r="R1664" s="9">
        <v>1710.9999999955901</v>
      </c>
      <c r="S1664" s="9">
        <f t="shared" si="257"/>
        <v>1744.0000000014099</v>
      </c>
      <c r="T1664" s="90">
        <f t="shared" si="252"/>
        <v>331</v>
      </c>
      <c r="U1664" s="90">
        <f t="shared" si="253"/>
        <v>999</v>
      </c>
      <c r="V1664" s="373">
        <f t="shared" si="254"/>
        <v>1655</v>
      </c>
      <c r="W1664" s="90">
        <f t="shared" si="255"/>
        <v>1744.0000000014099</v>
      </c>
      <c r="X1664" s="90">
        <f t="shared" si="256"/>
        <v>25402087.032532804</v>
      </c>
      <c r="Y1664" s="141">
        <f t="shared" si="258"/>
        <v>1655</v>
      </c>
      <c r="Z1664" s="298">
        <v>331</v>
      </c>
      <c r="AA1664" s="299">
        <v>999</v>
      </c>
      <c r="AB1664" s="299">
        <v>1655</v>
      </c>
      <c r="AC1664" s="301">
        <v>1744.0000000014099</v>
      </c>
      <c r="AD1664" s="301">
        <v>25402087.032532804</v>
      </c>
      <c r="AE1664" s="126"/>
      <c r="AF1664" s="298"/>
      <c r="AG1664" s="299"/>
      <c r="AH1664" s="299"/>
      <c r="AI1664" s="301"/>
      <c r="AJ1664" s="301"/>
      <c r="AK1664" s="426"/>
      <c r="AL1664" s="298"/>
      <c r="AM1664" s="299"/>
      <c r="AN1664" s="299"/>
      <c r="AO1664" s="301"/>
      <c r="AP1664" s="301"/>
      <c r="AQ1664" s="426"/>
      <c r="AR1664" s="298"/>
      <c r="AS1664" s="299"/>
      <c r="AT1664" s="299"/>
      <c r="AU1664" s="301"/>
      <c r="AV1664" s="301"/>
      <c r="AW1664" s="91"/>
      <c r="AX1664" s="298"/>
      <c r="AY1664" s="299"/>
      <c r="AZ1664" s="299"/>
      <c r="BA1664" s="301"/>
      <c r="BB1664" s="301"/>
      <c r="BC1664" s="426"/>
      <c r="BD1664" s="298"/>
      <c r="BE1664" s="299"/>
      <c r="BF1664" s="299"/>
      <c r="BG1664" s="301"/>
      <c r="BH1664" s="301"/>
      <c r="BI1664" s="91"/>
      <c r="BJ1664" s="298"/>
      <c r="BK1664" s="299"/>
      <c r="BL1664" s="299"/>
      <c r="BM1664" s="301"/>
      <c r="BN1664" s="301"/>
      <c r="BO1664" s="91"/>
      <c r="BP1664" s="9"/>
      <c r="BS1664" s="81"/>
      <c r="BT1664" s="81"/>
      <c r="BV1664" s="9"/>
      <c r="BY1664" s="81"/>
      <c r="BZ1664" s="81"/>
      <c r="CB1664" s="9"/>
      <c r="CE1664" s="81"/>
      <c r="CF1664" s="81"/>
      <c r="CH1664" s="9"/>
      <c r="CK1664" s="81"/>
      <c r="CL1664" s="81"/>
      <c r="CR1664" s="9"/>
      <c r="CS1664" s="9"/>
      <c r="CT1664" s="9"/>
      <c r="CU1664" s="9"/>
      <c r="CV1664" s="9"/>
      <c r="CW1664" s="129"/>
      <c r="CX1664" s="9"/>
    </row>
    <row r="1665" spans="1:102">
      <c r="A1665" s="6" t="str">
        <f t="shared" si="251"/>
        <v>03320332</v>
      </c>
      <c r="B1665" s="6" t="s">
        <v>1982</v>
      </c>
      <c r="C1665" s="6" t="s">
        <v>1982</v>
      </c>
      <c r="D1665" s="6">
        <v>1656</v>
      </c>
      <c r="E1665" s="6">
        <v>332</v>
      </c>
      <c r="F1665" s="6" t="s">
        <v>1450</v>
      </c>
      <c r="G1665" s="6">
        <v>332</v>
      </c>
      <c r="H1665" s="6" t="s">
        <v>1013</v>
      </c>
      <c r="I1665" s="33">
        <v>63567924.089999989</v>
      </c>
      <c r="J1665" s="88">
        <v>1</v>
      </c>
      <c r="K1665" s="89">
        <f>X1665</f>
        <v>68366792.900000006</v>
      </c>
      <c r="L1665" s="88">
        <f>IF(K1669&gt;0, K1665/K1669, 0)</f>
        <v>1</v>
      </c>
      <c r="M1665" s="58"/>
      <c r="N1665" s="9">
        <f>ROUND(M1669*L1665,0)</f>
        <v>24010686</v>
      </c>
      <c r="O1665" s="9">
        <v>22906588</v>
      </c>
      <c r="P1665" s="9">
        <f>N1665-O1665</f>
        <v>1104098</v>
      </c>
      <c r="Q1665" s="40">
        <f t="shared" si="259"/>
        <v>4.8200020011710167</v>
      </c>
      <c r="R1665" s="9">
        <v>3982</v>
      </c>
      <c r="S1665" s="9">
        <f t="shared" si="257"/>
        <v>4087</v>
      </c>
      <c r="T1665" s="90">
        <f t="shared" si="252"/>
        <v>332</v>
      </c>
      <c r="U1665" s="90">
        <f t="shared" si="253"/>
        <v>332</v>
      </c>
      <c r="V1665" s="373">
        <f t="shared" si="254"/>
        <v>1656</v>
      </c>
      <c r="W1665" s="90">
        <f t="shared" si="255"/>
        <v>4087</v>
      </c>
      <c r="X1665" s="90">
        <f t="shared" si="256"/>
        <v>68366792.900000006</v>
      </c>
      <c r="Y1665" s="141">
        <f t="shared" si="258"/>
        <v>1656</v>
      </c>
      <c r="Z1665" s="298">
        <v>332</v>
      </c>
      <c r="AA1665" s="299">
        <v>332</v>
      </c>
      <c r="AB1665" s="299">
        <v>1656</v>
      </c>
      <c r="AC1665" s="301">
        <v>4087</v>
      </c>
      <c r="AD1665" s="301">
        <v>68366792.900000006</v>
      </c>
      <c r="AE1665" s="126"/>
      <c r="AF1665" s="298"/>
      <c r="AG1665" s="299"/>
      <c r="AH1665" s="299"/>
      <c r="AI1665" s="301"/>
      <c r="AJ1665" s="301"/>
      <c r="AK1665" s="426"/>
      <c r="AL1665" s="298"/>
      <c r="AM1665" s="299"/>
      <c r="AN1665" s="299"/>
      <c r="AO1665" s="301"/>
      <c r="AP1665" s="301"/>
      <c r="AQ1665" s="426"/>
      <c r="AR1665" s="298"/>
      <c r="AS1665" s="299"/>
      <c r="AT1665" s="299"/>
      <c r="AU1665" s="301"/>
      <c r="AV1665" s="301"/>
      <c r="AW1665" s="88"/>
      <c r="AX1665" s="298"/>
      <c r="AY1665" s="299"/>
      <c r="AZ1665" s="299"/>
      <c r="BA1665" s="301"/>
      <c r="BB1665" s="301"/>
      <c r="BC1665" s="426"/>
      <c r="BD1665" s="298"/>
      <c r="BE1665" s="299"/>
      <c r="BF1665" s="299"/>
      <c r="BG1665" s="301"/>
      <c r="BH1665" s="301"/>
      <c r="BI1665" s="88"/>
      <c r="BJ1665" s="298"/>
      <c r="BK1665" s="299"/>
      <c r="BL1665" s="299"/>
      <c r="BM1665" s="301"/>
      <c r="BN1665" s="301"/>
      <c r="BO1665" s="88"/>
      <c r="BP1665" s="9"/>
      <c r="BS1665" s="81"/>
      <c r="BT1665" s="81"/>
      <c r="BV1665" s="9"/>
      <c r="BY1665" s="81"/>
      <c r="BZ1665" s="81"/>
      <c r="CB1665" s="9"/>
      <c r="CE1665" s="81"/>
      <c r="CF1665" s="81"/>
      <c r="CH1665" s="9"/>
      <c r="CK1665" s="81"/>
      <c r="CL1665" s="81"/>
      <c r="CR1665" s="9"/>
      <c r="CS1665" s="9"/>
      <c r="CT1665" s="9"/>
      <c r="CU1665" s="9"/>
      <c r="CV1665" s="9"/>
      <c r="CW1665" s="129"/>
      <c r="CX1665" s="9"/>
    </row>
    <row r="1666" spans="1:102">
      <c r="A1666" s="6" t="str">
        <f t="shared" si="251"/>
        <v>03320998</v>
      </c>
      <c r="B1666" s="6" t="s">
        <v>1982</v>
      </c>
      <c r="C1666" s="6" t="s">
        <v>2091</v>
      </c>
      <c r="D1666" s="6">
        <v>1657</v>
      </c>
      <c r="E1666" s="6">
        <v>332</v>
      </c>
      <c r="F1666" s="6" t="s">
        <v>1547</v>
      </c>
      <c r="G1666" s="6">
        <v>998</v>
      </c>
      <c r="H1666" s="6" t="s">
        <v>1547</v>
      </c>
      <c r="I1666" s="33">
        <v>0</v>
      </c>
      <c r="J1666" s="88">
        <v>0</v>
      </c>
      <c r="K1666" s="89">
        <f t="shared" si="260"/>
        <v>0</v>
      </c>
      <c r="L1666" s="88">
        <f>IF(K1669&gt;0, K1666/K1669, 0)</f>
        <v>0</v>
      </c>
      <c r="M1666" s="58"/>
      <c r="N1666" s="9">
        <f>ROUND(M1669*L1666,0)</f>
        <v>0</v>
      </c>
      <c r="O1666" s="9">
        <v>0</v>
      </c>
      <c r="P1666" s="9">
        <f>N1666-O1666</f>
        <v>0</v>
      </c>
      <c r="Q1666" s="40">
        <f t="shared" si="259"/>
        <v>0</v>
      </c>
      <c r="R1666" s="9">
        <v>0</v>
      </c>
      <c r="S1666" s="9">
        <f t="shared" si="257"/>
        <v>0</v>
      </c>
      <c r="T1666" s="90">
        <f t="shared" si="252"/>
        <v>332</v>
      </c>
      <c r="U1666" s="90">
        <f t="shared" si="253"/>
        <v>998</v>
      </c>
      <c r="V1666" s="373">
        <f t="shared" si="254"/>
        <v>1657</v>
      </c>
      <c r="W1666" s="90">
        <f t="shared" si="255"/>
        <v>0</v>
      </c>
      <c r="X1666" s="90">
        <f t="shared" si="256"/>
        <v>0</v>
      </c>
      <c r="Y1666" s="141">
        <f t="shared" si="258"/>
        <v>1657</v>
      </c>
      <c r="Z1666" s="298">
        <v>332</v>
      </c>
      <c r="AA1666" s="299">
        <v>998</v>
      </c>
      <c r="AB1666" s="299">
        <v>1657</v>
      </c>
      <c r="AC1666" s="301">
        <v>0</v>
      </c>
      <c r="AD1666" s="301">
        <v>0</v>
      </c>
      <c r="AE1666" s="126"/>
      <c r="AF1666" s="298"/>
      <c r="AG1666" s="299"/>
      <c r="AH1666" s="299"/>
      <c r="AI1666" s="301"/>
      <c r="AJ1666" s="301"/>
      <c r="AK1666" s="426"/>
      <c r="AL1666" s="298"/>
      <c r="AM1666" s="299"/>
      <c r="AN1666" s="299"/>
      <c r="AO1666" s="301"/>
      <c r="AP1666" s="301"/>
      <c r="AQ1666" s="426"/>
      <c r="AR1666" s="298"/>
      <c r="AS1666" s="299"/>
      <c r="AT1666" s="299"/>
      <c r="AU1666" s="301"/>
      <c r="AV1666" s="301"/>
      <c r="AW1666" s="88"/>
      <c r="AX1666" s="298"/>
      <c r="AY1666" s="299"/>
      <c r="AZ1666" s="299"/>
      <c r="BA1666" s="301"/>
      <c r="BB1666" s="301"/>
      <c r="BC1666" s="426"/>
      <c r="BD1666" s="298"/>
      <c r="BE1666" s="299"/>
      <c r="BF1666" s="299"/>
      <c r="BG1666" s="301"/>
      <c r="BH1666" s="301"/>
      <c r="BI1666" s="88"/>
      <c r="BJ1666" s="298"/>
      <c r="BK1666" s="299"/>
      <c r="BL1666" s="299"/>
      <c r="BM1666" s="301"/>
      <c r="BN1666" s="301"/>
      <c r="BO1666" s="88"/>
      <c r="BP1666" s="9"/>
      <c r="BS1666" s="81"/>
      <c r="BT1666" s="81"/>
      <c r="BV1666" s="9"/>
      <c r="BY1666" s="81"/>
      <c r="BZ1666" s="81"/>
      <c r="CB1666" s="9"/>
      <c r="CE1666" s="81"/>
      <c r="CF1666" s="81"/>
      <c r="CH1666" s="9"/>
      <c r="CK1666" s="81"/>
      <c r="CL1666" s="81"/>
      <c r="CR1666" s="9"/>
      <c r="CS1666" s="9"/>
      <c r="CT1666" s="9"/>
      <c r="CU1666" s="9"/>
      <c r="CV1666" s="9"/>
      <c r="CW1666" s="129"/>
      <c r="CX1666" s="9"/>
    </row>
    <row r="1667" spans="1:102">
      <c r="A1667" s="6" t="str">
        <f t="shared" si="251"/>
        <v>03320998</v>
      </c>
      <c r="B1667" s="6" t="s">
        <v>1982</v>
      </c>
      <c r="C1667" s="6" t="s">
        <v>2091</v>
      </c>
      <c r="D1667" s="6">
        <v>1658</v>
      </c>
      <c r="E1667" s="6">
        <v>332</v>
      </c>
      <c r="F1667" s="6" t="s">
        <v>1547</v>
      </c>
      <c r="G1667" s="6">
        <v>998</v>
      </c>
      <c r="H1667" s="6" t="s">
        <v>1547</v>
      </c>
      <c r="I1667" s="33">
        <v>0</v>
      </c>
      <c r="J1667" s="88">
        <v>0</v>
      </c>
      <c r="K1667" s="89">
        <f t="shared" si="260"/>
        <v>0</v>
      </c>
      <c r="L1667" s="88">
        <f>IF(K1669&gt;0, K1667/K1669, 0)</f>
        <v>0</v>
      </c>
      <c r="M1667" s="58"/>
      <c r="N1667" s="9">
        <f>ROUND(M1669*L1667,0)</f>
        <v>0</v>
      </c>
      <c r="O1667" s="9">
        <v>0</v>
      </c>
      <c r="P1667" s="9">
        <f>N1667-O1667</f>
        <v>0</v>
      </c>
      <c r="Q1667" s="40">
        <f t="shared" si="259"/>
        <v>0</v>
      </c>
      <c r="R1667" s="9">
        <v>0</v>
      </c>
      <c r="S1667" s="9">
        <f t="shared" si="257"/>
        <v>0</v>
      </c>
      <c r="T1667" s="90">
        <f t="shared" si="252"/>
        <v>332</v>
      </c>
      <c r="U1667" s="90">
        <f t="shared" si="253"/>
        <v>998</v>
      </c>
      <c r="V1667" s="373">
        <f t="shared" si="254"/>
        <v>1658</v>
      </c>
      <c r="W1667" s="90">
        <f t="shared" si="255"/>
        <v>0</v>
      </c>
      <c r="X1667" s="90">
        <f t="shared" si="256"/>
        <v>0</v>
      </c>
      <c r="Y1667" s="141">
        <f t="shared" si="258"/>
        <v>1658</v>
      </c>
      <c r="Z1667" s="298">
        <v>332</v>
      </c>
      <c r="AA1667" s="299">
        <v>998</v>
      </c>
      <c r="AB1667" s="299">
        <v>1658</v>
      </c>
      <c r="AC1667" s="301">
        <v>0</v>
      </c>
      <c r="AD1667" s="301">
        <v>0</v>
      </c>
      <c r="AE1667" s="126"/>
      <c r="AF1667" s="298"/>
      <c r="AG1667" s="299"/>
      <c r="AH1667" s="299"/>
      <c r="AI1667" s="301"/>
      <c r="AJ1667" s="301"/>
      <c r="AK1667" s="426"/>
      <c r="AL1667" s="298"/>
      <c r="AM1667" s="299"/>
      <c r="AN1667" s="299"/>
      <c r="AO1667" s="301"/>
      <c r="AP1667" s="301"/>
      <c r="AQ1667" s="426"/>
      <c r="AR1667" s="298"/>
      <c r="AS1667" s="299"/>
      <c r="AT1667" s="299"/>
      <c r="AU1667" s="301"/>
      <c r="AV1667" s="301"/>
      <c r="AW1667" s="88"/>
      <c r="AX1667" s="298"/>
      <c r="AY1667" s="299"/>
      <c r="AZ1667" s="299"/>
      <c r="BA1667" s="301"/>
      <c r="BB1667" s="301"/>
      <c r="BC1667" s="426"/>
      <c r="BD1667" s="298"/>
      <c r="BE1667" s="299"/>
      <c r="BF1667" s="299"/>
      <c r="BG1667" s="301"/>
      <c r="BH1667" s="301"/>
      <c r="BI1667" s="88"/>
      <c r="BJ1667" s="298"/>
      <c r="BK1667" s="299"/>
      <c r="BL1667" s="299"/>
      <c r="BM1667" s="301"/>
      <c r="BN1667" s="301"/>
      <c r="BO1667" s="88"/>
      <c r="BP1667" s="9"/>
      <c r="BS1667" s="81"/>
      <c r="BT1667" s="81"/>
      <c r="BV1667" s="9"/>
      <c r="BY1667" s="81"/>
      <c r="BZ1667" s="81"/>
      <c r="CB1667" s="9"/>
      <c r="CE1667" s="81"/>
      <c r="CF1667" s="81"/>
      <c r="CH1667" s="9"/>
      <c r="CK1667" s="81"/>
      <c r="CL1667" s="81"/>
      <c r="CR1667" s="9"/>
      <c r="CS1667" s="9"/>
      <c r="CT1667" s="9"/>
      <c r="CU1667" s="9"/>
      <c r="CV1667" s="9"/>
      <c r="CW1667" s="129"/>
      <c r="CX1667" s="9"/>
    </row>
    <row r="1668" spans="1:102">
      <c r="A1668" s="6" t="str">
        <f t="shared" si="251"/>
        <v>03320998</v>
      </c>
      <c r="B1668" s="6" t="s">
        <v>1982</v>
      </c>
      <c r="C1668" s="6" t="s">
        <v>2091</v>
      </c>
      <c r="D1668" s="6">
        <v>1659</v>
      </c>
      <c r="E1668" s="6">
        <v>332</v>
      </c>
      <c r="F1668" s="6" t="s">
        <v>1547</v>
      </c>
      <c r="G1668" s="6">
        <v>998</v>
      </c>
      <c r="H1668" s="6" t="s">
        <v>1547</v>
      </c>
      <c r="I1668" s="33">
        <v>0</v>
      </c>
      <c r="J1668" s="88">
        <v>0</v>
      </c>
      <c r="K1668" s="89">
        <f t="shared" si="260"/>
        <v>0</v>
      </c>
      <c r="L1668" s="88">
        <f>IF(K1669&gt;0, K1668/K1669, 0)</f>
        <v>0</v>
      </c>
      <c r="M1668" s="58"/>
      <c r="N1668" s="9">
        <f>ROUND(M1669*L1668,0)</f>
        <v>0</v>
      </c>
      <c r="O1668" s="9">
        <v>0</v>
      </c>
      <c r="P1668" s="9">
        <f>N1668-O1668</f>
        <v>0</v>
      </c>
      <c r="Q1668" s="40">
        <f t="shared" si="259"/>
        <v>0</v>
      </c>
      <c r="R1668" s="9">
        <v>0</v>
      </c>
      <c r="S1668" s="9">
        <f t="shared" si="257"/>
        <v>0</v>
      </c>
      <c r="T1668" s="90">
        <f t="shared" si="252"/>
        <v>332</v>
      </c>
      <c r="U1668" s="90">
        <f t="shared" si="253"/>
        <v>998</v>
      </c>
      <c r="V1668" s="373">
        <f t="shared" si="254"/>
        <v>1659</v>
      </c>
      <c r="W1668" s="90">
        <f t="shared" si="255"/>
        <v>0</v>
      </c>
      <c r="X1668" s="90">
        <f t="shared" si="256"/>
        <v>0</v>
      </c>
      <c r="Y1668" s="141">
        <f t="shared" si="258"/>
        <v>1659</v>
      </c>
      <c r="Z1668" s="298">
        <v>332</v>
      </c>
      <c r="AA1668" s="299">
        <v>998</v>
      </c>
      <c r="AB1668" s="299">
        <v>1659</v>
      </c>
      <c r="AC1668" s="301">
        <v>0</v>
      </c>
      <c r="AD1668" s="301">
        <v>0</v>
      </c>
      <c r="AE1668" s="126"/>
      <c r="AF1668" s="298"/>
      <c r="AG1668" s="299"/>
      <c r="AH1668" s="299"/>
      <c r="AI1668" s="301"/>
      <c r="AJ1668" s="301"/>
      <c r="AK1668" s="426"/>
      <c r="AL1668" s="298"/>
      <c r="AM1668" s="299"/>
      <c r="AN1668" s="299"/>
      <c r="AO1668" s="301"/>
      <c r="AP1668" s="301"/>
      <c r="AQ1668" s="426"/>
      <c r="AR1668" s="298"/>
      <c r="AS1668" s="299"/>
      <c r="AT1668" s="299"/>
      <c r="AU1668" s="301"/>
      <c r="AV1668" s="301"/>
      <c r="AW1668" s="88"/>
      <c r="AX1668" s="298"/>
      <c r="AY1668" s="299"/>
      <c r="AZ1668" s="299"/>
      <c r="BA1668" s="301"/>
      <c r="BB1668" s="301"/>
      <c r="BC1668" s="426"/>
      <c r="BD1668" s="298"/>
      <c r="BE1668" s="299"/>
      <c r="BF1668" s="299"/>
      <c r="BG1668" s="301"/>
      <c r="BH1668" s="301"/>
      <c r="BI1668" s="88"/>
      <c r="BJ1668" s="298"/>
      <c r="BK1668" s="299"/>
      <c r="BL1668" s="299"/>
      <c r="BM1668" s="301"/>
      <c r="BN1668" s="301"/>
      <c r="BO1668" s="88"/>
      <c r="BP1668" s="9"/>
      <c r="BS1668" s="81"/>
      <c r="BT1668" s="81"/>
      <c r="BV1668" s="9"/>
      <c r="BY1668" s="81"/>
      <c r="BZ1668" s="81"/>
      <c r="CB1668" s="9"/>
      <c r="CE1668" s="81"/>
      <c r="CF1668" s="81"/>
      <c r="CH1668" s="9"/>
      <c r="CK1668" s="81"/>
      <c r="CL1668" s="81"/>
      <c r="CR1668" s="9"/>
      <c r="CS1668" s="9"/>
      <c r="CT1668" s="9"/>
      <c r="CU1668" s="9"/>
      <c r="CV1668" s="9"/>
      <c r="CW1668" s="129"/>
      <c r="CX1668" s="9"/>
    </row>
    <row r="1669" spans="1:102">
      <c r="A1669" s="6" t="str">
        <f t="shared" si="251"/>
        <v>03320999</v>
      </c>
      <c r="B1669" s="6" t="s">
        <v>1982</v>
      </c>
      <c r="C1669" s="6" t="s">
        <v>2092</v>
      </c>
      <c r="D1669" s="6">
        <v>1660</v>
      </c>
      <c r="E1669" s="10">
        <v>332</v>
      </c>
      <c r="F1669" s="10" t="s">
        <v>1450</v>
      </c>
      <c r="G1669" s="10">
        <v>999</v>
      </c>
      <c r="H1669" s="10" t="s">
        <v>593</v>
      </c>
      <c r="I1669" s="92">
        <v>63567924.089999989</v>
      </c>
      <c r="J1669" s="472">
        <v>1</v>
      </c>
      <c r="K1669" s="53">
        <f>SUM(K1665:K1668)</f>
        <v>68366792.900000006</v>
      </c>
      <c r="L1669" s="91">
        <f>SUM(L1665:L1668)</f>
        <v>1</v>
      </c>
      <c r="M1669" s="79">
        <f>VLOOKUP(E1669,town351,24)</f>
        <v>24010686</v>
      </c>
      <c r="N1669" s="79">
        <f>SUM(N1665:N1668)</f>
        <v>24010686</v>
      </c>
      <c r="O1669" s="79">
        <v>22906588</v>
      </c>
      <c r="P1669" s="79">
        <f>SUM(P1665:P1668)</f>
        <v>1104098</v>
      </c>
      <c r="Q1669" s="39">
        <f t="shared" si="259"/>
        <v>4.8200020011710167</v>
      </c>
      <c r="R1669" s="9">
        <v>3982</v>
      </c>
      <c r="S1669" s="9">
        <f t="shared" si="257"/>
        <v>4087</v>
      </c>
      <c r="T1669" s="90">
        <f t="shared" si="252"/>
        <v>332</v>
      </c>
      <c r="U1669" s="90">
        <f t="shared" si="253"/>
        <v>999</v>
      </c>
      <c r="V1669" s="373">
        <f t="shared" si="254"/>
        <v>1660</v>
      </c>
      <c r="W1669" s="90">
        <f t="shared" si="255"/>
        <v>4087</v>
      </c>
      <c r="X1669" s="90">
        <f t="shared" si="256"/>
        <v>68366792.900000006</v>
      </c>
      <c r="Y1669" s="141">
        <f t="shared" si="258"/>
        <v>1660</v>
      </c>
      <c r="Z1669" s="298">
        <v>332</v>
      </c>
      <c r="AA1669" s="299">
        <v>999</v>
      </c>
      <c r="AB1669" s="299">
        <v>1660</v>
      </c>
      <c r="AC1669" s="301">
        <v>4087</v>
      </c>
      <c r="AD1669" s="301">
        <v>68366792.900000006</v>
      </c>
      <c r="AE1669" s="126"/>
      <c r="AF1669" s="298"/>
      <c r="AG1669" s="299"/>
      <c r="AH1669" s="299"/>
      <c r="AI1669" s="301"/>
      <c r="AJ1669" s="301"/>
      <c r="AK1669" s="426"/>
      <c r="AL1669" s="298"/>
      <c r="AM1669" s="299"/>
      <c r="AN1669" s="299"/>
      <c r="AO1669" s="301"/>
      <c r="AP1669" s="301"/>
      <c r="AQ1669" s="426"/>
      <c r="AR1669" s="298"/>
      <c r="AS1669" s="299"/>
      <c r="AT1669" s="299"/>
      <c r="AU1669" s="301"/>
      <c r="AV1669" s="301"/>
      <c r="AW1669" s="91"/>
      <c r="AX1669" s="298"/>
      <c r="AY1669" s="299"/>
      <c r="AZ1669" s="299"/>
      <c r="BA1669" s="301"/>
      <c r="BB1669" s="301"/>
      <c r="BC1669" s="426"/>
      <c r="BD1669" s="298"/>
      <c r="BE1669" s="299"/>
      <c r="BF1669" s="299"/>
      <c r="BG1669" s="301"/>
      <c r="BH1669" s="301"/>
      <c r="BI1669" s="91"/>
      <c r="BJ1669" s="298"/>
      <c r="BK1669" s="299"/>
      <c r="BL1669" s="299"/>
      <c r="BM1669" s="301"/>
      <c r="BN1669" s="301"/>
      <c r="BO1669" s="91"/>
      <c r="BP1669" s="9"/>
      <c r="BS1669" s="81"/>
      <c r="BT1669" s="81"/>
      <c r="BV1669" s="9"/>
      <c r="BY1669" s="81"/>
      <c r="BZ1669" s="81"/>
      <c r="CB1669" s="9"/>
      <c r="CE1669" s="81"/>
      <c r="CF1669" s="81"/>
      <c r="CH1669" s="9"/>
      <c r="CK1669" s="81"/>
      <c r="CL1669" s="81"/>
      <c r="CR1669" s="9"/>
      <c r="CS1669" s="9"/>
      <c r="CT1669" s="9"/>
      <c r="CU1669" s="9"/>
      <c r="CV1669" s="9"/>
      <c r="CW1669" s="129"/>
      <c r="CX1669" s="9"/>
    </row>
    <row r="1670" spans="1:102">
      <c r="A1670" s="6" t="str">
        <f t="shared" si="251"/>
        <v>03330333</v>
      </c>
      <c r="B1670" s="6" t="s">
        <v>1983</v>
      </c>
      <c r="C1670" s="6" t="s">
        <v>1983</v>
      </c>
      <c r="D1670" s="6">
        <v>1661</v>
      </c>
      <c r="E1670" s="6">
        <v>333</v>
      </c>
      <c r="F1670" s="6" t="s">
        <v>1451</v>
      </c>
      <c r="G1670" s="6">
        <v>333</v>
      </c>
      <c r="H1670" s="6" t="s">
        <v>1014</v>
      </c>
      <c r="I1670" s="33">
        <v>0</v>
      </c>
      <c r="J1670" s="88">
        <v>0</v>
      </c>
      <c r="K1670" s="89">
        <f>X1670</f>
        <v>0</v>
      </c>
      <c r="L1670" s="88">
        <f>IF(K1674&gt;0, K1670/K1674, 0)</f>
        <v>0</v>
      </c>
      <c r="M1670" s="58"/>
      <c r="N1670" s="9">
        <f>ROUND(M1674*L1670,0)</f>
        <v>0</v>
      </c>
      <c r="O1670" s="9">
        <v>0</v>
      </c>
      <c r="P1670" s="9">
        <f>N1670-O1670</f>
        <v>0</v>
      </c>
      <c r="Q1670" s="40">
        <f t="shared" si="259"/>
        <v>0</v>
      </c>
      <c r="R1670" s="9">
        <v>0</v>
      </c>
      <c r="S1670" s="9">
        <f t="shared" si="257"/>
        <v>0</v>
      </c>
      <c r="T1670" s="90">
        <f t="shared" si="252"/>
        <v>333</v>
      </c>
      <c r="U1670" s="90">
        <f t="shared" si="253"/>
        <v>333</v>
      </c>
      <c r="V1670" s="373">
        <f t="shared" si="254"/>
        <v>1661</v>
      </c>
      <c r="W1670" s="90">
        <f t="shared" si="255"/>
        <v>0</v>
      </c>
      <c r="X1670" s="90">
        <f t="shared" si="256"/>
        <v>0</v>
      </c>
      <c r="Y1670" s="141">
        <f t="shared" si="258"/>
        <v>1661</v>
      </c>
      <c r="Z1670" s="298">
        <v>333</v>
      </c>
      <c r="AA1670" s="299">
        <v>333</v>
      </c>
      <c r="AB1670" s="299">
        <v>1661</v>
      </c>
      <c r="AC1670" s="301">
        <v>0</v>
      </c>
      <c r="AD1670" s="301">
        <v>0</v>
      </c>
      <c r="AE1670" s="126"/>
      <c r="AF1670" s="298"/>
      <c r="AG1670" s="299"/>
      <c r="AH1670" s="299"/>
      <c r="AI1670" s="301"/>
      <c r="AJ1670" s="301"/>
      <c r="AK1670" s="426"/>
      <c r="AL1670" s="298"/>
      <c r="AM1670" s="299"/>
      <c r="AN1670" s="299"/>
      <c r="AO1670" s="301"/>
      <c r="AP1670" s="301"/>
      <c r="AQ1670" s="426"/>
      <c r="AR1670" s="298"/>
      <c r="AS1670" s="299"/>
      <c r="AT1670" s="299"/>
      <c r="AU1670" s="301"/>
      <c r="AV1670" s="301"/>
      <c r="AW1670" s="88"/>
      <c r="AX1670" s="298"/>
      <c r="AY1670" s="299"/>
      <c r="AZ1670" s="299"/>
      <c r="BA1670" s="301"/>
      <c r="BB1670" s="301"/>
      <c r="BC1670" s="426"/>
      <c r="BD1670" s="298"/>
      <c r="BE1670" s="299"/>
      <c r="BF1670" s="299"/>
      <c r="BG1670" s="301"/>
      <c r="BH1670" s="301"/>
      <c r="BI1670" s="88"/>
      <c r="BJ1670" s="298"/>
      <c r="BK1670" s="299"/>
      <c r="BL1670" s="299"/>
      <c r="BM1670" s="301"/>
      <c r="BN1670" s="301"/>
      <c r="BO1670" s="88"/>
      <c r="BP1670" s="9"/>
      <c r="BS1670" s="81"/>
      <c r="BT1670" s="81"/>
      <c r="BV1670" s="9"/>
      <c r="BY1670" s="81"/>
      <c r="BZ1670" s="81"/>
      <c r="CB1670" s="9"/>
      <c r="CE1670" s="81"/>
      <c r="CF1670" s="81"/>
      <c r="CH1670" s="9"/>
      <c r="CK1670" s="81"/>
      <c r="CL1670" s="81"/>
      <c r="CR1670" s="9"/>
      <c r="CS1670" s="9"/>
      <c r="CT1670" s="9"/>
      <c r="CU1670" s="9"/>
      <c r="CV1670" s="9"/>
      <c r="CW1670" s="129"/>
      <c r="CX1670" s="9"/>
    </row>
    <row r="1671" spans="1:102">
      <c r="A1671" s="6" t="str">
        <f t="shared" si="251"/>
        <v>03330618</v>
      </c>
      <c r="B1671" s="6" t="s">
        <v>1983</v>
      </c>
      <c r="C1671" s="6" t="s">
        <v>2010</v>
      </c>
      <c r="D1671" s="6">
        <v>1662</v>
      </c>
      <c r="E1671" s="6">
        <v>333</v>
      </c>
      <c r="F1671" s="6" t="s">
        <v>1451</v>
      </c>
      <c r="G1671" s="6">
        <v>618</v>
      </c>
      <c r="H1671" s="6" t="s">
        <v>1040</v>
      </c>
      <c r="I1671" s="33">
        <v>1649454.7968369587</v>
      </c>
      <c r="J1671" s="88">
        <v>1</v>
      </c>
      <c r="K1671" s="89">
        <f t="shared" si="260"/>
        <v>1817852.5464350374</v>
      </c>
      <c r="L1671" s="88">
        <f>IF(K1674&gt;0, K1671/K1674, 0)</f>
        <v>1</v>
      </c>
      <c r="M1671" s="58"/>
      <c r="N1671" s="9">
        <f>ROUND(M1674*L1671,0)</f>
        <v>1499728</v>
      </c>
      <c r="O1671" s="9">
        <v>1360800</v>
      </c>
      <c r="P1671" s="9">
        <f>N1671-O1671</f>
        <v>138928</v>
      </c>
      <c r="Q1671" s="40">
        <f t="shared" si="259"/>
        <v>10.209288653733099</v>
      </c>
      <c r="R1671" s="9">
        <v>107.94279660767999</v>
      </c>
      <c r="S1671" s="9">
        <f t="shared" si="257"/>
        <v>113.24664602526001</v>
      </c>
      <c r="T1671" s="90">
        <f t="shared" si="252"/>
        <v>333</v>
      </c>
      <c r="U1671" s="90">
        <f t="shared" si="253"/>
        <v>618</v>
      </c>
      <c r="V1671" s="373">
        <f t="shared" si="254"/>
        <v>1662</v>
      </c>
      <c r="W1671" s="90">
        <f t="shared" si="255"/>
        <v>113.24664602526001</v>
      </c>
      <c r="X1671" s="90">
        <f t="shared" si="256"/>
        <v>1817852.5464350374</v>
      </c>
      <c r="Y1671" s="141">
        <f t="shared" si="258"/>
        <v>1662</v>
      </c>
      <c r="Z1671" s="298">
        <v>333</v>
      </c>
      <c r="AA1671" s="299">
        <v>618</v>
      </c>
      <c r="AB1671" s="299">
        <v>1662</v>
      </c>
      <c r="AC1671" s="301">
        <v>113.24664602526001</v>
      </c>
      <c r="AD1671" s="301">
        <v>1817852.5464350374</v>
      </c>
      <c r="AE1671" s="126"/>
      <c r="AF1671" s="298"/>
      <c r="AG1671" s="299"/>
      <c r="AH1671" s="299"/>
      <c r="AI1671" s="301"/>
      <c r="AJ1671" s="301"/>
      <c r="AK1671" s="426"/>
      <c r="AL1671" s="298"/>
      <c r="AM1671" s="299"/>
      <c r="AN1671" s="299"/>
      <c r="AO1671" s="301"/>
      <c r="AP1671" s="301"/>
      <c r="AQ1671" s="426"/>
      <c r="AR1671" s="298"/>
      <c r="AS1671" s="299"/>
      <c r="AT1671" s="299"/>
      <c r="AU1671" s="301"/>
      <c r="AV1671" s="301"/>
      <c r="AW1671" s="88"/>
      <c r="AX1671" s="298"/>
      <c r="AY1671" s="299"/>
      <c r="AZ1671" s="299"/>
      <c r="BA1671" s="301"/>
      <c r="BB1671" s="301"/>
      <c r="BC1671" s="426"/>
      <c r="BD1671" s="298"/>
      <c r="BE1671" s="299"/>
      <c r="BF1671" s="299"/>
      <c r="BG1671" s="301"/>
      <c r="BH1671" s="301"/>
      <c r="BI1671" s="88"/>
      <c r="BJ1671" s="298"/>
      <c r="BK1671" s="299"/>
      <c r="BL1671" s="299"/>
      <c r="BM1671" s="301"/>
      <c r="BN1671" s="301"/>
      <c r="BO1671" s="88"/>
      <c r="BP1671" s="9"/>
      <c r="BS1671" s="81"/>
      <c r="BT1671" s="81"/>
      <c r="BV1671" s="9"/>
      <c r="BY1671" s="81"/>
      <c r="BZ1671" s="81"/>
      <c r="CB1671" s="9"/>
      <c r="CE1671" s="81"/>
      <c r="CF1671" s="81"/>
      <c r="CH1671" s="9"/>
      <c r="CK1671" s="81"/>
      <c r="CL1671" s="81"/>
      <c r="CR1671" s="9"/>
      <c r="CS1671" s="9"/>
      <c r="CT1671" s="9"/>
      <c r="CU1671" s="9"/>
      <c r="CV1671" s="9"/>
      <c r="CW1671" s="129"/>
      <c r="CX1671" s="9"/>
    </row>
    <row r="1672" spans="1:102">
      <c r="A1672" s="6" t="str">
        <f t="shared" si="251"/>
        <v>03330998</v>
      </c>
      <c r="B1672" s="6" t="s">
        <v>1983</v>
      </c>
      <c r="C1672" s="6" t="s">
        <v>2091</v>
      </c>
      <c r="D1672" s="6">
        <v>1663</v>
      </c>
      <c r="E1672" s="6">
        <v>333</v>
      </c>
      <c r="F1672" s="6" t="s">
        <v>1547</v>
      </c>
      <c r="G1672" s="6">
        <v>998</v>
      </c>
      <c r="H1672" s="6" t="s">
        <v>1547</v>
      </c>
      <c r="I1672" s="33">
        <v>0</v>
      </c>
      <c r="J1672" s="88">
        <v>0</v>
      </c>
      <c r="K1672" s="89">
        <f t="shared" si="260"/>
        <v>0</v>
      </c>
      <c r="L1672" s="88">
        <f>IF(K1674&gt;0, K1672/K1674, 0)</f>
        <v>0</v>
      </c>
      <c r="M1672" s="58"/>
      <c r="N1672" s="9">
        <f>ROUND(M1674*L1672,0)</f>
        <v>0</v>
      </c>
      <c r="O1672" s="9">
        <v>0</v>
      </c>
      <c r="P1672" s="9">
        <f>N1672-O1672</f>
        <v>0</v>
      </c>
      <c r="Q1672" s="40">
        <f t="shared" si="259"/>
        <v>0</v>
      </c>
      <c r="R1672" s="9">
        <v>0</v>
      </c>
      <c r="S1672" s="9">
        <f t="shared" si="257"/>
        <v>0</v>
      </c>
      <c r="T1672" s="90">
        <f t="shared" si="252"/>
        <v>333</v>
      </c>
      <c r="U1672" s="90">
        <f t="shared" si="253"/>
        <v>998</v>
      </c>
      <c r="V1672" s="373">
        <f t="shared" si="254"/>
        <v>1663</v>
      </c>
      <c r="W1672" s="90">
        <f t="shared" si="255"/>
        <v>0</v>
      </c>
      <c r="X1672" s="90">
        <f t="shared" si="256"/>
        <v>0</v>
      </c>
      <c r="Y1672" s="141">
        <f t="shared" si="258"/>
        <v>1663</v>
      </c>
      <c r="Z1672" s="298">
        <v>333</v>
      </c>
      <c r="AA1672" s="299">
        <v>998</v>
      </c>
      <c r="AB1672" s="299">
        <v>1663</v>
      </c>
      <c r="AC1672" s="301">
        <v>0</v>
      </c>
      <c r="AD1672" s="301">
        <v>0</v>
      </c>
      <c r="AE1672" s="126"/>
      <c r="AF1672" s="298"/>
      <c r="AG1672" s="299"/>
      <c r="AH1672" s="299"/>
      <c r="AI1672" s="301"/>
      <c r="AJ1672" s="301"/>
      <c r="AK1672" s="426"/>
      <c r="AL1672" s="298"/>
      <c r="AM1672" s="299"/>
      <c r="AN1672" s="299"/>
      <c r="AO1672" s="301"/>
      <c r="AP1672" s="301"/>
      <c r="AQ1672" s="426"/>
      <c r="AR1672" s="298"/>
      <c r="AS1672" s="299"/>
      <c r="AT1672" s="299"/>
      <c r="AU1672" s="301"/>
      <c r="AV1672" s="301"/>
      <c r="AW1672" s="88"/>
      <c r="AX1672" s="298"/>
      <c r="AY1672" s="299"/>
      <c r="AZ1672" s="299"/>
      <c r="BA1672" s="301"/>
      <c r="BB1672" s="301"/>
      <c r="BC1672" s="426"/>
      <c r="BD1672" s="298"/>
      <c r="BE1672" s="299"/>
      <c r="BF1672" s="299"/>
      <c r="BG1672" s="301"/>
      <c r="BH1672" s="301"/>
      <c r="BI1672" s="88"/>
      <c r="BJ1672" s="298"/>
      <c r="BK1672" s="299"/>
      <c r="BL1672" s="299"/>
      <c r="BM1672" s="301"/>
      <c r="BN1672" s="301"/>
      <c r="BO1672" s="88"/>
      <c r="BP1672" s="9"/>
      <c r="BS1672" s="81"/>
      <c r="BT1672" s="81"/>
      <c r="BV1672" s="9"/>
      <c r="BY1672" s="81"/>
      <c r="BZ1672" s="81"/>
      <c r="CB1672" s="9"/>
      <c r="CE1672" s="81"/>
      <c r="CF1672" s="81"/>
      <c r="CH1672" s="9"/>
      <c r="CK1672" s="81"/>
      <c r="CL1672" s="81"/>
      <c r="CR1672" s="9"/>
      <c r="CS1672" s="9"/>
      <c r="CT1672" s="9"/>
      <c r="CU1672" s="9"/>
      <c r="CV1672" s="9"/>
      <c r="CW1672" s="129"/>
      <c r="CX1672" s="9"/>
    </row>
    <row r="1673" spans="1:102">
      <c r="A1673" s="6" t="str">
        <f t="shared" si="251"/>
        <v>03330998</v>
      </c>
      <c r="B1673" s="6" t="s">
        <v>1983</v>
      </c>
      <c r="C1673" s="6" t="s">
        <v>2091</v>
      </c>
      <c r="D1673" s="6">
        <v>1664</v>
      </c>
      <c r="E1673" s="6">
        <v>333</v>
      </c>
      <c r="F1673" s="6" t="s">
        <v>1547</v>
      </c>
      <c r="G1673" s="6">
        <v>998</v>
      </c>
      <c r="H1673" s="6" t="s">
        <v>1547</v>
      </c>
      <c r="I1673" s="33">
        <v>0</v>
      </c>
      <c r="J1673" s="88">
        <v>0</v>
      </c>
      <c r="K1673" s="89">
        <f t="shared" si="260"/>
        <v>0</v>
      </c>
      <c r="L1673" s="88">
        <f>IF(K1674&gt;0, K1673/K1674, 0)</f>
        <v>0</v>
      </c>
      <c r="M1673" s="58"/>
      <c r="N1673" s="9">
        <f>ROUND(M1674*L1673,0)</f>
        <v>0</v>
      </c>
      <c r="O1673" s="9">
        <v>0</v>
      </c>
      <c r="P1673" s="9">
        <f>N1673-O1673</f>
        <v>0</v>
      </c>
      <c r="Q1673" s="40">
        <f t="shared" si="259"/>
        <v>0</v>
      </c>
      <c r="R1673" s="9">
        <v>0</v>
      </c>
      <c r="S1673" s="9">
        <f t="shared" si="257"/>
        <v>0</v>
      </c>
      <c r="T1673" s="90">
        <f t="shared" si="252"/>
        <v>333</v>
      </c>
      <c r="U1673" s="90">
        <f t="shared" si="253"/>
        <v>998</v>
      </c>
      <c r="V1673" s="373">
        <f t="shared" si="254"/>
        <v>1664</v>
      </c>
      <c r="W1673" s="90">
        <f t="shared" si="255"/>
        <v>0</v>
      </c>
      <c r="X1673" s="90">
        <f t="shared" si="256"/>
        <v>0</v>
      </c>
      <c r="Y1673" s="141">
        <f t="shared" si="258"/>
        <v>1664</v>
      </c>
      <c r="Z1673" s="298">
        <v>333</v>
      </c>
      <c r="AA1673" s="299">
        <v>998</v>
      </c>
      <c r="AB1673" s="299">
        <v>1664</v>
      </c>
      <c r="AC1673" s="301">
        <v>0</v>
      </c>
      <c r="AD1673" s="301">
        <v>0</v>
      </c>
      <c r="AE1673" s="126"/>
      <c r="AF1673" s="298"/>
      <c r="AG1673" s="299"/>
      <c r="AH1673" s="299"/>
      <c r="AI1673" s="301"/>
      <c r="AJ1673" s="301"/>
      <c r="AK1673" s="426"/>
      <c r="AL1673" s="298"/>
      <c r="AM1673" s="299"/>
      <c r="AN1673" s="299"/>
      <c r="AO1673" s="301"/>
      <c r="AP1673" s="301"/>
      <c r="AQ1673" s="426"/>
      <c r="AR1673" s="298"/>
      <c r="AS1673" s="299"/>
      <c r="AT1673" s="299"/>
      <c r="AU1673" s="301"/>
      <c r="AV1673" s="301"/>
      <c r="AW1673" s="88"/>
      <c r="AX1673" s="298"/>
      <c r="AY1673" s="299"/>
      <c r="AZ1673" s="299"/>
      <c r="BA1673" s="301"/>
      <c r="BB1673" s="301"/>
      <c r="BC1673" s="426"/>
      <c r="BD1673" s="298"/>
      <c r="BE1673" s="299"/>
      <c r="BF1673" s="299"/>
      <c r="BG1673" s="301"/>
      <c r="BH1673" s="301"/>
      <c r="BI1673" s="88"/>
      <c r="BJ1673" s="298"/>
      <c r="BK1673" s="299"/>
      <c r="BL1673" s="299"/>
      <c r="BM1673" s="301"/>
      <c r="BN1673" s="301"/>
      <c r="BO1673" s="88"/>
      <c r="BP1673" s="9"/>
      <c r="BS1673" s="81"/>
      <c r="BT1673" s="81"/>
      <c r="BV1673" s="9"/>
      <c r="BY1673" s="81"/>
      <c r="BZ1673" s="81"/>
      <c r="CB1673" s="9"/>
      <c r="CE1673" s="81"/>
      <c r="CF1673" s="81"/>
      <c r="CH1673" s="9"/>
      <c r="CK1673" s="81"/>
      <c r="CL1673" s="81"/>
      <c r="CR1673" s="9"/>
      <c r="CS1673" s="9"/>
      <c r="CT1673" s="9"/>
      <c r="CU1673" s="9"/>
      <c r="CV1673" s="9"/>
      <c r="CW1673" s="129"/>
      <c r="CX1673" s="9"/>
    </row>
    <row r="1674" spans="1:102">
      <c r="A1674" s="6" t="str">
        <f t="shared" ref="A1674:A1737" si="261">B1674&amp;C1674</f>
        <v>03330999</v>
      </c>
      <c r="B1674" s="6" t="s">
        <v>1983</v>
      </c>
      <c r="C1674" s="6" t="s">
        <v>2092</v>
      </c>
      <c r="D1674" s="6">
        <v>1665</v>
      </c>
      <c r="E1674" s="10">
        <v>333</v>
      </c>
      <c r="F1674" s="10" t="s">
        <v>1451</v>
      </c>
      <c r="G1674" s="10">
        <v>999</v>
      </c>
      <c r="H1674" s="10" t="s">
        <v>593</v>
      </c>
      <c r="I1674" s="92">
        <v>1649454.7968369587</v>
      </c>
      <c r="J1674" s="472">
        <v>1</v>
      </c>
      <c r="K1674" s="53">
        <f>SUM(K1670:K1673)</f>
        <v>1817852.5464350374</v>
      </c>
      <c r="L1674" s="91">
        <f>SUM(L1670:L1673)</f>
        <v>1</v>
      </c>
      <c r="M1674" s="79">
        <f>VLOOKUP(E1674,town351,24)</f>
        <v>1499728</v>
      </c>
      <c r="N1674" s="79">
        <f>SUM(N1670:N1673)</f>
        <v>1499728</v>
      </c>
      <c r="O1674" s="79">
        <v>1360800</v>
      </c>
      <c r="P1674" s="79">
        <f>SUM(P1670:P1673)</f>
        <v>138928</v>
      </c>
      <c r="Q1674" s="39">
        <f t="shared" si="259"/>
        <v>10.209288653733099</v>
      </c>
      <c r="R1674" s="9">
        <v>107.94279660767999</v>
      </c>
      <c r="S1674" s="9">
        <f t="shared" si="257"/>
        <v>113.24664602526001</v>
      </c>
      <c r="T1674" s="90">
        <f t="shared" ref="T1674:T1737" si="262">VLOOKUP($D1674, foundoptions, VLOOKUP($T$6, foundoptcell, 2, FALSE), FALSE)</f>
        <v>333</v>
      </c>
      <c r="U1674" s="90">
        <f t="shared" ref="U1674:U1737" si="263">VLOOKUP($D1674, foundoptions, VLOOKUP($T$6, foundoptcell, 2, FALSE)+1, FALSE)</f>
        <v>999</v>
      </c>
      <c r="V1674" s="373">
        <f t="shared" ref="V1674:V1737" si="264">VLOOKUP($D1674, foundoptions, VLOOKUP($T$6, foundoptcell, 2, FALSE)+2, FALSE)</f>
        <v>1665</v>
      </c>
      <c r="W1674" s="90">
        <f t="shared" ref="W1674:W1737" si="265">VLOOKUP($D1674, foundoptions, VLOOKUP($T$6, foundoptcell, 2, FALSE)+3, FALSE)</f>
        <v>113.24664602526001</v>
      </c>
      <c r="X1674" s="90">
        <f t="shared" ref="X1674:X1737" si="266">VLOOKUP($D1674, foundoptions, VLOOKUP($T$6, foundoptcell, 2, FALSE)+4, FALSE)</f>
        <v>1817852.5464350374</v>
      </c>
      <c r="Y1674" s="141">
        <f t="shared" si="258"/>
        <v>1665</v>
      </c>
      <c r="Z1674" s="298">
        <v>333</v>
      </c>
      <c r="AA1674" s="299">
        <v>999</v>
      </c>
      <c r="AB1674" s="299">
        <v>1665</v>
      </c>
      <c r="AC1674" s="301">
        <v>113.24664602526001</v>
      </c>
      <c r="AD1674" s="301">
        <v>1817852.5464350374</v>
      </c>
      <c r="AE1674" s="126"/>
      <c r="AF1674" s="298"/>
      <c r="AG1674" s="299"/>
      <c r="AH1674" s="299"/>
      <c r="AI1674" s="301"/>
      <c r="AJ1674" s="301"/>
      <c r="AK1674" s="426"/>
      <c r="AL1674" s="298"/>
      <c r="AM1674" s="299"/>
      <c r="AN1674" s="299"/>
      <c r="AO1674" s="301"/>
      <c r="AP1674" s="301"/>
      <c r="AQ1674" s="426"/>
      <c r="AR1674" s="298"/>
      <c r="AS1674" s="299"/>
      <c r="AT1674" s="299"/>
      <c r="AU1674" s="301"/>
      <c r="AV1674" s="301"/>
      <c r="AW1674" s="91"/>
      <c r="AX1674" s="298"/>
      <c r="AY1674" s="299"/>
      <c r="AZ1674" s="299"/>
      <c r="BA1674" s="301"/>
      <c r="BB1674" s="301"/>
      <c r="BC1674" s="426"/>
      <c r="BD1674" s="298"/>
      <c r="BE1674" s="299"/>
      <c r="BF1674" s="299"/>
      <c r="BG1674" s="301"/>
      <c r="BH1674" s="301"/>
      <c r="BI1674" s="91"/>
      <c r="BJ1674" s="298"/>
      <c r="BK1674" s="299"/>
      <c r="BL1674" s="299"/>
      <c r="BM1674" s="301"/>
      <c r="BN1674" s="301"/>
      <c r="BO1674" s="91"/>
      <c r="BP1674" s="9"/>
      <c r="BS1674" s="81"/>
      <c r="BT1674" s="81"/>
      <c r="BV1674" s="9"/>
      <c r="BY1674" s="81"/>
      <c r="BZ1674" s="81"/>
      <c r="CB1674" s="9"/>
      <c r="CE1674" s="81"/>
      <c r="CF1674" s="81"/>
      <c r="CH1674" s="9"/>
      <c r="CK1674" s="81"/>
      <c r="CL1674" s="81"/>
      <c r="CR1674" s="9"/>
      <c r="CS1674" s="9"/>
      <c r="CT1674" s="9"/>
      <c r="CU1674" s="9"/>
      <c r="CV1674" s="9"/>
      <c r="CW1674" s="129"/>
      <c r="CX1674" s="9"/>
    </row>
    <row r="1675" spans="1:102">
      <c r="A1675" s="6" t="str">
        <f t="shared" si="261"/>
        <v>03340334</v>
      </c>
      <c r="B1675" s="6" t="s">
        <v>1984</v>
      </c>
      <c r="C1675" s="6" t="s">
        <v>1984</v>
      </c>
      <c r="D1675" s="6">
        <v>1666</v>
      </c>
      <c r="E1675" s="6">
        <v>334</v>
      </c>
      <c r="F1675" s="6" t="s">
        <v>1452</v>
      </c>
      <c r="G1675" s="6">
        <v>334</v>
      </c>
      <c r="H1675" s="6" t="s">
        <v>1015</v>
      </c>
      <c r="I1675" s="33">
        <v>0</v>
      </c>
      <c r="J1675" s="88">
        <v>0</v>
      </c>
      <c r="K1675" s="89">
        <f>X1675</f>
        <v>0</v>
      </c>
      <c r="L1675" s="88">
        <f>IF(K1679&gt;0, K1675/K1679, 0)</f>
        <v>0</v>
      </c>
      <c r="M1675" s="58"/>
      <c r="N1675" s="9">
        <f>ROUND(M1679*L1675,0)</f>
        <v>0</v>
      </c>
      <c r="O1675" s="9">
        <v>0</v>
      </c>
      <c r="P1675" s="9">
        <f>N1675-O1675</f>
        <v>0</v>
      </c>
      <c r="Q1675" s="40">
        <f t="shared" si="259"/>
        <v>0</v>
      </c>
      <c r="R1675" s="9">
        <v>0</v>
      </c>
      <c r="S1675" s="9">
        <f t="shared" ref="S1675:S1738" si="267">W1675</f>
        <v>0</v>
      </c>
      <c r="T1675" s="90">
        <f t="shared" si="262"/>
        <v>334</v>
      </c>
      <c r="U1675" s="90">
        <f t="shared" si="263"/>
        <v>334</v>
      </c>
      <c r="V1675" s="373">
        <f t="shared" si="264"/>
        <v>1666</v>
      </c>
      <c r="W1675" s="90">
        <f t="shared" si="265"/>
        <v>0</v>
      </c>
      <c r="X1675" s="90">
        <f t="shared" si="266"/>
        <v>0</v>
      </c>
      <c r="Y1675" s="141">
        <f t="shared" ref="Y1675:Y1738" si="268">D1675</f>
        <v>1666</v>
      </c>
      <c r="Z1675" s="298">
        <v>334</v>
      </c>
      <c r="AA1675" s="299">
        <v>334</v>
      </c>
      <c r="AB1675" s="299">
        <v>1666</v>
      </c>
      <c r="AC1675" s="301">
        <v>0</v>
      </c>
      <c r="AD1675" s="301">
        <v>0</v>
      </c>
      <c r="AE1675" s="126"/>
      <c r="AF1675" s="298"/>
      <c r="AG1675" s="299"/>
      <c r="AH1675" s="299"/>
      <c r="AI1675" s="301"/>
      <c r="AJ1675" s="301"/>
      <c r="AK1675" s="426"/>
      <c r="AL1675" s="298"/>
      <c r="AM1675" s="299"/>
      <c r="AN1675" s="299"/>
      <c r="AO1675" s="301"/>
      <c r="AP1675" s="301"/>
      <c r="AQ1675" s="426"/>
      <c r="AR1675" s="298"/>
      <c r="AS1675" s="299"/>
      <c r="AT1675" s="299"/>
      <c r="AU1675" s="301"/>
      <c r="AV1675" s="301"/>
      <c r="AW1675" s="88"/>
      <c r="AX1675" s="298"/>
      <c r="AY1675" s="299"/>
      <c r="AZ1675" s="299"/>
      <c r="BA1675" s="301"/>
      <c r="BB1675" s="301"/>
      <c r="BC1675" s="426"/>
      <c r="BD1675" s="298"/>
      <c r="BE1675" s="299"/>
      <c r="BF1675" s="299"/>
      <c r="BG1675" s="301"/>
      <c r="BH1675" s="301"/>
      <c r="BI1675" s="88"/>
      <c r="BJ1675" s="298"/>
      <c r="BK1675" s="299"/>
      <c r="BL1675" s="299"/>
      <c r="BM1675" s="301"/>
      <c r="BN1675" s="301"/>
      <c r="BO1675" s="88"/>
      <c r="BP1675" s="9"/>
      <c r="BS1675" s="81"/>
      <c r="BT1675" s="81"/>
      <c r="BV1675" s="9"/>
      <c r="BY1675" s="81"/>
      <c r="BZ1675" s="81"/>
      <c r="CB1675" s="9"/>
      <c r="CE1675" s="81"/>
      <c r="CF1675" s="81"/>
      <c r="CH1675" s="9"/>
      <c r="CK1675" s="81"/>
      <c r="CL1675" s="81"/>
      <c r="CR1675" s="9"/>
      <c r="CS1675" s="9"/>
      <c r="CT1675" s="9"/>
      <c r="CU1675" s="9"/>
      <c r="CV1675" s="9"/>
      <c r="CW1675" s="129"/>
      <c r="CX1675" s="9"/>
    </row>
    <row r="1676" spans="1:102">
      <c r="A1676" s="6" t="str">
        <f t="shared" si="261"/>
        <v>03340700</v>
      </c>
      <c r="B1676" s="6" t="s">
        <v>1984</v>
      </c>
      <c r="C1676" s="6" t="s">
        <v>2035</v>
      </c>
      <c r="D1676" s="6">
        <v>1667</v>
      </c>
      <c r="E1676" s="6">
        <v>334</v>
      </c>
      <c r="F1676" s="6" t="s">
        <v>1452</v>
      </c>
      <c r="G1676" s="6">
        <v>700</v>
      </c>
      <c r="H1676" s="6" t="s">
        <v>1065</v>
      </c>
      <c r="I1676" s="33">
        <v>2152529.6985851675</v>
      </c>
      <c r="J1676" s="88">
        <v>0.35208843656689148</v>
      </c>
      <c r="K1676" s="89">
        <f t="shared" si="260"/>
        <v>2087072.4088401117</v>
      </c>
      <c r="L1676" s="88">
        <f>IF(K1679&gt;0, K1676/K1679, 0)</f>
        <v>0.36027096689712373</v>
      </c>
      <c r="M1676" s="58"/>
      <c r="N1676" s="9">
        <f>ROUND(M1679*L1676,0)</f>
        <v>1721835</v>
      </c>
      <c r="O1676" s="9">
        <v>1775837</v>
      </c>
      <c r="P1676" s="9">
        <f>N1676-O1676</f>
        <v>-54002</v>
      </c>
      <c r="Q1676" s="40">
        <f t="shared" si="259"/>
        <v>-3.0409322477231862</v>
      </c>
      <c r="R1676" s="9">
        <v>120.00000000391999</v>
      </c>
      <c r="S1676" s="9">
        <f t="shared" si="267"/>
        <v>117.99999999645</v>
      </c>
      <c r="T1676" s="90">
        <f t="shared" si="262"/>
        <v>334</v>
      </c>
      <c r="U1676" s="90">
        <f t="shared" si="263"/>
        <v>700</v>
      </c>
      <c r="V1676" s="373">
        <f t="shared" si="264"/>
        <v>1667</v>
      </c>
      <c r="W1676" s="90">
        <f t="shared" si="265"/>
        <v>117.99999999645</v>
      </c>
      <c r="X1676" s="90">
        <f t="shared" si="266"/>
        <v>2087072.4088401117</v>
      </c>
      <c r="Y1676" s="141">
        <f t="shared" si="268"/>
        <v>1667</v>
      </c>
      <c r="Z1676" s="298">
        <v>334</v>
      </c>
      <c r="AA1676" s="299">
        <v>700</v>
      </c>
      <c r="AB1676" s="299">
        <v>1667</v>
      </c>
      <c r="AC1676" s="301">
        <v>117.99999999645</v>
      </c>
      <c r="AD1676" s="301">
        <v>2087072.4088401117</v>
      </c>
      <c r="AE1676" s="126"/>
      <c r="AF1676" s="298"/>
      <c r="AG1676" s="299"/>
      <c r="AH1676" s="299"/>
      <c r="AI1676" s="301"/>
      <c r="AJ1676" s="301"/>
      <c r="AK1676" s="426"/>
      <c r="AL1676" s="298"/>
      <c r="AM1676" s="299"/>
      <c r="AN1676" s="299"/>
      <c r="AO1676" s="301"/>
      <c r="AP1676" s="301"/>
      <c r="AQ1676" s="426"/>
      <c r="AR1676" s="298"/>
      <c r="AS1676" s="299"/>
      <c r="AT1676" s="299"/>
      <c r="AU1676" s="301"/>
      <c r="AV1676" s="301"/>
      <c r="AW1676" s="88"/>
      <c r="AX1676" s="298"/>
      <c r="AY1676" s="299"/>
      <c r="AZ1676" s="299"/>
      <c r="BA1676" s="301"/>
      <c r="BB1676" s="301"/>
      <c r="BC1676" s="426"/>
      <c r="BD1676" s="298"/>
      <c r="BE1676" s="299"/>
      <c r="BF1676" s="299"/>
      <c r="BG1676" s="301"/>
      <c r="BH1676" s="301"/>
      <c r="BI1676" s="88"/>
      <c r="BJ1676" s="298"/>
      <c r="BK1676" s="299"/>
      <c r="BL1676" s="299"/>
      <c r="BM1676" s="301"/>
      <c r="BN1676" s="301"/>
      <c r="BO1676" s="88"/>
      <c r="BP1676" s="9"/>
      <c r="BS1676" s="81"/>
      <c r="BT1676" s="81"/>
      <c r="BV1676" s="9"/>
      <c r="BY1676" s="81"/>
      <c r="BZ1676" s="81"/>
      <c r="CB1676" s="9"/>
      <c r="CE1676" s="81"/>
      <c r="CF1676" s="81"/>
      <c r="CH1676" s="9"/>
      <c r="CK1676" s="81"/>
      <c r="CL1676" s="81"/>
      <c r="CR1676" s="9"/>
      <c r="CS1676" s="9"/>
      <c r="CT1676" s="9"/>
      <c r="CU1676" s="9"/>
      <c r="CV1676" s="9"/>
      <c r="CW1676" s="129"/>
      <c r="CX1676" s="9"/>
    </row>
    <row r="1677" spans="1:102">
      <c r="A1677" s="6" t="str">
        <f t="shared" si="261"/>
        <v>03340774</v>
      </c>
      <c r="B1677" s="6" t="s">
        <v>1984</v>
      </c>
      <c r="C1677" s="6" t="s">
        <v>2058</v>
      </c>
      <c r="D1677" s="6">
        <v>1668</v>
      </c>
      <c r="E1677" s="6">
        <v>334</v>
      </c>
      <c r="F1677" s="6" t="s">
        <v>1452</v>
      </c>
      <c r="G1677" s="6">
        <v>774</v>
      </c>
      <c r="H1677" s="6" t="s">
        <v>1088</v>
      </c>
      <c r="I1677" s="33">
        <v>3961075.5068962672</v>
      </c>
      <c r="J1677" s="88">
        <v>0.64791156343310863</v>
      </c>
      <c r="K1677" s="89">
        <f t="shared" si="260"/>
        <v>3705990.592642548</v>
      </c>
      <c r="L1677" s="88">
        <f>IF(K1679&gt;0, K1677/K1679, 0)</f>
        <v>0.63972903310287621</v>
      </c>
      <c r="M1677" s="58"/>
      <c r="N1677" s="9">
        <f>ROUND(M1679*L1677,0)</f>
        <v>3057442</v>
      </c>
      <c r="O1677" s="9">
        <v>3267887</v>
      </c>
      <c r="P1677" s="9">
        <f>N1677-O1677</f>
        <v>-210445</v>
      </c>
      <c r="Q1677" s="40">
        <f t="shared" si="259"/>
        <v>-6.4397881566896285</v>
      </c>
      <c r="R1677" s="9">
        <v>295.13461538619998</v>
      </c>
      <c r="S1677" s="9">
        <f t="shared" si="267"/>
        <v>276.96428571349998</v>
      </c>
      <c r="T1677" s="90">
        <f t="shared" si="262"/>
        <v>334</v>
      </c>
      <c r="U1677" s="90">
        <f t="shared" si="263"/>
        <v>774</v>
      </c>
      <c r="V1677" s="373">
        <f t="shared" si="264"/>
        <v>1668</v>
      </c>
      <c r="W1677" s="90">
        <f t="shared" si="265"/>
        <v>276.96428571349998</v>
      </c>
      <c r="X1677" s="90">
        <f t="shared" si="266"/>
        <v>3705990.592642548</v>
      </c>
      <c r="Y1677" s="141">
        <f t="shared" si="268"/>
        <v>1668</v>
      </c>
      <c r="Z1677" s="298">
        <v>334</v>
      </c>
      <c r="AA1677" s="299">
        <v>774</v>
      </c>
      <c r="AB1677" s="299">
        <v>1668</v>
      </c>
      <c r="AC1677" s="301">
        <v>276.96428571349998</v>
      </c>
      <c r="AD1677" s="301">
        <v>3705990.592642548</v>
      </c>
      <c r="AE1677" s="126"/>
      <c r="AF1677" s="298"/>
      <c r="AG1677" s="299"/>
      <c r="AH1677" s="299"/>
      <c r="AI1677" s="301"/>
      <c r="AJ1677" s="301"/>
      <c r="AK1677" s="426"/>
      <c r="AL1677" s="298"/>
      <c r="AM1677" s="299"/>
      <c r="AN1677" s="299"/>
      <c r="AO1677" s="301"/>
      <c r="AP1677" s="301"/>
      <c r="AQ1677" s="426"/>
      <c r="AR1677" s="298"/>
      <c r="AS1677" s="299"/>
      <c r="AT1677" s="299"/>
      <c r="AU1677" s="301"/>
      <c r="AV1677" s="301"/>
      <c r="AW1677" s="88"/>
      <c r="AX1677" s="298"/>
      <c r="AY1677" s="299"/>
      <c r="AZ1677" s="299"/>
      <c r="BA1677" s="301"/>
      <c r="BB1677" s="301"/>
      <c r="BC1677" s="426"/>
      <c r="BD1677" s="298"/>
      <c r="BE1677" s="299"/>
      <c r="BF1677" s="299"/>
      <c r="BG1677" s="301"/>
      <c r="BH1677" s="301"/>
      <c r="BI1677" s="88"/>
      <c r="BJ1677" s="298"/>
      <c r="BK1677" s="299"/>
      <c r="BL1677" s="299"/>
      <c r="BM1677" s="301"/>
      <c r="BN1677" s="301"/>
      <c r="BO1677" s="88"/>
      <c r="BP1677" s="9"/>
      <c r="BS1677" s="81"/>
      <c r="BT1677" s="81"/>
      <c r="BV1677" s="9"/>
      <c r="BY1677" s="81"/>
      <c r="BZ1677" s="81"/>
      <c r="CB1677" s="9"/>
      <c r="CE1677" s="81"/>
      <c r="CF1677" s="81"/>
      <c r="CH1677" s="9"/>
      <c r="CK1677" s="81"/>
      <c r="CL1677" s="81"/>
      <c r="CR1677" s="9"/>
      <c r="CS1677" s="9"/>
      <c r="CT1677" s="9"/>
      <c r="CU1677" s="9"/>
      <c r="CV1677" s="9"/>
      <c r="CW1677" s="129"/>
      <c r="CX1677" s="9"/>
    </row>
    <row r="1678" spans="1:102">
      <c r="A1678" s="6" t="str">
        <f t="shared" si="261"/>
        <v>03340998</v>
      </c>
      <c r="B1678" s="6" t="s">
        <v>1984</v>
      </c>
      <c r="C1678" s="6" t="s">
        <v>2091</v>
      </c>
      <c r="D1678" s="6">
        <v>1669</v>
      </c>
      <c r="E1678" s="6">
        <v>334</v>
      </c>
      <c r="F1678" s="6" t="s">
        <v>1547</v>
      </c>
      <c r="G1678" s="6">
        <v>998</v>
      </c>
      <c r="H1678" s="6" t="s">
        <v>1547</v>
      </c>
      <c r="I1678" s="33">
        <v>0</v>
      </c>
      <c r="J1678" s="88">
        <v>0</v>
      </c>
      <c r="K1678" s="89">
        <f t="shared" si="260"/>
        <v>0</v>
      </c>
      <c r="L1678" s="88">
        <f>IF(K1679&gt;0, K1678/K1679, 0)</f>
        <v>0</v>
      </c>
      <c r="M1678" s="58"/>
      <c r="N1678" s="9">
        <f>ROUND(M1679*L1678,0)</f>
        <v>0</v>
      </c>
      <c r="O1678" s="9">
        <v>0</v>
      </c>
      <c r="P1678" s="9">
        <f>N1678-O1678</f>
        <v>0</v>
      </c>
      <c r="Q1678" s="40">
        <f t="shared" si="259"/>
        <v>0</v>
      </c>
      <c r="R1678" s="9">
        <v>0</v>
      </c>
      <c r="S1678" s="9">
        <f t="shared" si="267"/>
        <v>0</v>
      </c>
      <c r="T1678" s="90">
        <f t="shared" si="262"/>
        <v>334</v>
      </c>
      <c r="U1678" s="90">
        <f t="shared" si="263"/>
        <v>998</v>
      </c>
      <c r="V1678" s="373">
        <f t="shared" si="264"/>
        <v>1669</v>
      </c>
      <c r="W1678" s="90">
        <f t="shared" si="265"/>
        <v>0</v>
      </c>
      <c r="X1678" s="90">
        <f t="shared" si="266"/>
        <v>0</v>
      </c>
      <c r="Y1678" s="141">
        <f t="shared" si="268"/>
        <v>1669</v>
      </c>
      <c r="Z1678" s="298">
        <v>334</v>
      </c>
      <c r="AA1678" s="299">
        <v>998</v>
      </c>
      <c r="AB1678" s="299">
        <v>1669</v>
      </c>
      <c r="AC1678" s="301">
        <v>0</v>
      </c>
      <c r="AD1678" s="301">
        <v>0</v>
      </c>
      <c r="AE1678" s="126"/>
      <c r="AF1678" s="298"/>
      <c r="AG1678" s="299"/>
      <c r="AH1678" s="299"/>
      <c r="AI1678" s="301"/>
      <c r="AJ1678" s="301"/>
      <c r="AK1678" s="426"/>
      <c r="AL1678" s="298"/>
      <c r="AM1678" s="299"/>
      <c r="AN1678" s="299"/>
      <c r="AO1678" s="301"/>
      <c r="AP1678" s="301"/>
      <c r="AQ1678" s="426"/>
      <c r="AR1678" s="298"/>
      <c r="AS1678" s="299"/>
      <c r="AT1678" s="299"/>
      <c r="AU1678" s="301"/>
      <c r="AV1678" s="301"/>
      <c r="AW1678" s="88"/>
      <c r="AX1678" s="298"/>
      <c r="AY1678" s="299"/>
      <c r="AZ1678" s="299"/>
      <c r="BA1678" s="301"/>
      <c r="BB1678" s="301"/>
      <c r="BC1678" s="426"/>
      <c r="BD1678" s="298"/>
      <c r="BE1678" s="299"/>
      <c r="BF1678" s="299"/>
      <c r="BG1678" s="301"/>
      <c r="BH1678" s="301"/>
      <c r="BI1678" s="88"/>
      <c r="BJ1678" s="298"/>
      <c r="BK1678" s="299"/>
      <c r="BL1678" s="299"/>
      <c r="BM1678" s="301"/>
      <c r="BN1678" s="301"/>
      <c r="BO1678" s="88"/>
      <c r="BP1678" s="9"/>
      <c r="BS1678" s="81"/>
      <c r="BT1678" s="81"/>
      <c r="BV1678" s="9"/>
      <c r="BY1678" s="81"/>
      <c r="BZ1678" s="81"/>
      <c r="CB1678" s="9"/>
      <c r="CE1678" s="81"/>
      <c r="CF1678" s="81"/>
      <c r="CH1678" s="9"/>
      <c r="CK1678" s="81"/>
      <c r="CL1678" s="81"/>
      <c r="CR1678" s="9"/>
      <c r="CS1678" s="9"/>
      <c r="CT1678" s="9"/>
      <c r="CU1678" s="9"/>
      <c r="CV1678" s="9"/>
      <c r="CW1678" s="129"/>
      <c r="CX1678" s="9"/>
    </row>
    <row r="1679" spans="1:102">
      <c r="A1679" s="6" t="str">
        <f t="shared" si="261"/>
        <v>03340999</v>
      </c>
      <c r="B1679" s="6" t="s">
        <v>1984</v>
      </c>
      <c r="C1679" s="6" t="s">
        <v>2092</v>
      </c>
      <c r="D1679" s="6">
        <v>1670</v>
      </c>
      <c r="E1679" s="10">
        <v>334</v>
      </c>
      <c r="F1679" s="10" t="s">
        <v>1452</v>
      </c>
      <c r="G1679" s="10">
        <v>999</v>
      </c>
      <c r="H1679" s="10" t="s">
        <v>593</v>
      </c>
      <c r="I1679" s="92">
        <v>6113605.2054814342</v>
      </c>
      <c r="J1679" s="472">
        <v>1</v>
      </c>
      <c r="K1679" s="53">
        <f>SUM(K1675:K1678)</f>
        <v>5793063.00148266</v>
      </c>
      <c r="L1679" s="91">
        <f>SUM(L1675:L1678)</f>
        <v>1</v>
      </c>
      <c r="M1679" s="79">
        <f>VLOOKUP(E1679,town351,24)</f>
        <v>4779277</v>
      </c>
      <c r="N1679" s="79">
        <f>SUM(N1675:N1678)</f>
        <v>4779277</v>
      </c>
      <c r="O1679" s="79">
        <v>5043724</v>
      </c>
      <c r="P1679" s="79">
        <f>SUM(P1675:P1678)</f>
        <v>-264447</v>
      </c>
      <c r="Q1679" s="39">
        <f t="shared" si="259"/>
        <v>-5.2430902246038835</v>
      </c>
      <c r="R1679" s="9">
        <v>415.13461539011996</v>
      </c>
      <c r="S1679" s="9">
        <f t="shared" si="267"/>
        <v>394.96428570994999</v>
      </c>
      <c r="T1679" s="90">
        <f t="shared" si="262"/>
        <v>334</v>
      </c>
      <c r="U1679" s="90">
        <f t="shared" si="263"/>
        <v>999</v>
      </c>
      <c r="V1679" s="373">
        <f t="shared" si="264"/>
        <v>1670</v>
      </c>
      <c r="W1679" s="90">
        <f t="shared" si="265"/>
        <v>394.96428570994999</v>
      </c>
      <c r="X1679" s="90">
        <f t="shared" si="266"/>
        <v>5793063.00148266</v>
      </c>
      <c r="Y1679" s="141">
        <f t="shared" si="268"/>
        <v>1670</v>
      </c>
      <c r="Z1679" s="298">
        <v>334</v>
      </c>
      <c r="AA1679" s="299">
        <v>999</v>
      </c>
      <c r="AB1679" s="299">
        <v>1670</v>
      </c>
      <c r="AC1679" s="301">
        <v>394.96428570994999</v>
      </c>
      <c r="AD1679" s="301">
        <v>5793063.00148266</v>
      </c>
      <c r="AE1679" s="126"/>
      <c r="AF1679" s="298"/>
      <c r="AG1679" s="299"/>
      <c r="AH1679" s="299"/>
      <c r="AI1679" s="301"/>
      <c r="AJ1679" s="301"/>
      <c r="AK1679" s="426"/>
      <c r="AL1679" s="298"/>
      <c r="AM1679" s="299"/>
      <c r="AN1679" s="299"/>
      <c r="AO1679" s="301"/>
      <c r="AP1679" s="301"/>
      <c r="AQ1679" s="426"/>
      <c r="AR1679" s="298"/>
      <c r="AS1679" s="299"/>
      <c r="AT1679" s="299"/>
      <c r="AU1679" s="301"/>
      <c r="AV1679" s="301"/>
      <c r="AW1679" s="91"/>
      <c r="AX1679" s="298"/>
      <c r="AY1679" s="299"/>
      <c r="AZ1679" s="299"/>
      <c r="BA1679" s="301"/>
      <c r="BB1679" s="301"/>
      <c r="BC1679" s="426"/>
      <c r="BD1679" s="298"/>
      <c r="BE1679" s="299"/>
      <c r="BF1679" s="299"/>
      <c r="BG1679" s="301"/>
      <c r="BH1679" s="301"/>
      <c r="BI1679" s="91"/>
      <c r="BJ1679" s="298"/>
      <c r="BK1679" s="299"/>
      <c r="BL1679" s="299"/>
      <c r="BM1679" s="301"/>
      <c r="BN1679" s="301"/>
      <c r="BO1679" s="91"/>
      <c r="BP1679" s="9"/>
      <c r="BS1679" s="81"/>
      <c r="BT1679" s="81"/>
      <c r="BV1679" s="9"/>
      <c r="BY1679" s="81"/>
      <c r="BZ1679" s="81"/>
      <c r="CB1679" s="9"/>
      <c r="CE1679" s="81"/>
      <c r="CF1679" s="81"/>
      <c r="CH1679" s="9"/>
      <c r="CK1679" s="81"/>
      <c r="CL1679" s="81"/>
      <c r="CR1679" s="9"/>
      <c r="CS1679" s="9"/>
      <c r="CT1679" s="9"/>
      <c r="CU1679" s="9"/>
      <c r="CV1679" s="9"/>
      <c r="CW1679" s="129"/>
      <c r="CX1679" s="9"/>
    </row>
    <row r="1680" spans="1:102">
      <c r="A1680" s="6" t="str">
        <f t="shared" si="261"/>
        <v>03350335</v>
      </c>
      <c r="B1680" s="6" t="s">
        <v>1985</v>
      </c>
      <c r="C1680" s="6" t="s">
        <v>1985</v>
      </c>
      <c r="D1680" s="6">
        <v>1671</v>
      </c>
      <c r="E1680" s="6">
        <v>335</v>
      </c>
      <c r="F1680" s="6" t="s">
        <v>1453</v>
      </c>
      <c r="G1680" s="6">
        <v>335</v>
      </c>
      <c r="H1680" s="6" t="s">
        <v>1016</v>
      </c>
      <c r="I1680" s="33">
        <v>36039140.915650003</v>
      </c>
      <c r="J1680" s="88">
        <v>0.98929966250280421</v>
      </c>
      <c r="K1680" s="89">
        <f>X1680</f>
        <v>36920748.450279996</v>
      </c>
      <c r="L1680" s="88">
        <f>IF(K1684&gt;0, K1680/K1684, 0)</f>
        <v>0.99227578509123737</v>
      </c>
      <c r="M1680" s="58"/>
      <c r="N1680" s="9">
        <f>ROUND(M1684*L1680,0)</f>
        <v>30155173</v>
      </c>
      <c r="O1680" s="9">
        <v>28969675</v>
      </c>
      <c r="P1680" s="9">
        <f>N1680-O1680</f>
        <v>1185498</v>
      </c>
      <c r="Q1680" s="40">
        <f>IF(O1680&gt;0,P1680*100/O1680,IF(P1680&gt;0,100,0))</f>
        <v>4.0922033126018844</v>
      </c>
      <c r="R1680" s="9">
        <v>2893</v>
      </c>
      <c r="S1680" s="9">
        <f t="shared" si="267"/>
        <v>2890</v>
      </c>
      <c r="T1680" s="90">
        <f t="shared" si="262"/>
        <v>335</v>
      </c>
      <c r="U1680" s="90">
        <f t="shared" si="263"/>
        <v>335</v>
      </c>
      <c r="V1680" s="373">
        <f t="shared" si="264"/>
        <v>1671</v>
      </c>
      <c r="W1680" s="90">
        <f t="shared" si="265"/>
        <v>2890</v>
      </c>
      <c r="X1680" s="90">
        <f t="shared" si="266"/>
        <v>36920748.450279996</v>
      </c>
      <c r="Y1680" s="141">
        <f t="shared" si="268"/>
        <v>1671</v>
      </c>
      <c r="Z1680" s="298">
        <v>335</v>
      </c>
      <c r="AA1680" s="299">
        <v>335</v>
      </c>
      <c r="AB1680" s="299">
        <v>1671</v>
      </c>
      <c r="AC1680" s="301">
        <v>2890</v>
      </c>
      <c r="AD1680" s="301">
        <v>36920748.450279996</v>
      </c>
      <c r="AE1680" s="126"/>
      <c r="AF1680" s="298"/>
      <c r="AG1680" s="299"/>
      <c r="AH1680" s="299"/>
      <c r="AI1680" s="301"/>
      <c r="AJ1680" s="301"/>
      <c r="AK1680" s="426"/>
      <c r="AL1680" s="298"/>
      <c r="AM1680" s="299"/>
      <c r="AN1680" s="299"/>
      <c r="AO1680" s="301"/>
      <c r="AP1680" s="301"/>
      <c r="AQ1680" s="426"/>
      <c r="AR1680" s="298"/>
      <c r="AS1680" s="299"/>
      <c r="AT1680" s="299"/>
      <c r="AU1680" s="301"/>
      <c r="AV1680" s="301"/>
      <c r="AW1680" s="88"/>
      <c r="AX1680" s="298"/>
      <c r="AY1680" s="299"/>
      <c r="AZ1680" s="299"/>
      <c r="BA1680" s="301"/>
      <c r="BB1680" s="301"/>
      <c r="BC1680" s="426"/>
      <c r="BD1680" s="298"/>
      <c r="BE1680" s="299"/>
      <c r="BF1680" s="299"/>
      <c r="BG1680" s="301"/>
      <c r="BH1680" s="301"/>
      <c r="BI1680" s="88"/>
      <c r="BJ1680" s="298"/>
      <c r="BK1680" s="299"/>
      <c r="BL1680" s="299"/>
      <c r="BM1680" s="301"/>
      <c r="BN1680" s="301"/>
      <c r="BO1680" s="88"/>
      <c r="BP1680" s="9"/>
      <c r="BS1680" s="81"/>
      <c r="BT1680" s="81"/>
      <c r="BV1680" s="9"/>
      <c r="BY1680" s="81"/>
      <c r="BZ1680" s="81"/>
      <c r="CB1680" s="9"/>
      <c r="CE1680" s="81"/>
      <c r="CF1680" s="81"/>
      <c r="CH1680" s="9"/>
      <c r="CK1680" s="81"/>
      <c r="CL1680" s="81"/>
      <c r="CR1680" s="9"/>
      <c r="CS1680" s="9"/>
      <c r="CT1680" s="9"/>
      <c r="CU1680" s="9"/>
      <c r="CV1680" s="9"/>
      <c r="CW1680" s="129"/>
      <c r="CX1680" s="9"/>
    </row>
    <row r="1681" spans="1:102">
      <c r="A1681" s="6" t="str">
        <f t="shared" si="261"/>
        <v>03350806</v>
      </c>
      <c r="B1681" s="6" t="s">
        <v>1985</v>
      </c>
      <c r="C1681" s="6" t="s">
        <v>2064</v>
      </c>
      <c r="D1681" s="6">
        <v>1672</v>
      </c>
      <c r="E1681" s="6">
        <v>335</v>
      </c>
      <c r="F1681" s="6" t="s">
        <v>1453</v>
      </c>
      <c r="G1681" s="6">
        <v>806</v>
      </c>
      <c r="H1681" s="6" t="s">
        <v>1094</v>
      </c>
      <c r="I1681" s="33">
        <v>174535.15414376839</v>
      </c>
      <c r="J1681" s="88">
        <v>4.7911122380368413E-3</v>
      </c>
      <c r="K1681" s="89">
        <f t="shared" si="260"/>
        <v>111211.98898651257</v>
      </c>
      <c r="L1681" s="88">
        <f>IF(K1684&gt;0, K1681/K1684, 0)</f>
        <v>2.9889145890896187E-3</v>
      </c>
      <c r="M1681" s="58"/>
      <c r="N1681" s="9">
        <f>ROUND(M1684*L1681,0)</f>
        <v>90833</v>
      </c>
      <c r="O1681" s="9">
        <v>140298</v>
      </c>
      <c r="P1681" s="9">
        <f>N1681-O1681</f>
        <v>-49465</v>
      </c>
      <c r="Q1681" s="40">
        <f>IF(O1681&gt;0,P1681*100/O1681,IF(P1681&gt;0,100,0))</f>
        <v>-35.257095610771358</v>
      </c>
      <c r="R1681" s="9">
        <v>8.0000000012499992</v>
      </c>
      <c r="S1681" s="9">
        <f t="shared" si="267"/>
        <v>4.9999999958400005</v>
      </c>
      <c r="T1681" s="90">
        <f t="shared" si="262"/>
        <v>335</v>
      </c>
      <c r="U1681" s="90">
        <f t="shared" si="263"/>
        <v>806</v>
      </c>
      <c r="V1681" s="373">
        <f t="shared" si="264"/>
        <v>1672</v>
      </c>
      <c r="W1681" s="90">
        <f t="shared" si="265"/>
        <v>4.9999999958400005</v>
      </c>
      <c r="X1681" s="90">
        <f t="shared" si="266"/>
        <v>111211.98898651257</v>
      </c>
      <c r="Y1681" s="141">
        <f t="shared" si="268"/>
        <v>1672</v>
      </c>
      <c r="Z1681" s="298">
        <v>335</v>
      </c>
      <c r="AA1681" s="299">
        <v>806</v>
      </c>
      <c r="AB1681" s="299">
        <v>1672</v>
      </c>
      <c r="AC1681" s="301">
        <v>4.9999999958400005</v>
      </c>
      <c r="AD1681" s="301">
        <v>111211.98898651257</v>
      </c>
      <c r="AE1681" s="126"/>
      <c r="AF1681" s="298"/>
      <c r="AG1681" s="299"/>
      <c r="AH1681" s="299"/>
      <c r="AI1681" s="301"/>
      <c r="AJ1681" s="301"/>
      <c r="AK1681" s="426"/>
      <c r="AL1681" s="298"/>
      <c r="AM1681" s="299"/>
      <c r="AN1681" s="299"/>
      <c r="AO1681" s="301"/>
      <c r="AP1681" s="301"/>
      <c r="AQ1681" s="426"/>
      <c r="AR1681" s="298"/>
      <c r="AS1681" s="299"/>
      <c r="AT1681" s="299"/>
      <c r="AU1681" s="301"/>
      <c r="AV1681" s="301"/>
      <c r="AW1681" s="88"/>
      <c r="AX1681" s="298"/>
      <c r="AY1681" s="299"/>
      <c r="AZ1681" s="299"/>
      <c r="BA1681" s="301"/>
      <c r="BB1681" s="301"/>
      <c r="BC1681" s="426"/>
      <c r="BD1681" s="298"/>
      <c r="BE1681" s="299"/>
      <c r="BF1681" s="299"/>
      <c r="BG1681" s="301"/>
      <c r="BH1681" s="301"/>
      <c r="BI1681" s="88"/>
      <c r="BJ1681" s="298"/>
      <c r="BK1681" s="299"/>
      <c r="BL1681" s="299"/>
      <c r="BM1681" s="301"/>
      <c r="BN1681" s="301"/>
      <c r="BO1681" s="88"/>
      <c r="BP1681" s="9"/>
      <c r="BS1681" s="81"/>
      <c r="BT1681" s="81"/>
      <c r="BV1681" s="9"/>
      <c r="BY1681" s="81"/>
      <c r="BZ1681" s="81"/>
      <c r="CB1681" s="9"/>
      <c r="CE1681" s="81"/>
      <c r="CF1681" s="81"/>
      <c r="CH1681" s="9"/>
      <c r="CK1681" s="81"/>
      <c r="CL1681" s="81"/>
      <c r="CR1681" s="9"/>
      <c r="CS1681" s="9"/>
      <c r="CT1681" s="9"/>
      <c r="CU1681" s="9"/>
      <c r="CV1681" s="9"/>
      <c r="CW1681" s="129"/>
      <c r="CX1681" s="9"/>
    </row>
    <row r="1682" spans="1:102">
      <c r="A1682" s="6" t="str">
        <f t="shared" si="261"/>
        <v>03350915</v>
      </c>
      <c r="B1682" s="6" t="s">
        <v>1985</v>
      </c>
      <c r="C1682" s="6" t="s">
        <v>2089</v>
      </c>
      <c r="D1682" s="6">
        <v>1673</v>
      </c>
      <c r="E1682" s="6">
        <v>335</v>
      </c>
      <c r="F1682" s="6" t="s">
        <v>1453</v>
      </c>
      <c r="G1682" s="6">
        <v>915</v>
      </c>
      <c r="H1682" s="6" t="s">
        <v>1119</v>
      </c>
      <c r="I1682" s="33">
        <v>215266.8295452357</v>
      </c>
      <c r="J1682" s="88">
        <v>5.9092252591590204E-3</v>
      </c>
      <c r="K1682" s="89">
        <f t="shared" si="260"/>
        <v>176191.77507501398</v>
      </c>
      <c r="L1682" s="88">
        <f>IF(K1684&gt;0, K1682/K1684, 0)</f>
        <v>4.7353003196730255E-3</v>
      </c>
      <c r="M1682" s="58"/>
      <c r="N1682" s="9">
        <f>ROUND(M1684*L1682,0)</f>
        <v>143905</v>
      </c>
      <c r="O1682" s="9">
        <v>173040</v>
      </c>
      <c r="P1682" s="9">
        <f>N1682-O1682</f>
        <v>-29135</v>
      </c>
      <c r="Q1682" s="40">
        <f>IF(O1682&gt;0,P1682*100/O1682,IF(P1682&gt;0,100,0))</f>
        <v>-16.837147480351362</v>
      </c>
      <c r="R1682" s="9">
        <v>10.0000000001</v>
      </c>
      <c r="S1682" s="9">
        <f t="shared" si="267"/>
        <v>8.0000000009600001</v>
      </c>
      <c r="T1682" s="90">
        <f t="shared" si="262"/>
        <v>335</v>
      </c>
      <c r="U1682" s="90">
        <f t="shared" si="263"/>
        <v>915</v>
      </c>
      <c r="V1682" s="373">
        <f t="shared" si="264"/>
        <v>1673</v>
      </c>
      <c r="W1682" s="90">
        <f t="shared" si="265"/>
        <v>8.0000000009600001</v>
      </c>
      <c r="X1682" s="90">
        <f t="shared" si="266"/>
        <v>176191.77507501398</v>
      </c>
      <c r="Y1682" s="141">
        <f t="shared" si="268"/>
        <v>1673</v>
      </c>
      <c r="Z1682" s="298">
        <v>335</v>
      </c>
      <c r="AA1682" s="299">
        <v>915</v>
      </c>
      <c r="AB1682" s="299">
        <v>1673</v>
      </c>
      <c r="AC1682" s="301">
        <v>8.0000000009600001</v>
      </c>
      <c r="AD1682" s="301">
        <v>176191.77507501398</v>
      </c>
      <c r="AE1682" s="126"/>
      <c r="AF1682" s="298"/>
      <c r="AG1682" s="299"/>
      <c r="AH1682" s="299"/>
      <c r="AI1682" s="301"/>
      <c r="AJ1682" s="301"/>
      <c r="AK1682" s="426"/>
      <c r="AL1682" s="298"/>
      <c r="AM1682" s="299"/>
      <c r="AN1682" s="299"/>
      <c r="AO1682" s="301"/>
      <c r="AP1682" s="301"/>
      <c r="AQ1682" s="426"/>
      <c r="AR1682" s="298"/>
      <c r="AS1682" s="299"/>
      <c r="AT1682" s="299"/>
      <c r="AU1682" s="301"/>
      <c r="AV1682" s="301"/>
      <c r="AW1682" s="88"/>
      <c r="AX1682" s="298"/>
      <c r="AY1682" s="299"/>
      <c r="AZ1682" s="299"/>
      <c r="BA1682" s="301"/>
      <c r="BB1682" s="301"/>
      <c r="BC1682" s="426"/>
      <c r="BD1682" s="298"/>
      <c r="BE1682" s="299"/>
      <c r="BF1682" s="299"/>
      <c r="BG1682" s="301"/>
      <c r="BH1682" s="301"/>
      <c r="BI1682" s="88"/>
      <c r="BJ1682" s="298"/>
      <c r="BK1682" s="299"/>
      <c r="BL1682" s="299"/>
      <c r="BM1682" s="301"/>
      <c r="BN1682" s="301"/>
      <c r="BO1682" s="88"/>
      <c r="BP1682" s="9"/>
      <c r="BS1682" s="81"/>
      <c r="BT1682" s="81"/>
      <c r="BV1682" s="9"/>
      <c r="BY1682" s="81"/>
      <c r="BZ1682" s="81"/>
      <c r="CB1682" s="9"/>
      <c r="CE1682" s="81"/>
      <c r="CF1682" s="81"/>
      <c r="CH1682" s="9"/>
      <c r="CK1682" s="81"/>
      <c r="CL1682" s="81"/>
      <c r="CR1682" s="9"/>
      <c r="CS1682" s="9"/>
      <c r="CT1682" s="9"/>
      <c r="CU1682" s="9"/>
      <c r="CV1682" s="9"/>
      <c r="CW1682" s="129"/>
      <c r="CX1682" s="9"/>
    </row>
    <row r="1683" spans="1:102">
      <c r="A1683" s="6" t="str">
        <f t="shared" si="261"/>
        <v>03350998</v>
      </c>
      <c r="B1683" s="6" t="s">
        <v>1985</v>
      </c>
      <c r="C1683" s="6" t="s">
        <v>2091</v>
      </c>
      <c r="D1683" s="6">
        <v>1674</v>
      </c>
      <c r="E1683" s="6">
        <v>335</v>
      </c>
      <c r="F1683" s="6" t="s">
        <v>1547</v>
      </c>
      <c r="G1683" s="6">
        <v>998</v>
      </c>
      <c r="H1683" s="6" t="s">
        <v>1547</v>
      </c>
      <c r="I1683" s="33">
        <v>0</v>
      </c>
      <c r="J1683" s="88">
        <v>0</v>
      </c>
      <c r="K1683" s="89">
        <f t="shared" si="260"/>
        <v>0</v>
      </c>
      <c r="L1683" s="88">
        <f>IF(K1684&gt;0, K1683/K1684, 0)</f>
        <v>0</v>
      </c>
      <c r="M1683" s="58"/>
      <c r="N1683" s="9">
        <f>ROUND(M1684*L1683,0)</f>
        <v>0</v>
      </c>
      <c r="O1683" s="9">
        <v>0</v>
      </c>
      <c r="P1683" s="9">
        <f>N1683-O1683</f>
        <v>0</v>
      </c>
      <c r="Q1683" s="40">
        <f>IF(O1683&gt;0,P1683*100/O1683,IF(P1683&gt;0,100,0))</f>
        <v>0</v>
      </c>
      <c r="R1683" s="9">
        <v>0</v>
      </c>
      <c r="S1683" s="9">
        <f t="shared" si="267"/>
        <v>0</v>
      </c>
      <c r="T1683" s="90">
        <f t="shared" si="262"/>
        <v>335</v>
      </c>
      <c r="U1683" s="90">
        <f t="shared" si="263"/>
        <v>998</v>
      </c>
      <c r="V1683" s="373">
        <f t="shared" si="264"/>
        <v>1674</v>
      </c>
      <c r="W1683" s="90">
        <f t="shared" si="265"/>
        <v>0</v>
      </c>
      <c r="X1683" s="90">
        <f t="shared" si="266"/>
        <v>0</v>
      </c>
      <c r="Y1683" s="141">
        <f t="shared" si="268"/>
        <v>1674</v>
      </c>
      <c r="Z1683" s="298">
        <v>335</v>
      </c>
      <c r="AA1683" s="299">
        <v>998</v>
      </c>
      <c r="AB1683" s="299">
        <v>1674</v>
      </c>
      <c r="AC1683" s="301">
        <v>0</v>
      </c>
      <c r="AD1683" s="301">
        <v>0</v>
      </c>
      <c r="AE1683" s="126"/>
      <c r="AF1683" s="298"/>
      <c r="AG1683" s="299"/>
      <c r="AH1683" s="299"/>
      <c r="AI1683" s="301"/>
      <c r="AJ1683" s="301"/>
      <c r="AK1683" s="426"/>
      <c r="AL1683" s="298"/>
      <c r="AM1683" s="299"/>
      <c r="AN1683" s="299"/>
      <c r="AO1683" s="301"/>
      <c r="AP1683" s="301"/>
      <c r="AQ1683" s="426"/>
      <c r="AR1683" s="298"/>
      <c r="AS1683" s="299"/>
      <c r="AT1683" s="299"/>
      <c r="AU1683" s="301"/>
      <c r="AV1683" s="301"/>
      <c r="AW1683" s="88"/>
      <c r="AX1683" s="298"/>
      <c r="AY1683" s="299"/>
      <c r="AZ1683" s="299"/>
      <c r="BA1683" s="301"/>
      <c r="BB1683" s="301"/>
      <c r="BC1683" s="426"/>
      <c r="BD1683" s="298"/>
      <c r="BE1683" s="299"/>
      <c r="BF1683" s="299"/>
      <c r="BG1683" s="301"/>
      <c r="BH1683" s="301"/>
      <c r="BI1683" s="88"/>
      <c r="BJ1683" s="298"/>
      <c r="BK1683" s="299"/>
      <c r="BL1683" s="299"/>
      <c r="BM1683" s="301"/>
      <c r="BN1683" s="301"/>
      <c r="BO1683" s="88"/>
      <c r="BP1683" s="9"/>
      <c r="BS1683" s="81"/>
      <c r="BT1683" s="81"/>
      <c r="BV1683" s="9"/>
      <c r="BY1683" s="81"/>
      <c r="BZ1683" s="81"/>
      <c r="CB1683" s="9"/>
      <c r="CE1683" s="81"/>
      <c r="CF1683" s="81"/>
      <c r="CH1683" s="9"/>
      <c r="CK1683" s="81"/>
      <c r="CL1683" s="81"/>
      <c r="CR1683" s="9"/>
      <c r="CS1683" s="9"/>
      <c r="CT1683" s="9"/>
      <c r="CU1683" s="9"/>
      <c r="CV1683" s="9"/>
      <c r="CW1683" s="129"/>
      <c r="CX1683" s="9"/>
    </row>
    <row r="1684" spans="1:102">
      <c r="A1684" s="6" t="str">
        <f t="shared" si="261"/>
        <v>03350999</v>
      </c>
      <c r="B1684" s="6" t="s">
        <v>1985</v>
      </c>
      <c r="C1684" s="6" t="s">
        <v>2092</v>
      </c>
      <c r="D1684" s="6">
        <v>1675</v>
      </c>
      <c r="E1684" s="10">
        <v>335</v>
      </c>
      <c r="F1684" s="10" t="s">
        <v>1453</v>
      </c>
      <c r="G1684" s="10">
        <v>999</v>
      </c>
      <c r="H1684" s="10" t="s">
        <v>593</v>
      </c>
      <c r="I1684" s="92">
        <v>36428942.899339005</v>
      </c>
      <c r="J1684" s="472">
        <v>1</v>
      </c>
      <c r="K1684" s="53">
        <f>SUM(K1680:K1683)</f>
        <v>37208152.214341521</v>
      </c>
      <c r="L1684" s="91">
        <f>SUM(L1680:L1683)</f>
        <v>1</v>
      </c>
      <c r="M1684" s="79">
        <f>VLOOKUP(E1684,town351,24)</f>
        <v>30389911</v>
      </c>
      <c r="N1684" s="79">
        <f>SUM(N1680:N1683)</f>
        <v>30389911</v>
      </c>
      <c r="O1684" s="79">
        <v>29283013</v>
      </c>
      <c r="P1684" s="79">
        <f>SUM(P1680:P1683)</f>
        <v>1106898</v>
      </c>
      <c r="Q1684" s="39">
        <f t="shared" ref="Q1684:Q1743" si="269">IF(O1684&gt;0,P1684*100/O1684,IF(P1684&gt;0,100,0))</f>
        <v>3.7800003708634762</v>
      </c>
      <c r="R1684" s="9">
        <v>2911.0000000013501</v>
      </c>
      <c r="S1684" s="9">
        <f t="shared" si="267"/>
        <v>2902.9999999967999</v>
      </c>
      <c r="T1684" s="90">
        <f t="shared" si="262"/>
        <v>335</v>
      </c>
      <c r="U1684" s="90">
        <f t="shared" si="263"/>
        <v>999</v>
      </c>
      <c r="V1684" s="373">
        <f t="shared" si="264"/>
        <v>1675</v>
      </c>
      <c r="W1684" s="90">
        <f t="shared" si="265"/>
        <v>2902.9999999967999</v>
      </c>
      <c r="X1684" s="90">
        <f t="shared" si="266"/>
        <v>37208152.214341521</v>
      </c>
      <c r="Y1684" s="141">
        <f t="shared" si="268"/>
        <v>1675</v>
      </c>
      <c r="Z1684" s="298">
        <v>335</v>
      </c>
      <c r="AA1684" s="299">
        <v>999</v>
      </c>
      <c r="AB1684" s="299">
        <v>1675</v>
      </c>
      <c r="AC1684" s="301">
        <v>2902.9999999967999</v>
      </c>
      <c r="AD1684" s="301">
        <v>37208152.214341521</v>
      </c>
      <c r="AE1684" s="126"/>
      <c r="AF1684" s="298"/>
      <c r="AG1684" s="299"/>
      <c r="AH1684" s="299"/>
      <c r="AI1684" s="301"/>
      <c r="AJ1684" s="301"/>
      <c r="AK1684" s="426"/>
      <c r="AL1684" s="298"/>
      <c r="AM1684" s="299"/>
      <c r="AN1684" s="299"/>
      <c r="AO1684" s="301"/>
      <c r="AP1684" s="301"/>
      <c r="AQ1684" s="426"/>
      <c r="AR1684" s="298"/>
      <c r="AS1684" s="299"/>
      <c r="AT1684" s="299"/>
      <c r="AU1684" s="301"/>
      <c r="AV1684" s="301"/>
      <c r="AW1684" s="91"/>
      <c r="AX1684" s="298"/>
      <c r="AY1684" s="299"/>
      <c r="AZ1684" s="299"/>
      <c r="BA1684" s="301"/>
      <c r="BB1684" s="301"/>
      <c r="BC1684" s="426"/>
      <c r="BD1684" s="298"/>
      <c r="BE1684" s="299"/>
      <c r="BF1684" s="299"/>
      <c r="BG1684" s="301"/>
      <c r="BH1684" s="301"/>
      <c r="BI1684" s="91"/>
      <c r="BJ1684" s="298"/>
      <c r="BK1684" s="299"/>
      <c r="BL1684" s="299"/>
      <c r="BM1684" s="301"/>
      <c r="BN1684" s="301"/>
      <c r="BO1684" s="91"/>
      <c r="BP1684" s="9"/>
      <c r="BS1684" s="81"/>
      <c r="BT1684" s="81"/>
      <c r="BV1684" s="9"/>
      <c r="BY1684" s="81"/>
      <c r="BZ1684" s="81"/>
      <c r="CB1684" s="9"/>
      <c r="CE1684" s="81"/>
      <c r="CF1684" s="81"/>
      <c r="CH1684" s="9"/>
      <c r="CK1684" s="81"/>
      <c r="CL1684" s="81"/>
      <c r="CR1684" s="9"/>
      <c r="CS1684" s="9"/>
      <c r="CT1684" s="9"/>
      <c r="CU1684" s="9"/>
      <c r="CV1684" s="9"/>
      <c r="CW1684" s="129"/>
      <c r="CX1684" s="9"/>
    </row>
    <row r="1685" spans="1:102">
      <c r="A1685" s="6" t="str">
        <f t="shared" si="261"/>
        <v>03360336</v>
      </c>
      <c r="B1685" s="6" t="s">
        <v>1986</v>
      </c>
      <c r="C1685" s="6" t="s">
        <v>1986</v>
      </c>
      <c r="D1685" s="6">
        <v>1676</v>
      </c>
      <c r="E1685" s="6">
        <v>336</v>
      </c>
      <c r="F1685" s="6" t="s">
        <v>1454</v>
      </c>
      <c r="G1685" s="6">
        <v>336</v>
      </c>
      <c r="H1685" s="6" t="s">
        <v>1017</v>
      </c>
      <c r="I1685" s="33">
        <v>89980250.507149994</v>
      </c>
      <c r="J1685" s="88">
        <v>0.99358203401849798</v>
      </c>
      <c r="K1685" s="89">
        <f>X1685</f>
        <v>92545801.942100003</v>
      </c>
      <c r="L1685" s="88">
        <f>IF(K1689&gt;0, K1685/K1689, 0)</f>
        <v>0.9954987489015279</v>
      </c>
      <c r="M1685" s="58"/>
      <c r="N1685" s="9">
        <f>ROUND(M1689*L1685,0)</f>
        <v>69831655</v>
      </c>
      <c r="O1685" s="9">
        <v>65671537</v>
      </c>
      <c r="P1685" s="9">
        <f>N1685-O1685</f>
        <v>4160118</v>
      </c>
      <c r="Q1685" s="40">
        <f t="shared" si="269"/>
        <v>6.334735244585489</v>
      </c>
      <c r="R1685" s="9">
        <v>5863</v>
      </c>
      <c r="S1685" s="9">
        <f t="shared" si="267"/>
        <v>5877</v>
      </c>
      <c r="T1685" s="90">
        <f t="shared" si="262"/>
        <v>336</v>
      </c>
      <c r="U1685" s="90">
        <f t="shared" si="263"/>
        <v>336</v>
      </c>
      <c r="V1685" s="373">
        <f t="shared" si="264"/>
        <v>1676</v>
      </c>
      <c r="W1685" s="90">
        <f t="shared" si="265"/>
        <v>5877</v>
      </c>
      <c r="X1685" s="90">
        <f t="shared" si="266"/>
        <v>92545801.942100003</v>
      </c>
      <c r="Y1685" s="141">
        <f t="shared" si="268"/>
        <v>1676</v>
      </c>
      <c r="Z1685" s="298">
        <v>336</v>
      </c>
      <c r="AA1685" s="299">
        <v>336</v>
      </c>
      <c r="AB1685" s="299">
        <v>1676</v>
      </c>
      <c r="AC1685" s="301">
        <v>5877</v>
      </c>
      <c r="AD1685" s="301">
        <v>92545801.942100003</v>
      </c>
      <c r="AE1685" s="126"/>
      <c r="AF1685" s="298"/>
      <c r="AG1685" s="299"/>
      <c r="AH1685" s="299"/>
      <c r="AI1685" s="301"/>
      <c r="AJ1685" s="301"/>
      <c r="AK1685" s="426"/>
      <c r="AL1685" s="298"/>
      <c r="AM1685" s="299"/>
      <c r="AN1685" s="299"/>
      <c r="AO1685" s="301"/>
      <c r="AP1685" s="301"/>
      <c r="AQ1685" s="426"/>
      <c r="AR1685" s="298"/>
      <c r="AS1685" s="299"/>
      <c r="AT1685" s="299"/>
      <c r="AU1685" s="301"/>
      <c r="AV1685" s="301"/>
      <c r="AW1685" s="88"/>
      <c r="AX1685" s="298"/>
      <c r="AY1685" s="299"/>
      <c r="AZ1685" s="299"/>
      <c r="BA1685" s="301"/>
      <c r="BB1685" s="301"/>
      <c r="BC1685" s="426"/>
      <c r="BD1685" s="298"/>
      <c r="BE1685" s="299"/>
      <c r="BF1685" s="299"/>
      <c r="BG1685" s="301"/>
      <c r="BH1685" s="301"/>
      <c r="BI1685" s="88"/>
      <c r="BJ1685" s="298"/>
      <c r="BK1685" s="299"/>
      <c r="BL1685" s="299"/>
      <c r="BM1685" s="301"/>
      <c r="BN1685" s="301"/>
      <c r="BO1685" s="88"/>
      <c r="BP1685" s="9"/>
      <c r="BS1685" s="81"/>
      <c r="BT1685" s="81"/>
      <c r="BV1685" s="9"/>
      <c r="BY1685" s="81"/>
      <c r="BZ1685" s="81"/>
      <c r="CB1685" s="9"/>
      <c r="CE1685" s="81"/>
      <c r="CF1685" s="81"/>
      <c r="CH1685" s="9"/>
      <c r="CK1685" s="81"/>
      <c r="CL1685" s="81"/>
      <c r="CR1685" s="9"/>
      <c r="CS1685" s="9"/>
      <c r="CT1685" s="9"/>
      <c r="CU1685" s="9"/>
      <c r="CV1685" s="9"/>
      <c r="CW1685" s="129"/>
      <c r="CX1685" s="9"/>
    </row>
    <row r="1686" spans="1:102">
      <c r="A1686" s="6" t="str">
        <f t="shared" si="261"/>
        <v>03360915</v>
      </c>
      <c r="B1686" s="6" t="s">
        <v>1986</v>
      </c>
      <c r="C1686" s="6" t="s">
        <v>2089</v>
      </c>
      <c r="D1686" s="6">
        <v>1677</v>
      </c>
      <c r="E1686" s="6">
        <v>336</v>
      </c>
      <c r="F1686" s="6" t="s">
        <v>1454</v>
      </c>
      <c r="G1686" s="6">
        <v>915</v>
      </c>
      <c r="H1686" s="6" t="s">
        <v>1119</v>
      </c>
      <c r="I1686" s="33">
        <v>581220.43977213639</v>
      </c>
      <c r="J1686" s="88">
        <v>6.4179659815020934E-3</v>
      </c>
      <c r="K1686" s="89">
        <f t="shared" si="260"/>
        <v>418455.46577584854</v>
      </c>
      <c r="L1686" s="88">
        <f>IF(K1689&gt;0, K1686/K1689, 0)</f>
        <v>4.5012510984721466E-3</v>
      </c>
      <c r="M1686" s="58"/>
      <c r="N1686" s="9">
        <f>ROUND(M1689*L1686,0)</f>
        <v>315751</v>
      </c>
      <c r="O1686" s="9">
        <v>424200</v>
      </c>
      <c r="P1686" s="9">
        <f>N1686-O1686</f>
        <v>-108449</v>
      </c>
      <c r="Q1686" s="40">
        <f t="shared" si="269"/>
        <v>-25.565535124941064</v>
      </c>
      <c r="R1686" s="9">
        <v>27.000000000269999</v>
      </c>
      <c r="S1686" s="9">
        <f t="shared" si="267"/>
        <v>19.00000000104</v>
      </c>
      <c r="T1686" s="90">
        <f t="shared" si="262"/>
        <v>336</v>
      </c>
      <c r="U1686" s="90">
        <f t="shared" si="263"/>
        <v>915</v>
      </c>
      <c r="V1686" s="373">
        <f t="shared" si="264"/>
        <v>1677</v>
      </c>
      <c r="W1686" s="90">
        <f t="shared" si="265"/>
        <v>19.00000000104</v>
      </c>
      <c r="X1686" s="90">
        <f t="shared" si="266"/>
        <v>418455.46577584854</v>
      </c>
      <c r="Y1686" s="141">
        <f t="shared" si="268"/>
        <v>1677</v>
      </c>
      <c r="Z1686" s="298">
        <v>336</v>
      </c>
      <c r="AA1686" s="299">
        <v>915</v>
      </c>
      <c r="AB1686" s="299">
        <v>1677</v>
      </c>
      <c r="AC1686" s="301">
        <v>19.00000000104</v>
      </c>
      <c r="AD1686" s="301">
        <v>418455.46577584854</v>
      </c>
      <c r="AE1686" s="126"/>
      <c r="AF1686" s="298"/>
      <c r="AG1686" s="299"/>
      <c r="AH1686" s="299"/>
      <c r="AI1686" s="301"/>
      <c r="AJ1686" s="301"/>
      <c r="AK1686" s="426"/>
      <c r="AL1686" s="298"/>
      <c r="AM1686" s="299"/>
      <c r="AN1686" s="299"/>
      <c r="AO1686" s="301"/>
      <c r="AP1686" s="301"/>
      <c r="AQ1686" s="426"/>
      <c r="AR1686" s="298"/>
      <c r="AS1686" s="299"/>
      <c r="AT1686" s="299"/>
      <c r="AU1686" s="301"/>
      <c r="AV1686" s="301"/>
      <c r="AW1686" s="88"/>
      <c r="AX1686" s="298"/>
      <c r="AY1686" s="299"/>
      <c r="AZ1686" s="299"/>
      <c r="BA1686" s="301"/>
      <c r="BB1686" s="301"/>
      <c r="BC1686" s="426"/>
      <c r="BD1686" s="298"/>
      <c r="BE1686" s="299"/>
      <c r="BF1686" s="299"/>
      <c r="BG1686" s="301"/>
      <c r="BH1686" s="301"/>
      <c r="BI1686" s="88"/>
      <c r="BJ1686" s="298"/>
      <c r="BK1686" s="299"/>
      <c r="BL1686" s="299"/>
      <c r="BM1686" s="301"/>
      <c r="BN1686" s="301"/>
      <c r="BO1686" s="88"/>
      <c r="BP1686" s="9"/>
      <c r="BS1686" s="81"/>
      <c r="BT1686" s="81"/>
      <c r="BV1686" s="9"/>
      <c r="BY1686" s="81"/>
      <c r="BZ1686" s="81"/>
      <c r="CB1686" s="9"/>
      <c r="CE1686" s="81"/>
      <c r="CF1686" s="81"/>
      <c r="CH1686" s="9"/>
      <c r="CK1686" s="81"/>
      <c r="CL1686" s="81"/>
      <c r="CR1686" s="9"/>
      <c r="CS1686" s="9"/>
      <c r="CT1686" s="9"/>
      <c r="CU1686" s="9"/>
      <c r="CV1686" s="9"/>
      <c r="CW1686" s="129"/>
      <c r="CX1686" s="9"/>
    </row>
    <row r="1687" spans="1:102">
      <c r="A1687" s="6" t="str">
        <f t="shared" si="261"/>
        <v>03360998</v>
      </c>
      <c r="B1687" s="6" t="s">
        <v>1986</v>
      </c>
      <c r="C1687" s="6" t="s">
        <v>2091</v>
      </c>
      <c r="D1687" s="6">
        <v>1678</v>
      </c>
      <c r="E1687" s="6">
        <v>336</v>
      </c>
      <c r="F1687" s="6" t="s">
        <v>1547</v>
      </c>
      <c r="G1687" s="6">
        <v>998</v>
      </c>
      <c r="H1687" s="6" t="s">
        <v>1547</v>
      </c>
      <c r="I1687" s="33">
        <v>0</v>
      </c>
      <c r="J1687" s="88">
        <v>0</v>
      </c>
      <c r="K1687" s="89">
        <f t="shared" si="260"/>
        <v>0</v>
      </c>
      <c r="L1687" s="88">
        <f>IF(K1689&gt;0, K1687/K1689, 0)</f>
        <v>0</v>
      </c>
      <c r="M1687" s="58"/>
      <c r="N1687" s="9">
        <f>ROUND(M1689*L1687,0)</f>
        <v>0</v>
      </c>
      <c r="O1687" s="9">
        <v>0</v>
      </c>
      <c r="P1687" s="9">
        <f>N1687-O1687</f>
        <v>0</v>
      </c>
      <c r="Q1687" s="40">
        <f t="shared" si="269"/>
        <v>0</v>
      </c>
      <c r="R1687" s="9">
        <v>0</v>
      </c>
      <c r="S1687" s="9">
        <f t="shared" si="267"/>
        <v>0</v>
      </c>
      <c r="T1687" s="90">
        <f t="shared" si="262"/>
        <v>336</v>
      </c>
      <c r="U1687" s="90">
        <f t="shared" si="263"/>
        <v>998</v>
      </c>
      <c r="V1687" s="373">
        <f t="shared" si="264"/>
        <v>1678</v>
      </c>
      <c r="W1687" s="90">
        <f t="shared" si="265"/>
        <v>0</v>
      </c>
      <c r="X1687" s="90">
        <f t="shared" si="266"/>
        <v>0</v>
      </c>
      <c r="Y1687" s="141">
        <f t="shared" si="268"/>
        <v>1678</v>
      </c>
      <c r="Z1687" s="298">
        <v>336</v>
      </c>
      <c r="AA1687" s="299">
        <v>998</v>
      </c>
      <c r="AB1687" s="299">
        <v>1678</v>
      </c>
      <c r="AC1687" s="301">
        <v>0</v>
      </c>
      <c r="AD1687" s="301">
        <v>0</v>
      </c>
      <c r="AE1687" s="126"/>
      <c r="AF1687" s="298"/>
      <c r="AG1687" s="299"/>
      <c r="AH1687" s="299"/>
      <c r="AI1687" s="301"/>
      <c r="AJ1687" s="301"/>
      <c r="AK1687" s="426"/>
      <c r="AL1687" s="298"/>
      <c r="AM1687" s="299"/>
      <c r="AN1687" s="299"/>
      <c r="AO1687" s="301"/>
      <c r="AP1687" s="301"/>
      <c r="AQ1687" s="426"/>
      <c r="AR1687" s="298"/>
      <c r="AS1687" s="299"/>
      <c r="AT1687" s="299"/>
      <c r="AU1687" s="301"/>
      <c r="AV1687" s="301"/>
      <c r="AW1687" s="88"/>
      <c r="AX1687" s="298"/>
      <c r="AY1687" s="299"/>
      <c r="AZ1687" s="299"/>
      <c r="BA1687" s="301"/>
      <c r="BB1687" s="301"/>
      <c r="BC1687" s="426"/>
      <c r="BD1687" s="298"/>
      <c r="BE1687" s="299"/>
      <c r="BF1687" s="299"/>
      <c r="BG1687" s="301"/>
      <c r="BH1687" s="301"/>
      <c r="BI1687" s="88"/>
      <c r="BJ1687" s="298"/>
      <c r="BK1687" s="299"/>
      <c r="BL1687" s="299"/>
      <c r="BM1687" s="301"/>
      <c r="BN1687" s="301"/>
      <c r="BO1687" s="88"/>
      <c r="BP1687" s="9"/>
      <c r="BS1687" s="81"/>
      <c r="BT1687" s="81"/>
      <c r="BV1687" s="9"/>
      <c r="BY1687" s="81"/>
      <c r="BZ1687" s="81"/>
      <c r="CB1687" s="9"/>
      <c r="CE1687" s="81"/>
      <c r="CF1687" s="81"/>
      <c r="CH1687" s="9"/>
      <c r="CK1687" s="81"/>
      <c r="CL1687" s="81"/>
      <c r="CR1687" s="9"/>
      <c r="CS1687" s="9"/>
      <c r="CT1687" s="9"/>
      <c r="CU1687" s="9"/>
      <c r="CV1687" s="9"/>
      <c r="CW1687" s="129"/>
      <c r="CX1687" s="9"/>
    </row>
    <row r="1688" spans="1:102">
      <c r="A1688" s="6" t="str">
        <f t="shared" si="261"/>
        <v>03360998</v>
      </c>
      <c r="B1688" s="6" t="s">
        <v>1986</v>
      </c>
      <c r="C1688" s="6" t="s">
        <v>2091</v>
      </c>
      <c r="D1688" s="6">
        <v>1679</v>
      </c>
      <c r="E1688" s="6">
        <v>336</v>
      </c>
      <c r="F1688" s="6" t="s">
        <v>1547</v>
      </c>
      <c r="G1688" s="6">
        <v>998</v>
      </c>
      <c r="H1688" s="6" t="s">
        <v>1547</v>
      </c>
      <c r="I1688" s="33">
        <v>0</v>
      </c>
      <c r="J1688" s="88">
        <v>0</v>
      </c>
      <c r="K1688" s="89">
        <f t="shared" si="260"/>
        <v>0</v>
      </c>
      <c r="L1688" s="88">
        <f>IF(K1689&gt;0, K1688/K1689, 0)</f>
        <v>0</v>
      </c>
      <c r="M1688" s="58"/>
      <c r="N1688" s="9">
        <f>ROUND(M1689*L1688,0)</f>
        <v>0</v>
      </c>
      <c r="O1688" s="9">
        <v>0</v>
      </c>
      <c r="P1688" s="9">
        <f>N1688-O1688</f>
        <v>0</v>
      </c>
      <c r="Q1688" s="40">
        <f t="shared" si="269"/>
        <v>0</v>
      </c>
      <c r="R1688" s="9">
        <v>0</v>
      </c>
      <c r="S1688" s="9">
        <f t="shared" si="267"/>
        <v>0</v>
      </c>
      <c r="T1688" s="90">
        <f t="shared" si="262"/>
        <v>336</v>
      </c>
      <c r="U1688" s="90">
        <f t="shared" si="263"/>
        <v>998</v>
      </c>
      <c r="V1688" s="373">
        <f t="shared" si="264"/>
        <v>1679</v>
      </c>
      <c r="W1688" s="90">
        <f t="shared" si="265"/>
        <v>0</v>
      </c>
      <c r="X1688" s="90">
        <f t="shared" si="266"/>
        <v>0</v>
      </c>
      <c r="Y1688" s="141">
        <f t="shared" si="268"/>
        <v>1679</v>
      </c>
      <c r="Z1688" s="298">
        <v>336</v>
      </c>
      <c r="AA1688" s="299">
        <v>998</v>
      </c>
      <c r="AB1688" s="299">
        <v>1679</v>
      </c>
      <c r="AC1688" s="301">
        <v>0</v>
      </c>
      <c r="AD1688" s="301">
        <v>0</v>
      </c>
      <c r="AE1688" s="126"/>
      <c r="AF1688" s="298"/>
      <c r="AG1688" s="299"/>
      <c r="AH1688" s="299"/>
      <c r="AI1688" s="301"/>
      <c r="AJ1688" s="301"/>
      <c r="AK1688" s="426"/>
      <c r="AL1688" s="298"/>
      <c r="AM1688" s="299"/>
      <c r="AN1688" s="299"/>
      <c r="AO1688" s="301"/>
      <c r="AP1688" s="301"/>
      <c r="AQ1688" s="426"/>
      <c r="AR1688" s="298"/>
      <c r="AS1688" s="299"/>
      <c r="AT1688" s="299"/>
      <c r="AU1688" s="301"/>
      <c r="AV1688" s="301"/>
      <c r="AW1688" s="88"/>
      <c r="AX1688" s="298"/>
      <c r="AY1688" s="299"/>
      <c r="AZ1688" s="299"/>
      <c r="BA1688" s="301"/>
      <c r="BB1688" s="301"/>
      <c r="BC1688" s="426"/>
      <c r="BD1688" s="298"/>
      <c r="BE1688" s="299"/>
      <c r="BF1688" s="299"/>
      <c r="BG1688" s="301"/>
      <c r="BH1688" s="301"/>
      <c r="BI1688" s="88"/>
      <c r="BJ1688" s="298"/>
      <c r="BK1688" s="299"/>
      <c r="BL1688" s="299"/>
      <c r="BM1688" s="301"/>
      <c r="BN1688" s="301"/>
      <c r="BO1688" s="88"/>
      <c r="BP1688" s="9"/>
      <c r="BS1688" s="81"/>
      <c r="BT1688" s="81"/>
      <c r="BV1688" s="9"/>
      <c r="BY1688" s="81"/>
      <c r="BZ1688" s="81"/>
      <c r="CB1688" s="9"/>
      <c r="CE1688" s="81"/>
      <c r="CF1688" s="81"/>
      <c r="CH1688" s="9"/>
      <c r="CK1688" s="81"/>
      <c r="CL1688" s="81"/>
      <c r="CR1688" s="9"/>
      <c r="CS1688" s="9"/>
      <c r="CT1688" s="9"/>
      <c r="CU1688" s="9"/>
      <c r="CV1688" s="9"/>
      <c r="CW1688" s="129"/>
      <c r="CX1688" s="9"/>
    </row>
    <row r="1689" spans="1:102">
      <c r="A1689" s="6" t="str">
        <f t="shared" si="261"/>
        <v>03360999</v>
      </c>
      <c r="B1689" s="6" t="s">
        <v>1986</v>
      </c>
      <c r="C1689" s="6" t="s">
        <v>2092</v>
      </c>
      <c r="D1689" s="6">
        <v>1680</v>
      </c>
      <c r="E1689" s="10">
        <v>336</v>
      </c>
      <c r="F1689" s="10" t="s">
        <v>1454</v>
      </c>
      <c r="G1689" s="10">
        <v>999</v>
      </c>
      <c r="H1689" s="10" t="s">
        <v>593</v>
      </c>
      <c r="I1689" s="92">
        <v>90561470.946922123</v>
      </c>
      <c r="J1689" s="472">
        <v>1</v>
      </c>
      <c r="K1689" s="53">
        <f>SUM(K1685:K1688)</f>
        <v>92964257.407875851</v>
      </c>
      <c r="L1689" s="91">
        <f>SUM(L1685:L1688)</f>
        <v>1</v>
      </c>
      <c r="M1689" s="79">
        <f>VLOOKUP(E1689,town351,24)</f>
        <v>70147406</v>
      </c>
      <c r="N1689" s="79">
        <f>SUM(N1685:N1688)</f>
        <v>70147406</v>
      </c>
      <c r="O1689" s="79">
        <v>66095737</v>
      </c>
      <c r="P1689" s="79">
        <f>SUM(P1685:P1688)</f>
        <v>4051669</v>
      </c>
      <c r="Q1689" s="39">
        <f t="shared" si="269"/>
        <v>6.1300004870208191</v>
      </c>
      <c r="R1689" s="9">
        <v>5890.0000000002701</v>
      </c>
      <c r="S1689" s="9">
        <f t="shared" si="267"/>
        <v>5896.0000000010396</v>
      </c>
      <c r="T1689" s="90">
        <f t="shared" si="262"/>
        <v>336</v>
      </c>
      <c r="U1689" s="90">
        <f t="shared" si="263"/>
        <v>999</v>
      </c>
      <c r="V1689" s="373">
        <f t="shared" si="264"/>
        <v>1680</v>
      </c>
      <c r="W1689" s="90">
        <f t="shared" si="265"/>
        <v>5896.0000000010396</v>
      </c>
      <c r="X1689" s="90">
        <f t="shared" si="266"/>
        <v>92964257.407875851</v>
      </c>
      <c r="Y1689" s="141">
        <f t="shared" si="268"/>
        <v>1680</v>
      </c>
      <c r="Z1689" s="298">
        <v>336</v>
      </c>
      <c r="AA1689" s="299">
        <v>999</v>
      </c>
      <c r="AB1689" s="299">
        <v>1680</v>
      </c>
      <c r="AC1689" s="301">
        <v>5896.0000000010396</v>
      </c>
      <c r="AD1689" s="301">
        <v>92964257.407875851</v>
      </c>
      <c r="AE1689" s="126"/>
      <c r="AF1689" s="298"/>
      <c r="AG1689" s="299"/>
      <c r="AH1689" s="299"/>
      <c r="AI1689" s="301"/>
      <c r="AJ1689" s="301"/>
      <c r="AK1689" s="426"/>
      <c r="AL1689" s="298"/>
      <c r="AM1689" s="299"/>
      <c r="AN1689" s="299"/>
      <c r="AO1689" s="301"/>
      <c r="AP1689" s="301"/>
      <c r="AQ1689" s="426"/>
      <c r="AR1689" s="298"/>
      <c r="AS1689" s="299"/>
      <c r="AT1689" s="299"/>
      <c r="AU1689" s="301"/>
      <c r="AV1689" s="301"/>
      <c r="AW1689" s="91"/>
      <c r="AX1689" s="298"/>
      <c r="AY1689" s="299"/>
      <c r="AZ1689" s="299"/>
      <c r="BA1689" s="301"/>
      <c r="BB1689" s="301"/>
      <c r="BC1689" s="426"/>
      <c r="BD1689" s="298"/>
      <c r="BE1689" s="299"/>
      <c r="BF1689" s="299"/>
      <c r="BG1689" s="301"/>
      <c r="BH1689" s="301"/>
      <c r="BI1689" s="91"/>
      <c r="BJ1689" s="298"/>
      <c r="BK1689" s="299"/>
      <c r="BL1689" s="299"/>
      <c r="BM1689" s="301"/>
      <c r="BN1689" s="301"/>
      <c r="BO1689" s="91"/>
      <c r="BP1689" s="9"/>
      <c r="BS1689" s="81"/>
      <c r="BT1689" s="81"/>
      <c r="BV1689" s="9"/>
      <c r="BY1689" s="81"/>
      <c r="BZ1689" s="81"/>
      <c r="CB1689" s="9"/>
      <c r="CE1689" s="81"/>
      <c r="CF1689" s="81"/>
      <c r="CH1689" s="9"/>
      <c r="CK1689" s="81"/>
      <c r="CL1689" s="81"/>
      <c r="CR1689" s="9"/>
      <c r="CS1689" s="9"/>
      <c r="CT1689" s="9"/>
      <c r="CU1689" s="9"/>
      <c r="CV1689" s="9"/>
      <c r="CW1689" s="129"/>
      <c r="CX1689" s="9"/>
    </row>
    <row r="1690" spans="1:102">
      <c r="A1690" s="6" t="str">
        <f t="shared" si="261"/>
        <v>03370337</v>
      </c>
      <c r="B1690" s="6" t="s">
        <v>1987</v>
      </c>
      <c r="C1690" s="6" t="s">
        <v>1987</v>
      </c>
      <c r="D1690" s="6">
        <v>1681</v>
      </c>
      <c r="E1690" s="6">
        <v>337</v>
      </c>
      <c r="F1690" s="6" t="s">
        <v>1455</v>
      </c>
      <c r="G1690" s="6">
        <v>337</v>
      </c>
      <c r="H1690" s="6" t="s">
        <v>1018</v>
      </c>
      <c r="I1690" s="33">
        <v>1127263.1800000002</v>
      </c>
      <c r="J1690" s="88">
        <v>0.48389222278773575</v>
      </c>
      <c r="K1690" s="89">
        <f>X1690</f>
        <v>1124388.7500000002</v>
      </c>
      <c r="L1690" s="88">
        <f>IF(K1694&gt;0, K1690/K1694, 0)</f>
        <v>0.49224496412837748</v>
      </c>
      <c r="M1690" s="58"/>
      <c r="N1690" s="9">
        <f>ROUND(M1694*L1690,0)</f>
        <v>859258</v>
      </c>
      <c r="O1690" s="9">
        <v>797920</v>
      </c>
      <c r="P1690" s="9">
        <f>N1690-O1690</f>
        <v>61338</v>
      </c>
      <c r="Q1690" s="40">
        <f t="shared" si="269"/>
        <v>7.6872368157208744</v>
      </c>
      <c r="R1690" s="9">
        <v>85</v>
      </c>
      <c r="S1690" s="9">
        <f t="shared" si="267"/>
        <v>85</v>
      </c>
      <c r="T1690" s="90">
        <f t="shared" si="262"/>
        <v>337</v>
      </c>
      <c r="U1690" s="90">
        <f t="shared" si="263"/>
        <v>337</v>
      </c>
      <c r="V1690" s="373">
        <f t="shared" si="264"/>
        <v>1681</v>
      </c>
      <c r="W1690" s="90">
        <f t="shared" si="265"/>
        <v>85</v>
      </c>
      <c r="X1690" s="90">
        <f t="shared" si="266"/>
        <v>1124388.7500000002</v>
      </c>
      <c r="Y1690" s="141">
        <f t="shared" si="268"/>
        <v>1681</v>
      </c>
      <c r="Z1690" s="298">
        <v>337</v>
      </c>
      <c r="AA1690" s="299">
        <v>337</v>
      </c>
      <c r="AB1690" s="299">
        <v>1681</v>
      </c>
      <c r="AC1690" s="301">
        <v>85</v>
      </c>
      <c r="AD1690" s="301">
        <v>1124388.7500000002</v>
      </c>
      <c r="AE1690" s="126"/>
      <c r="AF1690" s="298"/>
      <c r="AG1690" s="299"/>
      <c r="AH1690" s="299"/>
      <c r="AI1690" s="301"/>
      <c r="AJ1690" s="301"/>
      <c r="AK1690" s="426"/>
      <c r="AL1690" s="298"/>
      <c r="AM1690" s="299"/>
      <c r="AN1690" s="299"/>
      <c r="AO1690" s="301"/>
      <c r="AP1690" s="301"/>
      <c r="AQ1690" s="426"/>
      <c r="AR1690" s="298"/>
      <c r="AS1690" s="299"/>
      <c r="AT1690" s="299"/>
      <c r="AU1690" s="301"/>
      <c r="AV1690" s="301"/>
      <c r="AW1690" s="88"/>
      <c r="AX1690" s="298"/>
      <c r="AY1690" s="299"/>
      <c r="AZ1690" s="299"/>
      <c r="BA1690" s="301"/>
      <c r="BB1690" s="301"/>
      <c r="BC1690" s="426"/>
      <c r="BD1690" s="298"/>
      <c r="BE1690" s="299"/>
      <c r="BF1690" s="299"/>
      <c r="BG1690" s="301"/>
      <c r="BH1690" s="301"/>
      <c r="BI1690" s="88"/>
      <c r="BJ1690" s="298"/>
      <c r="BK1690" s="299"/>
      <c r="BL1690" s="299"/>
      <c r="BM1690" s="301"/>
      <c r="BN1690" s="301"/>
      <c r="BO1690" s="88"/>
      <c r="BP1690" s="9"/>
      <c r="BS1690" s="81"/>
      <c r="BT1690" s="81"/>
      <c r="BV1690" s="9"/>
      <c r="BY1690" s="81"/>
      <c r="BZ1690" s="81"/>
      <c r="CB1690" s="9"/>
      <c r="CE1690" s="81"/>
      <c r="CF1690" s="81"/>
      <c r="CH1690" s="9"/>
      <c r="CK1690" s="81"/>
      <c r="CL1690" s="81"/>
      <c r="CR1690" s="9"/>
      <c r="CS1690" s="9"/>
      <c r="CT1690" s="9"/>
      <c r="CU1690" s="9"/>
      <c r="CV1690" s="9"/>
      <c r="CW1690" s="129"/>
      <c r="CX1690" s="9"/>
    </row>
    <row r="1691" spans="1:102">
      <c r="A1691" s="6" t="str">
        <f t="shared" si="261"/>
        <v>03370670</v>
      </c>
      <c r="B1691" s="6" t="s">
        <v>1987</v>
      </c>
      <c r="C1691" s="6" t="s">
        <v>2024</v>
      </c>
      <c r="D1691" s="6">
        <v>1682</v>
      </c>
      <c r="E1691" s="6">
        <v>337</v>
      </c>
      <c r="F1691" s="6" t="s">
        <v>1455</v>
      </c>
      <c r="G1691" s="6">
        <v>670</v>
      </c>
      <c r="H1691" s="6" t="s">
        <v>1054</v>
      </c>
      <c r="I1691" s="33">
        <v>732421.1329079537</v>
      </c>
      <c r="J1691" s="88">
        <v>0.31440119424422369</v>
      </c>
      <c r="K1691" s="89">
        <f t="shared" si="260"/>
        <v>766392.17332566937</v>
      </c>
      <c r="L1691" s="88">
        <f>IF(K1694&gt;0, K1691/K1694, 0)</f>
        <v>0.33551802067297748</v>
      </c>
      <c r="M1691" s="58"/>
      <c r="N1691" s="9">
        <f>ROUND(M1694*L1691,0)</f>
        <v>585677</v>
      </c>
      <c r="O1691" s="9">
        <v>518436</v>
      </c>
      <c r="P1691" s="9">
        <f>N1691-O1691</f>
        <v>67241</v>
      </c>
      <c r="Q1691" s="40">
        <f t="shared" si="269"/>
        <v>12.969971221134335</v>
      </c>
      <c r="R1691" s="9">
        <v>52.106776181599997</v>
      </c>
      <c r="S1691" s="9">
        <f t="shared" si="267"/>
        <v>53.111111110579998</v>
      </c>
      <c r="T1691" s="90">
        <f t="shared" si="262"/>
        <v>337</v>
      </c>
      <c r="U1691" s="90">
        <f t="shared" si="263"/>
        <v>670</v>
      </c>
      <c r="V1691" s="373">
        <f t="shared" si="264"/>
        <v>1682</v>
      </c>
      <c r="W1691" s="90">
        <f t="shared" si="265"/>
        <v>53.111111110579998</v>
      </c>
      <c r="X1691" s="90">
        <f t="shared" si="266"/>
        <v>766392.17332566937</v>
      </c>
      <c r="Y1691" s="141">
        <f t="shared" si="268"/>
        <v>1682</v>
      </c>
      <c r="Z1691" s="298">
        <v>337</v>
      </c>
      <c r="AA1691" s="299">
        <v>670</v>
      </c>
      <c r="AB1691" s="299">
        <v>1682</v>
      </c>
      <c r="AC1691" s="301">
        <v>53.111111110579998</v>
      </c>
      <c r="AD1691" s="301">
        <v>766392.17332566937</v>
      </c>
      <c r="AE1691" s="126"/>
      <c r="AF1691" s="298"/>
      <c r="AG1691" s="299"/>
      <c r="AH1691" s="299"/>
      <c r="AI1691" s="301"/>
      <c r="AJ1691" s="301"/>
      <c r="AK1691" s="426"/>
      <c r="AL1691" s="298"/>
      <c r="AM1691" s="299"/>
      <c r="AN1691" s="299"/>
      <c r="AO1691" s="301"/>
      <c r="AP1691" s="301"/>
      <c r="AQ1691" s="426"/>
      <c r="AR1691" s="298"/>
      <c r="AS1691" s="299"/>
      <c r="AT1691" s="299"/>
      <c r="AU1691" s="301"/>
      <c r="AV1691" s="301"/>
      <c r="AW1691" s="88"/>
      <c r="AX1691" s="298"/>
      <c r="AY1691" s="299"/>
      <c r="AZ1691" s="299"/>
      <c r="BA1691" s="301"/>
      <c r="BB1691" s="301"/>
      <c r="BC1691" s="426"/>
      <c r="BD1691" s="298"/>
      <c r="BE1691" s="299"/>
      <c r="BF1691" s="299"/>
      <c r="BG1691" s="301"/>
      <c r="BH1691" s="301"/>
      <c r="BI1691" s="88"/>
      <c r="BJ1691" s="298"/>
      <c r="BK1691" s="299"/>
      <c r="BL1691" s="299"/>
      <c r="BM1691" s="301"/>
      <c r="BN1691" s="301"/>
      <c r="BO1691" s="88"/>
      <c r="BP1691" s="9"/>
      <c r="BS1691" s="81"/>
      <c r="BT1691" s="81"/>
      <c r="BV1691" s="9"/>
      <c r="BY1691" s="81"/>
      <c r="BZ1691" s="81"/>
      <c r="CB1691" s="9"/>
      <c r="CE1691" s="81"/>
      <c r="CF1691" s="81"/>
      <c r="CH1691" s="9"/>
      <c r="CK1691" s="81"/>
      <c r="CL1691" s="81"/>
      <c r="CR1691" s="9"/>
      <c r="CS1691" s="9"/>
      <c r="CT1691" s="9"/>
      <c r="CU1691" s="9"/>
      <c r="CV1691" s="9"/>
      <c r="CW1691" s="129"/>
      <c r="CX1691" s="9"/>
    </row>
    <row r="1692" spans="1:102">
      <c r="A1692" s="6" t="str">
        <f t="shared" si="261"/>
        <v>03370818</v>
      </c>
      <c r="B1692" s="6" t="s">
        <v>1987</v>
      </c>
      <c r="C1692" s="6" t="s">
        <v>2068</v>
      </c>
      <c r="D1692" s="6">
        <v>1683</v>
      </c>
      <c r="E1692" s="6">
        <v>337</v>
      </c>
      <c r="F1692" s="6" t="s">
        <v>1455</v>
      </c>
      <c r="G1692" s="6">
        <v>818</v>
      </c>
      <c r="H1692" s="6" t="s">
        <v>1098</v>
      </c>
      <c r="I1692" s="33">
        <v>469890.59430126089</v>
      </c>
      <c r="J1692" s="88">
        <v>0.20170658296804056</v>
      </c>
      <c r="K1692" s="89">
        <f t="shared" si="260"/>
        <v>393424.77086759731</v>
      </c>
      <c r="L1692" s="88">
        <f>IF(K1694&gt;0, K1692/K1694, 0)</f>
        <v>0.17223701519864507</v>
      </c>
      <c r="M1692" s="58"/>
      <c r="N1692" s="9">
        <f>ROUND(M1694*L1692,0)</f>
        <v>300655</v>
      </c>
      <c r="O1692" s="9">
        <v>332606</v>
      </c>
      <c r="P1692" s="9">
        <f>N1692-O1692</f>
        <v>-31951</v>
      </c>
      <c r="Q1692" s="40">
        <f t="shared" si="269"/>
        <v>-9.6062608611991358</v>
      </c>
      <c r="R1692" s="9">
        <v>22.0000000024</v>
      </c>
      <c r="S1692" s="9">
        <f t="shared" si="267"/>
        <v>17.999999998830003</v>
      </c>
      <c r="T1692" s="90">
        <f t="shared" si="262"/>
        <v>337</v>
      </c>
      <c r="U1692" s="90">
        <f t="shared" si="263"/>
        <v>818</v>
      </c>
      <c r="V1692" s="373">
        <f t="shared" si="264"/>
        <v>1683</v>
      </c>
      <c r="W1692" s="90">
        <f t="shared" si="265"/>
        <v>17.999999998830003</v>
      </c>
      <c r="X1692" s="90">
        <f t="shared" si="266"/>
        <v>393424.77086759731</v>
      </c>
      <c r="Y1692" s="141">
        <f t="shared" si="268"/>
        <v>1683</v>
      </c>
      <c r="Z1692" s="298">
        <v>337</v>
      </c>
      <c r="AA1692" s="299">
        <v>818</v>
      </c>
      <c r="AB1692" s="299">
        <v>1683</v>
      </c>
      <c r="AC1692" s="301">
        <v>17.999999998830003</v>
      </c>
      <c r="AD1692" s="301">
        <v>393424.77086759731</v>
      </c>
      <c r="AE1692" s="126"/>
      <c r="AF1692" s="298"/>
      <c r="AG1692" s="299"/>
      <c r="AH1692" s="299"/>
      <c r="AI1692" s="301"/>
      <c r="AJ1692" s="301"/>
      <c r="AK1692" s="426"/>
      <c r="AL1692" s="298"/>
      <c r="AM1692" s="299"/>
      <c r="AN1692" s="299"/>
      <c r="AO1692" s="301"/>
      <c r="AP1692" s="301"/>
      <c r="AQ1692" s="426"/>
      <c r="AR1692" s="298"/>
      <c r="AS1692" s="299"/>
      <c r="AT1692" s="299"/>
      <c r="AU1692" s="301"/>
      <c r="AV1692" s="301"/>
      <c r="AW1692" s="88"/>
      <c r="AX1692" s="298"/>
      <c r="AY1692" s="299"/>
      <c r="AZ1692" s="299"/>
      <c r="BA1692" s="301"/>
      <c r="BB1692" s="301"/>
      <c r="BC1692" s="426"/>
      <c r="BD1692" s="298"/>
      <c r="BE1692" s="299"/>
      <c r="BF1692" s="299"/>
      <c r="BG1692" s="301"/>
      <c r="BH1692" s="301"/>
      <c r="BI1692" s="88"/>
      <c r="BJ1692" s="298"/>
      <c r="BK1692" s="299"/>
      <c r="BL1692" s="299"/>
      <c r="BM1692" s="301"/>
      <c r="BN1692" s="301"/>
      <c r="BO1692" s="88"/>
      <c r="BP1692" s="9"/>
      <c r="BS1692" s="81"/>
      <c r="BT1692" s="81"/>
      <c r="BV1692" s="9"/>
      <c r="BY1692" s="81"/>
      <c r="BZ1692" s="81"/>
      <c r="CB1692" s="9"/>
      <c r="CE1692" s="81"/>
      <c r="CF1692" s="81"/>
      <c r="CH1692" s="9"/>
      <c r="CK1692" s="81"/>
      <c r="CL1692" s="81"/>
      <c r="CR1692" s="9"/>
      <c r="CS1692" s="9"/>
      <c r="CT1692" s="9"/>
      <c r="CU1692" s="9"/>
      <c r="CV1692" s="9"/>
      <c r="CW1692" s="129"/>
      <c r="CX1692" s="9"/>
    </row>
    <row r="1693" spans="1:102">
      <c r="A1693" s="6" t="str">
        <f t="shared" si="261"/>
        <v>03370998</v>
      </c>
      <c r="B1693" s="6" t="s">
        <v>1987</v>
      </c>
      <c r="C1693" s="6" t="s">
        <v>2091</v>
      </c>
      <c r="D1693" s="6">
        <v>1684</v>
      </c>
      <c r="E1693" s="6">
        <v>337</v>
      </c>
      <c r="F1693" s="6" t="s">
        <v>1547</v>
      </c>
      <c r="G1693" s="6">
        <v>998</v>
      </c>
      <c r="H1693" s="6" t="s">
        <v>1547</v>
      </c>
      <c r="I1693" s="33">
        <v>0</v>
      </c>
      <c r="J1693" s="88">
        <v>0</v>
      </c>
      <c r="K1693" s="89">
        <f t="shared" si="260"/>
        <v>0</v>
      </c>
      <c r="L1693" s="88">
        <f>IF(K1694&gt;0, K1693/K1694, 0)</f>
        <v>0</v>
      </c>
      <c r="M1693" s="58"/>
      <c r="N1693" s="9">
        <f>ROUND(M1694*L1693,0)</f>
        <v>0</v>
      </c>
      <c r="O1693" s="9">
        <v>0</v>
      </c>
      <c r="P1693" s="9">
        <f>N1693-O1693</f>
        <v>0</v>
      </c>
      <c r="Q1693" s="40">
        <f t="shared" si="269"/>
        <v>0</v>
      </c>
      <c r="R1693" s="9">
        <v>0</v>
      </c>
      <c r="S1693" s="9">
        <f t="shared" si="267"/>
        <v>0</v>
      </c>
      <c r="T1693" s="90">
        <f t="shared" si="262"/>
        <v>337</v>
      </c>
      <c r="U1693" s="90">
        <f t="shared" si="263"/>
        <v>998</v>
      </c>
      <c r="V1693" s="373">
        <f t="shared" si="264"/>
        <v>1684</v>
      </c>
      <c r="W1693" s="90">
        <f t="shared" si="265"/>
        <v>0</v>
      </c>
      <c r="X1693" s="90">
        <f t="shared" si="266"/>
        <v>0</v>
      </c>
      <c r="Y1693" s="141">
        <f t="shared" si="268"/>
        <v>1684</v>
      </c>
      <c r="Z1693" s="298">
        <v>337</v>
      </c>
      <c r="AA1693" s="299">
        <v>998</v>
      </c>
      <c r="AB1693" s="299">
        <v>1684</v>
      </c>
      <c r="AC1693" s="301">
        <v>0</v>
      </c>
      <c r="AD1693" s="301">
        <v>0</v>
      </c>
      <c r="AE1693" s="126"/>
      <c r="AF1693" s="298"/>
      <c r="AG1693" s="299"/>
      <c r="AH1693" s="299"/>
      <c r="AI1693" s="301"/>
      <c r="AJ1693" s="301"/>
      <c r="AK1693" s="426"/>
      <c r="AL1693" s="298"/>
      <c r="AM1693" s="299"/>
      <c r="AN1693" s="299"/>
      <c r="AO1693" s="301"/>
      <c r="AP1693" s="301"/>
      <c r="AQ1693" s="426"/>
      <c r="AR1693" s="298"/>
      <c r="AS1693" s="299"/>
      <c r="AT1693" s="299"/>
      <c r="AU1693" s="301"/>
      <c r="AV1693" s="301"/>
      <c r="AW1693" s="88"/>
      <c r="AX1693" s="298"/>
      <c r="AY1693" s="299"/>
      <c r="AZ1693" s="299"/>
      <c r="BA1693" s="301"/>
      <c r="BB1693" s="301"/>
      <c r="BC1693" s="426"/>
      <c r="BD1693" s="298"/>
      <c r="BE1693" s="299"/>
      <c r="BF1693" s="299"/>
      <c r="BG1693" s="301"/>
      <c r="BH1693" s="301"/>
      <c r="BI1693" s="88"/>
      <c r="BJ1693" s="298"/>
      <c r="BK1693" s="299"/>
      <c r="BL1693" s="299"/>
      <c r="BM1693" s="301"/>
      <c r="BN1693" s="301"/>
      <c r="BO1693" s="88"/>
      <c r="BP1693" s="9"/>
      <c r="BS1693" s="81"/>
      <c r="BT1693" s="81"/>
      <c r="BV1693" s="9"/>
      <c r="BY1693" s="81"/>
      <c r="BZ1693" s="81"/>
      <c r="CB1693" s="9"/>
      <c r="CE1693" s="81"/>
      <c r="CF1693" s="81"/>
      <c r="CH1693" s="9"/>
      <c r="CK1693" s="81"/>
      <c r="CL1693" s="81"/>
      <c r="CR1693" s="9"/>
      <c r="CS1693" s="9"/>
      <c r="CT1693" s="9"/>
      <c r="CU1693" s="9"/>
      <c r="CV1693" s="9"/>
      <c r="CW1693" s="129"/>
      <c r="CX1693" s="9"/>
    </row>
    <row r="1694" spans="1:102">
      <c r="A1694" s="6" t="str">
        <f t="shared" si="261"/>
        <v>03370999</v>
      </c>
      <c r="B1694" s="6" t="s">
        <v>1987</v>
      </c>
      <c r="C1694" s="6" t="s">
        <v>2092</v>
      </c>
      <c r="D1694" s="6">
        <v>1685</v>
      </c>
      <c r="E1694" s="10">
        <v>337</v>
      </c>
      <c r="F1694" s="10" t="s">
        <v>1455</v>
      </c>
      <c r="G1694" s="10">
        <v>999</v>
      </c>
      <c r="H1694" s="10" t="s">
        <v>593</v>
      </c>
      <c r="I1694" s="92">
        <v>2329574.9072092148</v>
      </c>
      <c r="J1694" s="472">
        <v>1</v>
      </c>
      <c r="K1694" s="53">
        <f>SUM(K1690:K1693)</f>
        <v>2284205.6941932668</v>
      </c>
      <c r="L1694" s="91">
        <f>SUM(L1690:L1693)</f>
        <v>1</v>
      </c>
      <c r="M1694" s="79">
        <f>VLOOKUP(E1694,town351,24)</f>
        <v>1745591</v>
      </c>
      <c r="N1694" s="79">
        <f>SUM(N1690:N1693)</f>
        <v>1745590</v>
      </c>
      <c r="O1694" s="79">
        <v>1648962</v>
      </c>
      <c r="P1694" s="79">
        <f>SUM(P1690:P1693)</f>
        <v>96628</v>
      </c>
      <c r="Q1694" s="39">
        <f t="shared" si="269"/>
        <v>5.8599288522112696</v>
      </c>
      <c r="R1694" s="9">
        <v>159.10677618400001</v>
      </c>
      <c r="S1694" s="9">
        <f t="shared" si="267"/>
        <v>156.11111110940999</v>
      </c>
      <c r="T1694" s="90">
        <f t="shared" si="262"/>
        <v>337</v>
      </c>
      <c r="U1694" s="90">
        <f t="shared" si="263"/>
        <v>999</v>
      </c>
      <c r="V1694" s="373">
        <f t="shared" si="264"/>
        <v>1685</v>
      </c>
      <c r="W1694" s="90">
        <f t="shared" si="265"/>
        <v>156.11111110940999</v>
      </c>
      <c r="X1694" s="90">
        <f t="shared" si="266"/>
        <v>2284205.6941932668</v>
      </c>
      <c r="Y1694" s="141">
        <f t="shared" si="268"/>
        <v>1685</v>
      </c>
      <c r="Z1694" s="298">
        <v>337</v>
      </c>
      <c r="AA1694" s="299">
        <v>999</v>
      </c>
      <c r="AB1694" s="299">
        <v>1685</v>
      </c>
      <c r="AC1694" s="301">
        <v>156.11111110940999</v>
      </c>
      <c r="AD1694" s="301">
        <v>2284205.6941932668</v>
      </c>
      <c r="AE1694" s="126"/>
      <c r="AF1694" s="298"/>
      <c r="AG1694" s="299"/>
      <c r="AH1694" s="299"/>
      <c r="AI1694" s="301"/>
      <c r="AJ1694" s="301"/>
      <c r="AK1694" s="426"/>
      <c r="AL1694" s="298"/>
      <c r="AM1694" s="299"/>
      <c r="AN1694" s="299"/>
      <c r="AO1694" s="301"/>
      <c r="AP1694" s="301"/>
      <c r="AQ1694" s="426"/>
      <c r="AR1694" s="298"/>
      <c r="AS1694" s="299"/>
      <c r="AT1694" s="299"/>
      <c r="AU1694" s="301"/>
      <c r="AV1694" s="301"/>
      <c r="AW1694" s="91"/>
      <c r="AX1694" s="298"/>
      <c r="AY1694" s="299"/>
      <c r="AZ1694" s="299"/>
      <c r="BA1694" s="301"/>
      <c r="BB1694" s="301"/>
      <c r="BC1694" s="426"/>
      <c r="BD1694" s="298"/>
      <c r="BE1694" s="299"/>
      <c r="BF1694" s="299"/>
      <c r="BG1694" s="301"/>
      <c r="BH1694" s="301"/>
      <c r="BI1694" s="91"/>
      <c r="BJ1694" s="298"/>
      <c r="BK1694" s="299"/>
      <c r="BL1694" s="299"/>
      <c r="BM1694" s="301"/>
      <c r="BN1694" s="301"/>
      <c r="BO1694" s="91"/>
      <c r="BP1694" s="9"/>
      <c r="BS1694" s="81"/>
      <c r="BT1694" s="81"/>
      <c r="BV1694" s="9"/>
      <c r="BY1694" s="81"/>
      <c r="BZ1694" s="81"/>
      <c r="CB1694" s="9"/>
      <c r="CE1694" s="81"/>
      <c r="CF1694" s="81"/>
      <c r="CH1694" s="9"/>
      <c r="CK1694" s="81"/>
      <c r="CL1694" s="81"/>
      <c r="CR1694" s="9"/>
      <c r="CS1694" s="9"/>
      <c r="CT1694" s="9"/>
      <c r="CU1694" s="9"/>
      <c r="CV1694" s="9"/>
      <c r="CW1694" s="129"/>
      <c r="CX1694" s="9"/>
    </row>
    <row r="1695" spans="1:102">
      <c r="A1695" s="6" t="str">
        <f t="shared" si="261"/>
        <v>03380338</v>
      </c>
      <c r="B1695" s="6" t="s">
        <v>1988</v>
      </c>
      <c r="C1695" s="6" t="s">
        <v>1988</v>
      </c>
      <c r="D1695" s="6">
        <v>1686</v>
      </c>
      <c r="E1695" s="6">
        <v>338</v>
      </c>
      <c r="F1695" s="6" t="s">
        <v>1456</v>
      </c>
      <c r="G1695" s="6">
        <v>338</v>
      </c>
      <c r="H1695" s="6" t="s">
        <v>1019</v>
      </c>
      <c r="I1695" s="33">
        <v>245151</v>
      </c>
      <c r="J1695" s="88">
        <v>7.5409924131076217E-3</v>
      </c>
      <c r="K1695" s="89">
        <f>X1695</f>
        <v>250517.91</v>
      </c>
      <c r="L1695" s="88">
        <f>IF(K1699&gt;0, K1695/K1699, 0)</f>
        <v>7.4062650247124599E-3</v>
      </c>
      <c r="M1695" s="58"/>
      <c r="N1695" s="9">
        <f>ROUND(M1699*L1695,0)</f>
        <v>110381</v>
      </c>
      <c r="O1695" s="9">
        <v>105688</v>
      </c>
      <c r="P1695" s="9">
        <f>N1695-O1695</f>
        <v>4693</v>
      </c>
      <c r="Q1695" s="40">
        <f t="shared" si="269"/>
        <v>4.4404284308530766</v>
      </c>
      <c r="R1695" s="9">
        <v>13</v>
      </c>
      <c r="S1695" s="9">
        <f t="shared" si="267"/>
        <v>13</v>
      </c>
      <c r="T1695" s="90">
        <f t="shared" si="262"/>
        <v>338</v>
      </c>
      <c r="U1695" s="90">
        <f t="shared" si="263"/>
        <v>338</v>
      </c>
      <c r="V1695" s="373">
        <f t="shared" si="264"/>
        <v>1686</v>
      </c>
      <c r="W1695" s="90">
        <f t="shared" si="265"/>
        <v>13</v>
      </c>
      <c r="X1695" s="90">
        <f t="shared" si="266"/>
        <v>250517.91</v>
      </c>
      <c r="Y1695" s="141">
        <f t="shared" si="268"/>
        <v>1686</v>
      </c>
      <c r="Z1695" s="298">
        <v>338</v>
      </c>
      <c r="AA1695" s="299">
        <v>338</v>
      </c>
      <c r="AB1695" s="299">
        <v>1686</v>
      </c>
      <c r="AC1695" s="301">
        <v>13</v>
      </c>
      <c r="AD1695" s="301">
        <v>250517.91</v>
      </c>
      <c r="AE1695" s="126"/>
      <c r="AF1695" s="298"/>
      <c r="AG1695" s="299"/>
      <c r="AH1695" s="299"/>
      <c r="AI1695" s="301"/>
      <c r="AJ1695" s="301"/>
      <c r="AK1695" s="426"/>
      <c r="AL1695" s="298"/>
      <c r="AM1695" s="299"/>
      <c r="AN1695" s="299"/>
      <c r="AO1695" s="301"/>
      <c r="AP1695" s="301"/>
      <c r="AQ1695" s="426"/>
      <c r="AR1695" s="298"/>
      <c r="AS1695" s="299"/>
      <c r="AT1695" s="299"/>
      <c r="AU1695" s="301"/>
      <c r="AV1695" s="301"/>
      <c r="AW1695" s="88"/>
      <c r="AX1695" s="298"/>
      <c r="AY1695" s="299"/>
      <c r="AZ1695" s="299"/>
      <c r="BA1695" s="301"/>
      <c r="BB1695" s="301"/>
      <c r="BC1695" s="426"/>
      <c r="BD1695" s="298"/>
      <c r="BE1695" s="299"/>
      <c r="BF1695" s="299"/>
      <c r="BG1695" s="301"/>
      <c r="BH1695" s="301"/>
      <c r="BI1695" s="88"/>
      <c r="BJ1695" s="298"/>
      <c r="BK1695" s="299"/>
      <c r="BL1695" s="299"/>
      <c r="BM1695" s="301"/>
      <c r="BN1695" s="301"/>
      <c r="BO1695" s="88"/>
      <c r="BP1695" s="9"/>
      <c r="BS1695" s="81"/>
      <c r="BT1695" s="81"/>
      <c r="BV1695" s="9"/>
      <c r="BY1695" s="81"/>
      <c r="BZ1695" s="81"/>
      <c r="CB1695" s="9"/>
      <c r="CE1695" s="81"/>
      <c r="CF1695" s="81"/>
      <c r="CH1695" s="9"/>
      <c r="CK1695" s="81"/>
      <c r="CL1695" s="81"/>
      <c r="CR1695" s="9"/>
      <c r="CS1695" s="9"/>
      <c r="CT1695" s="9"/>
      <c r="CU1695" s="9"/>
      <c r="CV1695" s="9"/>
      <c r="CW1695" s="129"/>
      <c r="CX1695" s="9"/>
    </row>
    <row r="1696" spans="1:102">
      <c r="A1696" s="6" t="str">
        <f t="shared" si="261"/>
        <v>03380780</v>
      </c>
      <c r="B1696" s="6" t="s">
        <v>1988</v>
      </c>
      <c r="C1696" s="6" t="s">
        <v>2061</v>
      </c>
      <c r="D1696" s="6">
        <v>1687</v>
      </c>
      <c r="E1696" s="6">
        <v>338</v>
      </c>
      <c r="F1696" s="6" t="s">
        <v>1456</v>
      </c>
      <c r="G1696" s="6">
        <v>780</v>
      </c>
      <c r="H1696" s="6" t="s">
        <v>1091</v>
      </c>
      <c r="I1696" s="33">
        <v>29120554.474057086</v>
      </c>
      <c r="J1696" s="88">
        <v>0.89576579477282048</v>
      </c>
      <c r="K1696" s="89">
        <f t="shared" si="260"/>
        <v>30131221.081489474</v>
      </c>
      <c r="L1696" s="88">
        <f>IF(K1699&gt;0, K1696/K1699, 0)</f>
        <v>0.89079383125826905</v>
      </c>
      <c r="M1696" s="58"/>
      <c r="N1696" s="9">
        <f>ROUND(M1699*L1696,0)</f>
        <v>13276139</v>
      </c>
      <c r="O1696" s="9">
        <v>12554297</v>
      </c>
      <c r="P1696" s="9">
        <f>N1696-O1696</f>
        <v>721842</v>
      </c>
      <c r="Q1696" s="40">
        <f t="shared" si="269"/>
        <v>5.7497604206750887</v>
      </c>
      <c r="R1696" s="9">
        <v>2179.6932006507</v>
      </c>
      <c r="S1696" s="9">
        <f t="shared" si="267"/>
        <v>2173.2522321327601</v>
      </c>
      <c r="T1696" s="90">
        <f t="shared" si="262"/>
        <v>338</v>
      </c>
      <c r="U1696" s="90">
        <f t="shared" si="263"/>
        <v>780</v>
      </c>
      <c r="V1696" s="373">
        <f t="shared" si="264"/>
        <v>1687</v>
      </c>
      <c r="W1696" s="90">
        <f t="shared" si="265"/>
        <v>2173.2522321327601</v>
      </c>
      <c r="X1696" s="90">
        <f t="shared" si="266"/>
        <v>30131221.081489474</v>
      </c>
      <c r="Y1696" s="141">
        <f t="shared" si="268"/>
        <v>1687</v>
      </c>
      <c r="Z1696" s="298">
        <v>338</v>
      </c>
      <c r="AA1696" s="299">
        <v>780</v>
      </c>
      <c r="AB1696" s="299">
        <v>1687</v>
      </c>
      <c r="AC1696" s="301">
        <v>2173.2522321327601</v>
      </c>
      <c r="AD1696" s="301">
        <v>30131221.081489474</v>
      </c>
      <c r="AE1696" s="126"/>
      <c r="AF1696" s="298"/>
      <c r="AG1696" s="299"/>
      <c r="AH1696" s="299"/>
      <c r="AI1696" s="301"/>
      <c r="AJ1696" s="301"/>
      <c r="AK1696" s="426"/>
      <c r="AL1696" s="298"/>
      <c r="AM1696" s="299"/>
      <c r="AN1696" s="299"/>
      <c r="AO1696" s="301"/>
      <c r="AP1696" s="301"/>
      <c r="AQ1696" s="426"/>
      <c r="AR1696" s="298"/>
      <c r="AS1696" s="299"/>
      <c r="AT1696" s="299"/>
      <c r="AU1696" s="301"/>
      <c r="AV1696" s="301"/>
      <c r="AW1696" s="88"/>
      <c r="AX1696" s="298"/>
      <c r="AY1696" s="299"/>
      <c r="AZ1696" s="299"/>
      <c r="BA1696" s="301"/>
      <c r="BB1696" s="301"/>
      <c r="BC1696" s="426"/>
      <c r="BD1696" s="298"/>
      <c r="BE1696" s="299"/>
      <c r="BF1696" s="299"/>
      <c r="BG1696" s="301"/>
      <c r="BH1696" s="301"/>
      <c r="BI1696" s="88"/>
      <c r="BJ1696" s="298"/>
      <c r="BK1696" s="299"/>
      <c r="BL1696" s="299"/>
      <c r="BM1696" s="301"/>
      <c r="BN1696" s="301"/>
      <c r="BO1696" s="88"/>
      <c r="BP1696" s="9"/>
      <c r="BS1696" s="81"/>
      <c r="BT1696" s="81"/>
      <c r="BV1696" s="9"/>
      <c r="BY1696" s="81"/>
      <c r="BZ1696" s="81"/>
      <c r="CB1696" s="9"/>
      <c r="CE1696" s="81"/>
      <c r="CF1696" s="81"/>
      <c r="CH1696" s="9"/>
      <c r="CK1696" s="81"/>
      <c r="CL1696" s="81"/>
      <c r="CR1696" s="9"/>
      <c r="CS1696" s="9"/>
      <c r="CT1696" s="9"/>
      <c r="CU1696" s="9"/>
      <c r="CV1696" s="9"/>
      <c r="CW1696" s="129"/>
      <c r="CX1696" s="9"/>
    </row>
    <row r="1697" spans="1:102">
      <c r="A1697" s="6" t="str">
        <f t="shared" si="261"/>
        <v>03380873</v>
      </c>
      <c r="B1697" s="6" t="s">
        <v>1988</v>
      </c>
      <c r="C1697" s="6" t="s">
        <v>2083</v>
      </c>
      <c r="D1697" s="6">
        <v>1688</v>
      </c>
      <c r="E1697" s="6">
        <v>338</v>
      </c>
      <c r="F1697" s="6" t="s">
        <v>1456</v>
      </c>
      <c r="G1697" s="6">
        <v>873</v>
      </c>
      <c r="H1697" s="6" t="s">
        <v>1113</v>
      </c>
      <c r="I1697" s="33">
        <v>3143410.9088055701</v>
      </c>
      <c r="J1697" s="88">
        <v>9.6693212814071894E-2</v>
      </c>
      <c r="K1697" s="89">
        <f t="shared" si="260"/>
        <v>3443395.4270194103</v>
      </c>
      <c r="L1697" s="88">
        <f>IF(K1699&gt;0, K1697/K1699, 0)</f>
        <v>0.10179990371701841</v>
      </c>
      <c r="M1697" s="58"/>
      <c r="N1697" s="9">
        <f>ROUND(M1699*L1697,0)</f>
        <v>1517197</v>
      </c>
      <c r="O1697" s="9">
        <v>1355170</v>
      </c>
      <c r="P1697" s="9">
        <f>N1697-O1697</f>
        <v>162027</v>
      </c>
      <c r="Q1697" s="40">
        <f t="shared" si="269"/>
        <v>11.956212135746807</v>
      </c>
      <c r="R1697" s="9">
        <v>151.00000000200001</v>
      </c>
      <c r="S1697" s="9">
        <f t="shared" si="267"/>
        <v>164.99999999964001</v>
      </c>
      <c r="T1697" s="90">
        <f t="shared" si="262"/>
        <v>338</v>
      </c>
      <c r="U1697" s="90">
        <f t="shared" si="263"/>
        <v>873</v>
      </c>
      <c r="V1697" s="373">
        <f t="shared" si="264"/>
        <v>1688</v>
      </c>
      <c r="W1697" s="90">
        <f t="shared" si="265"/>
        <v>164.99999999964001</v>
      </c>
      <c r="X1697" s="90">
        <f t="shared" si="266"/>
        <v>3443395.4270194103</v>
      </c>
      <c r="Y1697" s="141">
        <f t="shared" si="268"/>
        <v>1688</v>
      </c>
      <c r="Z1697" s="298">
        <v>338</v>
      </c>
      <c r="AA1697" s="299">
        <v>873</v>
      </c>
      <c r="AB1697" s="299">
        <v>1688</v>
      </c>
      <c r="AC1697" s="301">
        <v>164.99999999964001</v>
      </c>
      <c r="AD1697" s="301">
        <v>3443395.4270194103</v>
      </c>
      <c r="AE1697" s="126"/>
      <c r="AF1697" s="298"/>
      <c r="AG1697" s="299"/>
      <c r="AH1697" s="299"/>
      <c r="AI1697" s="301"/>
      <c r="AJ1697" s="301"/>
      <c r="AK1697" s="426"/>
      <c r="AL1697" s="298"/>
      <c r="AM1697" s="299"/>
      <c r="AN1697" s="299"/>
      <c r="AO1697" s="301"/>
      <c r="AP1697" s="301"/>
      <c r="AQ1697" s="426"/>
      <c r="AR1697" s="298"/>
      <c r="AS1697" s="299"/>
      <c r="AT1697" s="299"/>
      <c r="AU1697" s="301"/>
      <c r="AV1697" s="301"/>
      <c r="AW1697" s="88"/>
      <c r="AX1697" s="298"/>
      <c r="AY1697" s="299"/>
      <c r="AZ1697" s="299"/>
      <c r="BA1697" s="301"/>
      <c r="BB1697" s="301"/>
      <c r="BC1697" s="426"/>
      <c r="BD1697" s="298"/>
      <c r="BE1697" s="299"/>
      <c r="BF1697" s="299"/>
      <c r="BG1697" s="301"/>
      <c r="BH1697" s="301"/>
      <c r="BI1697" s="88"/>
      <c r="BJ1697" s="298"/>
      <c r="BK1697" s="299"/>
      <c r="BL1697" s="299"/>
      <c r="BM1697" s="301"/>
      <c r="BN1697" s="301"/>
      <c r="BO1697" s="88"/>
      <c r="BP1697" s="9"/>
      <c r="BS1697" s="81"/>
      <c r="BT1697" s="81"/>
      <c r="BV1697" s="9"/>
      <c r="BY1697" s="81"/>
      <c r="BZ1697" s="81"/>
      <c r="CB1697" s="9"/>
      <c r="CE1697" s="81"/>
      <c r="CF1697" s="81"/>
      <c r="CH1697" s="9"/>
      <c r="CK1697" s="81"/>
      <c r="CL1697" s="81"/>
      <c r="CR1697" s="9"/>
      <c r="CS1697" s="9"/>
      <c r="CT1697" s="9"/>
      <c r="CU1697" s="9"/>
      <c r="CV1697" s="9"/>
      <c r="CW1697" s="129"/>
      <c r="CX1697" s="9"/>
    </row>
    <row r="1698" spans="1:102">
      <c r="A1698" s="6" t="str">
        <f t="shared" si="261"/>
        <v>03380998</v>
      </c>
      <c r="B1698" s="6" t="s">
        <v>1988</v>
      </c>
      <c r="C1698" s="6" t="s">
        <v>2091</v>
      </c>
      <c r="D1698" s="6">
        <v>1689</v>
      </c>
      <c r="E1698" s="6">
        <v>338</v>
      </c>
      <c r="F1698" s="6" t="s">
        <v>1547</v>
      </c>
      <c r="G1698" s="6">
        <v>998</v>
      </c>
      <c r="H1698" s="6" t="s">
        <v>1547</v>
      </c>
      <c r="I1698" s="33">
        <v>0</v>
      </c>
      <c r="J1698" s="88">
        <v>0</v>
      </c>
      <c r="K1698" s="89">
        <f t="shared" si="260"/>
        <v>0</v>
      </c>
      <c r="L1698" s="88">
        <f>IF(K1699&gt;0, K1698/K1699, 0)</f>
        <v>0</v>
      </c>
      <c r="M1698" s="58"/>
      <c r="N1698" s="9">
        <f>ROUND(M1699*L1698,0)</f>
        <v>0</v>
      </c>
      <c r="O1698" s="9">
        <v>0</v>
      </c>
      <c r="P1698" s="9">
        <f>N1698-O1698</f>
        <v>0</v>
      </c>
      <c r="Q1698" s="40">
        <f t="shared" si="269"/>
        <v>0</v>
      </c>
      <c r="R1698" s="9">
        <v>0</v>
      </c>
      <c r="S1698" s="9">
        <f t="shared" si="267"/>
        <v>0</v>
      </c>
      <c r="T1698" s="90">
        <f t="shared" si="262"/>
        <v>338</v>
      </c>
      <c r="U1698" s="90">
        <f t="shared" si="263"/>
        <v>998</v>
      </c>
      <c r="V1698" s="373">
        <f t="shared" si="264"/>
        <v>1689</v>
      </c>
      <c r="W1698" s="90">
        <f t="shared" si="265"/>
        <v>0</v>
      </c>
      <c r="X1698" s="90">
        <f t="shared" si="266"/>
        <v>0</v>
      </c>
      <c r="Y1698" s="141">
        <f t="shared" si="268"/>
        <v>1689</v>
      </c>
      <c r="Z1698" s="298">
        <v>338</v>
      </c>
      <c r="AA1698" s="299">
        <v>998</v>
      </c>
      <c r="AB1698" s="299">
        <v>1689</v>
      </c>
      <c r="AC1698" s="301">
        <v>0</v>
      </c>
      <c r="AD1698" s="301">
        <v>0</v>
      </c>
      <c r="AE1698" s="126"/>
      <c r="AF1698" s="298"/>
      <c r="AG1698" s="299"/>
      <c r="AH1698" s="299"/>
      <c r="AI1698" s="301"/>
      <c r="AJ1698" s="301"/>
      <c r="AK1698" s="426"/>
      <c r="AL1698" s="298"/>
      <c r="AM1698" s="299"/>
      <c r="AN1698" s="299"/>
      <c r="AO1698" s="301"/>
      <c r="AP1698" s="301"/>
      <c r="AQ1698" s="426"/>
      <c r="AR1698" s="298"/>
      <c r="AS1698" s="299"/>
      <c r="AT1698" s="299"/>
      <c r="AU1698" s="301"/>
      <c r="AV1698" s="301"/>
      <c r="AW1698" s="88"/>
      <c r="AX1698" s="298"/>
      <c r="AY1698" s="299"/>
      <c r="AZ1698" s="299"/>
      <c r="BA1698" s="301"/>
      <c r="BB1698" s="301"/>
      <c r="BC1698" s="426"/>
      <c r="BD1698" s="298"/>
      <c r="BE1698" s="299"/>
      <c r="BF1698" s="299"/>
      <c r="BG1698" s="301"/>
      <c r="BH1698" s="301"/>
      <c r="BI1698" s="88"/>
      <c r="BJ1698" s="298"/>
      <c r="BK1698" s="299"/>
      <c r="BL1698" s="299"/>
      <c r="BM1698" s="301"/>
      <c r="BN1698" s="301"/>
      <c r="BO1698" s="88"/>
      <c r="BP1698" s="9"/>
      <c r="BS1698" s="81"/>
      <c r="BT1698" s="81"/>
      <c r="BV1698" s="9"/>
      <c r="BY1698" s="81"/>
      <c r="BZ1698" s="81"/>
      <c r="CB1698" s="9"/>
      <c r="CE1698" s="81"/>
      <c r="CF1698" s="81"/>
      <c r="CH1698" s="9"/>
      <c r="CK1698" s="81"/>
      <c r="CL1698" s="81"/>
      <c r="CR1698" s="9"/>
      <c r="CS1698" s="9"/>
      <c r="CT1698" s="9"/>
      <c r="CU1698" s="9"/>
      <c r="CV1698" s="9"/>
      <c r="CW1698" s="129"/>
      <c r="CX1698" s="9"/>
    </row>
    <row r="1699" spans="1:102">
      <c r="A1699" s="6" t="str">
        <f t="shared" si="261"/>
        <v>03380999</v>
      </c>
      <c r="B1699" s="6" t="s">
        <v>1988</v>
      </c>
      <c r="C1699" s="6" t="s">
        <v>2092</v>
      </c>
      <c r="D1699" s="6">
        <v>1690</v>
      </c>
      <c r="E1699" s="10">
        <v>338</v>
      </c>
      <c r="F1699" s="10" t="s">
        <v>1456</v>
      </c>
      <c r="G1699" s="10">
        <v>999</v>
      </c>
      <c r="H1699" s="10" t="s">
        <v>593</v>
      </c>
      <c r="I1699" s="92">
        <v>32509116.382862657</v>
      </c>
      <c r="J1699" s="472">
        <v>1</v>
      </c>
      <c r="K1699" s="53">
        <f>SUM(K1695:K1698)</f>
        <v>33825134.418508887</v>
      </c>
      <c r="L1699" s="91">
        <f>SUM(L1695:L1698)</f>
        <v>0.99999999999999989</v>
      </c>
      <c r="M1699" s="79">
        <f>VLOOKUP(E1699,town351,24)</f>
        <v>14903717</v>
      </c>
      <c r="N1699" s="79">
        <f>SUM(N1695:N1698)</f>
        <v>14903717</v>
      </c>
      <c r="O1699" s="79">
        <v>14015155</v>
      </c>
      <c r="P1699" s="79">
        <f>SUM(P1695:P1698)</f>
        <v>888562</v>
      </c>
      <c r="Q1699" s="39">
        <f t="shared" si="269"/>
        <v>6.3400083695114322</v>
      </c>
      <c r="R1699" s="9">
        <v>2343.6932006526999</v>
      </c>
      <c r="S1699" s="9">
        <f t="shared" si="267"/>
        <v>2351.2522321324</v>
      </c>
      <c r="T1699" s="90">
        <f t="shared" si="262"/>
        <v>338</v>
      </c>
      <c r="U1699" s="90">
        <f t="shared" si="263"/>
        <v>999</v>
      </c>
      <c r="V1699" s="373">
        <f t="shared" si="264"/>
        <v>1690</v>
      </c>
      <c r="W1699" s="90">
        <f t="shared" si="265"/>
        <v>2351.2522321324</v>
      </c>
      <c r="X1699" s="90">
        <f t="shared" si="266"/>
        <v>33825134.418508887</v>
      </c>
      <c r="Y1699" s="141">
        <f t="shared" si="268"/>
        <v>1690</v>
      </c>
      <c r="Z1699" s="298">
        <v>338</v>
      </c>
      <c r="AA1699" s="299">
        <v>999</v>
      </c>
      <c r="AB1699" s="299">
        <v>1690</v>
      </c>
      <c r="AC1699" s="301">
        <v>2351.2522321324</v>
      </c>
      <c r="AD1699" s="301">
        <v>33825134.418508887</v>
      </c>
      <c r="AE1699" s="126"/>
      <c r="AF1699" s="298"/>
      <c r="AG1699" s="299"/>
      <c r="AH1699" s="299"/>
      <c r="AI1699" s="301"/>
      <c r="AJ1699" s="301"/>
      <c r="AK1699" s="426"/>
      <c r="AL1699" s="298"/>
      <c r="AM1699" s="299"/>
      <c r="AN1699" s="299"/>
      <c r="AO1699" s="301"/>
      <c r="AP1699" s="301"/>
      <c r="AQ1699" s="426"/>
      <c r="AR1699" s="298"/>
      <c r="AS1699" s="299"/>
      <c r="AT1699" s="299"/>
      <c r="AU1699" s="301"/>
      <c r="AV1699" s="301"/>
      <c r="AW1699" s="91"/>
      <c r="AX1699" s="298"/>
      <c r="AY1699" s="299"/>
      <c r="AZ1699" s="299"/>
      <c r="BA1699" s="301"/>
      <c r="BB1699" s="301"/>
      <c r="BC1699" s="426"/>
      <c r="BD1699" s="298"/>
      <c r="BE1699" s="299"/>
      <c r="BF1699" s="299"/>
      <c r="BG1699" s="301"/>
      <c r="BH1699" s="301"/>
      <c r="BI1699" s="91"/>
      <c r="BJ1699" s="298"/>
      <c r="BK1699" s="299"/>
      <c r="BL1699" s="299"/>
      <c r="BM1699" s="301"/>
      <c r="BN1699" s="301"/>
      <c r="BO1699" s="91"/>
      <c r="BP1699" s="9"/>
      <c r="BS1699" s="81"/>
      <c r="BT1699" s="81"/>
      <c r="BV1699" s="9"/>
      <c r="BY1699" s="81"/>
      <c r="BZ1699" s="81"/>
      <c r="CB1699" s="9"/>
      <c r="CE1699" s="81"/>
      <c r="CF1699" s="81"/>
      <c r="CH1699" s="9"/>
      <c r="CK1699" s="81"/>
      <c r="CL1699" s="81"/>
      <c r="CR1699" s="9"/>
      <c r="CS1699" s="9"/>
      <c r="CT1699" s="9"/>
      <c r="CU1699" s="9"/>
      <c r="CV1699" s="9"/>
      <c r="CW1699" s="129"/>
      <c r="CX1699" s="9"/>
    </row>
    <row r="1700" spans="1:102">
      <c r="A1700" s="6" t="str">
        <f t="shared" si="261"/>
        <v>03390339</v>
      </c>
      <c r="B1700" s="6" t="s">
        <v>1989</v>
      </c>
      <c r="C1700" s="6" t="s">
        <v>1989</v>
      </c>
      <c r="D1700" s="6">
        <v>1691</v>
      </c>
      <c r="E1700" s="6">
        <v>339</v>
      </c>
      <c r="F1700" s="6" t="s">
        <v>1457</v>
      </c>
      <c r="G1700" s="6">
        <v>339</v>
      </c>
      <c r="H1700" s="6" t="s">
        <v>1020</v>
      </c>
      <c r="I1700" s="33">
        <v>0</v>
      </c>
      <c r="J1700" s="88">
        <v>0</v>
      </c>
      <c r="K1700" s="89">
        <f>X1700</f>
        <v>0</v>
      </c>
      <c r="L1700" s="88">
        <f>IF(K1704&gt;0, K1700/K1704, 0)</f>
        <v>0</v>
      </c>
      <c r="M1700" s="58"/>
      <c r="N1700" s="9">
        <f>ROUND(M1704*L1700,0)</f>
        <v>0</v>
      </c>
      <c r="O1700" s="9">
        <v>0</v>
      </c>
      <c r="P1700" s="9">
        <f>N1700-O1700</f>
        <v>0</v>
      </c>
      <c r="Q1700" s="40">
        <f t="shared" si="269"/>
        <v>0</v>
      </c>
      <c r="R1700" s="9">
        <v>0</v>
      </c>
      <c r="S1700" s="9">
        <f t="shared" si="267"/>
        <v>0</v>
      </c>
      <c r="T1700" s="90">
        <f t="shared" si="262"/>
        <v>339</v>
      </c>
      <c r="U1700" s="90">
        <f t="shared" si="263"/>
        <v>339</v>
      </c>
      <c r="V1700" s="373">
        <f t="shared" si="264"/>
        <v>1691</v>
      </c>
      <c r="W1700" s="90">
        <f t="shared" si="265"/>
        <v>0</v>
      </c>
      <c r="X1700" s="90">
        <f t="shared" si="266"/>
        <v>0</v>
      </c>
      <c r="Y1700" s="141">
        <f t="shared" si="268"/>
        <v>1691</v>
      </c>
      <c r="Z1700" s="298">
        <v>339</v>
      </c>
      <c r="AA1700" s="299">
        <v>339</v>
      </c>
      <c r="AB1700" s="299">
        <v>1691</v>
      </c>
      <c r="AC1700" s="301">
        <v>0</v>
      </c>
      <c r="AD1700" s="301">
        <v>0</v>
      </c>
      <c r="AE1700" s="126"/>
      <c r="AF1700" s="298"/>
      <c r="AG1700" s="299"/>
      <c r="AH1700" s="299"/>
      <c r="AI1700" s="301"/>
      <c r="AJ1700" s="301"/>
      <c r="AK1700" s="426"/>
      <c r="AL1700" s="298"/>
      <c r="AM1700" s="299"/>
      <c r="AN1700" s="299"/>
      <c r="AO1700" s="301"/>
      <c r="AP1700" s="301"/>
      <c r="AQ1700" s="426"/>
      <c r="AR1700" s="298"/>
      <c r="AS1700" s="299"/>
      <c r="AT1700" s="299"/>
      <c r="AU1700" s="301"/>
      <c r="AV1700" s="301"/>
      <c r="AW1700" s="88"/>
      <c r="AX1700" s="298"/>
      <c r="AY1700" s="299"/>
      <c r="AZ1700" s="299"/>
      <c r="BA1700" s="301"/>
      <c r="BB1700" s="301"/>
      <c r="BC1700" s="426"/>
      <c r="BD1700" s="298"/>
      <c r="BE1700" s="299"/>
      <c r="BF1700" s="299"/>
      <c r="BG1700" s="301"/>
      <c r="BH1700" s="301"/>
      <c r="BI1700" s="88"/>
      <c r="BJ1700" s="298"/>
      <c r="BK1700" s="299"/>
      <c r="BL1700" s="299"/>
      <c r="BM1700" s="301"/>
      <c r="BN1700" s="301"/>
      <c r="BO1700" s="88"/>
      <c r="BP1700" s="9"/>
      <c r="BS1700" s="81"/>
      <c r="BT1700" s="81"/>
      <c r="BV1700" s="9"/>
      <c r="BY1700" s="81"/>
      <c r="BZ1700" s="81"/>
      <c r="CB1700" s="9"/>
      <c r="CE1700" s="81"/>
      <c r="CF1700" s="81"/>
      <c r="CH1700" s="9"/>
      <c r="CK1700" s="81"/>
      <c r="CL1700" s="81"/>
      <c r="CR1700" s="9"/>
      <c r="CS1700" s="9"/>
      <c r="CT1700" s="9"/>
      <c r="CU1700" s="9"/>
      <c r="CV1700" s="9"/>
      <c r="CW1700" s="129"/>
      <c r="CX1700" s="9"/>
    </row>
    <row r="1701" spans="1:102">
      <c r="A1701" s="6" t="str">
        <f t="shared" si="261"/>
        <v>03390680</v>
      </c>
      <c r="B1701" s="6" t="s">
        <v>1989</v>
      </c>
      <c r="C1701" s="6" t="s">
        <v>2029</v>
      </c>
      <c r="D1701" s="6">
        <v>1692</v>
      </c>
      <c r="E1701" s="6">
        <v>339</v>
      </c>
      <c r="F1701" s="6" t="s">
        <v>1457</v>
      </c>
      <c r="G1701" s="6">
        <v>680</v>
      </c>
      <c r="H1701" s="6" t="s">
        <v>1059</v>
      </c>
      <c r="I1701" s="33">
        <v>28742205.408949632</v>
      </c>
      <c r="J1701" s="88">
        <v>1</v>
      </c>
      <c r="K1701" s="89">
        <f t="shared" si="260"/>
        <v>29475167.009635031</v>
      </c>
      <c r="L1701" s="88">
        <f>IF(K1704&gt;0, K1701/K1704, 0)</f>
        <v>1</v>
      </c>
      <c r="M1701" s="58"/>
      <c r="N1701" s="9">
        <f>ROUND(M1704*L1701,0)</f>
        <v>18893329</v>
      </c>
      <c r="O1701" s="9">
        <v>18231525</v>
      </c>
      <c r="P1701" s="9">
        <f>N1701-O1701</f>
        <v>661804</v>
      </c>
      <c r="Q1701" s="40">
        <f t="shared" si="269"/>
        <v>3.6299980391108257</v>
      </c>
      <c r="R1701" s="9">
        <v>2235.9702865200798</v>
      </c>
      <c r="S1701" s="9">
        <f t="shared" si="267"/>
        <v>2224.4656160345198</v>
      </c>
      <c r="T1701" s="90">
        <f t="shared" si="262"/>
        <v>339</v>
      </c>
      <c r="U1701" s="90">
        <f t="shared" si="263"/>
        <v>680</v>
      </c>
      <c r="V1701" s="373">
        <f t="shared" si="264"/>
        <v>1692</v>
      </c>
      <c r="W1701" s="90">
        <f t="shared" si="265"/>
        <v>2224.4656160345198</v>
      </c>
      <c r="X1701" s="90">
        <f t="shared" si="266"/>
        <v>29475167.009635031</v>
      </c>
      <c r="Y1701" s="141">
        <f t="shared" si="268"/>
        <v>1692</v>
      </c>
      <c r="Z1701" s="298">
        <v>339</v>
      </c>
      <c r="AA1701" s="299">
        <v>680</v>
      </c>
      <c r="AB1701" s="299">
        <v>1692</v>
      </c>
      <c r="AC1701" s="301">
        <v>2224.4656160345198</v>
      </c>
      <c r="AD1701" s="301">
        <v>29475167.009635031</v>
      </c>
      <c r="AE1701" s="126"/>
      <c r="AF1701" s="298"/>
      <c r="AG1701" s="299"/>
      <c r="AH1701" s="299"/>
      <c r="AI1701" s="301"/>
      <c r="AJ1701" s="301"/>
      <c r="AK1701" s="426"/>
      <c r="AL1701" s="298"/>
      <c r="AM1701" s="299"/>
      <c r="AN1701" s="299"/>
      <c r="AO1701" s="301"/>
      <c r="AP1701" s="301"/>
      <c r="AQ1701" s="426"/>
      <c r="AR1701" s="298"/>
      <c r="AS1701" s="299"/>
      <c r="AT1701" s="299"/>
      <c r="AU1701" s="301"/>
      <c r="AV1701" s="301"/>
      <c r="AW1701" s="88"/>
      <c r="AX1701" s="298"/>
      <c r="AY1701" s="299"/>
      <c r="AZ1701" s="299"/>
      <c r="BA1701" s="301"/>
      <c r="BB1701" s="301"/>
      <c r="BC1701" s="426"/>
      <c r="BD1701" s="298"/>
      <c r="BE1701" s="299"/>
      <c r="BF1701" s="299"/>
      <c r="BG1701" s="301"/>
      <c r="BH1701" s="301"/>
      <c r="BI1701" s="88"/>
      <c r="BJ1701" s="298"/>
      <c r="BK1701" s="299"/>
      <c r="BL1701" s="299"/>
      <c r="BM1701" s="301"/>
      <c r="BN1701" s="301"/>
      <c r="BO1701" s="88"/>
      <c r="BP1701" s="9"/>
      <c r="BS1701" s="81"/>
      <c r="BT1701" s="81"/>
      <c r="BV1701" s="9"/>
      <c r="BY1701" s="81"/>
      <c r="BZ1701" s="81"/>
      <c r="CB1701" s="9"/>
      <c r="CE1701" s="81"/>
      <c r="CF1701" s="81"/>
      <c r="CH1701" s="9"/>
      <c r="CK1701" s="81"/>
      <c r="CL1701" s="81"/>
      <c r="CR1701" s="9"/>
      <c r="CS1701" s="9"/>
      <c r="CT1701" s="9"/>
      <c r="CU1701" s="9"/>
      <c r="CV1701" s="9"/>
      <c r="CW1701" s="129"/>
      <c r="CX1701" s="9"/>
    </row>
    <row r="1702" spans="1:102">
      <c r="A1702" s="6" t="str">
        <f t="shared" si="261"/>
        <v>03390998</v>
      </c>
      <c r="B1702" s="6" t="s">
        <v>1989</v>
      </c>
      <c r="C1702" s="6" t="s">
        <v>2091</v>
      </c>
      <c r="D1702" s="6">
        <v>1693</v>
      </c>
      <c r="E1702" s="6">
        <v>339</v>
      </c>
      <c r="F1702" s="6" t="s">
        <v>1547</v>
      </c>
      <c r="G1702" s="6">
        <v>998</v>
      </c>
      <c r="H1702" s="6" t="s">
        <v>1547</v>
      </c>
      <c r="I1702" s="33">
        <v>0</v>
      </c>
      <c r="J1702" s="88">
        <v>0</v>
      </c>
      <c r="K1702" s="89">
        <f t="shared" si="260"/>
        <v>0</v>
      </c>
      <c r="L1702" s="88">
        <f>IF(K1704&gt;0, K1702/K1704, 0)</f>
        <v>0</v>
      </c>
      <c r="M1702" s="58"/>
      <c r="N1702" s="9">
        <f>ROUND(M1704*L1702,0)</f>
        <v>0</v>
      </c>
      <c r="O1702" s="9">
        <v>0</v>
      </c>
      <c r="P1702" s="9">
        <f>N1702-O1702</f>
        <v>0</v>
      </c>
      <c r="Q1702" s="40">
        <f t="shared" si="269"/>
        <v>0</v>
      </c>
      <c r="R1702" s="9">
        <v>0</v>
      </c>
      <c r="S1702" s="9">
        <f t="shared" si="267"/>
        <v>0</v>
      </c>
      <c r="T1702" s="90">
        <f t="shared" si="262"/>
        <v>339</v>
      </c>
      <c r="U1702" s="90">
        <f t="shared" si="263"/>
        <v>998</v>
      </c>
      <c r="V1702" s="373">
        <f t="shared" si="264"/>
        <v>1693</v>
      </c>
      <c r="W1702" s="90">
        <f t="shared" si="265"/>
        <v>0</v>
      </c>
      <c r="X1702" s="90">
        <f t="shared" si="266"/>
        <v>0</v>
      </c>
      <c r="Y1702" s="141">
        <f t="shared" si="268"/>
        <v>1693</v>
      </c>
      <c r="Z1702" s="298">
        <v>339</v>
      </c>
      <c r="AA1702" s="299">
        <v>998</v>
      </c>
      <c r="AB1702" s="299">
        <v>1693</v>
      </c>
      <c r="AC1702" s="301">
        <v>0</v>
      </c>
      <c r="AD1702" s="301">
        <v>0</v>
      </c>
      <c r="AE1702" s="126"/>
      <c r="AF1702" s="298"/>
      <c r="AG1702" s="299"/>
      <c r="AH1702" s="299"/>
      <c r="AI1702" s="301"/>
      <c r="AJ1702" s="301"/>
      <c r="AK1702" s="426"/>
      <c r="AL1702" s="298"/>
      <c r="AM1702" s="299"/>
      <c r="AN1702" s="299"/>
      <c r="AO1702" s="301"/>
      <c r="AP1702" s="301"/>
      <c r="AQ1702" s="426"/>
      <c r="AR1702" s="298"/>
      <c r="AS1702" s="299"/>
      <c r="AT1702" s="299"/>
      <c r="AU1702" s="301"/>
      <c r="AV1702" s="301"/>
      <c r="AW1702" s="88"/>
      <c r="AX1702" s="298"/>
      <c r="AY1702" s="299"/>
      <c r="AZ1702" s="299"/>
      <c r="BA1702" s="301"/>
      <c r="BB1702" s="301"/>
      <c r="BC1702" s="426"/>
      <c r="BD1702" s="298"/>
      <c r="BE1702" s="299"/>
      <c r="BF1702" s="299"/>
      <c r="BG1702" s="301"/>
      <c r="BH1702" s="301"/>
      <c r="BI1702" s="88"/>
      <c r="BJ1702" s="298"/>
      <c r="BK1702" s="299"/>
      <c r="BL1702" s="299"/>
      <c r="BM1702" s="301"/>
      <c r="BN1702" s="301"/>
      <c r="BO1702" s="88"/>
      <c r="BP1702" s="9"/>
      <c r="BS1702" s="81"/>
      <c r="BT1702" s="81"/>
      <c r="BV1702" s="9"/>
      <c r="BY1702" s="81"/>
      <c r="BZ1702" s="81"/>
      <c r="CB1702" s="9"/>
      <c r="CE1702" s="81"/>
      <c r="CF1702" s="81"/>
      <c r="CH1702" s="9"/>
      <c r="CK1702" s="81"/>
      <c r="CL1702" s="81"/>
      <c r="CR1702" s="9"/>
      <c r="CS1702" s="9"/>
      <c r="CT1702" s="9"/>
      <c r="CU1702" s="9"/>
      <c r="CV1702" s="9"/>
      <c r="CW1702" s="129"/>
      <c r="CX1702" s="9"/>
    </row>
    <row r="1703" spans="1:102">
      <c r="A1703" s="6" t="str">
        <f t="shared" si="261"/>
        <v>03390998</v>
      </c>
      <c r="B1703" s="6" t="s">
        <v>1989</v>
      </c>
      <c r="C1703" s="6" t="s">
        <v>2091</v>
      </c>
      <c r="D1703" s="6">
        <v>1694</v>
      </c>
      <c r="E1703" s="6">
        <v>339</v>
      </c>
      <c r="F1703" s="6" t="s">
        <v>1547</v>
      </c>
      <c r="G1703" s="6">
        <v>998</v>
      </c>
      <c r="H1703" s="6" t="s">
        <v>1547</v>
      </c>
      <c r="I1703" s="33">
        <v>0</v>
      </c>
      <c r="J1703" s="88">
        <v>0</v>
      </c>
      <c r="K1703" s="89">
        <f t="shared" si="260"/>
        <v>0</v>
      </c>
      <c r="L1703" s="88">
        <f>IF(K1704&gt;0, K1703/K1704, 0)</f>
        <v>0</v>
      </c>
      <c r="M1703" s="58"/>
      <c r="N1703" s="9">
        <f>ROUND(M1704*L1703,0)</f>
        <v>0</v>
      </c>
      <c r="O1703" s="9">
        <v>0</v>
      </c>
      <c r="P1703" s="9">
        <f>N1703-O1703</f>
        <v>0</v>
      </c>
      <c r="Q1703" s="40">
        <f t="shared" si="269"/>
        <v>0</v>
      </c>
      <c r="R1703" s="9">
        <v>0</v>
      </c>
      <c r="S1703" s="9">
        <f t="shared" si="267"/>
        <v>0</v>
      </c>
      <c r="T1703" s="90">
        <f t="shared" si="262"/>
        <v>339</v>
      </c>
      <c r="U1703" s="90">
        <f t="shared" si="263"/>
        <v>998</v>
      </c>
      <c r="V1703" s="373">
        <f t="shared" si="264"/>
        <v>1694</v>
      </c>
      <c r="W1703" s="90">
        <f t="shared" si="265"/>
        <v>0</v>
      </c>
      <c r="X1703" s="90">
        <f t="shared" si="266"/>
        <v>0</v>
      </c>
      <c r="Y1703" s="141">
        <f t="shared" si="268"/>
        <v>1694</v>
      </c>
      <c r="Z1703" s="298">
        <v>339</v>
      </c>
      <c r="AA1703" s="299">
        <v>998</v>
      </c>
      <c r="AB1703" s="299">
        <v>1694</v>
      </c>
      <c r="AC1703" s="301">
        <v>0</v>
      </c>
      <c r="AD1703" s="301">
        <v>0</v>
      </c>
      <c r="AE1703" s="126"/>
      <c r="AF1703" s="298"/>
      <c r="AG1703" s="299"/>
      <c r="AH1703" s="299"/>
      <c r="AI1703" s="301"/>
      <c r="AJ1703" s="301"/>
      <c r="AK1703" s="426"/>
      <c r="AL1703" s="298"/>
      <c r="AM1703" s="299"/>
      <c r="AN1703" s="299"/>
      <c r="AO1703" s="301"/>
      <c r="AP1703" s="301"/>
      <c r="AQ1703" s="426"/>
      <c r="AR1703" s="298"/>
      <c r="AS1703" s="299"/>
      <c r="AT1703" s="299"/>
      <c r="AU1703" s="301"/>
      <c r="AV1703" s="301"/>
      <c r="AW1703" s="88"/>
      <c r="AX1703" s="298"/>
      <c r="AY1703" s="299"/>
      <c r="AZ1703" s="299"/>
      <c r="BA1703" s="301"/>
      <c r="BB1703" s="301"/>
      <c r="BC1703" s="426"/>
      <c r="BD1703" s="298"/>
      <c r="BE1703" s="299"/>
      <c r="BF1703" s="299"/>
      <c r="BG1703" s="301"/>
      <c r="BH1703" s="301"/>
      <c r="BI1703" s="88"/>
      <c r="BJ1703" s="298"/>
      <c r="BK1703" s="299"/>
      <c r="BL1703" s="299"/>
      <c r="BM1703" s="301"/>
      <c r="BN1703" s="301"/>
      <c r="BO1703" s="88"/>
      <c r="BP1703" s="9"/>
      <c r="BS1703" s="81"/>
      <c r="BT1703" s="81"/>
      <c r="BV1703" s="9"/>
      <c r="BY1703" s="81"/>
      <c r="BZ1703" s="81"/>
      <c r="CB1703" s="9"/>
      <c r="CE1703" s="81"/>
      <c r="CF1703" s="81"/>
      <c r="CH1703" s="9"/>
      <c r="CK1703" s="81"/>
      <c r="CL1703" s="81"/>
      <c r="CR1703" s="9"/>
      <c r="CS1703" s="9"/>
      <c r="CT1703" s="9"/>
      <c r="CU1703" s="9"/>
      <c r="CV1703" s="9"/>
      <c r="CW1703" s="129"/>
      <c r="CX1703" s="9"/>
    </row>
    <row r="1704" spans="1:102">
      <c r="A1704" s="6" t="str">
        <f t="shared" si="261"/>
        <v>03390999</v>
      </c>
      <c r="B1704" s="6" t="s">
        <v>1989</v>
      </c>
      <c r="C1704" s="6" t="s">
        <v>2092</v>
      </c>
      <c r="D1704" s="6">
        <v>1695</v>
      </c>
      <c r="E1704" s="10">
        <v>339</v>
      </c>
      <c r="F1704" s="10" t="s">
        <v>1457</v>
      </c>
      <c r="G1704" s="10">
        <v>999</v>
      </c>
      <c r="H1704" s="10" t="s">
        <v>593</v>
      </c>
      <c r="I1704" s="92">
        <v>28742205.408949632</v>
      </c>
      <c r="J1704" s="472">
        <v>1</v>
      </c>
      <c r="K1704" s="53">
        <f>SUM(K1700:K1703)</f>
        <v>29475167.009635031</v>
      </c>
      <c r="L1704" s="91">
        <f>SUM(L1700:L1703)</f>
        <v>1</v>
      </c>
      <c r="M1704" s="79">
        <f>VLOOKUP(E1704,town351,24)</f>
        <v>18893329</v>
      </c>
      <c r="N1704" s="79">
        <f>SUM(N1700:N1703)</f>
        <v>18893329</v>
      </c>
      <c r="O1704" s="79">
        <v>18231525</v>
      </c>
      <c r="P1704" s="79">
        <f>SUM(P1700:P1703)</f>
        <v>661804</v>
      </c>
      <c r="Q1704" s="39">
        <f t="shared" si="269"/>
        <v>3.6299980391108257</v>
      </c>
      <c r="R1704" s="9">
        <v>2235.9702865200798</v>
      </c>
      <c r="S1704" s="9">
        <f t="shared" si="267"/>
        <v>2224.4656160345198</v>
      </c>
      <c r="T1704" s="90">
        <f t="shared" si="262"/>
        <v>339</v>
      </c>
      <c r="U1704" s="90">
        <f t="shared" si="263"/>
        <v>999</v>
      </c>
      <c r="V1704" s="373">
        <f t="shared" si="264"/>
        <v>1695</v>
      </c>
      <c r="W1704" s="90">
        <f t="shared" si="265"/>
        <v>2224.4656160345198</v>
      </c>
      <c r="X1704" s="90">
        <f t="shared" si="266"/>
        <v>29475167.009635031</v>
      </c>
      <c r="Y1704" s="141">
        <f t="shared" si="268"/>
        <v>1695</v>
      </c>
      <c r="Z1704" s="298">
        <v>339</v>
      </c>
      <c r="AA1704" s="299">
        <v>999</v>
      </c>
      <c r="AB1704" s="299">
        <v>1695</v>
      </c>
      <c r="AC1704" s="301">
        <v>2224.4656160345198</v>
      </c>
      <c r="AD1704" s="301">
        <v>29475167.009635031</v>
      </c>
      <c r="AE1704" s="126"/>
      <c r="AF1704" s="298"/>
      <c r="AG1704" s="299"/>
      <c r="AH1704" s="299"/>
      <c r="AI1704" s="301"/>
      <c r="AJ1704" s="301"/>
      <c r="AK1704" s="426"/>
      <c r="AL1704" s="298"/>
      <c r="AM1704" s="299"/>
      <c r="AN1704" s="299"/>
      <c r="AO1704" s="301"/>
      <c r="AP1704" s="301"/>
      <c r="AQ1704" s="426"/>
      <c r="AR1704" s="298"/>
      <c r="AS1704" s="299"/>
      <c r="AT1704" s="299"/>
      <c r="AU1704" s="301"/>
      <c r="AV1704" s="301"/>
      <c r="AW1704" s="91"/>
      <c r="AX1704" s="298"/>
      <c r="AY1704" s="299"/>
      <c r="AZ1704" s="299"/>
      <c r="BA1704" s="301"/>
      <c r="BB1704" s="301"/>
      <c r="BC1704" s="426"/>
      <c r="BD1704" s="298"/>
      <c r="BE1704" s="299"/>
      <c r="BF1704" s="299"/>
      <c r="BG1704" s="301"/>
      <c r="BH1704" s="301"/>
      <c r="BI1704" s="91"/>
      <c r="BJ1704" s="298"/>
      <c r="BK1704" s="299"/>
      <c r="BL1704" s="299"/>
      <c r="BM1704" s="301"/>
      <c r="BN1704" s="301"/>
      <c r="BO1704" s="91"/>
      <c r="BP1704" s="9"/>
      <c r="BS1704" s="81"/>
      <c r="BT1704" s="81"/>
      <c r="BV1704" s="9"/>
      <c r="BY1704" s="81"/>
      <c r="BZ1704" s="81"/>
      <c r="CB1704" s="9"/>
      <c r="CE1704" s="81"/>
      <c r="CF1704" s="81"/>
      <c r="CH1704" s="9"/>
      <c r="CK1704" s="81"/>
      <c r="CL1704" s="81"/>
      <c r="CR1704" s="9"/>
      <c r="CS1704" s="9"/>
      <c r="CT1704" s="9"/>
      <c r="CU1704" s="9"/>
      <c r="CV1704" s="9"/>
      <c r="CW1704" s="129"/>
      <c r="CX1704" s="9"/>
    </row>
    <row r="1705" spans="1:102">
      <c r="A1705" s="6" t="str">
        <f t="shared" si="261"/>
        <v>03400340</v>
      </c>
      <c r="B1705" s="6" t="s">
        <v>1990</v>
      </c>
      <c r="C1705" s="6" t="s">
        <v>1990</v>
      </c>
      <c r="D1705" s="6">
        <v>1696</v>
      </c>
      <c r="E1705" s="6">
        <v>340</v>
      </c>
      <c r="F1705" s="6" t="s">
        <v>1458</v>
      </c>
      <c r="G1705" s="6">
        <v>340</v>
      </c>
      <c r="H1705" s="6" t="s">
        <v>1021</v>
      </c>
      <c r="I1705" s="33">
        <v>2130357.6900000004</v>
      </c>
      <c r="J1705" s="88">
        <v>0.58488325172131073</v>
      </c>
      <c r="K1705" s="89">
        <f t="shared" ref="K1705:K1763" si="270">X1705</f>
        <v>2006164.9200000002</v>
      </c>
      <c r="L1705" s="88">
        <f>IF(K1709&gt;0, K1705/K1709, 0)</f>
        <v>0.56540896938285701</v>
      </c>
      <c r="M1705" s="58"/>
      <c r="N1705" s="9">
        <f>ROUND(M1709*L1705,0)</f>
        <v>1353300</v>
      </c>
      <c r="O1705" s="9">
        <v>1343356</v>
      </c>
      <c r="P1705" s="9">
        <f>N1705-O1705</f>
        <v>9944</v>
      </c>
      <c r="Q1705" s="40">
        <f t="shared" si="269"/>
        <v>0.74023564862925395</v>
      </c>
      <c r="R1705" s="9">
        <v>154</v>
      </c>
      <c r="S1705" s="9">
        <f t="shared" si="267"/>
        <v>136</v>
      </c>
      <c r="T1705" s="90">
        <f t="shared" si="262"/>
        <v>340</v>
      </c>
      <c r="U1705" s="90">
        <f t="shared" si="263"/>
        <v>340</v>
      </c>
      <c r="V1705" s="373">
        <f t="shared" si="264"/>
        <v>1696</v>
      </c>
      <c r="W1705" s="90">
        <f t="shared" si="265"/>
        <v>136</v>
      </c>
      <c r="X1705" s="90">
        <f t="shared" si="266"/>
        <v>2006164.9200000002</v>
      </c>
      <c r="Y1705" s="141">
        <f t="shared" si="268"/>
        <v>1696</v>
      </c>
      <c r="Z1705" s="298">
        <v>340</v>
      </c>
      <c r="AA1705" s="299">
        <v>340</v>
      </c>
      <c r="AB1705" s="299">
        <v>1696</v>
      </c>
      <c r="AC1705" s="301">
        <v>136</v>
      </c>
      <c r="AD1705" s="301">
        <v>2006164.9200000002</v>
      </c>
      <c r="AE1705" s="126"/>
      <c r="AF1705" s="298"/>
      <c r="AG1705" s="299"/>
      <c r="AH1705" s="299"/>
      <c r="AI1705" s="301"/>
      <c r="AJ1705" s="301"/>
      <c r="AK1705" s="426"/>
      <c r="AL1705" s="298"/>
      <c r="AM1705" s="299"/>
      <c r="AN1705" s="299"/>
      <c r="AO1705" s="301"/>
      <c r="AP1705" s="301"/>
      <c r="AQ1705" s="426"/>
      <c r="AR1705" s="298"/>
      <c r="AS1705" s="299"/>
      <c r="AT1705" s="299"/>
      <c r="AU1705" s="301"/>
      <c r="AV1705" s="301"/>
      <c r="AW1705" s="88"/>
      <c r="AX1705" s="298"/>
      <c r="AY1705" s="299"/>
      <c r="AZ1705" s="299"/>
      <c r="BA1705" s="301"/>
      <c r="BB1705" s="301"/>
      <c r="BC1705" s="426"/>
      <c r="BD1705" s="298"/>
      <c r="BE1705" s="299"/>
      <c r="BF1705" s="299"/>
      <c r="BG1705" s="301"/>
      <c r="BH1705" s="301"/>
      <c r="BI1705" s="88"/>
      <c r="BJ1705" s="298"/>
      <c r="BK1705" s="299"/>
      <c r="BL1705" s="299"/>
      <c r="BM1705" s="301"/>
      <c r="BN1705" s="301"/>
      <c r="BO1705" s="88"/>
      <c r="BP1705" s="9"/>
      <c r="BS1705" s="81"/>
      <c r="BT1705" s="81"/>
      <c r="BV1705" s="9"/>
      <c r="BY1705" s="81"/>
      <c r="BZ1705" s="81"/>
      <c r="CB1705" s="9"/>
      <c r="CE1705" s="81"/>
      <c r="CF1705" s="81"/>
      <c r="CH1705" s="9"/>
      <c r="CK1705" s="81"/>
      <c r="CL1705" s="81"/>
      <c r="CR1705" s="9"/>
      <c r="CS1705" s="9"/>
      <c r="CT1705" s="9"/>
      <c r="CU1705" s="9"/>
      <c r="CV1705" s="9"/>
      <c r="CW1705" s="129"/>
      <c r="CX1705" s="9"/>
    </row>
    <row r="1706" spans="1:102">
      <c r="A1706" s="6" t="str">
        <f t="shared" si="261"/>
        <v>03400683</v>
      </c>
      <c r="B1706" s="6" t="s">
        <v>1990</v>
      </c>
      <c r="C1706" s="6" t="s">
        <v>2030</v>
      </c>
      <c r="D1706" s="6">
        <v>1697</v>
      </c>
      <c r="E1706" s="6">
        <v>340</v>
      </c>
      <c r="F1706" s="6" t="s">
        <v>1458</v>
      </c>
      <c r="G1706" s="6">
        <v>683</v>
      </c>
      <c r="H1706" s="6" t="s">
        <v>1060</v>
      </c>
      <c r="I1706" s="33">
        <v>1512006.2924364267</v>
      </c>
      <c r="J1706" s="88">
        <v>0.41511674827868938</v>
      </c>
      <c r="K1706" s="89">
        <f t="shared" si="270"/>
        <v>1542001.1485180252</v>
      </c>
      <c r="L1706" s="88">
        <f>IF(K1709&gt;0, K1706/K1709, 0)</f>
        <v>0.43459103061714305</v>
      </c>
      <c r="M1706" s="58"/>
      <c r="N1706" s="9">
        <f>ROUND(M1709*L1706,0)</f>
        <v>1040189</v>
      </c>
      <c r="O1706" s="9">
        <v>953438</v>
      </c>
      <c r="P1706" s="9">
        <f>N1706-O1706</f>
        <v>86751</v>
      </c>
      <c r="Q1706" s="40">
        <f t="shared" si="269"/>
        <v>9.0987562903932933</v>
      </c>
      <c r="R1706" s="9">
        <v>114.19689119179999</v>
      </c>
      <c r="S1706" s="9">
        <f t="shared" si="267"/>
        <v>114.19322033717999</v>
      </c>
      <c r="T1706" s="90">
        <f t="shared" si="262"/>
        <v>340</v>
      </c>
      <c r="U1706" s="90">
        <f t="shared" si="263"/>
        <v>683</v>
      </c>
      <c r="V1706" s="373">
        <f t="shared" si="264"/>
        <v>1697</v>
      </c>
      <c r="W1706" s="90">
        <f t="shared" si="265"/>
        <v>114.19322033717999</v>
      </c>
      <c r="X1706" s="90">
        <f t="shared" si="266"/>
        <v>1542001.1485180252</v>
      </c>
      <c r="Y1706" s="141">
        <f t="shared" si="268"/>
        <v>1697</v>
      </c>
      <c r="Z1706" s="298">
        <v>340</v>
      </c>
      <c r="AA1706" s="299">
        <v>683</v>
      </c>
      <c r="AB1706" s="299">
        <v>1697</v>
      </c>
      <c r="AC1706" s="301">
        <v>114.19322033717999</v>
      </c>
      <c r="AD1706" s="301">
        <v>1542001.1485180252</v>
      </c>
      <c r="AE1706" s="126"/>
      <c r="AF1706" s="298"/>
      <c r="AG1706" s="299"/>
      <c r="AH1706" s="299"/>
      <c r="AI1706" s="301"/>
      <c r="AJ1706" s="301"/>
      <c r="AK1706" s="426"/>
      <c r="AL1706" s="298"/>
      <c r="AM1706" s="299"/>
      <c r="AN1706" s="299"/>
      <c r="AO1706" s="301"/>
      <c r="AP1706" s="301"/>
      <c r="AQ1706" s="426"/>
      <c r="AR1706" s="298"/>
      <c r="AS1706" s="299"/>
      <c r="AT1706" s="299"/>
      <c r="AU1706" s="301"/>
      <c r="AV1706" s="301"/>
      <c r="AW1706" s="88"/>
      <c r="AX1706" s="298"/>
      <c r="AY1706" s="299"/>
      <c r="AZ1706" s="299"/>
      <c r="BA1706" s="301"/>
      <c r="BB1706" s="301"/>
      <c r="BC1706" s="426"/>
      <c r="BD1706" s="298"/>
      <c r="BE1706" s="299"/>
      <c r="BF1706" s="299"/>
      <c r="BG1706" s="301"/>
      <c r="BH1706" s="301"/>
      <c r="BI1706" s="88"/>
      <c r="BJ1706" s="298"/>
      <c r="BK1706" s="299"/>
      <c r="BL1706" s="299"/>
      <c r="BM1706" s="301"/>
      <c r="BN1706" s="301"/>
      <c r="BO1706" s="88"/>
      <c r="BP1706" s="9"/>
      <c r="BS1706" s="81"/>
      <c r="BT1706" s="81"/>
      <c r="BV1706" s="9"/>
      <c r="BY1706" s="81"/>
      <c r="BZ1706" s="81"/>
      <c r="CB1706" s="9"/>
      <c r="CE1706" s="81"/>
      <c r="CF1706" s="81"/>
      <c r="CH1706" s="9"/>
      <c r="CK1706" s="81"/>
      <c r="CL1706" s="81"/>
      <c r="CR1706" s="9"/>
      <c r="CS1706" s="9"/>
      <c r="CT1706" s="9"/>
      <c r="CU1706" s="9"/>
      <c r="CV1706" s="9"/>
      <c r="CW1706" s="129"/>
      <c r="CX1706" s="9"/>
    </row>
    <row r="1707" spans="1:102">
      <c r="A1707" s="6" t="str">
        <f t="shared" si="261"/>
        <v>03400998</v>
      </c>
      <c r="B1707" s="6" t="s">
        <v>1990</v>
      </c>
      <c r="C1707" s="6" t="s">
        <v>2091</v>
      </c>
      <c r="D1707" s="6">
        <v>1698</v>
      </c>
      <c r="E1707" s="6">
        <v>340</v>
      </c>
      <c r="F1707" s="6" t="s">
        <v>1547</v>
      </c>
      <c r="G1707" s="6">
        <v>998</v>
      </c>
      <c r="H1707" s="6" t="s">
        <v>1547</v>
      </c>
      <c r="I1707" s="33">
        <v>0</v>
      </c>
      <c r="J1707" s="88">
        <v>0</v>
      </c>
      <c r="K1707" s="89">
        <f t="shared" si="270"/>
        <v>0</v>
      </c>
      <c r="L1707" s="88">
        <f>IF(K1709&gt;0, K1707/K1709, 0)</f>
        <v>0</v>
      </c>
      <c r="M1707" s="58"/>
      <c r="N1707" s="9">
        <f>ROUND(M1709*L1707,0)</f>
        <v>0</v>
      </c>
      <c r="O1707" s="9">
        <v>0</v>
      </c>
      <c r="P1707" s="9">
        <f>N1707-O1707</f>
        <v>0</v>
      </c>
      <c r="Q1707" s="40">
        <f t="shared" si="269"/>
        <v>0</v>
      </c>
      <c r="R1707" s="9">
        <v>0</v>
      </c>
      <c r="S1707" s="9">
        <f t="shared" si="267"/>
        <v>0</v>
      </c>
      <c r="T1707" s="90">
        <f t="shared" si="262"/>
        <v>340</v>
      </c>
      <c r="U1707" s="90">
        <f t="shared" si="263"/>
        <v>998</v>
      </c>
      <c r="V1707" s="373">
        <f t="shared" si="264"/>
        <v>1698</v>
      </c>
      <c r="W1707" s="90">
        <f t="shared" si="265"/>
        <v>0</v>
      </c>
      <c r="X1707" s="90">
        <f t="shared" si="266"/>
        <v>0</v>
      </c>
      <c r="Y1707" s="141">
        <f t="shared" si="268"/>
        <v>1698</v>
      </c>
      <c r="Z1707" s="298">
        <v>340</v>
      </c>
      <c r="AA1707" s="299">
        <v>998</v>
      </c>
      <c r="AB1707" s="299">
        <v>1698</v>
      </c>
      <c r="AC1707" s="301">
        <v>0</v>
      </c>
      <c r="AD1707" s="301">
        <v>0</v>
      </c>
      <c r="AE1707" s="126"/>
      <c r="AF1707" s="298"/>
      <c r="AG1707" s="299"/>
      <c r="AH1707" s="299"/>
      <c r="AI1707" s="301"/>
      <c r="AJ1707" s="301"/>
      <c r="AK1707" s="426"/>
      <c r="AL1707" s="298"/>
      <c r="AM1707" s="299"/>
      <c r="AN1707" s="299"/>
      <c r="AO1707" s="301"/>
      <c r="AP1707" s="301"/>
      <c r="AQ1707" s="426"/>
      <c r="AR1707" s="298"/>
      <c r="AS1707" s="299"/>
      <c r="AT1707" s="299"/>
      <c r="AU1707" s="301"/>
      <c r="AV1707" s="301"/>
      <c r="AW1707" s="88"/>
      <c r="AX1707" s="298"/>
      <c r="AY1707" s="299"/>
      <c r="AZ1707" s="299"/>
      <c r="BA1707" s="301"/>
      <c r="BB1707" s="301"/>
      <c r="BC1707" s="426"/>
      <c r="BD1707" s="298"/>
      <c r="BE1707" s="299"/>
      <c r="BF1707" s="299"/>
      <c r="BG1707" s="301"/>
      <c r="BH1707" s="301"/>
      <c r="BI1707" s="88"/>
      <c r="BJ1707" s="298"/>
      <c r="BK1707" s="299"/>
      <c r="BL1707" s="299"/>
      <c r="BM1707" s="301"/>
      <c r="BN1707" s="301"/>
      <c r="BO1707" s="88"/>
      <c r="BP1707" s="9"/>
      <c r="BS1707" s="81"/>
      <c r="BT1707" s="81"/>
      <c r="BV1707" s="9"/>
      <c r="BY1707" s="81"/>
      <c r="BZ1707" s="81"/>
      <c r="CB1707" s="9"/>
      <c r="CE1707" s="81"/>
      <c r="CF1707" s="81"/>
      <c r="CH1707" s="9"/>
      <c r="CK1707" s="81"/>
      <c r="CL1707" s="81"/>
      <c r="CR1707" s="9"/>
      <c r="CS1707" s="9"/>
      <c r="CT1707" s="9"/>
      <c r="CU1707" s="9"/>
      <c r="CV1707" s="9"/>
      <c r="CW1707" s="129"/>
      <c r="CX1707" s="9"/>
    </row>
    <row r="1708" spans="1:102">
      <c r="A1708" s="6" t="str">
        <f t="shared" si="261"/>
        <v>03400998</v>
      </c>
      <c r="B1708" s="6" t="s">
        <v>1990</v>
      </c>
      <c r="C1708" s="6" t="s">
        <v>2091</v>
      </c>
      <c r="D1708" s="6">
        <v>1699</v>
      </c>
      <c r="E1708" s="6">
        <v>340</v>
      </c>
      <c r="F1708" s="6" t="s">
        <v>1547</v>
      </c>
      <c r="G1708" s="6">
        <v>998</v>
      </c>
      <c r="H1708" s="6" t="s">
        <v>1547</v>
      </c>
      <c r="I1708" s="33">
        <v>0</v>
      </c>
      <c r="J1708" s="88">
        <v>0</v>
      </c>
      <c r="K1708" s="89">
        <f t="shared" si="270"/>
        <v>0</v>
      </c>
      <c r="L1708" s="88">
        <f>IF(K1709&gt;0, K1708/K1709, 0)</f>
        <v>0</v>
      </c>
      <c r="M1708" s="58"/>
      <c r="N1708" s="9">
        <f>ROUND(M1709*L1708,0)</f>
        <v>0</v>
      </c>
      <c r="O1708" s="9">
        <v>0</v>
      </c>
      <c r="P1708" s="9">
        <f>N1708-O1708</f>
        <v>0</v>
      </c>
      <c r="Q1708" s="40">
        <f t="shared" si="269"/>
        <v>0</v>
      </c>
      <c r="R1708" s="9">
        <v>0</v>
      </c>
      <c r="S1708" s="9">
        <f t="shared" si="267"/>
        <v>0</v>
      </c>
      <c r="T1708" s="90">
        <f t="shared" si="262"/>
        <v>340</v>
      </c>
      <c r="U1708" s="90">
        <f t="shared" si="263"/>
        <v>998</v>
      </c>
      <c r="V1708" s="373">
        <f t="shared" si="264"/>
        <v>1699</v>
      </c>
      <c r="W1708" s="90">
        <f t="shared" si="265"/>
        <v>0</v>
      </c>
      <c r="X1708" s="90">
        <f t="shared" si="266"/>
        <v>0</v>
      </c>
      <c r="Y1708" s="141">
        <f t="shared" si="268"/>
        <v>1699</v>
      </c>
      <c r="Z1708" s="298">
        <v>340</v>
      </c>
      <c r="AA1708" s="299">
        <v>998</v>
      </c>
      <c r="AB1708" s="299">
        <v>1699</v>
      </c>
      <c r="AC1708" s="301">
        <v>0</v>
      </c>
      <c r="AD1708" s="301">
        <v>0</v>
      </c>
      <c r="AE1708" s="126"/>
      <c r="AF1708" s="298"/>
      <c r="AG1708" s="299"/>
      <c r="AH1708" s="299"/>
      <c r="AI1708" s="301"/>
      <c r="AJ1708" s="301"/>
      <c r="AK1708" s="426"/>
      <c r="AL1708" s="298"/>
      <c r="AM1708" s="299"/>
      <c r="AN1708" s="299"/>
      <c r="AO1708" s="301"/>
      <c r="AP1708" s="301"/>
      <c r="AQ1708" s="426"/>
      <c r="AR1708" s="298"/>
      <c r="AS1708" s="299"/>
      <c r="AT1708" s="299"/>
      <c r="AU1708" s="301"/>
      <c r="AV1708" s="301"/>
      <c r="AW1708" s="88"/>
      <c r="AX1708" s="298"/>
      <c r="AY1708" s="299"/>
      <c r="AZ1708" s="299"/>
      <c r="BA1708" s="301"/>
      <c r="BB1708" s="301"/>
      <c r="BC1708" s="426"/>
      <c r="BD1708" s="298"/>
      <c r="BE1708" s="299"/>
      <c r="BF1708" s="299"/>
      <c r="BG1708" s="301"/>
      <c r="BH1708" s="301"/>
      <c r="BI1708" s="88"/>
      <c r="BJ1708" s="298"/>
      <c r="BK1708" s="299"/>
      <c r="BL1708" s="299"/>
      <c r="BM1708" s="301"/>
      <c r="BN1708" s="301"/>
      <c r="BO1708" s="88"/>
      <c r="BP1708" s="9"/>
      <c r="BS1708" s="81"/>
      <c r="BT1708" s="81"/>
      <c r="BV1708" s="9"/>
      <c r="BY1708" s="81"/>
      <c r="BZ1708" s="81"/>
      <c r="CB1708" s="9"/>
      <c r="CE1708" s="81"/>
      <c r="CF1708" s="81"/>
      <c r="CH1708" s="9"/>
      <c r="CK1708" s="81"/>
      <c r="CL1708" s="81"/>
      <c r="CR1708" s="9"/>
      <c r="CS1708" s="9"/>
      <c r="CT1708" s="9"/>
      <c r="CU1708" s="9"/>
      <c r="CV1708" s="9"/>
      <c r="CW1708" s="129"/>
      <c r="CX1708" s="9"/>
    </row>
    <row r="1709" spans="1:102">
      <c r="A1709" s="6" t="str">
        <f t="shared" si="261"/>
        <v>03400999</v>
      </c>
      <c r="B1709" s="6" t="s">
        <v>1990</v>
      </c>
      <c r="C1709" s="6" t="s">
        <v>2092</v>
      </c>
      <c r="D1709" s="6">
        <v>1700</v>
      </c>
      <c r="E1709" s="10">
        <v>340</v>
      </c>
      <c r="F1709" s="10" t="s">
        <v>1458</v>
      </c>
      <c r="G1709" s="10">
        <v>999</v>
      </c>
      <c r="H1709" s="10" t="s">
        <v>593</v>
      </c>
      <c r="I1709" s="92">
        <v>3642363.9824364269</v>
      </c>
      <c r="J1709" s="472">
        <v>1</v>
      </c>
      <c r="K1709" s="53">
        <f>SUM(K1705:K1708)</f>
        <v>3548166.0685180253</v>
      </c>
      <c r="L1709" s="91">
        <f>SUM(L1705:L1708)</f>
        <v>1</v>
      </c>
      <c r="M1709" s="79">
        <f>VLOOKUP(E1709,town351,24)</f>
        <v>2393489</v>
      </c>
      <c r="N1709" s="79">
        <f>SUM(N1705:N1708)</f>
        <v>2393489</v>
      </c>
      <c r="O1709" s="79">
        <v>2296794</v>
      </c>
      <c r="P1709" s="79">
        <f>SUM(P1705:P1708)</f>
        <v>96695</v>
      </c>
      <c r="Q1709" s="39">
        <f t="shared" si="269"/>
        <v>4.2099988070327594</v>
      </c>
      <c r="R1709" s="9">
        <v>268.19689119179998</v>
      </c>
      <c r="S1709" s="9">
        <f t="shared" si="267"/>
        <v>250.19322033717998</v>
      </c>
      <c r="T1709" s="90">
        <f t="shared" si="262"/>
        <v>340</v>
      </c>
      <c r="U1709" s="90">
        <f t="shared" si="263"/>
        <v>999</v>
      </c>
      <c r="V1709" s="373">
        <f t="shared" si="264"/>
        <v>1700</v>
      </c>
      <c r="W1709" s="90">
        <f t="shared" si="265"/>
        <v>250.19322033717998</v>
      </c>
      <c r="X1709" s="90">
        <f t="shared" si="266"/>
        <v>3548166.0685180253</v>
      </c>
      <c r="Y1709" s="141">
        <f t="shared" si="268"/>
        <v>1700</v>
      </c>
      <c r="Z1709" s="298">
        <v>340</v>
      </c>
      <c r="AA1709" s="299">
        <v>999</v>
      </c>
      <c r="AB1709" s="299">
        <v>1700</v>
      </c>
      <c r="AC1709" s="301">
        <v>250.19322033717998</v>
      </c>
      <c r="AD1709" s="301">
        <v>3548166.0685180253</v>
      </c>
      <c r="AE1709" s="126"/>
      <c r="AF1709" s="298"/>
      <c r="AG1709" s="299"/>
      <c r="AH1709" s="299"/>
      <c r="AI1709" s="301"/>
      <c r="AJ1709" s="301"/>
      <c r="AK1709" s="426"/>
      <c r="AL1709" s="298"/>
      <c r="AM1709" s="299"/>
      <c r="AN1709" s="299"/>
      <c r="AO1709" s="301"/>
      <c r="AP1709" s="301"/>
      <c r="AQ1709" s="426"/>
      <c r="AR1709" s="298"/>
      <c r="AS1709" s="299"/>
      <c r="AT1709" s="299"/>
      <c r="AU1709" s="301"/>
      <c r="AV1709" s="301"/>
      <c r="AW1709" s="91"/>
      <c r="AX1709" s="298"/>
      <c r="AY1709" s="299"/>
      <c r="AZ1709" s="299"/>
      <c r="BA1709" s="301"/>
      <c r="BB1709" s="301"/>
      <c r="BC1709" s="426"/>
      <c r="BD1709" s="298"/>
      <c r="BE1709" s="299"/>
      <c r="BF1709" s="299"/>
      <c r="BG1709" s="301"/>
      <c r="BH1709" s="301"/>
      <c r="BI1709" s="91"/>
      <c r="BJ1709" s="298"/>
      <c r="BK1709" s="299"/>
      <c r="BL1709" s="299"/>
      <c r="BM1709" s="301"/>
      <c r="BN1709" s="301"/>
      <c r="BO1709" s="91"/>
      <c r="BP1709" s="9"/>
      <c r="BS1709" s="81"/>
      <c r="BT1709" s="81"/>
      <c r="BV1709" s="9"/>
      <c r="BY1709" s="81"/>
      <c r="BZ1709" s="81"/>
      <c r="CB1709" s="9"/>
      <c r="CE1709" s="81"/>
      <c r="CF1709" s="81"/>
      <c r="CH1709" s="9"/>
      <c r="CK1709" s="81"/>
      <c r="CL1709" s="81"/>
      <c r="CR1709" s="9"/>
      <c r="CS1709" s="9"/>
      <c r="CT1709" s="9"/>
      <c r="CU1709" s="9"/>
      <c r="CV1709" s="9"/>
      <c r="CW1709" s="129"/>
      <c r="CX1709" s="9"/>
    </row>
    <row r="1710" spans="1:102">
      <c r="A1710" s="6" t="str">
        <f t="shared" si="261"/>
        <v>03410341</v>
      </c>
      <c r="B1710" s="6" t="s">
        <v>1991</v>
      </c>
      <c r="C1710" s="6" t="s">
        <v>1991</v>
      </c>
      <c r="D1710" s="6">
        <v>1701</v>
      </c>
      <c r="E1710" s="6">
        <v>341</v>
      </c>
      <c r="F1710" s="6" t="s">
        <v>1459</v>
      </c>
      <c r="G1710" s="6">
        <v>341</v>
      </c>
      <c r="H1710" s="6" t="s">
        <v>1022</v>
      </c>
      <c r="I1710" s="33">
        <v>0</v>
      </c>
      <c r="J1710" s="88">
        <v>0</v>
      </c>
      <c r="K1710" s="89">
        <f>X1710</f>
        <v>0</v>
      </c>
      <c r="L1710" s="88">
        <f>IF(K1714&gt;0, K1710/K1714, 0)</f>
        <v>0</v>
      </c>
      <c r="M1710" s="58"/>
      <c r="N1710" s="9">
        <f>ROUND(M1714*L1710,0)</f>
        <v>0</v>
      </c>
      <c r="O1710" s="9">
        <v>0</v>
      </c>
      <c r="P1710" s="9">
        <f>N1710-O1710</f>
        <v>0</v>
      </c>
      <c r="Q1710" s="40">
        <f t="shared" si="269"/>
        <v>0</v>
      </c>
      <c r="R1710" s="9">
        <v>0</v>
      </c>
      <c r="S1710" s="9">
        <f t="shared" si="267"/>
        <v>0</v>
      </c>
      <c r="T1710" s="90">
        <f t="shared" si="262"/>
        <v>341</v>
      </c>
      <c r="U1710" s="90">
        <f t="shared" si="263"/>
        <v>341</v>
      </c>
      <c r="V1710" s="373">
        <f t="shared" si="264"/>
        <v>1701</v>
      </c>
      <c r="W1710" s="90">
        <f t="shared" si="265"/>
        <v>0</v>
      </c>
      <c r="X1710" s="90">
        <f t="shared" si="266"/>
        <v>0</v>
      </c>
      <c r="Y1710" s="141">
        <f t="shared" si="268"/>
        <v>1701</v>
      </c>
      <c r="Z1710" s="298">
        <v>341</v>
      </c>
      <c r="AA1710" s="299">
        <v>341</v>
      </c>
      <c r="AB1710" s="299">
        <v>1701</v>
      </c>
      <c r="AC1710" s="301">
        <v>0</v>
      </c>
      <c r="AD1710" s="301">
        <v>0</v>
      </c>
      <c r="AE1710" s="126"/>
      <c r="AF1710" s="298"/>
      <c r="AG1710" s="299"/>
      <c r="AH1710" s="299"/>
      <c r="AI1710" s="301"/>
      <c r="AJ1710" s="301"/>
      <c r="AK1710" s="426"/>
      <c r="AL1710" s="298"/>
      <c r="AM1710" s="299"/>
      <c r="AN1710" s="299"/>
      <c r="AO1710" s="301"/>
      <c r="AP1710" s="301"/>
      <c r="AQ1710" s="426"/>
      <c r="AR1710" s="298"/>
      <c r="AS1710" s="299"/>
      <c r="AT1710" s="299"/>
      <c r="AU1710" s="301"/>
      <c r="AV1710" s="301"/>
      <c r="AW1710" s="88"/>
      <c r="AX1710" s="298"/>
      <c r="AY1710" s="299"/>
      <c r="AZ1710" s="299"/>
      <c r="BA1710" s="301"/>
      <c r="BB1710" s="301"/>
      <c r="BC1710" s="426"/>
      <c r="BD1710" s="298"/>
      <c r="BE1710" s="299"/>
      <c r="BF1710" s="299"/>
      <c r="BG1710" s="301"/>
      <c r="BH1710" s="301"/>
      <c r="BI1710" s="88"/>
      <c r="BJ1710" s="298"/>
      <c r="BK1710" s="299"/>
      <c r="BL1710" s="299"/>
      <c r="BM1710" s="301"/>
      <c r="BN1710" s="301"/>
      <c r="BO1710" s="88"/>
      <c r="BP1710" s="9"/>
      <c r="BS1710" s="81"/>
      <c r="BT1710" s="81"/>
      <c r="BV1710" s="9"/>
      <c r="BY1710" s="81"/>
      <c r="BZ1710" s="81"/>
      <c r="CB1710" s="9"/>
      <c r="CE1710" s="81"/>
      <c r="CF1710" s="81"/>
      <c r="CH1710" s="9"/>
      <c r="CK1710" s="81"/>
      <c r="CL1710" s="81"/>
      <c r="CR1710" s="9"/>
      <c r="CS1710" s="9"/>
      <c r="CT1710" s="9"/>
      <c r="CU1710" s="9"/>
      <c r="CV1710" s="9"/>
      <c r="CW1710" s="129"/>
      <c r="CX1710" s="9"/>
    </row>
    <row r="1711" spans="1:102">
      <c r="A1711" s="6" t="str">
        <f t="shared" si="261"/>
        <v>03410715</v>
      </c>
      <c r="B1711" s="6" t="s">
        <v>1991</v>
      </c>
      <c r="C1711" s="6" t="s">
        <v>2039</v>
      </c>
      <c r="D1711" s="6">
        <v>1702</v>
      </c>
      <c r="E1711" s="6">
        <v>341</v>
      </c>
      <c r="F1711" s="6" t="s">
        <v>1459</v>
      </c>
      <c r="G1711" s="6">
        <v>715</v>
      </c>
      <c r="H1711" s="6" t="s">
        <v>1069</v>
      </c>
      <c r="I1711" s="33">
        <v>9536003.5327481683</v>
      </c>
      <c r="J1711" s="88">
        <v>0.9657182670241683</v>
      </c>
      <c r="K1711" s="89">
        <f t="shared" si="270"/>
        <v>9908699.3657844961</v>
      </c>
      <c r="L1711" s="88">
        <f>IF(K1714&gt;0, K1711/K1714, 0)</f>
        <v>0.95965649919461715</v>
      </c>
      <c r="M1711" s="58"/>
      <c r="N1711" s="9">
        <f>ROUND(M1714*L1711,0)</f>
        <v>7296914</v>
      </c>
      <c r="O1711" s="9">
        <v>6933905</v>
      </c>
      <c r="P1711" s="9">
        <f>N1711-O1711</f>
        <v>363009</v>
      </c>
      <c r="Q1711" s="40">
        <f t="shared" si="269"/>
        <v>5.2352750722716852</v>
      </c>
      <c r="R1711" s="9">
        <v>723.02425876001996</v>
      </c>
      <c r="S1711" s="9">
        <f t="shared" si="267"/>
        <v>730.19047619564992</v>
      </c>
      <c r="T1711" s="90">
        <f t="shared" si="262"/>
        <v>341</v>
      </c>
      <c r="U1711" s="90">
        <f t="shared" si="263"/>
        <v>715</v>
      </c>
      <c r="V1711" s="373">
        <f t="shared" si="264"/>
        <v>1702</v>
      </c>
      <c r="W1711" s="90">
        <f t="shared" si="265"/>
        <v>730.19047619564992</v>
      </c>
      <c r="X1711" s="90">
        <f t="shared" si="266"/>
        <v>9908699.3657844961</v>
      </c>
      <c r="Y1711" s="141">
        <f t="shared" si="268"/>
        <v>1702</v>
      </c>
      <c r="Z1711" s="298">
        <v>341</v>
      </c>
      <c r="AA1711" s="299">
        <v>715</v>
      </c>
      <c r="AB1711" s="299">
        <v>1702</v>
      </c>
      <c r="AC1711" s="301">
        <v>730.19047619564992</v>
      </c>
      <c r="AD1711" s="301">
        <v>9908699.3657844961</v>
      </c>
      <c r="AE1711" s="126"/>
      <c r="AF1711" s="298"/>
      <c r="AG1711" s="299"/>
      <c r="AH1711" s="299"/>
      <c r="AI1711" s="301"/>
      <c r="AJ1711" s="301"/>
      <c r="AK1711" s="426"/>
      <c r="AL1711" s="298"/>
      <c r="AM1711" s="299"/>
      <c r="AN1711" s="299"/>
      <c r="AO1711" s="301"/>
      <c r="AP1711" s="301"/>
      <c r="AQ1711" s="426"/>
      <c r="AR1711" s="298"/>
      <c r="AS1711" s="299"/>
      <c r="AT1711" s="299"/>
      <c r="AU1711" s="301"/>
      <c r="AV1711" s="301"/>
      <c r="AW1711" s="88"/>
      <c r="AX1711" s="298"/>
      <c r="AY1711" s="299"/>
      <c r="AZ1711" s="299"/>
      <c r="BA1711" s="301"/>
      <c r="BB1711" s="301"/>
      <c r="BC1711" s="426"/>
      <c r="BD1711" s="298"/>
      <c r="BE1711" s="299"/>
      <c r="BF1711" s="299"/>
      <c r="BG1711" s="301"/>
      <c r="BH1711" s="301"/>
      <c r="BI1711" s="88"/>
      <c r="BJ1711" s="298"/>
      <c r="BK1711" s="299"/>
      <c r="BL1711" s="299"/>
      <c r="BM1711" s="301"/>
      <c r="BN1711" s="301"/>
      <c r="BO1711" s="88"/>
      <c r="BP1711" s="9"/>
      <c r="BS1711" s="81"/>
      <c r="BT1711" s="81"/>
      <c r="BV1711" s="9"/>
      <c r="BY1711" s="81"/>
      <c r="BZ1711" s="81"/>
      <c r="CB1711" s="9"/>
      <c r="CE1711" s="81"/>
      <c r="CF1711" s="81"/>
      <c r="CH1711" s="9"/>
      <c r="CK1711" s="81"/>
      <c r="CL1711" s="81"/>
      <c r="CR1711" s="9"/>
      <c r="CS1711" s="9"/>
      <c r="CT1711" s="9"/>
      <c r="CU1711" s="9"/>
      <c r="CV1711" s="9"/>
      <c r="CW1711" s="129"/>
      <c r="CX1711" s="9"/>
    </row>
    <row r="1712" spans="1:102">
      <c r="A1712" s="6" t="str">
        <f t="shared" si="261"/>
        <v>03410851</v>
      </c>
      <c r="B1712" s="6" t="s">
        <v>1991</v>
      </c>
      <c r="C1712" s="6" t="s">
        <v>2076</v>
      </c>
      <c r="D1712" s="6">
        <v>1703</v>
      </c>
      <c r="E1712" s="6">
        <v>341</v>
      </c>
      <c r="F1712" s="6" t="s">
        <v>1459</v>
      </c>
      <c r="G1712" s="6">
        <v>851</v>
      </c>
      <c r="H1712" s="6" t="s">
        <v>1106</v>
      </c>
      <c r="I1712" s="33">
        <v>338515.62917374156</v>
      </c>
      <c r="J1712" s="88">
        <v>3.4281732975831827E-2</v>
      </c>
      <c r="K1712" s="89">
        <f t="shared" si="270"/>
        <v>416556.98802572693</v>
      </c>
      <c r="L1712" s="88">
        <f>IF(K1714&gt;0, K1712/K1714, 0)</f>
        <v>4.0343500805382834E-2</v>
      </c>
      <c r="M1712" s="58"/>
      <c r="N1712" s="9">
        <f>ROUND(M1714*L1712,0)</f>
        <v>306759</v>
      </c>
      <c r="O1712" s="9">
        <v>246145</v>
      </c>
      <c r="P1712" s="9">
        <f>N1712-O1712</f>
        <v>60614</v>
      </c>
      <c r="Q1712" s="40">
        <f t="shared" si="269"/>
        <v>24.625322472526356</v>
      </c>
      <c r="R1712" s="9">
        <v>15.99999999774</v>
      </c>
      <c r="S1712" s="9">
        <f t="shared" si="267"/>
        <v>18.999999997699998</v>
      </c>
      <c r="T1712" s="90">
        <f t="shared" si="262"/>
        <v>341</v>
      </c>
      <c r="U1712" s="90">
        <f t="shared" si="263"/>
        <v>851</v>
      </c>
      <c r="V1712" s="373">
        <f t="shared" si="264"/>
        <v>1703</v>
      </c>
      <c r="W1712" s="90">
        <f t="shared" si="265"/>
        <v>18.999999997699998</v>
      </c>
      <c r="X1712" s="90">
        <f t="shared" si="266"/>
        <v>416556.98802572693</v>
      </c>
      <c r="Y1712" s="141">
        <f t="shared" si="268"/>
        <v>1703</v>
      </c>
      <c r="Z1712" s="298">
        <v>341</v>
      </c>
      <c r="AA1712" s="299">
        <v>851</v>
      </c>
      <c r="AB1712" s="299">
        <v>1703</v>
      </c>
      <c r="AC1712" s="301">
        <v>18.999999997699998</v>
      </c>
      <c r="AD1712" s="301">
        <v>416556.98802572693</v>
      </c>
      <c r="AE1712" s="126"/>
      <c r="AF1712" s="298"/>
      <c r="AG1712" s="299"/>
      <c r="AH1712" s="299"/>
      <c r="AI1712" s="301"/>
      <c r="AJ1712" s="301"/>
      <c r="AK1712" s="426"/>
      <c r="AL1712" s="298"/>
      <c r="AM1712" s="299"/>
      <c r="AN1712" s="299"/>
      <c r="AO1712" s="301"/>
      <c r="AP1712" s="301"/>
      <c r="AQ1712" s="426"/>
      <c r="AR1712" s="298"/>
      <c r="AS1712" s="299"/>
      <c r="AT1712" s="299"/>
      <c r="AU1712" s="301"/>
      <c r="AV1712" s="301"/>
      <c r="AW1712" s="88"/>
      <c r="AX1712" s="298"/>
      <c r="AY1712" s="299"/>
      <c r="AZ1712" s="299"/>
      <c r="BA1712" s="301"/>
      <c r="BB1712" s="301"/>
      <c r="BC1712" s="426"/>
      <c r="BD1712" s="298"/>
      <c r="BE1712" s="299"/>
      <c r="BF1712" s="299"/>
      <c r="BG1712" s="301"/>
      <c r="BH1712" s="301"/>
      <c r="BI1712" s="88"/>
      <c r="BJ1712" s="298"/>
      <c r="BK1712" s="299"/>
      <c r="BL1712" s="299"/>
      <c r="BM1712" s="301"/>
      <c r="BN1712" s="301"/>
      <c r="BO1712" s="88"/>
      <c r="BP1712" s="9"/>
      <c r="BS1712" s="81"/>
      <c r="BT1712" s="81"/>
      <c r="BV1712" s="9"/>
      <c r="BY1712" s="81"/>
      <c r="BZ1712" s="81"/>
      <c r="CB1712" s="9"/>
      <c r="CE1712" s="81"/>
      <c r="CF1712" s="81"/>
      <c r="CH1712" s="9"/>
      <c r="CK1712" s="81"/>
      <c r="CL1712" s="81"/>
      <c r="CR1712" s="9"/>
      <c r="CS1712" s="9"/>
      <c r="CT1712" s="9"/>
      <c r="CU1712" s="9"/>
      <c r="CV1712" s="9"/>
      <c r="CW1712" s="129"/>
      <c r="CX1712" s="9"/>
    </row>
    <row r="1713" spans="1:102">
      <c r="A1713" s="6" t="str">
        <f t="shared" si="261"/>
        <v>03410998</v>
      </c>
      <c r="B1713" s="6" t="s">
        <v>1991</v>
      </c>
      <c r="C1713" s="6" t="s">
        <v>2091</v>
      </c>
      <c r="D1713" s="6">
        <v>1704</v>
      </c>
      <c r="E1713" s="6">
        <v>341</v>
      </c>
      <c r="F1713" s="6" t="s">
        <v>1547</v>
      </c>
      <c r="G1713" s="6">
        <v>998</v>
      </c>
      <c r="H1713" s="6" t="s">
        <v>1547</v>
      </c>
      <c r="I1713" s="33">
        <v>0</v>
      </c>
      <c r="J1713" s="88">
        <v>0</v>
      </c>
      <c r="K1713" s="89">
        <f t="shared" si="270"/>
        <v>0</v>
      </c>
      <c r="L1713" s="88">
        <f>IF(K1714&gt;0, K1713/K1714, 0)</f>
        <v>0</v>
      </c>
      <c r="M1713" s="58"/>
      <c r="N1713" s="9">
        <f>ROUND(M1714*L1713,0)</f>
        <v>0</v>
      </c>
      <c r="O1713" s="9">
        <v>0</v>
      </c>
      <c r="P1713" s="9">
        <f>N1713-O1713</f>
        <v>0</v>
      </c>
      <c r="Q1713" s="40">
        <f t="shared" si="269"/>
        <v>0</v>
      </c>
      <c r="R1713" s="9">
        <v>0</v>
      </c>
      <c r="S1713" s="9">
        <f t="shared" si="267"/>
        <v>0</v>
      </c>
      <c r="T1713" s="90">
        <f t="shared" si="262"/>
        <v>341</v>
      </c>
      <c r="U1713" s="90">
        <f t="shared" si="263"/>
        <v>998</v>
      </c>
      <c r="V1713" s="373">
        <f t="shared" si="264"/>
        <v>1704</v>
      </c>
      <c r="W1713" s="90">
        <f t="shared" si="265"/>
        <v>0</v>
      </c>
      <c r="X1713" s="90">
        <f t="shared" si="266"/>
        <v>0</v>
      </c>
      <c r="Y1713" s="141">
        <f t="shared" si="268"/>
        <v>1704</v>
      </c>
      <c r="Z1713" s="298">
        <v>341</v>
      </c>
      <c r="AA1713" s="299">
        <v>998</v>
      </c>
      <c r="AB1713" s="299">
        <v>1704</v>
      </c>
      <c r="AC1713" s="301">
        <v>0</v>
      </c>
      <c r="AD1713" s="301">
        <v>0</v>
      </c>
      <c r="AE1713" s="126"/>
      <c r="AF1713" s="298"/>
      <c r="AG1713" s="299"/>
      <c r="AH1713" s="299"/>
      <c r="AI1713" s="301"/>
      <c r="AJ1713" s="301"/>
      <c r="AK1713" s="426"/>
      <c r="AL1713" s="298"/>
      <c r="AM1713" s="299"/>
      <c r="AN1713" s="299"/>
      <c r="AO1713" s="301"/>
      <c r="AP1713" s="301"/>
      <c r="AQ1713" s="426"/>
      <c r="AR1713" s="298"/>
      <c r="AS1713" s="299"/>
      <c r="AT1713" s="299"/>
      <c r="AU1713" s="301"/>
      <c r="AV1713" s="301"/>
      <c r="AW1713" s="88"/>
      <c r="AX1713" s="298"/>
      <c r="AY1713" s="299"/>
      <c r="AZ1713" s="299"/>
      <c r="BA1713" s="301"/>
      <c r="BB1713" s="301"/>
      <c r="BC1713" s="426"/>
      <c r="BD1713" s="298"/>
      <c r="BE1713" s="299"/>
      <c r="BF1713" s="299"/>
      <c r="BG1713" s="301"/>
      <c r="BH1713" s="301"/>
      <c r="BI1713" s="88"/>
      <c r="BJ1713" s="298"/>
      <c r="BK1713" s="299"/>
      <c r="BL1713" s="299"/>
      <c r="BM1713" s="301"/>
      <c r="BN1713" s="301"/>
      <c r="BO1713" s="88"/>
      <c r="BP1713" s="9"/>
      <c r="BS1713" s="81"/>
      <c r="BT1713" s="81"/>
      <c r="BV1713" s="9"/>
      <c r="BY1713" s="81"/>
      <c r="BZ1713" s="81"/>
      <c r="CB1713" s="9"/>
      <c r="CE1713" s="81"/>
      <c r="CF1713" s="81"/>
      <c r="CH1713" s="9"/>
      <c r="CK1713" s="81"/>
      <c r="CL1713" s="81"/>
      <c r="CR1713" s="9"/>
      <c r="CS1713" s="9"/>
      <c r="CT1713" s="9"/>
      <c r="CU1713" s="9"/>
      <c r="CV1713" s="9"/>
      <c r="CW1713" s="129"/>
      <c r="CX1713" s="9"/>
    </row>
    <row r="1714" spans="1:102">
      <c r="A1714" s="6" t="str">
        <f t="shared" si="261"/>
        <v>03410999</v>
      </c>
      <c r="B1714" s="6" t="s">
        <v>1991</v>
      </c>
      <c r="C1714" s="6" t="s">
        <v>2092</v>
      </c>
      <c r="D1714" s="6">
        <v>1705</v>
      </c>
      <c r="E1714" s="10">
        <v>341</v>
      </c>
      <c r="F1714" s="10" t="s">
        <v>1459</v>
      </c>
      <c r="G1714" s="10">
        <v>999</v>
      </c>
      <c r="H1714" s="10" t="s">
        <v>593</v>
      </c>
      <c r="I1714" s="92">
        <v>9874519.1619219091</v>
      </c>
      <c r="J1714" s="472">
        <v>1.0000000000000002</v>
      </c>
      <c r="K1714" s="53">
        <f>SUM(K1710:K1713)</f>
        <v>10325256.353810223</v>
      </c>
      <c r="L1714" s="91">
        <f>SUM(L1710:L1713)</f>
        <v>1</v>
      </c>
      <c r="M1714" s="79">
        <f>VLOOKUP(E1714,town351,24)</f>
        <v>7603673</v>
      </c>
      <c r="N1714" s="79">
        <f>SUM(N1710:N1713)</f>
        <v>7603673</v>
      </c>
      <c r="O1714" s="79">
        <v>7180050</v>
      </c>
      <c r="P1714" s="79">
        <f>SUM(P1710:P1713)</f>
        <v>423623</v>
      </c>
      <c r="Q1714" s="39">
        <f t="shared" si="269"/>
        <v>5.9000006963739811</v>
      </c>
      <c r="R1714" s="9">
        <v>739.02425875775998</v>
      </c>
      <c r="S1714" s="9">
        <f t="shared" si="267"/>
        <v>749.19047619334992</v>
      </c>
      <c r="T1714" s="90">
        <f t="shared" si="262"/>
        <v>341</v>
      </c>
      <c r="U1714" s="90">
        <f t="shared" si="263"/>
        <v>999</v>
      </c>
      <c r="V1714" s="373">
        <f t="shared" si="264"/>
        <v>1705</v>
      </c>
      <c r="W1714" s="90">
        <f t="shared" si="265"/>
        <v>749.19047619334992</v>
      </c>
      <c r="X1714" s="90">
        <f t="shared" si="266"/>
        <v>10325256.353810223</v>
      </c>
      <c r="Y1714" s="141">
        <f t="shared" si="268"/>
        <v>1705</v>
      </c>
      <c r="Z1714" s="298">
        <v>341</v>
      </c>
      <c r="AA1714" s="299">
        <v>999</v>
      </c>
      <c r="AB1714" s="299">
        <v>1705</v>
      </c>
      <c r="AC1714" s="301">
        <v>749.19047619334992</v>
      </c>
      <c r="AD1714" s="301">
        <v>10325256.353810223</v>
      </c>
      <c r="AE1714" s="126"/>
      <c r="AF1714" s="298"/>
      <c r="AG1714" s="299"/>
      <c r="AH1714" s="299"/>
      <c r="AI1714" s="301"/>
      <c r="AJ1714" s="301"/>
      <c r="AK1714" s="426"/>
      <c r="AL1714" s="298"/>
      <c r="AM1714" s="299"/>
      <c r="AN1714" s="299"/>
      <c r="AO1714" s="301"/>
      <c r="AP1714" s="301"/>
      <c r="AQ1714" s="426"/>
      <c r="AR1714" s="298"/>
      <c r="AS1714" s="299"/>
      <c r="AT1714" s="299"/>
      <c r="AU1714" s="301"/>
      <c r="AV1714" s="301"/>
      <c r="AW1714" s="91"/>
      <c r="AX1714" s="298"/>
      <c r="AY1714" s="299"/>
      <c r="AZ1714" s="299"/>
      <c r="BA1714" s="301"/>
      <c r="BB1714" s="301"/>
      <c r="BC1714" s="426"/>
      <c r="BD1714" s="298"/>
      <c r="BE1714" s="299"/>
      <c r="BF1714" s="299"/>
      <c r="BG1714" s="301"/>
      <c r="BH1714" s="301"/>
      <c r="BI1714" s="91"/>
      <c r="BJ1714" s="298"/>
      <c r="BK1714" s="299"/>
      <c r="BL1714" s="299"/>
      <c r="BM1714" s="301"/>
      <c r="BN1714" s="301"/>
      <c r="BO1714" s="91"/>
      <c r="BP1714" s="9"/>
      <c r="BS1714" s="81"/>
      <c r="BT1714" s="81"/>
      <c r="BV1714" s="9"/>
      <c r="BY1714" s="81"/>
      <c r="BZ1714" s="81"/>
      <c r="CB1714" s="9"/>
      <c r="CE1714" s="81"/>
      <c r="CF1714" s="81"/>
      <c r="CH1714" s="9"/>
      <c r="CK1714" s="81"/>
      <c r="CL1714" s="81"/>
      <c r="CR1714" s="9"/>
      <c r="CS1714" s="9"/>
      <c r="CT1714" s="9"/>
      <c r="CU1714" s="9"/>
      <c r="CV1714" s="9"/>
      <c r="CW1714" s="129"/>
      <c r="CX1714" s="9"/>
    </row>
    <row r="1715" spans="1:102">
      <c r="A1715" s="6" t="str">
        <f t="shared" si="261"/>
        <v>03420342</v>
      </c>
      <c r="B1715" s="6" t="s">
        <v>1992</v>
      </c>
      <c r="C1715" s="6" t="s">
        <v>1992</v>
      </c>
      <c r="D1715" s="6">
        <v>1706</v>
      </c>
      <c r="E1715" s="6">
        <v>342</v>
      </c>
      <c r="F1715" s="6" t="s">
        <v>1460</v>
      </c>
      <c r="G1715" s="6">
        <v>342</v>
      </c>
      <c r="H1715" s="6" t="s">
        <v>1023</v>
      </c>
      <c r="I1715" s="33">
        <v>36154606.173280001</v>
      </c>
      <c r="J1715" s="88">
        <v>0.8565474734245635</v>
      </c>
      <c r="K1715" s="89">
        <f>X1715</f>
        <v>36803962.054719999</v>
      </c>
      <c r="L1715" s="88">
        <f>IF(K1719&gt;0, K1715/K1719, 0)</f>
        <v>0.85417021768001655</v>
      </c>
      <c r="M1715" s="58"/>
      <c r="N1715" s="9">
        <f>ROUND(M1719*L1715,0)</f>
        <v>29777494</v>
      </c>
      <c r="O1715" s="9">
        <v>28577249</v>
      </c>
      <c r="P1715" s="9">
        <f>N1715-O1715</f>
        <v>1200245</v>
      </c>
      <c r="Q1715" s="40">
        <f t="shared" si="269"/>
        <v>4.2000018966136317</v>
      </c>
      <c r="R1715" s="9">
        <v>2832</v>
      </c>
      <c r="S1715" s="9">
        <f t="shared" si="267"/>
        <v>2805</v>
      </c>
      <c r="T1715" s="90">
        <f t="shared" si="262"/>
        <v>342</v>
      </c>
      <c r="U1715" s="90">
        <f t="shared" si="263"/>
        <v>342</v>
      </c>
      <c r="V1715" s="373">
        <f t="shared" si="264"/>
        <v>1706</v>
      </c>
      <c r="W1715" s="90">
        <f t="shared" si="265"/>
        <v>2805</v>
      </c>
      <c r="X1715" s="90">
        <f t="shared" si="266"/>
        <v>36803962.054719999</v>
      </c>
      <c r="Y1715" s="141">
        <f t="shared" si="268"/>
        <v>1706</v>
      </c>
      <c r="Z1715" s="298">
        <v>342</v>
      </c>
      <c r="AA1715" s="299">
        <v>342</v>
      </c>
      <c r="AB1715" s="299">
        <v>1706</v>
      </c>
      <c r="AC1715" s="301">
        <v>2805</v>
      </c>
      <c r="AD1715" s="301">
        <v>36803962.054719999</v>
      </c>
      <c r="AE1715" s="126"/>
      <c r="AF1715" s="298"/>
      <c r="AG1715" s="299"/>
      <c r="AH1715" s="299"/>
      <c r="AI1715" s="301"/>
      <c r="AJ1715" s="301"/>
      <c r="AK1715" s="426"/>
      <c r="AL1715" s="298"/>
      <c r="AM1715" s="299"/>
      <c r="AN1715" s="299"/>
      <c r="AO1715" s="301"/>
      <c r="AP1715" s="301"/>
      <c r="AQ1715" s="426"/>
      <c r="AR1715" s="298"/>
      <c r="AS1715" s="299"/>
      <c r="AT1715" s="299"/>
      <c r="AU1715" s="301"/>
      <c r="AV1715" s="301"/>
      <c r="AW1715" s="88"/>
      <c r="AX1715" s="298"/>
      <c r="AY1715" s="299"/>
      <c r="AZ1715" s="299"/>
      <c r="BA1715" s="301"/>
      <c r="BB1715" s="301"/>
      <c r="BC1715" s="426"/>
      <c r="BD1715" s="298"/>
      <c r="BE1715" s="299"/>
      <c r="BF1715" s="299"/>
      <c r="BG1715" s="301"/>
      <c r="BH1715" s="301"/>
      <c r="BI1715" s="88"/>
      <c r="BJ1715" s="298"/>
      <c r="BK1715" s="299"/>
      <c r="BL1715" s="299"/>
      <c r="BM1715" s="301"/>
      <c r="BN1715" s="301"/>
      <c r="BO1715" s="88"/>
      <c r="BP1715" s="9"/>
      <c r="BS1715" s="81"/>
      <c r="BT1715" s="81"/>
      <c r="BV1715" s="9"/>
      <c r="BY1715" s="81"/>
      <c r="BZ1715" s="81"/>
      <c r="CB1715" s="9"/>
      <c r="CE1715" s="81"/>
      <c r="CF1715" s="81"/>
      <c r="CH1715" s="9"/>
      <c r="CK1715" s="81"/>
      <c r="CL1715" s="81"/>
      <c r="CR1715" s="9"/>
      <c r="CS1715" s="9"/>
      <c r="CT1715" s="9"/>
      <c r="CU1715" s="9"/>
      <c r="CV1715" s="9"/>
      <c r="CW1715" s="129"/>
      <c r="CX1715" s="9"/>
    </row>
    <row r="1716" spans="1:102">
      <c r="A1716" s="6" t="str">
        <f t="shared" si="261"/>
        <v>03420871</v>
      </c>
      <c r="B1716" s="6" t="s">
        <v>1992</v>
      </c>
      <c r="C1716" s="6" t="s">
        <v>2081</v>
      </c>
      <c r="D1716" s="6">
        <v>1707</v>
      </c>
      <c r="E1716" s="6">
        <v>342</v>
      </c>
      <c r="F1716" s="6" t="s">
        <v>1460</v>
      </c>
      <c r="G1716" s="6">
        <v>871</v>
      </c>
      <c r="H1716" s="6" t="s">
        <v>1111</v>
      </c>
      <c r="I1716" s="33">
        <v>6055087.1537345843</v>
      </c>
      <c r="J1716" s="88">
        <v>0.1434525265754365</v>
      </c>
      <c r="K1716" s="89">
        <f t="shared" si="270"/>
        <v>6283424.1511372142</v>
      </c>
      <c r="L1716" s="88">
        <f>IF(K1719&gt;0, K1716/K1719, 0)</f>
        <v>0.14582978231998342</v>
      </c>
      <c r="M1716" s="58"/>
      <c r="N1716" s="9">
        <f>ROUND(M1719*L1716,0)</f>
        <v>5083817</v>
      </c>
      <c r="O1716" s="9">
        <v>4786050</v>
      </c>
      <c r="P1716" s="9">
        <f>N1716-O1716</f>
        <v>297767</v>
      </c>
      <c r="Q1716" s="40">
        <f t="shared" si="269"/>
        <v>6.2215605770938458</v>
      </c>
      <c r="R1716" s="9">
        <v>313.99999999865003</v>
      </c>
      <c r="S1716" s="9">
        <f t="shared" si="267"/>
        <v>318.00000000647998</v>
      </c>
      <c r="T1716" s="90">
        <f t="shared" si="262"/>
        <v>342</v>
      </c>
      <c r="U1716" s="90">
        <f t="shared" si="263"/>
        <v>871</v>
      </c>
      <c r="V1716" s="373">
        <f t="shared" si="264"/>
        <v>1707</v>
      </c>
      <c r="W1716" s="90">
        <f t="shared" si="265"/>
        <v>318.00000000647998</v>
      </c>
      <c r="X1716" s="90">
        <f t="shared" si="266"/>
        <v>6283424.1511372142</v>
      </c>
      <c r="Y1716" s="141">
        <f t="shared" si="268"/>
        <v>1707</v>
      </c>
      <c r="Z1716" s="298">
        <v>342</v>
      </c>
      <c r="AA1716" s="299">
        <v>871</v>
      </c>
      <c r="AB1716" s="299">
        <v>1707</v>
      </c>
      <c r="AC1716" s="301">
        <v>318.00000000647998</v>
      </c>
      <c r="AD1716" s="301">
        <v>6283424.1511372142</v>
      </c>
      <c r="AE1716" s="126"/>
      <c r="AF1716" s="298"/>
      <c r="AG1716" s="299"/>
      <c r="AH1716" s="299"/>
      <c r="AI1716" s="301"/>
      <c r="AJ1716" s="301"/>
      <c r="AK1716" s="426"/>
      <c r="AL1716" s="298"/>
      <c r="AM1716" s="299"/>
      <c r="AN1716" s="299"/>
      <c r="AO1716" s="301"/>
      <c r="AP1716" s="301"/>
      <c r="AQ1716" s="426"/>
      <c r="AR1716" s="298"/>
      <c r="AS1716" s="299"/>
      <c r="AT1716" s="299"/>
      <c r="AU1716" s="301"/>
      <c r="AV1716" s="301"/>
      <c r="AW1716" s="88"/>
      <c r="AX1716" s="298"/>
      <c r="AY1716" s="299"/>
      <c r="AZ1716" s="299"/>
      <c r="BA1716" s="301"/>
      <c r="BB1716" s="301"/>
      <c r="BC1716" s="426"/>
      <c r="BD1716" s="298"/>
      <c r="BE1716" s="299"/>
      <c r="BF1716" s="299"/>
      <c r="BG1716" s="301"/>
      <c r="BH1716" s="301"/>
      <c r="BI1716" s="88"/>
      <c r="BJ1716" s="298"/>
      <c r="BK1716" s="299"/>
      <c r="BL1716" s="299"/>
      <c r="BM1716" s="301"/>
      <c r="BN1716" s="301"/>
      <c r="BO1716" s="88"/>
      <c r="BP1716" s="9"/>
      <c r="BS1716" s="81"/>
      <c r="BT1716" s="81"/>
      <c r="BV1716" s="9"/>
      <c r="BY1716" s="81"/>
      <c r="BZ1716" s="81"/>
      <c r="CB1716" s="9"/>
      <c r="CE1716" s="81"/>
      <c r="CF1716" s="81"/>
      <c r="CH1716" s="9"/>
      <c r="CK1716" s="81"/>
      <c r="CL1716" s="81"/>
      <c r="CR1716" s="9"/>
      <c r="CS1716" s="9"/>
      <c r="CT1716" s="9"/>
      <c r="CU1716" s="9"/>
      <c r="CV1716" s="9"/>
      <c r="CW1716" s="129"/>
      <c r="CX1716" s="9"/>
    </row>
    <row r="1717" spans="1:102">
      <c r="A1717" s="6" t="str">
        <f t="shared" si="261"/>
        <v>03420998</v>
      </c>
      <c r="B1717" s="6" t="s">
        <v>1992</v>
      </c>
      <c r="C1717" s="6" t="s">
        <v>2091</v>
      </c>
      <c r="D1717" s="6">
        <v>1708</v>
      </c>
      <c r="E1717" s="6">
        <v>342</v>
      </c>
      <c r="F1717" s="6" t="s">
        <v>1547</v>
      </c>
      <c r="G1717" s="6">
        <v>998</v>
      </c>
      <c r="I1717" s="33">
        <v>0</v>
      </c>
      <c r="J1717" s="88">
        <v>0</v>
      </c>
      <c r="K1717" s="89">
        <f t="shared" si="270"/>
        <v>0</v>
      </c>
      <c r="L1717" s="88">
        <f>IF(K1719&gt;0, K1717/K1719, 0)</f>
        <v>0</v>
      </c>
      <c r="M1717" s="58"/>
      <c r="N1717" s="9">
        <f>ROUND(M1719*L1717,0)</f>
        <v>0</v>
      </c>
      <c r="O1717" s="9">
        <v>0</v>
      </c>
      <c r="P1717" s="9">
        <f>N1717-O1717</f>
        <v>0</v>
      </c>
      <c r="Q1717" s="40">
        <f t="shared" si="269"/>
        <v>0</v>
      </c>
      <c r="R1717" s="9">
        <v>0</v>
      </c>
      <c r="S1717" s="9">
        <f t="shared" si="267"/>
        <v>0</v>
      </c>
      <c r="T1717" s="90">
        <f t="shared" si="262"/>
        <v>342</v>
      </c>
      <c r="U1717" s="90">
        <f t="shared" si="263"/>
        <v>998</v>
      </c>
      <c r="V1717" s="373">
        <f t="shared" si="264"/>
        <v>1708</v>
      </c>
      <c r="W1717" s="90">
        <f t="shared" si="265"/>
        <v>0</v>
      </c>
      <c r="X1717" s="90">
        <f t="shared" si="266"/>
        <v>0</v>
      </c>
      <c r="Y1717" s="141">
        <f t="shared" si="268"/>
        <v>1708</v>
      </c>
      <c r="Z1717" s="298">
        <v>342</v>
      </c>
      <c r="AA1717" s="299">
        <v>998</v>
      </c>
      <c r="AB1717" s="299">
        <v>1708</v>
      </c>
      <c r="AC1717" s="301">
        <v>0</v>
      </c>
      <c r="AD1717" s="301">
        <v>0</v>
      </c>
      <c r="AE1717" s="126"/>
      <c r="AF1717" s="298"/>
      <c r="AG1717" s="299"/>
      <c r="AH1717" s="299"/>
      <c r="AI1717" s="301"/>
      <c r="AJ1717" s="301"/>
      <c r="AK1717" s="426"/>
      <c r="AL1717" s="298"/>
      <c r="AM1717" s="299"/>
      <c r="AN1717" s="299"/>
      <c r="AO1717" s="301"/>
      <c r="AP1717" s="301"/>
      <c r="AQ1717" s="426"/>
      <c r="AR1717" s="298"/>
      <c r="AS1717" s="299"/>
      <c r="AT1717" s="299"/>
      <c r="AU1717" s="301"/>
      <c r="AV1717" s="301"/>
      <c r="AW1717" s="88"/>
      <c r="AX1717" s="298"/>
      <c r="AY1717" s="299"/>
      <c r="AZ1717" s="299"/>
      <c r="BA1717" s="301"/>
      <c r="BB1717" s="301"/>
      <c r="BC1717" s="426"/>
      <c r="BD1717" s="298"/>
      <c r="BE1717" s="299"/>
      <c r="BF1717" s="299"/>
      <c r="BG1717" s="301"/>
      <c r="BH1717" s="301"/>
      <c r="BI1717" s="88"/>
      <c r="BJ1717" s="298"/>
      <c r="BK1717" s="299"/>
      <c r="BL1717" s="299"/>
      <c r="BM1717" s="301"/>
      <c r="BN1717" s="301"/>
      <c r="BO1717" s="88"/>
      <c r="BP1717" s="9"/>
      <c r="BS1717" s="81"/>
      <c r="BT1717" s="81"/>
      <c r="BV1717" s="9"/>
      <c r="BY1717" s="81"/>
      <c r="BZ1717" s="81"/>
      <c r="CB1717" s="9"/>
      <c r="CE1717" s="81"/>
      <c r="CF1717" s="81"/>
      <c r="CH1717" s="9"/>
      <c r="CK1717" s="81"/>
      <c r="CL1717" s="81"/>
      <c r="CR1717" s="9"/>
      <c r="CS1717" s="9"/>
      <c r="CT1717" s="9"/>
      <c r="CU1717" s="9"/>
      <c r="CV1717" s="9"/>
      <c r="CW1717" s="129"/>
      <c r="CX1717" s="9"/>
    </row>
    <row r="1718" spans="1:102">
      <c r="A1718" s="6" t="str">
        <f t="shared" si="261"/>
        <v>03420998</v>
      </c>
      <c r="B1718" s="6" t="s">
        <v>1992</v>
      </c>
      <c r="C1718" s="6" t="s">
        <v>2091</v>
      </c>
      <c r="D1718" s="6">
        <v>1709</v>
      </c>
      <c r="E1718" s="6">
        <v>342</v>
      </c>
      <c r="F1718" s="6" t="s">
        <v>1547</v>
      </c>
      <c r="G1718" s="6">
        <v>998</v>
      </c>
      <c r="H1718" s="6" t="s">
        <v>1547</v>
      </c>
      <c r="I1718" s="33">
        <v>0</v>
      </c>
      <c r="J1718" s="88">
        <v>0</v>
      </c>
      <c r="K1718" s="89">
        <f t="shared" si="270"/>
        <v>0</v>
      </c>
      <c r="L1718" s="88">
        <f>IF(K1719&gt;0, K1718/K1719, 0)</f>
        <v>0</v>
      </c>
      <c r="M1718" s="58"/>
      <c r="N1718" s="9">
        <f>ROUND(M1719*L1718,0)</f>
        <v>0</v>
      </c>
      <c r="O1718" s="9">
        <v>0</v>
      </c>
      <c r="P1718" s="9">
        <f>N1718-O1718</f>
        <v>0</v>
      </c>
      <c r="Q1718" s="40">
        <f t="shared" si="269"/>
        <v>0</v>
      </c>
      <c r="R1718" s="9">
        <v>0</v>
      </c>
      <c r="S1718" s="9">
        <f t="shared" si="267"/>
        <v>0</v>
      </c>
      <c r="T1718" s="90">
        <f t="shared" si="262"/>
        <v>342</v>
      </c>
      <c r="U1718" s="90">
        <f t="shared" si="263"/>
        <v>998</v>
      </c>
      <c r="V1718" s="373">
        <f t="shared" si="264"/>
        <v>1709</v>
      </c>
      <c r="W1718" s="90">
        <f t="shared" si="265"/>
        <v>0</v>
      </c>
      <c r="X1718" s="90">
        <f t="shared" si="266"/>
        <v>0</v>
      </c>
      <c r="Y1718" s="141">
        <f t="shared" si="268"/>
        <v>1709</v>
      </c>
      <c r="Z1718" s="298">
        <v>342</v>
      </c>
      <c r="AA1718" s="299">
        <v>998</v>
      </c>
      <c r="AB1718" s="299">
        <v>1709</v>
      </c>
      <c r="AC1718" s="301">
        <v>0</v>
      </c>
      <c r="AD1718" s="301">
        <v>0</v>
      </c>
      <c r="AE1718" s="126"/>
      <c r="AF1718" s="298"/>
      <c r="AG1718" s="299"/>
      <c r="AH1718" s="299"/>
      <c r="AI1718" s="301"/>
      <c r="AJ1718" s="301"/>
      <c r="AK1718" s="426"/>
      <c r="AL1718" s="298"/>
      <c r="AM1718" s="299"/>
      <c r="AN1718" s="299"/>
      <c r="AO1718" s="301"/>
      <c r="AP1718" s="301"/>
      <c r="AQ1718" s="426"/>
      <c r="AR1718" s="298"/>
      <c r="AS1718" s="299"/>
      <c r="AT1718" s="299"/>
      <c r="AU1718" s="301"/>
      <c r="AV1718" s="301"/>
      <c r="AW1718" s="88"/>
      <c r="AX1718" s="298"/>
      <c r="AY1718" s="299"/>
      <c r="AZ1718" s="299"/>
      <c r="BA1718" s="301"/>
      <c r="BB1718" s="301"/>
      <c r="BC1718" s="426"/>
      <c r="BD1718" s="298"/>
      <c r="BE1718" s="299"/>
      <c r="BF1718" s="299"/>
      <c r="BG1718" s="301"/>
      <c r="BH1718" s="301"/>
      <c r="BI1718" s="88"/>
      <c r="BJ1718" s="298"/>
      <c r="BK1718" s="299"/>
      <c r="BL1718" s="299"/>
      <c r="BM1718" s="301"/>
      <c r="BN1718" s="301"/>
      <c r="BO1718" s="88"/>
      <c r="BP1718" s="9"/>
      <c r="BS1718" s="81"/>
      <c r="BT1718" s="81"/>
      <c r="BV1718" s="9"/>
      <c r="BY1718" s="81"/>
      <c r="BZ1718" s="81"/>
      <c r="CB1718" s="9"/>
      <c r="CE1718" s="81"/>
      <c r="CF1718" s="81"/>
      <c r="CH1718" s="9"/>
      <c r="CK1718" s="81"/>
      <c r="CL1718" s="81"/>
      <c r="CR1718" s="9"/>
      <c r="CS1718" s="9"/>
      <c r="CT1718" s="9"/>
      <c r="CU1718" s="9"/>
      <c r="CV1718" s="9"/>
      <c r="CW1718" s="129"/>
      <c r="CX1718" s="9"/>
    </row>
    <row r="1719" spans="1:102">
      <c r="A1719" s="6" t="str">
        <f t="shared" si="261"/>
        <v>03420999</v>
      </c>
      <c r="B1719" s="6" t="s">
        <v>1992</v>
      </c>
      <c r="C1719" s="6" t="s">
        <v>2092</v>
      </c>
      <c r="D1719" s="6">
        <v>1710</v>
      </c>
      <c r="E1719" s="10">
        <v>342</v>
      </c>
      <c r="F1719" s="10" t="s">
        <v>1460</v>
      </c>
      <c r="G1719" s="10">
        <v>999</v>
      </c>
      <c r="H1719" s="10" t="s">
        <v>593</v>
      </c>
      <c r="I1719" s="92">
        <v>42209693.327014588</v>
      </c>
      <c r="J1719" s="472">
        <v>1</v>
      </c>
      <c r="K1719" s="53">
        <f>SUM(K1715:K1718)</f>
        <v>43087386.205857217</v>
      </c>
      <c r="L1719" s="91">
        <f>SUM(L1715:L1718)</f>
        <v>1</v>
      </c>
      <c r="M1719" s="79">
        <f>VLOOKUP(E1719,town351,24)</f>
        <v>34861311</v>
      </c>
      <c r="N1719" s="79">
        <f>SUM(N1715:N1718)</f>
        <v>34861311</v>
      </c>
      <c r="O1719" s="79">
        <v>33363299</v>
      </c>
      <c r="P1719" s="79">
        <f>SUM(P1715:P1718)</f>
        <v>1498012</v>
      </c>
      <c r="Q1719" s="39">
        <f t="shared" si="269"/>
        <v>4.4899996250370808</v>
      </c>
      <c r="R1719" s="9">
        <v>3145.9999999986499</v>
      </c>
      <c r="S1719" s="9">
        <f t="shared" si="267"/>
        <v>3123.0000000064801</v>
      </c>
      <c r="T1719" s="90">
        <f t="shared" si="262"/>
        <v>342</v>
      </c>
      <c r="U1719" s="90">
        <f t="shared" si="263"/>
        <v>999</v>
      </c>
      <c r="V1719" s="373">
        <f t="shared" si="264"/>
        <v>1710</v>
      </c>
      <c r="W1719" s="90">
        <f t="shared" si="265"/>
        <v>3123.0000000064801</v>
      </c>
      <c r="X1719" s="90">
        <f t="shared" si="266"/>
        <v>43087386.205857217</v>
      </c>
      <c r="Y1719" s="141">
        <f t="shared" si="268"/>
        <v>1710</v>
      </c>
      <c r="Z1719" s="298">
        <v>342</v>
      </c>
      <c r="AA1719" s="299">
        <v>999</v>
      </c>
      <c r="AB1719" s="299">
        <v>1710</v>
      </c>
      <c r="AC1719" s="301">
        <v>3123.0000000064801</v>
      </c>
      <c r="AD1719" s="301">
        <v>43087386.205857217</v>
      </c>
      <c r="AE1719" s="126"/>
      <c r="AF1719" s="298"/>
      <c r="AG1719" s="299"/>
      <c r="AH1719" s="299"/>
      <c r="AI1719" s="301"/>
      <c r="AJ1719" s="301"/>
      <c r="AK1719" s="426"/>
      <c r="AL1719" s="298"/>
      <c r="AM1719" s="299"/>
      <c r="AN1719" s="299"/>
      <c r="AO1719" s="301"/>
      <c r="AP1719" s="301"/>
      <c r="AQ1719" s="426"/>
      <c r="AR1719" s="298"/>
      <c r="AS1719" s="299"/>
      <c r="AT1719" s="299"/>
      <c r="AU1719" s="301"/>
      <c r="AV1719" s="301"/>
      <c r="AW1719" s="91"/>
      <c r="AX1719" s="298"/>
      <c r="AY1719" s="299"/>
      <c r="AZ1719" s="299"/>
      <c r="BA1719" s="301"/>
      <c r="BB1719" s="301"/>
      <c r="BC1719" s="426"/>
      <c r="BD1719" s="298"/>
      <c r="BE1719" s="299"/>
      <c r="BF1719" s="299"/>
      <c r="BG1719" s="301"/>
      <c r="BH1719" s="301"/>
      <c r="BI1719" s="91"/>
      <c r="BJ1719" s="298"/>
      <c r="BK1719" s="299"/>
      <c r="BL1719" s="299"/>
      <c r="BM1719" s="301"/>
      <c r="BN1719" s="301"/>
      <c r="BO1719" s="91"/>
      <c r="BP1719" s="9"/>
      <c r="BS1719" s="81"/>
      <c r="BT1719" s="81"/>
      <c r="BV1719" s="9"/>
      <c r="BY1719" s="81"/>
      <c r="BZ1719" s="81"/>
      <c r="CB1719" s="9"/>
      <c r="CE1719" s="81"/>
      <c r="CF1719" s="81"/>
      <c r="CH1719" s="9"/>
      <c r="CK1719" s="81"/>
      <c r="CL1719" s="81"/>
      <c r="CR1719" s="9"/>
      <c r="CS1719" s="9"/>
      <c r="CT1719" s="9"/>
      <c r="CU1719" s="9"/>
      <c r="CV1719" s="9"/>
      <c r="CW1719" s="129"/>
      <c r="CX1719" s="9"/>
    </row>
    <row r="1720" spans="1:102">
      <c r="A1720" s="6" t="str">
        <f t="shared" si="261"/>
        <v>03430343</v>
      </c>
      <c r="B1720" s="6" t="s">
        <v>1993</v>
      </c>
      <c r="C1720" s="6" t="s">
        <v>1993</v>
      </c>
      <c r="D1720" s="6">
        <v>1711</v>
      </c>
      <c r="E1720" s="6">
        <v>343</v>
      </c>
      <c r="F1720" s="6" t="s">
        <v>1461</v>
      </c>
      <c r="G1720" s="6">
        <v>343</v>
      </c>
      <c r="H1720" s="6" t="s">
        <v>1024</v>
      </c>
      <c r="I1720" s="33">
        <v>20130691.019999996</v>
      </c>
      <c r="J1720" s="88">
        <v>0.90405669022309409</v>
      </c>
      <c r="K1720" s="89">
        <f>X1720</f>
        <v>20484346.350000001</v>
      </c>
      <c r="L1720" s="88">
        <f>IF(K1724&gt;0, K1720/K1724, 0)</f>
        <v>0.91327974998496197</v>
      </c>
      <c r="M1720" s="58"/>
      <c r="N1720" s="9">
        <f>ROUND(M1724*L1720,0)</f>
        <v>6462904</v>
      </c>
      <c r="O1720" s="9">
        <v>6129765</v>
      </c>
      <c r="P1720" s="9">
        <f>N1720-O1720</f>
        <v>333139</v>
      </c>
      <c r="Q1720" s="40">
        <f t="shared" si="269"/>
        <v>5.4347760476951397</v>
      </c>
      <c r="R1720" s="9">
        <v>1319</v>
      </c>
      <c r="S1720" s="9">
        <f t="shared" si="267"/>
        <v>1294</v>
      </c>
      <c r="T1720" s="90">
        <f t="shared" si="262"/>
        <v>343</v>
      </c>
      <c r="U1720" s="90">
        <f t="shared" si="263"/>
        <v>343</v>
      </c>
      <c r="V1720" s="373">
        <f t="shared" si="264"/>
        <v>1711</v>
      </c>
      <c r="W1720" s="90">
        <f t="shared" si="265"/>
        <v>1294</v>
      </c>
      <c r="X1720" s="90">
        <f t="shared" si="266"/>
        <v>20484346.350000001</v>
      </c>
      <c r="Y1720" s="141">
        <f t="shared" si="268"/>
        <v>1711</v>
      </c>
      <c r="Z1720" s="298">
        <v>343</v>
      </c>
      <c r="AA1720" s="299">
        <v>343</v>
      </c>
      <c r="AB1720" s="299">
        <v>1711</v>
      </c>
      <c r="AC1720" s="301">
        <v>1294</v>
      </c>
      <c r="AD1720" s="301">
        <v>20484346.350000001</v>
      </c>
      <c r="AE1720" s="126"/>
      <c r="AF1720" s="298"/>
      <c r="AG1720" s="299"/>
      <c r="AH1720" s="299"/>
      <c r="AI1720" s="301"/>
      <c r="AJ1720" s="301"/>
      <c r="AK1720" s="426"/>
      <c r="AL1720" s="298"/>
      <c r="AM1720" s="299"/>
      <c r="AN1720" s="299"/>
      <c r="AO1720" s="301"/>
      <c r="AP1720" s="301"/>
      <c r="AQ1720" s="426"/>
      <c r="AR1720" s="298"/>
      <c r="AS1720" s="299"/>
      <c r="AT1720" s="299"/>
      <c r="AU1720" s="301"/>
      <c r="AV1720" s="301"/>
      <c r="AW1720" s="88"/>
      <c r="AX1720" s="298"/>
      <c r="AY1720" s="299"/>
      <c r="AZ1720" s="299"/>
      <c r="BA1720" s="301"/>
      <c r="BB1720" s="301"/>
      <c r="BC1720" s="426"/>
      <c r="BD1720" s="298"/>
      <c r="BE1720" s="299"/>
      <c r="BF1720" s="299"/>
      <c r="BG1720" s="301"/>
      <c r="BH1720" s="301"/>
      <c r="BI1720" s="88"/>
      <c r="BJ1720" s="298"/>
      <c r="BK1720" s="299"/>
      <c r="BL1720" s="299"/>
      <c r="BM1720" s="301"/>
      <c r="BN1720" s="301"/>
      <c r="BO1720" s="88"/>
      <c r="BP1720" s="9"/>
      <c r="BS1720" s="81"/>
      <c r="BT1720" s="81"/>
      <c r="BV1720" s="9"/>
      <c r="BY1720" s="81"/>
      <c r="BZ1720" s="81"/>
      <c r="CB1720" s="9"/>
      <c r="CE1720" s="81"/>
      <c r="CF1720" s="81"/>
      <c r="CH1720" s="9"/>
      <c r="CK1720" s="81"/>
      <c r="CL1720" s="81"/>
      <c r="CR1720" s="9"/>
      <c r="CS1720" s="9"/>
      <c r="CT1720" s="9"/>
      <c r="CU1720" s="9"/>
      <c r="CV1720" s="9"/>
      <c r="CW1720" s="129"/>
      <c r="CX1720" s="9"/>
    </row>
    <row r="1721" spans="1:102">
      <c r="A1721" s="6" t="str">
        <f t="shared" si="261"/>
        <v>03430832</v>
      </c>
      <c r="B1721" s="6" t="s">
        <v>1993</v>
      </c>
      <c r="C1721" s="6" t="s">
        <v>2075</v>
      </c>
      <c r="D1721" s="6">
        <v>1712</v>
      </c>
      <c r="E1721" s="6">
        <v>343</v>
      </c>
      <c r="F1721" s="6" t="s">
        <v>1461</v>
      </c>
      <c r="G1721" s="6">
        <v>832</v>
      </c>
      <c r="H1721" s="6" t="s">
        <v>1105</v>
      </c>
      <c r="I1721" s="33">
        <v>2136376.1204824708</v>
      </c>
      <c r="J1721" s="88">
        <v>9.5943309776905863E-2</v>
      </c>
      <c r="K1721" s="89">
        <f t="shared" si="270"/>
        <v>1945085.9792915401</v>
      </c>
      <c r="L1721" s="88">
        <f>IF(K1724&gt;0, K1721/K1724, 0)</f>
        <v>8.6720250015038067E-2</v>
      </c>
      <c r="M1721" s="58"/>
      <c r="N1721" s="9">
        <f>ROUND(M1724*L1721,0)</f>
        <v>613683</v>
      </c>
      <c r="O1721" s="9">
        <v>650523</v>
      </c>
      <c r="P1721" s="9">
        <f>N1721-O1721</f>
        <v>-36840</v>
      </c>
      <c r="Q1721" s="40">
        <f t="shared" si="269"/>
        <v>-5.6631356616138095</v>
      </c>
      <c r="R1721" s="9">
        <v>106.14490772745</v>
      </c>
      <c r="S1721" s="9">
        <f t="shared" si="267"/>
        <v>96.00000000515999</v>
      </c>
      <c r="T1721" s="90">
        <f t="shared" si="262"/>
        <v>343</v>
      </c>
      <c r="U1721" s="90">
        <f t="shared" si="263"/>
        <v>832</v>
      </c>
      <c r="V1721" s="373">
        <f t="shared" si="264"/>
        <v>1712</v>
      </c>
      <c r="W1721" s="90">
        <f t="shared" si="265"/>
        <v>96.00000000515999</v>
      </c>
      <c r="X1721" s="90">
        <f t="shared" si="266"/>
        <v>1945085.9792915401</v>
      </c>
      <c r="Y1721" s="141">
        <f t="shared" si="268"/>
        <v>1712</v>
      </c>
      <c r="Z1721" s="298">
        <v>343</v>
      </c>
      <c r="AA1721" s="299">
        <v>832</v>
      </c>
      <c r="AB1721" s="299">
        <v>1712</v>
      </c>
      <c r="AC1721" s="301">
        <v>96.00000000515999</v>
      </c>
      <c r="AD1721" s="301">
        <v>1945085.9792915401</v>
      </c>
      <c r="AE1721" s="126"/>
      <c r="AF1721" s="298"/>
      <c r="AG1721" s="299"/>
      <c r="AH1721" s="299"/>
      <c r="AI1721" s="301"/>
      <c r="AJ1721" s="301"/>
      <c r="AK1721" s="426"/>
      <c r="AL1721" s="298"/>
      <c r="AM1721" s="299"/>
      <c r="AN1721" s="299"/>
      <c r="AO1721" s="301"/>
      <c r="AP1721" s="301"/>
      <c r="AQ1721" s="426"/>
      <c r="AR1721" s="298"/>
      <c r="AS1721" s="299"/>
      <c r="AT1721" s="299"/>
      <c r="AU1721" s="301"/>
      <c r="AV1721" s="301"/>
      <c r="AW1721" s="88"/>
      <c r="AX1721" s="298"/>
      <c r="AY1721" s="299"/>
      <c r="AZ1721" s="299"/>
      <c r="BA1721" s="301"/>
      <c r="BB1721" s="301"/>
      <c r="BC1721" s="426"/>
      <c r="BD1721" s="298"/>
      <c r="BE1721" s="299"/>
      <c r="BF1721" s="299"/>
      <c r="BG1721" s="301"/>
      <c r="BH1721" s="301"/>
      <c r="BI1721" s="88"/>
      <c r="BJ1721" s="298"/>
      <c r="BK1721" s="299"/>
      <c r="BL1721" s="299"/>
      <c r="BM1721" s="301"/>
      <c r="BN1721" s="301"/>
      <c r="BO1721" s="88"/>
      <c r="BP1721" s="9"/>
      <c r="BS1721" s="81"/>
      <c r="BT1721" s="81"/>
      <c r="BV1721" s="9"/>
      <c r="BY1721" s="81"/>
      <c r="BZ1721" s="81"/>
      <c r="CB1721" s="9"/>
      <c r="CE1721" s="81"/>
      <c r="CF1721" s="81"/>
      <c r="CH1721" s="9"/>
      <c r="CK1721" s="81"/>
      <c r="CL1721" s="81"/>
      <c r="CR1721" s="9"/>
      <c r="CS1721" s="9"/>
      <c r="CT1721" s="9"/>
      <c r="CU1721" s="9"/>
      <c r="CV1721" s="9"/>
      <c r="CW1721" s="129"/>
      <c r="CX1721" s="9"/>
    </row>
    <row r="1722" spans="1:102">
      <c r="A1722" s="6" t="str">
        <f t="shared" si="261"/>
        <v>03430998</v>
      </c>
      <c r="B1722" s="6" t="s">
        <v>1993</v>
      </c>
      <c r="C1722" s="6" t="s">
        <v>2091</v>
      </c>
      <c r="D1722" s="6">
        <v>1713</v>
      </c>
      <c r="E1722" s="6">
        <v>343</v>
      </c>
      <c r="F1722" s="6" t="s">
        <v>1547</v>
      </c>
      <c r="G1722" s="6">
        <v>998</v>
      </c>
      <c r="H1722" s="6" t="s">
        <v>1547</v>
      </c>
      <c r="I1722" s="33">
        <v>0</v>
      </c>
      <c r="J1722" s="88">
        <v>0</v>
      </c>
      <c r="K1722" s="89">
        <f t="shared" si="270"/>
        <v>0</v>
      </c>
      <c r="L1722" s="88">
        <f>IF(K1724&gt;0, K1722/K1724, 0)</f>
        <v>0</v>
      </c>
      <c r="M1722" s="58"/>
      <c r="N1722" s="9">
        <f>ROUND(M1724*L1722,0)</f>
        <v>0</v>
      </c>
      <c r="O1722" s="9">
        <v>0</v>
      </c>
      <c r="P1722" s="9">
        <f>N1722-O1722</f>
        <v>0</v>
      </c>
      <c r="Q1722" s="40">
        <f t="shared" si="269"/>
        <v>0</v>
      </c>
      <c r="R1722" s="9">
        <v>0</v>
      </c>
      <c r="S1722" s="9">
        <f t="shared" si="267"/>
        <v>0</v>
      </c>
      <c r="T1722" s="90">
        <f t="shared" si="262"/>
        <v>343</v>
      </c>
      <c r="U1722" s="90">
        <f t="shared" si="263"/>
        <v>998</v>
      </c>
      <c r="V1722" s="373">
        <f t="shared" si="264"/>
        <v>1713</v>
      </c>
      <c r="W1722" s="90">
        <f t="shared" si="265"/>
        <v>0</v>
      </c>
      <c r="X1722" s="90">
        <f t="shared" si="266"/>
        <v>0</v>
      </c>
      <c r="Y1722" s="141">
        <f t="shared" si="268"/>
        <v>1713</v>
      </c>
      <c r="Z1722" s="298">
        <v>343</v>
      </c>
      <c r="AA1722" s="299">
        <v>998</v>
      </c>
      <c r="AB1722" s="299">
        <v>1713</v>
      </c>
      <c r="AC1722" s="301">
        <v>0</v>
      </c>
      <c r="AD1722" s="301">
        <v>0</v>
      </c>
      <c r="AE1722" s="126"/>
      <c r="AF1722" s="298"/>
      <c r="AG1722" s="299"/>
      <c r="AH1722" s="299"/>
      <c r="AI1722" s="301"/>
      <c r="AJ1722" s="301"/>
      <c r="AK1722" s="426"/>
      <c r="AL1722" s="298"/>
      <c r="AM1722" s="299"/>
      <c r="AN1722" s="299"/>
      <c r="AO1722" s="301"/>
      <c r="AP1722" s="301"/>
      <c r="AQ1722" s="426"/>
      <c r="AR1722" s="298"/>
      <c r="AS1722" s="299"/>
      <c r="AT1722" s="299"/>
      <c r="AU1722" s="301"/>
      <c r="AV1722" s="301"/>
      <c r="AW1722" s="88"/>
      <c r="AX1722" s="298"/>
      <c r="AY1722" s="299"/>
      <c r="AZ1722" s="299"/>
      <c r="BA1722" s="301"/>
      <c r="BB1722" s="301"/>
      <c r="BC1722" s="426"/>
      <c r="BD1722" s="298"/>
      <c r="BE1722" s="299"/>
      <c r="BF1722" s="299"/>
      <c r="BG1722" s="301"/>
      <c r="BH1722" s="301"/>
      <c r="BI1722" s="88"/>
      <c r="BJ1722" s="298"/>
      <c r="BK1722" s="299"/>
      <c r="BL1722" s="299"/>
      <c r="BM1722" s="301"/>
      <c r="BN1722" s="301"/>
      <c r="BO1722" s="88"/>
      <c r="BP1722" s="9"/>
      <c r="BS1722" s="81"/>
      <c r="BT1722" s="81"/>
      <c r="BV1722" s="9"/>
      <c r="BY1722" s="81"/>
      <c r="BZ1722" s="81"/>
      <c r="CB1722" s="9"/>
      <c r="CE1722" s="81"/>
      <c r="CF1722" s="81"/>
      <c r="CH1722" s="9"/>
      <c r="CK1722" s="81"/>
      <c r="CL1722" s="81"/>
      <c r="CR1722" s="9"/>
      <c r="CS1722" s="9"/>
      <c r="CT1722" s="9"/>
      <c r="CU1722" s="9"/>
      <c r="CV1722" s="9"/>
      <c r="CW1722" s="129"/>
      <c r="CX1722" s="9"/>
    </row>
    <row r="1723" spans="1:102">
      <c r="A1723" s="6" t="str">
        <f t="shared" si="261"/>
        <v>03430998</v>
      </c>
      <c r="B1723" s="6" t="s">
        <v>1993</v>
      </c>
      <c r="C1723" s="6" t="s">
        <v>2091</v>
      </c>
      <c r="D1723" s="6">
        <v>1714</v>
      </c>
      <c r="E1723" s="6">
        <v>343</v>
      </c>
      <c r="F1723" s="6" t="s">
        <v>1547</v>
      </c>
      <c r="G1723" s="6">
        <v>998</v>
      </c>
      <c r="H1723" s="6" t="s">
        <v>1547</v>
      </c>
      <c r="I1723" s="33">
        <v>0</v>
      </c>
      <c r="J1723" s="88">
        <v>0</v>
      </c>
      <c r="K1723" s="89">
        <f t="shared" si="270"/>
        <v>0</v>
      </c>
      <c r="L1723" s="88">
        <f>IF(K1724&gt;0, K1723/K1724, 0)</f>
        <v>0</v>
      </c>
      <c r="M1723" s="58"/>
      <c r="N1723" s="9">
        <f>ROUND(M1724*L1723,0)</f>
        <v>0</v>
      </c>
      <c r="O1723" s="9">
        <v>0</v>
      </c>
      <c r="P1723" s="9">
        <f>N1723-O1723</f>
        <v>0</v>
      </c>
      <c r="Q1723" s="40">
        <f t="shared" si="269"/>
        <v>0</v>
      </c>
      <c r="R1723" s="9">
        <v>0</v>
      </c>
      <c r="S1723" s="9">
        <f t="shared" si="267"/>
        <v>0</v>
      </c>
      <c r="T1723" s="90">
        <f t="shared" si="262"/>
        <v>343</v>
      </c>
      <c r="U1723" s="90">
        <f t="shared" si="263"/>
        <v>998</v>
      </c>
      <c r="V1723" s="373">
        <f t="shared" si="264"/>
        <v>1714</v>
      </c>
      <c r="W1723" s="90">
        <f t="shared" si="265"/>
        <v>0</v>
      </c>
      <c r="X1723" s="90">
        <f t="shared" si="266"/>
        <v>0</v>
      </c>
      <c r="Y1723" s="141">
        <f t="shared" si="268"/>
        <v>1714</v>
      </c>
      <c r="Z1723" s="298">
        <v>343</v>
      </c>
      <c r="AA1723" s="299">
        <v>998</v>
      </c>
      <c r="AB1723" s="299">
        <v>1714</v>
      </c>
      <c r="AC1723" s="301">
        <v>0</v>
      </c>
      <c r="AD1723" s="301">
        <v>0</v>
      </c>
      <c r="AE1723" s="126"/>
      <c r="AF1723" s="298"/>
      <c r="AG1723" s="299"/>
      <c r="AH1723" s="299"/>
      <c r="AI1723" s="301"/>
      <c r="AJ1723" s="301"/>
      <c r="AK1723" s="426"/>
      <c r="AL1723" s="298"/>
      <c r="AM1723" s="299"/>
      <c r="AN1723" s="299"/>
      <c r="AO1723" s="301"/>
      <c r="AP1723" s="301"/>
      <c r="AQ1723" s="426"/>
      <c r="AR1723" s="298"/>
      <c r="AS1723" s="299"/>
      <c r="AT1723" s="299"/>
      <c r="AU1723" s="301"/>
      <c r="AV1723" s="301"/>
      <c r="AW1723" s="88"/>
      <c r="AX1723" s="298"/>
      <c r="AY1723" s="299"/>
      <c r="AZ1723" s="299"/>
      <c r="BA1723" s="301"/>
      <c r="BB1723" s="301"/>
      <c r="BC1723" s="426"/>
      <c r="BD1723" s="298"/>
      <c r="BE1723" s="299"/>
      <c r="BF1723" s="299"/>
      <c r="BG1723" s="301"/>
      <c r="BH1723" s="301"/>
      <c r="BI1723" s="88"/>
      <c r="BJ1723" s="298"/>
      <c r="BK1723" s="299"/>
      <c r="BL1723" s="299"/>
      <c r="BM1723" s="301"/>
      <c r="BN1723" s="301"/>
      <c r="BO1723" s="88"/>
      <c r="BP1723" s="9"/>
      <c r="BS1723" s="81"/>
      <c r="BT1723" s="81"/>
      <c r="BV1723" s="9"/>
      <c r="BY1723" s="81"/>
      <c r="BZ1723" s="81"/>
      <c r="CB1723" s="9"/>
      <c r="CE1723" s="81"/>
      <c r="CF1723" s="81"/>
      <c r="CH1723" s="9"/>
      <c r="CK1723" s="81"/>
      <c r="CL1723" s="81"/>
      <c r="CR1723" s="9"/>
      <c r="CS1723" s="9"/>
      <c r="CT1723" s="9"/>
      <c r="CU1723" s="9"/>
      <c r="CV1723" s="9"/>
      <c r="CW1723" s="129"/>
      <c r="CX1723" s="9"/>
    </row>
    <row r="1724" spans="1:102">
      <c r="A1724" s="6" t="str">
        <f t="shared" si="261"/>
        <v>03430999</v>
      </c>
      <c r="B1724" s="6" t="s">
        <v>1993</v>
      </c>
      <c r="C1724" s="6" t="s">
        <v>2092</v>
      </c>
      <c r="D1724" s="6">
        <v>1715</v>
      </c>
      <c r="E1724" s="10">
        <v>343</v>
      </c>
      <c r="F1724" s="10" t="s">
        <v>1461</v>
      </c>
      <c r="G1724" s="10">
        <v>999</v>
      </c>
      <c r="H1724" s="10" t="s">
        <v>593</v>
      </c>
      <c r="I1724" s="92">
        <v>22267067.140482467</v>
      </c>
      <c r="J1724" s="472">
        <v>1</v>
      </c>
      <c r="K1724" s="53">
        <f>SUM(K1720:K1723)</f>
        <v>22429432.329291541</v>
      </c>
      <c r="L1724" s="91">
        <f>SUM(L1720:L1723)</f>
        <v>1</v>
      </c>
      <c r="M1724" s="79">
        <f>VLOOKUP(E1724,town351,24)</f>
        <v>7076587</v>
      </c>
      <c r="N1724" s="79">
        <f>SUM(N1720:N1723)</f>
        <v>7076587</v>
      </c>
      <c r="O1724" s="79">
        <v>6780288</v>
      </c>
      <c r="P1724" s="79">
        <f>SUM(P1720:P1723)</f>
        <v>296299</v>
      </c>
      <c r="Q1724" s="39">
        <f t="shared" si="269"/>
        <v>4.3700061118347779</v>
      </c>
      <c r="R1724" s="9">
        <v>1425.1449077274501</v>
      </c>
      <c r="S1724" s="9">
        <f t="shared" si="267"/>
        <v>1390.00000000516</v>
      </c>
      <c r="T1724" s="90">
        <f t="shared" si="262"/>
        <v>343</v>
      </c>
      <c r="U1724" s="90">
        <f t="shared" si="263"/>
        <v>999</v>
      </c>
      <c r="V1724" s="373">
        <f t="shared" si="264"/>
        <v>1715</v>
      </c>
      <c r="W1724" s="90">
        <f t="shared" si="265"/>
        <v>1390.00000000516</v>
      </c>
      <c r="X1724" s="90">
        <f t="shared" si="266"/>
        <v>22429432.329291541</v>
      </c>
      <c r="Y1724" s="141">
        <f t="shared" si="268"/>
        <v>1715</v>
      </c>
      <c r="Z1724" s="298">
        <v>343</v>
      </c>
      <c r="AA1724" s="299">
        <v>999</v>
      </c>
      <c r="AB1724" s="299">
        <v>1715</v>
      </c>
      <c r="AC1724" s="301">
        <v>1390.00000000516</v>
      </c>
      <c r="AD1724" s="301">
        <v>22429432.329291541</v>
      </c>
      <c r="AE1724" s="126"/>
      <c r="AF1724" s="298"/>
      <c r="AG1724" s="299"/>
      <c r="AH1724" s="299"/>
      <c r="AI1724" s="301"/>
      <c r="AJ1724" s="301"/>
      <c r="AK1724" s="426"/>
      <c r="AL1724" s="298"/>
      <c r="AM1724" s="299"/>
      <c r="AN1724" s="299"/>
      <c r="AO1724" s="301"/>
      <c r="AP1724" s="301"/>
      <c r="AQ1724" s="426"/>
      <c r="AR1724" s="298"/>
      <c r="AS1724" s="299"/>
      <c r="AT1724" s="299"/>
      <c r="AU1724" s="301"/>
      <c r="AV1724" s="301"/>
      <c r="AW1724" s="91"/>
      <c r="AX1724" s="298"/>
      <c r="AY1724" s="299"/>
      <c r="AZ1724" s="299"/>
      <c r="BA1724" s="301"/>
      <c r="BB1724" s="301"/>
      <c r="BC1724" s="426"/>
      <c r="BD1724" s="298"/>
      <c r="BE1724" s="299"/>
      <c r="BF1724" s="299"/>
      <c r="BG1724" s="301"/>
      <c r="BH1724" s="301"/>
      <c r="BI1724" s="91"/>
      <c r="BJ1724" s="298"/>
      <c r="BK1724" s="299"/>
      <c r="BL1724" s="299"/>
      <c r="BM1724" s="301"/>
      <c r="BN1724" s="301"/>
      <c r="BO1724" s="91"/>
      <c r="BP1724" s="9"/>
      <c r="BS1724" s="81"/>
      <c r="BT1724" s="81"/>
      <c r="BV1724" s="9"/>
      <c r="BY1724" s="81"/>
      <c r="BZ1724" s="81"/>
      <c r="CB1724" s="9"/>
      <c r="CE1724" s="81"/>
      <c r="CF1724" s="81"/>
      <c r="CH1724" s="9"/>
      <c r="CK1724" s="81"/>
      <c r="CL1724" s="81"/>
      <c r="CR1724" s="9"/>
      <c r="CS1724" s="9"/>
      <c r="CT1724" s="9"/>
      <c r="CU1724" s="9"/>
      <c r="CV1724" s="9"/>
      <c r="CW1724" s="129"/>
      <c r="CX1724" s="9"/>
    </row>
    <row r="1725" spans="1:102">
      <c r="A1725" s="6" t="str">
        <f t="shared" si="261"/>
        <v>03440344</v>
      </c>
      <c r="B1725" s="6" t="s">
        <v>1994</v>
      </c>
      <c r="C1725" s="6" t="s">
        <v>1994</v>
      </c>
      <c r="D1725" s="6">
        <v>1716</v>
      </c>
      <c r="E1725" s="6">
        <v>344</v>
      </c>
      <c r="F1725" s="6" t="s">
        <v>1462</v>
      </c>
      <c r="G1725" s="6">
        <v>344</v>
      </c>
      <c r="H1725" s="6" t="s">
        <v>1025</v>
      </c>
      <c r="I1725" s="33">
        <v>53860981.504270002</v>
      </c>
      <c r="J1725" s="88">
        <v>0.99447911813861112</v>
      </c>
      <c r="K1725" s="89">
        <f>X1725</f>
        <v>55351171.165500008</v>
      </c>
      <c r="L1725" s="88">
        <f>IF(K1729&gt;0, K1725/K1729, 0)</f>
        <v>0.99743216217880515</v>
      </c>
      <c r="M1725" s="58"/>
      <c r="N1725" s="9">
        <f>ROUND(M1729*L1725,0)</f>
        <v>45664717</v>
      </c>
      <c r="O1725" s="9">
        <v>43974784</v>
      </c>
      <c r="P1725" s="9">
        <f>N1725-O1725</f>
        <v>1689933</v>
      </c>
      <c r="Q1725" s="40">
        <f t="shared" si="269"/>
        <v>3.8429591831536909</v>
      </c>
      <c r="R1725" s="9">
        <v>4346</v>
      </c>
      <c r="S1725" s="9">
        <f t="shared" si="267"/>
        <v>4346</v>
      </c>
      <c r="T1725" s="90">
        <f t="shared" si="262"/>
        <v>344</v>
      </c>
      <c r="U1725" s="90">
        <f t="shared" si="263"/>
        <v>344</v>
      </c>
      <c r="V1725" s="373">
        <f t="shared" si="264"/>
        <v>1716</v>
      </c>
      <c r="W1725" s="90">
        <f t="shared" si="265"/>
        <v>4346</v>
      </c>
      <c r="X1725" s="90">
        <f t="shared" si="266"/>
        <v>55351171.165500008</v>
      </c>
      <c r="Y1725" s="141">
        <f t="shared" si="268"/>
        <v>1716</v>
      </c>
      <c r="Z1725" s="298">
        <v>344</v>
      </c>
      <c r="AA1725" s="299">
        <v>344</v>
      </c>
      <c r="AB1725" s="299">
        <v>1716</v>
      </c>
      <c r="AC1725" s="301">
        <v>4346</v>
      </c>
      <c r="AD1725" s="301">
        <v>55351171.165500008</v>
      </c>
      <c r="AE1725" s="126"/>
      <c r="AF1725" s="298"/>
      <c r="AG1725" s="299"/>
      <c r="AH1725" s="299"/>
      <c r="AI1725" s="301"/>
      <c r="AJ1725" s="301"/>
      <c r="AK1725" s="426"/>
      <c r="AL1725" s="298"/>
      <c r="AM1725" s="299"/>
      <c r="AN1725" s="299"/>
      <c r="AO1725" s="301"/>
      <c r="AP1725" s="301"/>
      <c r="AQ1725" s="426"/>
      <c r="AR1725" s="298"/>
      <c r="AS1725" s="299"/>
      <c r="AT1725" s="299"/>
      <c r="AU1725" s="301"/>
      <c r="AV1725" s="301"/>
      <c r="AW1725" s="88"/>
      <c r="AX1725" s="298"/>
      <c r="AY1725" s="299"/>
      <c r="AZ1725" s="299"/>
      <c r="BA1725" s="301"/>
      <c r="BB1725" s="301"/>
      <c r="BC1725" s="426"/>
      <c r="BD1725" s="298"/>
      <c r="BE1725" s="299"/>
      <c r="BF1725" s="299"/>
      <c r="BG1725" s="301"/>
      <c r="BH1725" s="301"/>
      <c r="BI1725" s="88"/>
      <c r="BJ1725" s="298"/>
      <c r="BK1725" s="299"/>
      <c r="BL1725" s="299"/>
      <c r="BM1725" s="301"/>
      <c r="BN1725" s="301"/>
      <c r="BO1725" s="88"/>
      <c r="BP1725" s="9"/>
      <c r="BS1725" s="81"/>
      <c r="BT1725" s="81"/>
      <c r="BV1725" s="9"/>
      <c r="BY1725" s="81"/>
      <c r="BZ1725" s="81"/>
      <c r="CB1725" s="9"/>
      <c r="CE1725" s="81"/>
      <c r="CF1725" s="81"/>
      <c r="CH1725" s="9"/>
      <c r="CK1725" s="81"/>
      <c r="CL1725" s="81"/>
      <c r="CR1725" s="9"/>
      <c r="CS1725" s="9"/>
      <c r="CT1725" s="9"/>
      <c r="CU1725" s="9"/>
      <c r="CV1725" s="9"/>
      <c r="CW1725" s="129"/>
      <c r="CX1725" s="9"/>
    </row>
    <row r="1726" spans="1:102">
      <c r="A1726" s="6" t="str">
        <f t="shared" si="261"/>
        <v>03440853</v>
      </c>
      <c r="B1726" s="6" t="s">
        <v>1994</v>
      </c>
      <c r="C1726" s="6" t="s">
        <v>2078</v>
      </c>
      <c r="D1726" s="6">
        <v>1717</v>
      </c>
      <c r="E1726" s="6">
        <v>344</v>
      </c>
      <c r="F1726" s="6" t="s">
        <v>1462</v>
      </c>
      <c r="G1726" s="6">
        <v>853</v>
      </c>
      <c r="H1726" s="6" t="s">
        <v>1108</v>
      </c>
      <c r="I1726" s="33">
        <v>299010.91978693783</v>
      </c>
      <c r="J1726" s="88">
        <v>5.5208818613889299E-3</v>
      </c>
      <c r="K1726" s="89">
        <f t="shared" si="270"/>
        <v>142498.74443162014</v>
      </c>
      <c r="L1726" s="88">
        <f>IF(K1729&gt;0, K1726/K1729, 0)</f>
        <v>2.5678378211947618E-3</v>
      </c>
      <c r="M1726" s="58"/>
      <c r="N1726" s="9">
        <f>ROUND(M1729*L1726,0)</f>
        <v>117561</v>
      </c>
      <c r="O1726" s="9">
        <v>244127</v>
      </c>
      <c r="P1726" s="9">
        <f>N1726-O1726</f>
        <v>-126566</v>
      </c>
      <c r="Q1726" s="40">
        <f t="shared" si="269"/>
        <v>-51.844326928197212</v>
      </c>
      <c r="R1726" s="9">
        <v>12.9999999979</v>
      </c>
      <c r="S1726" s="9">
        <f t="shared" si="267"/>
        <v>5.9999999962999997</v>
      </c>
      <c r="T1726" s="90">
        <f t="shared" si="262"/>
        <v>344</v>
      </c>
      <c r="U1726" s="90">
        <f t="shared" si="263"/>
        <v>853</v>
      </c>
      <c r="V1726" s="373">
        <f t="shared" si="264"/>
        <v>1717</v>
      </c>
      <c r="W1726" s="90">
        <f t="shared" si="265"/>
        <v>5.9999999962999997</v>
      </c>
      <c r="X1726" s="90">
        <f t="shared" si="266"/>
        <v>142498.74443162014</v>
      </c>
      <c r="Y1726" s="141">
        <f t="shared" si="268"/>
        <v>1717</v>
      </c>
      <c r="Z1726" s="298">
        <v>344</v>
      </c>
      <c r="AA1726" s="299">
        <v>853</v>
      </c>
      <c r="AB1726" s="299">
        <v>1717</v>
      </c>
      <c r="AC1726" s="301">
        <v>5.9999999962999997</v>
      </c>
      <c r="AD1726" s="301">
        <v>142498.74443162014</v>
      </c>
      <c r="AE1726" s="126"/>
      <c r="AF1726" s="298"/>
      <c r="AG1726" s="299"/>
      <c r="AH1726" s="299"/>
      <c r="AI1726" s="301"/>
      <c r="AJ1726" s="301"/>
      <c r="AK1726" s="426"/>
      <c r="AL1726" s="298"/>
      <c r="AM1726" s="299"/>
      <c r="AN1726" s="299"/>
      <c r="AO1726" s="301"/>
      <c r="AP1726" s="301"/>
      <c r="AQ1726" s="426"/>
      <c r="AR1726" s="298"/>
      <c r="AS1726" s="299"/>
      <c r="AT1726" s="299"/>
      <c r="AU1726" s="301"/>
      <c r="AV1726" s="301"/>
      <c r="AW1726" s="88"/>
      <c r="AX1726" s="298"/>
      <c r="AY1726" s="299"/>
      <c r="AZ1726" s="299"/>
      <c r="BA1726" s="301"/>
      <c r="BB1726" s="301"/>
      <c r="BC1726" s="426"/>
      <c r="BD1726" s="298"/>
      <c r="BE1726" s="299"/>
      <c r="BF1726" s="299"/>
      <c r="BG1726" s="301"/>
      <c r="BH1726" s="301"/>
      <c r="BI1726" s="88"/>
      <c r="BJ1726" s="298"/>
      <c r="BK1726" s="299"/>
      <c r="BL1726" s="299"/>
      <c r="BM1726" s="301"/>
      <c r="BN1726" s="301"/>
      <c r="BO1726" s="88"/>
      <c r="BP1726" s="9"/>
      <c r="BS1726" s="81"/>
      <c r="BT1726" s="81"/>
      <c r="BV1726" s="9"/>
      <c r="BY1726" s="81"/>
      <c r="BZ1726" s="81"/>
      <c r="CB1726" s="9"/>
      <c r="CE1726" s="81"/>
      <c r="CF1726" s="81"/>
      <c r="CH1726" s="9"/>
      <c r="CK1726" s="81"/>
      <c r="CL1726" s="81"/>
      <c r="CR1726" s="9"/>
      <c r="CS1726" s="9"/>
      <c r="CT1726" s="9"/>
      <c r="CU1726" s="9"/>
      <c r="CV1726" s="9"/>
      <c r="CW1726" s="129"/>
      <c r="CX1726" s="9"/>
    </row>
    <row r="1727" spans="1:102">
      <c r="A1727" s="6" t="str">
        <f t="shared" si="261"/>
        <v>03440998</v>
      </c>
      <c r="B1727" s="6" t="s">
        <v>1994</v>
      </c>
      <c r="C1727" s="6" t="s">
        <v>2091</v>
      </c>
      <c r="D1727" s="6">
        <v>1718</v>
      </c>
      <c r="E1727" s="6">
        <v>344</v>
      </c>
      <c r="F1727" s="6" t="s">
        <v>1547</v>
      </c>
      <c r="G1727" s="6">
        <v>998</v>
      </c>
      <c r="H1727" s="6" t="s">
        <v>1547</v>
      </c>
      <c r="I1727" s="33">
        <v>0</v>
      </c>
      <c r="J1727" s="88">
        <v>0</v>
      </c>
      <c r="K1727" s="89">
        <f t="shared" si="270"/>
        <v>0</v>
      </c>
      <c r="L1727" s="88">
        <f>IF(K1729&gt;0, K1727/K1729, 0)</f>
        <v>0</v>
      </c>
      <c r="M1727" s="58"/>
      <c r="N1727" s="9">
        <f>ROUND(M1729*L1727,0)</f>
        <v>0</v>
      </c>
      <c r="O1727" s="9">
        <v>0</v>
      </c>
      <c r="P1727" s="9">
        <f>N1727-O1727</f>
        <v>0</v>
      </c>
      <c r="Q1727" s="40">
        <f t="shared" si="269"/>
        <v>0</v>
      </c>
      <c r="R1727" s="9">
        <v>0</v>
      </c>
      <c r="S1727" s="9">
        <f t="shared" si="267"/>
        <v>0</v>
      </c>
      <c r="T1727" s="90">
        <f t="shared" si="262"/>
        <v>344</v>
      </c>
      <c r="U1727" s="90">
        <f t="shared" si="263"/>
        <v>998</v>
      </c>
      <c r="V1727" s="373">
        <f t="shared" si="264"/>
        <v>1718</v>
      </c>
      <c r="W1727" s="90">
        <f t="shared" si="265"/>
        <v>0</v>
      </c>
      <c r="X1727" s="90">
        <f t="shared" si="266"/>
        <v>0</v>
      </c>
      <c r="Y1727" s="141">
        <f t="shared" si="268"/>
        <v>1718</v>
      </c>
      <c r="Z1727" s="298">
        <v>344</v>
      </c>
      <c r="AA1727" s="299">
        <v>998</v>
      </c>
      <c r="AB1727" s="299">
        <v>1718</v>
      </c>
      <c r="AC1727" s="301">
        <v>0</v>
      </c>
      <c r="AD1727" s="301">
        <v>0</v>
      </c>
      <c r="AE1727" s="126"/>
      <c r="AF1727" s="298"/>
      <c r="AG1727" s="299"/>
      <c r="AH1727" s="299"/>
      <c r="AI1727" s="301"/>
      <c r="AJ1727" s="301"/>
      <c r="AK1727" s="426"/>
      <c r="AL1727" s="298"/>
      <c r="AM1727" s="299"/>
      <c r="AN1727" s="299"/>
      <c r="AO1727" s="301"/>
      <c r="AP1727" s="301"/>
      <c r="AQ1727" s="426"/>
      <c r="AR1727" s="298"/>
      <c r="AS1727" s="299"/>
      <c r="AT1727" s="299"/>
      <c r="AU1727" s="301"/>
      <c r="AV1727" s="301"/>
      <c r="AW1727" s="88"/>
      <c r="AX1727" s="298"/>
      <c r="AY1727" s="299"/>
      <c r="AZ1727" s="299"/>
      <c r="BA1727" s="301"/>
      <c r="BB1727" s="301"/>
      <c r="BC1727" s="426"/>
      <c r="BD1727" s="298"/>
      <c r="BE1727" s="299"/>
      <c r="BF1727" s="299"/>
      <c r="BG1727" s="301"/>
      <c r="BH1727" s="301"/>
      <c r="BI1727" s="88"/>
      <c r="BJ1727" s="298"/>
      <c r="BK1727" s="299"/>
      <c r="BL1727" s="299"/>
      <c r="BM1727" s="301"/>
      <c r="BN1727" s="301"/>
      <c r="BO1727" s="88"/>
      <c r="BP1727" s="9"/>
      <c r="BS1727" s="81"/>
      <c r="BT1727" s="81"/>
      <c r="BV1727" s="9"/>
      <c r="BY1727" s="81"/>
      <c r="BZ1727" s="81"/>
      <c r="CB1727" s="9"/>
      <c r="CE1727" s="81"/>
      <c r="CF1727" s="81"/>
      <c r="CH1727" s="9"/>
      <c r="CK1727" s="81"/>
      <c r="CL1727" s="81"/>
      <c r="CR1727" s="9"/>
      <c r="CS1727" s="9"/>
      <c r="CT1727" s="9"/>
      <c r="CU1727" s="9"/>
      <c r="CV1727" s="9"/>
      <c r="CW1727" s="129"/>
      <c r="CX1727" s="9"/>
    </row>
    <row r="1728" spans="1:102">
      <c r="A1728" s="6" t="str">
        <f t="shared" si="261"/>
        <v>03440998</v>
      </c>
      <c r="B1728" s="6" t="s">
        <v>1994</v>
      </c>
      <c r="C1728" s="6" t="s">
        <v>2091</v>
      </c>
      <c r="D1728" s="6">
        <v>1719</v>
      </c>
      <c r="E1728" s="6">
        <v>344</v>
      </c>
      <c r="F1728" s="6" t="s">
        <v>1547</v>
      </c>
      <c r="G1728" s="6">
        <v>998</v>
      </c>
      <c r="H1728" s="6" t="s">
        <v>1547</v>
      </c>
      <c r="I1728" s="33">
        <v>0</v>
      </c>
      <c r="J1728" s="88">
        <v>0</v>
      </c>
      <c r="K1728" s="89">
        <f t="shared" si="270"/>
        <v>0</v>
      </c>
      <c r="L1728" s="88">
        <f>IF(K1729&gt;0, K1728/K1729, 0)</f>
        <v>0</v>
      </c>
      <c r="M1728" s="58"/>
      <c r="N1728" s="9">
        <f>ROUND(M1729*L1728,0)</f>
        <v>0</v>
      </c>
      <c r="O1728" s="9">
        <v>0</v>
      </c>
      <c r="P1728" s="9">
        <f>N1728-O1728</f>
        <v>0</v>
      </c>
      <c r="Q1728" s="40">
        <f t="shared" si="269"/>
        <v>0</v>
      </c>
      <c r="R1728" s="9">
        <v>0</v>
      </c>
      <c r="S1728" s="9">
        <f t="shared" si="267"/>
        <v>0</v>
      </c>
      <c r="T1728" s="90">
        <f t="shared" si="262"/>
        <v>344</v>
      </c>
      <c r="U1728" s="90">
        <f t="shared" si="263"/>
        <v>998</v>
      </c>
      <c r="V1728" s="373">
        <f t="shared" si="264"/>
        <v>1719</v>
      </c>
      <c r="W1728" s="90">
        <f t="shared" si="265"/>
        <v>0</v>
      </c>
      <c r="X1728" s="90">
        <f t="shared" si="266"/>
        <v>0</v>
      </c>
      <c r="Y1728" s="141">
        <f t="shared" si="268"/>
        <v>1719</v>
      </c>
      <c r="Z1728" s="298">
        <v>344</v>
      </c>
      <c r="AA1728" s="299">
        <v>998</v>
      </c>
      <c r="AB1728" s="299">
        <v>1719</v>
      </c>
      <c r="AC1728" s="301">
        <v>0</v>
      </c>
      <c r="AD1728" s="301">
        <v>0</v>
      </c>
      <c r="AE1728" s="126"/>
      <c r="AF1728" s="298"/>
      <c r="AG1728" s="299"/>
      <c r="AH1728" s="299"/>
      <c r="AI1728" s="301"/>
      <c r="AJ1728" s="301"/>
      <c r="AK1728" s="426"/>
      <c r="AL1728" s="298"/>
      <c r="AM1728" s="299"/>
      <c r="AN1728" s="299"/>
      <c r="AO1728" s="301"/>
      <c r="AP1728" s="301"/>
      <c r="AQ1728" s="426"/>
      <c r="AR1728" s="298"/>
      <c r="AS1728" s="299"/>
      <c r="AT1728" s="299"/>
      <c r="AU1728" s="301"/>
      <c r="AV1728" s="301"/>
      <c r="AW1728" s="88"/>
      <c r="AX1728" s="298"/>
      <c r="AY1728" s="299"/>
      <c r="AZ1728" s="299"/>
      <c r="BA1728" s="301"/>
      <c r="BB1728" s="301"/>
      <c r="BC1728" s="426"/>
      <c r="BD1728" s="298"/>
      <c r="BE1728" s="299"/>
      <c r="BF1728" s="299"/>
      <c r="BG1728" s="301"/>
      <c r="BH1728" s="301"/>
      <c r="BI1728" s="88"/>
      <c r="BJ1728" s="298"/>
      <c r="BK1728" s="299"/>
      <c r="BL1728" s="299"/>
      <c r="BM1728" s="301"/>
      <c r="BN1728" s="301"/>
      <c r="BO1728" s="88"/>
      <c r="BP1728" s="9"/>
      <c r="BS1728" s="81"/>
      <c r="BT1728" s="81"/>
      <c r="BV1728" s="9"/>
      <c r="BY1728" s="81"/>
      <c r="BZ1728" s="81"/>
      <c r="CB1728" s="9"/>
      <c r="CE1728" s="81"/>
      <c r="CF1728" s="81"/>
      <c r="CH1728" s="9"/>
      <c r="CK1728" s="81"/>
      <c r="CL1728" s="81"/>
      <c r="CR1728" s="9"/>
      <c r="CS1728" s="9"/>
      <c r="CT1728" s="9"/>
      <c r="CU1728" s="9"/>
      <c r="CV1728" s="9"/>
      <c r="CW1728" s="129"/>
      <c r="CX1728" s="9"/>
    </row>
    <row r="1729" spans="1:102">
      <c r="A1729" s="6" t="str">
        <f t="shared" si="261"/>
        <v>03440999</v>
      </c>
      <c r="B1729" s="6" t="s">
        <v>1994</v>
      </c>
      <c r="C1729" s="6" t="s">
        <v>2092</v>
      </c>
      <c r="D1729" s="6">
        <v>1720</v>
      </c>
      <c r="E1729" s="10">
        <v>344</v>
      </c>
      <c r="F1729" s="10" t="s">
        <v>1462</v>
      </c>
      <c r="G1729" s="10">
        <v>999</v>
      </c>
      <c r="H1729" s="10" t="s">
        <v>593</v>
      </c>
      <c r="I1729" s="92">
        <v>54159992.42405694</v>
      </c>
      <c r="J1729" s="472">
        <v>1</v>
      </c>
      <c r="K1729" s="53">
        <f>SUM(K1725:K1728)</f>
        <v>55493669.90993163</v>
      </c>
      <c r="L1729" s="91">
        <f>SUM(L1725:L1728)</f>
        <v>0.99999999999999989</v>
      </c>
      <c r="M1729" s="79">
        <f>VLOOKUP(E1729,town351,24)</f>
        <v>45782278</v>
      </c>
      <c r="N1729" s="79">
        <f>SUM(N1725:N1728)</f>
        <v>45782278</v>
      </c>
      <c r="O1729" s="79">
        <v>44218911</v>
      </c>
      <c r="P1729" s="79">
        <f>SUM(P1725:P1728)</f>
        <v>1563367</v>
      </c>
      <c r="Q1729" s="39">
        <f t="shared" si="269"/>
        <v>3.5355167385284543</v>
      </c>
      <c r="R1729" s="9">
        <v>4358.9999999979</v>
      </c>
      <c r="S1729" s="9">
        <f t="shared" si="267"/>
        <v>4351.9999999963002</v>
      </c>
      <c r="T1729" s="90">
        <f t="shared" si="262"/>
        <v>344</v>
      </c>
      <c r="U1729" s="90">
        <f t="shared" si="263"/>
        <v>999</v>
      </c>
      <c r="V1729" s="373">
        <f t="shared" si="264"/>
        <v>1720</v>
      </c>
      <c r="W1729" s="90">
        <f t="shared" si="265"/>
        <v>4351.9999999963002</v>
      </c>
      <c r="X1729" s="90">
        <f t="shared" si="266"/>
        <v>55493669.90993163</v>
      </c>
      <c r="Y1729" s="141">
        <f t="shared" si="268"/>
        <v>1720</v>
      </c>
      <c r="Z1729" s="298">
        <v>344</v>
      </c>
      <c r="AA1729" s="299">
        <v>999</v>
      </c>
      <c r="AB1729" s="299">
        <v>1720</v>
      </c>
      <c r="AC1729" s="301">
        <v>4351.9999999963002</v>
      </c>
      <c r="AD1729" s="301">
        <v>55493669.90993163</v>
      </c>
      <c r="AE1729" s="126"/>
      <c r="AF1729" s="298"/>
      <c r="AG1729" s="299"/>
      <c r="AH1729" s="299"/>
      <c r="AI1729" s="301"/>
      <c r="AJ1729" s="301"/>
      <c r="AK1729" s="426"/>
      <c r="AL1729" s="298"/>
      <c r="AM1729" s="299"/>
      <c r="AN1729" s="299"/>
      <c r="AO1729" s="301"/>
      <c r="AP1729" s="301"/>
      <c r="AQ1729" s="426"/>
      <c r="AR1729" s="298"/>
      <c r="AS1729" s="299"/>
      <c r="AT1729" s="299"/>
      <c r="AU1729" s="301"/>
      <c r="AV1729" s="301"/>
      <c r="AW1729" s="91"/>
      <c r="AX1729" s="298"/>
      <c r="AY1729" s="299"/>
      <c r="AZ1729" s="299"/>
      <c r="BA1729" s="301"/>
      <c r="BB1729" s="301"/>
      <c r="BC1729" s="426"/>
      <c r="BD1729" s="298"/>
      <c r="BE1729" s="299"/>
      <c r="BF1729" s="299"/>
      <c r="BG1729" s="301"/>
      <c r="BH1729" s="301"/>
      <c r="BI1729" s="91"/>
      <c r="BJ1729" s="298"/>
      <c r="BK1729" s="299"/>
      <c r="BL1729" s="299"/>
      <c r="BM1729" s="301"/>
      <c r="BN1729" s="301"/>
      <c r="BO1729" s="91"/>
      <c r="BP1729" s="9"/>
      <c r="BS1729" s="81"/>
      <c r="BT1729" s="81"/>
      <c r="BV1729" s="9"/>
      <c r="BY1729" s="81"/>
      <c r="BZ1729" s="81"/>
      <c r="CB1729" s="9"/>
      <c r="CE1729" s="81"/>
      <c r="CF1729" s="81"/>
      <c r="CH1729" s="9"/>
      <c r="CK1729" s="81"/>
      <c r="CL1729" s="81"/>
      <c r="CR1729" s="9"/>
      <c r="CS1729" s="9"/>
      <c r="CT1729" s="9"/>
      <c r="CU1729" s="9"/>
      <c r="CV1729" s="9"/>
      <c r="CW1729" s="129"/>
      <c r="CX1729" s="9"/>
    </row>
    <row r="1730" spans="1:102">
      <c r="A1730" s="6" t="str">
        <f t="shared" si="261"/>
        <v>03450345</v>
      </c>
      <c r="B1730" s="6" t="s">
        <v>1995</v>
      </c>
      <c r="C1730" s="6" t="s">
        <v>1995</v>
      </c>
      <c r="D1730" s="6">
        <v>1721</v>
      </c>
      <c r="E1730" s="6">
        <v>345</v>
      </c>
      <c r="F1730" s="6" t="s">
        <v>1463</v>
      </c>
      <c r="G1730" s="6">
        <v>345</v>
      </c>
      <c r="H1730" s="6" t="s">
        <v>1026</v>
      </c>
      <c r="I1730" s="33">
        <v>65963.040000000008</v>
      </c>
      <c r="J1730" s="88">
        <v>6.8252828171498137E-2</v>
      </c>
      <c r="K1730" s="89">
        <f>X1730</f>
        <v>84301.650000000009</v>
      </c>
      <c r="L1730" s="88">
        <f>IF(K1734&gt;0, K1730/K1734, 0)</f>
        <v>9.1174263772982433E-2</v>
      </c>
      <c r="M1730" s="58"/>
      <c r="N1730" s="9">
        <f>ROUND(M1734*L1730,0)</f>
        <v>68029</v>
      </c>
      <c r="O1730" s="9">
        <v>48534</v>
      </c>
      <c r="P1730" s="9">
        <f>N1730-O1730</f>
        <v>19495</v>
      </c>
      <c r="Q1730" s="40">
        <f t="shared" si="269"/>
        <v>40.167717476408292</v>
      </c>
      <c r="R1730" s="9">
        <v>4</v>
      </c>
      <c r="S1730" s="9">
        <f t="shared" si="267"/>
        <v>5</v>
      </c>
      <c r="T1730" s="90">
        <f t="shared" si="262"/>
        <v>345</v>
      </c>
      <c r="U1730" s="90">
        <f t="shared" si="263"/>
        <v>345</v>
      </c>
      <c r="V1730" s="373">
        <f t="shared" si="264"/>
        <v>1721</v>
      </c>
      <c r="W1730" s="90">
        <f t="shared" si="265"/>
        <v>5</v>
      </c>
      <c r="X1730" s="90">
        <f t="shared" si="266"/>
        <v>84301.650000000009</v>
      </c>
      <c r="Y1730" s="141">
        <f t="shared" si="268"/>
        <v>1721</v>
      </c>
      <c r="Z1730" s="298">
        <v>345</v>
      </c>
      <c r="AA1730" s="299">
        <v>345</v>
      </c>
      <c r="AB1730" s="299">
        <v>1721</v>
      </c>
      <c r="AC1730" s="301">
        <v>5</v>
      </c>
      <c r="AD1730" s="301">
        <v>84301.650000000009</v>
      </c>
      <c r="AE1730" s="126"/>
      <c r="AF1730" s="298"/>
      <c r="AG1730" s="299"/>
      <c r="AH1730" s="299"/>
      <c r="AI1730" s="301"/>
      <c r="AJ1730" s="301"/>
      <c r="AK1730" s="426"/>
      <c r="AL1730" s="298"/>
      <c r="AM1730" s="299"/>
      <c r="AN1730" s="299"/>
      <c r="AO1730" s="301"/>
      <c r="AP1730" s="301"/>
      <c r="AQ1730" s="426"/>
      <c r="AR1730" s="298"/>
      <c r="AS1730" s="299"/>
      <c r="AT1730" s="299"/>
      <c r="AU1730" s="301"/>
      <c r="AV1730" s="301"/>
      <c r="AW1730" s="88"/>
      <c r="AX1730" s="298"/>
      <c r="AY1730" s="299"/>
      <c r="AZ1730" s="299"/>
      <c r="BA1730" s="301"/>
      <c r="BB1730" s="301"/>
      <c r="BC1730" s="426"/>
      <c r="BD1730" s="298"/>
      <c r="BE1730" s="299"/>
      <c r="BF1730" s="299"/>
      <c r="BG1730" s="301"/>
      <c r="BH1730" s="301"/>
      <c r="BI1730" s="88"/>
      <c r="BJ1730" s="298"/>
      <c r="BK1730" s="299"/>
      <c r="BL1730" s="299"/>
      <c r="BM1730" s="301"/>
      <c r="BN1730" s="301"/>
      <c r="BO1730" s="88"/>
      <c r="BP1730" s="9"/>
      <c r="BS1730" s="81"/>
      <c r="BT1730" s="81"/>
      <c r="BV1730" s="9"/>
      <c r="BY1730" s="81"/>
      <c r="BZ1730" s="81"/>
      <c r="CB1730" s="9"/>
      <c r="CE1730" s="81"/>
      <c r="CF1730" s="81"/>
      <c r="CH1730" s="9"/>
      <c r="CK1730" s="81"/>
      <c r="CL1730" s="81"/>
      <c r="CR1730" s="9"/>
      <c r="CS1730" s="9"/>
      <c r="CT1730" s="9"/>
      <c r="CU1730" s="9"/>
      <c r="CV1730" s="9"/>
      <c r="CW1730" s="129"/>
      <c r="CX1730" s="9"/>
    </row>
    <row r="1731" spans="1:102">
      <c r="A1731" s="6" t="str">
        <f t="shared" si="261"/>
        <v>03450635</v>
      </c>
      <c r="B1731" s="6" t="s">
        <v>1995</v>
      </c>
      <c r="C1731" s="6" t="s">
        <v>2015</v>
      </c>
      <c r="D1731" s="6">
        <v>1722</v>
      </c>
      <c r="E1731" s="6">
        <v>345</v>
      </c>
      <c r="F1731" s="6" t="s">
        <v>1463</v>
      </c>
      <c r="G1731" s="6">
        <v>635</v>
      </c>
      <c r="H1731" s="6" t="s">
        <v>1045</v>
      </c>
      <c r="I1731" s="33">
        <v>900488.34036266268</v>
      </c>
      <c r="J1731" s="88">
        <v>0.93174717182850186</v>
      </c>
      <c r="K1731" s="89">
        <f t="shared" si="270"/>
        <v>840319.47126186441</v>
      </c>
      <c r="L1731" s="88">
        <f>IF(K1734&gt;0, K1731/K1734, 0)</f>
        <v>0.90882573622701757</v>
      </c>
      <c r="M1731" s="58"/>
      <c r="N1731" s="9">
        <f>ROUND(M1734*L1731,0)</f>
        <v>678118</v>
      </c>
      <c r="O1731" s="9">
        <v>662556</v>
      </c>
      <c r="P1731" s="9">
        <f>N1731-O1731</f>
        <v>15562</v>
      </c>
      <c r="Q1731" s="40">
        <f t="shared" si="269"/>
        <v>2.3487825934713444</v>
      </c>
      <c r="R1731" s="9">
        <v>62.96171317412</v>
      </c>
      <c r="S1731" s="9">
        <f t="shared" si="267"/>
        <v>57.103092782560005</v>
      </c>
      <c r="T1731" s="90">
        <f t="shared" si="262"/>
        <v>345</v>
      </c>
      <c r="U1731" s="90">
        <f t="shared" si="263"/>
        <v>635</v>
      </c>
      <c r="V1731" s="373">
        <f t="shared" si="264"/>
        <v>1722</v>
      </c>
      <c r="W1731" s="90">
        <f t="shared" si="265"/>
        <v>57.103092782560005</v>
      </c>
      <c r="X1731" s="90">
        <f t="shared" si="266"/>
        <v>840319.47126186441</v>
      </c>
      <c r="Y1731" s="141">
        <f t="shared" si="268"/>
        <v>1722</v>
      </c>
      <c r="Z1731" s="298">
        <v>345</v>
      </c>
      <c r="AA1731" s="299">
        <v>635</v>
      </c>
      <c r="AB1731" s="299">
        <v>1722</v>
      </c>
      <c r="AC1731" s="301">
        <v>57.103092782560005</v>
      </c>
      <c r="AD1731" s="301">
        <v>840319.47126186441</v>
      </c>
      <c r="AE1731" s="126"/>
      <c r="AF1731" s="298"/>
      <c r="AG1731" s="299"/>
      <c r="AH1731" s="299"/>
      <c r="AI1731" s="301"/>
      <c r="AJ1731" s="301"/>
      <c r="AK1731" s="426"/>
      <c r="AL1731" s="298"/>
      <c r="AM1731" s="299"/>
      <c r="AN1731" s="299"/>
      <c r="AO1731" s="301"/>
      <c r="AP1731" s="301"/>
      <c r="AQ1731" s="426"/>
      <c r="AR1731" s="298"/>
      <c r="AS1731" s="299"/>
      <c r="AT1731" s="299"/>
      <c r="AU1731" s="301"/>
      <c r="AV1731" s="301"/>
      <c r="AW1731" s="88"/>
      <c r="AX1731" s="298"/>
      <c r="AY1731" s="299"/>
      <c r="AZ1731" s="299"/>
      <c r="BA1731" s="301"/>
      <c r="BB1731" s="301"/>
      <c r="BC1731" s="426"/>
      <c r="BD1731" s="298"/>
      <c r="BE1731" s="299"/>
      <c r="BF1731" s="299"/>
      <c r="BG1731" s="301"/>
      <c r="BH1731" s="301"/>
      <c r="BI1731" s="88"/>
      <c r="BJ1731" s="298"/>
      <c r="BK1731" s="299"/>
      <c r="BL1731" s="299"/>
      <c r="BM1731" s="301"/>
      <c r="BN1731" s="301"/>
      <c r="BO1731" s="88"/>
      <c r="BP1731" s="9"/>
      <c r="BS1731" s="81"/>
      <c r="BT1731" s="81"/>
      <c r="BV1731" s="9"/>
      <c r="BY1731" s="81"/>
      <c r="BZ1731" s="81"/>
      <c r="CB1731" s="9"/>
      <c r="CE1731" s="81"/>
      <c r="CF1731" s="81"/>
      <c r="CH1731" s="9"/>
      <c r="CK1731" s="81"/>
      <c r="CL1731" s="81"/>
      <c r="CR1731" s="9"/>
      <c r="CS1731" s="9"/>
      <c r="CT1731" s="9"/>
      <c r="CU1731" s="9"/>
      <c r="CV1731" s="9"/>
      <c r="CW1731" s="129"/>
      <c r="CX1731" s="9"/>
    </row>
    <row r="1732" spans="1:102">
      <c r="A1732" s="6" t="str">
        <f t="shared" si="261"/>
        <v>03450998</v>
      </c>
      <c r="B1732" s="6" t="s">
        <v>1995</v>
      </c>
      <c r="C1732" s="6" t="s">
        <v>2091</v>
      </c>
      <c r="D1732" s="6">
        <v>1723</v>
      </c>
      <c r="E1732" s="6">
        <v>345</v>
      </c>
      <c r="F1732" s="6" t="s">
        <v>1547</v>
      </c>
      <c r="G1732" s="6">
        <v>998</v>
      </c>
      <c r="H1732" s="6" t="s">
        <v>1547</v>
      </c>
      <c r="I1732" s="33">
        <v>0</v>
      </c>
      <c r="J1732" s="88">
        <v>0</v>
      </c>
      <c r="K1732" s="89">
        <f t="shared" si="270"/>
        <v>0</v>
      </c>
      <c r="L1732" s="88">
        <f>IF(K1734&gt;0, K1732/K1734, 0)</f>
        <v>0</v>
      </c>
      <c r="M1732" s="58"/>
      <c r="N1732" s="9">
        <f>ROUND(M1734*L1732,0)</f>
        <v>0</v>
      </c>
      <c r="O1732" s="9">
        <v>0</v>
      </c>
      <c r="P1732" s="9">
        <f>N1732-O1732</f>
        <v>0</v>
      </c>
      <c r="Q1732" s="40">
        <f t="shared" si="269"/>
        <v>0</v>
      </c>
      <c r="R1732" s="9">
        <v>0</v>
      </c>
      <c r="S1732" s="9">
        <f t="shared" si="267"/>
        <v>0</v>
      </c>
      <c r="T1732" s="90">
        <f t="shared" si="262"/>
        <v>345</v>
      </c>
      <c r="U1732" s="90">
        <f t="shared" si="263"/>
        <v>998</v>
      </c>
      <c r="V1732" s="373">
        <f t="shared" si="264"/>
        <v>1723</v>
      </c>
      <c r="W1732" s="90">
        <f t="shared" si="265"/>
        <v>0</v>
      </c>
      <c r="X1732" s="90">
        <f t="shared" si="266"/>
        <v>0</v>
      </c>
      <c r="Y1732" s="141">
        <f t="shared" si="268"/>
        <v>1723</v>
      </c>
      <c r="Z1732" s="298">
        <v>345</v>
      </c>
      <c r="AA1732" s="299">
        <v>998</v>
      </c>
      <c r="AB1732" s="299">
        <v>1723</v>
      </c>
      <c r="AC1732" s="301">
        <v>0</v>
      </c>
      <c r="AD1732" s="301">
        <v>0</v>
      </c>
      <c r="AE1732" s="126"/>
      <c r="AF1732" s="298"/>
      <c r="AG1732" s="299"/>
      <c r="AH1732" s="299"/>
      <c r="AI1732" s="301"/>
      <c r="AJ1732" s="301"/>
      <c r="AK1732" s="426"/>
      <c r="AL1732" s="298"/>
      <c r="AM1732" s="299"/>
      <c r="AN1732" s="299"/>
      <c r="AO1732" s="301"/>
      <c r="AP1732" s="301"/>
      <c r="AQ1732" s="426"/>
      <c r="AR1732" s="298"/>
      <c r="AS1732" s="299"/>
      <c r="AT1732" s="299"/>
      <c r="AU1732" s="301"/>
      <c r="AV1732" s="301"/>
      <c r="AW1732" s="88"/>
      <c r="AX1732" s="298"/>
      <c r="AY1732" s="299"/>
      <c r="AZ1732" s="299"/>
      <c r="BA1732" s="301"/>
      <c r="BB1732" s="301"/>
      <c r="BC1732" s="426"/>
      <c r="BD1732" s="298"/>
      <c r="BE1732" s="299"/>
      <c r="BF1732" s="299"/>
      <c r="BG1732" s="301"/>
      <c r="BH1732" s="301"/>
      <c r="BI1732" s="88"/>
      <c r="BJ1732" s="298"/>
      <c r="BK1732" s="299"/>
      <c r="BL1732" s="299"/>
      <c r="BM1732" s="301"/>
      <c r="BN1732" s="301"/>
      <c r="BO1732" s="88"/>
      <c r="BP1732" s="9"/>
      <c r="BS1732" s="81"/>
      <c r="BT1732" s="81"/>
      <c r="BV1732" s="9"/>
      <c r="BY1732" s="81"/>
      <c r="BZ1732" s="81"/>
      <c r="CB1732" s="9"/>
      <c r="CE1732" s="81"/>
      <c r="CF1732" s="81"/>
      <c r="CH1732" s="9"/>
      <c r="CK1732" s="81"/>
      <c r="CL1732" s="81"/>
      <c r="CR1732" s="9"/>
      <c r="CS1732" s="9"/>
      <c r="CT1732" s="9"/>
      <c r="CU1732" s="9"/>
      <c r="CV1732" s="9"/>
      <c r="CW1732" s="129"/>
      <c r="CX1732" s="9"/>
    </row>
    <row r="1733" spans="1:102">
      <c r="A1733" s="6" t="str">
        <f t="shared" si="261"/>
        <v>03450998</v>
      </c>
      <c r="B1733" s="6" t="s">
        <v>1995</v>
      </c>
      <c r="C1733" s="6" t="s">
        <v>2091</v>
      </c>
      <c r="D1733" s="6">
        <v>1724</v>
      </c>
      <c r="E1733" s="6">
        <v>345</v>
      </c>
      <c r="F1733" s="6" t="s">
        <v>1547</v>
      </c>
      <c r="G1733" s="6">
        <v>998</v>
      </c>
      <c r="H1733" s="6" t="s">
        <v>1547</v>
      </c>
      <c r="I1733" s="33">
        <v>0</v>
      </c>
      <c r="J1733" s="88">
        <v>0</v>
      </c>
      <c r="K1733" s="89">
        <f t="shared" si="270"/>
        <v>0</v>
      </c>
      <c r="L1733" s="88">
        <f>IF(K1734&gt;0, K1733/K1734, 0)</f>
        <v>0</v>
      </c>
      <c r="M1733" s="58"/>
      <c r="N1733" s="9">
        <f>ROUND(M1734*L1733,0)</f>
        <v>0</v>
      </c>
      <c r="O1733" s="9">
        <v>0</v>
      </c>
      <c r="P1733" s="9">
        <f>N1733-O1733</f>
        <v>0</v>
      </c>
      <c r="Q1733" s="40">
        <f t="shared" si="269"/>
        <v>0</v>
      </c>
      <c r="R1733" s="9">
        <v>0</v>
      </c>
      <c r="S1733" s="9">
        <f t="shared" si="267"/>
        <v>0</v>
      </c>
      <c r="T1733" s="90">
        <f t="shared" si="262"/>
        <v>345</v>
      </c>
      <c r="U1733" s="90">
        <f t="shared" si="263"/>
        <v>998</v>
      </c>
      <c r="V1733" s="373">
        <f t="shared" si="264"/>
        <v>1724</v>
      </c>
      <c r="W1733" s="90">
        <f t="shared" si="265"/>
        <v>0</v>
      </c>
      <c r="X1733" s="90">
        <f t="shared" si="266"/>
        <v>0</v>
      </c>
      <c r="Y1733" s="141">
        <f t="shared" si="268"/>
        <v>1724</v>
      </c>
      <c r="Z1733" s="298">
        <v>345</v>
      </c>
      <c r="AA1733" s="299">
        <v>998</v>
      </c>
      <c r="AB1733" s="299">
        <v>1724</v>
      </c>
      <c r="AC1733" s="301">
        <v>0</v>
      </c>
      <c r="AD1733" s="301">
        <v>0</v>
      </c>
      <c r="AE1733" s="126"/>
      <c r="AF1733" s="298"/>
      <c r="AG1733" s="299"/>
      <c r="AH1733" s="299"/>
      <c r="AI1733" s="301"/>
      <c r="AJ1733" s="301"/>
      <c r="AK1733" s="426"/>
      <c r="AL1733" s="298"/>
      <c r="AM1733" s="299"/>
      <c r="AN1733" s="299"/>
      <c r="AO1733" s="301"/>
      <c r="AP1733" s="301"/>
      <c r="AQ1733" s="426"/>
      <c r="AR1733" s="298"/>
      <c r="AS1733" s="299"/>
      <c r="AT1733" s="299"/>
      <c r="AU1733" s="301"/>
      <c r="AV1733" s="301"/>
      <c r="AW1733" s="88"/>
      <c r="AX1733" s="298"/>
      <c r="AY1733" s="299"/>
      <c r="AZ1733" s="299"/>
      <c r="BA1733" s="301"/>
      <c r="BB1733" s="301"/>
      <c r="BC1733" s="426"/>
      <c r="BD1733" s="298"/>
      <c r="BE1733" s="299"/>
      <c r="BF1733" s="299"/>
      <c r="BG1733" s="301"/>
      <c r="BH1733" s="301"/>
      <c r="BI1733" s="88"/>
      <c r="BJ1733" s="298"/>
      <c r="BK1733" s="299"/>
      <c r="BL1733" s="299"/>
      <c r="BM1733" s="301"/>
      <c r="BN1733" s="301"/>
      <c r="BO1733" s="88"/>
      <c r="BP1733" s="9"/>
      <c r="BS1733" s="81"/>
      <c r="BT1733" s="81"/>
      <c r="BV1733" s="9"/>
      <c r="BY1733" s="81"/>
      <c r="BZ1733" s="81"/>
      <c r="CB1733" s="9"/>
      <c r="CE1733" s="81"/>
      <c r="CF1733" s="81"/>
      <c r="CH1733" s="9"/>
      <c r="CK1733" s="81"/>
      <c r="CL1733" s="81"/>
      <c r="CR1733" s="9"/>
      <c r="CS1733" s="9"/>
      <c r="CT1733" s="9"/>
      <c r="CU1733" s="9"/>
      <c r="CV1733" s="9"/>
      <c r="CW1733" s="129"/>
      <c r="CX1733" s="9"/>
    </row>
    <row r="1734" spans="1:102">
      <c r="A1734" s="6" t="str">
        <f t="shared" si="261"/>
        <v>03450999</v>
      </c>
      <c r="B1734" s="6" t="s">
        <v>1995</v>
      </c>
      <c r="C1734" s="6" t="s">
        <v>2092</v>
      </c>
      <c r="D1734" s="6">
        <v>1725</v>
      </c>
      <c r="E1734" s="10">
        <v>345</v>
      </c>
      <c r="F1734" s="10" t="s">
        <v>1463</v>
      </c>
      <c r="G1734" s="10">
        <v>999</v>
      </c>
      <c r="H1734" s="10" t="s">
        <v>593</v>
      </c>
      <c r="I1734" s="92">
        <v>966451.38036266272</v>
      </c>
      <c r="J1734" s="472">
        <v>1</v>
      </c>
      <c r="K1734" s="53">
        <f>SUM(K1730:K1733)</f>
        <v>924621.12126186443</v>
      </c>
      <c r="L1734" s="91">
        <f>SUM(L1730:L1733)</f>
        <v>1</v>
      </c>
      <c r="M1734" s="79">
        <f>VLOOKUP(E1734,town351,24)</f>
        <v>746147</v>
      </c>
      <c r="N1734" s="79">
        <f>SUM(N1730:N1733)</f>
        <v>746147</v>
      </c>
      <c r="O1734" s="79">
        <v>711090</v>
      </c>
      <c r="P1734" s="79">
        <f>SUM(P1730:P1733)</f>
        <v>35057</v>
      </c>
      <c r="Q1734" s="39">
        <f t="shared" si="269"/>
        <v>4.9300369854730066</v>
      </c>
      <c r="R1734" s="9">
        <v>66.961713174120007</v>
      </c>
      <c r="S1734" s="9">
        <f t="shared" si="267"/>
        <v>62.103092782560005</v>
      </c>
      <c r="T1734" s="90">
        <f t="shared" si="262"/>
        <v>345</v>
      </c>
      <c r="U1734" s="90">
        <f t="shared" si="263"/>
        <v>999</v>
      </c>
      <c r="V1734" s="373">
        <f t="shared" si="264"/>
        <v>1725</v>
      </c>
      <c r="W1734" s="90">
        <f t="shared" si="265"/>
        <v>62.103092782560005</v>
      </c>
      <c r="X1734" s="90">
        <f t="shared" si="266"/>
        <v>924621.12126186443</v>
      </c>
      <c r="Y1734" s="141">
        <f t="shared" si="268"/>
        <v>1725</v>
      </c>
      <c r="Z1734" s="298">
        <v>345</v>
      </c>
      <c r="AA1734" s="299">
        <v>999</v>
      </c>
      <c r="AB1734" s="299">
        <v>1725</v>
      </c>
      <c r="AC1734" s="301">
        <v>62.103092782560005</v>
      </c>
      <c r="AD1734" s="301">
        <v>924621.12126186443</v>
      </c>
      <c r="AE1734" s="126"/>
      <c r="AF1734" s="298"/>
      <c r="AG1734" s="299"/>
      <c r="AH1734" s="299"/>
      <c r="AI1734" s="301"/>
      <c r="AJ1734" s="301"/>
      <c r="AK1734" s="426"/>
      <c r="AL1734" s="298"/>
      <c r="AM1734" s="299"/>
      <c r="AN1734" s="299"/>
      <c r="AO1734" s="301"/>
      <c r="AP1734" s="301"/>
      <c r="AQ1734" s="426"/>
      <c r="AR1734" s="298"/>
      <c r="AS1734" s="299"/>
      <c r="AT1734" s="299"/>
      <c r="AU1734" s="301"/>
      <c r="AV1734" s="301"/>
      <c r="AW1734" s="91"/>
      <c r="AX1734" s="298"/>
      <c r="AY1734" s="299"/>
      <c r="AZ1734" s="299"/>
      <c r="BA1734" s="301"/>
      <c r="BB1734" s="301"/>
      <c r="BC1734" s="426"/>
      <c r="BD1734" s="298"/>
      <c r="BE1734" s="299"/>
      <c r="BF1734" s="299"/>
      <c r="BG1734" s="301"/>
      <c r="BH1734" s="301"/>
      <c r="BI1734" s="91"/>
      <c r="BJ1734" s="298"/>
      <c r="BK1734" s="299"/>
      <c r="BL1734" s="299"/>
      <c r="BM1734" s="301"/>
      <c r="BN1734" s="301"/>
      <c r="BO1734" s="91"/>
      <c r="BP1734" s="9"/>
      <c r="BS1734" s="81"/>
      <c r="BT1734" s="81"/>
      <c r="BV1734" s="9"/>
      <c r="BY1734" s="81"/>
      <c r="BZ1734" s="81"/>
      <c r="CB1734" s="9"/>
      <c r="CE1734" s="81"/>
      <c r="CF1734" s="81"/>
      <c r="CH1734" s="9"/>
      <c r="CK1734" s="81"/>
      <c r="CL1734" s="81"/>
      <c r="CR1734" s="9"/>
      <c r="CS1734" s="9"/>
      <c r="CT1734" s="9"/>
      <c r="CU1734" s="9"/>
      <c r="CV1734" s="9"/>
      <c r="CW1734" s="129"/>
      <c r="CX1734" s="9"/>
    </row>
    <row r="1735" spans="1:102">
      <c r="A1735" s="6" t="str">
        <f t="shared" si="261"/>
        <v>03460346</v>
      </c>
      <c r="B1735" s="6" t="s">
        <v>1996</v>
      </c>
      <c r="C1735" s="6" t="s">
        <v>1996</v>
      </c>
      <c r="D1735" s="6">
        <v>1726</v>
      </c>
      <c r="E1735" s="6">
        <v>346</v>
      </c>
      <c r="F1735" s="6" t="s">
        <v>1464</v>
      </c>
      <c r="G1735" s="6">
        <v>346</v>
      </c>
      <c r="H1735" s="6" t="s">
        <v>1027</v>
      </c>
      <c r="I1735" s="33">
        <v>28718694.131870005</v>
      </c>
      <c r="J1735" s="88">
        <v>0.95342065268982135</v>
      </c>
      <c r="K1735" s="89">
        <f>X1735</f>
        <v>30384003.300080005</v>
      </c>
      <c r="L1735" s="88">
        <f>IF(K1739&gt;0, K1735/K1739, 0)</f>
        <v>0.95377748735826551</v>
      </c>
      <c r="M1735" s="58"/>
      <c r="N1735" s="9">
        <f>ROUND(M1739*L1735,0)</f>
        <v>20235207</v>
      </c>
      <c r="O1735" s="9">
        <v>18971710</v>
      </c>
      <c r="P1735" s="9">
        <f>N1735-O1735</f>
        <v>1263497</v>
      </c>
      <c r="Q1735" s="40">
        <f t="shared" si="269"/>
        <v>6.6599004517779363</v>
      </c>
      <c r="R1735" s="9">
        <v>1957</v>
      </c>
      <c r="S1735" s="9">
        <f t="shared" si="267"/>
        <v>1995</v>
      </c>
      <c r="T1735" s="90">
        <f t="shared" si="262"/>
        <v>346</v>
      </c>
      <c r="U1735" s="90">
        <f t="shared" si="263"/>
        <v>346</v>
      </c>
      <c r="V1735" s="373">
        <f t="shared" si="264"/>
        <v>1726</v>
      </c>
      <c r="W1735" s="90">
        <f t="shared" si="265"/>
        <v>1995</v>
      </c>
      <c r="X1735" s="90">
        <f t="shared" si="266"/>
        <v>30384003.300080005</v>
      </c>
      <c r="Y1735" s="141">
        <f t="shared" si="268"/>
        <v>1726</v>
      </c>
      <c r="Z1735" s="298">
        <v>346</v>
      </c>
      <c r="AA1735" s="299">
        <v>346</v>
      </c>
      <c r="AB1735" s="299">
        <v>1726</v>
      </c>
      <c r="AC1735" s="301">
        <v>1995</v>
      </c>
      <c r="AD1735" s="301">
        <v>30384003.300080005</v>
      </c>
      <c r="AE1735" s="126"/>
      <c r="AF1735" s="298"/>
      <c r="AG1735" s="299"/>
      <c r="AH1735" s="299"/>
      <c r="AI1735" s="301"/>
      <c r="AJ1735" s="301"/>
      <c r="AK1735" s="426"/>
      <c r="AL1735" s="298"/>
      <c r="AM1735" s="299"/>
      <c r="AN1735" s="299"/>
      <c r="AO1735" s="301"/>
      <c r="AP1735" s="301"/>
      <c r="AQ1735" s="426"/>
      <c r="AR1735" s="298"/>
      <c r="AS1735" s="299"/>
      <c r="AT1735" s="299"/>
      <c r="AU1735" s="301"/>
      <c r="AV1735" s="301"/>
      <c r="AW1735" s="88"/>
      <c r="AX1735" s="298"/>
      <c r="AY1735" s="299"/>
      <c r="AZ1735" s="299"/>
      <c r="BA1735" s="301"/>
      <c r="BB1735" s="301"/>
      <c r="BC1735" s="426"/>
      <c r="BD1735" s="298"/>
      <c r="BE1735" s="299"/>
      <c r="BF1735" s="299"/>
      <c r="BG1735" s="301"/>
      <c r="BH1735" s="301"/>
      <c r="BI1735" s="88"/>
      <c r="BJ1735" s="298"/>
      <c r="BK1735" s="299"/>
      <c r="BL1735" s="299"/>
      <c r="BM1735" s="301"/>
      <c r="BN1735" s="301"/>
      <c r="BO1735" s="88"/>
      <c r="BP1735" s="9"/>
      <c r="BS1735" s="81"/>
      <c r="BT1735" s="81"/>
      <c r="BV1735" s="9"/>
      <c r="BY1735" s="81"/>
      <c r="BZ1735" s="81"/>
      <c r="CB1735" s="9"/>
      <c r="CE1735" s="81"/>
      <c r="CF1735" s="81"/>
      <c r="CH1735" s="9"/>
      <c r="CK1735" s="81"/>
      <c r="CL1735" s="81"/>
      <c r="CR1735" s="9"/>
      <c r="CS1735" s="9"/>
      <c r="CT1735" s="9"/>
      <c r="CU1735" s="9"/>
      <c r="CV1735" s="9"/>
      <c r="CW1735" s="129"/>
      <c r="CX1735" s="9"/>
    </row>
    <row r="1736" spans="1:102">
      <c r="A1736" s="6" t="str">
        <f t="shared" si="261"/>
        <v>03460853</v>
      </c>
      <c r="B1736" s="6" t="s">
        <v>1996</v>
      </c>
      <c r="C1736" s="6" t="s">
        <v>2078</v>
      </c>
      <c r="D1736" s="6">
        <v>1727</v>
      </c>
      <c r="E1736" s="6">
        <v>346</v>
      </c>
      <c r="F1736" s="6" t="s">
        <v>1464</v>
      </c>
      <c r="G1736" s="6">
        <v>853</v>
      </c>
      <c r="H1736" s="6" t="s">
        <v>1108</v>
      </c>
      <c r="I1736" s="33">
        <v>1403051.2392291934</v>
      </c>
      <c r="J1736" s="88">
        <v>4.657934731017857E-2</v>
      </c>
      <c r="K1736" s="89">
        <f t="shared" si="270"/>
        <v>1472487.0268581905</v>
      </c>
      <c r="L1736" s="88">
        <f>IF(K1739&gt;0, K1736/K1739, 0)</f>
        <v>4.6222512641734402E-2</v>
      </c>
      <c r="M1736" s="58"/>
      <c r="N1736" s="9">
        <f>ROUND(M1739*L1736,0)</f>
        <v>980650</v>
      </c>
      <c r="O1736" s="9">
        <v>926862</v>
      </c>
      <c r="P1736" s="9">
        <f>N1736-O1736</f>
        <v>53788</v>
      </c>
      <c r="Q1736" s="40">
        <f t="shared" si="269"/>
        <v>5.8032371593613723</v>
      </c>
      <c r="R1736" s="9">
        <v>61.000000000099995</v>
      </c>
      <c r="S1736" s="9">
        <f t="shared" si="267"/>
        <v>62.000000006600004</v>
      </c>
      <c r="T1736" s="90">
        <f t="shared" si="262"/>
        <v>346</v>
      </c>
      <c r="U1736" s="90">
        <f t="shared" si="263"/>
        <v>853</v>
      </c>
      <c r="V1736" s="373">
        <f t="shared" si="264"/>
        <v>1727</v>
      </c>
      <c r="W1736" s="90">
        <f t="shared" si="265"/>
        <v>62.000000006600004</v>
      </c>
      <c r="X1736" s="90">
        <f t="shared" si="266"/>
        <v>1472487.0268581905</v>
      </c>
      <c r="Y1736" s="141">
        <f t="shared" si="268"/>
        <v>1727</v>
      </c>
      <c r="Z1736" s="298">
        <v>346</v>
      </c>
      <c r="AA1736" s="299">
        <v>853</v>
      </c>
      <c r="AB1736" s="299">
        <v>1727</v>
      </c>
      <c r="AC1736" s="301">
        <v>62.000000006600004</v>
      </c>
      <c r="AD1736" s="301">
        <v>1472487.0268581905</v>
      </c>
      <c r="AE1736" s="126"/>
      <c r="AF1736" s="298"/>
      <c r="AG1736" s="299"/>
      <c r="AH1736" s="299"/>
      <c r="AI1736" s="301"/>
      <c r="AJ1736" s="301"/>
      <c r="AK1736" s="426"/>
      <c r="AL1736" s="298"/>
      <c r="AM1736" s="299"/>
      <c r="AN1736" s="299"/>
      <c r="AO1736" s="301"/>
      <c r="AP1736" s="301"/>
      <c r="AQ1736" s="426"/>
      <c r="AR1736" s="298"/>
      <c r="AS1736" s="299"/>
      <c r="AT1736" s="299"/>
      <c r="AU1736" s="301"/>
      <c r="AV1736" s="301"/>
      <c r="AW1736" s="88"/>
      <c r="AX1736" s="298"/>
      <c r="AY1736" s="299"/>
      <c r="AZ1736" s="299"/>
      <c r="BA1736" s="301"/>
      <c r="BB1736" s="301"/>
      <c r="BC1736" s="426"/>
      <c r="BD1736" s="298"/>
      <c r="BE1736" s="299"/>
      <c r="BF1736" s="299"/>
      <c r="BG1736" s="301"/>
      <c r="BH1736" s="301"/>
      <c r="BI1736" s="88"/>
      <c r="BJ1736" s="298"/>
      <c r="BK1736" s="299"/>
      <c r="BL1736" s="299"/>
      <c r="BM1736" s="301"/>
      <c r="BN1736" s="301"/>
      <c r="BO1736" s="88"/>
      <c r="BP1736" s="9"/>
      <c r="BS1736" s="81"/>
      <c r="BT1736" s="81"/>
      <c r="BV1736" s="9"/>
      <c r="BY1736" s="81"/>
      <c r="BZ1736" s="81"/>
      <c r="CB1736" s="9"/>
      <c r="CE1736" s="81"/>
      <c r="CF1736" s="81"/>
      <c r="CH1736" s="9"/>
      <c r="CK1736" s="81"/>
      <c r="CL1736" s="81"/>
      <c r="CR1736" s="9"/>
      <c r="CS1736" s="9"/>
      <c r="CT1736" s="9"/>
      <c r="CU1736" s="9"/>
      <c r="CV1736" s="9"/>
      <c r="CW1736" s="129"/>
      <c r="CX1736" s="9"/>
    </row>
    <row r="1737" spans="1:102">
      <c r="A1737" s="6" t="str">
        <f t="shared" si="261"/>
        <v>03460998</v>
      </c>
      <c r="B1737" s="6" t="s">
        <v>1996</v>
      </c>
      <c r="C1737" s="6" t="s">
        <v>2091</v>
      </c>
      <c r="D1737" s="6">
        <v>1728</v>
      </c>
      <c r="E1737" s="6">
        <v>346</v>
      </c>
      <c r="F1737" s="6" t="s">
        <v>1547</v>
      </c>
      <c r="G1737" s="6">
        <v>998</v>
      </c>
      <c r="I1737" s="33">
        <v>0</v>
      </c>
      <c r="J1737" s="88">
        <v>0</v>
      </c>
      <c r="K1737" s="89">
        <f t="shared" si="270"/>
        <v>0</v>
      </c>
      <c r="L1737" s="88">
        <f>IF(K1739&gt;0, K1737/K1739, 0)</f>
        <v>0</v>
      </c>
      <c r="M1737" s="58"/>
      <c r="N1737" s="9">
        <f>ROUND(M1739*L1737,0)</f>
        <v>0</v>
      </c>
      <c r="O1737" s="9">
        <v>0</v>
      </c>
      <c r="P1737" s="9">
        <f>N1737-O1737</f>
        <v>0</v>
      </c>
      <c r="Q1737" s="40">
        <f t="shared" si="269"/>
        <v>0</v>
      </c>
      <c r="R1737" s="9">
        <v>0</v>
      </c>
      <c r="S1737" s="9">
        <f t="shared" si="267"/>
        <v>0</v>
      </c>
      <c r="T1737" s="90">
        <f t="shared" si="262"/>
        <v>346</v>
      </c>
      <c r="U1737" s="90">
        <f t="shared" si="263"/>
        <v>998</v>
      </c>
      <c r="V1737" s="373">
        <f t="shared" si="264"/>
        <v>1728</v>
      </c>
      <c r="W1737" s="90">
        <f t="shared" si="265"/>
        <v>0</v>
      </c>
      <c r="X1737" s="90">
        <f t="shared" si="266"/>
        <v>0</v>
      </c>
      <c r="Y1737" s="141">
        <f t="shared" si="268"/>
        <v>1728</v>
      </c>
      <c r="Z1737" s="298">
        <v>346</v>
      </c>
      <c r="AA1737" s="299">
        <v>998</v>
      </c>
      <c r="AB1737" s="299">
        <v>1728</v>
      </c>
      <c r="AC1737" s="301">
        <v>0</v>
      </c>
      <c r="AD1737" s="301">
        <v>0</v>
      </c>
      <c r="AE1737" s="126"/>
      <c r="AF1737" s="298"/>
      <c r="AG1737" s="299"/>
      <c r="AH1737" s="299"/>
      <c r="AI1737" s="301"/>
      <c r="AJ1737" s="301"/>
      <c r="AK1737" s="426"/>
      <c r="AL1737" s="298"/>
      <c r="AM1737" s="299"/>
      <c r="AN1737" s="299"/>
      <c r="AO1737" s="301"/>
      <c r="AP1737" s="301"/>
      <c r="AQ1737" s="426"/>
      <c r="AR1737" s="298"/>
      <c r="AS1737" s="299"/>
      <c r="AT1737" s="299"/>
      <c r="AU1737" s="301"/>
      <c r="AV1737" s="301"/>
      <c r="AW1737" s="88"/>
      <c r="AX1737" s="298"/>
      <c r="AY1737" s="299"/>
      <c r="AZ1737" s="299"/>
      <c r="BA1737" s="301"/>
      <c r="BB1737" s="301"/>
      <c r="BC1737" s="426"/>
      <c r="BD1737" s="298"/>
      <c r="BE1737" s="299"/>
      <c r="BF1737" s="299"/>
      <c r="BG1737" s="301"/>
      <c r="BH1737" s="301"/>
      <c r="BI1737" s="88"/>
      <c r="BJ1737" s="298"/>
      <c r="BK1737" s="299"/>
      <c r="BL1737" s="299"/>
      <c r="BM1737" s="301"/>
      <c r="BN1737" s="301"/>
      <c r="BO1737" s="88"/>
      <c r="BP1737" s="9"/>
      <c r="BS1737" s="81"/>
      <c r="BT1737" s="81"/>
      <c r="BV1737" s="9"/>
      <c r="BY1737" s="81"/>
      <c r="BZ1737" s="81"/>
      <c r="CB1737" s="9"/>
      <c r="CE1737" s="81"/>
      <c r="CF1737" s="81"/>
      <c r="CH1737" s="9"/>
      <c r="CK1737" s="81"/>
      <c r="CL1737" s="81"/>
      <c r="CR1737" s="9"/>
      <c r="CS1737" s="9"/>
      <c r="CT1737" s="9"/>
      <c r="CU1737" s="9"/>
      <c r="CV1737" s="9"/>
      <c r="CW1737" s="129"/>
      <c r="CX1737" s="9"/>
    </row>
    <row r="1738" spans="1:102">
      <c r="A1738" s="6" t="str">
        <f t="shared" ref="A1738:A1764" si="271">B1738&amp;C1738</f>
        <v>03460998</v>
      </c>
      <c r="B1738" s="6" t="s">
        <v>1996</v>
      </c>
      <c r="C1738" s="6" t="s">
        <v>2091</v>
      </c>
      <c r="D1738" s="6">
        <v>1729</v>
      </c>
      <c r="E1738" s="6">
        <v>346</v>
      </c>
      <c r="F1738" s="6" t="s">
        <v>1547</v>
      </c>
      <c r="G1738" s="6">
        <v>998</v>
      </c>
      <c r="H1738" s="6" t="s">
        <v>1547</v>
      </c>
      <c r="I1738" s="33">
        <v>0</v>
      </c>
      <c r="J1738" s="88">
        <v>0</v>
      </c>
      <c r="K1738" s="89">
        <f t="shared" si="270"/>
        <v>0</v>
      </c>
      <c r="L1738" s="88">
        <f>IF(K1739&gt;0, K1738/K1739, 0)</f>
        <v>0</v>
      </c>
      <c r="M1738" s="58"/>
      <c r="N1738" s="9">
        <f>ROUND(M1739*L1738,0)</f>
        <v>0</v>
      </c>
      <c r="O1738" s="9">
        <v>0</v>
      </c>
      <c r="P1738" s="9">
        <f>N1738-O1738</f>
        <v>0</v>
      </c>
      <c r="Q1738" s="40">
        <f t="shared" si="269"/>
        <v>0</v>
      </c>
      <c r="R1738" s="9">
        <v>0</v>
      </c>
      <c r="S1738" s="9">
        <f t="shared" si="267"/>
        <v>0</v>
      </c>
      <c r="T1738" s="90">
        <f t="shared" ref="T1738:T1764" si="272">VLOOKUP($D1738, foundoptions, VLOOKUP($T$6, foundoptcell, 2, FALSE), FALSE)</f>
        <v>346</v>
      </c>
      <c r="U1738" s="90">
        <f t="shared" ref="U1738:U1764" si="273">VLOOKUP($D1738, foundoptions, VLOOKUP($T$6, foundoptcell, 2, FALSE)+1, FALSE)</f>
        <v>998</v>
      </c>
      <c r="V1738" s="373">
        <f t="shared" ref="V1738:V1764" si="274">VLOOKUP($D1738, foundoptions, VLOOKUP($T$6, foundoptcell, 2, FALSE)+2, FALSE)</f>
        <v>1729</v>
      </c>
      <c r="W1738" s="90">
        <f t="shared" ref="W1738:W1764" si="275">VLOOKUP($D1738, foundoptions, VLOOKUP($T$6, foundoptcell, 2, FALSE)+3, FALSE)</f>
        <v>0</v>
      </c>
      <c r="X1738" s="90">
        <f t="shared" ref="X1738:X1764" si="276">VLOOKUP($D1738, foundoptions, VLOOKUP($T$6, foundoptcell, 2, FALSE)+4, FALSE)</f>
        <v>0</v>
      </c>
      <c r="Y1738" s="141">
        <f t="shared" si="268"/>
        <v>1729</v>
      </c>
      <c r="Z1738" s="298">
        <v>346</v>
      </c>
      <c r="AA1738" s="299">
        <v>998</v>
      </c>
      <c r="AB1738" s="299">
        <v>1729</v>
      </c>
      <c r="AC1738" s="301">
        <v>0</v>
      </c>
      <c r="AD1738" s="301">
        <v>0</v>
      </c>
      <c r="AE1738" s="126"/>
      <c r="AF1738" s="298"/>
      <c r="AG1738" s="299"/>
      <c r="AH1738" s="299"/>
      <c r="AI1738" s="301"/>
      <c r="AJ1738" s="301"/>
      <c r="AK1738" s="426"/>
      <c r="AL1738" s="298"/>
      <c r="AM1738" s="299"/>
      <c r="AN1738" s="299"/>
      <c r="AO1738" s="301"/>
      <c r="AP1738" s="301"/>
      <c r="AQ1738" s="426"/>
      <c r="AR1738" s="298"/>
      <c r="AS1738" s="299"/>
      <c r="AT1738" s="299"/>
      <c r="AU1738" s="301"/>
      <c r="AV1738" s="301"/>
      <c r="AW1738" s="88"/>
      <c r="AX1738" s="298"/>
      <c r="AY1738" s="299"/>
      <c r="AZ1738" s="299"/>
      <c r="BA1738" s="301"/>
      <c r="BB1738" s="301"/>
      <c r="BC1738" s="426"/>
      <c r="BD1738" s="298"/>
      <c r="BE1738" s="299"/>
      <c r="BF1738" s="299"/>
      <c r="BG1738" s="301"/>
      <c r="BH1738" s="301"/>
      <c r="BI1738" s="88"/>
      <c r="BJ1738" s="298"/>
      <c r="BK1738" s="299"/>
      <c r="BL1738" s="299"/>
      <c r="BM1738" s="301"/>
      <c r="BN1738" s="301"/>
      <c r="BO1738" s="88"/>
      <c r="BP1738" s="9"/>
      <c r="BS1738" s="81"/>
      <c r="BT1738" s="81"/>
      <c r="BV1738" s="9"/>
      <c r="BY1738" s="81"/>
      <c r="BZ1738" s="81"/>
      <c r="CB1738" s="9"/>
      <c r="CE1738" s="81"/>
      <c r="CF1738" s="81"/>
      <c r="CH1738" s="9"/>
      <c r="CK1738" s="81"/>
      <c r="CL1738" s="81"/>
      <c r="CR1738" s="9"/>
      <c r="CS1738" s="9"/>
      <c r="CT1738" s="9"/>
      <c r="CU1738" s="9"/>
      <c r="CV1738" s="9"/>
      <c r="CW1738" s="129"/>
      <c r="CX1738" s="9"/>
    </row>
    <row r="1739" spans="1:102">
      <c r="A1739" s="6" t="str">
        <f t="shared" si="271"/>
        <v>03460999</v>
      </c>
      <c r="B1739" s="6" t="s">
        <v>1996</v>
      </c>
      <c r="C1739" s="6" t="s">
        <v>2092</v>
      </c>
      <c r="D1739" s="6">
        <v>1730</v>
      </c>
      <c r="E1739" s="10">
        <v>346</v>
      </c>
      <c r="F1739" s="10" t="s">
        <v>1464</v>
      </c>
      <c r="G1739" s="10">
        <v>999</v>
      </c>
      <c r="H1739" s="10" t="s">
        <v>593</v>
      </c>
      <c r="I1739" s="92">
        <v>30121745.3710992</v>
      </c>
      <c r="J1739" s="472">
        <v>0.99999999999999989</v>
      </c>
      <c r="K1739" s="53">
        <f>SUM(K1735:K1738)</f>
        <v>31856490.326938197</v>
      </c>
      <c r="L1739" s="91">
        <f>SUM(L1735:L1738)</f>
        <v>0.99999999999999989</v>
      </c>
      <c r="M1739" s="79">
        <f>VLOOKUP(E1739,town351,24)</f>
        <v>21215857</v>
      </c>
      <c r="N1739" s="79">
        <f>SUM(N1735:N1738)</f>
        <v>21215857</v>
      </c>
      <c r="O1739" s="79">
        <v>19898572</v>
      </c>
      <c r="P1739" s="79">
        <f>SUM(P1735:P1738)</f>
        <v>1317285</v>
      </c>
      <c r="Q1739" s="39">
        <f t="shared" si="269"/>
        <v>6.6199976561132123</v>
      </c>
      <c r="R1739" s="9">
        <v>2018.0000000001</v>
      </c>
      <c r="S1739" s="9">
        <f t="shared" ref="S1739:S1764" si="277">W1739</f>
        <v>2057.0000000066002</v>
      </c>
      <c r="T1739" s="90">
        <f t="shared" si="272"/>
        <v>346</v>
      </c>
      <c r="U1739" s="90">
        <f t="shared" si="273"/>
        <v>999</v>
      </c>
      <c r="V1739" s="373">
        <f t="shared" si="274"/>
        <v>1730</v>
      </c>
      <c r="W1739" s="90">
        <f t="shared" si="275"/>
        <v>2057.0000000066002</v>
      </c>
      <c r="X1739" s="90">
        <f t="shared" si="276"/>
        <v>31856490.326938197</v>
      </c>
      <c r="Y1739" s="141">
        <f t="shared" ref="Y1739:Y1764" si="278">D1739</f>
        <v>1730</v>
      </c>
      <c r="Z1739" s="298">
        <v>346</v>
      </c>
      <c r="AA1739" s="299">
        <v>999</v>
      </c>
      <c r="AB1739" s="299">
        <v>1730</v>
      </c>
      <c r="AC1739" s="301">
        <v>2057.0000000066002</v>
      </c>
      <c r="AD1739" s="301">
        <v>31856490.326938197</v>
      </c>
      <c r="AE1739" s="126"/>
      <c r="AF1739" s="298"/>
      <c r="AG1739" s="299"/>
      <c r="AH1739" s="299"/>
      <c r="AI1739" s="301"/>
      <c r="AJ1739" s="301"/>
      <c r="AK1739" s="426"/>
      <c r="AL1739" s="298"/>
      <c r="AM1739" s="299"/>
      <c r="AN1739" s="299"/>
      <c r="AO1739" s="301"/>
      <c r="AP1739" s="301"/>
      <c r="AQ1739" s="426"/>
      <c r="AR1739" s="298"/>
      <c r="AS1739" s="299"/>
      <c r="AT1739" s="299"/>
      <c r="AU1739" s="301"/>
      <c r="AV1739" s="301"/>
      <c r="AW1739" s="91"/>
      <c r="AX1739" s="298"/>
      <c r="AY1739" s="299"/>
      <c r="AZ1739" s="299"/>
      <c r="BA1739" s="301"/>
      <c r="BB1739" s="301"/>
      <c r="BC1739" s="426"/>
      <c r="BD1739" s="298"/>
      <c r="BE1739" s="299"/>
      <c r="BF1739" s="299"/>
      <c r="BG1739" s="301"/>
      <c r="BH1739" s="301"/>
      <c r="BI1739" s="91"/>
      <c r="BJ1739" s="298"/>
      <c r="BK1739" s="299"/>
      <c r="BL1739" s="299"/>
      <c r="BM1739" s="301"/>
      <c r="BN1739" s="301"/>
      <c r="BO1739" s="91"/>
      <c r="BP1739" s="9"/>
      <c r="BS1739" s="81"/>
      <c r="BT1739" s="81"/>
      <c r="BV1739" s="9"/>
      <c r="BY1739" s="81"/>
      <c r="BZ1739" s="81"/>
      <c r="CB1739" s="9"/>
      <c r="CE1739" s="81"/>
      <c r="CF1739" s="81"/>
      <c r="CH1739" s="9"/>
      <c r="CK1739" s="81"/>
      <c r="CL1739" s="81"/>
      <c r="CR1739" s="9"/>
      <c r="CS1739" s="9"/>
      <c r="CT1739" s="9"/>
      <c r="CU1739" s="9"/>
      <c r="CV1739" s="9"/>
      <c r="CW1739" s="129"/>
      <c r="CX1739" s="9"/>
    </row>
    <row r="1740" spans="1:102">
      <c r="A1740" s="6" t="str">
        <f t="shared" si="271"/>
        <v>03470347</v>
      </c>
      <c r="B1740" s="6" t="s">
        <v>1997</v>
      </c>
      <c r="C1740" s="6" t="s">
        <v>1997</v>
      </c>
      <c r="D1740" s="6">
        <v>1731</v>
      </c>
      <c r="E1740" s="6">
        <v>347</v>
      </c>
      <c r="F1740" s="6" t="s">
        <v>1028</v>
      </c>
      <c r="G1740" s="6">
        <v>347</v>
      </c>
      <c r="H1740" s="6" t="s">
        <v>1028</v>
      </c>
      <c r="I1740" s="33">
        <v>65492150.344600007</v>
      </c>
      <c r="J1740" s="88">
        <v>0.9592370360042487</v>
      </c>
      <c r="K1740" s="89">
        <f>X1740</f>
        <v>70723977.379679993</v>
      </c>
      <c r="L1740" s="88">
        <f>IF(K1744&gt;0, K1740/K1744, 0)</f>
        <v>0.96033381404877294</v>
      </c>
      <c r="M1740" s="58"/>
      <c r="N1740" s="9">
        <f>ROUND(M1744*L1740,0)</f>
        <v>55994588</v>
      </c>
      <c r="O1740" s="9">
        <v>51893336</v>
      </c>
      <c r="P1740" s="9">
        <f>N1740-O1740</f>
        <v>4101252</v>
      </c>
      <c r="Q1740" s="40">
        <f t="shared" si="269"/>
        <v>7.9032344345717149</v>
      </c>
      <c r="R1740" s="9">
        <v>4388</v>
      </c>
      <c r="S1740" s="9">
        <f t="shared" si="277"/>
        <v>4533</v>
      </c>
      <c r="T1740" s="90">
        <f t="shared" si="272"/>
        <v>347</v>
      </c>
      <c r="U1740" s="90">
        <f t="shared" si="273"/>
        <v>347</v>
      </c>
      <c r="V1740" s="373">
        <f t="shared" si="274"/>
        <v>1731</v>
      </c>
      <c r="W1740" s="90">
        <f t="shared" si="275"/>
        <v>4533</v>
      </c>
      <c r="X1740" s="90">
        <f t="shared" si="276"/>
        <v>70723977.379679993</v>
      </c>
      <c r="Y1740" s="141">
        <f t="shared" si="278"/>
        <v>1731</v>
      </c>
      <c r="Z1740" s="298">
        <v>347</v>
      </c>
      <c r="AA1740" s="299">
        <v>347</v>
      </c>
      <c r="AB1740" s="299">
        <v>1731</v>
      </c>
      <c r="AC1740" s="301">
        <v>4533</v>
      </c>
      <c r="AD1740" s="301">
        <v>70723977.379679993</v>
      </c>
      <c r="AE1740" s="126"/>
      <c r="AF1740" s="298"/>
      <c r="AG1740" s="299"/>
      <c r="AH1740" s="299"/>
      <c r="AI1740" s="301"/>
      <c r="AJ1740" s="301"/>
      <c r="AK1740" s="426"/>
      <c r="AL1740" s="298"/>
      <c r="AM1740" s="299"/>
      <c r="AN1740" s="299"/>
      <c r="AO1740" s="301"/>
      <c r="AP1740" s="301"/>
      <c r="AQ1740" s="426"/>
      <c r="AR1740" s="298"/>
      <c r="AS1740" s="299"/>
      <c r="AT1740" s="299"/>
      <c r="AU1740" s="301"/>
      <c r="AV1740" s="301"/>
      <c r="AW1740" s="88"/>
      <c r="AX1740" s="298"/>
      <c r="AY1740" s="299"/>
      <c r="AZ1740" s="299"/>
      <c r="BA1740" s="301"/>
      <c r="BB1740" s="301"/>
      <c r="BC1740" s="426"/>
      <c r="BD1740" s="298"/>
      <c r="BE1740" s="299"/>
      <c r="BF1740" s="299"/>
      <c r="BG1740" s="301"/>
      <c r="BH1740" s="301"/>
      <c r="BI1740" s="88"/>
      <c r="BJ1740" s="298"/>
      <c r="BK1740" s="299"/>
      <c r="BL1740" s="299"/>
      <c r="BM1740" s="301"/>
      <c r="BN1740" s="301"/>
      <c r="BO1740" s="88"/>
      <c r="BP1740" s="9"/>
      <c r="BS1740" s="81"/>
      <c r="BT1740" s="81"/>
      <c r="BV1740" s="9"/>
      <c r="BY1740" s="81"/>
      <c r="BZ1740" s="81"/>
      <c r="CB1740" s="9"/>
      <c r="CE1740" s="81"/>
      <c r="CF1740" s="81"/>
      <c r="CH1740" s="9"/>
      <c r="CK1740" s="81"/>
      <c r="CL1740" s="81"/>
      <c r="CR1740" s="9"/>
      <c r="CS1740" s="9"/>
      <c r="CT1740" s="9"/>
      <c r="CU1740" s="9"/>
      <c r="CV1740" s="9"/>
      <c r="CW1740" s="129"/>
      <c r="CX1740" s="9"/>
    </row>
    <row r="1741" spans="1:102">
      <c r="A1741" s="6" t="str">
        <f t="shared" si="271"/>
        <v>03470853</v>
      </c>
      <c r="B1741" s="6" t="s">
        <v>1997</v>
      </c>
      <c r="C1741" s="6" t="s">
        <v>2078</v>
      </c>
      <c r="D1741" s="6">
        <v>1732</v>
      </c>
      <c r="E1741" s="6">
        <v>347</v>
      </c>
      <c r="F1741" s="6" t="s">
        <v>1028</v>
      </c>
      <c r="G1741" s="6">
        <v>853</v>
      </c>
      <c r="H1741" s="6" t="s">
        <v>1108</v>
      </c>
      <c r="I1741" s="33">
        <v>2783101.6383831981</v>
      </c>
      <c r="J1741" s="88">
        <v>4.076296399575139E-2</v>
      </c>
      <c r="K1741" s="89">
        <f t="shared" si="270"/>
        <v>2921224.2627648213</v>
      </c>
      <c r="L1741" s="88">
        <f>IF(K1744&gt;0, K1741/K1744, 0)</f>
        <v>3.9666185951226958E-2</v>
      </c>
      <c r="M1741" s="58"/>
      <c r="N1741" s="9">
        <f>ROUND(M1744*L1741,0)</f>
        <v>2312833</v>
      </c>
      <c r="O1741" s="9">
        <v>2205217</v>
      </c>
      <c r="P1741" s="9">
        <f>N1741-O1741</f>
        <v>107616</v>
      </c>
      <c r="Q1741" s="40">
        <f t="shared" si="269"/>
        <v>4.8800639574245981</v>
      </c>
      <c r="R1741" s="9">
        <v>120.99999999638</v>
      </c>
      <c r="S1741" s="9">
        <f t="shared" si="277"/>
        <v>123.00000000485001</v>
      </c>
      <c r="T1741" s="90">
        <f t="shared" si="272"/>
        <v>347</v>
      </c>
      <c r="U1741" s="90">
        <f t="shared" si="273"/>
        <v>853</v>
      </c>
      <c r="V1741" s="373">
        <f t="shared" si="274"/>
        <v>1732</v>
      </c>
      <c r="W1741" s="90">
        <f t="shared" si="275"/>
        <v>123.00000000485001</v>
      </c>
      <c r="X1741" s="90">
        <f t="shared" si="276"/>
        <v>2921224.2627648213</v>
      </c>
      <c r="Y1741" s="141">
        <f t="shared" si="278"/>
        <v>1732</v>
      </c>
      <c r="Z1741" s="298">
        <v>347</v>
      </c>
      <c r="AA1741" s="299">
        <v>853</v>
      </c>
      <c r="AB1741" s="299">
        <v>1732</v>
      </c>
      <c r="AC1741" s="301">
        <v>123.00000000485001</v>
      </c>
      <c r="AD1741" s="301">
        <v>2921224.2627648213</v>
      </c>
      <c r="AE1741" s="126"/>
      <c r="AF1741" s="298"/>
      <c r="AG1741" s="299"/>
      <c r="AH1741" s="299"/>
      <c r="AI1741" s="301"/>
      <c r="AJ1741" s="301"/>
      <c r="AK1741" s="426"/>
      <c r="AL1741" s="298"/>
      <c r="AM1741" s="299"/>
      <c r="AN1741" s="299"/>
      <c r="AO1741" s="301"/>
      <c r="AP1741" s="301"/>
      <c r="AQ1741" s="426"/>
      <c r="AR1741" s="298"/>
      <c r="AS1741" s="299"/>
      <c r="AT1741" s="299"/>
      <c r="AU1741" s="301"/>
      <c r="AV1741" s="301"/>
      <c r="AW1741" s="88"/>
      <c r="AX1741" s="298"/>
      <c r="AY1741" s="299"/>
      <c r="AZ1741" s="299"/>
      <c r="BA1741" s="301"/>
      <c r="BB1741" s="301"/>
      <c r="BC1741" s="426"/>
      <c r="BD1741" s="298"/>
      <c r="BE1741" s="299"/>
      <c r="BF1741" s="299"/>
      <c r="BG1741" s="301"/>
      <c r="BH1741" s="301"/>
      <c r="BI1741" s="88"/>
      <c r="BJ1741" s="298"/>
      <c r="BK1741" s="299"/>
      <c r="BL1741" s="299"/>
      <c r="BM1741" s="301"/>
      <c r="BN1741" s="301"/>
      <c r="BO1741" s="88"/>
      <c r="BP1741" s="9"/>
      <c r="BS1741" s="81"/>
      <c r="BT1741" s="81"/>
      <c r="BV1741" s="9"/>
      <c r="BY1741" s="81"/>
      <c r="BZ1741" s="81"/>
      <c r="CB1741" s="9"/>
      <c r="CE1741" s="81"/>
      <c r="CF1741" s="81"/>
      <c r="CH1741" s="9"/>
      <c r="CK1741" s="81"/>
      <c r="CL1741" s="81"/>
      <c r="CR1741" s="9"/>
      <c r="CS1741" s="9"/>
      <c r="CT1741" s="9"/>
      <c r="CU1741" s="9"/>
      <c r="CV1741" s="9"/>
      <c r="CW1741" s="129"/>
      <c r="CX1741" s="9"/>
    </row>
    <row r="1742" spans="1:102">
      <c r="A1742" s="6" t="str">
        <f t="shared" si="271"/>
        <v>03470998</v>
      </c>
      <c r="B1742" s="6" t="s">
        <v>1997</v>
      </c>
      <c r="C1742" s="6" t="s">
        <v>2091</v>
      </c>
      <c r="D1742" s="6">
        <v>1733</v>
      </c>
      <c r="E1742" s="6">
        <v>347</v>
      </c>
      <c r="F1742" s="6" t="s">
        <v>1547</v>
      </c>
      <c r="G1742" s="6">
        <v>998</v>
      </c>
      <c r="I1742" s="33">
        <v>0</v>
      </c>
      <c r="J1742" s="88">
        <v>0</v>
      </c>
      <c r="K1742" s="89">
        <f t="shared" si="270"/>
        <v>0</v>
      </c>
      <c r="L1742" s="88">
        <f>IF(K1744&gt;0, K1742/K1744, 0)</f>
        <v>0</v>
      </c>
      <c r="M1742" s="58"/>
      <c r="N1742" s="9">
        <f>ROUND(M1744*L1742,0)</f>
        <v>0</v>
      </c>
      <c r="O1742" s="9">
        <v>0</v>
      </c>
      <c r="P1742" s="9">
        <f>N1742-O1742</f>
        <v>0</v>
      </c>
      <c r="Q1742" s="40">
        <f t="shared" si="269"/>
        <v>0</v>
      </c>
      <c r="R1742" s="9">
        <v>0</v>
      </c>
      <c r="S1742" s="9">
        <f t="shared" si="277"/>
        <v>0</v>
      </c>
      <c r="T1742" s="90">
        <f t="shared" si="272"/>
        <v>347</v>
      </c>
      <c r="U1742" s="90">
        <f t="shared" si="273"/>
        <v>998</v>
      </c>
      <c r="V1742" s="373">
        <f t="shared" si="274"/>
        <v>1733</v>
      </c>
      <c r="W1742" s="90">
        <f t="shared" si="275"/>
        <v>0</v>
      </c>
      <c r="X1742" s="90">
        <f t="shared" si="276"/>
        <v>0</v>
      </c>
      <c r="Y1742" s="141">
        <f t="shared" si="278"/>
        <v>1733</v>
      </c>
      <c r="Z1742" s="298">
        <v>347</v>
      </c>
      <c r="AA1742" s="299">
        <v>998</v>
      </c>
      <c r="AB1742" s="299">
        <v>1733</v>
      </c>
      <c r="AC1742" s="301">
        <v>0</v>
      </c>
      <c r="AD1742" s="301">
        <v>0</v>
      </c>
      <c r="AE1742" s="126"/>
      <c r="AF1742" s="298"/>
      <c r="AG1742" s="299"/>
      <c r="AH1742" s="299"/>
      <c r="AI1742" s="301"/>
      <c r="AJ1742" s="301"/>
      <c r="AK1742" s="426"/>
      <c r="AL1742" s="298"/>
      <c r="AM1742" s="299"/>
      <c r="AN1742" s="299"/>
      <c r="AO1742" s="301"/>
      <c r="AP1742" s="301"/>
      <c r="AQ1742" s="426"/>
      <c r="AR1742" s="298"/>
      <c r="AS1742" s="299"/>
      <c r="AT1742" s="299"/>
      <c r="AU1742" s="301"/>
      <c r="AV1742" s="301"/>
      <c r="AW1742" s="88"/>
      <c r="AX1742" s="298"/>
      <c r="AY1742" s="299"/>
      <c r="AZ1742" s="299"/>
      <c r="BA1742" s="301"/>
      <c r="BB1742" s="301"/>
      <c r="BC1742" s="426"/>
      <c r="BD1742" s="298"/>
      <c r="BE1742" s="299"/>
      <c r="BF1742" s="299"/>
      <c r="BG1742" s="301"/>
      <c r="BH1742" s="301"/>
      <c r="BI1742" s="88"/>
      <c r="BJ1742" s="298"/>
      <c r="BK1742" s="299"/>
      <c r="BL1742" s="299"/>
      <c r="BM1742" s="301"/>
      <c r="BN1742" s="301"/>
      <c r="BO1742" s="88"/>
      <c r="BP1742" s="9"/>
      <c r="BS1742" s="81"/>
      <c r="BT1742" s="81"/>
      <c r="BV1742" s="9"/>
      <c r="BY1742" s="81"/>
      <c r="BZ1742" s="81"/>
      <c r="CB1742" s="9"/>
      <c r="CE1742" s="81"/>
      <c r="CF1742" s="81"/>
      <c r="CH1742" s="9"/>
      <c r="CK1742" s="81"/>
      <c r="CL1742" s="81"/>
      <c r="CR1742" s="9"/>
      <c r="CS1742" s="9"/>
      <c r="CT1742" s="9"/>
      <c r="CU1742" s="9"/>
      <c r="CV1742" s="9"/>
      <c r="CW1742" s="129"/>
      <c r="CX1742" s="9"/>
    </row>
    <row r="1743" spans="1:102">
      <c r="A1743" s="6" t="str">
        <f t="shared" si="271"/>
        <v>03470998</v>
      </c>
      <c r="B1743" s="6" t="s">
        <v>1997</v>
      </c>
      <c r="C1743" s="6" t="s">
        <v>2091</v>
      </c>
      <c r="D1743" s="6">
        <v>1734</v>
      </c>
      <c r="E1743" s="6">
        <v>347</v>
      </c>
      <c r="F1743" s="6" t="s">
        <v>1547</v>
      </c>
      <c r="G1743" s="6">
        <v>998</v>
      </c>
      <c r="H1743" s="6" t="s">
        <v>1547</v>
      </c>
      <c r="I1743" s="33">
        <v>0</v>
      </c>
      <c r="J1743" s="88">
        <v>0</v>
      </c>
      <c r="K1743" s="89">
        <f t="shared" si="270"/>
        <v>0</v>
      </c>
      <c r="L1743" s="88">
        <f>IF(K1744&gt;0, K1743/K1744, 0)</f>
        <v>0</v>
      </c>
      <c r="M1743" s="58"/>
      <c r="N1743" s="9">
        <f>ROUND(M1744*L1743,0)</f>
        <v>0</v>
      </c>
      <c r="O1743" s="9">
        <v>0</v>
      </c>
      <c r="P1743" s="9">
        <f>N1743-O1743</f>
        <v>0</v>
      </c>
      <c r="Q1743" s="40">
        <f t="shared" si="269"/>
        <v>0</v>
      </c>
      <c r="R1743" s="9">
        <v>0</v>
      </c>
      <c r="S1743" s="9">
        <f t="shared" si="277"/>
        <v>0</v>
      </c>
      <c r="T1743" s="90">
        <f t="shared" si="272"/>
        <v>347</v>
      </c>
      <c r="U1743" s="90">
        <f t="shared" si="273"/>
        <v>998</v>
      </c>
      <c r="V1743" s="373">
        <f t="shared" si="274"/>
        <v>1734</v>
      </c>
      <c r="W1743" s="90">
        <f t="shared" si="275"/>
        <v>0</v>
      </c>
      <c r="X1743" s="90">
        <f t="shared" si="276"/>
        <v>0</v>
      </c>
      <c r="Y1743" s="141">
        <f t="shared" si="278"/>
        <v>1734</v>
      </c>
      <c r="Z1743" s="298">
        <v>347</v>
      </c>
      <c r="AA1743" s="299">
        <v>998</v>
      </c>
      <c r="AB1743" s="299">
        <v>1734</v>
      </c>
      <c r="AC1743" s="301">
        <v>0</v>
      </c>
      <c r="AD1743" s="301">
        <v>0</v>
      </c>
      <c r="AE1743" s="126"/>
      <c r="AF1743" s="298"/>
      <c r="AG1743" s="299"/>
      <c r="AH1743" s="299"/>
      <c r="AI1743" s="301"/>
      <c r="AJ1743" s="301"/>
      <c r="AK1743" s="426"/>
      <c r="AL1743" s="298"/>
      <c r="AM1743" s="299"/>
      <c r="AN1743" s="299"/>
      <c r="AO1743" s="301"/>
      <c r="AP1743" s="301"/>
      <c r="AQ1743" s="426"/>
      <c r="AR1743" s="298"/>
      <c r="AS1743" s="299"/>
      <c r="AT1743" s="299"/>
      <c r="AU1743" s="301"/>
      <c r="AV1743" s="301"/>
      <c r="AW1743" s="88"/>
      <c r="AX1743" s="298"/>
      <c r="AY1743" s="299"/>
      <c r="AZ1743" s="299"/>
      <c r="BA1743" s="301"/>
      <c r="BB1743" s="301"/>
      <c r="BC1743" s="426"/>
      <c r="BD1743" s="298"/>
      <c r="BE1743" s="299"/>
      <c r="BF1743" s="299"/>
      <c r="BG1743" s="301"/>
      <c r="BH1743" s="301"/>
      <c r="BI1743" s="88"/>
      <c r="BJ1743" s="298"/>
      <c r="BK1743" s="299"/>
      <c r="BL1743" s="299"/>
      <c r="BM1743" s="301"/>
      <c r="BN1743" s="301"/>
      <c r="BO1743" s="88"/>
      <c r="BP1743" s="9"/>
      <c r="BS1743" s="81"/>
      <c r="BT1743" s="81"/>
      <c r="BV1743" s="9"/>
      <c r="BY1743" s="81"/>
      <c r="BZ1743" s="81"/>
      <c r="CB1743" s="9"/>
      <c r="CE1743" s="81"/>
      <c r="CF1743" s="81"/>
      <c r="CH1743" s="9"/>
      <c r="CK1743" s="81"/>
      <c r="CL1743" s="81"/>
      <c r="CR1743" s="9"/>
      <c r="CS1743" s="9"/>
      <c r="CT1743" s="9"/>
      <c r="CU1743" s="9"/>
      <c r="CV1743" s="9"/>
      <c r="CW1743" s="129"/>
      <c r="CX1743" s="9"/>
    </row>
    <row r="1744" spans="1:102">
      <c r="A1744" s="6" t="str">
        <f t="shared" si="271"/>
        <v>03470999</v>
      </c>
      <c r="B1744" s="6" t="s">
        <v>1997</v>
      </c>
      <c r="C1744" s="6" t="s">
        <v>2092</v>
      </c>
      <c r="D1744" s="6">
        <v>1735</v>
      </c>
      <c r="E1744" s="10">
        <v>347</v>
      </c>
      <c r="F1744" s="10" t="s">
        <v>1028</v>
      </c>
      <c r="G1744" s="10">
        <v>999</v>
      </c>
      <c r="H1744" s="10" t="s">
        <v>593</v>
      </c>
      <c r="I1744" s="92">
        <v>68275251.982983202</v>
      </c>
      <c r="J1744" s="472">
        <v>1</v>
      </c>
      <c r="K1744" s="53">
        <f>SUM(K1740:K1743)</f>
        <v>73645201.642444819</v>
      </c>
      <c r="L1744" s="91">
        <f>SUM(L1740:L1743)</f>
        <v>0.99999999999999989</v>
      </c>
      <c r="M1744" s="79">
        <f>VLOOKUP(E1744,town351,24)</f>
        <v>58307421</v>
      </c>
      <c r="N1744" s="79">
        <f>SUM(N1740:N1743)</f>
        <v>58307421</v>
      </c>
      <c r="O1744" s="79">
        <v>54098553</v>
      </c>
      <c r="P1744" s="79">
        <f>SUM(P1740:P1743)</f>
        <v>4208868</v>
      </c>
      <c r="Q1744" s="39">
        <f t="shared" ref="Q1744:Q1765" si="279">IF(O1744&gt;0,P1744*100/O1744,IF(P1744&gt;0,100,0))</f>
        <v>7.7800010658325744</v>
      </c>
      <c r="R1744" s="9">
        <v>4508.9999999963802</v>
      </c>
      <c r="S1744" s="9">
        <f t="shared" si="277"/>
        <v>4656.0000000048503</v>
      </c>
      <c r="T1744" s="90">
        <f t="shared" si="272"/>
        <v>347</v>
      </c>
      <c r="U1744" s="90">
        <f t="shared" si="273"/>
        <v>999</v>
      </c>
      <c r="V1744" s="373">
        <f t="shared" si="274"/>
        <v>1735</v>
      </c>
      <c r="W1744" s="90">
        <f t="shared" si="275"/>
        <v>4656.0000000048503</v>
      </c>
      <c r="X1744" s="90">
        <f t="shared" si="276"/>
        <v>73645201.642444819</v>
      </c>
      <c r="Y1744" s="141">
        <f t="shared" si="278"/>
        <v>1735</v>
      </c>
      <c r="Z1744" s="298">
        <v>347</v>
      </c>
      <c r="AA1744" s="299">
        <v>999</v>
      </c>
      <c r="AB1744" s="299">
        <v>1735</v>
      </c>
      <c r="AC1744" s="301">
        <v>4656.0000000048503</v>
      </c>
      <c r="AD1744" s="301">
        <v>73645201.642444819</v>
      </c>
      <c r="AE1744" s="126"/>
      <c r="AF1744" s="298"/>
      <c r="AG1744" s="299"/>
      <c r="AH1744" s="299"/>
      <c r="AI1744" s="301"/>
      <c r="AJ1744" s="301"/>
      <c r="AK1744" s="426"/>
      <c r="AL1744" s="298"/>
      <c r="AM1744" s="299"/>
      <c r="AN1744" s="299"/>
      <c r="AO1744" s="301"/>
      <c r="AP1744" s="301"/>
      <c r="AQ1744" s="426"/>
      <c r="AR1744" s="298"/>
      <c r="AS1744" s="299"/>
      <c r="AT1744" s="299"/>
      <c r="AU1744" s="301"/>
      <c r="AV1744" s="301"/>
      <c r="AW1744" s="91"/>
      <c r="AX1744" s="298"/>
      <c r="AY1744" s="299"/>
      <c r="AZ1744" s="299"/>
      <c r="BA1744" s="301"/>
      <c r="BB1744" s="301"/>
      <c r="BC1744" s="426"/>
      <c r="BD1744" s="298"/>
      <c r="BE1744" s="299"/>
      <c r="BF1744" s="299"/>
      <c r="BG1744" s="301"/>
      <c r="BH1744" s="301"/>
      <c r="BI1744" s="91"/>
      <c r="BJ1744" s="298"/>
      <c r="BK1744" s="299"/>
      <c r="BL1744" s="299"/>
      <c r="BM1744" s="301"/>
      <c r="BN1744" s="301"/>
      <c r="BO1744" s="91"/>
      <c r="BP1744" s="9"/>
      <c r="BS1744" s="81"/>
      <c r="BT1744" s="81"/>
      <c r="BV1744" s="9"/>
      <c r="BY1744" s="81"/>
      <c r="BZ1744" s="81"/>
      <c r="CB1744" s="9"/>
      <c r="CE1744" s="81"/>
      <c r="CF1744" s="81"/>
      <c r="CH1744" s="9"/>
      <c r="CK1744" s="81"/>
      <c r="CL1744" s="81"/>
      <c r="CR1744" s="9"/>
      <c r="CS1744" s="9"/>
      <c r="CT1744" s="9"/>
      <c r="CU1744" s="9"/>
      <c r="CV1744" s="9"/>
      <c r="CW1744" s="129"/>
      <c r="CX1744" s="9"/>
    </row>
    <row r="1745" spans="1:102">
      <c r="A1745" s="6" t="str">
        <f t="shared" si="271"/>
        <v>03480348</v>
      </c>
      <c r="B1745" s="6" t="s">
        <v>1998</v>
      </c>
      <c r="C1745" s="6" t="s">
        <v>1998</v>
      </c>
      <c r="D1745" s="6">
        <v>1736</v>
      </c>
      <c r="E1745" s="6">
        <v>348</v>
      </c>
      <c r="F1745" s="6" t="s">
        <v>1465</v>
      </c>
      <c r="G1745" s="6">
        <v>348</v>
      </c>
      <c r="H1745" s="6" t="s">
        <v>1029</v>
      </c>
      <c r="I1745" s="33">
        <v>477974878.60999995</v>
      </c>
      <c r="J1745" s="88">
        <v>1</v>
      </c>
      <c r="K1745" s="89">
        <f>X1745</f>
        <v>505110665.75</v>
      </c>
      <c r="L1745" s="88">
        <f>IF(K1749&gt;0, K1745/K1749, 0)</f>
        <v>1</v>
      </c>
      <c r="M1745" s="58"/>
      <c r="N1745" s="9">
        <f>ROUND(M1749*L1745,0)</f>
        <v>127670996</v>
      </c>
      <c r="O1745" s="9">
        <v>120432974</v>
      </c>
      <c r="P1745" s="9">
        <f>N1745-O1745</f>
        <v>7238022</v>
      </c>
      <c r="Q1745" s="40">
        <f t="shared" si="279"/>
        <v>6.0100002180465957</v>
      </c>
      <c r="R1745" s="9">
        <v>26552</v>
      </c>
      <c r="S1745" s="9">
        <f t="shared" si="277"/>
        <v>26667</v>
      </c>
      <c r="T1745" s="90">
        <f t="shared" si="272"/>
        <v>348</v>
      </c>
      <c r="U1745" s="90">
        <f t="shared" si="273"/>
        <v>348</v>
      </c>
      <c r="V1745" s="373">
        <f t="shared" si="274"/>
        <v>1736</v>
      </c>
      <c r="W1745" s="90">
        <f t="shared" si="275"/>
        <v>26667</v>
      </c>
      <c r="X1745" s="90">
        <f t="shared" si="276"/>
        <v>505110665.75</v>
      </c>
      <c r="Y1745" s="141">
        <f t="shared" si="278"/>
        <v>1736</v>
      </c>
      <c r="Z1745" s="298">
        <v>348</v>
      </c>
      <c r="AA1745" s="299">
        <v>348</v>
      </c>
      <c r="AB1745" s="299">
        <v>1736</v>
      </c>
      <c r="AC1745" s="301">
        <v>26667</v>
      </c>
      <c r="AD1745" s="301">
        <v>505110665.75</v>
      </c>
      <c r="AE1745" s="126"/>
      <c r="AF1745" s="298"/>
      <c r="AG1745" s="299"/>
      <c r="AH1745" s="299"/>
      <c r="AI1745" s="301"/>
      <c r="AJ1745" s="301"/>
      <c r="AK1745" s="426"/>
      <c r="AL1745" s="298"/>
      <c r="AM1745" s="299"/>
      <c r="AN1745" s="299"/>
      <c r="AO1745" s="301"/>
      <c r="AP1745" s="301"/>
      <c r="AQ1745" s="426"/>
      <c r="AR1745" s="298"/>
      <c r="AS1745" s="299"/>
      <c r="AT1745" s="299"/>
      <c r="AU1745" s="301"/>
      <c r="AV1745" s="301"/>
      <c r="AW1745" s="88"/>
      <c r="AX1745" s="298"/>
      <c r="AY1745" s="299"/>
      <c r="AZ1745" s="299"/>
      <c r="BA1745" s="301"/>
      <c r="BB1745" s="301"/>
      <c r="BC1745" s="426"/>
      <c r="BD1745" s="298"/>
      <c r="BE1745" s="299"/>
      <c r="BF1745" s="299"/>
      <c r="BG1745" s="301"/>
      <c r="BH1745" s="301"/>
      <c r="BI1745" s="88"/>
      <c r="BJ1745" s="298"/>
      <c r="BK1745" s="299"/>
      <c r="BL1745" s="299"/>
      <c r="BM1745" s="301"/>
      <c r="BN1745" s="301"/>
      <c r="BO1745" s="88"/>
      <c r="BP1745" s="9"/>
      <c r="BS1745" s="81"/>
      <c r="BT1745" s="81"/>
      <c r="BV1745" s="9"/>
      <c r="BY1745" s="81"/>
      <c r="BZ1745" s="81"/>
      <c r="CB1745" s="9"/>
      <c r="CE1745" s="81"/>
      <c r="CF1745" s="81"/>
      <c r="CH1745" s="9"/>
      <c r="CK1745" s="81"/>
      <c r="CL1745" s="81"/>
      <c r="CR1745" s="9"/>
      <c r="CS1745" s="9"/>
      <c r="CT1745" s="9"/>
      <c r="CU1745" s="9"/>
      <c r="CV1745" s="9"/>
      <c r="CW1745" s="129"/>
      <c r="CX1745" s="9"/>
    </row>
    <row r="1746" spans="1:102">
      <c r="A1746" s="6" t="str">
        <f t="shared" si="271"/>
        <v>03480998</v>
      </c>
      <c r="B1746" s="6" t="s">
        <v>1998</v>
      </c>
      <c r="C1746" s="6" t="s">
        <v>2091</v>
      </c>
      <c r="D1746" s="6">
        <v>1737</v>
      </c>
      <c r="E1746" s="6">
        <v>348</v>
      </c>
      <c r="F1746" s="6" t="s">
        <v>1547</v>
      </c>
      <c r="G1746" s="6">
        <v>998</v>
      </c>
      <c r="H1746" s="6" t="s">
        <v>1547</v>
      </c>
      <c r="I1746" s="33">
        <v>0</v>
      </c>
      <c r="J1746" s="88">
        <v>0</v>
      </c>
      <c r="K1746" s="89">
        <f t="shared" si="270"/>
        <v>0</v>
      </c>
      <c r="L1746" s="88">
        <f>IF(K1749&gt;0, K1746/K1749, 0)</f>
        <v>0</v>
      </c>
      <c r="M1746" s="58"/>
      <c r="N1746" s="9">
        <f>ROUND(M1749*L1746,0)</f>
        <v>0</v>
      </c>
      <c r="O1746" s="9">
        <v>0</v>
      </c>
      <c r="P1746" s="9">
        <f>N1746-O1746</f>
        <v>0</v>
      </c>
      <c r="Q1746" s="40">
        <f t="shared" si="279"/>
        <v>0</v>
      </c>
      <c r="R1746" s="9">
        <v>0</v>
      </c>
      <c r="S1746" s="9">
        <f t="shared" si="277"/>
        <v>0</v>
      </c>
      <c r="T1746" s="90">
        <f t="shared" si="272"/>
        <v>348</v>
      </c>
      <c r="U1746" s="90">
        <f t="shared" si="273"/>
        <v>998</v>
      </c>
      <c r="V1746" s="373">
        <f t="shared" si="274"/>
        <v>1737</v>
      </c>
      <c r="W1746" s="90">
        <f t="shared" si="275"/>
        <v>0</v>
      </c>
      <c r="X1746" s="90">
        <f t="shared" si="276"/>
        <v>0</v>
      </c>
      <c r="Y1746" s="141">
        <f t="shared" si="278"/>
        <v>1737</v>
      </c>
      <c r="Z1746" s="298">
        <v>348</v>
      </c>
      <c r="AA1746" s="299">
        <v>998</v>
      </c>
      <c r="AB1746" s="299">
        <v>1737</v>
      </c>
      <c r="AC1746" s="301">
        <v>0</v>
      </c>
      <c r="AD1746" s="301">
        <v>0</v>
      </c>
      <c r="AE1746" s="126"/>
      <c r="AF1746" s="298"/>
      <c r="AG1746" s="299"/>
      <c r="AH1746" s="299"/>
      <c r="AI1746" s="301"/>
      <c r="AJ1746" s="301"/>
      <c r="AK1746" s="426"/>
      <c r="AL1746" s="298"/>
      <c r="AM1746" s="299"/>
      <c r="AN1746" s="299"/>
      <c r="AO1746" s="301"/>
      <c r="AP1746" s="301"/>
      <c r="AQ1746" s="426"/>
      <c r="AR1746" s="298"/>
      <c r="AS1746" s="299"/>
      <c r="AT1746" s="299"/>
      <c r="AU1746" s="301"/>
      <c r="AV1746" s="301"/>
      <c r="AW1746" s="88"/>
      <c r="AX1746" s="298"/>
      <c r="AY1746" s="299"/>
      <c r="AZ1746" s="299"/>
      <c r="BA1746" s="301"/>
      <c r="BB1746" s="301"/>
      <c r="BC1746" s="426"/>
      <c r="BD1746" s="298"/>
      <c r="BE1746" s="299"/>
      <c r="BF1746" s="299"/>
      <c r="BG1746" s="301"/>
      <c r="BH1746" s="301"/>
      <c r="BI1746" s="88"/>
      <c r="BJ1746" s="298"/>
      <c r="BK1746" s="299"/>
      <c r="BL1746" s="299"/>
      <c r="BM1746" s="301"/>
      <c r="BN1746" s="301"/>
      <c r="BO1746" s="88"/>
      <c r="BP1746" s="9"/>
      <c r="BS1746" s="81"/>
      <c r="BT1746" s="81"/>
      <c r="BV1746" s="9"/>
      <c r="BY1746" s="81"/>
      <c r="BZ1746" s="81"/>
      <c r="CB1746" s="9"/>
      <c r="CE1746" s="81"/>
      <c r="CF1746" s="81"/>
      <c r="CH1746" s="9"/>
      <c r="CK1746" s="81"/>
      <c r="CL1746" s="81"/>
      <c r="CR1746" s="9"/>
      <c r="CS1746" s="9"/>
      <c r="CT1746" s="9"/>
      <c r="CU1746" s="9"/>
      <c r="CV1746" s="9"/>
      <c r="CW1746" s="129"/>
      <c r="CX1746" s="9"/>
    </row>
    <row r="1747" spans="1:102">
      <c r="A1747" s="6" t="str">
        <f t="shared" si="271"/>
        <v>03480998</v>
      </c>
      <c r="B1747" s="6" t="s">
        <v>1998</v>
      </c>
      <c r="C1747" s="6" t="s">
        <v>2091</v>
      </c>
      <c r="D1747" s="6">
        <v>1738</v>
      </c>
      <c r="E1747" s="6">
        <v>348</v>
      </c>
      <c r="F1747" s="6" t="s">
        <v>1547</v>
      </c>
      <c r="G1747" s="6">
        <v>998</v>
      </c>
      <c r="H1747" s="6" t="s">
        <v>1547</v>
      </c>
      <c r="I1747" s="33">
        <v>0</v>
      </c>
      <c r="J1747" s="88">
        <v>0</v>
      </c>
      <c r="K1747" s="89">
        <f t="shared" si="270"/>
        <v>0</v>
      </c>
      <c r="L1747" s="88">
        <f>IF(K1749&gt;0, K1747/K1749, 0)</f>
        <v>0</v>
      </c>
      <c r="M1747" s="58"/>
      <c r="N1747" s="9">
        <f>ROUND(M1749*L1747,0)</f>
        <v>0</v>
      </c>
      <c r="O1747" s="9">
        <v>0</v>
      </c>
      <c r="P1747" s="9">
        <f>N1747-O1747</f>
        <v>0</v>
      </c>
      <c r="Q1747" s="40">
        <f t="shared" si="279"/>
        <v>0</v>
      </c>
      <c r="R1747" s="9">
        <v>0</v>
      </c>
      <c r="S1747" s="9">
        <f t="shared" si="277"/>
        <v>0</v>
      </c>
      <c r="T1747" s="90">
        <f t="shared" si="272"/>
        <v>348</v>
      </c>
      <c r="U1747" s="90">
        <f t="shared" si="273"/>
        <v>998</v>
      </c>
      <c r="V1747" s="373">
        <f t="shared" si="274"/>
        <v>1738</v>
      </c>
      <c r="W1747" s="90">
        <f t="shared" si="275"/>
        <v>0</v>
      </c>
      <c r="X1747" s="90">
        <f t="shared" si="276"/>
        <v>0</v>
      </c>
      <c r="Y1747" s="141">
        <f t="shared" si="278"/>
        <v>1738</v>
      </c>
      <c r="Z1747" s="298">
        <v>348</v>
      </c>
      <c r="AA1747" s="299">
        <v>998</v>
      </c>
      <c r="AB1747" s="299">
        <v>1738</v>
      </c>
      <c r="AC1747" s="301">
        <v>0</v>
      </c>
      <c r="AD1747" s="301">
        <v>0</v>
      </c>
      <c r="AE1747" s="126"/>
      <c r="AF1747" s="298"/>
      <c r="AG1747" s="299"/>
      <c r="AH1747" s="299"/>
      <c r="AI1747" s="301"/>
      <c r="AJ1747" s="301"/>
      <c r="AK1747" s="426"/>
      <c r="AL1747" s="298"/>
      <c r="AM1747" s="299"/>
      <c r="AN1747" s="299"/>
      <c r="AO1747" s="301"/>
      <c r="AP1747" s="301"/>
      <c r="AQ1747" s="426"/>
      <c r="AR1747" s="298"/>
      <c r="AS1747" s="299"/>
      <c r="AT1747" s="299"/>
      <c r="AU1747" s="301"/>
      <c r="AV1747" s="301"/>
      <c r="AW1747" s="88"/>
      <c r="AX1747" s="298"/>
      <c r="AY1747" s="299"/>
      <c r="AZ1747" s="299"/>
      <c r="BA1747" s="301"/>
      <c r="BB1747" s="301"/>
      <c r="BC1747" s="426"/>
      <c r="BD1747" s="298"/>
      <c r="BE1747" s="299"/>
      <c r="BF1747" s="299"/>
      <c r="BG1747" s="301"/>
      <c r="BH1747" s="301"/>
      <c r="BI1747" s="88"/>
      <c r="BJ1747" s="298"/>
      <c r="BK1747" s="299"/>
      <c r="BL1747" s="299"/>
      <c r="BM1747" s="301"/>
      <c r="BN1747" s="301"/>
      <c r="BO1747" s="88"/>
      <c r="BP1747" s="9"/>
      <c r="BS1747" s="81"/>
      <c r="BT1747" s="81"/>
      <c r="BV1747" s="9"/>
      <c r="BY1747" s="81"/>
      <c r="BZ1747" s="81"/>
      <c r="CB1747" s="9"/>
      <c r="CE1747" s="81"/>
      <c r="CF1747" s="81"/>
      <c r="CH1747" s="9"/>
      <c r="CK1747" s="81"/>
      <c r="CL1747" s="81"/>
      <c r="CR1747" s="9"/>
      <c r="CS1747" s="9"/>
      <c r="CT1747" s="9"/>
      <c r="CU1747" s="9"/>
      <c r="CV1747" s="9"/>
      <c r="CW1747" s="129"/>
      <c r="CX1747" s="9"/>
    </row>
    <row r="1748" spans="1:102">
      <c r="A1748" s="6" t="str">
        <f t="shared" si="271"/>
        <v>03480998</v>
      </c>
      <c r="B1748" s="6" t="s">
        <v>1998</v>
      </c>
      <c r="C1748" s="6" t="s">
        <v>2091</v>
      </c>
      <c r="D1748" s="6">
        <v>1739</v>
      </c>
      <c r="E1748" s="6">
        <v>348</v>
      </c>
      <c r="F1748" s="6" t="s">
        <v>1547</v>
      </c>
      <c r="G1748" s="6">
        <v>998</v>
      </c>
      <c r="H1748" s="6" t="s">
        <v>1547</v>
      </c>
      <c r="I1748" s="33">
        <v>0</v>
      </c>
      <c r="J1748" s="88">
        <v>0</v>
      </c>
      <c r="K1748" s="89">
        <f t="shared" si="270"/>
        <v>0</v>
      </c>
      <c r="L1748" s="88">
        <f>IF(K1749&gt;0, K1748/K1749, 0)</f>
        <v>0</v>
      </c>
      <c r="M1748" s="58"/>
      <c r="N1748" s="9">
        <f>ROUND(M1749*L1748,0)</f>
        <v>0</v>
      </c>
      <c r="O1748" s="9">
        <v>0</v>
      </c>
      <c r="P1748" s="9">
        <f>N1748-O1748</f>
        <v>0</v>
      </c>
      <c r="Q1748" s="40">
        <f t="shared" si="279"/>
        <v>0</v>
      </c>
      <c r="R1748" s="9">
        <v>0</v>
      </c>
      <c r="S1748" s="9">
        <f t="shared" si="277"/>
        <v>0</v>
      </c>
      <c r="T1748" s="90">
        <f t="shared" si="272"/>
        <v>348</v>
      </c>
      <c r="U1748" s="90">
        <f t="shared" si="273"/>
        <v>998</v>
      </c>
      <c r="V1748" s="373">
        <f t="shared" si="274"/>
        <v>1739</v>
      </c>
      <c r="W1748" s="90">
        <f t="shared" si="275"/>
        <v>0</v>
      </c>
      <c r="X1748" s="90">
        <f t="shared" si="276"/>
        <v>0</v>
      </c>
      <c r="Y1748" s="141">
        <f t="shared" si="278"/>
        <v>1739</v>
      </c>
      <c r="Z1748" s="298">
        <v>348</v>
      </c>
      <c r="AA1748" s="299">
        <v>998</v>
      </c>
      <c r="AB1748" s="299">
        <v>1739</v>
      </c>
      <c r="AC1748" s="301">
        <v>0</v>
      </c>
      <c r="AD1748" s="301">
        <v>0</v>
      </c>
      <c r="AE1748" s="126"/>
      <c r="AF1748" s="298"/>
      <c r="AG1748" s="299"/>
      <c r="AH1748" s="299"/>
      <c r="AI1748" s="301"/>
      <c r="AJ1748" s="301"/>
      <c r="AK1748" s="426"/>
      <c r="AL1748" s="298"/>
      <c r="AM1748" s="299"/>
      <c r="AN1748" s="299"/>
      <c r="AO1748" s="301"/>
      <c r="AP1748" s="301"/>
      <c r="AQ1748" s="426"/>
      <c r="AR1748" s="298"/>
      <c r="AS1748" s="299"/>
      <c r="AT1748" s="299"/>
      <c r="AU1748" s="301"/>
      <c r="AV1748" s="301"/>
      <c r="AW1748" s="88"/>
      <c r="AX1748" s="298"/>
      <c r="AY1748" s="299"/>
      <c r="AZ1748" s="299"/>
      <c r="BA1748" s="301"/>
      <c r="BB1748" s="301"/>
      <c r="BC1748" s="426"/>
      <c r="BD1748" s="298"/>
      <c r="BE1748" s="299"/>
      <c r="BF1748" s="299"/>
      <c r="BG1748" s="301"/>
      <c r="BH1748" s="301"/>
      <c r="BI1748" s="88"/>
      <c r="BJ1748" s="298"/>
      <c r="BK1748" s="299"/>
      <c r="BL1748" s="299"/>
      <c r="BM1748" s="301"/>
      <c r="BN1748" s="301"/>
      <c r="BO1748" s="88"/>
      <c r="BP1748" s="9"/>
      <c r="BS1748" s="81"/>
      <c r="BT1748" s="81"/>
      <c r="BV1748" s="9"/>
      <c r="BY1748" s="81"/>
      <c r="BZ1748" s="81"/>
      <c r="CB1748" s="9"/>
      <c r="CE1748" s="81"/>
      <c r="CF1748" s="81"/>
      <c r="CH1748" s="9"/>
      <c r="CK1748" s="81"/>
      <c r="CL1748" s="81"/>
      <c r="CR1748" s="9"/>
      <c r="CS1748" s="9"/>
      <c r="CT1748" s="9"/>
      <c r="CU1748" s="9"/>
      <c r="CV1748" s="9"/>
      <c r="CW1748" s="129"/>
      <c r="CX1748" s="9"/>
    </row>
    <row r="1749" spans="1:102">
      <c r="A1749" s="6" t="str">
        <f t="shared" si="271"/>
        <v>03480999</v>
      </c>
      <c r="B1749" s="6" t="s">
        <v>1998</v>
      </c>
      <c r="C1749" s="6" t="s">
        <v>2092</v>
      </c>
      <c r="D1749" s="6">
        <v>1740</v>
      </c>
      <c r="E1749" s="10">
        <v>348</v>
      </c>
      <c r="F1749" s="10" t="s">
        <v>1465</v>
      </c>
      <c r="G1749" s="10">
        <v>999</v>
      </c>
      <c r="H1749" s="10" t="s">
        <v>593</v>
      </c>
      <c r="I1749" s="92">
        <v>477974878.60999995</v>
      </c>
      <c r="J1749" s="472">
        <v>1</v>
      </c>
      <c r="K1749" s="53">
        <f>SUM(K1745:K1748)</f>
        <v>505110665.75</v>
      </c>
      <c r="L1749" s="91">
        <f>SUM(L1745:L1748)</f>
        <v>1</v>
      </c>
      <c r="M1749" s="79">
        <f>VLOOKUP(E1749,town351,24)</f>
        <v>127670996</v>
      </c>
      <c r="N1749" s="79">
        <f>SUM(N1745:N1748)</f>
        <v>127670996</v>
      </c>
      <c r="O1749" s="79">
        <v>120432974</v>
      </c>
      <c r="P1749" s="79">
        <f>SUM(P1745:P1748)</f>
        <v>7238022</v>
      </c>
      <c r="Q1749" s="39">
        <f t="shared" si="279"/>
        <v>6.0100002180465957</v>
      </c>
      <c r="R1749" s="9">
        <v>26552</v>
      </c>
      <c r="S1749" s="9">
        <f t="shared" si="277"/>
        <v>26667</v>
      </c>
      <c r="T1749" s="90">
        <f t="shared" si="272"/>
        <v>348</v>
      </c>
      <c r="U1749" s="90">
        <f t="shared" si="273"/>
        <v>999</v>
      </c>
      <c r="V1749" s="373">
        <f t="shared" si="274"/>
        <v>1740</v>
      </c>
      <c r="W1749" s="90">
        <f t="shared" si="275"/>
        <v>26667</v>
      </c>
      <c r="X1749" s="90">
        <f t="shared" si="276"/>
        <v>505110665.75</v>
      </c>
      <c r="Y1749" s="141">
        <f t="shared" si="278"/>
        <v>1740</v>
      </c>
      <c r="Z1749" s="298">
        <v>348</v>
      </c>
      <c r="AA1749" s="299">
        <v>999</v>
      </c>
      <c r="AB1749" s="299">
        <v>1740</v>
      </c>
      <c r="AC1749" s="301">
        <v>26667</v>
      </c>
      <c r="AD1749" s="301">
        <v>505110665.75</v>
      </c>
      <c r="AE1749" s="126"/>
      <c r="AF1749" s="298"/>
      <c r="AG1749" s="299"/>
      <c r="AH1749" s="299"/>
      <c r="AI1749" s="301"/>
      <c r="AJ1749" s="301"/>
      <c r="AK1749" s="426"/>
      <c r="AL1749" s="298"/>
      <c r="AM1749" s="299"/>
      <c r="AN1749" s="299"/>
      <c r="AO1749" s="301"/>
      <c r="AP1749" s="301"/>
      <c r="AQ1749" s="426"/>
      <c r="AR1749" s="298"/>
      <c r="AS1749" s="299"/>
      <c r="AT1749" s="299"/>
      <c r="AU1749" s="301"/>
      <c r="AV1749" s="301"/>
      <c r="AW1749" s="91"/>
      <c r="AX1749" s="298"/>
      <c r="AY1749" s="299"/>
      <c r="AZ1749" s="299"/>
      <c r="BA1749" s="301"/>
      <c r="BB1749" s="301"/>
      <c r="BC1749" s="426"/>
      <c r="BD1749" s="298"/>
      <c r="BE1749" s="299"/>
      <c r="BF1749" s="299"/>
      <c r="BG1749" s="301"/>
      <c r="BH1749" s="301"/>
      <c r="BI1749" s="91"/>
      <c r="BJ1749" s="298"/>
      <c r="BK1749" s="299"/>
      <c r="BL1749" s="299"/>
      <c r="BM1749" s="301"/>
      <c r="BN1749" s="301"/>
      <c r="BO1749" s="91"/>
      <c r="BP1749" s="9"/>
      <c r="BS1749" s="81"/>
      <c r="BT1749" s="81"/>
      <c r="BV1749" s="9"/>
      <c r="BY1749" s="81"/>
      <c r="BZ1749" s="81"/>
      <c r="CB1749" s="9"/>
      <c r="CE1749" s="81"/>
      <c r="CF1749" s="81"/>
      <c r="CH1749" s="9"/>
      <c r="CK1749" s="81"/>
      <c r="CL1749" s="81"/>
      <c r="CR1749" s="9"/>
      <c r="CS1749" s="9"/>
      <c r="CT1749" s="9"/>
      <c r="CU1749" s="9"/>
      <c r="CV1749" s="9"/>
      <c r="CW1749" s="129"/>
      <c r="CX1749" s="9"/>
    </row>
    <row r="1750" spans="1:102">
      <c r="A1750" s="6" t="str">
        <f t="shared" si="271"/>
        <v>03490349</v>
      </c>
      <c r="B1750" s="6" t="s">
        <v>1999</v>
      </c>
      <c r="C1750" s="6" t="s">
        <v>1999</v>
      </c>
      <c r="D1750" s="6">
        <v>1741</v>
      </c>
      <c r="E1750" s="6">
        <v>349</v>
      </c>
      <c r="F1750" s="6" t="s">
        <v>1466</v>
      </c>
      <c r="G1750" s="6">
        <v>349</v>
      </c>
      <c r="H1750" s="6" t="s">
        <v>1030</v>
      </c>
      <c r="I1750" s="33">
        <v>1568790.0099999995</v>
      </c>
      <c r="J1750" s="88">
        <v>1</v>
      </c>
      <c r="K1750" s="89">
        <f>X1750</f>
        <v>1599602.0399999998</v>
      </c>
      <c r="L1750" s="88">
        <f>IF(K1754&gt;0, K1750/K1754, 0)</f>
        <v>1</v>
      </c>
      <c r="M1750" s="58"/>
      <c r="N1750" s="9">
        <f>ROUND(M1754*L1750,0)</f>
        <v>1175020</v>
      </c>
      <c r="O1750" s="9">
        <v>1103824</v>
      </c>
      <c r="P1750" s="9">
        <f>N1750-O1750</f>
        <v>71196</v>
      </c>
      <c r="Q1750" s="40">
        <f t="shared" si="279"/>
        <v>6.4499412949890562</v>
      </c>
      <c r="R1750" s="9">
        <v>120</v>
      </c>
      <c r="S1750" s="9">
        <f t="shared" si="277"/>
        <v>119</v>
      </c>
      <c r="T1750" s="90">
        <f t="shared" si="272"/>
        <v>349</v>
      </c>
      <c r="U1750" s="90">
        <f t="shared" si="273"/>
        <v>349</v>
      </c>
      <c r="V1750" s="373">
        <f t="shared" si="274"/>
        <v>1741</v>
      </c>
      <c r="W1750" s="90">
        <f t="shared" si="275"/>
        <v>119</v>
      </c>
      <c r="X1750" s="90">
        <f t="shared" si="276"/>
        <v>1599602.0399999998</v>
      </c>
      <c r="Y1750" s="141">
        <f t="shared" si="278"/>
        <v>1741</v>
      </c>
      <c r="Z1750" s="298">
        <v>349</v>
      </c>
      <c r="AA1750" s="299">
        <v>349</v>
      </c>
      <c r="AB1750" s="299">
        <v>1741</v>
      </c>
      <c r="AC1750" s="301">
        <v>119</v>
      </c>
      <c r="AD1750" s="301">
        <v>1599602.0399999998</v>
      </c>
      <c r="AE1750" s="126"/>
      <c r="AF1750" s="298"/>
      <c r="AG1750" s="299"/>
      <c r="AH1750" s="299"/>
      <c r="AI1750" s="301"/>
      <c r="AJ1750" s="301"/>
      <c r="AK1750" s="426"/>
      <c r="AL1750" s="298"/>
      <c r="AM1750" s="299"/>
      <c r="AN1750" s="299"/>
      <c r="AO1750" s="301"/>
      <c r="AP1750" s="301"/>
      <c r="AQ1750" s="426"/>
      <c r="AR1750" s="298"/>
      <c r="AS1750" s="299"/>
      <c r="AT1750" s="299"/>
      <c r="AU1750" s="301"/>
      <c r="AV1750" s="301"/>
      <c r="AW1750" s="88"/>
      <c r="AX1750" s="298"/>
      <c r="AY1750" s="299"/>
      <c r="AZ1750" s="299"/>
      <c r="BA1750" s="301"/>
      <c r="BB1750" s="301"/>
      <c r="BC1750" s="426"/>
      <c r="BD1750" s="298"/>
      <c r="BE1750" s="299"/>
      <c r="BF1750" s="299"/>
      <c r="BG1750" s="301"/>
      <c r="BH1750" s="301"/>
      <c r="BI1750" s="88"/>
      <c r="BJ1750" s="298"/>
      <c r="BK1750" s="299"/>
      <c r="BL1750" s="299"/>
      <c r="BM1750" s="301"/>
      <c r="BN1750" s="301"/>
      <c r="BO1750" s="88"/>
      <c r="BP1750" s="9"/>
      <c r="BS1750" s="81"/>
      <c r="BT1750" s="81"/>
      <c r="BV1750" s="9"/>
      <c r="BY1750" s="81"/>
      <c r="BZ1750" s="81"/>
      <c r="CB1750" s="9"/>
      <c r="CE1750" s="81"/>
      <c r="CF1750" s="81"/>
      <c r="CH1750" s="9"/>
      <c r="CK1750" s="81"/>
      <c r="CL1750" s="81"/>
      <c r="CR1750" s="9"/>
      <c r="CS1750" s="9"/>
      <c r="CT1750" s="9"/>
      <c r="CU1750" s="9"/>
      <c r="CV1750" s="9"/>
      <c r="CW1750" s="129"/>
      <c r="CX1750" s="9"/>
    </row>
    <row r="1751" spans="1:102">
      <c r="A1751" s="6" t="str">
        <f t="shared" si="271"/>
        <v>03490998</v>
      </c>
      <c r="B1751" s="6" t="s">
        <v>1999</v>
      </c>
      <c r="C1751" s="6" t="s">
        <v>2091</v>
      </c>
      <c r="D1751" s="6">
        <v>1742</v>
      </c>
      <c r="E1751" s="6">
        <v>349</v>
      </c>
      <c r="G1751" s="6">
        <v>998</v>
      </c>
      <c r="I1751" s="33">
        <v>0</v>
      </c>
      <c r="J1751" s="88">
        <v>0</v>
      </c>
      <c r="K1751" s="89">
        <f t="shared" si="270"/>
        <v>0</v>
      </c>
      <c r="L1751" s="88">
        <f>IF(K1754&gt;0, K1751/K1754, 0)</f>
        <v>0</v>
      </c>
      <c r="M1751" s="58"/>
      <c r="N1751" s="9">
        <f>ROUND(M1754*L1751,0)</f>
        <v>0</v>
      </c>
      <c r="O1751" s="9">
        <v>0</v>
      </c>
      <c r="P1751" s="9">
        <f>N1751-O1751</f>
        <v>0</v>
      </c>
      <c r="Q1751" s="40">
        <f t="shared" si="279"/>
        <v>0</v>
      </c>
      <c r="R1751" s="9">
        <v>0</v>
      </c>
      <c r="S1751" s="9">
        <f t="shared" si="277"/>
        <v>0</v>
      </c>
      <c r="T1751" s="90">
        <f t="shared" si="272"/>
        <v>349</v>
      </c>
      <c r="U1751" s="90">
        <f t="shared" si="273"/>
        <v>998</v>
      </c>
      <c r="V1751" s="373">
        <f t="shared" si="274"/>
        <v>1742</v>
      </c>
      <c r="W1751" s="90">
        <f t="shared" si="275"/>
        <v>0</v>
      </c>
      <c r="X1751" s="90">
        <f t="shared" si="276"/>
        <v>0</v>
      </c>
      <c r="Y1751" s="141">
        <f t="shared" si="278"/>
        <v>1742</v>
      </c>
      <c r="Z1751" s="298">
        <v>349</v>
      </c>
      <c r="AA1751" s="299">
        <v>998</v>
      </c>
      <c r="AB1751" s="299">
        <v>1742</v>
      </c>
      <c r="AC1751" s="301">
        <v>0</v>
      </c>
      <c r="AD1751" s="301">
        <v>0</v>
      </c>
      <c r="AE1751" s="126"/>
      <c r="AF1751" s="298"/>
      <c r="AG1751" s="299"/>
      <c r="AH1751" s="299"/>
      <c r="AI1751" s="301"/>
      <c r="AJ1751" s="301"/>
      <c r="AK1751" s="426"/>
      <c r="AL1751" s="298"/>
      <c r="AM1751" s="299"/>
      <c r="AN1751" s="299"/>
      <c r="AO1751" s="301"/>
      <c r="AP1751" s="301"/>
      <c r="AQ1751" s="426"/>
      <c r="AR1751" s="298"/>
      <c r="AS1751" s="299"/>
      <c r="AT1751" s="299"/>
      <c r="AU1751" s="301"/>
      <c r="AV1751" s="301"/>
      <c r="AW1751" s="88"/>
      <c r="AX1751" s="298"/>
      <c r="AY1751" s="299"/>
      <c r="AZ1751" s="299"/>
      <c r="BA1751" s="301"/>
      <c r="BB1751" s="301"/>
      <c r="BC1751" s="426"/>
      <c r="BD1751" s="298"/>
      <c r="BE1751" s="299"/>
      <c r="BF1751" s="299"/>
      <c r="BG1751" s="301"/>
      <c r="BH1751" s="301"/>
      <c r="BI1751" s="88"/>
      <c r="BJ1751" s="298"/>
      <c r="BK1751" s="299"/>
      <c r="BL1751" s="299"/>
      <c r="BM1751" s="301"/>
      <c r="BN1751" s="301"/>
      <c r="BO1751" s="88"/>
      <c r="BP1751" s="9"/>
      <c r="BS1751" s="81"/>
      <c r="BT1751" s="81"/>
      <c r="BV1751" s="9"/>
      <c r="BY1751" s="81"/>
      <c r="BZ1751" s="81"/>
      <c r="CB1751" s="9"/>
      <c r="CE1751" s="81"/>
      <c r="CF1751" s="81"/>
      <c r="CH1751" s="9"/>
      <c r="CK1751" s="81"/>
      <c r="CL1751" s="81"/>
      <c r="CR1751" s="9"/>
      <c r="CS1751" s="9"/>
      <c r="CT1751" s="9"/>
      <c r="CU1751" s="9"/>
      <c r="CV1751" s="9"/>
      <c r="CW1751" s="129"/>
      <c r="CX1751" s="9"/>
    </row>
    <row r="1752" spans="1:102">
      <c r="A1752" s="6" t="str">
        <f t="shared" si="271"/>
        <v>03490998</v>
      </c>
      <c r="B1752" s="6" t="s">
        <v>1999</v>
      </c>
      <c r="C1752" s="6" t="s">
        <v>2091</v>
      </c>
      <c r="D1752" s="6">
        <v>1743</v>
      </c>
      <c r="E1752" s="6">
        <v>349</v>
      </c>
      <c r="F1752" s="6" t="s">
        <v>1547</v>
      </c>
      <c r="G1752" s="6">
        <v>998</v>
      </c>
      <c r="H1752" s="6" t="s">
        <v>1547</v>
      </c>
      <c r="I1752" s="33">
        <v>0</v>
      </c>
      <c r="J1752" s="88">
        <v>0</v>
      </c>
      <c r="K1752" s="89">
        <f t="shared" si="270"/>
        <v>0</v>
      </c>
      <c r="L1752" s="88">
        <f>IF(K1754&gt;0, K1752/K1754, 0)</f>
        <v>0</v>
      </c>
      <c r="M1752" s="58"/>
      <c r="N1752" s="9">
        <f>ROUND(M1754*L1752,0)</f>
        <v>0</v>
      </c>
      <c r="O1752" s="9">
        <v>0</v>
      </c>
      <c r="P1752" s="9">
        <f>N1752-O1752</f>
        <v>0</v>
      </c>
      <c r="Q1752" s="40">
        <f t="shared" si="279"/>
        <v>0</v>
      </c>
      <c r="R1752" s="9">
        <v>0</v>
      </c>
      <c r="S1752" s="9">
        <f t="shared" si="277"/>
        <v>0</v>
      </c>
      <c r="T1752" s="90">
        <f t="shared" si="272"/>
        <v>349</v>
      </c>
      <c r="U1752" s="90">
        <f t="shared" si="273"/>
        <v>998</v>
      </c>
      <c r="V1752" s="373">
        <f t="shared" si="274"/>
        <v>1743</v>
      </c>
      <c r="W1752" s="90">
        <f t="shared" si="275"/>
        <v>0</v>
      </c>
      <c r="X1752" s="90">
        <f t="shared" si="276"/>
        <v>0</v>
      </c>
      <c r="Y1752" s="141">
        <f t="shared" si="278"/>
        <v>1743</v>
      </c>
      <c r="Z1752" s="298">
        <v>349</v>
      </c>
      <c r="AA1752" s="299">
        <v>998</v>
      </c>
      <c r="AB1752" s="299">
        <v>1743</v>
      </c>
      <c r="AC1752" s="301">
        <v>0</v>
      </c>
      <c r="AD1752" s="301">
        <v>0</v>
      </c>
      <c r="AE1752" s="126"/>
      <c r="AF1752" s="298"/>
      <c r="AG1752" s="299"/>
      <c r="AH1752" s="299"/>
      <c r="AI1752" s="301"/>
      <c r="AJ1752" s="301"/>
      <c r="AK1752" s="426"/>
      <c r="AL1752" s="298"/>
      <c r="AM1752" s="299"/>
      <c r="AN1752" s="299"/>
      <c r="AO1752" s="301"/>
      <c r="AP1752" s="301"/>
      <c r="AQ1752" s="426"/>
      <c r="AR1752" s="298"/>
      <c r="AS1752" s="299"/>
      <c r="AT1752" s="299"/>
      <c r="AU1752" s="301"/>
      <c r="AV1752" s="301"/>
      <c r="AW1752" s="88"/>
      <c r="AX1752" s="298"/>
      <c r="AY1752" s="299"/>
      <c r="AZ1752" s="299"/>
      <c r="BA1752" s="301"/>
      <c r="BB1752" s="301"/>
      <c r="BC1752" s="426"/>
      <c r="BD1752" s="298"/>
      <c r="BE1752" s="299"/>
      <c r="BF1752" s="299"/>
      <c r="BG1752" s="301"/>
      <c r="BH1752" s="301"/>
      <c r="BI1752" s="88"/>
      <c r="BJ1752" s="298"/>
      <c r="BK1752" s="299"/>
      <c r="BL1752" s="299"/>
      <c r="BM1752" s="301"/>
      <c r="BN1752" s="301"/>
      <c r="BO1752" s="88"/>
      <c r="BP1752" s="9"/>
      <c r="BS1752" s="81"/>
      <c r="BT1752" s="81"/>
      <c r="BV1752" s="9"/>
      <c r="BY1752" s="81"/>
      <c r="BZ1752" s="81"/>
      <c r="CB1752" s="9"/>
      <c r="CE1752" s="81"/>
      <c r="CF1752" s="81"/>
      <c r="CH1752" s="9"/>
      <c r="CK1752" s="81"/>
      <c r="CL1752" s="81"/>
      <c r="CR1752" s="9"/>
      <c r="CS1752" s="9"/>
      <c r="CT1752" s="9"/>
      <c r="CU1752" s="9"/>
      <c r="CV1752" s="9"/>
      <c r="CW1752" s="129"/>
      <c r="CX1752" s="9"/>
    </row>
    <row r="1753" spans="1:102">
      <c r="A1753" s="6" t="str">
        <f t="shared" si="271"/>
        <v>03490998</v>
      </c>
      <c r="B1753" s="6" t="s">
        <v>1999</v>
      </c>
      <c r="C1753" s="6" t="s">
        <v>2091</v>
      </c>
      <c r="D1753" s="6">
        <v>1744</v>
      </c>
      <c r="E1753" s="6">
        <v>349</v>
      </c>
      <c r="F1753" s="6" t="s">
        <v>1547</v>
      </c>
      <c r="G1753" s="6">
        <v>998</v>
      </c>
      <c r="H1753" s="6" t="s">
        <v>1547</v>
      </c>
      <c r="I1753" s="33">
        <v>0</v>
      </c>
      <c r="J1753" s="88">
        <v>0</v>
      </c>
      <c r="K1753" s="89">
        <f t="shared" si="270"/>
        <v>0</v>
      </c>
      <c r="L1753" s="88">
        <f>IF(K1754&gt;0, K1753/K1754, 0)</f>
        <v>0</v>
      </c>
      <c r="M1753" s="58"/>
      <c r="N1753" s="9">
        <f>ROUND(M1754*L1753,0)</f>
        <v>0</v>
      </c>
      <c r="O1753" s="9">
        <v>0</v>
      </c>
      <c r="P1753" s="9">
        <f>N1753-O1753</f>
        <v>0</v>
      </c>
      <c r="Q1753" s="40">
        <f t="shared" si="279"/>
        <v>0</v>
      </c>
      <c r="R1753" s="9">
        <v>0</v>
      </c>
      <c r="S1753" s="9">
        <f t="shared" si="277"/>
        <v>0</v>
      </c>
      <c r="T1753" s="90">
        <f t="shared" si="272"/>
        <v>349</v>
      </c>
      <c r="U1753" s="90">
        <f t="shared" si="273"/>
        <v>998</v>
      </c>
      <c r="V1753" s="373">
        <f t="shared" si="274"/>
        <v>1744</v>
      </c>
      <c r="W1753" s="90">
        <f t="shared" si="275"/>
        <v>0</v>
      </c>
      <c r="X1753" s="90">
        <f t="shared" si="276"/>
        <v>0</v>
      </c>
      <c r="Y1753" s="141">
        <f t="shared" si="278"/>
        <v>1744</v>
      </c>
      <c r="Z1753" s="298">
        <v>349</v>
      </c>
      <c r="AA1753" s="299">
        <v>998</v>
      </c>
      <c r="AB1753" s="299">
        <v>1744</v>
      </c>
      <c r="AC1753" s="301">
        <v>0</v>
      </c>
      <c r="AD1753" s="301">
        <v>0</v>
      </c>
      <c r="AE1753" s="126"/>
      <c r="AF1753" s="298"/>
      <c r="AG1753" s="299"/>
      <c r="AH1753" s="299"/>
      <c r="AI1753" s="301"/>
      <c r="AJ1753" s="301"/>
      <c r="AK1753" s="426"/>
      <c r="AL1753" s="298"/>
      <c r="AM1753" s="299"/>
      <c r="AN1753" s="299"/>
      <c r="AO1753" s="301"/>
      <c r="AP1753" s="301"/>
      <c r="AQ1753" s="426"/>
      <c r="AR1753" s="298"/>
      <c r="AS1753" s="299"/>
      <c r="AT1753" s="299"/>
      <c r="AU1753" s="301"/>
      <c r="AV1753" s="301"/>
      <c r="AW1753" s="88"/>
      <c r="AX1753" s="298"/>
      <c r="AY1753" s="299"/>
      <c r="AZ1753" s="299"/>
      <c r="BA1753" s="301"/>
      <c r="BB1753" s="301"/>
      <c r="BC1753" s="426"/>
      <c r="BD1753" s="298"/>
      <c r="BE1753" s="299"/>
      <c r="BF1753" s="299"/>
      <c r="BG1753" s="301"/>
      <c r="BH1753" s="301"/>
      <c r="BI1753" s="88"/>
      <c r="BJ1753" s="298"/>
      <c r="BK1753" s="299"/>
      <c r="BL1753" s="299"/>
      <c r="BM1753" s="301"/>
      <c r="BN1753" s="301"/>
      <c r="BO1753" s="88"/>
      <c r="BP1753" s="9"/>
      <c r="BS1753" s="81"/>
      <c r="BT1753" s="81"/>
      <c r="BV1753" s="9"/>
      <c r="BY1753" s="81"/>
      <c r="BZ1753" s="81"/>
      <c r="CB1753" s="9"/>
      <c r="CE1753" s="81"/>
      <c r="CF1753" s="81"/>
      <c r="CH1753" s="9"/>
      <c r="CK1753" s="81"/>
      <c r="CL1753" s="81"/>
      <c r="CR1753" s="9"/>
      <c r="CS1753" s="9"/>
      <c r="CT1753" s="9"/>
      <c r="CU1753" s="9"/>
      <c r="CV1753" s="9"/>
      <c r="CW1753" s="129"/>
      <c r="CX1753" s="9"/>
    </row>
    <row r="1754" spans="1:102">
      <c r="A1754" s="6" t="str">
        <f t="shared" si="271"/>
        <v>03490999</v>
      </c>
      <c r="B1754" s="6" t="s">
        <v>1999</v>
      </c>
      <c r="C1754" s="6" t="s">
        <v>2092</v>
      </c>
      <c r="D1754" s="6">
        <v>1745</v>
      </c>
      <c r="E1754" s="10">
        <v>349</v>
      </c>
      <c r="F1754" s="10" t="s">
        <v>1466</v>
      </c>
      <c r="G1754" s="10">
        <v>999</v>
      </c>
      <c r="H1754" s="10" t="s">
        <v>593</v>
      </c>
      <c r="I1754" s="92">
        <v>1568790.0099999995</v>
      </c>
      <c r="J1754" s="472">
        <v>1</v>
      </c>
      <c r="K1754" s="53">
        <f>SUM(K1750:K1753)</f>
        <v>1599602.0399999998</v>
      </c>
      <c r="L1754" s="91">
        <f>SUM(L1750:L1753)</f>
        <v>1</v>
      </c>
      <c r="M1754" s="79">
        <f>VLOOKUP(E1754,town351,24)</f>
        <v>1175020</v>
      </c>
      <c r="N1754" s="79">
        <f>SUM(N1750:N1753)</f>
        <v>1175020</v>
      </c>
      <c r="O1754" s="79">
        <v>1103824</v>
      </c>
      <c r="P1754" s="79">
        <f>SUM(P1750:P1753)</f>
        <v>71196</v>
      </c>
      <c r="Q1754" s="39">
        <f t="shared" si="279"/>
        <v>6.4499412949890562</v>
      </c>
      <c r="R1754" s="9">
        <v>120</v>
      </c>
      <c r="S1754" s="9">
        <f t="shared" si="277"/>
        <v>119</v>
      </c>
      <c r="T1754" s="90">
        <f t="shared" si="272"/>
        <v>349</v>
      </c>
      <c r="U1754" s="90">
        <f t="shared" si="273"/>
        <v>999</v>
      </c>
      <c r="V1754" s="373">
        <f t="shared" si="274"/>
        <v>1745</v>
      </c>
      <c r="W1754" s="90">
        <f t="shared" si="275"/>
        <v>119</v>
      </c>
      <c r="X1754" s="90">
        <f t="shared" si="276"/>
        <v>1599602.0399999998</v>
      </c>
      <c r="Y1754" s="141">
        <f t="shared" si="278"/>
        <v>1745</v>
      </c>
      <c r="Z1754" s="298">
        <v>349</v>
      </c>
      <c r="AA1754" s="299">
        <v>999</v>
      </c>
      <c r="AB1754" s="299">
        <v>1745</v>
      </c>
      <c r="AC1754" s="301">
        <v>119</v>
      </c>
      <c r="AD1754" s="301">
        <v>1599602.0399999998</v>
      </c>
      <c r="AE1754" s="126"/>
      <c r="AF1754" s="298"/>
      <c r="AG1754" s="299"/>
      <c r="AH1754" s="299"/>
      <c r="AI1754" s="301"/>
      <c r="AJ1754" s="301"/>
      <c r="AK1754" s="426"/>
      <c r="AL1754" s="298"/>
      <c r="AM1754" s="299"/>
      <c r="AN1754" s="299"/>
      <c r="AO1754" s="301"/>
      <c r="AP1754" s="301"/>
      <c r="AQ1754" s="426"/>
      <c r="AR1754" s="298"/>
      <c r="AS1754" s="299"/>
      <c r="AT1754" s="299"/>
      <c r="AU1754" s="301"/>
      <c r="AV1754" s="301"/>
      <c r="AW1754" s="91"/>
      <c r="AX1754" s="298"/>
      <c r="AY1754" s="299"/>
      <c r="AZ1754" s="299"/>
      <c r="BA1754" s="301"/>
      <c r="BB1754" s="301"/>
      <c r="BC1754" s="426"/>
      <c r="BD1754" s="298"/>
      <c r="BE1754" s="299"/>
      <c r="BF1754" s="299"/>
      <c r="BG1754" s="301"/>
      <c r="BH1754" s="301"/>
      <c r="BI1754" s="91"/>
      <c r="BJ1754" s="298"/>
      <c r="BK1754" s="299"/>
      <c r="BL1754" s="299"/>
      <c r="BM1754" s="301"/>
      <c r="BN1754" s="301"/>
      <c r="BO1754" s="91"/>
      <c r="BP1754" s="9"/>
      <c r="BS1754" s="81"/>
      <c r="BT1754" s="81"/>
      <c r="BV1754" s="9"/>
      <c r="BY1754" s="81"/>
      <c r="BZ1754" s="81"/>
      <c r="CB1754" s="9"/>
      <c r="CE1754" s="81"/>
      <c r="CF1754" s="81"/>
      <c r="CH1754" s="9"/>
      <c r="CK1754" s="81"/>
      <c r="CL1754" s="81"/>
      <c r="CR1754" s="9"/>
      <c r="CS1754" s="9"/>
      <c r="CT1754" s="9"/>
      <c r="CU1754" s="9"/>
      <c r="CV1754" s="9"/>
      <c r="CW1754" s="129"/>
      <c r="CX1754" s="9"/>
    </row>
    <row r="1755" spans="1:102">
      <c r="A1755" s="6" t="str">
        <f t="shared" si="271"/>
        <v>03500350</v>
      </c>
      <c r="B1755" s="6" t="s">
        <v>2000</v>
      </c>
      <c r="C1755" s="6" t="s">
        <v>2000</v>
      </c>
      <c r="D1755" s="6">
        <v>1746</v>
      </c>
      <c r="E1755" s="6">
        <v>350</v>
      </c>
      <c r="F1755" s="6" t="s">
        <v>1467</v>
      </c>
      <c r="G1755" s="6">
        <v>350</v>
      </c>
      <c r="H1755" s="6" t="s">
        <v>1031</v>
      </c>
      <c r="I1755" s="33">
        <v>11250378.938039999</v>
      </c>
      <c r="J1755" s="88">
        <v>0.49482581272140697</v>
      </c>
      <c r="K1755" s="89">
        <f>X1755</f>
        <v>12020258.945529999</v>
      </c>
      <c r="L1755" s="88">
        <f>IF(K1759&gt;0, K1755/K1759, 0)</f>
        <v>0.50463370416773967</v>
      </c>
      <c r="M1755" s="58"/>
      <c r="N1755" s="9">
        <f>ROUND(M1759*L1755,0)</f>
        <v>9445383</v>
      </c>
      <c r="O1755" s="9">
        <v>8771480</v>
      </c>
      <c r="P1755" s="9">
        <f>N1755-O1755</f>
        <v>673903</v>
      </c>
      <c r="Q1755" s="40">
        <f t="shared" si="279"/>
        <v>7.6828881785057934</v>
      </c>
      <c r="R1755" s="9">
        <v>925</v>
      </c>
      <c r="S1755" s="9">
        <f t="shared" si="277"/>
        <v>956</v>
      </c>
      <c r="T1755" s="90">
        <f t="shared" si="272"/>
        <v>350</v>
      </c>
      <c r="U1755" s="90">
        <f t="shared" si="273"/>
        <v>350</v>
      </c>
      <c r="V1755" s="373">
        <f t="shared" si="274"/>
        <v>1746</v>
      </c>
      <c r="W1755" s="90">
        <f t="shared" si="275"/>
        <v>956</v>
      </c>
      <c r="X1755" s="90">
        <f t="shared" si="276"/>
        <v>12020258.945529999</v>
      </c>
      <c r="Y1755" s="141">
        <f t="shared" si="278"/>
        <v>1746</v>
      </c>
      <c r="Z1755" s="298">
        <v>350</v>
      </c>
      <c r="AA1755" s="299">
        <v>350</v>
      </c>
      <c r="AB1755" s="299">
        <v>1746</v>
      </c>
      <c r="AC1755" s="301">
        <v>956</v>
      </c>
      <c r="AD1755" s="301">
        <v>12020258.945529999</v>
      </c>
      <c r="AE1755" s="126"/>
      <c r="AF1755" s="298"/>
      <c r="AG1755" s="299"/>
      <c r="AH1755" s="299"/>
      <c r="AI1755" s="301"/>
      <c r="AJ1755" s="301"/>
      <c r="AK1755" s="426"/>
      <c r="AL1755" s="298"/>
      <c r="AM1755" s="299"/>
      <c r="AN1755" s="299"/>
      <c r="AO1755" s="301"/>
      <c r="AP1755" s="301"/>
      <c r="AQ1755" s="426"/>
      <c r="AR1755" s="298"/>
      <c r="AS1755" s="299"/>
      <c r="AT1755" s="299"/>
      <c r="AU1755" s="301"/>
      <c r="AV1755" s="301"/>
      <c r="AW1755" s="88"/>
      <c r="AX1755" s="298"/>
      <c r="AY1755" s="299"/>
      <c r="AZ1755" s="299"/>
      <c r="BA1755" s="301"/>
      <c r="BB1755" s="301"/>
      <c r="BC1755" s="426"/>
      <c r="BD1755" s="298"/>
      <c r="BE1755" s="299"/>
      <c r="BF1755" s="299"/>
      <c r="BG1755" s="301"/>
      <c r="BH1755" s="301"/>
      <c r="BI1755" s="88"/>
      <c r="BJ1755" s="298"/>
      <c r="BK1755" s="299"/>
      <c r="BL1755" s="299"/>
      <c r="BM1755" s="301"/>
      <c r="BN1755" s="301"/>
      <c r="BO1755" s="88"/>
      <c r="BP1755" s="9"/>
      <c r="BS1755" s="81"/>
      <c r="BT1755" s="81"/>
      <c r="BV1755" s="9"/>
      <c r="BY1755" s="81"/>
      <c r="BZ1755" s="81"/>
      <c r="CB1755" s="9"/>
      <c r="CE1755" s="81"/>
      <c r="CF1755" s="81"/>
      <c r="CH1755" s="9"/>
      <c r="CK1755" s="81"/>
      <c r="CL1755" s="81"/>
      <c r="CR1755" s="9"/>
      <c r="CS1755" s="9"/>
      <c r="CT1755" s="9"/>
      <c r="CU1755" s="9"/>
      <c r="CV1755" s="9"/>
      <c r="CW1755" s="129"/>
      <c r="CX1755" s="9"/>
    </row>
    <row r="1756" spans="1:102">
      <c r="A1756" s="6" t="str">
        <f t="shared" si="271"/>
        <v>03500690</v>
      </c>
      <c r="B1756" s="6" t="s">
        <v>2000</v>
      </c>
      <c r="C1756" s="6" t="s">
        <v>2032</v>
      </c>
      <c r="D1756" s="6">
        <v>1747</v>
      </c>
      <c r="E1756" s="6">
        <v>350</v>
      </c>
      <c r="F1756" s="6" t="s">
        <v>1467</v>
      </c>
      <c r="G1756" s="6">
        <v>690</v>
      </c>
      <c r="H1756" s="6" t="s">
        <v>1062</v>
      </c>
      <c r="I1756" s="33">
        <v>9816512.3988500834</v>
      </c>
      <c r="J1756" s="88">
        <v>0.4317600102718861</v>
      </c>
      <c r="K1756" s="89">
        <f t="shared" si="270"/>
        <v>9991132.5568335652</v>
      </c>
      <c r="L1756" s="88">
        <f>IF(K1759&gt;0, K1756/K1759, 0)</f>
        <v>0.41944705632658191</v>
      </c>
      <c r="M1756" s="58"/>
      <c r="N1756" s="9">
        <f>ROUND(M1759*L1756,0)</f>
        <v>7850919</v>
      </c>
      <c r="O1756" s="9">
        <v>7653551</v>
      </c>
      <c r="P1756" s="9">
        <f>N1756-O1756</f>
        <v>197368</v>
      </c>
      <c r="Q1756" s="40">
        <f t="shared" si="279"/>
        <v>2.5787768318261679</v>
      </c>
      <c r="R1756" s="9">
        <v>748.39451476321005</v>
      </c>
      <c r="S1756" s="9">
        <f t="shared" si="277"/>
        <v>745.37990821619996</v>
      </c>
      <c r="T1756" s="90">
        <f t="shared" si="272"/>
        <v>350</v>
      </c>
      <c r="U1756" s="90">
        <f t="shared" si="273"/>
        <v>690</v>
      </c>
      <c r="V1756" s="373">
        <f t="shared" si="274"/>
        <v>1747</v>
      </c>
      <c r="W1756" s="90">
        <f t="shared" si="275"/>
        <v>745.37990821619996</v>
      </c>
      <c r="X1756" s="90">
        <f t="shared" si="276"/>
        <v>9991132.5568335652</v>
      </c>
      <c r="Y1756" s="141">
        <f t="shared" si="278"/>
        <v>1747</v>
      </c>
      <c r="Z1756" s="298">
        <v>350</v>
      </c>
      <c r="AA1756" s="299">
        <v>690</v>
      </c>
      <c r="AB1756" s="299">
        <v>1747</v>
      </c>
      <c r="AC1756" s="301">
        <v>745.37990821619996</v>
      </c>
      <c r="AD1756" s="301">
        <v>9991132.5568335652</v>
      </c>
      <c r="AE1756" s="126"/>
      <c r="AF1756" s="298"/>
      <c r="AG1756" s="299"/>
      <c r="AH1756" s="299"/>
      <c r="AI1756" s="301"/>
      <c r="AJ1756" s="301"/>
      <c r="AK1756" s="426"/>
      <c r="AL1756" s="298"/>
      <c r="AM1756" s="299"/>
      <c r="AN1756" s="299"/>
      <c r="AO1756" s="301"/>
      <c r="AP1756" s="301"/>
      <c r="AQ1756" s="426"/>
      <c r="AR1756" s="298"/>
      <c r="AS1756" s="299"/>
      <c r="AT1756" s="299"/>
      <c r="AU1756" s="301"/>
      <c r="AV1756" s="301"/>
      <c r="AW1756" s="88"/>
      <c r="AX1756" s="298"/>
      <c r="AY1756" s="299"/>
      <c r="AZ1756" s="299"/>
      <c r="BA1756" s="301"/>
      <c r="BB1756" s="301"/>
      <c r="BC1756" s="426"/>
      <c r="BD1756" s="298"/>
      <c r="BE1756" s="299"/>
      <c r="BF1756" s="299"/>
      <c r="BG1756" s="301"/>
      <c r="BH1756" s="301"/>
      <c r="BI1756" s="88"/>
      <c r="BJ1756" s="298"/>
      <c r="BK1756" s="299"/>
      <c r="BL1756" s="299"/>
      <c r="BM1756" s="301"/>
      <c r="BN1756" s="301"/>
      <c r="BO1756" s="88"/>
      <c r="BP1756" s="9"/>
      <c r="BS1756" s="81"/>
      <c r="BT1756" s="81"/>
      <c r="BV1756" s="9"/>
      <c r="BY1756" s="81"/>
      <c r="BZ1756" s="81"/>
      <c r="CB1756" s="9"/>
      <c r="CE1756" s="81"/>
      <c r="CF1756" s="81"/>
      <c r="CH1756" s="9"/>
      <c r="CK1756" s="81"/>
      <c r="CL1756" s="81"/>
      <c r="CR1756" s="9"/>
      <c r="CS1756" s="9"/>
      <c r="CT1756" s="9"/>
      <c r="CU1756" s="9"/>
      <c r="CV1756" s="9"/>
      <c r="CW1756" s="129"/>
      <c r="CX1756" s="9"/>
    </row>
    <row r="1757" spans="1:102">
      <c r="A1757" s="6" t="str">
        <f t="shared" si="271"/>
        <v>03500878</v>
      </c>
      <c r="B1757" s="6" t="s">
        <v>2000</v>
      </c>
      <c r="C1757" s="6" t="s">
        <v>2085</v>
      </c>
      <c r="D1757" s="6">
        <v>1748</v>
      </c>
      <c r="E1757" s="6">
        <v>350</v>
      </c>
      <c r="F1757" s="6" t="s">
        <v>1467</v>
      </c>
      <c r="G1757" s="6">
        <v>878</v>
      </c>
      <c r="H1757" s="6" t="s">
        <v>1115</v>
      </c>
      <c r="I1757" s="33">
        <v>1496934.1222736193</v>
      </c>
      <c r="J1757" s="88">
        <v>6.5839706175576648E-2</v>
      </c>
      <c r="K1757" s="89">
        <f t="shared" si="270"/>
        <v>1610163.1034481351</v>
      </c>
      <c r="L1757" s="88">
        <f>IF(K1759&gt;0, K1757/K1759, 0)</f>
        <v>6.759775932359742E-2</v>
      </c>
      <c r="M1757" s="58"/>
      <c r="N1757" s="9">
        <f>ROUND(M1759*L1757,0)</f>
        <v>1265248</v>
      </c>
      <c r="O1757" s="9">
        <v>1167101</v>
      </c>
      <c r="P1757" s="9">
        <f>N1757-O1757</f>
        <v>98147</v>
      </c>
      <c r="Q1757" s="40">
        <f t="shared" si="279"/>
        <v>8.4094692747242963</v>
      </c>
      <c r="R1757" s="9">
        <v>72.999999999850004</v>
      </c>
      <c r="S1757" s="9">
        <f t="shared" si="277"/>
        <v>77.000000004300006</v>
      </c>
      <c r="T1757" s="90">
        <f t="shared" si="272"/>
        <v>350</v>
      </c>
      <c r="U1757" s="90">
        <f t="shared" si="273"/>
        <v>878</v>
      </c>
      <c r="V1757" s="373">
        <f t="shared" si="274"/>
        <v>1748</v>
      </c>
      <c r="W1757" s="90">
        <f t="shared" si="275"/>
        <v>77.000000004300006</v>
      </c>
      <c r="X1757" s="90">
        <f t="shared" si="276"/>
        <v>1610163.1034481351</v>
      </c>
      <c r="Y1757" s="141">
        <f t="shared" si="278"/>
        <v>1748</v>
      </c>
      <c r="Z1757" s="298">
        <v>350</v>
      </c>
      <c r="AA1757" s="299">
        <v>878</v>
      </c>
      <c r="AB1757" s="299">
        <v>1748</v>
      </c>
      <c r="AC1757" s="301">
        <v>77.000000004300006</v>
      </c>
      <c r="AD1757" s="301">
        <v>1610163.1034481351</v>
      </c>
      <c r="AE1757" s="126"/>
      <c r="AF1757" s="298"/>
      <c r="AG1757" s="299"/>
      <c r="AH1757" s="299"/>
      <c r="AI1757" s="301"/>
      <c r="AJ1757" s="301"/>
      <c r="AK1757" s="426"/>
      <c r="AL1757" s="298"/>
      <c r="AM1757" s="299"/>
      <c r="AN1757" s="299"/>
      <c r="AO1757" s="301"/>
      <c r="AP1757" s="301"/>
      <c r="AQ1757" s="426"/>
      <c r="AR1757" s="298"/>
      <c r="AS1757" s="299"/>
      <c r="AT1757" s="299"/>
      <c r="AU1757" s="301"/>
      <c r="AV1757" s="301"/>
      <c r="AW1757" s="88"/>
      <c r="AX1757" s="298"/>
      <c r="AY1757" s="299"/>
      <c r="AZ1757" s="299"/>
      <c r="BA1757" s="301"/>
      <c r="BB1757" s="301"/>
      <c r="BC1757" s="426"/>
      <c r="BD1757" s="298"/>
      <c r="BE1757" s="299"/>
      <c r="BF1757" s="299"/>
      <c r="BG1757" s="301"/>
      <c r="BH1757" s="301"/>
      <c r="BI1757" s="88"/>
      <c r="BJ1757" s="298"/>
      <c r="BK1757" s="299"/>
      <c r="BL1757" s="299"/>
      <c r="BM1757" s="301"/>
      <c r="BN1757" s="301"/>
      <c r="BO1757" s="88"/>
      <c r="BP1757" s="9"/>
      <c r="BS1757" s="81"/>
      <c r="BT1757" s="81"/>
      <c r="BV1757" s="9"/>
      <c r="BY1757" s="81"/>
      <c r="BZ1757" s="81"/>
      <c r="CB1757" s="9"/>
      <c r="CE1757" s="81"/>
      <c r="CF1757" s="81"/>
      <c r="CH1757" s="9"/>
      <c r="CK1757" s="81"/>
      <c r="CL1757" s="81"/>
      <c r="CR1757" s="9"/>
      <c r="CS1757" s="9"/>
      <c r="CT1757" s="9"/>
      <c r="CU1757" s="9"/>
      <c r="CV1757" s="9"/>
      <c r="CW1757" s="129"/>
      <c r="CX1757" s="9"/>
    </row>
    <row r="1758" spans="1:102">
      <c r="A1758" s="6" t="str">
        <f t="shared" si="271"/>
        <v>03500915</v>
      </c>
      <c r="B1758" s="6" t="s">
        <v>2000</v>
      </c>
      <c r="C1758" s="6" t="s">
        <v>2089</v>
      </c>
      <c r="D1758" s="6">
        <v>1749</v>
      </c>
      <c r="E1758" s="6">
        <v>350</v>
      </c>
      <c r="F1758" s="6" t="s">
        <v>1467</v>
      </c>
      <c r="G1758" s="6">
        <v>915</v>
      </c>
      <c r="H1758" s="6" t="s">
        <v>1119</v>
      </c>
      <c r="I1758" s="33">
        <v>172213.46363618856</v>
      </c>
      <c r="J1758" s="88">
        <v>7.5744708311301949E-3</v>
      </c>
      <c r="K1758" s="89">
        <f t="shared" si="270"/>
        <v>198215.74693208101</v>
      </c>
      <c r="L1758" s="88">
        <f>IF(K1759&gt;0, K1758/K1759, 0)</f>
        <v>8.3214801820811306E-3</v>
      </c>
      <c r="M1758" s="58"/>
      <c r="N1758" s="9">
        <f>ROUND(M1759*L1758,0)</f>
        <v>155756</v>
      </c>
      <c r="O1758" s="9">
        <v>134268</v>
      </c>
      <c r="P1758" s="9">
        <f>N1758-O1758</f>
        <v>21488</v>
      </c>
      <c r="Q1758" s="40">
        <f t="shared" si="279"/>
        <v>16.00381326898442</v>
      </c>
      <c r="R1758" s="9">
        <v>8.00000000008</v>
      </c>
      <c r="S1758" s="9">
        <f t="shared" si="277"/>
        <v>8.99999999984</v>
      </c>
      <c r="T1758" s="90">
        <f t="shared" si="272"/>
        <v>350</v>
      </c>
      <c r="U1758" s="90">
        <f t="shared" si="273"/>
        <v>915</v>
      </c>
      <c r="V1758" s="373">
        <f t="shared" si="274"/>
        <v>1749</v>
      </c>
      <c r="W1758" s="90">
        <f t="shared" si="275"/>
        <v>8.99999999984</v>
      </c>
      <c r="X1758" s="90">
        <f t="shared" si="276"/>
        <v>198215.74693208101</v>
      </c>
      <c r="Y1758" s="141">
        <f t="shared" si="278"/>
        <v>1749</v>
      </c>
      <c r="Z1758" s="298">
        <v>350</v>
      </c>
      <c r="AA1758" s="299">
        <v>915</v>
      </c>
      <c r="AB1758" s="299">
        <v>1749</v>
      </c>
      <c r="AC1758" s="301">
        <v>8.99999999984</v>
      </c>
      <c r="AD1758" s="301">
        <v>198215.74693208101</v>
      </c>
      <c r="AE1758" s="126"/>
      <c r="AF1758" s="298"/>
      <c r="AG1758" s="299"/>
      <c r="AH1758" s="299"/>
      <c r="AI1758" s="301"/>
      <c r="AJ1758" s="301"/>
      <c r="AK1758" s="426"/>
      <c r="AL1758" s="298"/>
      <c r="AM1758" s="299"/>
      <c r="AN1758" s="299"/>
      <c r="AO1758" s="301"/>
      <c r="AP1758" s="301"/>
      <c r="AQ1758" s="426"/>
      <c r="AR1758" s="298"/>
      <c r="AS1758" s="299"/>
      <c r="AT1758" s="299"/>
      <c r="AU1758" s="301"/>
      <c r="AV1758" s="301"/>
      <c r="AW1758" s="88"/>
      <c r="AX1758" s="298"/>
      <c r="AY1758" s="299"/>
      <c r="AZ1758" s="299"/>
      <c r="BA1758" s="301"/>
      <c r="BB1758" s="301"/>
      <c r="BC1758" s="426"/>
      <c r="BD1758" s="298"/>
      <c r="BE1758" s="299"/>
      <c r="BF1758" s="299"/>
      <c r="BG1758" s="301"/>
      <c r="BH1758" s="301"/>
      <c r="BI1758" s="88"/>
      <c r="BJ1758" s="298"/>
      <c r="BK1758" s="299"/>
      <c r="BL1758" s="299"/>
      <c r="BM1758" s="301"/>
      <c r="BN1758" s="301"/>
      <c r="BO1758" s="88"/>
      <c r="BP1758" s="9"/>
      <c r="BS1758" s="81"/>
      <c r="BT1758" s="81"/>
      <c r="BV1758" s="9"/>
      <c r="BY1758" s="81"/>
      <c r="BZ1758" s="81"/>
      <c r="CB1758" s="9"/>
      <c r="CE1758" s="81"/>
      <c r="CF1758" s="81"/>
      <c r="CH1758" s="9"/>
      <c r="CK1758" s="81"/>
      <c r="CL1758" s="81"/>
      <c r="CR1758" s="9"/>
      <c r="CS1758" s="9"/>
      <c r="CT1758" s="9"/>
      <c r="CU1758" s="9"/>
      <c r="CV1758" s="9"/>
      <c r="CW1758" s="129"/>
      <c r="CX1758" s="9"/>
    </row>
    <row r="1759" spans="1:102">
      <c r="A1759" s="6" t="str">
        <f t="shared" si="271"/>
        <v>03500999</v>
      </c>
      <c r="B1759" s="6" t="s">
        <v>2000</v>
      </c>
      <c r="C1759" s="6" t="s">
        <v>2092</v>
      </c>
      <c r="D1759" s="6">
        <v>1750</v>
      </c>
      <c r="E1759" s="10">
        <v>350</v>
      </c>
      <c r="F1759" s="10" t="s">
        <v>1467</v>
      </c>
      <c r="G1759" s="10">
        <v>999</v>
      </c>
      <c r="H1759" s="10" t="s">
        <v>593</v>
      </c>
      <c r="I1759" s="92">
        <v>22736038.922799893</v>
      </c>
      <c r="J1759" s="472">
        <v>0.99999999999999989</v>
      </c>
      <c r="K1759" s="53">
        <f>SUM(K1755:K1758)</f>
        <v>23819770.352743778</v>
      </c>
      <c r="L1759" s="91">
        <f>SUM(L1755:L1758)</f>
        <v>1.0000000000000002</v>
      </c>
      <c r="M1759" s="79">
        <f>VLOOKUP(E1759,town351,24)</f>
        <v>18717306</v>
      </c>
      <c r="N1759" s="79">
        <f>SUM(N1755:N1758)</f>
        <v>18717306</v>
      </c>
      <c r="O1759" s="79">
        <v>17726400</v>
      </c>
      <c r="P1759" s="79">
        <f>SUM(P1755:P1758)</f>
        <v>990906</v>
      </c>
      <c r="Q1759" s="39">
        <f t="shared" si="279"/>
        <v>5.5900013539128084</v>
      </c>
      <c r="R1759" s="9">
        <v>1754.39451476314</v>
      </c>
      <c r="S1759" s="9">
        <f t="shared" si="277"/>
        <v>1787.37990822034</v>
      </c>
      <c r="T1759" s="90">
        <f t="shared" si="272"/>
        <v>350</v>
      </c>
      <c r="U1759" s="90">
        <f t="shared" si="273"/>
        <v>999</v>
      </c>
      <c r="V1759" s="373">
        <f t="shared" si="274"/>
        <v>1750</v>
      </c>
      <c r="W1759" s="90">
        <f t="shared" si="275"/>
        <v>1787.37990822034</v>
      </c>
      <c r="X1759" s="90">
        <f t="shared" si="276"/>
        <v>23819770.352743778</v>
      </c>
      <c r="Y1759" s="141">
        <f t="shared" si="278"/>
        <v>1750</v>
      </c>
      <c r="Z1759" s="298">
        <v>350</v>
      </c>
      <c r="AA1759" s="299">
        <v>999</v>
      </c>
      <c r="AB1759" s="299">
        <v>1750</v>
      </c>
      <c r="AC1759" s="301">
        <v>1787.37990822034</v>
      </c>
      <c r="AD1759" s="301">
        <v>23819770.352743778</v>
      </c>
      <c r="AE1759" s="126"/>
      <c r="AF1759" s="298"/>
      <c r="AG1759" s="299"/>
      <c r="AH1759" s="299"/>
      <c r="AI1759" s="301"/>
      <c r="AJ1759" s="301"/>
      <c r="AK1759" s="426"/>
      <c r="AL1759" s="298"/>
      <c r="AM1759" s="299"/>
      <c r="AN1759" s="299"/>
      <c r="AO1759" s="301"/>
      <c r="AP1759" s="301"/>
      <c r="AQ1759" s="426"/>
      <c r="AR1759" s="298"/>
      <c r="AS1759" s="299"/>
      <c r="AT1759" s="299"/>
      <c r="AU1759" s="301"/>
      <c r="AV1759" s="301"/>
      <c r="AW1759" s="91"/>
      <c r="AX1759" s="298"/>
      <c r="AY1759" s="299"/>
      <c r="AZ1759" s="299"/>
      <c r="BA1759" s="301"/>
      <c r="BB1759" s="301"/>
      <c r="BC1759" s="426"/>
      <c r="BD1759" s="298"/>
      <c r="BE1759" s="299"/>
      <c r="BF1759" s="299"/>
      <c r="BG1759" s="301"/>
      <c r="BH1759" s="301"/>
      <c r="BI1759" s="91"/>
      <c r="BJ1759" s="298"/>
      <c r="BK1759" s="299"/>
      <c r="BL1759" s="299"/>
      <c r="BM1759" s="301"/>
      <c r="BN1759" s="301"/>
      <c r="BO1759" s="91"/>
      <c r="BP1759" s="9"/>
      <c r="BS1759" s="81"/>
      <c r="BT1759" s="81"/>
      <c r="BV1759" s="9"/>
      <c r="BY1759" s="81"/>
      <c r="BZ1759" s="81"/>
      <c r="CB1759" s="9"/>
      <c r="CE1759" s="81"/>
      <c r="CF1759" s="81"/>
      <c r="CH1759" s="9"/>
      <c r="CK1759" s="81"/>
      <c r="CL1759" s="81"/>
      <c r="CR1759" s="9"/>
      <c r="CS1759" s="9"/>
      <c r="CT1759" s="9"/>
      <c r="CU1759" s="9"/>
      <c r="CV1759" s="9"/>
      <c r="CW1759" s="129"/>
      <c r="CX1759" s="9"/>
    </row>
    <row r="1760" spans="1:102">
      <c r="A1760" s="6" t="str">
        <f t="shared" si="271"/>
        <v>03510351</v>
      </c>
      <c r="B1760" s="6" t="s">
        <v>2001</v>
      </c>
      <c r="C1760" s="6" t="s">
        <v>2001</v>
      </c>
      <c r="D1760" s="6">
        <v>1751</v>
      </c>
      <c r="E1760" s="6">
        <v>351</v>
      </c>
      <c r="F1760" s="6" t="s">
        <v>1468</v>
      </c>
      <c r="G1760" s="6">
        <v>351</v>
      </c>
      <c r="H1760" s="6" t="s">
        <v>1032</v>
      </c>
      <c r="I1760" s="33">
        <v>0</v>
      </c>
      <c r="J1760" s="88">
        <v>0</v>
      </c>
      <c r="K1760" s="89">
        <f>X1760</f>
        <v>0</v>
      </c>
      <c r="L1760" s="88">
        <f>IF(K1764&gt;0, K1760/K1764, 0)</f>
        <v>0</v>
      </c>
      <c r="M1760" s="58"/>
      <c r="N1760" s="9">
        <f>ROUND(M1764*L1760,0)</f>
        <v>0</v>
      </c>
      <c r="O1760" s="9">
        <v>0</v>
      </c>
      <c r="P1760" s="9">
        <f>N1760-O1760</f>
        <v>0</v>
      </c>
      <c r="Q1760" s="40">
        <f t="shared" si="279"/>
        <v>0</v>
      </c>
      <c r="R1760" s="9">
        <v>0</v>
      </c>
      <c r="S1760" s="9">
        <f t="shared" si="277"/>
        <v>0</v>
      </c>
      <c r="T1760" s="90">
        <f t="shared" si="272"/>
        <v>351</v>
      </c>
      <c r="U1760" s="90">
        <f t="shared" si="273"/>
        <v>351</v>
      </c>
      <c r="V1760" s="373">
        <f t="shared" si="274"/>
        <v>1751</v>
      </c>
      <c r="W1760" s="90">
        <f t="shared" si="275"/>
        <v>0</v>
      </c>
      <c r="X1760" s="90">
        <f t="shared" si="276"/>
        <v>0</v>
      </c>
      <c r="Y1760" s="141">
        <f t="shared" si="278"/>
        <v>1751</v>
      </c>
      <c r="Z1760" s="298">
        <v>351</v>
      </c>
      <c r="AA1760" s="299">
        <v>351</v>
      </c>
      <c r="AB1760" s="299">
        <v>1751</v>
      </c>
      <c r="AC1760" s="301">
        <v>0</v>
      </c>
      <c r="AD1760" s="301">
        <v>0</v>
      </c>
      <c r="AE1760" s="126"/>
      <c r="AF1760" s="298"/>
      <c r="AG1760" s="299"/>
      <c r="AH1760" s="299"/>
      <c r="AI1760" s="301"/>
      <c r="AJ1760" s="301"/>
      <c r="AK1760" s="426"/>
      <c r="AL1760" s="298"/>
      <c r="AM1760" s="299"/>
      <c r="AN1760" s="299"/>
      <c r="AO1760" s="301"/>
      <c r="AP1760" s="301"/>
      <c r="AQ1760" s="426"/>
      <c r="AR1760" s="298"/>
      <c r="AS1760" s="299"/>
      <c r="AT1760" s="299"/>
      <c r="AU1760" s="301"/>
      <c r="AV1760" s="301"/>
      <c r="AW1760" s="88"/>
      <c r="AX1760" s="298"/>
      <c r="AY1760" s="299"/>
      <c r="AZ1760" s="299"/>
      <c r="BA1760" s="301"/>
      <c r="BB1760" s="301"/>
      <c r="BC1760" s="426"/>
      <c r="BD1760" s="298"/>
      <c r="BE1760" s="299"/>
      <c r="BF1760" s="299"/>
      <c r="BG1760" s="301"/>
      <c r="BH1760" s="301"/>
      <c r="BI1760" s="88"/>
      <c r="BJ1760" s="298"/>
      <c r="BK1760" s="299"/>
      <c r="BL1760" s="299"/>
      <c r="BM1760" s="301"/>
      <c r="BN1760" s="301"/>
      <c r="BO1760" s="88"/>
      <c r="BP1760" s="9"/>
      <c r="BS1760" s="81"/>
      <c r="BT1760" s="81"/>
      <c r="BV1760" s="9"/>
      <c r="BY1760" s="81"/>
      <c r="BZ1760" s="81"/>
      <c r="CB1760" s="9"/>
      <c r="CE1760" s="81"/>
      <c r="CF1760" s="81"/>
      <c r="CH1760" s="9"/>
      <c r="CK1760" s="81"/>
      <c r="CL1760" s="81"/>
      <c r="CR1760" s="9"/>
      <c r="CS1760" s="9"/>
      <c r="CT1760" s="9"/>
      <c r="CU1760" s="9"/>
      <c r="CV1760" s="9"/>
      <c r="CW1760" s="129"/>
      <c r="CX1760" s="9"/>
    </row>
    <row r="1761" spans="1:102">
      <c r="A1761" s="6" t="str">
        <f t="shared" si="271"/>
        <v>03510645</v>
      </c>
      <c r="B1761" s="6" t="s">
        <v>2001</v>
      </c>
      <c r="C1761" s="6" t="s">
        <v>2017</v>
      </c>
      <c r="D1761" s="6">
        <v>1752</v>
      </c>
      <c r="E1761" s="6">
        <v>351</v>
      </c>
      <c r="F1761" s="6" t="s">
        <v>1468</v>
      </c>
      <c r="G1761" s="6">
        <v>645</v>
      </c>
      <c r="H1761" s="6" t="s">
        <v>1047</v>
      </c>
      <c r="I1761" s="33">
        <v>34541914.124059066</v>
      </c>
      <c r="J1761" s="88">
        <v>0.91361967239854569</v>
      </c>
      <c r="K1761" s="89">
        <f t="shared" si="270"/>
        <v>37148463.639183111</v>
      </c>
      <c r="L1761" s="88">
        <f>IF(K1764&gt;0, K1761/K1764, 0)</f>
        <v>0.92099811310139201</v>
      </c>
      <c r="M1761" s="58"/>
      <c r="N1761" s="9">
        <f>ROUND(M1764*L1761,0)</f>
        <v>27380017</v>
      </c>
      <c r="O1761" s="9">
        <v>25546149</v>
      </c>
      <c r="P1761" s="9">
        <f>N1761-O1761</f>
        <v>1833868</v>
      </c>
      <c r="Q1761" s="40">
        <f t="shared" si="279"/>
        <v>7.1786475527094122</v>
      </c>
      <c r="R1761" s="9">
        <v>2223.2355843268301</v>
      </c>
      <c r="S1761" s="9">
        <f t="shared" si="277"/>
        <v>2278.0569524268299</v>
      </c>
      <c r="T1761" s="90">
        <f t="shared" si="272"/>
        <v>351</v>
      </c>
      <c r="U1761" s="90">
        <f t="shared" si="273"/>
        <v>645</v>
      </c>
      <c r="V1761" s="373">
        <f t="shared" si="274"/>
        <v>1752</v>
      </c>
      <c r="W1761" s="90">
        <f t="shared" si="275"/>
        <v>2278.0569524268299</v>
      </c>
      <c r="X1761" s="90">
        <f t="shared" si="276"/>
        <v>37148463.639183111</v>
      </c>
      <c r="Y1761" s="141">
        <f t="shared" si="278"/>
        <v>1752</v>
      </c>
      <c r="Z1761" s="298">
        <v>351</v>
      </c>
      <c r="AA1761" s="299">
        <v>645</v>
      </c>
      <c r="AB1761" s="299">
        <v>1752</v>
      </c>
      <c r="AC1761" s="301">
        <v>2278.0569524268299</v>
      </c>
      <c r="AD1761" s="301">
        <v>37148463.639183111</v>
      </c>
      <c r="AE1761" s="126"/>
      <c r="AF1761" s="298"/>
      <c r="AG1761" s="299"/>
      <c r="AH1761" s="299"/>
      <c r="AI1761" s="301"/>
      <c r="AJ1761" s="301"/>
      <c r="AK1761" s="426"/>
      <c r="AL1761" s="298"/>
      <c r="AM1761" s="299"/>
      <c r="AN1761" s="299"/>
      <c r="AO1761" s="301"/>
      <c r="AP1761" s="301"/>
      <c r="AQ1761" s="426"/>
      <c r="AR1761" s="298"/>
      <c r="AS1761" s="299"/>
      <c r="AT1761" s="299"/>
      <c r="AU1761" s="301"/>
      <c r="AV1761" s="301"/>
      <c r="AW1761" s="88"/>
      <c r="AX1761" s="298"/>
      <c r="AY1761" s="299"/>
      <c r="AZ1761" s="299"/>
      <c r="BA1761" s="301"/>
      <c r="BB1761" s="301"/>
      <c r="BC1761" s="426"/>
      <c r="BD1761" s="298"/>
      <c r="BE1761" s="299"/>
      <c r="BF1761" s="299"/>
      <c r="BG1761" s="301"/>
      <c r="BH1761" s="301"/>
      <c r="BI1761" s="88"/>
      <c r="BJ1761" s="298"/>
      <c r="BK1761" s="299"/>
      <c r="BL1761" s="299"/>
      <c r="BM1761" s="301"/>
      <c r="BN1761" s="301"/>
      <c r="BO1761" s="88"/>
      <c r="BP1761" s="9"/>
      <c r="BS1761" s="81"/>
      <c r="BT1761" s="81"/>
      <c r="BV1761" s="9"/>
      <c r="BY1761" s="81"/>
      <c r="BZ1761" s="81"/>
      <c r="CB1761" s="9"/>
      <c r="CE1761" s="81"/>
      <c r="CF1761" s="81"/>
      <c r="CH1761" s="9"/>
      <c r="CK1761" s="81"/>
      <c r="CL1761" s="81"/>
      <c r="CR1761" s="9"/>
      <c r="CS1761" s="9"/>
      <c r="CT1761" s="9"/>
      <c r="CU1761" s="9"/>
      <c r="CV1761" s="9"/>
      <c r="CW1761" s="129"/>
      <c r="CX1761" s="9"/>
    </row>
    <row r="1762" spans="1:102">
      <c r="A1762" s="6" t="str">
        <f t="shared" si="271"/>
        <v>03510815</v>
      </c>
      <c r="B1762" s="6" t="s">
        <v>2001</v>
      </c>
      <c r="C1762" s="6" t="s">
        <v>2066</v>
      </c>
      <c r="D1762" s="6">
        <v>1753</v>
      </c>
      <c r="E1762" s="6">
        <v>351</v>
      </c>
      <c r="F1762" s="6" t="s">
        <v>1468</v>
      </c>
      <c r="G1762" s="6">
        <v>815</v>
      </c>
      <c r="H1762" s="6" t="s">
        <v>1096</v>
      </c>
      <c r="I1762" s="33">
        <v>3265846.7720865104</v>
      </c>
      <c r="J1762" s="88">
        <v>8.6380327601454365E-2</v>
      </c>
      <c r="K1762" s="89">
        <f t="shared" si="270"/>
        <v>3186541.5152666047</v>
      </c>
      <c r="L1762" s="88">
        <f>IF(K1764&gt;0, K1762/K1764, 0)</f>
        <v>7.9001886898607945E-2</v>
      </c>
      <c r="M1762" s="58"/>
      <c r="N1762" s="9">
        <f>ROUND(M1764*L1762,0)</f>
        <v>2348618</v>
      </c>
      <c r="O1762" s="9">
        <v>2415321</v>
      </c>
      <c r="P1762" s="9">
        <f>N1762-O1762</f>
        <v>-66703</v>
      </c>
      <c r="Q1762" s="40">
        <f t="shared" si="279"/>
        <v>-2.7616619074648878</v>
      </c>
      <c r="R1762" s="9">
        <v>150.44977511118</v>
      </c>
      <c r="S1762" s="9">
        <f t="shared" si="277"/>
        <v>146.21921921974001</v>
      </c>
      <c r="T1762" s="90">
        <f t="shared" si="272"/>
        <v>351</v>
      </c>
      <c r="U1762" s="90">
        <f t="shared" si="273"/>
        <v>815</v>
      </c>
      <c r="V1762" s="373">
        <f t="shared" si="274"/>
        <v>1753</v>
      </c>
      <c r="W1762" s="90">
        <f t="shared" si="275"/>
        <v>146.21921921974001</v>
      </c>
      <c r="X1762" s="90">
        <f t="shared" si="276"/>
        <v>3186541.5152666047</v>
      </c>
      <c r="Y1762" s="141">
        <f t="shared" si="278"/>
        <v>1753</v>
      </c>
      <c r="Z1762" s="298">
        <v>351</v>
      </c>
      <c r="AA1762" s="299">
        <v>815</v>
      </c>
      <c r="AB1762" s="299">
        <v>1753</v>
      </c>
      <c r="AC1762" s="301">
        <v>146.21921921974001</v>
      </c>
      <c r="AD1762" s="301">
        <v>3186541.5152666047</v>
      </c>
      <c r="AE1762" s="126"/>
      <c r="AF1762" s="298"/>
      <c r="AG1762" s="299"/>
      <c r="AH1762" s="299"/>
      <c r="AI1762" s="301"/>
      <c r="AJ1762" s="301"/>
      <c r="AK1762" s="426"/>
      <c r="AL1762" s="298"/>
      <c r="AM1762" s="299"/>
      <c r="AN1762" s="299"/>
      <c r="AO1762" s="301"/>
      <c r="AP1762" s="301"/>
      <c r="AQ1762" s="426"/>
      <c r="AR1762" s="298"/>
      <c r="AS1762" s="299"/>
      <c r="AT1762" s="299"/>
      <c r="AU1762" s="301"/>
      <c r="AV1762" s="301"/>
      <c r="AW1762" s="88"/>
      <c r="AX1762" s="298"/>
      <c r="AY1762" s="299"/>
      <c r="AZ1762" s="299"/>
      <c r="BA1762" s="301"/>
      <c r="BB1762" s="301"/>
      <c r="BC1762" s="426"/>
      <c r="BD1762" s="298"/>
      <c r="BE1762" s="299"/>
      <c r="BF1762" s="299"/>
      <c r="BG1762" s="301"/>
      <c r="BH1762" s="301"/>
      <c r="BI1762" s="88"/>
      <c r="BJ1762" s="298"/>
      <c r="BK1762" s="299"/>
      <c r="BL1762" s="299"/>
      <c r="BM1762" s="301"/>
      <c r="BN1762" s="301"/>
      <c r="BO1762" s="88"/>
      <c r="BP1762" s="9"/>
      <c r="BS1762" s="81"/>
      <c r="BT1762" s="81"/>
      <c r="BV1762" s="9"/>
      <c r="BY1762" s="81"/>
      <c r="BZ1762" s="81"/>
      <c r="CB1762" s="9"/>
      <c r="CE1762" s="81"/>
      <c r="CF1762" s="81"/>
      <c r="CH1762" s="9"/>
      <c r="CK1762" s="81"/>
      <c r="CL1762" s="81"/>
      <c r="CR1762" s="9"/>
      <c r="CS1762" s="9"/>
      <c r="CT1762" s="9"/>
      <c r="CU1762" s="9"/>
      <c r="CV1762" s="9"/>
      <c r="CW1762" s="129"/>
      <c r="CX1762" s="9"/>
    </row>
    <row r="1763" spans="1:102">
      <c r="A1763" s="6" t="str">
        <f t="shared" si="271"/>
        <v>03510998</v>
      </c>
      <c r="B1763" s="6" t="s">
        <v>2001</v>
      </c>
      <c r="C1763" s="6" t="s">
        <v>2091</v>
      </c>
      <c r="D1763" s="6">
        <v>1754</v>
      </c>
      <c r="E1763" s="6">
        <v>351</v>
      </c>
      <c r="F1763" s="6" t="s">
        <v>1547</v>
      </c>
      <c r="G1763" s="6">
        <v>998</v>
      </c>
      <c r="H1763" s="6" t="s">
        <v>1547</v>
      </c>
      <c r="I1763" s="33">
        <v>0</v>
      </c>
      <c r="J1763" s="88">
        <v>0</v>
      </c>
      <c r="K1763" s="89">
        <f t="shared" si="270"/>
        <v>0</v>
      </c>
      <c r="L1763" s="88">
        <f>IF(K1764&gt;0, K1763/K1764, 0)</f>
        <v>0</v>
      </c>
      <c r="M1763" s="58"/>
      <c r="N1763" s="9">
        <f>ROUND(M1764*L1763,0)</f>
        <v>0</v>
      </c>
      <c r="O1763" s="9">
        <v>0</v>
      </c>
      <c r="P1763" s="9">
        <f>N1763-O1763</f>
        <v>0</v>
      </c>
      <c r="Q1763" s="40">
        <f t="shared" si="279"/>
        <v>0</v>
      </c>
      <c r="R1763" s="9">
        <v>0</v>
      </c>
      <c r="S1763" s="9">
        <f t="shared" si="277"/>
        <v>0</v>
      </c>
      <c r="T1763" s="90">
        <f t="shared" si="272"/>
        <v>351</v>
      </c>
      <c r="U1763" s="90">
        <f t="shared" si="273"/>
        <v>998</v>
      </c>
      <c r="V1763" s="373">
        <f t="shared" si="274"/>
        <v>1754</v>
      </c>
      <c r="W1763" s="90">
        <f t="shared" si="275"/>
        <v>0</v>
      </c>
      <c r="X1763" s="90">
        <f t="shared" si="276"/>
        <v>0</v>
      </c>
      <c r="Y1763" s="141">
        <f t="shared" si="278"/>
        <v>1754</v>
      </c>
      <c r="Z1763" s="298">
        <v>351</v>
      </c>
      <c r="AA1763" s="299">
        <v>998</v>
      </c>
      <c r="AB1763" s="299">
        <v>1754</v>
      </c>
      <c r="AC1763" s="301">
        <v>0</v>
      </c>
      <c r="AD1763" s="301">
        <v>0</v>
      </c>
      <c r="AE1763" s="126"/>
      <c r="AF1763" s="298"/>
      <c r="AG1763" s="299"/>
      <c r="AH1763" s="299"/>
      <c r="AI1763" s="301"/>
      <c r="AJ1763" s="301"/>
      <c r="AK1763" s="426"/>
      <c r="AL1763" s="298"/>
      <c r="AM1763" s="299"/>
      <c r="AN1763" s="299"/>
      <c r="AO1763" s="301"/>
      <c r="AP1763" s="301"/>
      <c r="AQ1763" s="426"/>
      <c r="AR1763" s="298"/>
      <c r="AS1763" s="299"/>
      <c r="AT1763" s="299"/>
      <c r="AU1763" s="301"/>
      <c r="AV1763" s="301"/>
      <c r="AW1763" s="88"/>
      <c r="AX1763" s="298"/>
      <c r="AY1763" s="299"/>
      <c r="AZ1763" s="299"/>
      <c r="BA1763" s="301"/>
      <c r="BB1763" s="301"/>
      <c r="BC1763" s="426"/>
      <c r="BD1763" s="298"/>
      <c r="BE1763" s="299"/>
      <c r="BF1763" s="299"/>
      <c r="BG1763" s="301"/>
      <c r="BH1763" s="301"/>
      <c r="BI1763" s="88"/>
      <c r="BJ1763" s="298"/>
      <c r="BK1763" s="299"/>
      <c r="BL1763" s="299"/>
      <c r="BM1763" s="301"/>
      <c r="BN1763" s="301"/>
      <c r="BO1763" s="88"/>
      <c r="BP1763" s="9"/>
      <c r="BS1763" s="81"/>
      <c r="BT1763" s="81"/>
      <c r="BV1763" s="9"/>
      <c r="BY1763" s="81"/>
      <c r="BZ1763" s="81"/>
      <c r="CB1763" s="9"/>
      <c r="CE1763" s="81"/>
      <c r="CF1763" s="81"/>
      <c r="CH1763" s="9"/>
      <c r="CK1763" s="81"/>
      <c r="CL1763" s="81"/>
      <c r="CR1763" s="9"/>
      <c r="CS1763" s="9"/>
      <c r="CT1763" s="9"/>
      <c r="CU1763" s="9"/>
      <c r="CV1763" s="9"/>
      <c r="CW1763" s="129"/>
      <c r="CX1763" s="9"/>
    </row>
    <row r="1764" spans="1:102">
      <c r="A1764" s="6" t="str">
        <f t="shared" si="271"/>
        <v>03510999</v>
      </c>
      <c r="B1764" s="6" t="s">
        <v>2001</v>
      </c>
      <c r="C1764" s="6" t="s">
        <v>2092</v>
      </c>
      <c r="D1764" s="6">
        <v>1755</v>
      </c>
      <c r="E1764" s="10">
        <v>351</v>
      </c>
      <c r="F1764" s="10" t="s">
        <v>1468</v>
      </c>
      <c r="G1764" s="10">
        <v>999</v>
      </c>
      <c r="H1764" s="10" t="s">
        <v>593</v>
      </c>
      <c r="I1764" s="92">
        <v>37807760.896145575</v>
      </c>
      <c r="J1764" s="472">
        <v>1</v>
      </c>
      <c r="K1764" s="53">
        <f>SUM(K1760:K1763)</f>
        <v>40335005.154449716</v>
      </c>
      <c r="L1764" s="91">
        <f>SUM(L1760:L1763)</f>
        <v>1</v>
      </c>
      <c r="M1764" s="79">
        <f>VLOOKUP(E1764,town351,24)</f>
        <v>29728635</v>
      </c>
      <c r="N1764" s="79">
        <f>SUM(N1760:N1763)</f>
        <v>29728635</v>
      </c>
      <c r="O1764" s="79">
        <v>27961470</v>
      </c>
      <c r="P1764" s="79">
        <f>SUM(P1760:P1763)</f>
        <v>1767165</v>
      </c>
      <c r="Q1764" s="39">
        <f t="shared" si="279"/>
        <v>6.320000343329589</v>
      </c>
      <c r="R1764" s="9">
        <v>2373.68535943801</v>
      </c>
      <c r="S1764" s="9">
        <f t="shared" si="277"/>
        <v>2424.2761716465698</v>
      </c>
      <c r="T1764" s="90">
        <f t="shared" si="272"/>
        <v>351</v>
      </c>
      <c r="U1764" s="90">
        <f t="shared" si="273"/>
        <v>999</v>
      </c>
      <c r="V1764" s="373">
        <f t="shared" si="274"/>
        <v>1755</v>
      </c>
      <c r="W1764" s="90">
        <f t="shared" si="275"/>
        <v>2424.2761716465698</v>
      </c>
      <c r="X1764" s="90">
        <f t="shared" si="276"/>
        <v>40335005.154449716</v>
      </c>
      <c r="Y1764" s="141">
        <f t="shared" si="278"/>
        <v>1755</v>
      </c>
      <c r="Z1764" s="298">
        <v>351</v>
      </c>
      <c r="AA1764" s="299">
        <v>999</v>
      </c>
      <c r="AB1764" s="299">
        <v>1755</v>
      </c>
      <c r="AC1764" s="301">
        <v>2424.2761716465698</v>
      </c>
      <c r="AD1764" s="301">
        <v>40335005.154449716</v>
      </c>
      <c r="AE1764" s="126"/>
      <c r="AF1764" s="298"/>
      <c r="AG1764" s="299"/>
      <c r="AH1764" s="299"/>
      <c r="AI1764" s="301"/>
      <c r="AJ1764" s="301"/>
      <c r="AK1764" s="426"/>
      <c r="AL1764" s="298"/>
      <c r="AM1764" s="299"/>
      <c r="AN1764" s="299"/>
      <c r="AO1764" s="301"/>
      <c r="AP1764" s="301"/>
      <c r="AQ1764" s="426"/>
      <c r="AR1764" s="298"/>
      <c r="AS1764" s="299"/>
      <c r="AT1764" s="299"/>
      <c r="AU1764" s="301"/>
      <c r="AV1764" s="301"/>
      <c r="AW1764" s="91"/>
      <c r="AX1764" s="298"/>
      <c r="AY1764" s="299"/>
      <c r="AZ1764" s="299"/>
      <c r="BA1764" s="301"/>
      <c r="BB1764" s="301"/>
      <c r="BC1764" s="426"/>
      <c r="BD1764" s="298"/>
      <c r="BE1764" s="299"/>
      <c r="BF1764" s="299"/>
      <c r="BG1764" s="301"/>
      <c r="BH1764" s="301"/>
      <c r="BI1764" s="91"/>
      <c r="BJ1764" s="298"/>
      <c r="BK1764" s="299"/>
      <c r="BL1764" s="299"/>
      <c r="BM1764" s="301"/>
      <c r="BN1764" s="301"/>
      <c r="BO1764" s="91"/>
      <c r="BP1764" s="9"/>
      <c r="BS1764" s="81"/>
      <c r="BT1764" s="81"/>
      <c r="BV1764" s="9"/>
      <c r="BY1764" s="81"/>
      <c r="BZ1764" s="81"/>
      <c r="CB1764" s="9"/>
      <c r="CE1764" s="81"/>
      <c r="CF1764" s="81"/>
      <c r="CH1764" s="9"/>
      <c r="CK1764" s="81"/>
      <c r="CL1764" s="81"/>
      <c r="CR1764" s="9"/>
      <c r="CS1764" s="9"/>
      <c r="CT1764" s="9"/>
      <c r="CU1764" s="9"/>
      <c r="CV1764" s="9"/>
      <c r="CW1764" s="129"/>
      <c r="CX1764" s="9"/>
    </row>
    <row r="1765" spans="1:102">
      <c r="D1765" s="6">
        <v>1756</v>
      </c>
      <c r="E1765" s="13">
        <v>999</v>
      </c>
      <c r="F1765" s="13" t="s">
        <v>391</v>
      </c>
      <c r="G1765" s="13">
        <v>999</v>
      </c>
      <c r="H1765" s="13" t="s">
        <v>591</v>
      </c>
      <c r="I1765" s="92">
        <v>13963389872.29413</v>
      </c>
      <c r="J1765" s="93"/>
      <c r="K1765" s="93">
        <f>SUM(K10:K1764)/2</f>
        <v>14535103399.717712</v>
      </c>
      <c r="L1765" s="93"/>
      <c r="M1765" s="93">
        <f>SUM(M10:M1764)</f>
        <v>7972055326</v>
      </c>
      <c r="N1765" s="93">
        <f>SUM(N10:N1764)/2</f>
        <v>7972055321</v>
      </c>
      <c r="O1765" s="79">
        <v>7566302116</v>
      </c>
      <c r="P1765" s="93">
        <f>SUM(P10:P1764)/2</f>
        <v>405962051.5</v>
      </c>
      <c r="Q1765" s="39">
        <f t="shared" si="279"/>
        <v>5.3653957412239288</v>
      </c>
      <c r="R1765" s="79">
        <v>905105.99999993341</v>
      </c>
      <c r="S1765" s="79">
        <f>SUM(S10:S1764)/2</f>
        <v>905572.00000007835</v>
      </c>
      <c r="T1765" s="93"/>
      <c r="U1765" s="93"/>
      <c r="V1765" s="93"/>
      <c r="W1765" s="93">
        <f t="shared" ref="W1765:X1765" si="280">SUM(W10:W1764)/2</f>
        <v>905572.00000007835</v>
      </c>
      <c r="X1765" s="93">
        <f t="shared" si="280"/>
        <v>14535103399.717712</v>
      </c>
      <c r="Y1765" s="93"/>
      <c r="Z1765" s="337"/>
      <c r="AA1765" s="337"/>
      <c r="AB1765" s="337"/>
      <c r="AC1765" s="93">
        <f t="shared" ref="AC1765:AD1765" si="281">SUM(AC10:AC1764)/2</f>
        <v>905572.00000007835</v>
      </c>
      <c r="AD1765" s="93">
        <f t="shared" si="281"/>
        <v>14535103399.717712</v>
      </c>
      <c r="AE1765" s="126"/>
      <c r="AF1765" s="93"/>
      <c r="AG1765" s="93"/>
      <c r="AH1765" s="93"/>
      <c r="AI1765" s="93"/>
      <c r="AJ1765" s="93"/>
      <c r="AK1765" s="426"/>
      <c r="AL1765" s="9"/>
      <c r="AO1765" s="93"/>
      <c r="AP1765" s="93"/>
      <c r="AQ1765" s="426"/>
      <c r="AU1765" s="93"/>
      <c r="AV1765" s="93"/>
      <c r="AW1765" s="93"/>
      <c r="AX1765" s="93"/>
      <c r="AY1765" s="93"/>
      <c r="AZ1765" s="93"/>
      <c r="BA1765" s="93"/>
      <c r="BB1765" s="93"/>
      <c r="BC1765" s="426"/>
      <c r="BD1765" s="93"/>
      <c r="BE1765" s="93"/>
      <c r="BF1765" s="93"/>
      <c r="BG1765" s="93">
        <f t="shared" ref="BG1765:BH1765" si="282">SUM(BG10:BG1764)/2</f>
        <v>0</v>
      </c>
      <c r="BH1765" s="93">
        <f t="shared" si="282"/>
        <v>0</v>
      </c>
      <c r="BI1765" s="93"/>
      <c r="BJ1765" s="93"/>
      <c r="BK1765" s="93"/>
      <c r="BL1765" s="93"/>
      <c r="BM1765" s="93"/>
      <c r="BN1765" s="93"/>
      <c r="BO1765" s="93"/>
      <c r="BP1765" s="93"/>
      <c r="BQ1765" s="93"/>
      <c r="BR1765" s="93"/>
      <c r="BS1765" s="93"/>
      <c r="BT1765" s="93"/>
      <c r="BY1765" s="93"/>
      <c r="BZ1765" s="93"/>
      <c r="CE1765" s="93"/>
      <c r="CF1765" s="93"/>
      <c r="CL1765" s="93">
        <f>SUM(CL10:CL1764)/2</f>
        <v>0</v>
      </c>
      <c r="CR1765" s="9"/>
      <c r="CS1765" s="9"/>
      <c r="CT1765" s="9"/>
      <c r="CU1765" s="9"/>
      <c r="CV1765" s="9"/>
      <c r="CW1765" s="9"/>
      <c r="CX1765" s="9"/>
    </row>
    <row r="1766" spans="1:102">
      <c r="E1766" s="13"/>
      <c r="F1766" s="13"/>
      <c r="G1766" s="13"/>
      <c r="H1766" s="13"/>
      <c r="I1766" s="33"/>
      <c r="J1766" s="93"/>
      <c r="K1766" s="93"/>
      <c r="L1766" s="93"/>
      <c r="M1766" s="93"/>
      <c r="N1766" s="93"/>
      <c r="O1766" s="9"/>
      <c r="P1766" s="93"/>
      <c r="Q1766" s="39"/>
      <c r="R1766" s="93"/>
      <c r="S1766" s="93"/>
      <c r="T1766" s="93"/>
      <c r="U1766" s="93"/>
      <c r="V1766" s="93"/>
      <c r="W1766" s="93"/>
      <c r="X1766" s="93"/>
      <c r="Z1766" s="337"/>
      <c r="AA1766" s="337"/>
      <c r="AB1766" s="337"/>
      <c r="AC1766" s="337"/>
      <c r="AD1766" s="337"/>
      <c r="AE1766" s="126"/>
      <c r="AI1766" s="9"/>
      <c r="AJ1766" s="9"/>
      <c r="AK1766" s="426"/>
      <c r="AP1766" s="9"/>
      <c r="AQ1766" s="426"/>
      <c r="AV1766" s="9"/>
      <c r="BB1766" s="9"/>
      <c r="BC1766" s="426"/>
      <c r="BH1766" s="9"/>
      <c r="BN1766" s="9"/>
      <c r="CF1766" s="9"/>
    </row>
    <row r="1767" spans="1:102">
      <c r="W1767" s="79"/>
      <c r="X1767" s="94"/>
      <c r="AI1767" s="9"/>
      <c r="AJ1767" s="9"/>
    </row>
    <row r="1780" spans="12:19">
      <c r="L1780" s="9"/>
      <c r="M1780" s="9"/>
      <c r="N1780" s="9"/>
      <c r="O1780" s="9"/>
      <c r="P1780" s="9"/>
      <c r="Q1780" s="9"/>
      <c r="R1780" s="9"/>
      <c r="S1780" s="9"/>
    </row>
    <row r="1781" spans="12:19">
      <c r="L1781" s="9"/>
      <c r="M1781" s="9"/>
      <c r="N1781" s="9"/>
      <c r="O1781" s="9"/>
      <c r="P1781" s="9"/>
      <c r="Q1781" s="9"/>
      <c r="R1781" s="9"/>
      <c r="S1781" s="9"/>
    </row>
    <row r="1782" spans="12:19">
      <c r="L1782" s="9"/>
      <c r="M1782" s="9"/>
      <c r="N1782" s="9"/>
      <c r="O1782" s="9"/>
      <c r="P1782" s="9"/>
      <c r="Q1782" s="9"/>
      <c r="R1782" s="9"/>
      <c r="S1782" s="9"/>
    </row>
    <row r="1783" spans="12:19">
      <c r="L1783" s="9"/>
      <c r="M1783" s="9"/>
      <c r="N1783" s="9"/>
      <c r="O1783" s="9"/>
      <c r="P1783" s="9"/>
      <c r="Q1783" s="9"/>
      <c r="R1783" s="9"/>
      <c r="S1783" s="9"/>
    </row>
    <row r="1784" spans="12:19">
      <c r="L1784" s="9"/>
      <c r="M1784" s="9"/>
      <c r="N1784" s="9"/>
      <c r="O1784" s="9"/>
      <c r="P1784" s="9"/>
      <c r="Q1784" s="9"/>
      <c r="R1784" s="9"/>
      <c r="S1784" s="9"/>
    </row>
  </sheetData>
  <autoFilter ref="D9:CO1766" xr:uid="{00000000-0009-0000-0000-000002000000}"/>
  <mergeCells count="25">
    <mergeCell ref="CR6:CV6"/>
    <mergeCell ref="CR5:CV5"/>
    <mergeCell ref="BJ5:BN5"/>
    <mergeCell ref="BJ6:BN6"/>
    <mergeCell ref="BP5:BT5"/>
    <mergeCell ref="BP6:BT6"/>
    <mergeCell ref="CH5:CL5"/>
    <mergeCell ref="CH6:CL6"/>
    <mergeCell ref="BV5:BZ5"/>
    <mergeCell ref="BV6:BZ6"/>
    <mergeCell ref="CB5:CF5"/>
    <mergeCell ref="CB6:CF6"/>
    <mergeCell ref="BD5:BH5"/>
    <mergeCell ref="BD6:BH6"/>
    <mergeCell ref="T6:X6"/>
    <mergeCell ref="AR5:AV5"/>
    <mergeCell ref="AR6:AV6"/>
    <mergeCell ref="AX5:BB5"/>
    <mergeCell ref="AX6:BB6"/>
    <mergeCell ref="Z6:AD6"/>
    <mergeCell ref="AF5:AJ5"/>
    <mergeCell ref="AF6:AJ6"/>
    <mergeCell ref="AL5:AP5"/>
    <mergeCell ref="AL6:AP6"/>
    <mergeCell ref="Z5:AD5"/>
  </mergeCells>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58"/>
  <sheetViews>
    <sheetView showGridLines="0" zoomScaleNormal="100" workbookViewId="0"/>
  </sheetViews>
  <sheetFormatPr defaultColWidth="8.875" defaultRowHeight="12.75"/>
  <cols>
    <col min="1" max="1" width="18.5" style="6" customWidth="1"/>
    <col min="2" max="2" width="35.625" style="6" customWidth="1"/>
    <col min="3" max="3" width="6.125" style="6" customWidth="1"/>
    <col min="4" max="4" width="14.5" style="6" customWidth="1"/>
    <col min="5" max="16384" width="8.875" style="6"/>
  </cols>
  <sheetData>
    <row r="1" spans="1:9" ht="21">
      <c r="A1" s="538"/>
      <c r="B1" s="545" t="s">
        <v>2458</v>
      </c>
      <c r="C1" s="545"/>
      <c r="D1" s="545"/>
      <c r="E1" s="545"/>
      <c r="F1" s="545"/>
      <c r="G1" s="135" t="s">
        <v>84</v>
      </c>
    </row>
    <row r="2" spans="1:9" ht="29.45" customHeight="1">
      <c r="A2" s="538"/>
      <c r="B2" s="544" t="s">
        <v>2096</v>
      </c>
      <c r="C2" s="544"/>
      <c r="D2" s="544"/>
      <c r="E2" s="544"/>
      <c r="F2" s="544"/>
    </row>
    <row r="3" spans="1:9" ht="40.5" customHeight="1">
      <c r="A3" s="543" t="s">
        <v>2101</v>
      </c>
      <c r="B3" s="543"/>
      <c r="C3" s="543"/>
      <c r="D3" s="543"/>
      <c r="E3" s="543"/>
      <c r="F3" s="543"/>
    </row>
    <row r="4" spans="1:9" ht="18.75">
      <c r="A4" s="277" t="s">
        <v>1606</v>
      </c>
      <c r="B4" s="278"/>
      <c r="C4" s="278"/>
      <c r="D4" s="278"/>
      <c r="E4" s="635" t="s">
        <v>2097</v>
      </c>
      <c r="F4" s="635"/>
    </row>
    <row r="5" spans="1:9" ht="13.7" customHeight="1">
      <c r="A5" s="139" t="s">
        <v>2115</v>
      </c>
      <c r="B5" s="139"/>
      <c r="C5" s="139"/>
      <c r="D5" s="139"/>
      <c r="E5" s="139"/>
      <c r="F5" s="139"/>
    </row>
    <row r="6" spans="1:9" ht="18.75">
      <c r="A6" s="277" t="s">
        <v>75</v>
      </c>
      <c r="B6" s="278"/>
      <c r="C6" s="278"/>
      <c r="D6" s="278"/>
      <c r="E6" s="635" t="s">
        <v>2097</v>
      </c>
      <c r="F6" s="635"/>
    </row>
    <row r="7" spans="1:9" ht="18.95" customHeight="1">
      <c r="A7" s="539" t="s">
        <v>2456</v>
      </c>
      <c r="B7" s="540"/>
      <c r="C7" s="540"/>
      <c r="D7" s="540"/>
      <c r="E7" s="540"/>
      <c r="F7" s="540"/>
    </row>
    <row r="8" spans="1:9" ht="12.95" customHeight="1">
      <c r="A8" s="627" t="s">
        <v>2457</v>
      </c>
      <c r="B8" s="540"/>
      <c r="C8" s="540"/>
      <c r="D8" s="540"/>
      <c r="E8" s="540"/>
      <c r="F8" s="540"/>
    </row>
    <row r="9" spans="1:9" ht="15.75">
      <c r="A9" s="541" t="s">
        <v>2100</v>
      </c>
      <c r="B9" s="280"/>
      <c r="C9" s="280"/>
      <c r="D9" s="280"/>
      <c r="E9" s="280"/>
      <c r="F9" s="280"/>
      <c r="I9" s="281"/>
    </row>
    <row r="10" spans="1:9">
      <c r="A10" s="542" t="s">
        <v>2459</v>
      </c>
      <c r="B10" s="280"/>
      <c r="C10" s="280"/>
      <c r="D10" s="280"/>
      <c r="E10" s="280"/>
      <c r="F10" s="280"/>
      <c r="I10" s="281"/>
    </row>
    <row r="11" spans="1:9">
      <c r="A11" s="542" t="s">
        <v>2460</v>
      </c>
      <c r="B11" s="280"/>
      <c r="C11" s="280"/>
      <c r="D11" s="280"/>
      <c r="E11" s="280"/>
      <c r="F11" s="280"/>
      <c r="I11" s="281"/>
    </row>
    <row r="12" spans="1:9">
      <c r="A12" s="542" t="s">
        <v>2461</v>
      </c>
      <c r="B12" s="280"/>
      <c r="C12" s="280"/>
      <c r="D12" s="280"/>
      <c r="E12" s="280"/>
      <c r="F12" s="280"/>
      <c r="I12" s="281"/>
    </row>
    <row r="13" spans="1:9">
      <c r="A13" s="542" t="s">
        <v>2462</v>
      </c>
      <c r="B13" s="280"/>
      <c r="C13" s="280"/>
      <c r="D13" s="280"/>
      <c r="E13" s="280"/>
      <c r="F13" s="280"/>
      <c r="I13" s="281"/>
    </row>
    <row r="14" spans="1:9">
      <c r="A14" s="542" t="s">
        <v>2463</v>
      </c>
      <c r="B14" s="280"/>
      <c r="C14" s="280"/>
      <c r="D14" s="280"/>
      <c r="E14" s="280"/>
      <c r="F14" s="280"/>
      <c r="I14" s="281"/>
    </row>
    <row r="15" spans="1:9">
      <c r="A15" s="542" t="s">
        <v>2464</v>
      </c>
      <c r="B15" s="280"/>
      <c r="C15" s="280"/>
      <c r="D15" s="280"/>
      <c r="E15" s="280"/>
      <c r="F15" s="280"/>
      <c r="I15" s="281"/>
    </row>
    <row r="16" spans="1:9" ht="15.95" customHeight="1">
      <c r="A16" s="6" t="s">
        <v>2465</v>
      </c>
      <c r="B16" s="528"/>
      <c r="C16" s="528"/>
      <c r="D16" s="528"/>
      <c r="E16" s="528"/>
      <c r="F16" s="528"/>
    </row>
    <row r="17" spans="1:6" ht="18.75">
      <c r="A17" s="277" t="s">
        <v>1614</v>
      </c>
      <c r="B17" s="278"/>
      <c r="C17" s="278"/>
      <c r="D17" s="278"/>
      <c r="E17" s="635" t="s">
        <v>2097</v>
      </c>
      <c r="F17" s="635"/>
    </row>
    <row r="18" spans="1:6" ht="12.95" customHeight="1">
      <c r="A18" s="542" t="s">
        <v>2466</v>
      </c>
      <c r="B18" s="275"/>
      <c r="C18" s="275"/>
      <c r="D18" s="275"/>
      <c r="E18" s="275"/>
      <c r="F18" s="275"/>
    </row>
    <row r="19" spans="1:6" ht="12.95" customHeight="1">
      <c r="A19" s="542" t="s">
        <v>2467</v>
      </c>
      <c r="B19" s="275"/>
      <c r="C19" s="275"/>
      <c r="D19" s="275"/>
      <c r="E19" s="275"/>
      <c r="F19" s="275"/>
    </row>
    <row r="20" spans="1:6" ht="16.5" customHeight="1">
      <c r="A20" s="542" t="s">
        <v>2468</v>
      </c>
      <c r="B20" s="275"/>
      <c r="C20" s="275"/>
      <c r="D20" s="275"/>
      <c r="E20" s="275"/>
      <c r="F20" s="275"/>
    </row>
    <row r="21" spans="1:6" ht="15.75" customHeight="1">
      <c r="A21" s="547" t="s">
        <v>2100</v>
      </c>
      <c r="B21" s="280"/>
      <c r="C21" s="280"/>
      <c r="D21" s="280"/>
      <c r="E21" s="280"/>
      <c r="F21" s="280"/>
    </row>
    <row r="22" spans="1:6" ht="15.75" customHeight="1">
      <c r="A22" s="285" t="s">
        <v>2469</v>
      </c>
      <c r="B22" s="280"/>
      <c r="C22" s="280"/>
      <c r="D22" s="280"/>
      <c r="E22" s="280"/>
      <c r="F22" s="280"/>
    </row>
    <row r="23" spans="1:6" ht="15.75" customHeight="1">
      <c r="A23" s="285" t="s">
        <v>2470</v>
      </c>
      <c r="B23" s="280"/>
      <c r="C23" s="280"/>
      <c r="D23" s="280"/>
      <c r="E23" s="280"/>
      <c r="F23" s="280"/>
    </row>
    <row r="24" spans="1:6" ht="15.75" customHeight="1">
      <c r="A24" s="285" t="s">
        <v>2471</v>
      </c>
      <c r="B24" s="280"/>
      <c r="C24" s="280"/>
      <c r="D24" s="280"/>
      <c r="E24" s="280"/>
      <c r="F24" s="280"/>
    </row>
    <row r="25" spans="1:6" ht="15.75" customHeight="1">
      <c r="A25" s="285" t="s">
        <v>2472</v>
      </c>
      <c r="B25" s="280"/>
      <c r="C25" s="280"/>
      <c r="D25" s="280"/>
      <c r="E25" s="280"/>
      <c r="F25" s="280"/>
    </row>
    <row r="26" spans="1:6" ht="15.75" customHeight="1">
      <c r="A26" s="285" t="s">
        <v>2473</v>
      </c>
      <c r="B26" s="280"/>
      <c r="C26" s="280"/>
      <c r="D26" s="280"/>
      <c r="E26" s="280"/>
      <c r="F26" s="280"/>
    </row>
    <row r="27" spans="1:6" ht="15.75" customHeight="1">
      <c r="A27" s="285" t="s">
        <v>2474</v>
      </c>
      <c r="B27" s="280"/>
      <c r="C27" s="280"/>
      <c r="D27" s="280"/>
      <c r="E27" s="280"/>
      <c r="F27" s="280"/>
    </row>
    <row r="28" spans="1:6" ht="15.75" customHeight="1">
      <c r="A28" s="285" t="s">
        <v>2475</v>
      </c>
      <c r="B28" s="280"/>
      <c r="C28" s="280"/>
      <c r="D28" s="280"/>
      <c r="E28" s="280"/>
      <c r="F28" s="280"/>
    </row>
    <row r="29" spans="1:6" ht="15.75" customHeight="1">
      <c r="A29" s="285" t="s">
        <v>2476</v>
      </c>
      <c r="B29" s="280"/>
      <c r="C29" s="280"/>
      <c r="D29" s="280"/>
      <c r="E29" s="280"/>
      <c r="F29" s="280"/>
    </row>
    <row r="30" spans="1:6" ht="15.75" customHeight="1">
      <c r="A30" s="285" t="s">
        <v>2477</v>
      </c>
      <c r="B30" s="280"/>
      <c r="C30" s="280"/>
      <c r="D30" s="280"/>
      <c r="E30" s="280"/>
      <c r="F30" s="280"/>
    </row>
    <row r="31" spans="1:6" ht="18.75">
      <c r="A31" s="277" t="s">
        <v>76</v>
      </c>
      <c r="B31" s="278"/>
      <c r="C31" s="278"/>
      <c r="D31" s="278"/>
      <c r="E31" s="635" t="s">
        <v>2097</v>
      </c>
      <c r="F31" s="635"/>
    </row>
    <row r="32" spans="1:6">
      <c r="A32" s="139" t="s">
        <v>2478</v>
      </c>
      <c r="B32" s="548"/>
      <c r="C32" s="548"/>
      <c r="D32" s="548"/>
      <c r="E32" s="550"/>
      <c r="F32" s="550"/>
    </row>
    <row r="33" spans="1:6" ht="15" customHeight="1">
      <c r="A33" s="6" t="s">
        <v>2479</v>
      </c>
      <c r="B33" s="139"/>
      <c r="C33" s="139"/>
      <c r="D33" s="139"/>
      <c r="E33" s="139"/>
      <c r="F33" s="139"/>
    </row>
    <row r="34" spans="1:6" ht="18.75">
      <c r="A34" s="277" t="s">
        <v>74</v>
      </c>
      <c r="B34" s="278"/>
      <c r="C34" s="278"/>
      <c r="D34" s="278"/>
      <c r="E34" s="635" t="s">
        <v>2097</v>
      </c>
      <c r="F34" s="635"/>
    </row>
    <row r="35" spans="1:6">
      <c r="A35" s="178" t="s">
        <v>2480</v>
      </c>
      <c r="B35" s="548"/>
      <c r="C35" s="548"/>
      <c r="D35" s="548"/>
      <c r="E35" s="549"/>
      <c r="F35" s="549"/>
    </row>
    <row r="36" spans="1:6">
      <c r="A36" s="178" t="s">
        <v>2481</v>
      </c>
      <c r="B36" s="548"/>
      <c r="C36" s="548"/>
      <c r="D36" s="548"/>
      <c r="E36" s="549"/>
      <c r="F36" s="549"/>
    </row>
    <row r="37" spans="1:6" ht="15.6" customHeight="1">
      <c r="A37" s="628" t="s">
        <v>2482</v>
      </c>
      <c r="B37" s="275"/>
      <c r="C37" s="275"/>
      <c r="D37" s="275"/>
      <c r="E37" s="275"/>
      <c r="F37" s="275"/>
    </row>
    <row r="38" spans="1:6" ht="15.75" customHeight="1">
      <c r="A38" s="547" t="s">
        <v>2100</v>
      </c>
      <c r="B38" s="280"/>
      <c r="C38" s="280"/>
      <c r="D38" s="280"/>
      <c r="E38" s="280"/>
      <c r="F38" s="280"/>
    </row>
    <row r="39" spans="1:6" ht="15.75" customHeight="1">
      <c r="A39" s="542" t="s">
        <v>2483</v>
      </c>
      <c r="B39" s="280"/>
      <c r="C39" s="280"/>
      <c r="D39" s="280"/>
      <c r="E39" s="280"/>
      <c r="F39" s="280"/>
    </row>
    <row r="40" spans="1:6" ht="15.75" customHeight="1">
      <c r="A40" s="542" t="s">
        <v>2484</v>
      </c>
      <c r="B40" s="280"/>
      <c r="C40" s="280"/>
      <c r="D40" s="280"/>
      <c r="E40" s="280"/>
      <c r="F40" s="280"/>
    </row>
    <row r="41" spans="1:6" ht="15.75" customHeight="1">
      <c r="A41" s="542" t="s">
        <v>2485</v>
      </c>
      <c r="B41" s="280"/>
      <c r="C41" s="280"/>
      <c r="D41" s="280"/>
      <c r="E41" s="280"/>
      <c r="F41" s="280"/>
    </row>
    <row r="42" spans="1:6" ht="15.75" customHeight="1">
      <c r="A42" s="542" t="s">
        <v>2486</v>
      </c>
      <c r="B42" s="280"/>
      <c r="C42" s="280"/>
      <c r="D42" s="280"/>
      <c r="E42" s="280"/>
      <c r="F42" s="280"/>
    </row>
    <row r="43" spans="1:6" ht="15.75" customHeight="1">
      <c r="A43" s="140" t="s">
        <v>2487</v>
      </c>
      <c r="B43" s="280"/>
      <c r="C43" s="280"/>
      <c r="D43" s="280"/>
      <c r="E43" s="280"/>
      <c r="F43" s="280"/>
    </row>
    <row r="44" spans="1:6" ht="18.75">
      <c r="A44" s="277" t="s">
        <v>2098</v>
      </c>
      <c r="B44" s="278"/>
      <c r="C44" s="278"/>
      <c r="D44" s="278"/>
      <c r="E44" s="635" t="s">
        <v>2097</v>
      </c>
      <c r="F44" s="635"/>
    </row>
    <row r="45" spans="1:6" ht="15" customHeight="1">
      <c r="A45" s="139" t="s">
        <v>2099</v>
      </c>
      <c r="B45" s="139"/>
      <c r="C45" s="139"/>
      <c r="D45" s="139"/>
      <c r="E45" s="139"/>
      <c r="F45" s="139"/>
    </row>
    <row r="46" spans="1:6" ht="15.75" customHeight="1">
      <c r="A46" s="547" t="s">
        <v>2100</v>
      </c>
      <c r="B46" s="280"/>
      <c r="C46" s="280"/>
      <c r="D46" s="280"/>
      <c r="E46" s="280"/>
      <c r="F46" s="280"/>
    </row>
    <row r="47" spans="1:6" ht="15.75" customHeight="1">
      <c r="A47" s="139" t="s">
        <v>2488</v>
      </c>
      <c r="B47" s="280"/>
      <c r="C47" s="280"/>
      <c r="D47" s="280"/>
      <c r="E47" s="280"/>
      <c r="F47" s="280"/>
    </row>
    <row r="48" spans="1:6" ht="16.5" customHeight="1">
      <c r="A48" s="6" t="s">
        <v>2489</v>
      </c>
      <c r="B48" s="546"/>
      <c r="C48" s="546"/>
      <c r="D48" s="546"/>
      <c r="E48" s="546"/>
      <c r="F48" s="546"/>
    </row>
    <row r="49" spans="1:6" ht="18.75">
      <c r="A49" s="277" t="str">
        <f>"Comparison to "&amp;PYr</f>
        <v>Comparison to FY24</v>
      </c>
      <c r="B49" s="278"/>
      <c r="C49" s="278"/>
      <c r="D49" s="278"/>
      <c r="E49" s="635" t="s">
        <v>2097</v>
      </c>
      <c r="F49" s="635"/>
    </row>
    <row r="50" spans="1:6" ht="12.95" customHeight="1">
      <c r="A50" s="139" t="s">
        <v>2490</v>
      </c>
      <c r="B50" s="139"/>
      <c r="C50" s="139"/>
      <c r="D50" s="139"/>
      <c r="E50" s="139"/>
      <c r="F50" s="139"/>
    </row>
    <row r="51" spans="1:6" ht="20.100000000000001" customHeight="1">
      <c r="A51" s="546" t="s">
        <v>2491</v>
      </c>
      <c r="B51" s="546"/>
      <c r="C51" s="546"/>
      <c r="D51" s="546"/>
      <c r="E51" s="546"/>
      <c r="F51" s="546"/>
    </row>
    <row r="52" spans="1:6" ht="18.75">
      <c r="A52" s="277" t="s">
        <v>1609</v>
      </c>
      <c r="B52" s="278"/>
      <c r="C52" s="278"/>
      <c r="D52" s="278"/>
      <c r="E52" s="635" t="s">
        <v>2097</v>
      </c>
      <c r="F52" s="635"/>
    </row>
    <row r="53" spans="1:6" ht="15" customHeight="1">
      <c r="A53" s="139" t="str">
        <f>"This sheet displays the "&amp;CYr&amp;" foundation budget rates."</f>
        <v>This sheet displays the FY25 foundation budget rates.</v>
      </c>
      <c r="B53" s="139"/>
      <c r="C53" s="139"/>
      <c r="D53" s="139"/>
      <c r="E53" s="139"/>
      <c r="F53" s="139"/>
    </row>
    <row r="54" spans="1:6" ht="18.75">
      <c r="A54" s="277" t="s">
        <v>1627</v>
      </c>
      <c r="B54" s="278"/>
      <c r="C54" s="278"/>
      <c r="D54" s="278"/>
      <c r="E54" s="635" t="s">
        <v>2097</v>
      </c>
      <c r="F54" s="635"/>
    </row>
    <row r="55" spans="1:6" ht="15" customHeight="1">
      <c r="A55" s="139" t="str">
        <f>"This sheet calculates the "&amp;CYr&amp;" required local contribution for each municipality"</f>
        <v>This sheet calculates the FY25 required local contribution for each municipality</v>
      </c>
      <c r="B55" s="139"/>
      <c r="C55" s="139"/>
      <c r="D55" s="139"/>
      <c r="E55" s="139"/>
      <c r="F55" s="139"/>
    </row>
    <row r="56" spans="1:6" ht="18.75">
      <c r="A56" s="277" t="s">
        <v>1630</v>
      </c>
      <c r="B56" s="278"/>
      <c r="C56" s="278"/>
      <c r="D56" s="278"/>
      <c r="E56" s="635" t="s">
        <v>2097</v>
      </c>
      <c r="F56" s="635"/>
    </row>
    <row r="57" spans="1:6" ht="15" customHeight="1">
      <c r="A57" s="139" t="str">
        <f>"This sheet calculates the "&amp;CYr&amp;" Chapter 70 aid for each district."</f>
        <v>This sheet calculates the FY25 Chapter 70 aid for each district.</v>
      </c>
      <c r="B57" s="139"/>
      <c r="C57" s="139"/>
      <c r="D57" s="139"/>
      <c r="E57" s="139"/>
      <c r="F57" s="139"/>
    </row>
    <row r="58" spans="1:6">
      <c r="A58" s="279" t="s">
        <v>2580</v>
      </c>
      <c r="B58" s="279"/>
      <c r="C58" s="279"/>
      <c r="D58" s="279"/>
      <c r="E58" s="279"/>
      <c r="F58" s="279"/>
    </row>
  </sheetData>
  <mergeCells count="10">
    <mergeCell ref="E56:F56"/>
    <mergeCell ref="E52:F52"/>
    <mergeCell ref="E49:F49"/>
    <mergeCell ref="E54:F54"/>
    <mergeCell ref="E4:F4"/>
    <mergeCell ref="E6:F6"/>
    <mergeCell ref="E17:F17"/>
    <mergeCell ref="E31:F31"/>
    <mergeCell ref="E34:F34"/>
    <mergeCell ref="E44:F44"/>
  </mergeCells>
  <hyperlinks>
    <hyperlink ref="E4:F4" location="MoreAboutData!A4" tooltip="Back to the top" display="Back to the top" xr:uid="{00000000-0004-0000-0400-000000000000}"/>
    <hyperlink ref="E6:F6" location="MoreAboutData!A4" tooltip="Back to the top" display="Back to the top" xr:uid="{00000000-0004-0000-0400-000001000000}"/>
    <hyperlink ref="E17:F17" location="MoreAboutData!A4" tooltip="Back to the top" display="Back to the top" xr:uid="{00000000-0004-0000-0400-000002000000}"/>
    <hyperlink ref="E31:F31" location="MoreAboutData!A4" tooltip="Back to the top" display="Back to the top" xr:uid="{00000000-0004-0000-0400-000003000000}"/>
    <hyperlink ref="E34:F34" location="MoreAboutData!A4" tooltip="Back to the top" display="Back to the top" xr:uid="{00000000-0004-0000-0400-000004000000}"/>
    <hyperlink ref="E44:F44" location="MoreAboutData!A4" tooltip="Back to the top" display="Back to the top" xr:uid="{00000000-0004-0000-0400-000005000000}"/>
    <hyperlink ref="E49:F49" location="MoreAboutData!A4" tooltip="Back to the top" display="Back to the top" xr:uid="{00000000-0004-0000-0400-000006000000}"/>
    <hyperlink ref="E52:F52" location="MoreAboutData!A4" tooltip="Back to the top" display="Back to the top" xr:uid="{00000000-0004-0000-0400-000007000000}"/>
    <hyperlink ref="E54:F54" location="MoreAboutData!A4" tooltip="Back to the top" display="Back to the top" xr:uid="{00000000-0004-0000-0400-000008000000}"/>
    <hyperlink ref="E56:F56" location="MoreAboutData!A4" tooltip="Back to the top" display="Back to the top" xr:uid="{00000000-0004-0000-0400-000009000000}"/>
    <hyperlink ref="G1" location="Index!A5" display="Return to Index" xr:uid="{00000000-0004-0000-0400-00000A000000}"/>
  </hyperlinks>
  <pageMargins left="0.7" right="0.7" top="0.75" bottom="0.75" header="0.3" footer="0.3"/>
  <pageSetup scale="88" fitToHeight="2"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AJ69"/>
  <sheetViews>
    <sheetView showGridLines="0" zoomScaleNormal="100" workbookViewId="0"/>
  </sheetViews>
  <sheetFormatPr defaultColWidth="10" defaultRowHeight="15.75"/>
  <cols>
    <col min="1" max="1" width="5.25" style="73" customWidth="1"/>
    <col min="2" max="2" width="37.125" style="73" customWidth="1"/>
    <col min="3" max="3" width="8.875" style="73" customWidth="1"/>
    <col min="4" max="5" width="11.625" style="73" customWidth="1"/>
    <col min="6" max="6" width="10.25" style="73" customWidth="1"/>
    <col min="7" max="7" width="12.625" style="73" customWidth="1"/>
    <col min="8" max="8" width="10.875" style="73" customWidth="1"/>
    <col min="9" max="9" width="12.25" style="73" customWidth="1"/>
    <col min="10" max="10" width="0.875" style="73" customWidth="1"/>
    <col min="11" max="11" width="17.625" style="73" customWidth="1"/>
    <col min="12" max="12" width="14.375" style="73" customWidth="1"/>
    <col min="13" max="13" width="12.125" style="73" customWidth="1"/>
    <col min="14" max="14" width="9.875" style="73" customWidth="1"/>
    <col min="15" max="15" width="14.125" style="73" customWidth="1"/>
    <col min="16" max="16" width="10.625" style="73" customWidth="1"/>
    <col min="17" max="17" width="8.875" style="73" customWidth="1"/>
    <col min="18" max="18" width="11.625" style="73" customWidth="1"/>
    <col min="19" max="19" width="16.75" style="73" bestFit="1" customWidth="1"/>
    <col min="20" max="20" width="20.125" style="73" bestFit="1" customWidth="1"/>
    <col min="21" max="21" width="13.375" style="73" customWidth="1"/>
    <col min="22" max="22" width="15.375" style="73" customWidth="1"/>
    <col min="23" max="23" width="12.625" style="73" customWidth="1"/>
    <col min="24" max="24" width="21.375" style="73" customWidth="1"/>
    <col min="25" max="16384" width="10" style="73"/>
  </cols>
  <sheetData>
    <row r="1" spans="1:36">
      <c r="A1" s="226" t="s">
        <v>84</v>
      </c>
      <c r="U1" s="282" t="s">
        <v>2096</v>
      </c>
    </row>
    <row r="2" spans="1:36" s="231" customFormat="1" ht="21">
      <c r="A2" s="227" t="s">
        <v>524</v>
      </c>
      <c r="E2" s="227"/>
      <c r="F2" s="227"/>
      <c r="G2" s="227"/>
      <c r="H2" s="227"/>
      <c r="I2" s="227"/>
      <c r="J2" s="227"/>
      <c r="K2" s="227"/>
      <c r="L2" s="227"/>
      <c r="M2" s="227"/>
      <c r="N2" s="227"/>
      <c r="O2" s="227"/>
      <c r="P2" s="227"/>
      <c r="Q2" s="227"/>
      <c r="R2" s="227"/>
      <c r="S2" s="227"/>
      <c r="T2" s="227"/>
      <c r="U2" s="227"/>
    </row>
    <row r="3" spans="1:36" s="231" customFormat="1" ht="21.75" customHeight="1">
      <c r="A3" s="241" t="s">
        <v>138</v>
      </c>
      <c r="C3" s="307"/>
      <c r="E3" s="228"/>
      <c r="F3" s="228"/>
      <c r="G3" s="228"/>
      <c r="H3" s="227"/>
      <c r="I3" s="445"/>
      <c r="J3" s="228"/>
      <c r="K3" s="228"/>
      <c r="L3" s="228"/>
      <c r="M3" s="228"/>
      <c r="N3" s="228"/>
      <c r="O3" s="228"/>
      <c r="P3" s="228"/>
      <c r="Q3" s="228"/>
      <c r="R3" s="228"/>
      <c r="S3" s="228"/>
      <c r="T3" s="228"/>
      <c r="U3" s="228"/>
    </row>
    <row r="4" spans="1:36" s="231" customFormat="1" ht="24.6" customHeight="1">
      <c r="A4" s="229" t="str">
        <f>parameters!B1&amp;" Chapter 70 Foundation Budget"</f>
        <v>FY25 Chapter 70 Foundation Budget</v>
      </c>
      <c r="E4" s="229"/>
      <c r="F4" s="229"/>
      <c r="G4" s="509"/>
      <c r="H4" s="229"/>
      <c r="I4" s="229"/>
      <c r="J4" s="229"/>
      <c r="K4" s="229"/>
      <c r="L4" s="229"/>
      <c r="M4" s="229"/>
      <c r="N4" s="229"/>
      <c r="O4" s="229"/>
      <c r="P4" s="229"/>
      <c r="Q4" s="229"/>
      <c r="R4" s="229"/>
      <c r="S4" s="229"/>
      <c r="T4" s="229"/>
      <c r="U4" s="229"/>
    </row>
    <row r="5" spans="1:36" ht="23.45" customHeight="1">
      <c r="A5" s="264">
        <f>lea</f>
        <v>999</v>
      </c>
      <c r="B5" s="232" t="str">
        <f>IF(lea=999,"State total cannot be computed on this page; Please enter an lea code on the index sheet",VLOOKUP(A5,dist915,2))</f>
        <v>State total cannot be computed on this page; Please enter an lea code on the index sheet</v>
      </c>
      <c r="C5" s="232"/>
      <c r="D5" s="232"/>
      <c r="E5" s="232"/>
      <c r="F5" s="232"/>
      <c r="G5" s="232"/>
      <c r="H5" s="622">
        <v>6</v>
      </c>
      <c r="I5" s="622">
        <v>8</v>
      </c>
      <c r="J5" s="551"/>
      <c r="K5" s="622">
        <v>9</v>
      </c>
      <c r="L5" s="622">
        <v>10</v>
      </c>
      <c r="M5" s="622">
        <v>11</v>
      </c>
      <c r="N5" s="622">
        <v>12</v>
      </c>
      <c r="O5" s="622">
        <v>13</v>
      </c>
      <c r="P5" s="622">
        <v>14</v>
      </c>
      <c r="Q5" s="363"/>
    </row>
    <row r="6" spans="1:36" s="233" customFormat="1" ht="16.5" customHeight="1">
      <c r="A6" s="166"/>
      <c r="B6" s="166"/>
      <c r="C6" s="308"/>
      <c r="D6" s="308"/>
      <c r="E6" s="308" t="s">
        <v>2095</v>
      </c>
      <c r="F6" s="308"/>
      <c r="G6" s="308"/>
      <c r="H6" s="308"/>
      <c r="I6" s="308"/>
      <c r="J6" s="552"/>
      <c r="K6" s="308"/>
      <c r="L6" s="308"/>
      <c r="M6" s="308"/>
      <c r="N6" s="308" t="s">
        <v>2160</v>
      </c>
      <c r="O6" s="308"/>
      <c r="P6" s="308"/>
      <c r="Q6" s="308"/>
      <c r="R6" s="308"/>
    </row>
    <row r="7" spans="1:36" s="234" customFormat="1" ht="15.6" customHeight="1">
      <c r="A7" s="225"/>
      <c r="B7" s="225"/>
      <c r="C7" s="371" t="s">
        <v>2131</v>
      </c>
      <c r="D7" s="371" t="s">
        <v>2132</v>
      </c>
      <c r="E7" s="371" t="s">
        <v>2133</v>
      </c>
      <c r="F7" s="371" t="s">
        <v>2134</v>
      </c>
      <c r="G7" s="371" t="s">
        <v>2135</v>
      </c>
      <c r="H7" s="371" t="s">
        <v>2136</v>
      </c>
      <c r="I7" s="371" t="s">
        <v>2170</v>
      </c>
      <c r="J7" s="371"/>
      <c r="K7" s="371" t="s">
        <v>2171</v>
      </c>
      <c r="L7" s="371">
        <v>9</v>
      </c>
      <c r="M7" s="371" t="s">
        <v>2139</v>
      </c>
      <c r="N7" s="371" t="s">
        <v>2137</v>
      </c>
      <c r="O7" s="371" t="s">
        <v>2172</v>
      </c>
      <c r="P7" s="371" t="s">
        <v>2138</v>
      </c>
      <c r="Q7" s="371">
        <v>14</v>
      </c>
      <c r="X7" s="224"/>
    </row>
    <row r="8" spans="1:36" s="59" customFormat="1" ht="45">
      <c r="A8" s="554" t="s">
        <v>2492</v>
      </c>
      <c r="B8" s="554" t="s">
        <v>2493</v>
      </c>
      <c r="C8" s="554" t="s">
        <v>2153</v>
      </c>
      <c r="D8" s="554" t="s">
        <v>2494</v>
      </c>
      <c r="E8" s="554" t="s">
        <v>2495</v>
      </c>
      <c r="F8" s="554" t="s">
        <v>139</v>
      </c>
      <c r="G8" s="554" t="s">
        <v>2496</v>
      </c>
      <c r="H8" s="554" t="s">
        <v>223</v>
      </c>
      <c r="I8" s="554" t="s">
        <v>224</v>
      </c>
      <c r="J8" s="553"/>
      <c r="K8" s="555" t="s">
        <v>2497</v>
      </c>
      <c r="L8" s="555" t="s">
        <v>2498</v>
      </c>
      <c r="M8" s="555" t="s">
        <v>2499</v>
      </c>
      <c r="N8" s="556" t="s">
        <v>2500</v>
      </c>
      <c r="O8" s="555" t="s">
        <v>2501</v>
      </c>
      <c r="P8" s="555" t="s">
        <v>2209</v>
      </c>
      <c r="Q8" s="555" t="s">
        <v>2213</v>
      </c>
    </row>
    <row r="9" spans="1:36" ht="23.25" customHeight="1">
      <c r="A9" s="167"/>
      <c r="B9" s="170" t="s">
        <v>94</v>
      </c>
      <c r="C9" s="403">
        <f t="shared" ref="C9:H9" si="0">IF($A$5&lt;&gt;999,VLOOKUP(lea,dist915,VALUE(C$7)+2),0)</f>
        <v>0</v>
      </c>
      <c r="D9" s="403">
        <f t="shared" si="0"/>
        <v>0</v>
      </c>
      <c r="E9" s="403">
        <f t="shared" si="0"/>
        <v>0</v>
      </c>
      <c r="F9" s="403">
        <f t="shared" si="0"/>
        <v>0</v>
      </c>
      <c r="G9" s="403">
        <f t="shared" si="0"/>
        <v>0</v>
      </c>
      <c r="H9" s="403">
        <f t="shared" si="0"/>
        <v>0</v>
      </c>
      <c r="I9" s="403">
        <f>IF($A$5&lt;&gt;999,VLOOKUP(lea,dist915,VALUE(I$7)+2),0)</f>
        <v>0</v>
      </c>
      <c r="J9" s="403"/>
      <c r="K9" s="403">
        <f t="shared" ref="K9:Q9" si="1">IF($A$5&lt;&gt;999,VLOOKUP(lea,dist915,VALUE(K$7)+2),0)</f>
        <v>0</v>
      </c>
      <c r="L9" s="403">
        <f t="shared" si="1"/>
        <v>0</v>
      </c>
      <c r="M9" s="403">
        <f t="shared" si="1"/>
        <v>0</v>
      </c>
      <c r="N9" s="403">
        <f t="shared" si="1"/>
        <v>0</v>
      </c>
      <c r="O9" s="403">
        <f t="shared" si="1"/>
        <v>0</v>
      </c>
      <c r="P9" s="403">
        <f t="shared" si="1"/>
        <v>0</v>
      </c>
      <c r="Q9" s="404">
        <f t="shared" si="1"/>
        <v>0</v>
      </c>
    </row>
    <row r="10" spans="1:36" ht="18" customHeight="1">
      <c r="A10" s="167">
        <v>1</v>
      </c>
      <c r="B10" s="167" t="s">
        <v>221</v>
      </c>
      <c r="C10" s="169">
        <f t="shared" ref="C10:I14" si="2">(VLOOKUP(VALUE(C$7),newrates,$A10+2)*C$9*waf)</f>
        <v>0</v>
      </c>
      <c r="D10" s="169">
        <f t="shared" si="2"/>
        <v>0</v>
      </c>
      <c r="E10" s="169">
        <f t="shared" si="2"/>
        <v>0</v>
      </c>
      <c r="F10" s="169">
        <f t="shared" si="2"/>
        <v>0</v>
      </c>
      <c r="G10" s="169">
        <f t="shared" si="2"/>
        <v>0</v>
      </c>
      <c r="H10" s="169">
        <f t="shared" si="2"/>
        <v>0</v>
      </c>
      <c r="I10" s="169">
        <f t="shared" si="2"/>
        <v>0</v>
      </c>
      <c r="J10" s="168"/>
      <c r="K10" s="169">
        <f t="shared" ref="K10:O14" si="3">(VLOOKUP(VALUE(K$7),newrates,$A10+2)*K$9*waf)</f>
        <v>0</v>
      </c>
      <c r="L10" s="169">
        <f t="shared" si="3"/>
        <v>0</v>
      </c>
      <c r="M10" s="169">
        <f t="shared" si="3"/>
        <v>0</v>
      </c>
      <c r="N10" s="169">
        <f t="shared" si="3"/>
        <v>0</v>
      </c>
      <c r="O10" s="169">
        <f t="shared" si="3"/>
        <v>0</v>
      </c>
      <c r="P10" s="169">
        <f>IF(C26=0,0,(VLOOKUP(VALUE(P$7)+$C$26-1, newrates, $A10+2, FALSE))*P$9*waf)</f>
        <v>0</v>
      </c>
      <c r="Q10" s="384">
        <f t="shared" ref="Q10:Q20" si="4">SUM(C10:P10)</f>
        <v>0</v>
      </c>
      <c r="R10" s="147"/>
      <c r="V10" s="147"/>
      <c r="Y10" s="235"/>
      <c r="Z10" s="235"/>
      <c r="AA10" s="235"/>
      <c r="AB10" s="235"/>
      <c r="AC10" s="235"/>
      <c r="AD10" s="235"/>
      <c r="AE10" s="235"/>
      <c r="AF10" s="235"/>
      <c r="AG10" s="235"/>
      <c r="AH10" s="235"/>
      <c r="AI10" s="235"/>
      <c r="AJ10" s="235"/>
    </row>
    <row r="11" spans="1:36" ht="18" customHeight="1">
      <c r="A11" s="167">
        <v>2</v>
      </c>
      <c r="B11" s="167" t="s">
        <v>87</v>
      </c>
      <c r="C11" s="169">
        <f t="shared" si="2"/>
        <v>0</v>
      </c>
      <c r="D11" s="169">
        <f t="shared" si="2"/>
        <v>0</v>
      </c>
      <c r="E11" s="169">
        <f t="shared" si="2"/>
        <v>0</v>
      </c>
      <c r="F11" s="169">
        <f t="shared" si="2"/>
        <v>0</v>
      </c>
      <c r="G11" s="169">
        <f t="shared" si="2"/>
        <v>0</v>
      </c>
      <c r="H11" s="169">
        <f t="shared" si="2"/>
        <v>0</v>
      </c>
      <c r="I11" s="169">
        <f t="shared" si="2"/>
        <v>0</v>
      </c>
      <c r="J11" s="168"/>
      <c r="K11" s="169">
        <f t="shared" si="3"/>
        <v>0</v>
      </c>
      <c r="L11" s="169">
        <f t="shared" si="3"/>
        <v>0</v>
      </c>
      <c r="M11" s="169">
        <f t="shared" si="3"/>
        <v>0</v>
      </c>
      <c r="N11" s="169">
        <f t="shared" si="3"/>
        <v>0</v>
      </c>
      <c r="O11" s="169">
        <f t="shared" si="3"/>
        <v>0</v>
      </c>
      <c r="P11" s="169">
        <f>IF(C26=0,0,(VLOOKUP(VALUE(P$7)+$C$26-1, newrates, $A11+2, FALSE))*P$9*waf)</f>
        <v>0</v>
      </c>
      <c r="Q11" s="384">
        <f t="shared" si="4"/>
        <v>0</v>
      </c>
      <c r="R11" s="147"/>
      <c r="V11" s="147"/>
      <c r="Y11" s="235"/>
      <c r="Z11" s="235"/>
      <c r="AA11" s="235"/>
      <c r="AB11" s="235"/>
      <c r="AC11" s="235"/>
      <c r="AD11" s="235"/>
      <c r="AE11" s="235"/>
      <c r="AF11" s="235"/>
      <c r="AG11" s="235"/>
      <c r="AH11" s="235"/>
      <c r="AI11" s="235"/>
      <c r="AJ11" s="235"/>
    </row>
    <row r="12" spans="1:36" ht="18" customHeight="1">
      <c r="A12" s="167">
        <v>3</v>
      </c>
      <c r="B12" s="167" t="s">
        <v>2129</v>
      </c>
      <c r="C12" s="169">
        <f t="shared" si="2"/>
        <v>0</v>
      </c>
      <c r="D12" s="169">
        <f t="shared" si="2"/>
        <v>0</v>
      </c>
      <c r="E12" s="169">
        <f t="shared" si="2"/>
        <v>0</v>
      </c>
      <c r="F12" s="169">
        <f t="shared" si="2"/>
        <v>0</v>
      </c>
      <c r="G12" s="169">
        <f t="shared" si="2"/>
        <v>0</v>
      </c>
      <c r="H12" s="169">
        <f t="shared" si="2"/>
        <v>0</v>
      </c>
      <c r="I12" s="169">
        <f t="shared" si="2"/>
        <v>0</v>
      </c>
      <c r="J12" s="168"/>
      <c r="K12" s="169">
        <f t="shared" si="3"/>
        <v>0</v>
      </c>
      <c r="L12" s="169">
        <f t="shared" si="3"/>
        <v>0</v>
      </c>
      <c r="M12" s="169">
        <f t="shared" si="3"/>
        <v>0</v>
      </c>
      <c r="N12" s="169">
        <f t="shared" si="3"/>
        <v>0</v>
      </c>
      <c r="O12" s="169">
        <f t="shared" si="3"/>
        <v>0</v>
      </c>
      <c r="P12" s="169">
        <f>IF(C26=0,0,(VLOOKUP(VALUE(P$7)+$C$26-1, newrates, $A12+2, FALSE))*P$9*waf)</f>
        <v>0</v>
      </c>
      <c r="Q12" s="384">
        <f t="shared" si="4"/>
        <v>0</v>
      </c>
      <c r="R12" s="147"/>
      <c r="S12" s="330"/>
      <c r="U12" s="330"/>
      <c r="V12" s="147"/>
      <c r="Y12" s="235"/>
      <c r="Z12" s="235"/>
      <c r="AA12" s="235"/>
      <c r="AB12" s="235"/>
      <c r="AC12" s="235"/>
      <c r="AD12" s="235"/>
      <c r="AE12" s="235"/>
      <c r="AF12" s="235"/>
      <c r="AG12" s="235"/>
      <c r="AH12" s="235"/>
      <c r="AI12" s="235"/>
      <c r="AJ12" s="235"/>
    </row>
    <row r="13" spans="1:36" ht="18" customHeight="1">
      <c r="A13" s="167">
        <v>4</v>
      </c>
      <c r="B13" s="167" t="s">
        <v>88</v>
      </c>
      <c r="C13" s="169">
        <f t="shared" si="2"/>
        <v>0</v>
      </c>
      <c r="D13" s="169">
        <f t="shared" si="2"/>
        <v>0</v>
      </c>
      <c r="E13" s="169">
        <f t="shared" si="2"/>
        <v>0</v>
      </c>
      <c r="F13" s="169">
        <f t="shared" si="2"/>
        <v>0</v>
      </c>
      <c r="G13" s="169">
        <f t="shared" si="2"/>
        <v>0</v>
      </c>
      <c r="H13" s="169">
        <f t="shared" si="2"/>
        <v>0</v>
      </c>
      <c r="I13" s="169">
        <f t="shared" si="2"/>
        <v>0</v>
      </c>
      <c r="J13" s="168"/>
      <c r="K13" s="169">
        <f t="shared" si="3"/>
        <v>0</v>
      </c>
      <c r="L13" s="169">
        <f t="shared" si="3"/>
        <v>0</v>
      </c>
      <c r="M13" s="169">
        <f t="shared" si="3"/>
        <v>0</v>
      </c>
      <c r="N13" s="169">
        <f t="shared" si="3"/>
        <v>0</v>
      </c>
      <c r="O13" s="169">
        <f t="shared" si="3"/>
        <v>0</v>
      </c>
      <c r="P13" s="169">
        <f>IF(C26=0,0,(VLOOKUP(VALUE(P$7)+$C$26-1, newrates, $A13+2, FALSE))*P$9*waf)</f>
        <v>0</v>
      </c>
      <c r="Q13" s="384">
        <f t="shared" si="4"/>
        <v>0</v>
      </c>
      <c r="R13" s="147"/>
      <c r="S13" s="330"/>
      <c r="U13" s="330"/>
      <c r="V13" s="147"/>
      <c r="Y13" s="235"/>
      <c r="Z13" s="235"/>
      <c r="AA13" s="235"/>
      <c r="AB13" s="235"/>
      <c r="AC13" s="235"/>
      <c r="AD13" s="235"/>
      <c r="AE13" s="235"/>
      <c r="AF13" s="235"/>
      <c r="AG13" s="235"/>
      <c r="AH13" s="235"/>
      <c r="AI13" s="235"/>
      <c r="AJ13" s="235"/>
    </row>
    <row r="14" spans="1:36" ht="18" customHeight="1">
      <c r="A14" s="167">
        <v>5</v>
      </c>
      <c r="B14" s="167" t="s">
        <v>89</v>
      </c>
      <c r="C14" s="169">
        <f t="shared" si="2"/>
        <v>0</v>
      </c>
      <c r="D14" s="169">
        <f t="shared" si="2"/>
        <v>0</v>
      </c>
      <c r="E14" s="169">
        <f t="shared" si="2"/>
        <v>0</v>
      </c>
      <c r="F14" s="169">
        <f t="shared" si="2"/>
        <v>0</v>
      </c>
      <c r="G14" s="169">
        <f t="shared" si="2"/>
        <v>0</v>
      </c>
      <c r="H14" s="169">
        <f t="shared" si="2"/>
        <v>0</v>
      </c>
      <c r="I14" s="169">
        <f t="shared" si="2"/>
        <v>0</v>
      </c>
      <c r="J14" s="168"/>
      <c r="K14" s="169">
        <f t="shared" si="3"/>
        <v>0</v>
      </c>
      <c r="L14" s="169">
        <f t="shared" si="3"/>
        <v>0</v>
      </c>
      <c r="M14" s="169">
        <f t="shared" si="3"/>
        <v>0</v>
      </c>
      <c r="N14" s="169">
        <f t="shared" si="3"/>
        <v>0</v>
      </c>
      <c r="O14" s="169">
        <f t="shared" si="3"/>
        <v>0</v>
      </c>
      <c r="P14" s="169">
        <f>IF(C26=0,0,(VLOOKUP(VALUE(P$7)+$C$26-1, newrates, $A14+2, FALSE))*P$9*waf)</f>
        <v>0</v>
      </c>
      <c r="Q14" s="384">
        <f t="shared" si="4"/>
        <v>0</v>
      </c>
      <c r="R14" s="147"/>
      <c r="S14" s="330"/>
      <c r="U14" s="330"/>
      <c r="V14" s="147"/>
      <c r="Y14" s="235"/>
      <c r="Z14" s="235"/>
      <c r="AA14" s="235"/>
      <c r="AB14" s="235"/>
      <c r="AC14" s="235"/>
      <c r="AD14" s="235"/>
      <c r="AE14" s="235"/>
      <c r="AF14" s="235"/>
      <c r="AG14" s="235"/>
      <c r="AH14" s="235"/>
      <c r="AI14" s="235"/>
      <c r="AJ14" s="235"/>
    </row>
    <row r="15" spans="1:36" s="331" customFormat="1" ht="18" customHeight="1">
      <c r="A15" s="167">
        <v>6</v>
      </c>
      <c r="B15" s="167" t="s">
        <v>2214</v>
      </c>
      <c r="C15" s="169">
        <f t="shared" ref="C15:I15" si="5">(VLOOKUP(VALUE(C$7),newrates,$A15+2)*C$9)</f>
        <v>0</v>
      </c>
      <c r="D15" s="169">
        <f t="shared" si="5"/>
        <v>0</v>
      </c>
      <c r="E15" s="169">
        <f t="shared" si="5"/>
        <v>0</v>
      </c>
      <c r="F15" s="169">
        <f t="shared" si="5"/>
        <v>0</v>
      </c>
      <c r="G15" s="169">
        <f t="shared" si="5"/>
        <v>0</v>
      </c>
      <c r="H15" s="169">
        <f t="shared" si="5"/>
        <v>0</v>
      </c>
      <c r="I15" s="169">
        <f t="shared" si="5"/>
        <v>0</v>
      </c>
      <c r="J15" s="168"/>
      <c r="K15" s="169">
        <f>(VLOOKUP(VALUE(K$7),newrates,$A15+2)*K$9)</f>
        <v>0</v>
      </c>
      <c r="L15" s="169">
        <f>(VLOOKUP(VALUE(L$7),newrates,$A15+2)*L$9)</f>
        <v>0</v>
      </c>
      <c r="M15" s="169">
        <f>(VLOOKUP(VALUE(M$7),newrates,$A15+2)*M$9)</f>
        <v>0</v>
      </c>
      <c r="N15" s="169">
        <f>(VLOOKUP(VALUE(N$7),newrates,$A15+2)*N$9)</f>
        <v>0</v>
      </c>
      <c r="O15" s="169">
        <f>(VLOOKUP(VALUE(O$7),newrates,$A15+2)*O$9)</f>
        <v>0</v>
      </c>
      <c r="P15" s="169">
        <f>IF(C26=0,0,(VLOOKUP(VALUE(P$7)+$C$26-1, newrates, $A15+2, FALSE))*P$9)</f>
        <v>0</v>
      </c>
      <c r="Q15" s="384">
        <f t="shared" si="4"/>
        <v>0</v>
      </c>
      <c r="R15" s="147"/>
      <c r="S15" s="332"/>
      <c r="U15" s="332"/>
      <c r="V15" s="147"/>
      <c r="Y15" s="333"/>
      <c r="Z15" s="334"/>
      <c r="AA15" s="333"/>
      <c r="AB15" s="333"/>
      <c r="AC15" s="333"/>
      <c r="AD15" s="333"/>
      <c r="AE15" s="333"/>
      <c r="AF15" s="333"/>
      <c r="AG15" s="333"/>
      <c r="AH15" s="333"/>
      <c r="AI15" s="333"/>
      <c r="AJ15" s="333"/>
    </row>
    <row r="16" spans="1:36" ht="18" customHeight="1">
      <c r="A16" s="167">
        <v>7</v>
      </c>
      <c r="B16" s="167" t="s">
        <v>1579</v>
      </c>
      <c r="C16" s="169">
        <f t="shared" ref="C16:I18" si="6">(VLOOKUP(VALUE(C$7),newrates,$A16+2)*C$9*waf)</f>
        <v>0</v>
      </c>
      <c r="D16" s="169">
        <f t="shared" si="6"/>
        <v>0</v>
      </c>
      <c r="E16" s="169">
        <f t="shared" si="6"/>
        <v>0</v>
      </c>
      <c r="F16" s="169">
        <f t="shared" si="6"/>
        <v>0</v>
      </c>
      <c r="G16" s="169">
        <f t="shared" si="6"/>
        <v>0</v>
      </c>
      <c r="H16" s="169">
        <f t="shared" si="6"/>
        <v>0</v>
      </c>
      <c r="I16" s="169">
        <f t="shared" si="6"/>
        <v>0</v>
      </c>
      <c r="J16" s="168"/>
      <c r="K16" s="169">
        <f t="shared" ref="K16:O18" si="7">(VLOOKUP(VALUE(K$7),newrates,$A16+2)*K$9*waf)</f>
        <v>0</v>
      </c>
      <c r="L16" s="169">
        <f t="shared" si="7"/>
        <v>0</v>
      </c>
      <c r="M16" s="169">
        <f t="shared" si="7"/>
        <v>0</v>
      </c>
      <c r="N16" s="169">
        <f t="shared" si="7"/>
        <v>0</v>
      </c>
      <c r="O16" s="169">
        <f t="shared" si="7"/>
        <v>0</v>
      </c>
      <c r="P16" s="169">
        <f>IF(C26=0,0,(VLOOKUP(VALUE(P$7)+$C$26-1, newrates, $A16+2, FALSE))*P$9*waf)</f>
        <v>0</v>
      </c>
      <c r="Q16" s="384">
        <f t="shared" si="4"/>
        <v>0</v>
      </c>
      <c r="R16" s="147"/>
      <c r="S16" s="330"/>
      <c r="U16" s="330"/>
      <c r="V16" s="147"/>
      <c r="Y16" s="235"/>
      <c r="Z16" s="235"/>
      <c r="AA16" s="235"/>
      <c r="AB16"/>
      <c r="AC16" s="235"/>
      <c r="AD16" s="235"/>
      <c r="AE16" s="235"/>
      <c r="AF16" s="235"/>
      <c r="AG16" s="235"/>
      <c r="AH16" s="235"/>
      <c r="AI16" s="235"/>
      <c r="AJ16" s="235"/>
    </row>
    <row r="17" spans="1:36" ht="18" customHeight="1">
      <c r="A17" s="167">
        <v>8</v>
      </c>
      <c r="B17" s="167" t="s">
        <v>91</v>
      </c>
      <c r="C17" s="169">
        <f t="shared" si="6"/>
        <v>0</v>
      </c>
      <c r="D17" s="169">
        <f t="shared" si="6"/>
        <v>0</v>
      </c>
      <c r="E17" s="169">
        <f t="shared" si="6"/>
        <v>0</v>
      </c>
      <c r="F17" s="169">
        <f t="shared" si="6"/>
        <v>0</v>
      </c>
      <c r="G17" s="169">
        <f t="shared" si="6"/>
        <v>0</v>
      </c>
      <c r="H17" s="169">
        <f t="shared" si="6"/>
        <v>0</v>
      </c>
      <c r="I17" s="169">
        <f t="shared" si="6"/>
        <v>0</v>
      </c>
      <c r="J17" s="168"/>
      <c r="K17" s="169">
        <f t="shared" si="7"/>
        <v>0</v>
      </c>
      <c r="L17" s="169">
        <f t="shared" si="7"/>
        <v>0</v>
      </c>
      <c r="M17" s="169">
        <f t="shared" si="7"/>
        <v>0</v>
      </c>
      <c r="N17" s="169">
        <f t="shared" si="7"/>
        <v>0</v>
      </c>
      <c r="O17" s="169">
        <f t="shared" si="7"/>
        <v>0</v>
      </c>
      <c r="P17" s="169">
        <f>IF(C26=0,0,(VLOOKUP(VALUE(P$7)+$C$26-1, newrates, $A17+2, FALSE))*P$9*waf)</f>
        <v>0</v>
      </c>
      <c r="Q17" s="384">
        <f t="shared" si="4"/>
        <v>0</v>
      </c>
      <c r="R17" s="147"/>
      <c r="S17" s="330"/>
      <c r="U17" s="330"/>
      <c r="V17" s="147"/>
      <c r="Y17" s="235"/>
      <c r="Z17" s="235"/>
      <c r="AA17" s="235"/>
      <c r="AB17"/>
      <c r="AC17" s="235"/>
      <c r="AD17" s="235"/>
      <c r="AE17" s="235"/>
      <c r="AF17" s="235"/>
      <c r="AG17" s="235"/>
      <c r="AH17" s="235"/>
      <c r="AI17" s="235"/>
      <c r="AJ17" s="235"/>
    </row>
    <row r="18" spans="1:36" ht="18" customHeight="1">
      <c r="A18" s="167">
        <v>9</v>
      </c>
      <c r="B18" s="167" t="s">
        <v>1580</v>
      </c>
      <c r="C18" s="169">
        <f t="shared" si="6"/>
        <v>0</v>
      </c>
      <c r="D18" s="169">
        <f t="shared" si="6"/>
        <v>0</v>
      </c>
      <c r="E18" s="169">
        <f t="shared" si="6"/>
        <v>0</v>
      </c>
      <c r="F18" s="169">
        <f t="shared" si="6"/>
        <v>0</v>
      </c>
      <c r="G18" s="169">
        <f t="shared" si="6"/>
        <v>0</v>
      </c>
      <c r="H18" s="169">
        <f t="shared" si="6"/>
        <v>0</v>
      </c>
      <c r="I18" s="169">
        <f t="shared" si="6"/>
        <v>0</v>
      </c>
      <c r="J18" s="168"/>
      <c r="K18" s="169">
        <f t="shared" si="7"/>
        <v>0</v>
      </c>
      <c r="L18" s="169">
        <f t="shared" si="7"/>
        <v>0</v>
      </c>
      <c r="M18" s="169">
        <f t="shared" si="7"/>
        <v>0</v>
      </c>
      <c r="N18" s="169">
        <f t="shared" si="7"/>
        <v>0</v>
      </c>
      <c r="O18" s="169">
        <f t="shared" si="7"/>
        <v>0</v>
      </c>
      <c r="P18" s="169">
        <f>IF(C26=0,0,(VLOOKUP(VALUE(P$7)+$C$26-1, newrates, $A18+2, FALSE))*P$9*waf)</f>
        <v>0</v>
      </c>
      <c r="Q18" s="384">
        <f t="shared" si="4"/>
        <v>0</v>
      </c>
      <c r="R18" s="147"/>
      <c r="S18" s="330"/>
      <c r="U18" s="330"/>
      <c r="V18" s="147"/>
      <c r="Y18" s="235"/>
      <c r="Z18" s="147"/>
      <c r="AA18" s="235"/>
      <c r="AB18"/>
      <c r="AC18" s="235"/>
      <c r="AD18" s="235"/>
      <c r="AE18" s="235"/>
      <c r="AF18" s="235"/>
      <c r="AG18" s="235"/>
      <c r="AH18" s="235"/>
      <c r="AI18" s="235"/>
      <c r="AJ18" s="235"/>
    </row>
    <row r="19" spans="1:36" s="331" customFormat="1" ht="18" customHeight="1">
      <c r="A19" s="167">
        <v>10</v>
      </c>
      <c r="B19" s="167" t="s">
        <v>2215</v>
      </c>
      <c r="C19" s="169">
        <f t="shared" ref="C19:I20" si="8">(VLOOKUP(VALUE(C$7),newrates,$A19+2)*C$9)</f>
        <v>0</v>
      </c>
      <c r="D19" s="169">
        <f t="shared" si="8"/>
        <v>0</v>
      </c>
      <c r="E19" s="169">
        <f t="shared" si="8"/>
        <v>0</v>
      </c>
      <c r="F19" s="169">
        <f t="shared" si="8"/>
        <v>0</v>
      </c>
      <c r="G19" s="169">
        <f t="shared" si="8"/>
        <v>0</v>
      </c>
      <c r="H19" s="169">
        <f t="shared" si="8"/>
        <v>0</v>
      </c>
      <c r="I19" s="169">
        <f t="shared" si="8"/>
        <v>0</v>
      </c>
      <c r="J19" s="168"/>
      <c r="K19" s="169">
        <f>(VLOOKUP(VALUE(K$7),newrates,$A19+2)*K$9)</f>
        <v>0</v>
      </c>
      <c r="L19" s="169">
        <f>(VLOOKUP(VALUE(L$7),newrates,$A19+2)*L$9)</f>
        <v>0</v>
      </c>
      <c r="M19" s="169">
        <f>(VLOOKUP(VALUE(M$7),newrates,$A19+2)*M$9)</f>
        <v>0</v>
      </c>
      <c r="N19" s="169">
        <f>(VLOOKUP(VALUE(N$7),newrates,$A19+2)*N$9)</f>
        <v>0</v>
      </c>
      <c r="O19" s="169">
        <f>(VLOOKUP(VALUE(O$7),newrates,$A19+2)*O$9)</f>
        <v>0</v>
      </c>
      <c r="P19" s="169">
        <f>IF(C26=0,0,(VLOOKUP(VALUE(P$7)+$C$26-1, newrates, $A19+2, FALSE))*P$9)</f>
        <v>0</v>
      </c>
      <c r="Q19" s="384">
        <f t="shared" si="4"/>
        <v>0</v>
      </c>
      <c r="R19" s="147"/>
      <c r="S19" s="332"/>
      <c r="U19" s="332"/>
      <c r="V19" s="147"/>
      <c r="Y19" s="333"/>
      <c r="Z19" s="334"/>
      <c r="AA19" s="333"/>
      <c r="AB19" s="335"/>
      <c r="AC19" s="333"/>
      <c r="AD19" s="333"/>
      <c r="AE19" s="333"/>
      <c r="AF19" s="333"/>
      <c r="AG19" s="333"/>
      <c r="AH19" s="333"/>
      <c r="AI19" s="333"/>
      <c r="AJ19" s="333"/>
    </row>
    <row r="20" spans="1:36" s="331" customFormat="1" ht="18" customHeight="1">
      <c r="A20" s="167">
        <v>11</v>
      </c>
      <c r="B20" s="167" t="s">
        <v>2216</v>
      </c>
      <c r="C20" s="169">
        <f t="shared" si="8"/>
        <v>0</v>
      </c>
      <c r="D20" s="169">
        <f t="shared" si="8"/>
        <v>0</v>
      </c>
      <c r="E20" s="169">
        <f t="shared" si="8"/>
        <v>0</v>
      </c>
      <c r="F20" s="169">
        <f t="shared" si="8"/>
        <v>0</v>
      </c>
      <c r="G20" s="169">
        <f t="shared" si="8"/>
        <v>0</v>
      </c>
      <c r="H20" s="169">
        <f t="shared" si="8"/>
        <v>0</v>
      </c>
      <c r="I20" s="169">
        <f t="shared" si="8"/>
        <v>0</v>
      </c>
      <c r="J20" s="168"/>
      <c r="K20" s="169">
        <f>(VLOOKUP(VALUE(K$7)-2,newrates,$A20+2)*K$9)</f>
        <v>0</v>
      </c>
      <c r="L20" s="169">
        <f>(VLOOKUP(VALUE(L$7),newrates,$A20+2)*L$9)</f>
        <v>0</v>
      </c>
      <c r="M20" s="169">
        <f>(VLOOKUP(VALUE(M$7),newrates,$A20+2)*M$9)</f>
        <v>0</v>
      </c>
      <c r="N20" s="169">
        <f>(VLOOKUP(VALUE(N$7),newrates,$A20+2)*N$9)</f>
        <v>0</v>
      </c>
      <c r="O20" s="169">
        <f>(VLOOKUP(VALUE(O$7)-2,newrates,$A20+2)*O$9)</f>
        <v>0</v>
      </c>
      <c r="P20" s="169">
        <f>IF(C26=0,0,(VLOOKUP(VALUE(P$7)+$C$26-1, newrates, $A20+2, FALSE))*P$9)</f>
        <v>0</v>
      </c>
      <c r="Q20" s="384">
        <f t="shared" si="4"/>
        <v>0</v>
      </c>
      <c r="R20" s="147"/>
      <c r="S20" s="332"/>
      <c r="U20" s="332"/>
      <c r="V20" s="147"/>
      <c r="Y20" s="333"/>
      <c r="Z20" s="334"/>
      <c r="AA20" s="333"/>
      <c r="AB20" s="335"/>
      <c r="AC20" s="333"/>
      <c r="AD20" s="333"/>
      <c r="AE20" s="333"/>
      <c r="AF20" s="333"/>
      <c r="AG20" s="333"/>
      <c r="AH20" s="333"/>
      <c r="AI20" s="333"/>
      <c r="AJ20" s="333"/>
    </row>
    <row r="21" spans="1:36" ht="26.25">
      <c r="A21" s="170">
        <v>12</v>
      </c>
      <c r="B21" s="170" t="s">
        <v>593</v>
      </c>
      <c r="C21" s="171">
        <f>SUM(C10:C20)</f>
        <v>0</v>
      </c>
      <c r="D21" s="171">
        <f>SUM(D10:D20)</f>
        <v>0</v>
      </c>
      <c r="E21" s="171">
        <f t="shared" ref="E21:H21" si="9">SUM(E10:E20)</f>
        <v>0</v>
      </c>
      <c r="F21" s="171">
        <f t="shared" si="9"/>
        <v>0</v>
      </c>
      <c r="G21" s="171">
        <f t="shared" si="9"/>
        <v>0</v>
      </c>
      <c r="H21" s="171">
        <f t="shared" si="9"/>
        <v>0</v>
      </c>
      <c r="I21" s="171">
        <f t="shared" ref="I21:P21" si="10">SUM(I10:I20)</f>
        <v>0</v>
      </c>
      <c r="J21" s="171"/>
      <c r="K21" s="171">
        <f t="shared" si="10"/>
        <v>0</v>
      </c>
      <c r="L21" s="171">
        <f t="shared" si="10"/>
        <v>0</v>
      </c>
      <c r="M21" s="171">
        <f t="shared" si="10"/>
        <v>0</v>
      </c>
      <c r="N21" s="171">
        <f t="shared" si="10"/>
        <v>0</v>
      </c>
      <c r="O21" s="171">
        <f t="shared" si="10"/>
        <v>0</v>
      </c>
      <c r="P21" s="171">
        <f t="shared" si="10"/>
        <v>0</v>
      </c>
      <c r="Q21" s="429">
        <f>SUM(Q10:Q20)</f>
        <v>0</v>
      </c>
      <c r="S21" s="466"/>
      <c r="T21" s="96"/>
      <c r="V21" s="147"/>
      <c r="Y21" s="147"/>
      <c r="AB21"/>
    </row>
    <row r="22" spans="1:36" ht="6" customHeight="1">
      <c r="A22" s="167"/>
      <c r="B22" s="167"/>
      <c r="C22" s="171"/>
      <c r="D22" s="171"/>
      <c r="E22" s="171"/>
      <c r="F22" s="171"/>
      <c r="G22" s="171"/>
      <c r="H22" s="171"/>
      <c r="I22" s="171"/>
      <c r="J22" s="171"/>
      <c r="K22" s="171"/>
      <c r="L22" s="171"/>
      <c r="M22" s="171"/>
      <c r="N22" s="171"/>
      <c r="O22" s="171"/>
      <c r="P22" s="171"/>
      <c r="Q22" s="171"/>
      <c r="R22" s="171"/>
      <c r="S22" s="167"/>
      <c r="T22" s="172"/>
      <c r="Y22"/>
    </row>
    <row r="23" spans="1:36" ht="16.350000000000001" customHeight="1">
      <c r="A23" s="167">
        <v>13</v>
      </c>
      <c r="B23" s="167" t="s">
        <v>92</v>
      </c>
      <c r="C23" s="236">
        <f>VLOOKUP(lea,dist915,17)</f>
        <v>1</v>
      </c>
      <c r="D23" s="173"/>
      <c r="E23" s="174"/>
      <c r="F23" s="174"/>
      <c r="G23" s="174"/>
      <c r="H23" s="174"/>
      <c r="I23" s="174"/>
      <c r="J23" s="174"/>
      <c r="K23" s="174"/>
      <c r="L23" s="174"/>
      <c r="M23" s="174"/>
      <c r="N23" s="406" t="s">
        <v>1550</v>
      </c>
      <c r="O23" s="407"/>
      <c r="P23" s="407"/>
      <c r="Q23" s="408" t="str">
        <f>IFERROR(IF(A5&lt;&gt;999,Q21/Q9," "),"")</f>
        <v xml:space="preserve"> </v>
      </c>
      <c r="S23" s="330"/>
      <c r="Y23"/>
    </row>
    <row r="24" spans="1:36" ht="16.350000000000001" customHeight="1">
      <c r="A24" s="167"/>
      <c r="B24" s="167" t="s">
        <v>2141</v>
      </c>
      <c r="C24" s="236"/>
      <c r="D24" s="173"/>
      <c r="E24" s="174"/>
      <c r="F24" s="174"/>
      <c r="G24" s="174"/>
      <c r="H24" s="174"/>
      <c r="I24" s="174"/>
      <c r="J24" s="174"/>
      <c r="K24" s="174"/>
      <c r="L24" s="174"/>
      <c r="M24" s="174"/>
      <c r="N24" s="378"/>
      <c r="O24" s="379"/>
      <c r="P24" s="379"/>
      <c r="Q24" s="210"/>
      <c r="S24" s="330"/>
      <c r="Y24"/>
    </row>
    <row r="25" spans="1:36" ht="16.350000000000001" customHeight="1">
      <c r="A25" s="167">
        <v>14</v>
      </c>
      <c r="B25" s="167" t="s">
        <v>2274</v>
      </c>
      <c r="C25" s="467">
        <f>VLOOKUP(lea,dist915,19)</f>
        <v>0</v>
      </c>
      <c r="L25" s="352" t="s">
        <v>2150</v>
      </c>
      <c r="M25" s="352"/>
      <c r="N25" s="353"/>
      <c r="O25" s="353"/>
      <c r="P25" s="353"/>
      <c r="Q25" s="357" t="str">
        <f>IFERROR(IF(A5=999,"",SUM(M21:O21)/Q21),"")</f>
        <v/>
      </c>
      <c r="Y25"/>
    </row>
    <row r="26" spans="1:36" ht="16.350000000000001" customHeight="1">
      <c r="A26" s="167">
        <v>15</v>
      </c>
      <c r="B26" s="167" t="s">
        <v>2271</v>
      </c>
      <c r="C26" s="468">
        <f>VLOOKUP(lea,dist915,18)</f>
        <v>0</v>
      </c>
      <c r="L26" s="354" t="s">
        <v>2272</v>
      </c>
      <c r="M26" s="356"/>
      <c r="N26" s="355"/>
      <c r="O26" s="355"/>
      <c r="P26" s="355"/>
      <c r="Q26" s="358" t="str">
        <f>IFERROR(IF(A5=999,"",P21/Q21),"")</f>
        <v/>
      </c>
      <c r="Y26"/>
    </row>
    <row r="27" spans="1:36" ht="16.350000000000001" customHeight="1">
      <c r="A27" s="167"/>
      <c r="M27" s="237"/>
      <c r="N27" s="237"/>
      <c r="O27" s="237"/>
      <c r="P27" s="237"/>
      <c r="Q27" s="402"/>
      <c r="Y27"/>
    </row>
    <row r="28" spans="1:36" ht="16.350000000000001" customHeight="1">
      <c r="A28" s="167"/>
      <c r="B28" s="167"/>
      <c r="C28" s="99"/>
      <c r="O28" s="59"/>
      <c r="P28" s="59"/>
      <c r="Q28" s="402"/>
      <c r="Y28"/>
    </row>
    <row r="29" spans="1:36" ht="16.350000000000001" customHeight="1">
      <c r="A29" s="377"/>
      <c r="B29" s="167" t="s">
        <v>2180</v>
      </c>
      <c r="C29" s="237"/>
      <c r="D29" s="237"/>
      <c r="E29" s="237"/>
      <c r="F29" s="237"/>
      <c r="G29" s="237"/>
      <c r="H29" s="237"/>
      <c r="I29" s="237"/>
      <c r="K29" s="559" t="s">
        <v>2271</v>
      </c>
      <c r="L29" s="560" t="s">
        <v>2273</v>
      </c>
      <c r="P29" s="330"/>
      <c r="Y29"/>
    </row>
    <row r="30" spans="1:36" ht="16.350000000000001" customHeight="1">
      <c r="B30" s="167" t="s">
        <v>93</v>
      </c>
      <c r="C30" s="237"/>
      <c r="D30" s="237"/>
      <c r="E30" s="237"/>
      <c r="F30" s="237"/>
      <c r="G30" s="237"/>
      <c r="H30" s="237"/>
      <c r="I30" s="237"/>
      <c r="K30" s="557" t="s">
        <v>2258</v>
      </c>
      <c r="L30" s="558" t="s">
        <v>2246</v>
      </c>
      <c r="P30" s="330"/>
      <c r="Y30"/>
    </row>
    <row r="31" spans="1:36" ht="16.350000000000001" customHeight="1">
      <c r="A31" s="167"/>
      <c r="B31" s="167" t="s">
        <v>2312</v>
      </c>
      <c r="C31" s="237"/>
      <c r="D31" s="237"/>
      <c r="E31" s="237"/>
      <c r="F31" s="237"/>
      <c r="G31" s="237"/>
      <c r="H31" s="237"/>
      <c r="I31" s="237"/>
      <c r="K31" s="73" t="s">
        <v>2259</v>
      </c>
      <c r="L31" s="99" t="s">
        <v>2247</v>
      </c>
      <c r="P31" s="461"/>
      <c r="Y31"/>
    </row>
    <row r="32" spans="1:36" s="237" customFormat="1" ht="16.350000000000001" customHeight="1">
      <c r="A32" s="168"/>
      <c r="B32" s="167" t="s">
        <v>2313</v>
      </c>
      <c r="K32" s="73" t="s">
        <v>2260</v>
      </c>
      <c r="L32" s="99" t="s">
        <v>2248</v>
      </c>
      <c r="Y32"/>
    </row>
    <row r="33" spans="1:25" s="237" customFormat="1" ht="16.350000000000001" customHeight="1">
      <c r="A33" s="238"/>
      <c r="B33" s="167" t="s">
        <v>2199</v>
      </c>
      <c r="K33" s="73" t="s">
        <v>2261</v>
      </c>
      <c r="L33" s="99" t="s">
        <v>2249</v>
      </c>
      <c r="Q33" s="402"/>
      <c r="Y33"/>
    </row>
    <row r="34" spans="1:25" s="237" customFormat="1" ht="16.350000000000001" customHeight="1">
      <c r="A34" s="173"/>
      <c r="B34" s="167" t="s">
        <v>2293</v>
      </c>
      <c r="K34" s="73" t="s">
        <v>2262</v>
      </c>
      <c r="L34" s="99" t="s">
        <v>2250</v>
      </c>
    </row>
    <row r="35" spans="1:25" s="237" customFormat="1" ht="16.350000000000001" customHeight="1">
      <c r="A35" s="173"/>
      <c r="B35" s="167" t="s">
        <v>2287</v>
      </c>
      <c r="K35" s="73" t="s">
        <v>2263</v>
      </c>
      <c r="L35" s="99" t="s">
        <v>2251</v>
      </c>
    </row>
    <row r="36" spans="1:25" s="237" customFormat="1" ht="16.350000000000001" customHeight="1">
      <c r="A36" s="173"/>
      <c r="B36" s="167" t="s">
        <v>2288</v>
      </c>
      <c r="C36" s="469"/>
      <c r="D36" s="469"/>
      <c r="E36" s="469"/>
      <c r="F36" s="469"/>
      <c r="G36" s="469"/>
      <c r="H36" s="469"/>
      <c r="I36" s="469"/>
      <c r="K36" s="73" t="s">
        <v>2264</v>
      </c>
      <c r="L36" s="99" t="s">
        <v>2252</v>
      </c>
    </row>
    <row r="37" spans="1:25" s="237" customFormat="1" ht="16.350000000000001" customHeight="1">
      <c r="A37" s="173"/>
      <c r="B37" s="167" t="s">
        <v>2305</v>
      </c>
      <c r="K37" s="73" t="s">
        <v>2265</v>
      </c>
      <c r="L37" s="99" t="s">
        <v>2253</v>
      </c>
    </row>
    <row r="38" spans="1:25" s="237" customFormat="1" ht="16.350000000000001" customHeight="1">
      <c r="A38" s="173"/>
      <c r="B38" s="167" t="s">
        <v>2289</v>
      </c>
      <c r="K38" s="73" t="s">
        <v>2266</v>
      </c>
      <c r="L38" s="99" t="s">
        <v>2254</v>
      </c>
    </row>
    <row r="39" spans="1:25" s="237" customFormat="1" ht="16.350000000000001" customHeight="1">
      <c r="A39" s="173"/>
      <c r="B39" s="167" t="s">
        <v>2290</v>
      </c>
      <c r="C39" s="73"/>
      <c r="D39" s="73"/>
      <c r="E39" s="73"/>
      <c r="F39" s="73"/>
      <c r="G39" s="73"/>
      <c r="H39" s="73"/>
      <c r="I39" s="73"/>
      <c r="K39" s="73" t="s">
        <v>2267</v>
      </c>
      <c r="L39" s="99" t="s">
        <v>2255</v>
      </c>
    </row>
    <row r="40" spans="1:25" s="237" customFormat="1" ht="16.350000000000001" customHeight="1">
      <c r="A40" s="173"/>
      <c r="B40" s="167" t="s">
        <v>2270</v>
      </c>
      <c r="C40" s="73"/>
      <c r="D40" s="73"/>
      <c r="E40" s="73"/>
      <c r="F40" s="73"/>
      <c r="G40" s="73"/>
      <c r="H40" s="73"/>
      <c r="I40" s="73"/>
      <c r="K40" s="73" t="s">
        <v>2268</v>
      </c>
      <c r="L40" s="99" t="s">
        <v>2256</v>
      </c>
    </row>
    <row r="41" spans="1:25" s="237" customFormat="1" ht="16.350000000000001" customHeight="1">
      <c r="A41" s="173"/>
      <c r="B41" s="167" t="s">
        <v>2191</v>
      </c>
      <c r="C41" s="73"/>
      <c r="D41" s="73"/>
      <c r="E41" s="73"/>
      <c r="F41" s="73"/>
      <c r="G41" s="73"/>
      <c r="H41" s="73"/>
      <c r="I41" s="73"/>
      <c r="K41" s="73" t="s">
        <v>2269</v>
      </c>
      <c r="L41" s="99" t="s">
        <v>2257</v>
      </c>
    </row>
    <row r="42" spans="1:25" ht="16.350000000000001" customHeight="1">
      <c r="B42" s="167"/>
    </row>
    <row r="43" spans="1:25">
      <c r="B43" s="167" t="s">
        <v>2181</v>
      </c>
    </row>
    <row r="44" spans="1:25">
      <c r="B44" s="167" t="s">
        <v>86</v>
      </c>
      <c r="C44" s="330"/>
      <c r="D44" s="330"/>
      <c r="E44" s="330"/>
      <c r="F44" s="330"/>
      <c r="G44" s="330"/>
      <c r="H44" s="330"/>
      <c r="I44" s="330"/>
      <c r="J44" s="337"/>
      <c r="K44" s="337"/>
      <c r="L44" s="337"/>
      <c r="M44" s="337"/>
      <c r="N44" s="330"/>
      <c r="O44" s="330"/>
    </row>
    <row r="45" spans="1:25">
      <c r="J45" s="337"/>
      <c r="K45" s="337"/>
      <c r="L45" s="337"/>
      <c r="M45" s="337"/>
      <c r="N45" s="330"/>
      <c r="O45" s="330"/>
    </row>
    <row r="46" spans="1:25">
      <c r="C46" s="337"/>
      <c r="D46" s="337"/>
      <c r="E46" s="337"/>
      <c r="F46" s="337"/>
      <c r="G46" s="337"/>
      <c r="H46" s="337"/>
      <c r="I46" s="337"/>
      <c r="J46" s="337"/>
      <c r="K46" s="337"/>
      <c r="L46" s="337"/>
      <c r="M46" s="337"/>
      <c r="N46" s="330"/>
      <c r="O46" s="330"/>
    </row>
    <row r="47" spans="1:25">
      <c r="B47" s="179" t="s">
        <v>84</v>
      </c>
      <c r="C47" s="337"/>
      <c r="D47" s="337"/>
      <c r="E47" s="337"/>
      <c r="F47" s="337"/>
      <c r="G47" s="337"/>
      <c r="H47" s="337"/>
      <c r="I47" s="337"/>
      <c r="J47" s="337"/>
      <c r="K47" s="337"/>
      <c r="L47" s="337"/>
      <c r="M47" s="337"/>
      <c r="N47" s="330"/>
      <c r="O47" s="330"/>
    </row>
    <row r="48" spans="1:25">
      <c r="A48" s="73" t="s">
        <v>2580</v>
      </c>
      <c r="C48" s="337"/>
      <c r="D48" s="337"/>
      <c r="E48" s="337"/>
      <c r="F48" s="337"/>
      <c r="G48" s="337"/>
      <c r="H48" s="337"/>
      <c r="I48" s="337"/>
      <c r="J48" s="337"/>
      <c r="K48" s="337"/>
      <c r="L48" s="337"/>
      <c r="M48" s="337"/>
      <c r="N48" s="330"/>
      <c r="O48" s="330"/>
    </row>
    <row r="49" spans="3:15">
      <c r="C49" s="337"/>
      <c r="D49" s="337"/>
      <c r="E49" s="337"/>
      <c r="F49" s="337"/>
      <c r="G49" s="337"/>
      <c r="H49" s="337"/>
      <c r="I49" s="337"/>
      <c r="J49" s="337"/>
      <c r="K49" s="337"/>
      <c r="L49" s="337"/>
      <c r="M49" s="337"/>
      <c r="N49" s="330"/>
      <c r="O49" s="330"/>
    </row>
    <row r="50" spans="3:15">
      <c r="C50" s="337"/>
      <c r="D50" s="337"/>
      <c r="E50" s="337"/>
      <c r="F50" s="337"/>
      <c r="G50" s="337"/>
      <c r="H50" s="337"/>
      <c r="I50" s="337"/>
      <c r="J50" s="337"/>
      <c r="K50" s="337"/>
      <c r="L50" s="337"/>
      <c r="M50" s="337"/>
      <c r="N50" s="330"/>
      <c r="O50" s="330"/>
    </row>
    <row r="51" spans="3:15">
      <c r="C51" s="337"/>
      <c r="D51" s="337"/>
      <c r="E51" s="337"/>
      <c r="F51" s="337"/>
      <c r="G51" s="337"/>
      <c r="H51" s="337"/>
      <c r="I51" s="337"/>
      <c r="J51" s="337"/>
      <c r="K51" s="337"/>
      <c r="L51" s="337"/>
      <c r="M51" s="337"/>
      <c r="N51" s="330"/>
      <c r="O51" s="330"/>
    </row>
    <row r="52" spans="3:15">
      <c r="C52" s="337"/>
      <c r="D52" s="337"/>
      <c r="E52" s="337"/>
      <c r="F52" s="337"/>
      <c r="G52" s="337"/>
      <c r="H52" s="337"/>
      <c r="I52" s="337"/>
      <c r="J52" s="337"/>
      <c r="K52" s="337"/>
      <c r="L52" s="337"/>
      <c r="M52" s="337"/>
      <c r="N52" s="330"/>
      <c r="O52" s="330"/>
    </row>
    <row r="53" spans="3:15">
      <c r="C53" s="337"/>
      <c r="D53" s="337"/>
      <c r="E53" s="337"/>
      <c r="F53" s="337"/>
      <c r="G53" s="337"/>
      <c r="H53" s="337"/>
      <c r="I53" s="337"/>
      <c r="J53" s="337"/>
      <c r="K53" s="337"/>
      <c r="L53" s="337"/>
      <c r="M53" s="337"/>
      <c r="N53" s="330"/>
      <c r="O53" s="330"/>
    </row>
    <row r="54" spans="3:15">
      <c r="C54" s="337"/>
      <c r="D54" s="337"/>
      <c r="E54" s="337"/>
      <c r="F54" s="337"/>
      <c r="G54" s="337"/>
      <c r="H54" s="337"/>
      <c r="I54" s="337"/>
      <c r="J54" s="337"/>
      <c r="K54" s="337"/>
      <c r="L54" s="337"/>
      <c r="M54" s="337"/>
      <c r="N54" s="330"/>
      <c r="O54" s="330"/>
    </row>
    <row r="55" spans="3:15">
      <c r="C55" s="337"/>
      <c r="D55" s="337"/>
      <c r="E55" s="337"/>
      <c r="F55" s="337"/>
      <c r="G55" s="337"/>
      <c r="H55" s="337"/>
      <c r="I55" s="337"/>
      <c r="J55" s="337"/>
      <c r="K55" s="337"/>
      <c r="L55" s="337"/>
      <c r="M55" s="337"/>
    </row>
    <row r="56" spans="3:15">
      <c r="C56" s="337"/>
      <c r="D56" s="337"/>
      <c r="E56" s="337"/>
      <c r="F56" s="337"/>
      <c r="G56" s="337"/>
      <c r="H56" s="337"/>
      <c r="I56" s="337"/>
      <c r="J56" s="330"/>
      <c r="K56" s="330"/>
      <c r="L56" s="330"/>
      <c r="M56" s="330"/>
      <c r="N56" s="330"/>
      <c r="O56" s="330"/>
    </row>
    <row r="57" spans="3:15">
      <c r="C57" s="337"/>
      <c r="D57" s="337"/>
      <c r="E57" s="337"/>
      <c r="F57" s="337"/>
      <c r="G57" s="337"/>
      <c r="H57" s="337"/>
      <c r="I57" s="337"/>
      <c r="J57" s="330"/>
      <c r="K57" s="330"/>
      <c r="L57" s="330"/>
      <c r="M57" s="330"/>
      <c r="N57" s="330"/>
      <c r="O57" s="330"/>
    </row>
    <row r="58" spans="3:15">
      <c r="C58" s="330"/>
      <c r="D58" s="330"/>
      <c r="E58" s="330"/>
      <c r="F58" s="330"/>
      <c r="G58" s="330"/>
      <c r="H58" s="330"/>
      <c r="I58" s="330"/>
      <c r="J58" s="330"/>
      <c r="K58" s="330"/>
      <c r="L58" s="330"/>
      <c r="M58" s="330"/>
      <c r="N58" s="330"/>
      <c r="O58" s="330"/>
    </row>
    <row r="59" spans="3:15">
      <c r="C59" s="330"/>
      <c r="D59" s="330"/>
      <c r="E59" s="330"/>
      <c r="F59" s="330"/>
      <c r="G59" s="330"/>
      <c r="H59" s="330"/>
      <c r="I59" s="330"/>
      <c r="J59" s="330"/>
      <c r="K59" s="330"/>
      <c r="L59" s="330"/>
      <c r="M59" s="330"/>
      <c r="N59" s="330"/>
      <c r="O59" s="330"/>
    </row>
    <row r="60" spans="3:15">
      <c r="C60" s="330"/>
      <c r="D60" s="330"/>
      <c r="E60" s="330"/>
      <c r="F60" s="330"/>
      <c r="G60" s="330"/>
      <c r="H60" s="330"/>
      <c r="I60" s="330"/>
      <c r="J60" s="330"/>
      <c r="K60" s="330"/>
      <c r="L60" s="330"/>
      <c r="M60" s="330"/>
      <c r="N60" s="330"/>
      <c r="O60" s="330"/>
    </row>
    <row r="61" spans="3:15">
      <c r="C61" s="330"/>
      <c r="D61" s="330"/>
      <c r="E61" s="330"/>
      <c r="F61" s="330"/>
      <c r="G61" s="330"/>
      <c r="H61" s="330"/>
      <c r="I61" s="330"/>
      <c r="J61" s="330"/>
      <c r="K61" s="330"/>
      <c r="L61" s="330"/>
      <c r="M61" s="330"/>
      <c r="N61" s="330"/>
      <c r="O61" s="330"/>
    </row>
    <row r="62" spans="3:15">
      <c r="C62" s="330"/>
      <c r="D62" s="330"/>
      <c r="E62" s="330"/>
      <c r="F62" s="330"/>
      <c r="G62" s="330"/>
      <c r="H62" s="330"/>
      <c r="I62" s="330"/>
      <c r="J62" s="330"/>
      <c r="K62" s="330"/>
      <c r="L62" s="330"/>
      <c r="M62" s="330"/>
      <c r="N62" s="330"/>
      <c r="O62" s="330"/>
    </row>
    <row r="63" spans="3:15">
      <c r="C63" s="330"/>
      <c r="D63" s="330"/>
      <c r="E63" s="330"/>
      <c r="F63" s="330"/>
      <c r="G63" s="330"/>
      <c r="H63" s="330"/>
      <c r="I63" s="330"/>
      <c r="J63" s="330"/>
      <c r="K63" s="330"/>
      <c r="L63" s="330"/>
      <c r="M63" s="330"/>
      <c r="N63" s="330"/>
      <c r="O63" s="330"/>
    </row>
    <row r="64" spans="3:15">
      <c r="C64" s="330"/>
      <c r="D64" s="330"/>
      <c r="E64" s="330"/>
      <c r="F64" s="330"/>
      <c r="G64" s="330"/>
      <c r="H64" s="330"/>
      <c r="I64" s="330"/>
      <c r="J64" s="330"/>
      <c r="K64" s="330"/>
      <c r="L64" s="330"/>
      <c r="M64" s="330"/>
      <c r="N64" s="330"/>
      <c r="O64" s="330"/>
    </row>
    <row r="65" spans="3:15">
      <c r="C65" s="330"/>
      <c r="D65" s="330"/>
      <c r="E65" s="330"/>
      <c r="F65" s="330"/>
      <c r="G65" s="330"/>
      <c r="H65" s="330"/>
      <c r="I65" s="330"/>
      <c r="J65" s="330"/>
      <c r="K65" s="330"/>
      <c r="L65" s="330"/>
      <c r="M65" s="330"/>
      <c r="N65" s="330"/>
      <c r="O65" s="330"/>
    </row>
    <row r="66" spans="3:15">
      <c r="C66" s="330"/>
      <c r="D66" s="330"/>
      <c r="E66" s="330"/>
      <c r="F66" s="330"/>
      <c r="G66" s="330"/>
      <c r="H66" s="330"/>
      <c r="I66" s="330"/>
      <c r="J66" s="330"/>
      <c r="K66" s="330"/>
      <c r="L66" s="330"/>
      <c r="M66" s="330"/>
      <c r="N66" s="330"/>
      <c r="O66" s="330"/>
    </row>
    <row r="67" spans="3:15">
      <c r="C67" s="330"/>
      <c r="D67" s="330"/>
      <c r="E67" s="330"/>
      <c r="F67" s="330"/>
      <c r="G67" s="330"/>
      <c r="H67" s="330"/>
      <c r="I67" s="330"/>
    </row>
    <row r="68" spans="3:15">
      <c r="C68" s="330"/>
      <c r="D68" s="330"/>
      <c r="E68" s="330"/>
      <c r="F68" s="330"/>
      <c r="G68" s="330"/>
      <c r="H68" s="330"/>
      <c r="I68" s="330"/>
    </row>
    <row r="69" spans="3:15">
      <c r="C69" s="330"/>
    </row>
  </sheetData>
  <phoneticPr fontId="11" type="noConversion"/>
  <hyperlinks>
    <hyperlink ref="B47" location="Index!A5" display="Return to Index" xr:uid="{00000000-0004-0000-0500-000000000000}"/>
    <hyperlink ref="A1" location="Index!A5" display="Return to Index" xr:uid="{00000000-0004-0000-0500-000001000000}"/>
    <hyperlink ref="U1" location="MoreAboutData!A4" display="More about the data" xr:uid="{00000000-0004-0000-0500-000002000000}"/>
  </hyperlinks>
  <pageMargins left="0.17" right="0.17" top="0.47" bottom="0.24" header="0.35" footer="0.16"/>
  <pageSetup scale="54" orientation="landscape" r:id="rId1"/>
  <headerFooter alignWithMargins="0"/>
  <colBreaks count="1" manualBreakCount="1">
    <brk id="17" min="1" max="35" man="1"/>
  </colBreak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A1:M35"/>
  <sheetViews>
    <sheetView showGridLines="0" topLeftCell="A2" zoomScaleNormal="100" workbookViewId="0">
      <selection activeCell="A2" sqref="A2"/>
    </sheetView>
  </sheetViews>
  <sheetFormatPr defaultColWidth="9" defaultRowHeight="12.75" customHeight="1"/>
  <cols>
    <col min="1" max="1" width="10.75" style="6" customWidth="1"/>
    <col min="2" max="2" width="46" style="6" customWidth="1"/>
    <col min="3" max="3" width="15.625" style="6" customWidth="1"/>
    <col min="4" max="4" width="2.875" style="6" customWidth="1"/>
    <col min="5" max="5" width="12.5" style="6" customWidth="1"/>
    <col min="6" max="6" width="62.5" style="6" bestFit="1" customWidth="1"/>
    <col min="7" max="7" width="16.375" style="6" bestFit="1" customWidth="1"/>
    <col min="8" max="8" width="62.5" style="6" bestFit="1" customWidth="1"/>
    <col min="9" max="9" width="9.875" style="6" bestFit="1" customWidth="1"/>
    <col min="10" max="16384" width="9" style="6"/>
  </cols>
  <sheetData>
    <row r="1" spans="1:13" hidden="1">
      <c r="H1" s="16"/>
      <c r="M1" s="6" t="str">
        <f>IF(VLOOKUP(A6,town351,18)&gt;0,"lo","hi")</f>
        <v>lo</v>
      </c>
    </row>
    <row r="2" spans="1:13" ht="12.75" customHeight="1">
      <c r="A2" s="226" t="s">
        <v>84</v>
      </c>
      <c r="G2" s="282" t="s">
        <v>2096</v>
      </c>
    </row>
    <row r="3" spans="1:13" ht="24" customHeight="1">
      <c r="A3" s="227" t="s">
        <v>524</v>
      </c>
      <c r="E3" s="181"/>
      <c r="F3" s="181"/>
      <c r="G3" s="181"/>
      <c r="H3" s="181"/>
    </row>
    <row r="4" spans="1:13" ht="24" customHeight="1">
      <c r="A4" s="241" t="s">
        <v>138</v>
      </c>
      <c r="E4" s="181"/>
      <c r="F4" s="181"/>
      <c r="G4" s="181"/>
      <c r="H4" s="181"/>
    </row>
    <row r="5" spans="1:13" ht="20.100000000000001" customHeight="1">
      <c r="A5" s="229" t="str">
        <f>parameters!B1&amp;" Chapter 70 Determination of City and Town Total Required Contribution"</f>
        <v>FY25 Chapter 70 Determination of City and Town Total Required Contribution</v>
      </c>
      <c r="E5" s="180"/>
      <c r="F5" s="180"/>
      <c r="G5" s="180"/>
      <c r="H5" s="180"/>
    </row>
    <row r="6" spans="1:13" ht="28.35" customHeight="1">
      <c r="A6" s="264">
        <f>lea</f>
        <v>999</v>
      </c>
      <c r="B6" s="232" t="str">
        <f>IF(lea&gt;351, "This lea code does not refer to a city or a town - this table shows municipal data only",VLOOKUP(A6,aidcalc,2))</f>
        <v>This lea code does not refer to a city or a town - this table shows municipal data only</v>
      </c>
    </row>
    <row r="7" spans="1:13" ht="12.75" customHeight="1">
      <c r="A7" s="239"/>
      <c r="B7" s="239"/>
      <c r="C7" s="239"/>
      <c r="D7" s="239"/>
      <c r="E7" s="239"/>
      <c r="F7" s="239"/>
      <c r="G7" s="239"/>
      <c r="H7" s="239"/>
    </row>
    <row r="8" spans="1:13" ht="18.600000000000001" customHeight="1">
      <c r="A8" s="245" t="s">
        <v>111</v>
      </c>
      <c r="B8" s="194"/>
      <c r="C8" s="194"/>
      <c r="D8" s="194"/>
      <c r="E8" s="246" t="str">
        <f>parameters!B1&amp;" Increments Toward Goal"</f>
        <v>FY25 Increments Toward Goal</v>
      </c>
      <c r="F8" s="194"/>
      <c r="G8" s="194"/>
    </row>
    <row r="9" spans="1:13" ht="12.75" customHeight="1">
      <c r="A9" s="180"/>
      <c r="B9" s="194"/>
      <c r="C9" s="194"/>
      <c r="D9" s="194"/>
      <c r="E9" s="194"/>
      <c r="F9" s="194"/>
      <c r="G9" s="194"/>
    </row>
    <row r="10" spans="1:13" s="139" customFormat="1" ht="19.350000000000001" customHeight="1">
      <c r="A10" s="284" t="s">
        <v>114</v>
      </c>
      <c r="B10" s="290" t="s">
        <v>2300</v>
      </c>
      <c r="C10" s="288" t="str">
        <f>IF(A6&lt;352,VLOOKUP($A$6,town351,3)," ")</f>
        <v xml:space="preserve"> </v>
      </c>
      <c r="D10" s="288"/>
      <c r="E10" s="284" t="s">
        <v>126</v>
      </c>
      <c r="F10" s="287" t="str">
        <f>PYr&amp;" required local contribution"</f>
        <v>FY24 required local contribution</v>
      </c>
      <c r="G10" s="288" t="str">
        <f>IF(A6&lt;352,VLOOKUP($A$6,town351,14)," ")</f>
        <v xml:space="preserve"> </v>
      </c>
    </row>
    <row r="11" spans="1:13" s="139" customFormat="1" ht="19.350000000000001" customHeight="1">
      <c r="A11" s="284" t="s">
        <v>115</v>
      </c>
      <c r="B11" s="290" t="s">
        <v>2148</v>
      </c>
      <c r="C11" s="291" t="str">
        <f>IF(A6&lt;352,'Townwide Contributions'!D5," ")</f>
        <v xml:space="preserve"> </v>
      </c>
      <c r="D11" s="291"/>
      <c r="E11" s="284" t="s">
        <v>127</v>
      </c>
      <c r="F11" s="287" t="s">
        <v>403</v>
      </c>
      <c r="G11" s="286" t="str">
        <f>IF(A$6&lt;352,VLOOKUP($A$6,town351,15)," ")</f>
        <v xml:space="preserve"> </v>
      </c>
    </row>
    <row r="12" spans="1:13" s="139" customFormat="1" ht="19.350000000000001" customHeight="1">
      <c r="A12" s="284" t="s">
        <v>116</v>
      </c>
      <c r="B12" s="285" t="s">
        <v>112</v>
      </c>
      <c r="C12" s="288" t="str">
        <f>IF(A6&lt;352,VLOOKUP($A$6,town351,4)," ")</f>
        <v xml:space="preserve"> </v>
      </c>
      <c r="D12" s="288"/>
      <c r="E12" s="284" t="s">
        <v>128</v>
      </c>
      <c r="F12" s="287" t="str">
        <f>parameters!B1&amp;" preliminary contribution (13 raised by 14)"</f>
        <v>FY25 preliminary contribution (13 raised by 14)</v>
      </c>
      <c r="G12" s="288" t="str">
        <f>IF(A$6&lt;352,VLOOKUP($A$6,town351,16)," ")</f>
        <v xml:space="preserve"> </v>
      </c>
    </row>
    <row r="13" spans="1:13" s="139" customFormat="1" ht="19.350000000000001" customHeight="1">
      <c r="A13" s="284"/>
      <c r="B13" s="285"/>
      <c r="C13" s="288"/>
      <c r="D13" s="288"/>
      <c r="E13" s="284" t="s">
        <v>129</v>
      </c>
      <c r="F13" s="287" t="s">
        <v>2159</v>
      </c>
      <c r="G13" s="286" t="str">
        <f>IF(A$6&lt;352,VLOOKUP($A$6,town351,17)/100," ")</f>
        <v xml:space="preserve"> </v>
      </c>
    </row>
    <row r="14" spans="1:13" s="139" customFormat="1" ht="19.350000000000001" customHeight="1">
      <c r="A14" s="284" t="s">
        <v>117</v>
      </c>
      <c r="B14" s="285" t="s">
        <v>2314</v>
      </c>
      <c r="C14" s="288" t="str">
        <f>IF(A6&lt;352,VLOOKUP($A$6,town351,5)," ")</f>
        <v xml:space="preserve"> </v>
      </c>
      <c r="D14" s="288"/>
      <c r="E14" s="290"/>
      <c r="F14" s="290"/>
      <c r="G14" s="290"/>
    </row>
    <row r="15" spans="1:13" s="139" customFormat="1" ht="19.350000000000001" customHeight="1">
      <c r="A15" s="284" t="s">
        <v>118</v>
      </c>
      <c r="B15" s="285" t="s">
        <v>2149</v>
      </c>
      <c r="C15" s="292" t="str">
        <f>IF(A6&lt;352,'Townwide Contributions'!F5," ")</f>
        <v xml:space="preserve"> </v>
      </c>
      <c r="D15" s="292"/>
      <c r="E15" s="293" t="s">
        <v>396</v>
      </c>
      <c r="F15" s="290"/>
      <c r="G15" s="290"/>
    </row>
    <row r="16" spans="1:13" s="139" customFormat="1" ht="19.350000000000001" customHeight="1">
      <c r="A16" s="284" t="s">
        <v>119</v>
      </c>
      <c r="B16" s="285" t="s">
        <v>113</v>
      </c>
      <c r="C16" s="288" t="str">
        <f>IF(A6&lt;352,VLOOKUP($A$6,town351,6)," ")</f>
        <v xml:space="preserve"> </v>
      </c>
      <c r="D16" s="288"/>
      <c r="E16" s="284" t="s">
        <v>130</v>
      </c>
      <c r="F16" s="287" t="s">
        <v>397</v>
      </c>
      <c r="G16" s="288" t="str">
        <f>IF(AND(A$6&lt;352,M$1="hi"),VLOOKUP($A$6,town351,21)," ")</f>
        <v xml:space="preserve"> </v>
      </c>
    </row>
    <row r="17" spans="1:9" s="139" customFormat="1" ht="19.350000000000001" customHeight="1">
      <c r="A17" s="284"/>
      <c r="B17" s="285"/>
      <c r="C17" s="288"/>
      <c r="D17" s="288"/>
      <c r="E17" s="284" t="s">
        <v>134</v>
      </c>
      <c r="F17" s="287" t="str">
        <f>parameters!$C$50&amp;" reduction toward target (17 x "&amp;parameters!$C$50&amp;")"</f>
        <v>100% reduction toward target (17 x 100%)</v>
      </c>
      <c r="G17" s="288" t="str">
        <f>IF(AND(A$6&lt;352,M$1="hi"),VLOOKUP($A$6,town351,22)," ")</f>
        <v xml:space="preserve"> </v>
      </c>
    </row>
    <row r="18" spans="1:9" s="139" customFormat="1" ht="19.350000000000001" customHeight="1">
      <c r="A18" s="284" t="s">
        <v>120</v>
      </c>
      <c r="B18" s="285" t="s">
        <v>2154</v>
      </c>
      <c r="C18" s="288" t="str">
        <f>IF(A6&lt;352,VLOOKUP($A$6,town351,7)," ")</f>
        <v xml:space="preserve"> </v>
      </c>
      <c r="D18" s="288"/>
      <c r="E18" s="284" t="s">
        <v>83</v>
      </c>
      <c r="F18" s="287" t="str">
        <f>parameters!B1&amp;" required local contribution (15 - 18), capped at 90% of foundation"</f>
        <v>FY25 required local contribution (15 - 18), capped at 90% of foundation</v>
      </c>
      <c r="G18" s="289" t="str">
        <f>IF(AND(A$6&lt;352,M$1="hi"),VLOOKUP($A$6,town351,24)," ")</f>
        <v xml:space="preserve"> </v>
      </c>
    </row>
    <row r="19" spans="1:9" s="139" customFormat="1" ht="19.350000000000001" customHeight="1">
      <c r="A19" s="285"/>
      <c r="B19" s="285"/>
      <c r="C19" s="288"/>
      <c r="D19" s="288"/>
      <c r="E19" s="284" t="s">
        <v>394</v>
      </c>
      <c r="F19" s="287" t="s">
        <v>395</v>
      </c>
      <c r="G19" s="286" t="str">
        <f>IF(AND(A$6&lt;352,M$1="hi"),VLOOKUP($A$6,town351,25)/100," ")</f>
        <v xml:space="preserve"> </v>
      </c>
    </row>
    <row r="20" spans="1:9" s="139" customFormat="1" ht="19.350000000000001" customHeight="1">
      <c r="A20" s="284" t="s">
        <v>121</v>
      </c>
      <c r="B20" s="285" t="str">
        <f>parameters!B1&amp;" Foundation budget"</f>
        <v>FY25 Foundation budget</v>
      </c>
      <c r="C20" s="288" t="str">
        <f>IF(A6&lt;352,VLOOKUP($A$6,town351,8)," ")</f>
        <v xml:space="preserve"> </v>
      </c>
      <c r="D20" s="288"/>
      <c r="E20" s="290"/>
      <c r="F20" s="290"/>
      <c r="G20" s="290"/>
    </row>
    <row r="21" spans="1:9" s="139" customFormat="1" ht="19.350000000000001" customHeight="1">
      <c r="A21" s="284" t="s">
        <v>122</v>
      </c>
      <c r="B21" s="285" t="s">
        <v>2155</v>
      </c>
      <c r="C21" s="288" t="str">
        <f>IF(A6&lt;352,VLOOKUP($A$6,town351,10)," ")</f>
        <v xml:space="preserve"> </v>
      </c>
      <c r="D21" s="288"/>
      <c r="E21" s="293" t="s">
        <v>385</v>
      </c>
      <c r="F21" s="290"/>
      <c r="G21" s="290"/>
    </row>
    <row r="22" spans="1:9" s="139" customFormat="1" ht="19.350000000000001" customHeight="1">
      <c r="A22" s="284"/>
      <c r="B22" s="285"/>
      <c r="C22" s="288"/>
      <c r="D22" s="288"/>
      <c r="E22" s="284" t="s">
        <v>398</v>
      </c>
      <c r="F22" s="287" t="s">
        <v>2195</v>
      </c>
      <c r="G22" s="288" t="str">
        <f>IF(AND(A$6&lt;352,M1="lo"),-1*VLOOKUP($A$6,town351,27)," ")</f>
        <v xml:space="preserve"> </v>
      </c>
      <c r="H22" s="359"/>
      <c r="I22" s="419"/>
    </row>
    <row r="23" spans="1:9" s="139" customFormat="1" ht="19.350000000000001" customHeight="1">
      <c r="A23" s="284" t="s">
        <v>123</v>
      </c>
      <c r="B23" s="285" t="s">
        <v>2156</v>
      </c>
      <c r="C23" s="288" t="str">
        <f>IF(A6&lt;352,VLOOKUP($A$6,town351,11)," ")</f>
        <v xml:space="preserve"> </v>
      </c>
      <c r="D23" s="288"/>
      <c r="E23" s="284" t="s">
        <v>399</v>
      </c>
      <c r="F23" s="287" t="s">
        <v>2196</v>
      </c>
      <c r="G23" s="286" t="str">
        <f>IF(AND(A$6&lt;352,M1="lo"),VLOOKUP($A$6,town351,18)/100," ")</f>
        <v xml:space="preserve"> </v>
      </c>
    </row>
    <row r="24" spans="1:9" s="139" customFormat="1" ht="19.350000000000001" customHeight="1">
      <c r="A24" s="290"/>
      <c r="B24" s="290"/>
      <c r="C24" s="290"/>
      <c r="D24" s="290"/>
      <c r="E24" s="284" t="s">
        <v>136</v>
      </c>
      <c r="F24" s="287" t="s">
        <v>644</v>
      </c>
      <c r="G24" s="288" t="str">
        <f>IF(AND(A$6&lt;352,M1="lo"),VLOOKUP($A$6,town351,20)," ")</f>
        <v xml:space="preserve"> </v>
      </c>
    </row>
    <row r="25" spans="1:9" s="139" customFormat="1" ht="19.350000000000001" customHeight="1">
      <c r="A25" s="284" t="s">
        <v>124</v>
      </c>
      <c r="B25" s="285" t="s">
        <v>2157</v>
      </c>
      <c r="C25" s="286" t="str">
        <f>IF(A6&lt;352,VLOOKUP(lea,town351,12)/100," ")</f>
        <v xml:space="preserve"> </v>
      </c>
      <c r="D25" s="286"/>
      <c r="E25" s="284"/>
      <c r="F25" s="294" t="s">
        <v>666</v>
      </c>
    </row>
    <row r="26" spans="1:9" s="139" customFormat="1" ht="19.350000000000001" customHeight="1">
      <c r="A26" s="284" t="s">
        <v>125</v>
      </c>
      <c r="B26" s="285" t="s">
        <v>2158</v>
      </c>
      <c r="C26" s="286" t="str">
        <f>IF(A6&lt;352,VLOOKUP(lea,aidcalc,13)/100," ")</f>
        <v xml:space="preserve"> </v>
      </c>
      <c r="D26" s="286"/>
      <c r="E26" s="284" t="s">
        <v>402</v>
      </c>
      <c r="F26" s="287" t="s">
        <v>2147</v>
      </c>
      <c r="G26" s="360" t="str">
        <f>IF(AND(A$6&lt;352,M1="lo"),VLOOKUP($A$6,town351,23)," ")</f>
        <v xml:space="preserve"> </v>
      </c>
    </row>
    <row r="27" spans="1:9" s="139" customFormat="1" ht="19.350000000000001" customHeight="1">
      <c r="A27" s="290"/>
      <c r="B27" s="290"/>
      <c r="C27" s="288"/>
      <c r="D27" s="288"/>
      <c r="F27" s="351" t="s">
        <v>2163</v>
      </c>
      <c r="G27" s="286"/>
    </row>
    <row r="28" spans="1:9" ht="19.350000000000001" customHeight="1">
      <c r="A28" s="194"/>
      <c r="B28" s="194"/>
      <c r="C28" s="185"/>
      <c r="D28" s="185"/>
      <c r="E28" s="139"/>
      <c r="F28" s="287" t="s">
        <v>2161</v>
      </c>
      <c r="G28" s="420" t="str">
        <f>IF(AND(A$6&lt;352,M1="lo"),IF(VLOOKUP($A$6,town351,9)&gt;175%,VLOOKUP($A$6,town351,9)," "),"")</f>
        <v/>
      </c>
    </row>
    <row r="29" spans="1:9" ht="19.350000000000001" customHeight="1">
      <c r="B29" s="230" t="s">
        <v>131</v>
      </c>
      <c r="C29" s="9"/>
      <c r="D29" s="9"/>
      <c r="E29" s="284" t="s">
        <v>137</v>
      </c>
      <c r="F29" s="287" t="s">
        <v>2198</v>
      </c>
      <c r="G29" s="288" t="str">
        <f>IF(AND(A$6&lt;352,M1="lo"),-1*VLOOKUP($A$6,town351,28)," ")</f>
        <v xml:space="preserve"> </v>
      </c>
    </row>
    <row r="30" spans="1:9" ht="19.350000000000001" customHeight="1">
      <c r="B30" s="230"/>
      <c r="C30" s="9"/>
      <c r="D30" s="9"/>
      <c r="E30" s="284" t="s">
        <v>2162</v>
      </c>
      <c r="F30" s="287" t="str">
        <f>parameters!B1&amp;" required local contribution (15 + 23 + 24)"</f>
        <v>FY25 required local contribution (15 + 23 + 24)</v>
      </c>
      <c r="G30" s="289" t="str">
        <f>IF(AND(A$6&lt;352,M1="lo"),VLOOKUP($A$6,town351,24)," ")</f>
        <v xml:space="preserve"> </v>
      </c>
      <c r="H30" s="9"/>
    </row>
    <row r="31" spans="1:9" ht="19.350000000000001" customHeight="1">
      <c r="B31" s="178"/>
      <c r="C31" s="9"/>
      <c r="D31" s="9"/>
      <c r="E31" s="284" t="s">
        <v>2194</v>
      </c>
      <c r="F31" s="287" t="s">
        <v>2197</v>
      </c>
      <c r="G31" s="286" t="str">
        <f>IF(AND(A$6&lt;352,M1="lo"),VLOOKUP($A$6,town351,25)/100," ")</f>
        <v xml:space="preserve"> </v>
      </c>
    </row>
    <row r="32" spans="1:9" ht="12.75" customHeight="1">
      <c r="A32" s="6" t="s">
        <v>2580</v>
      </c>
      <c r="C32" s="129"/>
      <c r="D32" s="129"/>
    </row>
    <row r="34" spans="2:2" ht="12.75" customHeight="1">
      <c r="B34" s="178"/>
    </row>
    <row r="35" spans="2:2" ht="12.75" customHeight="1">
      <c r="B35" s="178"/>
    </row>
  </sheetData>
  <phoneticPr fontId="0" type="noConversion"/>
  <hyperlinks>
    <hyperlink ref="A2" location="Index!A5" display="Return to Index" xr:uid="{00000000-0004-0000-0600-000000000000}"/>
    <hyperlink ref="B29" location="'townwide contributions'!A1" display="See a listing of all 351 communities" xr:uid="{00000000-0004-0000-0600-000001000000}"/>
    <hyperlink ref="G2" location="MoreAboutData!A4" display="More about the data" xr:uid="{00000000-0004-0000-0600-000002000000}"/>
  </hyperlinks>
  <printOptions horizontalCentered="1"/>
  <pageMargins left="0.5" right="0.5" top="1" bottom="1" header="0.5" footer="0.5"/>
  <pageSetup scale="7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A1:P31"/>
  <sheetViews>
    <sheetView showGridLines="0" topLeftCell="D1" zoomScaleNormal="100" workbookViewId="0">
      <selection activeCell="D1" sqref="D1"/>
    </sheetView>
  </sheetViews>
  <sheetFormatPr defaultColWidth="9" defaultRowHeight="15.75" customHeight="1"/>
  <cols>
    <col min="1" max="1" width="13.375" style="6" hidden="1" customWidth="1"/>
    <col min="2" max="2" width="18.25" style="6" hidden="1" customWidth="1"/>
    <col min="3" max="3" width="22.625" style="6" hidden="1" customWidth="1"/>
    <col min="4" max="4" width="6.125" style="6" customWidth="1"/>
    <col min="5" max="5" width="71" style="6" customWidth="1"/>
    <col min="6" max="7" width="16.625" style="6" customWidth="1"/>
    <col min="8" max="8" width="13.875" style="6" customWidth="1"/>
    <col min="9" max="9" width="15" style="6" customWidth="1"/>
    <col min="10" max="10" width="17.25" style="6" customWidth="1"/>
    <col min="11" max="11" width="9" style="6"/>
    <col min="12" max="12" width="10.25" style="6" bestFit="1" customWidth="1"/>
    <col min="13" max="16384" width="9" style="6"/>
  </cols>
  <sheetData>
    <row r="1" spans="1:11" ht="3.6" customHeight="1">
      <c r="E1" s="179"/>
      <c r="J1" s="282" t="s">
        <v>2096</v>
      </c>
    </row>
    <row r="2" spans="1:11" ht="15.75" customHeight="1">
      <c r="D2" s="179" t="s">
        <v>84</v>
      </c>
    </row>
    <row r="3" spans="1:11" ht="20.100000000000001" customHeight="1">
      <c r="D3" s="227" t="s">
        <v>524</v>
      </c>
      <c r="F3" s="240"/>
      <c r="G3" s="240"/>
      <c r="H3" s="240"/>
      <c r="I3" s="240"/>
      <c r="J3" s="240"/>
    </row>
    <row r="4" spans="1:11" ht="20.100000000000001" customHeight="1">
      <c r="D4" s="241" t="s">
        <v>138</v>
      </c>
      <c r="F4" s="240"/>
      <c r="G4" s="240"/>
      <c r="H4" s="240"/>
      <c r="I4" s="240"/>
      <c r="J4" s="240"/>
    </row>
    <row r="5" spans="1:11" ht="21" customHeight="1">
      <c r="D5" s="229" t="str">
        <f>CYr&amp; " Chapter 70 Apportionment of Local Contribution Across School Districts"</f>
        <v>FY25 Chapter 70 Apportionment of Local Contribution Across School Districts</v>
      </c>
      <c r="F5" s="10"/>
      <c r="G5" s="10"/>
      <c r="H5" s="10"/>
      <c r="I5" s="10"/>
      <c r="J5" s="12"/>
    </row>
    <row r="6" spans="1:11" ht="20.100000000000001" hidden="1" customHeight="1">
      <c r="D6" s="181"/>
      <c r="F6" s="181"/>
      <c r="G6" s="181"/>
      <c r="H6" s="181"/>
      <c r="I6" s="181"/>
      <c r="J6" s="181"/>
      <c r="K6" s="180"/>
    </row>
    <row r="7" spans="1:11" ht="18" hidden="1" customHeight="1">
      <c r="D7" s="221"/>
      <c r="E7" s="6">
        <v>4</v>
      </c>
      <c r="F7" s="6">
        <v>4</v>
      </c>
      <c r="G7" s="6">
        <v>3</v>
      </c>
      <c r="H7" s="6">
        <v>2</v>
      </c>
      <c r="I7" s="6">
        <v>1</v>
      </c>
      <c r="J7" s="221"/>
    </row>
    <row r="8" spans="1:11" ht="15.6" hidden="1" customHeight="1">
      <c r="F8" s="7"/>
      <c r="G8" s="12"/>
      <c r="H8" s="12" t="s">
        <v>72</v>
      </c>
      <c r="I8" s="12" t="s">
        <v>72</v>
      </c>
      <c r="J8" s="12"/>
    </row>
    <row r="9" spans="1:11" ht="42" customHeight="1">
      <c r="A9" s="6">
        <v>5</v>
      </c>
      <c r="D9" s="221">
        <f>lea</f>
        <v>999</v>
      </c>
      <c r="E9" s="182" t="str">
        <f>IF($D$9&gt;351, "", IF(AND($D$9&gt;0, VLOOKUP($D$9*5-E$7, order1755, $A9)&lt;&gt;0), VLOOKUP($D$9*5-E$7, order1755, $A9), ""))</f>
        <v/>
      </c>
      <c r="F9" s="183" t="str">
        <f>IF(OR($D$9="", $D$9&gt;351), "", IF(AND($D$9&gt;0, VLOOKUP($D$9*5-F$7, order1755, $A9)&lt;&gt;0), VLOOKUP($D$9*5-F$7, order1755, $A9), ""))</f>
        <v/>
      </c>
      <c r="G9" s="183" t="str">
        <f>IF(OR($D$9="", $D$9&gt;351), "", IF(AND($D$9&gt;0, VLOOKUP($D$9*5-G$7, order1755, $A9)&lt;&gt;0), VLOOKUP($D$9*5-G$7, order1755, $A9), ""))</f>
        <v/>
      </c>
      <c r="H9" s="183" t="str">
        <f>IF(OR($D$9="", $D$9&gt;351), "", IF(AND($D$9&gt;0, VLOOKUP($D$9*5-H$7, order1755, $A9)&lt;&gt;0), VLOOKUP($D$9*5-H$7, order1755, $A9), ""))</f>
        <v/>
      </c>
      <c r="I9" s="183" t="str">
        <f>IF(OR($D$9="", $D$9&gt;351), "", IF(AND($D$9&gt;0, VLOOKUP($D$9*5-I$7, order1755, $A9)&lt;&gt;0), VLOOKUP($D$9*5-I$7, order1755, $A9), ""))</f>
        <v/>
      </c>
      <c r="J9" s="184" t="s">
        <v>1549</v>
      </c>
    </row>
    <row r="10" spans="1:11" ht="5.45" customHeight="1">
      <c r="A10" s="6">
        <v>6</v>
      </c>
      <c r="F10" s="185"/>
      <c r="G10" s="185"/>
      <c r="H10" s="185"/>
      <c r="I10" s="185"/>
      <c r="J10" s="185"/>
    </row>
    <row r="11" spans="1:11" ht="20.100000000000001" customHeight="1">
      <c r="E11" s="186" t="s">
        <v>172</v>
      </c>
      <c r="F11" s="185"/>
      <c r="G11" s="185"/>
      <c r="H11" s="185"/>
      <c r="I11" s="185"/>
      <c r="J11" s="185"/>
    </row>
    <row r="12" spans="1:11" ht="0.6" customHeight="1">
      <c r="E12" s="186"/>
      <c r="F12" s="185"/>
      <c r="G12" s="185"/>
      <c r="H12" s="185"/>
      <c r="I12" s="185"/>
      <c r="J12" s="185"/>
    </row>
    <row r="13" spans="1:11" ht="20.45" customHeight="1">
      <c r="A13" s="6">
        <v>15</v>
      </c>
      <c r="D13" s="187">
        <v>1</v>
      </c>
      <c r="E13" s="187" t="str">
        <f>parameters!B2&amp;" foundation enrollment"</f>
        <v>FY24 foundation enrollment</v>
      </c>
      <c r="F13" s="188" t="str">
        <f t="shared" ref="F13:I16" si="0">IF(OR($D$9="", $D$9&gt;351), "", IF(AND($D$9&gt;0, VLOOKUP($D$9*5-F$7, order1755, $A13)&lt;&gt;0), VLOOKUP($D$9*5-F$7, order1755, $A13), ""))</f>
        <v/>
      </c>
      <c r="G13" s="188" t="str">
        <f t="shared" si="0"/>
        <v/>
      </c>
      <c r="H13" s="188" t="str">
        <f t="shared" si="0"/>
        <v/>
      </c>
      <c r="I13" s="188" t="str">
        <f t="shared" si="0"/>
        <v/>
      </c>
      <c r="J13" s="188" t="str">
        <f>IF(OR($D$9="", $D$9&gt;351), "", VLOOKUP($D$9*5, order1755, $A13))</f>
        <v/>
      </c>
    </row>
    <row r="14" spans="1:11" ht="20.45" customHeight="1">
      <c r="A14" s="6">
        <v>6</v>
      </c>
      <c r="D14" s="187">
        <v>2</v>
      </c>
      <c r="E14" s="187" t="str">
        <f>parameters!B2&amp;" foundation budget"</f>
        <v>FY24 foundation budget</v>
      </c>
      <c r="F14" s="188" t="str">
        <f t="shared" si="0"/>
        <v/>
      </c>
      <c r="G14" s="188" t="str">
        <f t="shared" si="0"/>
        <v/>
      </c>
      <c r="H14" s="188" t="str">
        <f t="shared" si="0"/>
        <v/>
      </c>
      <c r="I14" s="188" t="str">
        <f t="shared" si="0"/>
        <v/>
      </c>
      <c r="J14" s="188" t="str">
        <f>IF(OR($D$9="", $D$9&gt;351), "", VLOOKUP($D$9*5, order1755, $A14))</f>
        <v/>
      </c>
    </row>
    <row r="15" spans="1:11" ht="20.45" customHeight="1">
      <c r="A15" s="189">
        <v>7</v>
      </c>
      <c r="B15" s="190"/>
      <c r="C15" s="190"/>
      <c r="D15" s="191">
        <v>3</v>
      </c>
      <c r="E15" s="192" t="str">
        <f>"Each district's share of municipality's combined "&amp; parameters!B2&amp;" foundation"</f>
        <v>Each district's share of municipality's combined FY24 foundation</v>
      </c>
      <c r="F15" s="193" t="str">
        <f t="shared" si="0"/>
        <v/>
      </c>
      <c r="G15" s="193" t="str">
        <f t="shared" si="0"/>
        <v/>
      </c>
      <c r="H15" s="193" t="str">
        <f t="shared" si="0"/>
        <v/>
      </c>
      <c r="I15" s="193" t="str">
        <f t="shared" si="0"/>
        <v/>
      </c>
      <c r="J15" s="193" t="str">
        <f>IF(OR($D$9="", $D$9&gt;351), "", VLOOKUP($D$9*5, order1755, $A15))</f>
        <v/>
      </c>
    </row>
    <row r="16" spans="1:11" ht="20.45" customHeight="1">
      <c r="A16" s="6">
        <v>12</v>
      </c>
      <c r="D16" s="187">
        <v>4</v>
      </c>
      <c r="E16" s="187" t="str">
        <f>parameters!B2&amp;" required contribution"</f>
        <v>FY24 required contribution</v>
      </c>
      <c r="F16" s="188" t="str">
        <f t="shared" si="0"/>
        <v/>
      </c>
      <c r="G16" s="188" t="str">
        <f t="shared" si="0"/>
        <v/>
      </c>
      <c r="H16" s="188" t="str">
        <f t="shared" si="0"/>
        <v/>
      </c>
      <c r="I16" s="188" t="str">
        <f t="shared" si="0"/>
        <v/>
      </c>
      <c r="J16" s="188" t="str">
        <f>IF(OR($D$9="", $D$9&gt;351), "", VLOOKUP($D$9*5, order1755, $A16))</f>
        <v/>
      </c>
    </row>
    <row r="17" spans="1:16" ht="25.5" customHeight="1">
      <c r="D17" s="194"/>
      <c r="E17" s="186" t="str">
        <f>parameters!B1&amp; " apportionment of contribution among community's districts"</f>
        <v>FY25 apportionment of contribution among community's districts</v>
      </c>
      <c r="F17" s="185"/>
      <c r="G17" s="185"/>
      <c r="H17" s="185"/>
      <c r="I17" s="185"/>
      <c r="J17" s="188"/>
    </row>
    <row r="18" spans="1:16" ht="21" customHeight="1">
      <c r="D18" s="191">
        <v>5</v>
      </c>
      <c r="E18" s="187" t="str">
        <f>parameters!B1&amp;" total unapportioned required contribution ('municipal contribution' tab row 19 or 25)"</f>
        <v>FY25 total unapportioned required contribution ('municipal contribution' tab row 19 or 25)</v>
      </c>
      <c r="F18" s="185"/>
      <c r="G18" s="185"/>
      <c r="H18" s="185"/>
      <c r="I18" s="185"/>
      <c r="J18" s="188" t="str">
        <f>IF(OR($D$9="", $D$9&gt;351), "", VLOOKUP($D$9,town351,24))</f>
        <v/>
      </c>
      <c r="L18" s="9"/>
    </row>
    <row r="19" spans="1:16" ht="21" customHeight="1">
      <c r="A19" s="189">
        <v>20</v>
      </c>
      <c r="B19" s="189"/>
      <c r="C19" s="189"/>
      <c r="D19" s="187">
        <v>6</v>
      </c>
      <c r="E19" s="191" t="str">
        <f>parameters!B1&amp;" foundation enrollment"</f>
        <v>FY25 foundation enrollment</v>
      </c>
      <c r="F19" s="195" t="str">
        <f t="shared" ref="F19:I22" si="1">IF(OR($D$9="", $D$9&gt;351), "", IF(AND($D$9&gt;0, VLOOKUP($D$9*5-F$7, order1755, $A19)&lt;&gt;0), VLOOKUP($D$9*5-F$7, order1755, $A19), ""))</f>
        <v/>
      </c>
      <c r="G19" s="195" t="str">
        <f t="shared" si="1"/>
        <v/>
      </c>
      <c r="H19" s="195" t="str">
        <f t="shared" si="1"/>
        <v/>
      </c>
      <c r="I19" s="195" t="str">
        <f t="shared" si="1"/>
        <v/>
      </c>
      <c r="J19" s="195" t="str">
        <f>IF(OR($D$9="", $D$9&gt;351), "", VLOOKUP($D$9*5, order1755, $A19))</f>
        <v/>
      </c>
      <c r="K19" s="189"/>
      <c r="L19" s="189"/>
      <c r="M19" s="189"/>
      <c r="N19" s="189"/>
      <c r="O19" s="189"/>
      <c r="P19" s="189"/>
    </row>
    <row r="20" spans="1:16" ht="21" customHeight="1">
      <c r="A20" s="6">
        <v>8</v>
      </c>
      <c r="D20" s="187">
        <v>7</v>
      </c>
      <c r="E20" s="187" t="str">
        <f>parameters!B1&amp;" foundation budget"</f>
        <v>FY25 foundation budget</v>
      </c>
      <c r="F20" s="188" t="str">
        <f t="shared" si="1"/>
        <v/>
      </c>
      <c r="G20" s="188" t="str">
        <f t="shared" si="1"/>
        <v/>
      </c>
      <c r="H20" s="188" t="str">
        <f t="shared" si="1"/>
        <v/>
      </c>
      <c r="I20" s="188" t="str">
        <f t="shared" si="1"/>
        <v/>
      </c>
      <c r="J20" s="188" t="str">
        <f>IF(OR($D$9="", $D$9&gt;351), "", VLOOKUP($D$9*5, order1755, $A20))</f>
        <v/>
      </c>
    </row>
    <row r="21" spans="1:16" ht="21" customHeight="1">
      <c r="A21" s="6">
        <v>9</v>
      </c>
      <c r="D21" s="187">
        <v>8</v>
      </c>
      <c r="E21" s="187" t="str">
        <f>"Each district's share of municipality's total "&amp; parameters!B1&amp;" foundation "</f>
        <v xml:space="preserve">Each district's share of municipality's total FY25 foundation </v>
      </c>
      <c r="F21" s="196" t="str">
        <f t="shared" si="1"/>
        <v/>
      </c>
      <c r="G21" s="196" t="str">
        <f t="shared" si="1"/>
        <v/>
      </c>
      <c r="H21" s="196" t="str">
        <f t="shared" si="1"/>
        <v/>
      </c>
      <c r="I21" s="196" t="str">
        <f t="shared" si="1"/>
        <v/>
      </c>
      <c r="J21" s="196" t="str">
        <f>IF(OR($D$9="", $D$9&gt;351), "", VLOOKUP($D$9*5, order1755, $A21))</f>
        <v/>
      </c>
    </row>
    <row r="22" spans="1:16" ht="21" customHeight="1">
      <c r="A22" s="6">
        <v>11</v>
      </c>
      <c r="D22" s="187">
        <v>9</v>
      </c>
      <c r="E22" s="181" t="str">
        <f>parameters!B1&amp;" Required Contribution"</f>
        <v>FY25 Required Contribution</v>
      </c>
      <c r="F22" s="197" t="str">
        <f t="shared" si="1"/>
        <v/>
      </c>
      <c r="G22" s="197" t="str">
        <f t="shared" si="1"/>
        <v/>
      </c>
      <c r="H22" s="197" t="str">
        <f t="shared" si="1"/>
        <v/>
      </c>
      <c r="I22" s="197" t="str">
        <f t="shared" si="1"/>
        <v/>
      </c>
      <c r="J22" s="197">
        <f>VLOOKUP($D$9*5, order1755, $A22)</f>
        <v>7972055321</v>
      </c>
    </row>
    <row r="23" spans="1:16" ht="21" customHeight="1">
      <c r="D23" s="187"/>
      <c r="E23" s="181"/>
      <c r="F23" s="195"/>
      <c r="G23" s="195"/>
      <c r="H23" s="195"/>
      <c r="I23" s="195"/>
      <c r="J23" s="195"/>
    </row>
    <row r="24" spans="1:16" ht="18" customHeight="1">
      <c r="A24" s="6">
        <v>13</v>
      </c>
      <c r="D24" s="187">
        <v>10</v>
      </c>
      <c r="E24" s="187" t="str">
        <f>"Change "&amp;parameters!B1&amp;" to "&amp;parameters!B2&amp; " (9 - 4)"</f>
        <v>Change FY25 to FY24 (9 - 4)</v>
      </c>
      <c r="F24" s="188" t="str">
        <f>IF(OR($D$9="", $D$9&gt;351), "", IF(AND($D$9&gt;0, VLOOKUP($D$9*5-F$7, order1755, $A24)&lt;&gt;0), VLOOKUP($D$9*5-F$7, order1755, $A24), ""))</f>
        <v/>
      </c>
      <c r="G24" s="188" t="str">
        <f>IF(OR($D$9="", $D$9&gt;351), "", IF(AND($D$9&gt;0, VLOOKUP($D$9*5-G$7, order1755, $A24)&lt;&gt;0), VLOOKUP($D$9*5-G$7, order1755, $A24), ""))</f>
        <v/>
      </c>
      <c r="H24" s="188" t="str">
        <f>IF(OR($D$9="", $D$9&gt;351), "", IF(AND($D$9&gt;0, VLOOKUP($D$9*5-H$7, order1755, $A24)&lt;&gt;0), VLOOKUP($D$9*5-H$7, order1755, $A24), ""))</f>
        <v/>
      </c>
      <c r="I24" s="188" t="str">
        <f>IF(OR($D$9="", $D$9&gt;351), "", IF(AND($D$9&gt;0, VLOOKUP($D$9*5-I$7, order1755, $A24)&lt;&gt;0), VLOOKUP($D$9*5-I$7, order1755, $A24), ""))</f>
        <v/>
      </c>
      <c r="J24" s="188" t="str">
        <f>IF(OR($D$9="", $D$9&gt;351), "", VLOOKUP($D$9*5, order1755, $A24))</f>
        <v/>
      </c>
    </row>
    <row r="25" spans="1:16" ht="18" customHeight="1"/>
    <row r="26" spans="1:16" ht="15.75" customHeight="1">
      <c r="E26" s="167" t="s">
        <v>2207</v>
      </c>
      <c r="J26" s="9"/>
    </row>
    <row r="27" spans="1:16" ht="15.75" customHeight="1">
      <c r="A27" s="6" t="s">
        <v>2580</v>
      </c>
      <c r="D27" s="194"/>
      <c r="E27" s="187"/>
      <c r="F27" s="188"/>
      <c r="G27" s="188"/>
      <c r="H27" s="188"/>
      <c r="I27" s="188"/>
      <c r="J27" s="188"/>
    </row>
    <row r="28" spans="1:16" ht="15.75" customHeight="1">
      <c r="D28" s="194"/>
      <c r="E28" s="187"/>
      <c r="F28" s="188"/>
      <c r="G28" s="188"/>
      <c r="H28" s="188"/>
      <c r="I28" s="188"/>
      <c r="J28" s="188"/>
    </row>
    <row r="29" spans="1:16" ht="15.75" customHeight="1">
      <c r="D29" s="194"/>
      <c r="E29" s="187"/>
      <c r="F29" s="188"/>
      <c r="G29" s="188"/>
      <c r="H29" s="188"/>
      <c r="I29" s="188"/>
      <c r="J29" s="188"/>
      <c r="L29" s="188"/>
    </row>
    <row r="30" spans="1:16" ht="15.75" customHeight="1">
      <c r="D30" s="194"/>
      <c r="E30" s="187"/>
      <c r="F30" s="188"/>
      <c r="G30" s="188"/>
      <c r="H30" s="188"/>
      <c r="I30" s="188"/>
      <c r="J30" s="188"/>
    </row>
    <row r="31" spans="1:16" ht="15.75" customHeight="1">
      <c r="E31" s="187"/>
      <c r="F31" s="188"/>
      <c r="G31" s="188"/>
      <c r="H31" s="188"/>
      <c r="I31" s="188"/>
      <c r="J31" s="188"/>
    </row>
  </sheetData>
  <phoneticPr fontId="0" type="noConversion"/>
  <conditionalFormatting sqref="F30:J31">
    <cfRule type="cellIs" dxfId="27" priority="1" stopIfTrue="1" operator="greaterThan">
      <formula>10000</formula>
    </cfRule>
  </conditionalFormatting>
  <hyperlinks>
    <hyperlink ref="D2" location="Index!A5" display="Return to Index" xr:uid="{00000000-0004-0000-0700-000000000000}"/>
    <hyperlink ref="J1" location="MoreAboutData!A4" display="More about the data" xr:uid="{00000000-0004-0000-0700-000001000000}"/>
  </hyperlinks>
  <pageMargins left="0.17" right="0.17" top="0.4" bottom="0.75" header="0.22" footer="0.5"/>
  <pageSetup scale="88" orientation="landscape" r:id="rId1"/>
  <headerFooter alignWithMargins="0"/>
  <ignoredErrors>
    <ignoredError sqref="J22"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autoPageBreaks="0" fitToPage="1"/>
  </sheetPr>
  <dimension ref="A1:BA67"/>
  <sheetViews>
    <sheetView showGridLines="0" zoomScaleNormal="100" workbookViewId="0"/>
  </sheetViews>
  <sheetFormatPr defaultColWidth="9" defaultRowHeight="12.75" customHeight="1"/>
  <cols>
    <col min="1" max="1" width="1.375" style="165" customWidth="1"/>
    <col min="2" max="2" width="5.5" style="198" customWidth="1"/>
    <col min="3" max="3" width="41.375" style="198" customWidth="1"/>
    <col min="4" max="4" width="12.125" style="198" customWidth="1"/>
    <col min="5" max="5" width="3.625" style="198" customWidth="1"/>
    <col min="6" max="6" width="28.75" style="198" customWidth="1"/>
    <col min="7" max="7" width="14.75" style="198" customWidth="1"/>
    <col min="8" max="8" width="13.375" style="198" customWidth="1"/>
    <col min="9" max="9" width="10.625" style="198" customWidth="1"/>
    <col min="10" max="10" width="7.875" style="198" customWidth="1"/>
    <col min="11" max="11" width="18.375" style="198" customWidth="1"/>
    <col min="12" max="12" width="23.625" style="165" bestFit="1" customWidth="1"/>
    <col min="13" max="13" width="25.25" customWidth="1"/>
    <col min="14" max="14" width="20" customWidth="1"/>
    <col min="15" max="15" width="13.5" customWidth="1"/>
    <col min="16" max="16" width="14.75" customWidth="1"/>
    <col min="17" max="18" width="14.875" style="165" bestFit="1" customWidth="1"/>
    <col min="19" max="20" width="9" style="165"/>
    <col min="21" max="21" width="17.75" style="165" customWidth="1"/>
    <col min="22" max="22" width="13.125" style="165" customWidth="1"/>
    <col min="23" max="23" width="13.375" style="165" customWidth="1"/>
    <col min="24" max="24" width="14" style="165" customWidth="1"/>
    <col min="25" max="25" width="12.375" style="165" customWidth="1"/>
    <col min="26" max="26" width="11.625" style="165" customWidth="1"/>
    <col min="27" max="27" width="12.125" style="165" customWidth="1"/>
    <col min="28" max="28" width="12.625" style="165" customWidth="1"/>
    <col min="29" max="29" width="11.875" style="165" bestFit="1" customWidth="1"/>
    <col min="30" max="30" width="12" style="165" customWidth="1"/>
    <col min="31" max="31" width="11.875" style="165" bestFit="1" customWidth="1"/>
    <col min="32" max="32" width="12.75" style="165" bestFit="1" customWidth="1"/>
    <col min="33" max="35" width="11.5" style="165" customWidth="1"/>
    <col min="36" max="36" width="12.375" style="165" customWidth="1"/>
    <col min="37" max="37" width="11.75" style="165" customWidth="1"/>
    <col min="38" max="38" width="11.625" style="165" bestFit="1" customWidth="1"/>
    <col min="39" max="39" width="12.875" style="165" customWidth="1"/>
    <col min="40" max="40" width="12.5" style="165" customWidth="1"/>
    <col min="41" max="45" width="9" style="165"/>
    <col min="46" max="46" width="26.625" style="165" bestFit="1" customWidth="1"/>
    <col min="47" max="47" width="25.75" style="165" bestFit="1" customWidth="1"/>
    <col min="48" max="52" width="12.625" style="165" bestFit="1" customWidth="1"/>
    <col min="53" max="16384" width="9" style="165"/>
  </cols>
  <sheetData>
    <row r="1" spans="2:53" ht="10.5" customHeight="1">
      <c r="B1" s="199" t="s">
        <v>84</v>
      </c>
      <c r="D1" s="200"/>
      <c r="K1" s="282" t="s">
        <v>2096</v>
      </c>
    </row>
    <row r="2" spans="2:53" ht="2.1" customHeight="1">
      <c r="C2" s="199"/>
      <c r="D2" s="200"/>
      <c r="K2" s="201"/>
    </row>
    <row r="3" spans="2:53" ht="21.6" customHeight="1">
      <c r="B3" s="262" t="s">
        <v>524</v>
      </c>
      <c r="C3" s="244"/>
      <c r="D3" s="244"/>
      <c r="E3" s="244"/>
      <c r="F3" s="244"/>
      <c r="G3" s="244"/>
      <c r="H3" s="244"/>
      <c r="I3" s="244"/>
      <c r="J3" s="244"/>
      <c r="K3" s="244"/>
    </row>
    <row r="4" spans="2:53" ht="27.6" customHeight="1">
      <c r="B4" s="261" t="str">
        <f>parameters!B1&amp;" Chapter 70 Summary"</f>
        <v>FY25 Chapter 70 Summary</v>
      </c>
      <c r="C4" s="244"/>
      <c r="D4" s="244"/>
      <c r="E4" s="244"/>
      <c r="F4" s="244"/>
      <c r="G4" s="244"/>
      <c r="H4" s="244"/>
      <c r="I4" s="244"/>
      <c r="J4" s="244"/>
    </row>
    <row r="5" spans="2:53" ht="6.75" hidden="1" customHeight="1">
      <c r="B5" s="202"/>
      <c r="C5" s="202"/>
      <c r="D5" s="202"/>
      <c r="E5" s="202"/>
      <c r="F5" s="202"/>
      <c r="G5" s="202"/>
    </row>
    <row r="6" spans="2:53" ht="9" customHeight="1">
      <c r="B6" s="266">
        <f>lea</f>
        <v>999</v>
      </c>
      <c r="C6" s="244" t="str">
        <f>PROPER(VLOOKUP(B6,dist915,2))</f>
        <v>State Total</v>
      </c>
      <c r="F6" s="393"/>
      <c r="P6" s="215"/>
      <c r="AR6"/>
      <c r="AS6"/>
      <c r="AT6"/>
      <c r="AU6"/>
      <c r="AV6"/>
      <c r="AW6"/>
      <c r="AX6"/>
      <c r="AY6"/>
      <c r="AZ6"/>
      <c r="BA6"/>
    </row>
    <row r="7" spans="2:53" ht="8.1" hidden="1" customHeight="1">
      <c r="B7" s="203"/>
      <c r="C7" s="203"/>
      <c r="AR7"/>
      <c r="AS7"/>
      <c r="AT7"/>
      <c r="AU7"/>
      <c r="AV7"/>
      <c r="AW7"/>
      <c r="AX7"/>
      <c r="AY7"/>
      <c r="AZ7"/>
      <c r="BA7"/>
    </row>
    <row r="8" spans="2:53" s="249" customFormat="1" ht="15.75" customHeight="1">
      <c r="B8" s="247" t="str">
        <f>"Aid Calculation "&amp;CYr</f>
        <v>Aid Calculation FY25</v>
      </c>
      <c r="C8" s="244"/>
      <c r="D8" s="248"/>
      <c r="E8" s="248"/>
      <c r="F8" s="247" t="str">
        <f>"Comparison to "&amp;PYr</f>
        <v>Comparison to FY24</v>
      </c>
      <c r="G8" s="248"/>
      <c r="H8" s="248"/>
      <c r="I8" s="248"/>
      <c r="J8" s="248"/>
      <c r="K8" s="346"/>
      <c r="L8" s="346"/>
      <c r="M8" s="346"/>
      <c r="N8" s="346"/>
      <c r="O8" s="346"/>
      <c r="Q8" s="321"/>
      <c r="AR8"/>
      <c r="AS8"/>
      <c r="AT8"/>
      <c r="AU8"/>
      <c r="AV8"/>
      <c r="AW8"/>
      <c r="AX8"/>
      <c r="AY8"/>
      <c r="AZ8"/>
      <c r="BA8"/>
    </row>
    <row r="9" spans="2:53" ht="3.95" customHeight="1">
      <c r="G9" s="422"/>
      <c r="K9" s="139"/>
      <c r="L9" s="345"/>
      <c r="M9" s="345"/>
      <c r="N9" s="345"/>
      <c r="O9" s="345"/>
      <c r="P9" s="257"/>
      <c r="AR9"/>
      <c r="AS9"/>
      <c r="AT9"/>
      <c r="AU9"/>
      <c r="AV9"/>
      <c r="AW9"/>
      <c r="AX9"/>
      <c r="AY9"/>
      <c r="AZ9"/>
      <c r="BA9"/>
    </row>
    <row r="10" spans="2:53" ht="17.100000000000001" customHeight="1">
      <c r="B10" s="250"/>
      <c r="C10" s="250"/>
      <c r="D10" s="250"/>
      <c r="E10" s="250"/>
      <c r="F10" s="561" t="s">
        <v>2493</v>
      </c>
      <c r="G10" s="561" t="s">
        <v>2294</v>
      </c>
      <c r="H10" s="561" t="s">
        <v>2310</v>
      </c>
      <c r="I10" s="561" t="s">
        <v>612</v>
      </c>
      <c r="J10" s="561" t="s">
        <v>2142</v>
      </c>
      <c r="K10" s="341"/>
      <c r="L10" s="251"/>
      <c r="M10" s="251"/>
      <c r="O10" s="251"/>
      <c r="P10" s="257"/>
      <c r="Q10" s="251"/>
      <c r="R10" s="251"/>
      <c r="S10" s="251"/>
      <c r="V10" s="204" t="s">
        <v>386</v>
      </c>
      <c r="W10" s="204" t="s">
        <v>387</v>
      </c>
      <c r="X10" s="204" t="s">
        <v>90</v>
      </c>
      <c r="Y10" s="204" t="s">
        <v>469</v>
      </c>
      <c r="Z10" s="204" t="s">
        <v>465</v>
      </c>
      <c r="AA10" s="204" t="s">
        <v>101</v>
      </c>
      <c r="AB10" s="204" t="s">
        <v>390</v>
      </c>
      <c r="AC10" s="204" t="s">
        <v>79</v>
      </c>
      <c r="AD10" s="204" t="s">
        <v>634</v>
      </c>
      <c r="AE10" s="204" t="s">
        <v>649</v>
      </c>
      <c r="AF10" s="204" t="s">
        <v>669</v>
      </c>
      <c r="AG10" s="204" t="s">
        <v>675</v>
      </c>
      <c r="AH10" s="204" t="s">
        <v>1585</v>
      </c>
      <c r="AI10" s="204" t="s">
        <v>2103</v>
      </c>
      <c r="AJ10" s="165" t="s">
        <v>2117</v>
      </c>
      <c r="AK10" s="165" t="s">
        <v>2173</v>
      </c>
      <c r="AL10" s="165" t="s">
        <v>2217</v>
      </c>
      <c r="AM10" s="165" t="s">
        <v>2239</v>
      </c>
      <c r="AN10" s="165" t="s">
        <v>2294</v>
      </c>
      <c r="AO10" s="165" t="s">
        <v>2310</v>
      </c>
      <c r="AR10"/>
      <c r="AS10"/>
      <c r="AT10"/>
      <c r="AU10"/>
      <c r="AV10"/>
      <c r="AW10"/>
      <c r="AX10"/>
      <c r="AY10"/>
      <c r="AZ10"/>
      <c r="BA10"/>
    </row>
    <row r="11" spans="2:53" ht="15" customHeight="1">
      <c r="B11" s="252" t="s">
        <v>173</v>
      </c>
      <c r="C11" s="250"/>
      <c r="D11" s="253"/>
      <c r="E11" s="250"/>
      <c r="F11" s="254" t="s">
        <v>616</v>
      </c>
      <c r="G11" s="342">
        <f>VLOOKUP(B6,aidcalc,14)</f>
        <v>905105.99999993376</v>
      </c>
      <c r="H11" s="342">
        <f>VLOOKUP(B6,aidcalc,15)</f>
        <v>905572.00000007881</v>
      </c>
      <c r="I11" s="343">
        <f>H11-G11</f>
        <v>466.00000014505349</v>
      </c>
      <c r="J11" s="345">
        <f>IF(G11&gt;0, I11/G11, 0)</f>
        <v>5.1485682355998925E-4</v>
      </c>
      <c r="K11" s="443"/>
      <c r="L11" s="255"/>
      <c r="M11" s="255"/>
      <c r="O11" s="255"/>
      <c r="P11" s="401"/>
      <c r="Q11" s="255"/>
      <c r="R11" s="256"/>
      <c r="S11" s="257"/>
      <c r="U11" s="165" t="s">
        <v>1574</v>
      </c>
      <c r="V11" s="175">
        <f>VLOOKUP($B$6,disthist,5)</f>
        <v>4743946672</v>
      </c>
      <c r="W11" s="175">
        <f>VLOOKUP($B$6,disthist,8)</f>
        <v>4876428772</v>
      </c>
      <c r="X11" s="175">
        <f>VLOOKUP($B$6,disthist,11)</f>
        <v>4997705374</v>
      </c>
      <c r="Y11" s="175">
        <f>VLOOKUP($B$6,disthist,14)</f>
        <v>5110365426</v>
      </c>
      <c r="Z11" s="175">
        <f>VLOOKUP($B$6,disthist,18)</f>
        <v>5250106061</v>
      </c>
      <c r="AA11" s="175">
        <f>VLOOKUP($B$6,disthist,22)</f>
        <v>5302200670.3241692</v>
      </c>
      <c r="AB11" s="175">
        <f>VLOOKUP($B$6,disthist,27)</f>
        <v>5413602268</v>
      </c>
      <c r="AC11" s="175">
        <f>VLOOKUP($B$6,disthist,30)</f>
        <v>5582113529</v>
      </c>
      <c r="AD11" s="175">
        <f>VLOOKUP($B$6,disthist, 33)</f>
        <v>5748475145</v>
      </c>
      <c r="AE11" s="175">
        <f>VLOOKUP($B$6,disthist, 36)</f>
        <v>5817618237</v>
      </c>
      <c r="AF11" s="175">
        <f>VLOOKUP($B$6,disthist, 39)</f>
        <v>5943909029</v>
      </c>
      <c r="AG11" s="175">
        <f>VLOOKUP($B$6,disthist, 42)</f>
        <v>5926185567</v>
      </c>
      <c r="AH11" s="175">
        <f>VLOOKUP($B$6,disthist, 45)</f>
        <v>6046916786</v>
      </c>
      <c r="AI11" s="175">
        <f>VLOOKUP($B$6,disthist, 48)</f>
        <v>6246842886</v>
      </c>
      <c r="AJ11" s="175">
        <f>VLOOKUP($B$6,disthist, 51)</f>
        <v>6513607368</v>
      </c>
      <c r="AK11" s="175">
        <f>VLOOKUP($B$6,disthist, 54)</f>
        <v>6705321561</v>
      </c>
      <c r="AL11" s="175">
        <f>VLOOKUP($B$6,disthist, 57)</f>
        <v>6827673657</v>
      </c>
      <c r="AM11" s="175">
        <f>VLOOKUP($B$6,disthist, 60)</f>
        <v>7166744291</v>
      </c>
      <c r="AN11" s="175">
        <f>VLOOKUP($B$6,disthist, 63)</f>
        <v>7566302116</v>
      </c>
      <c r="AO11" s="175">
        <f>VLOOKUP($B$6,aidcalc,10 )</f>
        <v>7972055321</v>
      </c>
      <c r="AR11"/>
      <c r="AS11"/>
      <c r="AT11"/>
      <c r="AU11"/>
      <c r="AV11"/>
      <c r="AW11"/>
      <c r="AX11"/>
      <c r="AY11"/>
      <c r="AZ11"/>
      <c r="BA11"/>
    </row>
    <row r="12" spans="2:53" ht="15" customHeight="1">
      <c r="B12" s="250">
        <v>1</v>
      </c>
      <c r="C12" s="250" t="str">
        <f>"Chapter 70 "&amp;PYr</f>
        <v>Chapter 70 FY24</v>
      </c>
      <c r="D12" s="258">
        <f>VLOOKUP(B6,aidcalc,6)</f>
        <v>6592314527.6000013</v>
      </c>
      <c r="E12" s="254"/>
      <c r="F12" s="254" t="s">
        <v>71</v>
      </c>
      <c r="G12" s="343">
        <f>VLOOKUP(B6,disthist,62)</f>
        <v>13963389872.29413</v>
      </c>
      <c r="H12" s="343">
        <f>VLOOKUP(B6,aidcalc,9)</f>
        <v>14535103399.717712</v>
      </c>
      <c r="I12" s="343">
        <f>H12-G12</f>
        <v>571713527.42358208</v>
      </c>
      <c r="J12" s="345">
        <f>IF(G12&gt;0, I12/G12, 0)</f>
        <v>4.094374880686847E-2</v>
      </c>
      <c r="K12" s="343"/>
      <c r="L12" s="255"/>
      <c r="M12" s="255"/>
      <c r="O12" s="256"/>
      <c r="P12" s="401"/>
      <c r="Q12" s="256"/>
      <c r="R12" s="256"/>
      <c r="S12" s="257"/>
      <c r="U12" s="176" t="s">
        <v>1575</v>
      </c>
      <c r="V12" s="175">
        <f>VLOOKUP($B$6,disthist,6)</f>
        <v>3288603061.8000002</v>
      </c>
      <c r="W12" s="175">
        <f>VLOOKUP($B$6,disthist,9)</f>
        <v>3505192038.9270248</v>
      </c>
      <c r="X12" s="175">
        <f>VLOOKUP($B$6,disthist,12)</f>
        <v>3725343326.8219399</v>
      </c>
      <c r="Y12" s="175">
        <f>VLOOKUP($B$6,disthist,15)+VLOOKUP($B$6,disthist,16)</f>
        <v>3948496062.2495604</v>
      </c>
      <c r="Z12" s="175">
        <f>VLOOKUP($B$6,disthist,19)+VLOOKUP($B$6,disthist,20)</f>
        <v>4043156700</v>
      </c>
      <c r="AA12" s="175">
        <f>VLOOKUP($B$6,disthist,23)+VLOOKUP($B$6,disthist,24)+VLOOKUP($B$6,disthist,25)</f>
        <v>4072032852.5488005</v>
      </c>
      <c r="AB12" s="9">
        <f>VLOOKUP($B$6,disthist,28)</f>
        <v>3990504093.3881507</v>
      </c>
      <c r="AC12" s="9">
        <f>VLOOKUP($B$6,disthist,31)</f>
        <v>4173223954.2949104</v>
      </c>
      <c r="AD12" s="9">
        <f>VLOOKUP($B$6,disthist,34)</f>
        <v>4300854366.3566036</v>
      </c>
      <c r="AE12" s="9">
        <f>VLOOKUP($B$6,disthist,37)</f>
        <v>4400335961.8829308</v>
      </c>
      <c r="AF12" s="9">
        <f>VLOOKUP($B$6,disthist,40)</f>
        <v>4511521973.6381674</v>
      </c>
      <c r="AG12" s="9">
        <f>VLOOKUP($B$6,disthist,43)</f>
        <v>4627705061.1446953</v>
      </c>
      <c r="AH12" s="9">
        <f>VLOOKUP($B$6,disthist,46)</f>
        <v>4745645155.949439</v>
      </c>
      <c r="AI12" s="9">
        <f>VLOOKUP($B$6,disthist,49)</f>
        <v>4906614765.8021221</v>
      </c>
      <c r="AJ12" s="9">
        <f>VLOOKUP($B$6,disthist,52)</f>
        <v>5175694094</v>
      </c>
      <c r="AK12" s="9">
        <f>VLOOKUP($B$6,disthist,55)</f>
        <v>5283343073.4799995</v>
      </c>
      <c r="AL12" s="9">
        <f>VLOOKUP($B$6,disthist,58)</f>
        <v>5502959666.6000013</v>
      </c>
      <c r="AM12" s="9">
        <f>VLOOKUP($B$6,disthist,61)</f>
        <v>5997901328.6000023</v>
      </c>
      <c r="AN12" s="9">
        <f>VLOOKUP($B$6,disthist,64)</f>
        <v>6592314527.6000013</v>
      </c>
      <c r="AO12" s="175">
        <f>VLOOKUP($B$6,aidcalc,25)</f>
        <v>6901610127.2600069</v>
      </c>
      <c r="AR12"/>
      <c r="AS12"/>
      <c r="AT12"/>
      <c r="AU12"/>
      <c r="AV12"/>
      <c r="AW12"/>
      <c r="AX12"/>
      <c r="AY12"/>
      <c r="AZ12"/>
      <c r="BA12"/>
    </row>
    <row r="13" spans="2:53" ht="15" customHeight="1">
      <c r="B13" s="250"/>
      <c r="C13" s="250"/>
      <c r="D13" s="250"/>
      <c r="E13" s="254"/>
      <c r="F13" s="254" t="s">
        <v>97</v>
      </c>
      <c r="G13" s="343">
        <f>VLOOKUP(B6,disthist,63)</f>
        <v>7566302116</v>
      </c>
      <c r="H13" s="342">
        <f>VLOOKUP($B$6, aidcalc, 10)</f>
        <v>7972055321</v>
      </c>
      <c r="I13" s="343">
        <f>H13-G13</f>
        <v>405753205</v>
      </c>
      <c r="J13" s="345">
        <f>IF(G13&gt;0, I13/G13, 0)</f>
        <v>5.3626355223376332E-2</v>
      </c>
      <c r="K13" s="443"/>
      <c r="L13" s="255"/>
      <c r="M13" s="255"/>
      <c r="O13" s="256"/>
      <c r="P13" s="401"/>
      <c r="Q13" s="256"/>
      <c r="R13" s="256"/>
      <c r="S13" s="257"/>
      <c r="U13" s="165" t="s">
        <v>75</v>
      </c>
      <c r="V13" s="175">
        <f>VLOOKUP($B$6,disthist,4)</f>
        <v>7551933454</v>
      </c>
      <c r="W13" s="175">
        <f>VLOOKUP($B$6,disthist,7)</f>
        <v>8014672861.3798904</v>
      </c>
      <c r="X13" s="175">
        <f>VLOOKUP($B$6,disthist,10)</f>
        <v>8406096436.3857374</v>
      </c>
      <c r="Y13" s="175">
        <f>VLOOKUP($B$6,disthist,13)</f>
        <v>8811314229.2926865</v>
      </c>
      <c r="Z13" s="175">
        <f>VLOOKUP($B$6,disthist,17)</f>
        <v>9088557473.2006893</v>
      </c>
      <c r="AA13" s="175">
        <f>VLOOKUP($B$6,disthist,21)</f>
        <v>8921047970</v>
      </c>
      <c r="AB13" s="175">
        <f>VLOOKUP($B$6,disthist,26)</f>
        <v>9119340580.3732376</v>
      </c>
      <c r="AC13" s="175">
        <f>VLOOKUP($B$6,disthist,29)</f>
        <v>9467117140.6663704</v>
      </c>
      <c r="AD13" s="175">
        <f>VLOOKUP($B$6,disthist, 32)</f>
        <v>9711217584.8007889</v>
      </c>
      <c r="AE13" s="175">
        <f>VLOOKUP($B$6,disthist, 35)</f>
        <v>9866011313.0677662</v>
      </c>
      <c r="AF13" s="175">
        <f>VLOOKUP($B$6,disthist, 38)</f>
        <v>10090177272.100754</v>
      </c>
      <c r="AG13" s="175">
        <f>VLOOKUP($B$6,disthist, 41)</f>
        <v>10128238382.975546</v>
      </c>
      <c r="AH13" s="175">
        <f>VLOOKUP($B$6,disthist, 44)</f>
        <v>10379173843.167685</v>
      </c>
      <c r="AI13" s="175">
        <f>VLOOKUP($B$6,disthist, 47)</f>
        <v>10777588551.40456</v>
      </c>
      <c r="AJ13" s="175">
        <f>VLOOKUP($B$6,disthist, 50)</f>
        <v>11359048511.850758</v>
      </c>
      <c r="AK13" s="175">
        <f>VLOOKUP($B$6,disthist, 53)</f>
        <v>11626531095.326303</v>
      </c>
      <c r="AL13" s="175">
        <f>VLOOKUP($B$6,disthist, 56)</f>
        <v>11926225791.726231</v>
      </c>
      <c r="AM13" s="175">
        <f>VLOOKUP($B$6,disthist, 59)</f>
        <v>12890335880.607767</v>
      </c>
      <c r="AN13" s="175">
        <f>VLOOKUP($B$6,disthist, 62)</f>
        <v>13963389872.29413</v>
      </c>
      <c r="AO13" s="175">
        <f>VLOOKUP($B$6,aidcalc,9 )</f>
        <v>14535103399.717712</v>
      </c>
      <c r="AR13"/>
      <c r="AS13"/>
      <c r="AT13"/>
      <c r="AU13"/>
      <c r="AV13"/>
      <c r="AW13"/>
      <c r="AX13"/>
      <c r="AY13"/>
      <c r="AZ13"/>
      <c r="BA13"/>
    </row>
    <row r="14" spans="2:53" ht="15" customHeight="1">
      <c r="B14" s="252" t="s">
        <v>52</v>
      </c>
      <c r="C14" s="250"/>
      <c r="D14" s="250"/>
      <c r="E14" s="254"/>
      <c r="F14" s="250" t="s">
        <v>2182</v>
      </c>
      <c r="G14" s="260">
        <f>IF(B6=999,VLOOKUP(B6,disthist,64,0)+308558,VLOOKUP(B6,disthist,64,0))</f>
        <v>6592623085.6000013</v>
      </c>
      <c r="H14" s="260">
        <f>IF(B6=999,VLOOKUP($B$6,aidcalc,25,0)+308558,VLOOKUP($B$6,aidcalc,25,0))</f>
        <v>6901918685.2600069</v>
      </c>
      <c r="I14" s="343">
        <f>H14-G14</f>
        <v>309295599.66000557</v>
      </c>
      <c r="J14" s="345">
        <f>IF(G14&gt;0, I14/G14, 0)</f>
        <v>4.6915407667638E-2</v>
      </c>
      <c r="K14" s="342"/>
      <c r="L14" s="255"/>
      <c r="M14" s="255"/>
      <c r="N14" s="457"/>
      <c r="O14" s="260"/>
      <c r="P14" s="401"/>
      <c r="Q14" s="215"/>
      <c r="R14" s="256"/>
      <c r="S14" s="257"/>
      <c r="AR14"/>
      <c r="AS14"/>
      <c r="AT14"/>
      <c r="AU14"/>
      <c r="AV14"/>
      <c r="AW14"/>
      <c r="AX14"/>
      <c r="AY14"/>
      <c r="AZ14"/>
      <c r="BA14"/>
    </row>
    <row r="15" spans="2:53" ht="15" customHeight="1">
      <c r="B15" s="250">
        <v>2</v>
      </c>
      <c r="C15" s="250" t="str">
        <f>"Foundation budget "&amp;CYr</f>
        <v>Foundation budget FY25</v>
      </c>
      <c r="D15" s="256">
        <f>VLOOKUP($B$6, aidcalc, 9)</f>
        <v>14535103399.717712</v>
      </c>
      <c r="E15" s="254"/>
      <c r="F15" s="250" t="s">
        <v>439</v>
      </c>
      <c r="G15" s="343">
        <f>G13+G14</f>
        <v>14158925201.600002</v>
      </c>
      <c r="H15" s="343">
        <f>H13+H14</f>
        <v>14873974006.260006</v>
      </c>
      <c r="I15" s="343">
        <f>H15-G15</f>
        <v>715048804.66000366</v>
      </c>
      <c r="J15" s="345">
        <f>IF(G15&gt;0, I15/G15, 0)</f>
        <v>5.0501630207016063E-2</v>
      </c>
      <c r="K15" s="343"/>
      <c r="L15" s="255"/>
      <c r="M15" s="255"/>
      <c r="O15" s="256"/>
      <c r="P15" s="401"/>
      <c r="Q15"/>
      <c r="R15" s="256"/>
      <c r="S15" s="257"/>
      <c r="AR15"/>
      <c r="AS15"/>
      <c r="AT15"/>
      <c r="AU15"/>
      <c r="AV15"/>
      <c r="AW15"/>
      <c r="AX15"/>
      <c r="AY15"/>
      <c r="AZ15"/>
      <c r="BA15"/>
    </row>
    <row r="16" spans="2:53" ht="15" customHeight="1">
      <c r="B16" s="250">
        <v>3</v>
      </c>
      <c r="C16" s="250" t="str">
        <f>"Required district contribution "&amp; CYr</f>
        <v>Required district contribution FY25</v>
      </c>
      <c r="D16" s="255">
        <f>VLOOKUP($B$6, aidcalc, 10)</f>
        <v>7972055321</v>
      </c>
      <c r="E16" s="254"/>
      <c r="F16" s="391"/>
      <c r="G16" s="437"/>
      <c r="H16" s="437"/>
      <c r="I16" s="343"/>
      <c r="J16" s="344"/>
      <c r="K16" s="344"/>
      <c r="L16" s="391"/>
      <c r="M16" s="392"/>
      <c r="N16" s="391"/>
      <c r="O16" s="392"/>
      <c r="P16" s="401"/>
      <c r="Q16"/>
      <c r="AR16"/>
      <c r="AS16"/>
      <c r="AT16"/>
      <c r="AU16"/>
      <c r="AV16"/>
      <c r="AW16"/>
      <c r="AX16"/>
      <c r="AY16"/>
      <c r="AZ16"/>
      <c r="BA16"/>
    </row>
    <row r="17" spans="2:53" ht="15" customHeight="1">
      <c r="B17" s="250">
        <v>4</v>
      </c>
      <c r="C17" s="250" t="s">
        <v>393</v>
      </c>
      <c r="D17" s="255">
        <f>VLOOKUP($B$6, aidcalc, 11)</f>
        <v>6563048071</v>
      </c>
      <c r="E17" s="254"/>
      <c r="F17" s="250" t="s">
        <v>2143</v>
      </c>
      <c r="G17" s="345">
        <f>VLOOKUP(B$6,disthist,3)/100</f>
        <v>0.41</v>
      </c>
      <c r="H17" s="345">
        <f>VLOOKUP(B6,aidcalc,13)/100</f>
        <v>0.41</v>
      </c>
      <c r="I17" s="259"/>
      <c r="J17" s="438"/>
      <c r="K17" s="139"/>
      <c r="Q17"/>
      <c r="AR17"/>
      <c r="AS17"/>
      <c r="AT17"/>
      <c r="AU17"/>
      <c r="AV17"/>
      <c r="AW17"/>
      <c r="AX17"/>
      <c r="AY17"/>
      <c r="AZ17"/>
      <c r="BA17"/>
    </row>
    <row r="18" spans="2:53" ht="15" customHeight="1">
      <c r="B18" s="250">
        <v>5</v>
      </c>
      <c r="C18" s="250" t="str">
        <f>"Increase over " &amp; PYr&amp;" (4 - 1)"</f>
        <v>Increase over FY24 (4 - 1)</v>
      </c>
      <c r="D18" s="258">
        <f>VLOOKUP($B$6, aidcalc, 12)</f>
        <v>258239391</v>
      </c>
      <c r="E18" s="254"/>
      <c r="F18" s="250" t="s">
        <v>2144</v>
      </c>
      <c r="G18" s="439">
        <f>IF(G12&gt;0,G14/G12,IF(G14&gt;0,1,0))</f>
        <v>0.47213628967568599</v>
      </c>
      <c r="H18" s="345">
        <f>IF(H12&gt;0,H14/H12,IF(H14&gt;0,1,0))</f>
        <v>0.47484482878835588</v>
      </c>
      <c r="I18" s="259"/>
      <c r="J18" s="419"/>
      <c r="K18" s="343"/>
      <c r="L18" s="343"/>
      <c r="M18" s="343"/>
      <c r="N18" s="343"/>
      <c r="O18" s="343"/>
      <c r="P18" s="215"/>
      <c r="Q18" s="215"/>
      <c r="AR18"/>
      <c r="AS18"/>
      <c r="AT18"/>
      <c r="AU18"/>
      <c r="AV18"/>
      <c r="AW18"/>
      <c r="AX18"/>
      <c r="AY18"/>
      <c r="AZ18"/>
      <c r="BA18"/>
    </row>
    <row r="19" spans="2:53" ht="15" customHeight="1">
      <c r="B19" s="259"/>
      <c r="C19" s="259"/>
      <c r="D19" s="260"/>
      <c r="E19" s="254"/>
      <c r="F19" s="250"/>
      <c r="G19" s="439"/>
      <c r="H19" s="345"/>
      <c r="I19" s="259"/>
      <c r="J19" s="259"/>
      <c r="K19" s="343"/>
      <c r="L19" s="343"/>
      <c r="M19" s="343"/>
      <c r="N19" s="343"/>
      <c r="O19" s="343"/>
      <c r="P19" s="215"/>
      <c r="Q19" s="215"/>
      <c r="AR19"/>
      <c r="AS19"/>
      <c r="AT19"/>
      <c r="AU19"/>
      <c r="AV19"/>
      <c r="AW19"/>
      <c r="AX19"/>
      <c r="AY19"/>
      <c r="AZ19"/>
      <c r="BA19"/>
    </row>
    <row r="20" spans="2:53" ht="15" customHeight="1">
      <c r="B20" s="252" t="s">
        <v>2231</v>
      </c>
      <c r="C20" s="259"/>
      <c r="D20" s="260"/>
      <c r="E20" s="254"/>
      <c r="F20" s="250" t="s">
        <v>2145</v>
      </c>
      <c r="G20" s="439">
        <f>IF(G12&gt;0,G15/G12,IF(G15&gt;0,1,0))</f>
        <v>1.014003428328951</v>
      </c>
      <c r="H20" s="439">
        <f>IF(H12&gt;0,H15/H12,IF(H15&gt;0,1,0))</f>
        <v>1.0233139453654574</v>
      </c>
      <c r="I20" s="139"/>
      <c r="J20" s="259"/>
      <c r="K20" s="343"/>
      <c r="L20" s="255"/>
      <c r="M20" s="255"/>
      <c r="N20" s="343"/>
      <c r="O20" s="343"/>
      <c r="P20" s="215"/>
      <c r="Q20" s="215"/>
      <c r="R20" s="175"/>
      <c r="AR20"/>
      <c r="AS20"/>
      <c r="AT20"/>
      <c r="AU20"/>
      <c r="AV20"/>
      <c r="AW20"/>
      <c r="AX20"/>
      <c r="AY20"/>
      <c r="AZ20"/>
      <c r="BA20"/>
    </row>
    <row r="21" spans="2:53" ht="15" customHeight="1">
      <c r="B21" s="250">
        <v>6</v>
      </c>
      <c r="C21" s="250" t="s">
        <v>2455</v>
      </c>
      <c r="D21" s="255" t="str">
        <f>IF(B6=999,"",VLOOKUP($B$6,aidcalc,17,0))</f>
        <v/>
      </c>
      <c r="E21" s="254"/>
      <c r="G21" s="250"/>
      <c r="H21" s="250"/>
      <c r="I21" s="250"/>
      <c r="J21" s="250"/>
      <c r="K21" s="259"/>
      <c r="L21" s="256"/>
      <c r="M21" s="255"/>
      <c r="N21" s="343"/>
      <c r="P21" s="215"/>
      <c r="AR21"/>
      <c r="AS21"/>
      <c r="AT21"/>
      <c r="AU21"/>
      <c r="AV21"/>
      <c r="AW21"/>
      <c r="AX21"/>
      <c r="AY21"/>
      <c r="AZ21"/>
      <c r="BA21"/>
    </row>
    <row r="22" spans="2:53" ht="15" customHeight="1">
      <c r="B22" s="250">
        <v>7</v>
      </c>
      <c r="C22" s="250" t="s">
        <v>2183</v>
      </c>
      <c r="E22" s="254"/>
      <c r="F22"/>
      <c r="G22"/>
      <c r="H22"/>
      <c r="I22" s="462"/>
      <c r="J22"/>
      <c r="K22" s="259"/>
      <c r="L22" s="256"/>
      <c r="M22" s="255"/>
      <c r="N22" s="343"/>
      <c r="Q22" s="175"/>
      <c r="AR22"/>
      <c r="AS22"/>
      <c r="AT22"/>
      <c r="AU22"/>
      <c r="AV22"/>
      <c r="AW22"/>
      <c r="AX22"/>
      <c r="AY22"/>
      <c r="AZ22"/>
      <c r="BA22"/>
    </row>
    <row r="23" spans="2:53" ht="15" customHeight="1">
      <c r="C23" s="250" t="s">
        <v>2205</v>
      </c>
      <c r="D23" s="258">
        <f>VLOOKUP($B$6, aidcalc, 18,0)</f>
        <v>50672684.000006184</v>
      </c>
      <c r="E23" s="254"/>
      <c r="F23"/>
      <c r="G23"/>
      <c r="H23"/>
      <c r="I23"/>
      <c r="J23"/>
      <c r="K23" s="345"/>
      <c r="L23" s="342"/>
      <c r="M23" s="255"/>
      <c r="N23" s="343"/>
      <c r="AR23"/>
      <c r="AS23"/>
      <c r="AT23"/>
      <c r="AU23"/>
      <c r="AV23"/>
      <c r="AW23"/>
      <c r="AX23"/>
      <c r="AY23"/>
      <c r="AZ23"/>
      <c r="BA23"/>
    </row>
    <row r="24" spans="2:53" ht="15" customHeight="1">
      <c r="E24" s="254"/>
      <c r="F24"/>
      <c r="G24"/>
      <c r="H24"/>
      <c r="I24"/>
      <c r="J24"/>
      <c r="K24" s="345"/>
      <c r="L24" s="256"/>
      <c r="M24" s="255"/>
      <c r="N24" s="343"/>
      <c r="AR24"/>
      <c r="AS24"/>
      <c r="AT24"/>
      <c r="AU24"/>
      <c r="AV24"/>
      <c r="AW24"/>
      <c r="AX24"/>
      <c r="AY24"/>
      <c r="AZ24"/>
      <c r="BA24"/>
    </row>
    <row r="25" spans="2:53" ht="15">
      <c r="B25" s="252" t="s">
        <v>2225</v>
      </c>
      <c r="C25" s="259"/>
      <c r="F25"/>
      <c r="G25"/>
      <c r="H25"/>
      <c r="I25"/>
      <c r="J25"/>
      <c r="K25" s="257"/>
      <c r="L25" s="257"/>
      <c r="AR25"/>
      <c r="AS25"/>
      <c r="AT25"/>
      <c r="AU25"/>
      <c r="AV25"/>
      <c r="AW25"/>
      <c r="AX25"/>
      <c r="AY25"/>
      <c r="AZ25"/>
      <c r="BA25"/>
    </row>
    <row r="26" spans="2:53" ht="15">
      <c r="B26" s="250">
        <v>8</v>
      </c>
      <c r="C26" s="431" t="s">
        <v>2226</v>
      </c>
      <c r="D26" s="258">
        <f>D12+D18+D23</f>
        <v>6901226602.6000071</v>
      </c>
      <c r="E26" s="205"/>
      <c r="F26"/>
      <c r="G26"/>
      <c r="H26"/>
      <c r="I26"/>
      <c r="J26"/>
      <c r="K26" s="257"/>
      <c r="L26" s="257"/>
      <c r="N26" s="215"/>
      <c r="AR26"/>
      <c r="AS26"/>
      <c r="AT26"/>
      <c r="AU26"/>
      <c r="AV26"/>
      <c r="AW26"/>
      <c r="AX26"/>
      <c r="AY26"/>
      <c r="AZ26"/>
      <c r="BA26"/>
    </row>
    <row r="27" spans="2:53" ht="15">
      <c r="E27" s="205"/>
      <c r="F27"/>
      <c r="G27"/>
      <c r="H27"/>
      <c r="I27"/>
      <c r="J27"/>
      <c r="K27" s="250"/>
      <c r="L27" s="175"/>
      <c r="AR27"/>
      <c r="AS27"/>
      <c r="AT27"/>
      <c r="AU27"/>
      <c r="AV27"/>
      <c r="AW27"/>
      <c r="AX27"/>
      <c r="AY27"/>
      <c r="AZ27"/>
      <c r="BA27"/>
    </row>
    <row r="28" spans="2:53" ht="12.75" customHeight="1">
      <c r="B28" s="476" t="s">
        <v>2227</v>
      </c>
      <c r="C28" s="259"/>
      <c r="D28" s="260"/>
    </row>
    <row r="29" spans="2:53" ht="15" customHeight="1">
      <c r="B29" s="259">
        <v>9</v>
      </c>
      <c r="C29" s="259" t="s">
        <v>2228</v>
      </c>
      <c r="D29" s="255" t="str">
        <f>IF(B6=999,"",VLOOKUP($B$6, aidcalc, 20))</f>
        <v/>
      </c>
      <c r="E29" s="205"/>
      <c r="L29" s="325"/>
    </row>
    <row r="30" spans="2:53" ht="15" customHeight="1">
      <c r="B30" s="259">
        <v>10</v>
      </c>
      <c r="C30" s="259" t="s">
        <v>2229</v>
      </c>
      <c r="E30" s="205"/>
      <c r="L30" s="327"/>
    </row>
    <row r="31" spans="2:53" ht="15" customHeight="1">
      <c r="B31" s="139"/>
      <c r="C31" s="259" t="s">
        <v>2230</v>
      </c>
      <c r="D31" s="258">
        <f>VLOOKUP($B$6, aidcalc, 21, FALSE)</f>
        <v>0</v>
      </c>
      <c r="L31" s="326"/>
    </row>
    <row r="32" spans="2:53" ht="15" customHeight="1">
      <c r="B32" s="250"/>
      <c r="L32" s="326"/>
    </row>
    <row r="33" spans="1:16" ht="15" customHeight="1">
      <c r="B33" s="252" t="s">
        <v>53</v>
      </c>
      <c r="C33" s="254"/>
      <c r="D33" s="250"/>
      <c r="L33" s="326"/>
    </row>
    <row r="34" spans="1:16" ht="15" customHeight="1">
      <c r="B34" s="250">
        <v>11</v>
      </c>
      <c r="C34" s="254" t="s">
        <v>82</v>
      </c>
      <c r="D34" s="258">
        <f>VLOOKUP($B$6, aidcalc, 23)</f>
        <v>340396.33999999997</v>
      </c>
      <c r="L34" s="326"/>
      <c r="M34" s="259"/>
      <c r="N34" s="259"/>
      <c r="P34" s="259"/>
    </row>
    <row r="35" spans="1:16" ht="15" customHeight="1">
      <c r="B35" s="250"/>
      <c r="C35" s="254"/>
      <c r="D35" s="260"/>
      <c r="L35" s="326"/>
      <c r="M35" s="259"/>
      <c r="N35" s="259"/>
      <c r="P35" s="259"/>
    </row>
    <row r="36" spans="1:16" ht="15" customHeight="1">
      <c r="B36" s="252" t="s">
        <v>2306</v>
      </c>
      <c r="C36" s="254"/>
      <c r="D36" s="260"/>
      <c r="E36" s="205"/>
      <c r="L36" s="326"/>
      <c r="M36" s="250"/>
      <c r="N36" s="256"/>
      <c r="P36" s="256"/>
    </row>
    <row r="37" spans="1:16" ht="15" customHeight="1">
      <c r="B37" s="250">
        <v>12</v>
      </c>
      <c r="C37" s="254" t="s">
        <v>2307</v>
      </c>
      <c r="D37" s="258">
        <f>VLOOKUP($B$6, aidcalc, 24)</f>
        <v>723921</v>
      </c>
      <c r="L37" s="177"/>
      <c r="M37" s="250"/>
      <c r="N37" s="256"/>
      <c r="P37" s="256"/>
    </row>
    <row r="38" spans="1:16" ht="15" customHeight="1">
      <c r="B38" s="250"/>
      <c r="C38" s="254"/>
      <c r="D38" s="260"/>
      <c r="L38" s="177"/>
      <c r="M38" s="250"/>
      <c r="N38" s="256"/>
      <c r="P38" s="256"/>
    </row>
    <row r="39" spans="1:16" ht="15" customHeight="1">
      <c r="B39" s="252" t="str">
        <f>CYr&amp;" Chapter 70 Aid"</f>
        <v>FY25 Chapter 70 Aid</v>
      </c>
      <c r="C39" s="252"/>
      <c r="D39" s="432"/>
      <c r="E39" s="205"/>
      <c r="F39" s="139"/>
      <c r="N39" s="215"/>
      <c r="P39" s="215"/>
    </row>
    <row r="40" spans="1:16" ht="15" customHeight="1">
      <c r="B40" s="250">
        <v>13</v>
      </c>
      <c r="C40" s="431" t="s">
        <v>2308</v>
      </c>
      <c r="D40" s="442">
        <f>VLOOKUP($B$6, aidcalc, 25)</f>
        <v>6901610127.2600069</v>
      </c>
      <c r="E40" s="205"/>
      <c r="N40" s="215"/>
      <c r="P40" s="215"/>
    </row>
    <row r="41" spans="1:16" ht="15" customHeight="1">
      <c r="C41" s="444" t="str">
        <f>IF(B6=999,"with Devens aid","")</f>
        <v>with Devens aid</v>
      </c>
      <c r="D41" s="418">
        <f>IF(B6=999,D40+308558,"")</f>
        <v>6901918685.2600069</v>
      </c>
      <c r="E41" s="205"/>
      <c r="N41" s="215"/>
      <c r="P41" s="215"/>
    </row>
    <row r="42" spans="1:16" ht="15" customHeight="1">
      <c r="E42" s="205"/>
      <c r="N42" s="215"/>
      <c r="P42" s="215"/>
    </row>
    <row r="43" spans="1:16" ht="15" customHeight="1">
      <c r="B43" s="252" t="s">
        <v>2233</v>
      </c>
      <c r="E43" s="205"/>
      <c r="N43" s="215"/>
      <c r="P43" s="215"/>
    </row>
    <row r="44" spans="1:16" ht="15" customHeight="1">
      <c r="B44" s="254" t="s">
        <v>2502</v>
      </c>
      <c r="C44" s="451"/>
      <c r="D44" s="451"/>
      <c r="E44" s="205"/>
      <c r="N44" s="215"/>
      <c r="P44" s="215"/>
    </row>
    <row r="45" spans="1:16" ht="15" customHeight="1">
      <c r="B45" s="254" t="s">
        <v>2503</v>
      </c>
      <c r="C45" s="451"/>
      <c r="D45" s="451"/>
      <c r="G45"/>
      <c r="H45"/>
      <c r="I45"/>
      <c r="J45"/>
      <c r="K45"/>
      <c r="L45"/>
      <c r="M45" s="324"/>
      <c r="N45" s="400"/>
      <c r="P45" s="400"/>
    </row>
    <row r="46" spans="1:16" ht="15" customHeight="1">
      <c r="B46" s="254" t="s">
        <v>2504</v>
      </c>
      <c r="C46" s="451"/>
      <c r="D46" s="451"/>
      <c r="G46"/>
      <c r="H46"/>
      <c r="I46"/>
      <c r="J46"/>
      <c r="K46"/>
      <c r="L46"/>
      <c r="N46" s="215"/>
      <c r="P46" s="215"/>
    </row>
    <row r="47" spans="1:16" ht="15" customHeight="1">
      <c r="B47" s="254" t="s">
        <v>2505</v>
      </c>
      <c r="C47" s="451"/>
      <c r="D47" s="451"/>
      <c r="G47"/>
      <c r="H47"/>
      <c r="I47"/>
      <c r="J47"/>
      <c r="K47"/>
      <c r="L47"/>
      <c r="N47" s="215"/>
      <c r="P47" s="215"/>
    </row>
    <row r="48" spans="1:16" ht="15" customHeight="1">
      <c r="A48" s="165" t="s">
        <v>2580</v>
      </c>
      <c r="B48" s="451"/>
      <c r="C48" s="451"/>
      <c r="D48" s="451"/>
      <c r="G48"/>
      <c r="H48"/>
      <c r="I48"/>
      <c r="J48"/>
      <c r="K48"/>
      <c r="L48"/>
    </row>
    <row r="49" spans="2:12" ht="18" customHeight="1">
      <c r="B49" s="451"/>
      <c r="C49" s="451"/>
      <c r="E49" s="325"/>
      <c r="F49" s="325"/>
      <c r="G49"/>
      <c r="H49"/>
      <c r="I49"/>
      <c r="J49"/>
      <c r="K49"/>
      <c r="L49"/>
    </row>
    <row r="50" spans="2:12" ht="18.95" customHeight="1">
      <c r="B50" s="451"/>
      <c r="C50" s="451"/>
      <c r="E50" s="325"/>
      <c r="F50" s="325"/>
      <c r="G50"/>
      <c r="H50"/>
      <c r="I50"/>
      <c r="J50"/>
      <c r="K50"/>
      <c r="L50"/>
    </row>
    <row r="51" spans="2:12" ht="15" customHeight="1">
      <c r="F51"/>
      <c r="G51"/>
      <c r="H51"/>
      <c r="I51"/>
      <c r="J51"/>
      <c r="K51"/>
      <c r="L51"/>
    </row>
    <row r="52" spans="2:12" ht="23.45" customHeight="1">
      <c r="B52" s="252"/>
      <c r="F52"/>
      <c r="G52"/>
      <c r="H52"/>
      <c r="I52"/>
      <c r="J52"/>
      <c r="K52"/>
      <c r="L52"/>
    </row>
    <row r="53" spans="2:12" ht="15" customHeight="1">
      <c r="B53" s="636"/>
      <c r="C53" s="636"/>
      <c r="F53"/>
      <c r="G53"/>
      <c r="H53"/>
      <c r="I53"/>
      <c r="J53"/>
      <c r="K53"/>
      <c r="L53"/>
    </row>
    <row r="54" spans="2:12" ht="15" customHeight="1">
      <c r="B54" s="636"/>
      <c r="C54" s="636"/>
      <c r="E54" s="139"/>
      <c r="F54"/>
      <c r="G54"/>
      <c r="H54"/>
      <c r="I54"/>
      <c r="J54"/>
      <c r="K54"/>
      <c r="L54"/>
    </row>
    <row r="55" spans="2:12" ht="15" customHeight="1">
      <c r="B55" s="636"/>
      <c r="C55" s="636"/>
      <c r="E55" s="139"/>
      <c r="F55"/>
      <c r="G55"/>
      <c r="H55"/>
      <c r="I55"/>
      <c r="J55"/>
      <c r="K55"/>
      <c r="L55"/>
    </row>
    <row r="56" spans="2:12" ht="15" customHeight="1">
      <c r="B56" s="636"/>
      <c r="C56" s="636"/>
      <c r="E56" s="139"/>
      <c r="F56"/>
      <c r="G56"/>
      <c r="H56"/>
      <c r="I56"/>
      <c r="J56"/>
      <c r="K56"/>
      <c r="L56"/>
    </row>
    <row r="57" spans="2:12" ht="15" customHeight="1">
      <c r="B57" s="636"/>
      <c r="C57" s="636"/>
      <c r="F57"/>
      <c r="G57"/>
      <c r="H57"/>
      <c r="I57"/>
      <c r="J57"/>
      <c r="K57"/>
      <c r="L57"/>
    </row>
    <row r="58" spans="2:12" ht="15" customHeight="1">
      <c r="B58" s="636"/>
      <c r="C58" s="636"/>
      <c r="F58"/>
      <c r="G58"/>
      <c r="H58"/>
      <c r="I58"/>
      <c r="J58"/>
      <c r="K58"/>
      <c r="L58"/>
    </row>
    <row r="59" spans="2:12" ht="15" customHeight="1">
      <c r="B59" s="636"/>
      <c r="C59" s="636"/>
      <c r="F59"/>
      <c r="G59"/>
      <c r="H59"/>
      <c r="I59"/>
      <c r="J59"/>
      <c r="K59"/>
      <c r="L59"/>
    </row>
    <row r="60" spans="2:12" ht="12.75" customHeight="1">
      <c r="F60"/>
      <c r="G60"/>
      <c r="H60"/>
      <c r="I60"/>
      <c r="J60"/>
      <c r="K60"/>
      <c r="L60"/>
    </row>
    <row r="61" spans="2:12" ht="12.75" customHeight="1">
      <c r="F61"/>
      <c r="G61"/>
      <c r="H61"/>
      <c r="I61"/>
      <c r="J61"/>
      <c r="K61"/>
      <c r="L61"/>
    </row>
    <row r="62" spans="2:12" ht="12.75" customHeight="1">
      <c r="F62"/>
      <c r="G62"/>
      <c r="H62"/>
      <c r="I62"/>
      <c r="J62"/>
      <c r="K62"/>
      <c r="L62"/>
    </row>
    <row r="63" spans="2:12" ht="12.75" customHeight="1">
      <c r="F63"/>
      <c r="G63"/>
      <c r="H63"/>
      <c r="I63"/>
      <c r="J63"/>
      <c r="K63"/>
      <c r="L63"/>
    </row>
    <row r="64" spans="2:12" ht="12.75" customHeight="1">
      <c r="F64"/>
      <c r="G64"/>
      <c r="H64"/>
      <c r="I64"/>
      <c r="J64"/>
      <c r="K64"/>
      <c r="L64"/>
    </row>
    <row r="65" spans="6:15" ht="12.75" customHeight="1">
      <c r="F65"/>
      <c r="G65"/>
      <c r="H65"/>
      <c r="I65"/>
      <c r="J65"/>
      <c r="K65"/>
      <c r="L65"/>
    </row>
    <row r="66" spans="6:15" ht="12.75" customHeight="1">
      <c r="F66"/>
      <c r="G66"/>
      <c r="H66"/>
      <c r="I66"/>
      <c r="J66"/>
      <c r="K66"/>
      <c r="L66"/>
    </row>
    <row r="67" spans="6:15" ht="12.75" customHeight="1">
      <c r="H67" s="302"/>
      <c r="I67" s="302"/>
      <c r="J67" s="302"/>
      <c r="K67" s="302"/>
      <c r="L67" s="302"/>
      <c r="M67" s="302"/>
      <c r="N67" s="302"/>
      <c r="O67" s="302"/>
    </row>
  </sheetData>
  <protectedRanges>
    <protectedRange sqref="B6" name="lea_1"/>
  </protectedRanges>
  <mergeCells count="1">
    <mergeCell ref="B53:C59"/>
  </mergeCells>
  <phoneticPr fontId="0" type="noConversion"/>
  <conditionalFormatting sqref="D17:D20">
    <cfRule type="expression" dxfId="26" priority="14" stopIfTrue="1">
      <formula>"o2=""f"""</formula>
    </cfRule>
  </conditionalFormatting>
  <conditionalFormatting sqref="D26">
    <cfRule type="expression" dxfId="25" priority="4" stopIfTrue="1">
      <formula>"o2=""f"""</formula>
    </cfRule>
  </conditionalFormatting>
  <conditionalFormatting sqref="D28 D31">
    <cfRule type="expression" dxfId="24" priority="5" stopIfTrue="1">
      <formula>"o2=""f"""</formula>
    </cfRule>
  </conditionalFormatting>
  <conditionalFormatting sqref="D29">
    <cfRule type="expression" dxfId="23" priority="3" stopIfTrue="1">
      <formula>"o2=""f"""</formula>
    </cfRule>
  </conditionalFormatting>
  <conditionalFormatting sqref="D23">
    <cfRule type="expression" dxfId="22" priority="2" stopIfTrue="1">
      <formula>"o2=""f"""</formula>
    </cfRule>
  </conditionalFormatting>
  <conditionalFormatting sqref="D21">
    <cfRule type="expression" dxfId="21" priority="1" stopIfTrue="1">
      <formula>"o2=""f"""</formula>
    </cfRule>
  </conditionalFormatting>
  <hyperlinks>
    <hyperlink ref="B1" location="Index!A5" display="Return to Index" xr:uid="{00000000-0004-0000-0800-000000000000}"/>
    <hyperlink ref="K1" location="MoreAboutData!A4" display="More about the data" xr:uid="{00000000-0004-0000-0800-000001000000}"/>
  </hyperlinks>
  <printOptions horizontalCentered="1" verticalCentered="1"/>
  <pageMargins left="0.5" right="0.5" top="0.5" bottom="0.5" header="0.17" footer="0.4"/>
  <pageSetup scale="67" orientation="landscape" r:id="rId1"/>
  <headerFooter alignWithMargins="0"/>
  <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E165"/>
  <sheetViews>
    <sheetView showGridLines="0" zoomScaleNormal="100" workbookViewId="0"/>
  </sheetViews>
  <sheetFormatPr defaultColWidth="9" defaultRowHeight="12.75"/>
  <cols>
    <col min="1" max="1" width="5.25" style="6" customWidth="1"/>
    <col min="2" max="2" width="43.375" style="6" customWidth="1"/>
    <col min="3" max="3" width="15.875" style="6" bestFit="1" customWidth="1"/>
    <col min="4" max="4" width="6.125" style="6" customWidth="1"/>
    <col min="5" max="5" width="1.75" style="6" customWidth="1"/>
    <col min="6" max="6" width="1.625" style="6" customWidth="1"/>
    <col min="7" max="7" width="30.625" style="6" customWidth="1"/>
    <col min="8" max="8" width="12.125" style="6" customWidth="1"/>
    <col min="9" max="9" width="1.625" style="6" customWidth="1"/>
    <col min="10" max="10" width="2.75" style="6" customWidth="1"/>
    <col min="11" max="11" width="26.25" style="6" customWidth="1"/>
    <col min="12" max="23" width="5.125" style="6" customWidth="1"/>
    <col min="24" max="24" width="5.25" style="6" customWidth="1"/>
    <col min="25" max="25" width="5.75" style="6" customWidth="1"/>
    <col min="26" max="28" width="5.875" style="6" customWidth="1"/>
    <col min="29" max="29" width="3.875" style="6" customWidth="1"/>
    <col min="30" max="30" width="9" style="6" customWidth="1"/>
    <col min="31" max="16384" width="9" style="6"/>
  </cols>
  <sheetData>
    <row r="1" spans="1:31">
      <c r="A1" s="6" t="s">
        <v>677</v>
      </c>
      <c r="B1" s="6" t="s">
        <v>2310</v>
      </c>
      <c r="C1" s="6">
        <v>25</v>
      </c>
    </row>
    <row r="2" spans="1:31">
      <c r="A2" s="6" t="s">
        <v>676</v>
      </c>
      <c r="B2" s="6" t="s">
        <v>2294</v>
      </c>
      <c r="C2" s="6">
        <v>24</v>
      </c>
    </row>
    <row r="3" spans="1:31">
      <c r="A3" s="6" t="s">
        <v>1584</v>
      </c>
      <c r="B3" s="520">
        <v>45274</v>
      </c>
      <c r="H3" s="28"/>
    </row>
    <row r="4" spans="1:31" ht="5.0999999999999996" customHeight="1"/>
    <row r="5" spans="1:31">
      <c r="A5" s="11" t="s">
        <v>679</v>
      </c>
      <c r="D5" s="17" t="s">
        <v>665</v>
      </c>
      <c r="G5" s="336"/>
      <c r="K5" s="637" t="s">
        <v>1587</v>
      </c>
      <c r="L5" s="637"/>
      <c r="M5" s="637"/>
      <c r="N5" s="637"/>
      <c r="O5" s="637"/>
      <c r="P5" s="637"/>
      <c r="Q5" s="637"/>
      <c r="R5" s="637"/>
      <c r="S5" s="637"/>
      <c r="T5" s="637"/>
      <c r="U5" s="637"/>
      <c r="V5" s="637"/>
      <c r="W5" s="637"/>
      <c r="X5" s="637"/>
      <c r="Y5" s="637"/>
      <c r="Z5" s="637"/>
      <c r="AA5" s="637"/>
      <c r="AB5" s="637"/>
      <c r="AC5" s="637"/>
      <c r="AD5" s="637"/>
      <c r="AE5" s="637"/>
    </row>
    <row r="6" spans="1:31">
      <c r="B6" s="6" t="s">
        <v>1551</v>
      </c>
      <c r="C6" s="18">
        <v>1</v>
      </c>
      <c r="D6" s="17">
        <v>1</v>
      </c>
      <c r="G6" s="6" t="s">
        <v>2319</v>
      </c>
      <c r="H6" s="28">
        <v>6592623085.6000013</v>
      </c>
      <c r="K6" s="19"/>
    </row>
    <row r="7" spans="1:31">
      <c r="B7" s="6" t="s">
        <v>1552</v>
      </c>
      <c r="C7" s="20">
        <v>1</v>
      </c>
      <c r="D7" s="21">
        <v>0</v>
      </c>
      <c r="G7" s="428"/>
      <c r="K7" s="22" t="s">
        <v>655</v>
      </c>
      <c r="L7" s="23"/>
      <c r="M7" s="23"/>
      <c r="N7" s="23"/>
      <c r="O7" s="23"/>
      <c r="P7" s="23"/>
      <c r="Q7" s="23"/>
      <c r="R7" s="23"/>
      <c r="S7" s="23"/>
      <c r="T7" s="23"/>
      <c r="U7" s="23"/>
      <c r="V7" s="23"/>
      <c r="W7" s="23"/>
    </row>
    <row r="8" spans="1:31">
      <c r="B8" s="6" t="s">
        <v>1596</v>
      </c>
      <c r="C8" s="20">
        <v>0</v>
      </c>
      <c r="D8" s="21">
        <v>0</v>
      </c>
      <c r="G8" s="6" t="s">
        <v>2320</v>
      </c>
      <c r="H8" s="28">
        <f>'Aid436'!L446</f>
        <v>258239391</v>
      </c>
      <c r="K8" s="23"/>
      <c r="L8" s="23"/>
      <c r="M8" s="23"/>
      <c r="N8" s="23"/>
      <c r="O8" s="23"/>
      <c r="P8" s="23"/>
      <c r="Q8" s="23"/>
      <c r="R8" s="23"/>
      <c r="S8" s="23"/>
      <c r="T8" s="23"/>
      <c r="U8" s="23"/>
      <c r="V8" s="23"/>
      <c r="W8" s="23"/>
    </row>
    <row r="9" spans="1:31">
      <c r="A9"/>
      <c r="B9"/>
      <c r="C9"/>
      <c r="D9" s="21">
        <v>0</v>
      </c>
      <c r="F9" s="11"/>
      <c r="H9" s="28"/>
      <c r="K9" s="25" t="s">
        <v>2506</v>
      </c>
      <c r="L9" s="26" t="s">
        <v>387</v>
      </c>
      <c r="M9" s="26" t="s">
        <v>90</v>
      </c>
      <c r="N9" s="27" t="s">
        <v>469</v>
      </c>
      <c r="O9" s="26" t="s">
        <v>465</v>
      </c>
      <c r="P9" s="26" t="s">
        <v>101</v>
      </c>
      <c r="Q9" s="26" t="s">
        <v>390</v>
      </c>
      <c r="R9" s="26" t="s">
        <v>79</v>
      </c>
      <c r="S9" s="26" t="s">
        <v>634</v>
      </c>
      <c r="T9" s="26" t="s">
        <v>649</v>
      </c>
      <c r="U9" s="26" t="s">
        <v>669</v>
      </c>
      <c r="V9" s="26" t="s">
        <v>675</v>
      </c>
      <c r="W9" s="26" t="s">
        <v>1585</v>
      </c>
      <c r="X9" s="26" t="s">
        <v>2103</v>
      </c>
      <c r="Y9" s="26" t="s">
        <v>2117</v>
      </c>
      <c r="Z9" s="26" t="s">
        <v>2173</v>
      </c>
      <c r="AA9" s="26" t="s">
        <v>2217</v>
      </c>
      <c r="AB9" s="26" t="s">
        <v>2239</v>
      </c>
      <c r="AC9" s="26" t="s">
        <v>2310</v>
      </c>
    </row>
    <row r="10" spans="1:31">
      <c r="C10" s="152"/>
      <c r="D10" s="153"/>
      <c r="G10" s="6" t="s">
        <v>1568</v>
      </c>
      <c r="H10" s="28">
        <f>'Aid436'!R446</f>
        <v>50672684.000006184</v>
      </c>
      <c r="I10" s="29"/>
      <c r="K10" s="17" t="s">
        <v>656</v>
      </c>
      <c r="L10" s="30">
        <v>621.084157</v>
      </c>
      <c r="M10" s="30">
        <v>494.05891200000002</v>
      </c>
      <c r="N10" s="31">
        <v>372.382091</v>
      </c>
      <c r="O10" s="30">
        <v>228.110232</v>
      </c>
      <c r="P10" s="30">
        <v>366</v>
      </c>
      <c r="Q10" s="30">
        <v>293.3</v>
      </c>
      <c r="R10" s="30">
        <v>229.8</v>
      </c>
      <c r="S10" s="30">
        <v>234.5</v>
      </c>
      <c r="T10" s="30">
        <v>307.90301399999998</v>
      </c>
      <c r="U10" s="30">
        <v>235.358789</v>
      </c>
      <c r="V10" s="30">
        <v>299.86437000000001</v>
      </c>
      <c r="W10" s="30">
        <v>151.670894</v>
      </c>
      <c r="X10" s="30">
        <v>68.664220999999998</v>
      </c>
      <c r="Y10" s="30">
        <v>21.435137000000001</v>
      </c>
      <c r="Z10" s="30">
        <v>104.649236</v>
      </c>
      <c r="AA10" s="30">
        <v>93.814687000000006</v>
      </c>
      <c r="AB10" s="30">
        <v>3.8705799999999999</v>
      </c>
      <c r="AC10" s="32">
        <f>'Townwide Contributions'!V358/1000000</f>
        <v>35.208638000000001</v>
      </c>
    </row>
    <row r="11" spans="1:31">
      <c r="C11" s="152"/>
      <c r="D11" s="154"/>
      <c r="G11" s="6" t="s">
        <v>2185</v>
      </c>
      <c r="H11" s="28">
        <f>'Aid436'!U446</f>
        <v>0</v>
      </c>
      <c r="I11" s="33"/>
      <c r="J11" s="9"/>
      <c r="K11" s="17" t="s">
        <v>302</v>
      </c>
      <c r="L11" s="30">
        <v>124.21683139999998</v>
      </c>
      <c r="M11" s="30">
        <v>123.51472800000001</v>
      </c>
      <c r="N11" s="31">
        <v>122.88609003000001</v>
      </c>
      <c r="O11" s="30">
        <v>34.216535</v>
      </c>
      <c r="P11" s="30">
        <v>109.8</v>
      </c>
      <c r="Q11" s="30">
        <v>58.7</v>
      </c>
      <c r="R11" s="30">
        <v>34.5</v>
      </c>
      <c r="S11" s="30">
        <v>35.200000000000003</v>
      </c>
      <c r="T11" s="30">
        <v>153.95150699999999</v>
      </c>
      <c r="U11" s="30">
        <v>117.6793945</v>
      </c>
      <c r="V11" s="30">
        <v>254.88471449999989</v>
      </c>
      <c r="W11" s="30">
        <v>128.92025990000005</v>
      </c>
      <c r="X11" s="30">
        <v>68.664220999999998</v>
      </c>
      <c r="Y11" s="30">
        <v>21.435137000000001</v>
      </c>
      <c r="Z11" s="30">
        <v>104.649236</v>
      </c>
      <c r="AA11" s="30">
        <v>93.814687000000006</v>
      </c>
      <c r="AB11" s="30">
        <v>3.8705799999999999</v>
      </c>
      <c r="AC11" s="32">
        <f>'Townwide Contributions'!V358/1000000</f>
        <v>35.208638000000001</v>
      </c>
    </row>
    <row r="12" spans="1:31">
      <c r="C12" s="152"/>
      <c r="D12" s="21"/>
      <c r="G12" s="6" t="s">
        <v>1569</v>
      </c>
      <c r="H12" s="28">
        <f>'Aid436'!W446</f>
        <v>340396.33999999997</v>
      </c>
      <c r="I12" s="33"/>
      <c r="J12" s="9"/>
      <c r="K12" s="17" t="s">
        <v>657</v>
      </c>
      <c r="L12" s="30">
        <v>496.86732560000002</v>
      </c>
      <c r="M12" s="30">
        <v>370.54418399999997</v>
      </c>
      <c r="N12" s="31">
        <v>249.49600097000001</v>
      </c>
      <c r="O12" s="30">
        <v>193.893697</v>
      </c>
      <c r="P12" s="30">
        <v>256.2</v>
      </c>
      <c r="Q12" s="30">
        <f>Q10-Q11</f>
        <v>234.60000000000002</v>
      </c>
      <c r="R12" s="30">
        <f>R10-R11</f>
        <v>195.3</v>
      </c>
      <c r="S12" s="30">
        <v>199.3</v>
      </c>
      <c r="T12" s="30">
        <v>152.08069825743701</v>
      </c>
      <c r="U12" s="30">
        <v>117.482913201</v>
      </c>
      <c r="V12" s="30">
        <v>44.978793475999993</v>
      </c>
      <c r="W12" s="30">
        <v>22.749214023213945</v>
      </c>
      <c r="X12" s="30">
        <v>0</v>
      </c>
      <c r="Y12" s="30">
        <v>0</v>
      </c>
      <c r="Z12" s="30">
        <v>0</v>
      </c>
      <c r="AA12" s="30">
        <v>0</v>
      </c>
      <c r="AB12" s="30">
        <v>0</v>
      </c>
      <c r="AC12" s="32">
        <f>'Townwide Contributions'!AC358/1000000</f>
        <v>0</v>
      </c>
    </row>
    <row r="13" spans="1:31">
      <c r="C13" s="151"/>
      <c r="D13" s="34"/>
      <c r="G13" s="6" t="s">
        <v>2297</v>
      </c>
      <c r="H13" s="28">
        <f>'Aid436'!Y446</f>
        <v>6901610127.2600069</v>
      </c>
      <c r="I13" s="33"/>
      <c r="J13" s="9"/>
      <c r="K13" s="17" t="s">
        <v>658</v>
      </c>
      <c r="L13" s="30">
        <v>-321.45232199999998</v>
      </c>
      <c r="M13" s="30">
        <v>-352.17487499999999</v>
      </c>
      <c r="N13" s="31">
        <v>-359.19356299999998</v>
      </c>
      <c r="O13" s="30">
        <v>-427.2</v>
      </c>
      <c r="P13" s="30">
        <v>-228</v>
      </c>
      <c r="Q13" s="30">
        <v>-211</v>
      </c>
      <c r="R13" s="30">
        <v>-200</v>
      </c>
      <c r="S13" s="30">
        <v>-180.2</v>
      </c>
      <c r="T13" s="30">
        <v>-162.97221500000001</v>
      </c>
      <c r="U13" s="30">
        <v>-132.627218</v>
      </c>
      <c r="V13" s="30">
        <v>-96.928090999999995</v>
      </c>
      <c r="W13" s="30">
        <v>-103.17317</v>
      </c>
      <c r="X13" s="30">
        <v>-117.254713</v>
      </c>
      <c r="Y13" s="30">
        <v>-207.485209</v>
      </c>
      <c r="Z13" s="30">
        <v>-163.71</v>
      </c>
      <c r="AA13" s="30">
        <v>-228.99932699999999</v>
      </c>
      <c r="AB13" s="30">
        <v>-494.81849599999998</v>
      </c>
      <c r="AC13" s="32">
        <f>'Townwide Contributions'!AA358/1000000</f>
        <v>-662.49780199999998</v>
      </c>
    </row>
    <row r="14" spans="1:31">
      <c r="B14" s="6" t="s">
        <v>1554</v>
      </c>
      <c r="C14" s="18">
        <v>30</v>
      </c>
      <c r="D14" s="24">
        <v>0</v>
      </c>
      <c r="G14" s="6" t="s">
        <v>1033</v>
      </c>
      <c r="H14" s="28">
        <f>308558</f>
        <v>308558</v>
      </c>
      <c r="I14" s="9"/>
      <c r="J14" s="9"/>
      <c r="K14" s="17" t="s">
        <v>659</v>
      </c>
      <c r="L14" s="30">
        <v>0</v>
      </c>
      <c r="M14" s="30">
        <v>-19.739149000000001</v>
      </c>
      <c r="N14" s="31">
        <v>-21.387588000000001</v>
      </c>
      <c r="O14" s="30">
        <v>-121.2</v>
      </c>
      <c r="P14" s="30">
        <v>-10.6</v>
      </c>
      <c r="Q14" s="30">
        <v>-10</v>
      </c>
      <c r="R14" s="30">
        <v>-4.2</v>
      </c>
      <c r="S14" s="30">
        <v>-3.9</v>
      </c>
      <c r="T14" s="30">
        <v>-7.5630930000000003</v>
      </c>
      <c r="U14" s="30">
        <v>-5.8487390000000001</v>
      </c>
      <c r="V14" s="30">
        <v>-2.4742150000000001</v>
      </c>
      <c r="W14" s="30">
        <v>-3.6281780000000001</v>
      </c>
      <c r="X14" s="30">
        <v>-5.3203490000000002</v>
      </c>
      <c r="Y14" s="30">
        <v>-19.253945000000002</v>
      </c>
      <c r="Z14" s="30">
        <v>-9.3782169999999994</v>
      </c>
      <c r="AA14" s="30">
        <v>-20.199767999999999</v>
      </c>
      <c r="AB14" s="30">
        <v>-56.264627000000004</v>
      </c>
      <c r="AC14" s="32">
        <f>('Townwide Contributions'!T358/1000000*-1)+('Townwide Contributions'!W358/1000000*-1)</f>
        <v>-58.842122000000003</v>
      </c>
    </row>
    <row r="15" spans="1:31">
      <c r="B15" s="6" t="s">
        <v>2106</v>
      </c>
      <c r="C15" s="18">
        <v>1</v>
      </c>
      <c r="D15" s="24">
        <v>1</v>
      </c>
      <c r="I15" s="33"/>
      <c r="J15" s="9"/>
      <c r="K15" s="17" t="s">
        <v>660</v>
      </c>
      <c r="L15" s="30">
        <v>-321.45232199999998</v>
      </c>
      <c r="M15" s="30">
        <v>-332.43572599999999</v>
      </c>
      <c r="N15" s="31">
        <v>-337.80597499999999</v>
      </c>
      <c r="O15" s="30">
        <v>-306</v>
      </c>
      <c r="P15" s="30">
        <v>-217.4</v>
      </c>
      <c r="Q15" s="30">
        <v>-200.9</v>
      </c>
      <c r="R15" s="30">
        <v>-195.7</v>
      </c>
      <c r="S15" s="30">
        <v>-176.3</v>
      </c>
      <c r="T15" s="30">
        <v>-155.409122</v>
      </c>
      <c r="U15" s="30">
        <v>-126.778479</v>
      </c>
      <c r="V15" s="30">
        <v>-94.453875999999994</v>
      </c>
      <c r="W15" s="30">
        <v>-99.544991999999993</v>
      </c>
      <c r="X15" s="30">
        <v>-111.934364</v>
      </c>
      <c r="Y15" s="30">
        <v>-188.23126400000001</v>
      </c>
      <c r="Z15" s="30">
        <v>-154.331783</v>
      </c>
      <c r="AA15" s="30">
        <v>-208.79955899999999</v>
      </c>
      <c r="AB15" s="30">
        <v>-438.55386900000002</v>
      </c>
      <c r="AC15" s="32">
        <f>'Townwide Contributions'!AB358/1000000</f>
        <v>-603.65567999999996</v>
      </c>
    </row>
    <row r="16" spans="1:31">
      <c r="B16" s="6" t="s">
        <v>1555</v>
      </c>
      <c r="C16" s="18">
        <v>2.5</v>
      </c>
      <c r="D16" s="36">
        <v>2.5</v>
      </c>
      <c r="G16" s="10" t="s">
        <v>1570</v>
      </c>
      <c r="H16" s="53">
        <f>H13+H14-H6</f>
        <v>309295599.66000557</v>
      </c>
      <c r="I16" s="9"/>
      <c r="J16" s="9"/>
      <c r="K16" s="49" t="s">
        <v>661</v>
      </c>
      <c r="L16" s="211">
        <v>232</v>
      </c>
      <c r="M16" s="211">
        <v>218</v>
      </c>
      <c r="N16" s="104">
        <v>214</v>
      </c>
      <c r="O16" s="104">
        <v>193</v>
      </c>
      <c r="P16" s="104">
        <v>282</v>
      </c>
      <c r="Q16" s="104">
        <v>257</v>
      </c>
      <c r="R16" s="104">
        <v>249</v>
      </c>
      <c r="S16" s="104">
        <v>255</v>
      </c>
      <c r="T16" s="104">
        <v>279</v>
      </c>
      <c r="U16" s="104">
        <v>278</v>
      </c>
      <c r="V16" s="104">
        <v>303</v>
      </c>
      <c r="W16" s="104">
        <v>291</v>
      </c>
      <c r="X16" s="104">
        <v>0</v>
      </c>
      <c r="Y16" s="104">
        <v>0</v>
      </c>
      <c r="Z16" s="104">
        <v>0</v>
      </c>
      <c r="AA16" s="104">
        <v>0</v>
      </c>
      <c r="AB16" s="104">
        <v>0</v>
      </c>
      <c r="AC16" s="104">
        <f>'Townwide Contributions'!AC361</f>
        <v>0</v>
      </c>
    </row>
    <row r="17" spans="1:25">
      <c r="B17" s="6" t="s">
        <v>1556</v>
      </c>
      <c r="C17" s="18">
        <v>7.5</v>
      </c>
      <c r="D17" s="36">
        <v>7.5</v>
      </c>
      <c r="G17" s="10" t="s">
        <v>1571</v>
      </c>
      <c r="H17" s="97">
        <f>H16/H6</f>
        <v>4.6915407667638E-2</v>
      </c>
      <c r="I17" s="9"/>
      <c r="J17" s="9"/>
      <c r="Y17" s="40"/>
    </row>
    <row r="18" spans="1:25">
      <c r="B18" s="6" t="s">
        <v>1557</v>
      </c>
      <c r="C18" s="41">
        <v>0.01</v>
      </c>
      <c r="D18" s="37">
        <v>0.01</v>
      </c>
      <c r="F18" s="11"/>
      <c r="I18" s="9"/>
      <c r="J18" s="9"/>
    </row>
    <row r="19" spans="1:25">
      <c r="B19" s="6" t="s">
        <v>1558</v>
      </c>
      <c r="C19" s="41">
        <v>0.02</v>
      </c>
      <c r="D19" s="37">
        <v>0.02</v>
      </c>
      <c r="G19" s="6" t="s">
        <v>1572</v>
      </c>
      <c r="H19" s="9">
        <f>'Aid436'!P446</f>
        <v>120</v>
      </c>
      <c r="J19" s="213"/>
    </row>
    <row r="20" spans="1:25">
      <c r="B20" s="6" t="s">
        <v>1559</v>
      </c>
      <c r="C20" s="41">
        <v>0.82499999999999996</v>
      </c>
      <c r="D20" s="34">
        <v>0.82499999999999996</v>
      </c>
      <c r="G20" s="6" t="s">
        <v>2243</v>
      </c>
      <c r="H20" s="6">
        <f>'Comparison to FY24'!N330</f>
        <v>319</v>
      </c>
      <c r="I20" s="9"/>
      <c r="J20" s="9"/>
    </row>
    <row r="21" spans="1:25">
      <c r="B21" s="6" t="s">
        <v>1560</v>
      </c>
      <c r="C21" s="41">
        <v>0.59</v>
      </c>
      <c r="D21" s="38">
        <v>0.59</v>
      </c>
      <c r="G21" s="14" t="s">
        <v>1573</v>
      </c>
      <c r="H21" s="43">
        <f>H13+H14</f>
        <v>6901918685.2600069</v>
      </c>
      <c r="I21" s="40"/>
      <c r="J21" s="9"/>
      <c r="K21" s="9"/>
    </row>
    <row r="22" spans="1:25">
      <c r="B22" s="6" t="s">
        <v>1561</v>
      </c>
      <c r="C22" s="41">
        <v>0.9</v>
      </c>
      <c r="D22" s="34">
        <v>0.9</v>
      </c>
      <c r="G22" s="14"/>
      <c r="H22" s="156"/>
      <c r="J22" s="9"/>
    </row>
    <row r="23" spans="1:25" ht="15">
      <c r="C23" s="41"/>
      <c r="D23" s="42">
        <v>0</v>
      </c>
      <c r="H23" s="521"/>
      <c r="I23" s="9"/>
      <c r="J23" s="9"/>
    </row>
    <row r="24" spans="1:25">
      <c r="A24" s="11" t="s">
        <v>1553</v>
      </c>
      <c r="B24" s="9"/>
      <c r="H24" s="9"/>
    </row>
    <row r="25" spans="1:25">
      <c r="H25" s="28"/>
    </row>
    <row r="26" spans="1:25">
      <c r="B26" s="6" t="s">
        <v>2118</v>
      </c>
      <c r="C26" s="44">
        <f>C21*localcont!K1765</f>
        <v>8575711005.8334503</v>
      </c>
      <c r="H26" s="28"/>
    </row>
    <row r="27" spans="1:25">
      <c r="B27" s="6" t="s">
        <v>1562</v>
      </c>
      <c r="C27" s="45">
        <f>'Townwide Contributions'!K358</f>
        <v>8575711006</v>
      </c>
      <c r="H27" s="28"/>
    </row>
    <row r="28" spans="1:25">
      <c r="B28" s="6" t="s">
        <v>1563</v>
      </c>
      <c r="C28" s="46">
        <f>IF(ABS(C27-C26)&lt;10,0,C27-C26)</f>
        <v>0</v>
      </c>
    </row>
    <row r="29" spans="1:25">
      <c r="B29" s="6" t="s">
        <v>1564</v>
      </c>
      <c r="C29" s="47">
        <v>3.9056081035834622E-3</v>
      </c>
    </row>
    <row r="30" spans="1:25">
      <c r="B30" s="6" t="s">
        <v>2140</v>
      </c>
      <c r="C30" s="47">
        <f>C29*1/C34</f>
        <v>1.4311900520431671E-2</v>
      </c>
    </row>
    <row r="32" spans="1:25">
      <c r="B32" s="6" t="s">
        <v>1566</v>
      </c>
      <c r="C32" s="45">
        <f>'Townwide Contributions'!C358</f>
        <v>1583183946900</v>
      </c>
    </row>
    <row r="33" spans="1:29">
      <c r="B33" s="6" t="s">
        <v>1567</v>
      </c>
      <c r="C33" s="45">
        <f>'Townwide Contributions'!E358</f>
        <v>432038780848.75</v>
      </c>
      <c r="H33" s="28"/>
    </row>
    <row r="34" spans="1:29">
      <c r="B34" s="6" t="s">
        <v>1565</v>
      </c>
      <c r="C34" s="48">
        <f>C33/C32</f>
        <v>0.27289234563975734</v>
      </c>
    </row>
    <row r="36" spans="1:29">
      <c r="C36" s="94"/>
    </row>
    <row r="37" spans="1:29">
      <c r="A37" s="98" t="s">
        <v>667</v>
      </c>
      <c r="C37" s="94"/>
    </row>
    <row r="39" spans="1:29" ht="15">
      <c r="B39" s="303"/>
      <c r="C39" s="94"/>
    </row>
    <row r="40" spans="1:29">
      <c r="B40" s="178"/>
    </row>
    <row r="41" spans="1:29">
      <c r="B41" s="178"/>
    </row>
    <row r="42" spans="1:29">
      <c r="B42" s="178"/>
      <c r="K42" s="22" t="s">
        <v>662</v>
      </c>
    </row>
    <row r="43" spans="1:29">
      <c r="B43" s="178"/>
    </row>
    <row r="44" spans="1:29">
      <c r="B44" s="178"/>
      <c r="L44" s="563" t="s">
        <v>387</v>
      </c>
      <c r="M44" s="563" t="s">
        <v>90</v>
      </c>
      <c r="N44" s="563" t="s">
        <v>469</v>
      </c>
      <c r="O44" s="563" t="s">
        <v>465</v>
      </c>
      <c r="P44" s="563" t="s">
        <v>101</v>
      </c>
      <c r="Q44" s="563" t="s">
        <v>390</v>
      </c>
      <c r="R44" s="563" t="s">
        <v>79</v>
      </c>
      <c r="S44" s="563" t="s">
        <v>634</v>
      </c>
      <c r="T44" s="563" t="s">
        <v>649</v>
      </c>
      <c r="U44" s="563" t="s">
        <v>669</v>
      </c>
      <c r="V44" s="563" t="s">
        <v>675</v>
      </c>
      <c r="W44" s="563" t="s">
        <v>1585</v>
      </c>
      <c r="X44" s="563" t="s">
        <v>2103</v>
      </c>
      <c r="Y44" s="26" t="s">
        <v>2117</v>
      </c>
      <c r="Z44" s="26" t="s">
        <v>2173</v>
      </c>
      <c r="AA44" s="563" t="s">
        <v>2217</v>
      </c>
      <c r="AB44" s="563" t="s">
        <v>2239</v>
      </c>
      <c r="AC44" s="563" t="s">
        <v>2310</v>
      </c>
    </row>
    <row r="45" spans="1:29">
      <c r="K45" s="49" t="s">
        <v>663</v>
      </c>
      <c r="L45" s="50">
        <v>394.9</v>
      </c>
      <c r="M45" s="50">
        <v>421</v>
      </c>
      <c r="N45" s="50">
        <v>440.4</v>
      </c>
      <c r="O45" s="50">
        <v>413.59914561056684</v>
      </c>
      <c r="P45" s="50">
        <v>489.29058672761249</v>
      </c>
      <c r="Q45" s="50">
        <v>360.5802896250691</v>
      </c>
      <c r="R45" s="50">
        <v>372.91397258755205</v>
      </c>
      <c r="S45" s="50">
        <v>385.3</v>
      </c>
      <c r="T45" s="51">
        <v>404.65393358144092</v>
      </c>
      <c r="U45" s="51">
        <v>419.07307786449184</v>
      </c>
      <c r="V45" s="51">
        <v>488.13621374028867</v>
      </c>
      <c r="W45" s="51">
        <v>497.40384494550671</v>
      </c>
      <c r="X45" s="51">
        <v>487.80696944632837</v>
      </c>
      <c r="Y45" s="51">
        <v>518.44879540449108</v>
      </c>
      <c r="Z45" s="51">
        <v>516.49432754833651</v>
      </c>
      <c r="AA45" s="51">
        <v>613.17696001292984</v>
      </c>
      <c r="AB45" s="51">
        <v>712.80310162890635</v>
      </c>
      <c r="AC45" s="52">
        <f>'Aid436'!AE447/1000000</f>
        <v>942.22343281827125</v>
      </c>
    </row>
    <row r="46" spans="1:29">
      <c r="B46" s="178"/>
      <c r="K46" s="35" t="s">
        <v>664</v>
      </c>
      <c r="L46" s="30">
        <v>-176.3</v>
      </c>
      <c r="M46" s="30">
        <v>-143</v>
      </c>
      <c r="N46" s="30">
        <v>-105.5</v>
      </c>
      <c r="O46" s="30">
        <v>-97.823632622684812</v>
      </c>
      <c r="P46" s="30">
        <v>-75.730739773442338</v>
      </c>
      <c r="Q46" s="30">
        <v>-110.4290612110001</v>
      </c>
      <c r="R46" s="30">
        <v>-84.706296922117531</v>
      </c>
      <c r="S46" s="30">
        <v>-66.900000000000006</v>
      </c>
      <c r="T46" s="31">
        <v>-49.399214270156875</v>
      </c>
      <c r="U46" s="31">
        <v>-44.487988876901781</v>
      </c>
      <c r="V46" s="31">
        <v>-13.013026762936654</v>
      </c>
      <c r="W46" s="31">
        <v>-7.2026888360463408</v>
      </c>
      <c r="X46" s="31">
        <v>-1.8096836867057722E-2</v>
      </c>
      <c r="Y46" s="31">
        <v>-1.1899810261307884E-3</v>
      </c>
      <c r="Z46" s="31">
        <v>-1.2838879272505514E-2</v>
      </c>
      <c r="AA46" s="31">
        <v>-1.7719228420077125E-3</v>
      </c>
      <c r="AB46" s="31">
        <v>-1.9628827480482868E-6</v>
      </c>
      <c r="AC46" s="562">
        <f>'Aid436'!AE448/1000000</f>
        <v>-1.045870017260313E-7</v>
      </c>
    </row>
    <row r="48" spans="1:29">
      <c r="C48" s="178"/>
    </row>
    <row r="50" spans="1:7">
      <c r="C50" s="623" t="str">
        <f>TEXT(effortred,"0%")</f>
        <v>100%</v>
      </c>
    </row>
    <row r="51" spans="1:7">
      <c r="A51" s="6" t="s">
        <v>2580</v>
      </c>
    </row>
    <row r="57" spans="1:7">
      <c r="G57" s="9"/>
    </row>
    <row r="58" spans="1:7">
      <c r="G58" s="9"/>
    </row>
    <row r="59" spans="1:7">
      <c r="G59" s="9"/>
    </row>
    <row r="60" spans="1:7">
      <c r="G60" s="9"/>
    </row>
    <row r="61" spans="1:7">
      <c r="G61" s="9"/>
    </row>
    <row r="62" spans="1:7">
      <c r="G62" s="9"/>
    </row>
    <row r="63" spans="1:7">
      <c r="G63" s="9"/>
    </row>
    <row r="64" spans="1:7">
      <c r="G64" s="9"/>
    </row>
    <row r="65" spans="7:7">
      <c r="G65" s="9"/>
    </row>
    <row r="66" spans="7:7">
      <c r="G66" s="9"/>
    </row>
    <row r="67" spans="7:7">
      <c r="G67" s="9"/>
    </row>
    <row r="68" spans="7:7">
      <c r="G68" s="9"/>
    </row>
    <row r="69" spans="7:7">
      <c r="G69" s="9"/>
    </row>
    <row r="70" spans="7:7">
      <c r="G70" s="9"/>
    </row>
    <row r="71" spans="7:7">
      <c r="G71" s="9"/>
    </row>
    <row r="72" spans="7:7">
      <c r="G72" s="9"/>
    </row>
    <row r="73" spans="7:7">
      <c r="G73" s="9"/>
    </row>
    <row r="74" spans="7:7">
      <c r="G74" s="9"/>
    </row>
    <row r="75" spans="7:7">
      <c r="G75" s="9"/>
    </row>
    <row r="76" spans="7:7">
      <c r="G76" s="9"/>
    </row>
    <row r="77" spans="7:7">
      <c r="G77" s="9"/>
    </row>
    <row r="78" spans="7:7">
      <c r="G78" s="9"/>
    </row>
    <row r="79" spans="7:7">
      <c r="G79" s="9"/>
    </row>
    <row r="80" spans="7:7">
      <c r="G80" s="9"/>
    </row>
    <row r="81" spans="7:7">
      <c r="G81" s="9"/>
    </row>
    <row r="82" spans="7:7">
      <c r="G82" s="9"/>
    </row>
    <row r="83" spans="7:7">
      <c r="G83" s="9"/>
    </row>
    <row r="84" spans="7:7">
      <c r="G84" s="9"/>
    </row>
    <row r="85" spans="7:7">
      <c r="G85" s="9"/>
    </row>
    <row r="86" spans="7:7">
      <c r="G86" s="9"/>
    </row>
    <row r="87" spans="7:7">
      <c r="G87" s="9"/>
    </row>
    <row r="88" spans="7:7">
      <c r="G88" s="9"/>
    </row>
    <row r="89" spans="7:7">
      <c r="G89" s="9"/>
    </row>
    <row r="90" spans="7:7">
      <c r="G90" s="9"/>
    </row>
    <row r="91" spans="7:7">
      <c r="G91" s="9"/>
    </row>
    <row r="92" spans="7:7">
      <c r="G92" s="9"/>
    </row>
    <row r="93" spans="7:7">
      <c r="G93" s="9"/>
    </row>
    <row r="94" spans="7:7">
      <c r="G94" s="9"/>
    </row>
    <row r="95" spans="7:7">
      <c r="G95" s="9"/>
    </row>
    <row r="96" spans="7:7">
      <c r="G96" s="9"/>
    </row>
    <row r="97" spans="7:7">
      <c r="G97" s="9"/>
    </row>
    <row r="98" spans="7:7">
      <c r="G98" s="9"/>
    </row>
    <row r="99" spans="7:7">
      <c r="G99" s="9"/>
    </row>
    <row r="100" spans="7:7">
      <c r="G100" s="9"/>
    </row>
    <row r="101" spans="7:7">
      <c r="G101" s="9"/>
    </row>
    <row r="102" spans="7:7">
      <c r="G102" s="9"/>
    </row>
    <row r="103" spans="7:7">
      <c r="G103" s="9"/>
    </row>
    <row r="104" spans="7:7">
      <c r="G104" s="9"/>
    </row>
    <row r="105" spans="7:7">
      <c r="G105" s="9"/>
    </row>
    <row r="106" spans="7:7">
      <c r="G106" s="9"/>
    </row>
    <row r="107" spans="7:7">
      <c r="G107" s="9"/>
    </row>
    <row r="108" spans="7:7">
      <c r="G108" s="9"/>
    </row>
    <row r="109" spans="7:7">
      <c r="G109" s="9"/>
    </row>
    <row r="110" spans="7:7">
      <c r="G110" s="9"/>
    </row>
    <row r="111" spans="7:7">
      <c r="G111" s="9"/>
    </row>
    <row r="112" spans="7:7">
      <c r="G112" s="9"/>
    </row>
    <row r="113" spans="7:7">
      <c r="G113" s="9"/>
    </row>
    <row r="114" spans="7:7">
      <c r="G114" s="9"/>
    </row>
    <row r="115" spans="7:7">
      <c r="G115" s="9"/>
    </row>
    <row r="116" spans="7:7">
      <c r="G116" s="9"/>
    </row>
    <row r="117" spans="7:7">
      <c r="G117" s="9"/>
    </row>
    <row r="118" spans="7:7">
      <c r="G118" s="9"/>
    </row>
    <row r="119" spans="7:7">
      <c r="G119" s="9"/>
    </row>
    <row r="120" spans="7:7">
      <c r="G120" s="9"/>
    </row>
    <row r="121" spans="7:7">
      <c r="G121" s="9"/>
    </row>
    <row r="122" spans="7:7">
      <c r="G122" s="9"/>
    </row>
    <row r="123" spans="7:7">
      <c r="G123" s="9"/>
    </row>
    <row r="124" spans="7:7">
      <c r="G124" s="9"/>
    </row>
    <row r="125" spans="7:7">
      <c r="G125" s="9"/>
    </row>
    <row r="126" spans="7:7">
      <c r="G126" s="9"/>
    </row>
    <row r="127" spans="7:7">
      <c r="G127" s="9"/>
    </row>
    <row r="128" spans="7:7">
      <c r="G128" s="9"/>
    </row>
    <row r="129" spans="7:7">
      <c r="G129" s="9"/>
    </row>
    <row r="130" spans="7:7">
      <c r="G130" s="9"/>
    </row>
    <row r="131" spans="7:7">
      <c r="G131" s="9"/>
    </row>
    <row r="132" spans="7:7">
      <c r="G132" s="9"/>
    </row>
    <row r="133" spans="7:7">
      <c r="G133" s="9"/>
    </row>
    <row r="134" spans="7:7">
      <c r="G134" s="9"/>
    </row>
    <row r="135" spans="7:7">
      <c r="G135" s="9"/>
    </row>
    <row r="136" spans="7:7">
      <c r="G136" s="9"/>
    </row>
    <row r="137" spans="7:7">
      <c r="G137" s="9"/>
    </row>
    <row r="138" spans="7:7">
      <c r="G138" s="9"/>
    </row>
    <row r="139" spans="7:7">
      <c r="G139" s="9"/>
    </row>
    <row r="140" spans="7:7">
      <c r="G140" s="9"/>
    </row>
    <row r="141" spans="7:7">
      <c r="G141" s="9"/>
    </row>
    <row r="142" spans="7:7">
      <c r="G142" s="9"/>
    </row>
    <row r="143" spans="7:7">
      <c r="G143" s="9"/>
    </row>
    <row r="144" spans="7:7">
      <c r="G144" s="9"/>
    </row>
    <row r="145" spans="7:7">
      <c r="G145" s="9"/>
    </row>
    <row r="146" spans="7:7">
      <c r="G146" s="9"/>
    </row>
    <row r="147" spans="7:7">
      <c r="G147" s="9"/>
    </row>
    <row r="148" spans="7:7">
      <c r="G148" s="9"/>
    </row>
    <row r="149" spans="7:7">
      <c r="G149" s="9"/>
    </row>
    <row r="150" spans="7:7">
      <c r="G150" s="9"/>
    </row>
    <row r="151" spans="7:7">
      <c r="G151" s="9"/>
    </row>
    <row r="152" spans="7:7">
      <c r="G152" s="9"/>
    </row>
    <row r="153" spans="7:7">
      <c r="G153" s="9"/>
    </row>
    <row r="154" spans="7:7">
      <c r="G154" s="9"/>
    </row>
    <row r="155" spans="7:7">
      <c r="G155" s="9"/>
    </row>
    <row r="156" spans="7:7">
      <c r="G156" s="9"/>
    </row>
    <row r="157" spans="7:7">
      <c r="G157" s="9"/>
    </row>
    <row r="158" spans="7:7">
      <c r="G158" s="9"/>
    </row>
    <row r="159" spans="7:7">
      <c r="G159" s="9"/>
    </row>
    <row r="160" spans="7:7">
      <c r="G160" s="9"/>
    </row>
    <row r="161" spans="7:7">
      <c r="G161" s="9"/>
    </row>
    <row r="162" spans="7:7">
      <c r="G162" s="9"/>
    </row>
    <row r="163" spans="7:7">
      <c r="G163" s="9"/>
    </row>
    <row r="164" spans="7:7">
      <c r="G164" s="9"/>
    </row>
    <row r="165" spans="7:7">
      <c r="G165" s="9"/>
    </row>
  </sheetData>
  <mergeCells count="1">
    <mergeCell ref="K5:AE5"/>
  </mergeCells>
  <phoneticPr fontId="0" type="noConversion"/>
  <conditionalFormatting sqref="C6">
    <cfRule type="cellIs" dxfId="20" priority="3" operator="notEqual">
      <formula>D6</formula>
    </cfRule>
  </conditionalFormatting>
  <conditionalFormatting sqref="C7:C8 C10:C23">
    <cfRule type="cellIs" dxfId="19" priority="2" operator="notEqual">
      <formula>D7</formula>
    </cfRule>
  </conditionalFormatting>
  <hyperlinks>
    <hyperlink ref="A37" location="parameters!K1" display="See Progress Towards Targets" xr:uid="{00000000-0004-0000-0100-000000000000}"/>
  </hyperlinks>
  <pageMargins left="0.17"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0" r:id="rId4" name="Button 14">
              <controlPr defaultSize="0" print="0" autoFill="0" autoPict="0" macro="[0]!runassump" altText="Recalibrate eqv and income percentages, if foundation or statewide target changes.">
                <anchor moveWithCells="1" sizeWithCells="1">
                  <from>
                    <xdr:col>4</xdr:col>
                    <xdr:colOff>114300</xdr:colOff>
                    <xdr:row>24</xdr:row>
                    <xdr:rowOff>142875</xdr:rowOff>
                  </from>
                  <to>
                    <xdr:col>7</xdr:col>
                    <xdr:colOff>200025</xdr:colOff>
                    <xdr:row>30</xdr:row>
                    <xdr:rowOff>104775</xdr:rowOff>
                  </to>
                </anchor>
              </controlPr>
            </control>
          </mc:Choice>
        </mc:AlternateContent>
      </controls>
    </mc:Choice>
  </mc:AlternateContent>
  <tableParts count="2">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Q68"/>
  <sheetViews>
    <sheetView showGridLines="0" topLeftCell="E1" zoomScaleNormal="100" workbookViewId="0">
      <selection activeCell="E1" sqref="E1"/>
    </sheetView>
  </sheetViews>
  <sheetFormatPr defaultColWidth="9" defaultRowHeight="15.75" customHeight="1"/>
  <cols>
    <col min="1" max="1" width="18.5" style="6" hidden="1" customWidth="1"/>
    <col min="2" max="2" width="21.375" style="6" hidden="1" customWidth="1"/>
    <col min="3" max="3" width="21.125" style="6" hidden="1" customWidth="1"/>
    <col min="4" max="4" width="31.375" style="6" hidden="1" customWidth="1"/>
    <col min="5" max="5" width="6.125" style="194" customWidth="1"/>
    <col min="6" max="6" width="36.125" style="194" customWidth="1"/>
    <col min="7" max="8" width="15.625" style="194" customWidth="1"/>
    <col min="9" max="9" width="12.25" style="194" customWidth="1"/>
    <col min="10" max="12" width="18.625" style="194" customWidth="1"/>
    <col min="13" max="13" width="1.5" style="6" customWidth="1"/>
    <col min="14" max="14" width="19.125" style="6" customWidth="1"/>
    <col min="15" max="15" width="25.125" style="6" customWidth="1"/>
    <col min="16" max="16" width="28.625" style="6" customWidth="1"/>
    <col min="17" max="17" width="28.75" style="6" customWidth="1"/>
    <col min="18" max="16384" width="9" style="6"/>
  </cols>
  <sheetData>
    <row r="1" spans="2:17" ht="5.0999999999999996" customHeight="1">
      <c r="E1" s="6"/>
      <c r="F1" s="226"/>
      <c r="G1" s="6"/>
      <c r="H1" s="6"/>
      <c r="I1" s="6"/>
      <c r="J1" s="6"/>
      <c r="K1" s="6"/>
      <c r="L1" s="6"/>
    </row>
    <row r="2" spans="2:17" ht="15.75" customHeight="1">
      <c r="E2" s="179" t="s">
        <v>84</v>
      </c>
      <c r="F2" s="6"/>
      <c r="G2" s="6"/>
      <c r="H2" s="6"/>
      <c r="I2" s="6"/>
      <c r="J2" s="6"/>
      <c r="K2" s="6"/>
      <c r="L2" s="6"/>
    </row>
    <row r="3" spans="2:17" ht="18.75">
      <c r="E3" s="179"/>
      <c r="F3" s="312" t="s">
        <v>2112</v>
      </c>
      <c r="G3" s="6"/>
      <c r="H3" s="6"/>
      <c r="I3" s="6"/>
      <c r="J3" s="6"/>
      <c r="K3" s="6"/>
      <c r="L3" s="6"/>
    </row>
    <row r="4" spans="2:17" ht="18.75">
      <c r="E4" s="194">
        <f>VLOOKUP(reg_order, regdistricts, 3, FALSE)</f>
        <v>829</v>
      </c>
      <c r="F4" s="311" t="s">
        <v>1103</v>
      </c>
      <c r="G4" s="623">
        <f>VLOOKUP(F4,leas!$E$450:$H$536,4,FALSE)</f>
        <v>73</v>
      </c>
      <c r="I4" s="6"/>
      <c r="J4" s="6"/>
      <c r="K4" s="6"/>
      <c r="L4" s="263"/>
    </row>
    <row r="5" spans="2:17" ht="3.6" customHeight="1">
      <c r="E5" s="179"/>
      <c r="F5" s="6"/>
      <c r="G5" s="6"/>
      <c r="H5" s="6"/>
      <c r="I5" s="6"/>
      <c r="J5" s="6"/>
      <c r="K5" s="6"/>
      <c r="L5" s="6"/>
    </row>
    <row r="6" spans="2:17" ht="22.5" customHeight="1">
      <c r="C6" s="264"/>
      <c r="D6" s="264"/>
      <c r="E6" s="272" t="s">
        <v>524</v>
      </c>
      <c r="F6" s="240"/>
      <c r="G6" s="240"/>
      <c r="H6" s="240"/>
      <c r="I6" s="240"/>
      <c r="J6" s="240"/>
      <c r="K6" s="240"/>
      <c r="L6" s="240"/>
    </row>
    <row r="7" spans="2:17" ht="21">
      <c r="C7" s="264"/>
      <c r="D7" s="264"/>
      <c r="E7" s="273" t="s">
        <v>138</v>
      </c>
      <c r="F7" s="240"/>
      <c r="G7" s="240"/>
      <c r="H7" s="240"/>
      <c r="I7" s="240"/>
      <c r="J7" s="240"/>
      <c r="K7" s="240"/>
      <c r="L7" s="240"/>
    </row>
    <row r="8" spans="2:17" ht="26.25">
      <c r="E8" s="274" t="str">
        <f>CYr&amp;" Chapter 70"</f>
        <v>FY25 Chapter 70</v>
      </c>
      <c r="F8" s="240"/>
      <c r="G8" s="240"/>
      <c r="H8" s="240"/>
      <c r="I8" s="240"/>
      <c r="J8" s="240"/>
      <c r="K8" s="240"/>
      <c r="L8" s="240"/>
    </row>
    <row r="9" spans="2:17" ht="18.95" customHeight="1">
      <c r="E9" s="240" t="s">
        <v>95</v>
      </c>
      <c r="F9" s="180"/>
      <c r="G9" s="180"/>
      <c r="H9" s="180"/>
      <c r="I9" s="180"/>
      <c r="J9" s="180"/>
      <c r="K9" s="180"/>
      <c r="L9" s="180"/>
      <c r="Q9" s="9"/>
    </row>
    <row r="10" spans="2:17" s="281" customFormat="1" ht="19.5" customHeight="1">
      <c r="E10" s="564" t="s">
        <v>2167</v>
      </c>
      <c r="F10" s="620"/>
      <c r="G10" s="620"/>
      <c r="H10" s="620"/>
      <c r="I10" s="620"/>
      <c r="J10" s="620"/>
      <c r="K10" s="366"/>
    </row>
    <row r="11" spans="2:17" s="281" customFormat="1" ht="19.5" customHeight="1">
      <c r="E11" s="564" t="s">
        <v>2507</v>
      </c>
      <c r="F11" s="529"/>
      <c r="G11" s="529"/>
      <c r="H11" s="529"/>
      <c r="I11" s="529"/>
      <c r="J11" s="529"/>
      <c r="K11" s="366"/>
    </row>
    <row r="12" spans="2:17" s="281" customFormat="1" ht="19.5" customHeight="1">
      <c r="E12" s="565" t="s">
        <v>2508</v>
      </c>
      <c r="F12" s="529"/>
      <c r="G12" s="529"/>
      <c r="H12" s="529"/>
      <c r="I12" s="529"/>
      <c r="J12" s="529"/>
      <c r="K12" s="366"/>
    </row>
    <row r="13" spans="2:17" s="281" customFormat="1" ht="19.5" customHeight="1">
      <c r="E13" s="565" t="s">
        <v>2509</v>
      </c>
      <c r="F13" s="529"/>
      <c r="G13" s="529"/>
      <c r="H13" s="529"/>
      <c r="I13" s="529"/>
      <c r="J13" s="529"/>
      <c r="K13" s="366"/>
    </row>
    <row r="14" spans="2:17" s="194" customFormat="1" ht="23.1" customHeight="1">
      <c r="B14" s="265" t="str">
        <f>VLOOKUP(E4, leas!D6:G445, 4, FALSE)</f>
        <v>0829</v>
      </c>
      <c r="D14" s="624">
        <v>2</v>
      </c>
      <c r="E14" s="240" t="str">
        <f>VLOOKUP(reg_order, regdistricts, 2, FALSE)</f>
        <v>829 South Middlesex</v>
      </c>
      <c r="F14" s="181"/>
      <c r="G14" s="6"/>
      <c r="H14" s="6"/>
      <c r="I14" s="6"/>
      <c r="K14" s="372"/>
      <c r="L14" s="372"/>
      <c r="M14" s="372"/>
      <c r="N14" s="372"/>
      <c r="O14"/>
      <c r="P14"/>
    </row>
    <row r="15" spans="2:17" s="194" customFormat="1" ht="15" customHeight="1">
      <c r="E15" s="240"/>
      <c r="F15" s="240"/>
      <c r="G15" s="6"/>
      <c r="H15" s="6"/>
      <c r="I15" s="6"/>
      <c r="J15" s="372"/>
      <c r="K15" s="372"/>
      <c r="L15" s="372"/>
      <c r="M15" s="372"/>
      <c r="N15" s="372"/>
      <c r="O15"/>
      <c r="P15"/>
    </row>
    <row r="16" spans="2:17" s="275" customFormat="1" ht="17.100000000000001" customHeight="1">
      <c r="E16" s="276"/>
      <c r="F16" s="276"/>
      <c r="G16" s="567" t="s">
        <v>2165</v>
      </c>
      <c r="H16" s="566"/>
      <c r="I16" s="566"/>
      <c r="J16" s="567" t="s">
        <v>2166</v>
      </c>
      <c r="K16" s="567"/>
      <c r="L16" s="567"/>
      <c r="M16" s="638"/>
      <c r="N16" s="638"/>
      <c r="O16" s="638"/>
    </row>
    <row r="17" spans="1:12" s="139" customFormat="1" ht="14.45" customHeight="1">
      <c r="B17" s="139">
        <f>VLOOKUP($E$4, regcount, 2, FALSE)</f>
        <v>5</v>
      </c>
      <c r="E17" s="568" t="s">
        <v>57</v>
      </c>
      <c r="F17" s="568" t="s">
        <v>96</v>
      </c>
      <c r="G17" s="569" t="s">
        <v>2294</v>
      </c>
      <c r="H17" s="569" t="s">
        <v>2310</v>
      </c>
      <c r="I17" s="569" t="s">
        <v>612</v>
      </c>
      <c r="J17" s="569" t="s">
        <v>2294</v>
      </c>
      <c r="K17" s="569" t="s">
        <v>2310</v>
      </c>
      <c r="L17" s="569" t="s">
        <v>612</v>
      </c>
    </row>
    <row r="18" spans="1:12" ht="18.75">
      <c r="E18" s="267"/>
      <c r="F18" s="267" t="s">
        <v>593</v>
      </c>
      <c r="G18" s="268">
        <f>SUM(G19:G66)</f>
        <v>840.99999999159002</v>
      </c>
      <c r="H18" s="269">
        <f>SUM(H19:H66)</f>
        <v>869.00000000868988</v>
      </c>
      <c r="I18" s="269">
        <f>SUM(I19:I66)</f>
        <v>28.000000017099939</v>
      </c>
      <c r="J18" s="268">
        <f>SUM(J19:J66)</f>
        <v>10232414</v>
      </c>
      <c r="K18" s="268">
        <f>SUM(K19:K66)</f>
        <v>11298529</v>
      </c>
      <c r="L18" s="269">
        <f>SUM(L19:L61)</f>
        <v>1066115</v>
      </c>
    </row>
    <row r="19" spans="1:12" ht="19.350000000000001" customHeight="1">
      <c r="A19" s="6" t="str">
        <f>IF($C19&lt;=$B$17,VLOOKUP(E19,leas!D6:G445,4,FALSE),"")</f>
        <v>0014</v>
      </c>
      <c r="B19" s="6">
        <f>$E$4*100+C19</f>
        <v>82901</v>
      </c>
      <c r="C19" s="6">
        <v>1</v>
      </c>
      <c r="E19" s="187">
        <f t="shared" ref="E19:E67" si="0">IF($C19&lt;=$B$17, VLOOKUP($B19, regdetail, 5), " ")</f>
        <v>14</v>
      </c>
      <c r="F19" s="187" t="str">
        <f t="shared" ref="F19:F50" si="1">IF($C19&lt;=$B$17, VLOOKUP($B19, regdetail, 6), " ")</f>
        <v>Ashland</v>
      </c>
      <c r="G19" s="270">
        <f>IF($C19&lt;=$B$17,VLOOKUP(A19&amp;$B$14, localcont!A10:X1764, 18, FALSE), "")</f>
        <v>59.211217180719999</v>
      </c>
      <c r="H19" s="271">
        <f>IF($C19&lt;=$B$17,VLOOKUP(A19&amp;$B$14, localcont!$A$10:$X$1764, 23, FALSE), "")</f>
        <v>62.214780602810002</v>
      </c>
      <c r="I19" s="271">
        <f>IF($C19&lt;=$B$17, H19-G19, " ")</f>
        <v>3.0035634220900036</v>
      </c>
      <c r="J19" s="270">
        <f>IF($C19&lt;=$B$17,VLOOKUP(A19&amp;$B$14, localcont!$A$10:$X$1764, 15, FALSE), "")</f>
        <v>937491</v>
      </c>
      <c r="K19" s="270">
        <f>IF($C19&lt;=$B$17,VLOOKUP(A19&amp;$B$14, localcont!$A$10:$X$1764, 14, FALSE),"")</f>
        <v>1036710</v>
      </c>
      <c r="L19" s="271">
        <f>IF($C19&lt;=$B$17, K19-J19, " ")</f>
        <v>99219</v>
      </c>
    </row>
    <row r="20" spans="1:12" ht="19.350000000000001" customHeight="1">
      <c r="A20" s="6" t="str">
        <f>IF($C20&lt;=$B$17,VLOOKUP(E20,leas!D7:G446,4,FALSE),"")</f>
        <v>0100</v>
      </c>
      <c r="B20" s="6">
        <f t="shared" ref="B20:B67" si="2">$E$4*100+C20</f>
        <v>82902</v>
      </c>
      <c r="C20" s="6">
        <v>2</v>
      </c>
      <c r="E20" s="187">
        <f t="shared" si="0"/>
        <v>100</v>
      </c>
      <c r="F20" s="187" t="str">
        <f t="shared" si="1"/>
        <v>Framingham</v>
      </c>
      <c r="G20" s="270">
        <f>IF($C20&lt;=$B$17,VLOOKUP(A20&amp;$B$14, localcont!A11:X1765, 18, FALSE), "")</f>
        <v>640.28400954390997</v>
      </c>
      <c r="H20" s="271">
        <f>IF($C20&lt;=$B$17,VLOOKUP(A20&amp;$B$14, localcont!$A$10:$X$1764, 23, FALSE), "")</f>
        <v>636.1963048514699</v>
      </c>
      <c r="I20" s="271">
        <f t="shared" ref="I20:I67" si="3">IF($C20&lt;=$B$17, H20-G20, " ")</f>
        <v>-4.0877046924400702</v>
      </c>
      <c r="J20" s="270">
        <f>IF($C20&lt;=$B$17,VLOOKUP(A20&amp;$B$14, localcont!$A$10:$X$1764, 15, FALSE), "")</f>
        <v>6822846</v>
      </c>
      <c r="K20" s="270">
        <f>IF($C20&lt;=$B$17,VLOOKUP(A20&amp;$B$14, localcont!$A$10:$X$1764, 14, FALSE),"")</f>
        <v>7106696</v>
      </c>
      <c r="L20" s="271">
        <f t="shared" ref="L20:L67" si="4">IF($C20&lt;=$B$17, K20-J20, " ")</f>
        <v>283850</v>
      </c>
    </row>
    <row r="21" spans="1:12" ht="19.350000000000001" customHeight="1">
      <c r="A21" s="6" t="str">
        <f>IF($C21&lt;=$B$17,VLOOKUP(E21,leas!D8:G447,4,FALSE),"")</f>
        <v>0136</v>
      </c>
      <c r="B21" s="6">
        <f t="shared" si="2"/>
        <v>82903</v>
      </c>
      <c r="C21" s="6">
        <v>3</v>
      </c>
      <c r="E21" s="187">
        <f t="shared" si="0"/>
        <v>136</v>
      </c>
      <c r="F21" s="187" t="str">
        <f t="shared" si="1"/>
        <v>Holliston</v>
      </c>
      <c r="G21" s="270">
        <f>IF($C21&lt;=$B$17,VLOOKUP(A21&amp;$B$14, localcont!A12:X1766, 18, FALSE), "")</f>
        <v>71.254176608590001</v>
      </c>
      <c r="H21" s="271">
        <f>IF($C21&lt;=$B$17,VLOOKUP(A21&amp;$B$14, localcont!$A$10:$X$1764, 23, FALSE), "")</f>
        <v>83.287528868280006</v>
      </c>
      <c r="I21" s="271">
        <f t="shared" si="3"/>
        <v>12.033352259690005</v>
      </c>
      <c r="J21" s="270">
        <f>IF($C21&lt;=$B$17,VLOOKUP(A21&amp;$B$14, localcont!$A$10:$X$1764, 15, FALSE), "")</f>
        <v>1186508</v>
      </c>
      <c r="K21" s="270">
        <f>IF($C21&lt;=$B$17,VLOOKUP(A21&amp;$B$14, localcont!$A$10:$X$1764, 14, FALSE),"")</f>
        <v>1489115</v>
      </c>
      <c r="L21" s="271">
        <f t="shared" si="4"/>
        <v>302607</v>
      </c>
    </row>
    <row r="22" spans="1:12" ht="19.350000000000001" customHeight="1">
      <c r="A22" s="6" t="str">
        <f>IF($C22&lt;=$B$17,VLOOKUP(E22,leas!D9:G448,4,FALSE),"")</f>
        <v>0139</v>
      </c>
      <c r="B22" s="6">
        <f t="shared" si="2"/>
        <v>82904</v>
      </c>
      <c r="C22" s="6">
        <v>4</v>
      </c>
      <c r="E22" s="187">
        <f t="shared" si="0"/>
        <v>139</v>
      </c>
      <c r="F22" s="187" t="str">
        <f t="shared" si="1"/>
        <v>Hopkinton</v>
      </c>
      <c r="G22" s="270">
        <f>IF($C22&lt;=$B$17,VLOOKUP(A22&amp;$B$14, localcont!A13:X1767, 18, FALSE), "")</f>
        <v>24.085918855740001</v>
      </c>
      <c r="H22" s="271">
        <f>IF($C22&lt;=$B$17,VLOOKUP(A22&amp;$B$14, localcont!$A$10:$X$1764, 23, FALSE), "")</f>
        <v>26.090069285609999</v>
      </c>
      <c r="I22" s="271">
        <f t="shared" si="3"/>
        <v>2.0041504298699984</v>
      </c>
      <c r="J22" s="270">
        <f>IF($C22&lt;=$B$17,VLOOKUP(A22&amp;$B$14, localcont!$A$10:$X$1764, 15, FALSE), "")</f>
        <v>444093</v>
      </c>
      <c r="K22" s="270">
        <f>IF($C22&lt;=$B$17,VLOOKUP(A22&amp;$B$14, localcont!$A$10:$X$1764, 14, FALSE),"")</f>
        <v>505586</v>
      </c>
      <c r="L22" s="271">
        <f t="shared" si="4"/>
        <v>61493</v>
      </c>
    </row>
    <row r="23" spans="1:12" ht="19.350000000000001" customHeight="1">
      <c r="A23" s="6" t="str">
        <f>IF($C23&lt;=$B$17,VLOOKUP(E23,leas!D10:G449,4,FALSE),"")</f>
        <v>0198</v>
      </c>
      <c r="B23" s="6">
        <f t="shared" si="2"/>
        <v>82905</v>
      </c>
      <c r="C23" s="6">
        <v>5</v>
      </c>
      <c r="E23" s="187">
        <f t="shared" si="0"/>
        <v>198</v>
      </c>
      <c r="F23" s="187" t="str">
        <f t="shared" si="1"/>
        <v>Natick</v>
      </c>
      <c r="G23" s="270">
        <f>IF($C23&lt;=$B$17,VLOOKUP(A23&amp;$B$14, localcont!A14:X1768, 18, FALSE), "")</f>
        <v>46.164677802630003</v>
      </c>
      <c r="H23" s="271">
        <f>IF($C23&lt;=$B$17,VLOOKUP(A23&amp;$B$14, localcont!$A$10:$X$1764, 23, FALSE), "")</f>
        <v>61.211316400520005</v>
      </c>
      <c r="I23" s="271">
        <f t="shared" si="3"/>
        <v>15.046638597890002</v>
      </c>
      <c r="J23" s="270">
        <f>IF($C23&lt;=$B$17,VLOOKUP(A23&amp;$B$14, localcont!$A$10:$X$1764, 15, FALSE), "")</f>
        <v>841476</v>
      </c>
      <c r="K23" s="270">
        <f>IF($C23&lt;=$B$17,VLOOKUP(A23&amp;$B$14, localcont!$A$10:$X$1764, 14, FALSE),"")</f>
        <v>1160422</v>
      </c>
      <c r="L23" s="271">
        <f t="shared" si="4"/>
        <v>318946</v>
      </c>
    </row>
    <row r="24" spans="1:12" ht="19.350000000000001" customHeight="1">
      <c r="A24" s="6" t="str">
        <f>IF($C24&lt;=$B$17,VLOOKUP(E24,leas!D11:G450,4,FALSE),"")</f>
        <v/>
      </c>
      <c r="B24" s="6">
        <f t="shared" si="2"/>
        <v>82906</v>
      </c>
      <c r="C24" s="6">
        <v>6</v>
      </c>
      <c r="E24" s="187" t="str">
        <f t="shared" si="0"/>
        <v xml:space="preserve"> </v>
      </c>
      <c r="F24" s="187" t="str">
        <f t="shared" si="1"/>
        <v xml:space="preserve"> </v>
      </c>
      <c r="G24" s="270" t="str">
        <f>IF($C24&lt;=$B$17,VLOOKUP(A24&amp;$B$14, localcont!A15:X1769, 18, FALSE), "")</f>
        <v/>
      </c>
      <c r="H24" s="271" t="str">
        <f>IF($C24&lt;=$B$17,VLOOKUP(A24&amp;$B$14, localcont!$A$10:$X$1764, 23, FALSE), "")</f>
        <v/>
      </c>
      <c r="I24" s="271" t="str">
        <f t="shared" si="3"/>
        <v xml:space="preserve"> </v>
      </c>
      <c r="J24" s="270" t="str">
        <f>IF($C24&lt;=$B$17,VLOOKUP(A24&amp;$B$14, localcont!$A$10:$X$1764, 15, FALSE), "")</f>
        <v/>
      </c>
      <c r="K24" s="270" t="str">
        <f>IF($C24&lt;=$B$17,VLOOKUP(A24&amp;$B$14, localcont!$A$10:$X$1764, 14, FALSE),"")</f>
        <v/>
      </c>
      <c r="L24" s="271" t="str">
        <f t="shared" si="4"/>
        <v xml:space="preserve"> </v>
      </c>
    </row>
    <row r="25" spans="1:12" ht="19.350000000000001" customHeight="1">
      <c r="A25" s="6" t="str">
        <f>IF($C25&lt;=$B$17,VLOOKUP(E25,leas!D12:G451,4,FALSE),"")</f>
        <v/>
      </c>
      <c r="B25" s="6">
        <f t="shared" si="2"/>
        <v>82907</v>
      </c>
      <c r="C25" s="6">
        <v>7</v>
      </c>
      <c r="E25" s="187" t="str">
        <f t="shared" si="0"/>
        <v xml:space="preserve"> </v>
      </c>
      <c r="F25" s="187" t="str">
        <f t="shared" si="1"/>
        <v xml:space="preserve"> </v>
      </c>
      <c r="G25" s="270" t="str">
        <f>IF($C25&lt;=$B$17,VLOOKUP(A25&amp;$B$14, localcont!A16:X1770, 18, FALSE), "")</f>
        <v/>
      </c>
      <c r="H25" s="271" t="str">
        <f>IF($C25&lt;=$B$17,VLOOKUP(A25&amp;$B$14, localcont!$A$10:$X$1764, 23, FALSE), "")</f>
        <v/>
      </c>
      <c r="I25" s="271" t="str">
        <f t="shared" si="3"/>
        <v xml:space="preserve"> </v>
      </c>
      <c r="J25" s="270" t="str">
        <f>IF($C25&lt;=$B$17,VLOOKUP(A25&amp;$B$14, localcont!$A$10:$X$1764, 15, FALSE), "")</f>
        <v/>
      </c>
      <c r="K25" s="270" t="str">
        <f>IF($C25&lt;=$B$17,VLOOKUP(A25&amp;$B$14, localcont!$A$10:$X$1764, 14, FALSE),"")</f>
        <v/>
      </c>
      <c r="L25" s="271" t="str">
        <f t="shared" si="4"/>
        <v xml:space="preserve"> </v>
      </c>
    </row>
    <row r="26" spans="1:12" ht="19.350000000000001" customHeight="1">
      <c r="A26" s="6" t="str">
        <f>IF($C26&lt;=$B$17,VLOOKUP(E26,leas!D13:G452,4,FALSE),"")</f>
        <v/>
      </c>
      <c r="B26" s="6">
        <f t="shared" si="2"/>
        <v>82908</v>
      </c>
      <c r="C26" s="6">
        <v>8</v>
      </c>
      <c r="E26" s="187" t="str">
        <f t="shared" si="0"/>
        <v xml:space="preserve"> </v>
      </c>
      <c r="F26" s="187" t="str">
        <f t="shared" si="1"/>
        <v xml:space="preserve"> </v>
      </c>
      <c r="G26" s="270" t="str">
        <f>IF($C26&lt;=$B$17,VLOOKUP(A26&amp;$B$14, localcont!A17:X1771, 18, FALSE), "")</f>
        <v/>
      </c>
      <c r="H26" s="271" t="str">
        <f>IF($C26&lt;=$B$17,VLOOKUP(A26&amp;$B$14, localcont!$A$10:$X$1764, 23, FALSE), "")</f>
        <v/>
      </c>
      <c r="I26" s="271" t="str">
        <f t="shared" si="3"/>
        <v xml:space="preserve"> </v>
      </c>
      <c r="J26" s="270" t="str">
        <f>IF($C26&lt;=$B$17,VLOOKUP(A26&amp;$B$14, localcont!$A$10:$X$1764, 15, FALSE), "")</f>
        <v/>
      </c>
      <c r="K26" s="270" t="str">
        <f>IF($C26&lt;=$B$17,VLOOKUP(A26&amp;$B$14, localcont!$A$10:$X$1764, 14, FALSE),"")</f>
        <v/>
      </c>
      <c r="L26" s="271" t="str">
        <f t="shared" si="4"/>
        <v xml:space="preserve"> </v>
      </c>
    </row>
    <row r="27" spans="1:12" ht="19.350000000000001" customHeight="1">
      <c r="A27" s="6" t="str">
        <f>IF($C27&lt;=$B$17,VLOOKUP(E27,leas!D14:G453,4,FALSE),"")</f>
        <v/>
      </c>
      <c r="B27" s="6">
        <f t="shared" si="2"/>
        <v>82909</v>
      </c>
      <c r="C27" s="6">
        <v>9</v>
      </c>
      <c r="E27" s="187" t="str">
        <f t="shared" si="0"/>
        <v xml:space="preserve"> </v>
      </c>
      <c r="F27" s="187" t="str">
        <f t="shared" si="1"/>
        <v xml:space="preserve"> </v>
      </c>
      <c r="G27" s="270" t="str">
        <f>IF($C27&lt;=$B$17,VLOOKUP(A27&amp;$B$14, localcont!A18:X1772, 18, FALSE), "")</f>
        <v/>
      </c>
      <c r="H27" s="271" t="str">
        <f>IF($C27&lt;=$B$17,VLOOKUP(A27&amp;$B$14, localcont!$A$10:$X$1764, 23, FALSE), "")</f>
        <v/>
      </c>
      <c r="I27" s="271" t="str">
        <f t="shared" si="3"/>
        <v xml:space="preserve"> </v>
      </c>
      <c r="J27" s="270" t="str">
        <f>IF($C27&lt;=$B$17,VLOOKUP(A27&amp;$B$14, localcont!$A$10:$X$1764, 15, FALSE), "")</f>
        <v/>
      </c>
      <c r="K27" s="270" t="str">
        <f>IF($C27&lt;=$B$17,VLOOKUP(A27&amp;$B$14, localcont!$A$10:$X$1764, 14, FALSE),"")</f>
        <v/>
      </c>
      <c r="L27" s="271" t="str">
        <f t="shared" si="4"/>
        <v xml:space="preserve"> </v>
      </c>
    </row>
    <row r="28" spans="1:12" ht="19.350000000000001" customHeight="1">
      <c r="A28" s="6" t="str">
        <f>IF($C28&lt;=$B$17,VLOOKUP(E28,leas!D15:G454,4,FALSE),"")</f>
        <v/>
      </c>
      <c r="B28" s="6">
        <f t="shared" si="2"/>
        <v>82910</v>
      </c>
      <c r="C28" s="6">
        <v>10</v>
      </c>
      <c r="E28" s="187" t="str">
        <f t="shared" si="0"/>
        <v xml:space="preserve"> </v>
      </c>
      <c r="F28" s="187" t="str">
        <f t="shared" si="1"/>
        <v xml:space="preserve"> </v>
      </c>
      <c r="G28" s="270" t="str">
        <f>IF($C28&lt;=$B$17,VLOOKUP(A28&amp;$B$14, localcont!A19:X1773, 18, FALSE), "")</f>
        <v/>
      </c>
      <c r="H28" s="271" t="str">
        <f>IF($C28&lt;=$B$17,VLOOKUP(A28&amp;$B$14, localcont!$A$10:$X$1764, 23, FALSE), "")</f>
        <v/>
      </c>
      <c r="I28" s="271" t="str">
        <f t="shared" si="3"/>
        <v xml:space="preserve"> </v>
      </c>
      <c r="J28" s="270" t="str">
        <f>IF($C28&lt;=$B$17,VLOOKUP(A28&amp;$B$14, localcont!$A$10:$X$1764, 15, FALSE), "")</f>
        <v/>
      </c>
      <c r="K28" s="270" t="str">
        <f>IF($C28&lt;=$B$17,VLOOKUP(A28&amp;$B$14, localcont!$A$10:$X$1764, 14, FALSE),"")</f>
        <v/>
      </c>
      <c r="L28" s="271" t="str">
        <f t="shared" si="4"/>
        <v xml:space="preserve"> </v>
      </c>
    </row>
    <row r="29" spans="1:12" ht="19.350000000000001" customHeight="1">
      <c r="A29" s="6" t="str">
        <f>IF($C29&lt;=$B$17,VLOOKUP(E29,leas!D16:G455,4,FALSE),"")</f>
        <v/>
      </c>
      <c r="B29" s="6">
        <f t="shared" si="2"/>
        <v>82911</v>
      </c>
      <c r="C29" s="6">
        <v>11</v>
      </c>
      <c r="E29" s="187" t="str">
        <f t="shared" si="0"/>
        <v xml:space="preserve"> </v>
      </c>
      <c r="F29" s="187" t="str">
        <f t="shared" si="1"/>
        <v xml:space="preserve"> </v>
      </c>
      <c r="G29" s="270" t="str">
        <f>IF($C29&lt;=$B$17,VLOOKUP(A29&amp;$B$14, localcont!A20:X1774, 18, FALSE), "")</f>
        <v/>
      </c>
      <c r="H29" s="271" t="str">
        <f>IF($C29&lt;=$B$17,VLOOKUP(A29&amp;$B$14, localcont!$A$10:$X$1764, 23, FALSE), "")</f>
        <v/>
      </c>
      <c r="I29" s="271" t="str">
        <f t="shared" si="3"/>
        <v xml:space="preserve"> </v>
      </c>
      <c r="J29" s="270" t="str">
        <f>IF($C29&lt;=$B$17,VLOOKUP(A29&amp;$B$14, localcont!$A$10:$X$1764, 15, FALSE), "")</f>
        <v/>
      </c>
      <c r="K29" s="270" t="str">
        <f>IF($C29&lt;=$B$17,VLOOKUP(A29&amp;$B$14, localcont!$A$10:$X$1764, 14, FALSE),"")</f>
        <v/>
      </c>
      <c r="L29" s="271" t="str">
        <f t="shared" si="4"/>
        <v xml:space="preserve"> </v>
      </c>
    </row>
    <row r="30" spans="1:12" ht="19.350000000000001" customHeight="1">
      <c r="A30" s="6" t="str">
        <f>IF($C30&lt;=$B$17,VLOOKUP(E30,leas!D17:G456,4,FALSE),"")</f>
        <v/>
      </c>
      <c r="B30" s="6">
        <f t="shared" si="2"/>
        <v>82912</v>
      </c>
      <c r="C30" s="6">
        <v>12</v>
      </c>
      <c r="E30" s="187" t="str">
        <f t="shared" si="0"/>
        <v xml:space="preserve"> </v>
      </c>
      <c r="F30" s="187" t="str">
        <f t="shared" si="1"/>
        <v xml:space="preserve"> </v>
      </c>
      <c r="G30" s="270" t="str">
        <f>IF($C30&lt;=$B$17,VLOOKUP(A30&amp;$B$14, localcont!A21:X1775, 18, FALSE), "")</f>
        <v/>
      </c>
      <c r="H30" s="271" t="str">
        <f>IF($C30&lt;=$B$17,VLOOKUP(A30&amp;$B$14, localcont!$A$10:$X$1764, 23, FALSE), "")</f>
        <v/>
      </c>
      <c r="I30" s="271" t="str">
        <f t="shared" si="3"/>
        <v xml:space="preserve"> </v>
      </c>
      <c r="J30" s="270" t="str">
        <f>IF($C30&lt;=$B$17,VLOOKUP(A30&amp;$B$14, localcont!$A$10:$X$1764, 15, FALSE), "")</f>
        <v/>
      </c>
      <c r="K30" s="270" t="str">
        <f>IF($C30&lt;=$B$17,VLOOKUP(A30&amp;$B$14, localcont!$A$10:$X$1764, 14, FALSE),"")</f>
        <v/>
      </c>
      <c r="L30" s="271" t="str">
        <f t="shared" si="4"/>
        <v xml:space="preserve"> </v>
      </c>
    </row>
    <row r="31" spans="1:12" ht="19.350000000000001" customHeight="1">
      <c r="A31" s="6" t="str">
        <f>IF($C31&lt;=$B$17,VLOOKUP(E31,leas!D18:G457,4,FALSE),"")</f>
        <v/>
      </c>
      <c r="B31" s="6">
        <f t="shared" si="2"/>
        <v>82913</v>
      </c>
      <c r="C31" s="6">
        <v>13</v>
      </c>
      <c r="E31" s="187" t="str">
        <f t="shared" si="0"/>
        <v xml:space="preserve"> </v>
      </c>
      <c r="F31" s="187" t="str">
        <f t="shared" si="1"/>
        <v xml:space="preserve"> </v>
      </c>
      <c r="G31" s="270" t="str">
        <f>IF($C31&lt;=$B$17,VLOOKUP(A31&amp;$B$14, localcont!A22:X1776, 18, FALSE), "")</f>
        <v/>
      </c>
      <c r="H31" s="271" t="str">
        <f>IF($C31&lt;=$B$17,VLOOKUP(A31&amp;$B$14, localcont!$A$10:$X$1764, 23, FALSE), "")</f>
        <v/>
      </c>
      <c r="I31" s="271" t="str">
        <f t="shared" si="3"/>
        <v xml:space="preserve"> </v>
      </c>
      <c r="J31" s="270" t="str">
        <f>IF($C31&lt;=$B$17,VLOOKUP(A31&amp;$B$14, localcont!$A$10:$X$1764, 15, FALSE), "")</f>
        <v/>
      </c>
      <c r="K31" s="270" t="str">
        <f>IF($C31&lt;=$B$17,VLOOKUP(A31&amp;$B$14, localcont!$A$10:$X$1764, 14, FALSE),"")</f>
        <v/>
      </c>
      <c r="L31" s="271" t="str">
        <f t="shared" si="4"/>
        <v xml:space="preserve"> </v>
      </c>
    </row>
    <row r="32" spans="1:12" ht="19.350000000000001" customHeight="1">
      <c r="A32" s="6" t="str">
        <f>IF($C32&lt;=$B$17,VLOOKUP(E32,leas!D19:G458,4,FALSE),"")</f>
        <v/>
      </c>
      <c r="B32" s="6">
        <f t="shared" si="2"/>
        <v>82914</v>
      </c>
      <c r="C32" s="6">
        <v>14</v>
      </c>
      <c r="E32" s="187" t="str">
        <f t="shared" si="0"/>
        <v xml:space="preserve"> </v>
      </c>
      <c r="F32" s="187" t="str">
        <f t="shared" si="1"/>
        <v xml:space="preserve"> </v>
      </c>
      <c r="G32" s="270" t="str">
        <f>IF($C32&lt;=$B$17,VLOOKUP(A32&amp;$B$14, localcont!A23:X1777, 18, FALSE), "")</f>
        <v/>
      </c>
      <c r="H32" s="271" t="str">
        <f>IF($C32&lt;=$B$17,VLOOKUP(A32&amp;$B$14, localcont!$A$10:$X$1764, 23, FALSE), "")</f>
        <v/>
      </c>
      <c r="I32" s="271" t="str">
        <f t="shared" si="3"/>
        <v xml:space="preserve"> </v>
      </c>
      <c r="J32" s="270" t="str">
        <f>IF($C32&lt;=$B$17,VLOOKUP(A32&amp;$B$14, localcont!$A$10:$X$1764, 15, FALSE), "")</f>
        <v/>
      </c>
      <c r="K32" s="270" t="str">
        <f>IF($C32&lt;=$B$17,VLOOKUP(A32&amp;$B$14, localcont!$A$10:$X$1764, 14, FALSE),"")</f>
        <v/>
      </c>
      <c r="L32" s="271" t="str">
        <f t="shared" si="4"/>
        <v xml:space="preserve"> </v>
      </c>
    </row>
    <row r="33" spans="1:12" ht="19.350000000000001" customHeight="1">
      <c r="A33" s="6" t="str">
        <f>IF($C33&lt;=$B$17,VLOOKUP(E33,leas!D20:G459,4,FALSE),"")</f>
        <v/>
      </c>
      <c r="B33" s="6">
        <f t="shared" si="2"/>
        <v>82915</v>
      </c>
      <c r="C33" s="6">
        <v>15</v>
      </c>
      <c r="E33" s="187" t="str">
        <f t="shared" si="0"/>
        <v xml:space="preserve"> </v>
      </c>
      <c r="F33" s="187" t="str">
        <f t="shared" si="1"/>
        <v xml:space="preserve"> </v>
      </c>
      <c r="G33" s="270" t="str">
        <f>IF($C33&lt;=$B$17,VLOOKUP(A33&amp;$B$14, localcont!A24:X1778, 18, FALSE), "")</f>
        <v/>
      </c>
      <c r="H33" s="271" t="str">
        <f>IF($C33&lt;=$B$17,VLOOKUP(A33&amp;$B$14, localcont!$A$10:$X$1764, 23, FALSE), "")</f>
        <v/>
      </c>
      <c r="I33" s="271" t="str">
        <f t="shared" si="3"/>
        <v xml:space="preserve"> </v>
      </c>
      <c r="J33" s="270" t="str">
        <f>IF($C33&lt;=$B$17,VLOOKUP(A33&amp;$B$14, localcont!$A$10:$X$1764, 15, FALSE), "")</f>
        <v/>
      </c>
      <c r="K33" s="270" t="str">
        <f>IF($C33&lt;=$B$17,VLOOKUP(A33&amp;$B$14, localcont!$A$10:$X$1764, 14, FALSE),"")</f>
        <v/>
      </c>
      <c r="L33" s="271" t="str">
        <f t="shared" si="4"/>
        <v xml:space="preserve"> </v>
      </c>
    </row>
    <row r="34" spans="1:12" ht="19.350000000000001" customHeight="1">
      <c r="A34" s="6" t="str">
        <f>IF($C34&lt;=$B$17,VLOOKUP(E34,leas!D21:G460,4,FALSE),"")</f>
        <v/>
      </c>
      <c r="B34" s="6">
        <f t="shared" si="2"/>
        <v>82916</v>
      </c>
      <c r="C34" s="6">
        <v>16</v>
      </c>
      <c r="E34" s="187" t="str">
        <f t="shared" si="0"/>
        <v xml:space="preserve"> </v>
      </c>
      <c r="F34" s="187" t="str">
        <f t="shared" si="1"/>
        <v xml:space="preserve"> </v>
      </c>
      <c r="G34" s="270" t="str">
        <f>IF($C34&lt;=$B$17,VLOOKUP(A34&amp;$B$14, localcont!A25:X1779, 18, FALSE), "")</f>
        <v/>
      </c>
      <c r="H34" s="271" t="str">
        <f>IF($C34&lt;=$B$17,VLOOKUP(A34&amp;$B$14, localcont!$A$10:$X$1764, 23, FALSE), "")</f>
        <v/>
      </c>
      <c r="I34" s="271" t="str">
        <f t="shared" si="3"/>
        <v xml:space="preserve"> </v>
      </c>
      <c r="J34" s="270" t="str">
        <f>IF($C34&lt;=$B$17,VLOOKUP(A34&amp;$B$14, localcont!$A$10:$X$1764, 15, FALSE), "")</f>
        <v/>
      </c>
      <c r="K34" s="270" t="str">
        <f>IF($C34&lt;=$B$17,VLOOKUP(A34&amp;$B$14, localcont!$A$10:$X$1764, 14, FALSE),"")</f>
        <v/>
      </c>
      <c r="L34" s="271" t="str">
        <f t="shared" si="4"/>
        <v xml:space="preserve"> </v>
      </c>
    </row>
    <row r="35" spans="1:12" ht="19.350000000000001" customHeight="1">
      <c r="A35" s="6" t="str">
        <f>IF($C35&lt;=$B$17,VLOOKUP(E35,leas!D22:G461,4,FALSE),"")</f>
        <v/>
      </c>
      <c r="B35" s="6">
        <f t="shared" si="2"/>
        <v>82917</v>
      </c>
      <c r="C35" s="6">
        <v>17</v>
      </c>
      <c r="E35" s="187" t="str">
        <f t="shared" si="0"/>
        <v xml:space="preserve"> </v>
      </c>
      <c r="F35" s="187" t="str">
        <f t="shared" si="1"/>
        <v xml:space="preserve"> </v>
      </c>
      <c r="G35" s="270" t="str">
        <f>IF($C35&lt;=$B$17,VLOOKUP(A35&amp;$B$14, localcont!A26:X1780, 18, FALSE), "")</f>
        <v/>
      </c>
      <c r="H35" s="271" t="str">
        <f>IF($C35&lt;=$B$17,VLOOKUP(A35&amp;$B$14, localcont!$A$10:$X$1764, 23, FALSE), "")</f>
        <v/>
      </c>
      <c r="I35" s="271" t="str">
        <f t="shared" si="3"/>
        <v xml:space="preserve"> </v>
      </c>
      <c r="J35" s="270" t="str">
        <f>IF($C35&lt;=$B$17,VLOOKUP(A35&amp;$B$14, localcont!$A$10:$X$1764, 15, FALSE), "")</f>
        <v/>
      </c>
      <c r="K35" s="270" t="str">
        <f>IF($C35&lt;=$B$17,VLOOKUP(A35&amp;$B$14, localcont!$A$10:$X$1764, 14, FALSE),"")</f>
        <v/>
      </c>
      <c r="L35" s="271" t="str">
        <f t="shared" si="4"/>
        <v xml:space="preserve"> </v>
      </c>
    </row>
    <row r="36" spans="1:12" ht="19.350000000000001" customHeight="1">
      <c r="A36" s="6" t="str">
        <f>IF($C36&lt;=$B$17,VLOOKUP(E36,leas!D23:G462,4,FALSE),"")</f>
        <v/>
      </c>
      <c r="B36" s="6">
        <f t="shared" si="2"/>
        <v>82918</v>
      </c>
      <c r="C36" s="6">
        <v>18</v>
      </c>
      <c r="E36" s="187" t="str">
        <f t="shared" si="0"/>
        <v xml:space="preserve"> </v>
      </c>
      <c r="F36" s="187" t="str">
        <f t="shared" si="1"/>
        <v xml:space="preserve"> </v>
      </c>
      <c r="G36" s="270" t="str">
        <f>IF($C36&lt;=$B$17,VLOOKUP(A36&amp;$B$14, localcont!A27:X1781, 18, FALSE), "")</f>
        <v/>
      </c>
      <c r="H36" s="271" t="str">
        <f>IF($C36&lt;=$B$17,VLOOKUP(A36&amp;$B$14, localcont!$A$10:$X$1764, 23, FALSE), "")</f>
        <v/>
      </c>
      <c r="I36" s="271" t="str">
        <f t="shared" si="3"/>
        <v xml:space="preserve"> </v>
      </c>
      <c r="J36" s="270" t="str">
        <f>IF($C36&lt;=$B$17,VLOOKUP(A36&amp;$B$14, localcont!$A$10:$X$1764, 15, FALSE), "")</f>
        <v/>
      </c>
      <c r="K36" s="270" t="str">
        <f>IF($C36&lt;=$B$17,VLOOKUP(A36&amp;$B$14, localcont!$A$10:$X$1764, 14, FALSE),"")</f>
        <v/>
      </c>
      <c r="L36" s="271" t="str">
        <f t="shared" si="4"/>
        <v xml:space="preserve"> </v>
      </c>
    </row>
    <row r="37" spans="1:12" ht="19.350000000000001" customHeight="1">
      <c r="A37" s="6" t="str">
        <f>IF($C37&lt;=$B$17,VLOOKUP(E37,leas!D24:G463,4,FALSE),"")</f>
        <v/>
      </c>
      <c r="B37" s="6">
        <f t="shared" si="2"/>
        <v>82919</v>
      </c>
      <c r="C37" s="6">
        <v>19</v>
      </c>
      <c r="E37" s="187" t="str">
        <f t="shared" si="0"/>
        <v xml:space="preserve"> </v>
      </c>
      <c r="F37" s="187" t="str">
        <f t="shared" si="1"/>
        <v xml:space="preserve"> </v>
      </c>
      <c r="G37" s="270" t="str">
        <f>IF($C37&lt;=$B$17,VLOOKUP(A37&amp;$B$14, localcont!A28:X1782, 18, FALSE), "")</f>
        <v/>
      </c>
      <c r="H37" s="271" t="str">
        <f>IF($C37&lt;=$B$17,VLOOKUP(A37&amp;$B$14, localcont!$A$10:$X$1764, 23, FALSE), "")</f>
        <v/>
      </c>
      <c r="I37" s="271" t="str">
        <f t="shared" si="3"/>
        <v xml:space="preserve"> </v>
      </c>
      <c r="J37" s="270" t="str">
        <f>IF($C37&lt;=$B$17,VLOOKUP(A37&amp;$B$14, localcont!$A$10:$X$1764, 15, FALSE), "")</f>
        <v/>
      </c>
      <c r="K37" s="270" t="str">
        <f>IF($C37&lt;=$B$17,VLOOKUP(A37&amp;$B$14, localcont!$A$10:$X$1764, 14, FALSE),"")</f>
        <v/>
      </c>
      <c r="L37" s="271" t="str">
        <f t="shared" si="4"/>
        <v xml:space="preserve"> </v>
      </c>
    </row>
    <row r="38" spans="1:12" ht="19.350000000000001" customHeight="1">
      <c r="A38" s="6" t="str">
        <f>IF($C38&lt;=$B$17,VLOOKUP(E38,leas!D25:G464,4,FALSE),"")</f>
        <v/>
      </c>
      <c r="B38" s="6">
        <f t="shared" si="2"/>
        <v>82920</v>
      </c>
      <c r="C38" s="6">
        <v>20</v>
      </c>
      <c r="E38" s="187" t="str">
        <f t="shared" si="0"/>
        <v xml:space="preserve"> </v>
      </c>
      <c r="F38" s="187" t="str">
        <f t="shared" si="1"/>
        <v xml:space="preserve"> </v>
      </c>
      <c r="G38" s="270" t="str">
        <f>IF($C38&lt;=$B$17,VLOOKUP(A38&amp;$B$14, localcont!A29:X1783, 18, FALSE), "")</f>
        <v/>
      </c>
      <c r="H38" s="271" t="str">
        <f>IF($C38&lt;=$B$17,VLOOKUP(A38&amp;$B$14, localcont!$A$10:$X$1764, 23, FALSE), "")</f>
        <v/>
      </c>
      <c r="I38" s="271" t="str">
        <f t="shared" si="3"/>
        <v xml:space="preserve"> </v>
      </c>
      <c r="J38" s="270" t="str">
        <f>IF($C38&lt;=$B$17,VLOOKUP(A38&amp;$B$14, localcont!$A$10:$X$1764, 15, FALSE), "")</f>
        <v/>
      </c>
      <c r="K38" s="270" t="str">
        <f>IF($C38&lt;=$B$17,VLOOKUP(A38&amp;$B$14, localcont!$A$10:$X$1764, 14, FALSE),"")</f>
        <v/>
      </c>
      <c r="L38" s="271" t="str">
        <f t="shared" si="4"/>
        <v xml:space="preserve"> </v>
      </c>
    </row>
    <row r="39" spans="1:12" ht="19.350000000000001" customHeight="1">
      <c r="A39" s="6" t="str">
        <f>IF($C39&lt;=$B$17,VLOOKUP(E39,leas!D26:G465,4,FALSE),"")</f>
        <v/>
      </c>
      <c r="B39" s="6">
        <f t="shared" si="2"/>
        <v>82921</v>
      </c>
      <c r="C39" s="6">
        <v>21</v>
      </c>
      <c r="E39" s="187" t="str">
        <f t="shared" si="0"/>
        <v xml:space="preserve"> </v>
      </c>
      <c r="F39" s="187" t="str">
        <f t="shared" si="1"/>
        <v xml:space="preserve"> </v>
      </c>
      <c r="G39" s="270" t="str">
        <f>IF($C39&lt;=$B$17,VLOOKUP(A39&amp;$B$14, localcont!A30:X1784, 18, FALSE), "")</f>
        <v/>
      </c>
      <c r="H39" s="271" t="str">
        <f>IF($C39&lt;=$B$17,VLOOKUP(A39&amp;$B$14, localcont!$A$10:$X$1764, 23, FALSE), "")</f>
        <v/>
      </c>
      <c r="I39" s="271" t="str">
        <f t="shared" si="3"/>
        <v xml:space="preserve"> </v>
      </c>
      <c r="J39" s="270" t="str">
        <f>IF($C39&lt;=$B$17,VLOOKUP(A39&amp;$B$14, localcont!$A$10:$X$1764, 15, FALSE), "")</f>
        <v/>
      </c>
      <c r="K39" s="270" t="str">
        <f>IF($C39&lt;=$B$17,VLOOKUP(A39&amp;$B$14, localcont!$A$10:$X$1764, 14, FALSE),"")</f>
        <v/>
      </c>
      <c r="L39" s="271" t="str">
        <f t="shared" si="4"/>
        <v xml:space="preserve"> </v>
      </c>
    </row>
    <row r="40" spans="1:12" ht="19.350000000000001" customHeight="1">
      <c r="A40" s="6" t="str">
        <f>IF($C40&lt;=$B$17,VLOOKUP(E40,leas!D27:G466,4,FALSE),"")</f>
        <v/>
      </c>
      <c r="B40" s="6">
        <f t="shared" si="2"/>
        <v>82922</v>
      </c>
      <c r="C40" s="6">
        <v>22</v>
      </c>
      <c r="E40" s="187" t="str">
        <f t="shared" si="0"/>
        <v xml:space="preserve"> </v>
      </c>
      <c r="F40" s="187" t="str">
        <f t="shared" si="1"/>
        <v xml:space="preserve"> </v>
      </c>
      <c r="G40" s="270" t="str">
        <f>IF($C40&lt;=$B$17,VLOOKUP(A40&amp;$B$14, localcont!A31:X1785, 18, FALSE), "")</f>
        <v/>
      </c>
      <c r="H40" s="271" t="str">
        <f>IF($C40&lt;=$B$17,VLOOKUP(A40&amp;$B$14, localcont!$A$10:$X$1764, 23, FALSE), "")</f>
        <v/>
      </c>
      <c r="I40" s="271" t="str">
        <f t="shared" si="3"/>
        <v xml:space="preserve"> </v>
      </c>
      <c r="J40" s="270" t="str">
        <f>IF($C40&lt;=$B$17,VLOOKUP(A40&amp;$B$14, localcont!$A$10:$X$1764, 15, FALSE), "")</f>
        <v/>
      </c>
      <c r="K40" s="270" t="str">
        <f>IF($C40&lt;=$B$17,VLOOKUP(A40&amp;$B$14, localcont!$A$10:$X$1764, 14, FALSE),"")</f>
        <v/>
      </c>
      <c r="L40" s="271" t="str">
        <f t="shared" si="4"/>
        <v xml:space="preserve"> </v>
      </c>
    </row>
    <row r="41" spans="1:12" ht="19.350000000000001" customHeight="1">
      <c r="A41" s="6" t="str">
        <f>IF($C41&lt;=$B$17,VLOOKUP(E41,leas!D28:G467,4,FALSE),"")</f>
        <v/>
      </c>
      <c r="B41" s="6">
        <f t="shared" si="2"/>
        <v>82923</v>
      </c>
      <c r="C41" s="6">
        <v>23</v>
      </c>
      <c r="E41" s="187" t="str">
        <f t="shared" si="0"/>
        <v xml:space="preserve"> </v>
      </c>
      <c r="F41" s="187" t="str">
        <f t="shared" si="1"/>
        <v xml:space="preserve"> </v>
      </c>
      <c r="G41" s="270" t="str">
        <f>IF($C41&lt;=$B$17,VLOOKUP(A41&amp;$B$14, localcont!A32:X1786, 18, FALSE), "")</f>
        <v/>
      </c>
      <c r="H41" s="271" t="str">
        <f>IF($C41&lt;=$B$17,VLOOKUP(A41&amp;$B$14, localcont!$A$10:$X$1764, 23, FALSE), "")</f>
        <v/>
      </c>
      <c r="I41" s="271" t="str">
        <f t="shared" si="3"/>
        <v xml:space="preserve"> </v>
      </c>
      <c r="J41" s="270" t="str">
        <f>IF($C41&lt;=$B$17,VLOOKUP(A41&amp;$B$14, localcont!$A$10:$X$1764, 15, FALSE), "")</f>
        <v/>
      </c>
      <c r="K41" s="270" t="str">
        <f>IF($C41&lt;=$B$17,VLOOKUP(A41&amp;$B$14, localcont!$A$10:$X$1764, 14, FALSE),"")</f>
        <v/>
      </c>
      <c r="L41" s="271" t="str">
        <f t="shared" si="4"/>
        <v xml:space="preserve"> </v>
      </c>
    </row>
    <row r="42" spans="1:12" ht="19.350000000000001" customHeight="1">
      <c r="A42" s="6" t="str">
        <f>IF($C42&lt;=$B$17,VLOOKUP(E42,leas!D29:G468,4,FALSE),"")</f>
        <v/>
      </c>
      <c r="B42" s="6">
        <f t="shared" si="2"/>
        <v>82924</v>
      </c>
      <c r="C42" s="6">
        <v>24</v>
      </c>
      <c r="E42" s="187" t="str">
        <f t="shared" si="0"/>
        <v xml:space="preserve"> </v>
      </c>
      <c r="F42" s="187" t="str">
        <f t="shared" si="1"/>
        <v xml:space="preserve"> </v>
      </c>
      <c r="G42" s="270" t="str">
        <f>IF($C42&lt;=$B$17,VLOOKUP(A42&amp;$B$14, localcont!A33:X1787, 18, FALSE), "")</f>
        <v/>
      </c>
      <c r="H42" s="271" t="str">
        <f>IF($C42&lt;=$B$17,VLOOKUP(A42&amp;$B$14, localcont!$A$10:$X$1764, 23, FALSE), "")</f>
        <v/>
      </c>
      <c r="I42" s="271" t="str">
        <f t="shared" si="3"/>
        <v xml:space="preserve"> </v>
      </c>
      <c r="J42" s="270" t="str">
        <f>IF($C42&lt;=$B$17,VLOOKUP(A42&amp;$B$14, localcont!$A$10:$X$1764, 15, FALSE), "")</f>
        <v/>
      </c>
      <c r="K42" s="270" t="str">
        <f>IF($C42&lt;=$B$17,VLOOKUP(A42&amp;$B$14, localcont!$A$10:$X$1764, 14, FALSE),"")</f>
        <v/>
      </c>
      <c r="L42" s="271" t="str">
        <f t="shared" si="4"/>
        <v xml:space="preserve"> </v>
      </c>
    </row>
    <row r="43" spans="1:12" ht="19.350000000000001" customHeight="1">
      <c r="A43" s="6" t="str">
        <f>IF($C43&lt;=$B$17,VLOOKUP(E43,leas!D30:G469,4,FALSE),"")</f>
        <v/>
      </c>
      <c r="B43" s="6">
        <f t="shared" si="2"/>
        <v>82925</v>
      </c>
      <c r="C43" s="6">
        <v>25</v>
      </c>
      <c r="E43" s="187" t="str">
        <f t="shared" si="0"/>
        <v xml:space="preserve"> </v>
      </c>
      <c r="F43" s="187" t="str">
        <f t="shared" si="1"/>
        <v xml:space="preserve"> </v>
      </c>
      <c r="G43" s="270" t="str">
        <f>IF($C43&lt;=$B$17,VLOOKUP(A43&amp;$B$14, localcont!A34:X1788, 18, FALSE), "")</f>
        <v/>
      </c>
      <c r="H43" s="271" t="str">
        <f>IF($C43&lt;=$B$17,VLOOKUP(A43&amp;$B$14, localcont!$A$10:$X$1764, 23, FALSE), "")</f>
        <v/>
      </c>
      <c r="I43" s="271" t="str">
        <f t="shared" si="3"/>
        <v xml:space="preserve"> </v>
      </c>
      <c r="J43" s="270" t="str">
        <f>IF($C43&lt;=$B$17,VLOOKUP(A43&amp;$B$14, localcont!$A$10:$X$1764, 15, FALSE), "")</f>
        <v/>
      </c>
      <c r="K43" s="270" t="str">
        <f>IF($C43&lt;=$B$17,VLOOKUP(A43&amp;$B$14, localcont!$A$10:$X$1764, 14, FALSE),"")</f>
        <v/>
      </c>
      <c r="L43" s="271" t="str">
        <f t="shared" si="4"/>
        <v xml:space="preserve"> </v>
      </c>
    </row>
    <row r="44" spans="1:12" ht="19.350000000000001" customHeight="1">
      <c r="A44" s="6" t="str">
        <f>IF($C44&lt;=$B$17,VLOOKUP(E44,leas!D31:G470,4,FALSE),"")</f>
        <v/>
      </c>
      <c r="B44" s="6">
        <f t="shared" si="2"/>
        <v>82926</v>
      </c>
      <c r="C44" s="6">
        <v>26</v>
      </c>
      <c r="E44" s="187" t="str">
        <f t="shared" si="0"/>
        <v xml:space="preserve"> </v>
      </c>
      <c r="F44" s="187" t="str">
        <f t="shared" si="1"/>
        <v xml:space="preserve"> </v>
      </c>
      <c r="G44" s="270" t="str">
        <f>IF($C44&lt;=$B$17,VLOOKUP(A44&amp;$B$14, localcont!A35:X1789, 18, FALSE), "")</f>
        <v/>
      </c>
      <c r="H44" s="271" t="str">
        <f>IF($C44&lt;=$B$17,VLOOKUP(A44&amp;$B$14, localcont!$A$10:$X$1764, 23, FALSE), "")</f>
        <v/>
      </c>
      <c r="I44" s="271" t="str">
        <f t="shared" si="3"/>
        <v xml:space="preserve"> </v>
      </c>
      <c r="J44" s="270" t="str">
        <f>IF($C44&lt;=$B$17,VLOOKUP(A44&amp;$B$14, localcont!$A$10:$X$1764, 15, FALSE), "")</f>
        <v/>
      </c>
      <c r="K44" s="270" t="str">
        <f>IF($C44&lt;=$B$17,VLOOKUP(A44&amp;$B$14, localcont!$A$10:$X$1764, 14, FALSE),"")</f>
        <v/>
      </c>
      <c r="L44" s="271" t="str">
        <f t="shared" si="4"/>
        <v xml:space="preserve"> </v>
      </c>
    </row>
    <row r="45" spans="1:12" ht="19.350000000000001" customHeight="1">
      <c r="A45" s="6" t="str">
        <f>IF($C45&lt;=$B$17,VLOOKUP(E45,leas!D32:G471,4,FALSE),"")</f>
        <v/>
      </c>
      <c r="B45" s="6">
        <f t="shared" si="2"/>
        <v>82927</v>
      </c>
      <c r="C45" s="6">
        <v>27</v>
      </c>
      <c r="E45" s="187" t="str">
        <f t="shared" si="0"/>
        <v xml:space="preserve"> </v>
      </c>
      <c r="F45" s="187" t="str">
        <f t="shared" si="1"/>
        <v xml:space="preserve"> </v>
      </c>
      <c r="G45" s="270" t="str">
        <f>IF($C45&lt;=$B$17,VLOOKUP(A45&amp;$B$14, localcont!A36:X1790, 18, FALSE), "")</f>
        <v/>
      </c>
      <c r="H45" s="271" t="str">
        <f>IF($C45&lt;=$B$17,VLOOKUP(A45&amp;$B$14, localcont!$A$10:$X$1764, 23, FALSE), "")</f>
        <v/>
      </c>
      <c r="I45" s="271" t="str">
        <f t="shared" si="3"/>
        <v xml:space="preserve"> </v>
      </c>
      <c r="J45" s="270" t="str">
        <f>IF($C45&lt;=$B$17,VLOOKUP(A45&amp;$B$14, localcont!$A$10:$X$1764, 15, FALSE), "")</f>
        <v/>
      </c>
      <c r="K45" s="270" t="str">
        <f>IF($C45&lt;=$B$17,VLOOKUP(A45&amp;$B$14, localcont!$A$10:$X$1764, 14, FALSE),"")</f>
        <v/>
      </c>
      <c r="L45" s="271" t="str">
        <f t="shared" si="4"/>
        <v xml:space="preserve"> </v>
      </c>
    </row>
    <row r="46" spans="1:12" ht="19.350000000000001" customHeight="1">
      <c r="A46" s="6" t="str">
        <f>IF($C46&lt;=$B$17,VLOOKUP(E46,leas!D33:G472,4,FALSE),"")</f>
        <v/>
      </c>
      <c r="B46" s="6">
        <f t="shared" si="2"/>
        <v>82928</v>
      </c>
      <c r="C46" s="6">
        <v>28</v>
      </c>
      <c r="E46" s="187" t="str">
        <f t="shared" si="0"/>
        <v xml:space="preserve"> </v>
      </c>
      <c r="F46" s="187" t="str">
        <f t="shared" si="1"/>
        <v xml:space="preserve"> </v>
      </c>
      <c r="G46" s="270" t="str">
        <f>IF($C46&lt;=$B$17,VLOOKUP(A46&amp;$B$14, localcont!A37:X1791, 18, FALSE), "")</f>
        <v/>
      </c>
      <c r="H46" s="271" t="str">
        <f>IF($C46&lt;=$B$17,VLOOKUP(A46&amp;$B$14, localcont!$A$10:$X$1764, 23, FALSE), "")</f>
        <v/>
      </c>
      <c r="I46" s="271" t="str">
        <f t="shared" si="3"/>
        <v xml:space="preserve"> </v>
      </c>
      <c r="J46" s="270" t="str">
        <f>IF($C46&lt;=$B$17,VLOOKUP(A46&amp;$B$14, localcont!$A$10:$X$1764, 15, FALSE), "")</f>
        <v/>
      </c>
      <c r="K46" s="270" t="str">
        <f>IF($C46&lt;=$B$17,VLOOKUP(A46&amp;$B$14, localcont!$A$10:$X$1764, 14, FALSE),"")</f>
        <v/>
      </c>
      <c r="L46" s="271" t="str">
        <f t="shared" si="4"/>
        <v xml:space="preserve"> </v>
      </c>
    </row>
    <row r="47" spans="1:12" ht="19.350000000000001" customHeight="1">
      <c r="A47" s="6" t="str">
        <f>IF($C47&lt;=$B$17,VLOOKUP(E47,leas!D34:G473,4,FALSE),"")</f>
        <v/>
      </c>
      <c r="B47" s="6">
        <f t="shared" si="2"/>
        <v>82929</v>
      </c>
      <c r="C47" s="6">
        <v>29</v>
      </c>
      <c r="E47" s="187" t="str">
        <f t="shared" si="0"/>
        <v xml:space="preserve"> </v>
      </c>
      <c r="F47" s="187" t="str">
        <f t="shared" si="1"/>
        <v xml:space="preserve"> </v>
      </c>
      <c r="G47" s="270" t="str">
        <f>IF($C47&lt;=$B$17,VLOOKUP(A47&amp;$B$14, localcont!A38:X1792, 18, FALSE), "")</f>
        <v/>
      </c>
      <c r="H47" s="271" t="str">
        <f>IF($C47&lt;=$B$17,VLOOKUP(A47&amp;$B$14, localcont!$A$10:$X$1764, 23, FALSE), "")</f>
        <v/>
      </c>
      <c r="I47" s="271" t="str">
        <f t="shared" si="3"/>
        <v xml:space="preserve"> </v>
      </c>
      <c r="J47" s="270" t="str">
        <f>IF($C47&lt;=$B$17,VLOOKUP(A47&amp;$B$14, localcont!$A$10:$X$1764, 15, FALSE), "")</f>
        <v/>
      </c>
      <c r="K47" s="270" t="str">
        <f>IF($C47&lt;=$B$17,VLOOKUP(A47&amp;$B$14, localcont!$A$10:$X$1764, 14, FALSE),"")</f>
        <v/>
      </c>
      <c r="L47" s="271" t="str">
        <f t="shared" si="4"/>
        <v xml:space="preserve"> </v>
      </c>
    </row>
    <row r="48" spans="1:12" ht="19.350000000000001" customHeight="1">
      <c r="A48" s="6" t="str">
        <f>IF($C48&lt;=$B$17,VLOOKUP(E48,leas!D35:G474,4,FALSE),"")</f>
        <v/>
      </c>
      <c r="B48" s="6">
        <f t="shared" si="2"/>
        <v>82930</v>
      </c>
      <c r="C48" s="6">
        <v>30</v>
      </c>
      <c r="E48" s="187" t="str">
        <f t="shared" si="0"/>
        <v xml:space="preserve"> </v>
      </c>
      <c r="F48" s="187" t="str">
        <f t="shared" si="1"/>
        <v xml:space="preserve"> </v>
      </c>
      <c r="G48" s="270" t="str">
        <f>IF($C48&lt;=$B$17,VLOOKUP(A48&amp;$B$14, localcont!A39:X1793, 18, FALSE), "")</f>
        <v/>
      </c>
      <c r="H48" s="271" t="str">
        <f>IF($C48&lt;=$B$17,VLOOKUP(A48&amp;$B$14, localcont!$A$10:$X$1764, 23, FALSE), "")</f>
        <v/>
      </c>
      <c r="I48" s="271" t="str">
        <f t="shared" si="3"/>
        <v xml:space="preserve"> </v>
      </c>
      <c r="J48" s="270" t="str">
        <f>IF($C48&lt;=$B$17,VLOOKUP(A48&amp;$B$14, localcont!$A$10:$X$1764, 15, FALSE), "")</f>
        <v/>
      </c>
      <c r="K48" s="270" t="str">
        <f>IF($C48&lt;=$B$17,VLOOKUP(A48&amp;$B$14, localcont!$A$10:$X$1764, 14, FALSE),"")</f>
        <v/>
      </c>
      <c r="L48" s="271" t="str">
        <f t="shared" si="4"/>
        <v xml:space="preserve"> </v>
      </c>
    </row>
    <row r="49" spans="1:17" ht="19.350000000000001" customHeight="1">
      <c r="A49" s="6" t="str">
        <f>IF($C49&lt;=$B$17,VLOOKUP(E49,leas!D36:G475,4,FALSE),"")</f>
        <v/>
      </c>
      <c r="B49" s="6">
        <f t="shared" si="2"/>
        <v>82931</v>
      </c>
      <c r="C49" s="6">
        <v>31</v>
      </c>
      <c r="E49" s="194" t="str">
        <f t="shared" si="0"/>
        <v xml:space="preserve"> </v>
      </c>
      <c r="F49" s="194" t="str">
        <f t="shared" si="1"/>
        <v xml:space="preserve"> </v>
      </c>
      <c r="G49" s="185" t="str">
        <f>IF($C49&lt;=$B$17,VLOOKUP(A49&amp;$B$14, localcont!A40:X1794, 18, FALSE), "")</f>
        <v/>
      </c>
      <c r="H49" s="188" t="str">
        <f>IF($C49&lt;=$B$17,VLOOKUP(A49&amp;$B$14, localcont!$A$10:$X$1764, 23, FALSE), "")</f>
        <v/>
      </c>
      <c r="I49" s="188" t="str">
        <f t="shared" si="3"/>
        <v xml:space="preserve"> </v>
      </c>
      <c r="J49" s="185" t="str">
        <f>IF($C49&lt;=$B$17,VLOOKUP(A49&amp;$B$14, localcont!$A$10:$X$1764, 15, FALSE), "")</f>
        <v/>
      </c>
      <c r="K49" s="185" t="str">
        <f>IF($C49&lt;=$B$17,VLOOKUP(A49&amp;$B$14, localcont!$A$10:$X$1764, 14, FALSE),"")</f>
        <v/>
      </c>
      <c r="L49" s="188" t="str">
        <f t="shared" si="4"/>
        <v xml:space="preserve"> </v>
      </c>
    </row>
    <row r="50" spans="1:17" ht="19.350000000000001" customHeight="1">
      <c r="A50" s="6" t="str">
        <f>IF($C50&lt;=$B$17,VLOOKUP(E50,leas!D37:G476,4,FALSE),"")</f>
        <v/>
      </c>
      <c r="B50" s="6">
        <f t="shared" si="2"/>
        <v>82932</v>
      </c>
      <c r="C50" s="6">
        <v>32</v>
      </c>
      <c r="E50" s="194" t="str">
        <f t="shared" si="0"/>
        <v xml:space="preserve"> </v>
      </c>
      <c r="F50" s="194" t="str">
        <f t="shared" si="1"/>
        <v xml:space="preserve"> </v>
      </c>
      <c r="G50" s="185" t="str">
        <f>IF($C50&lt;=$B$17,VLOOKUP(A50&amp;$B$14, localcont!A41:X1795, 18, FALSE), "")</f>
        <v/>
      </c>
      <c r="H50" s="188" t="str">
        <f>IF($C50&lt;=$B$17,VLOOKUP(A50&amp;$B$14, localcont!$A$10:$X$1764, 23, FALSE), "")</f>
        <v/>
      </c>
      <c r="I50" s="188" t="str">
        <f t="shared" si="3"/>
        <v xml:space="preserve"> </v>
      </c>
      <c r="J50" s="185" t="str">
        <f>IF($C50&lt;=$B$17,VLOOKUP(A50&amp;$B$14, localcont!$A$10:$X$1764, 15, FALSE), "")</f>
        <v/>
      </c>
      <c r="K50" s="185" t="str">
        <f>IF($C50&lt;=$B$17,VLOOKUP(A50&amp;$B$14, localcont!$A$10:$X$1764, 14, FALSE),"")</f>
        <v/>
      </c>
      <c r="L50" s="188" t="str">
        <f t="shared" si="4"/>
        <v xml:space="preserve"> </v>
      </c>
    </row>
    <row r="51" spans="1:17" ht="19.350000000000001" customHeight="1">
      <c r="A51" s="6" t="str">
        <f>IF($C51&lt;=$B$17,VLOOKUP(E51,leas!D38:G477,4,FALSE),"")</f>
        <v/>
      </c>
      <c r="B51" s="6">
        <f t="shared" si="2"/>
        <v>82933</v>
      </c>
      <c r="C51" s="6">
        <v>33</v>
      </c>
      <c r="E51" s="194" t="str">
        <f t="shared" si="0"/>
        <v xml:space="preserve"> </v>
      </c>
      <c r="F51" s="194" t="str">
        <f t="shared" ref="F51:F67" si="5">IF($C51&lt;=$B$17, VLOOKUP($B51, regdetail, 6), " ")</f>
        <v xml:space="preserve"> </v>
      </c>
      <c r="G51" s="185" t="str">
        <f>IF($C51&lt;=$B$17,VLOOKUP(A51&amp;$B$14, localcont!A42:X1796, 18, FALSE), "")</f>
        <v/>
      </c>
      <c r="H51" s="188" t="str">
        <f>IF($C51&lt;=$B$17,VLOOKUP(A51&amp;$B$14, localcont!$A$10:$X$1764, 23, FALSE), "")</f>
        <v/>
      </c>
      <c r="I51" s="188" t="str">
        <f t="shared" si="3"/>
        <v xml:space="preserve"> </v>
      </c>
      <c r="J51" s="185" t="str">
        <f>IF($C51&lt;=$B$17,VLOOKUP(A51&amp;$B$14, localcont!$A$10:$X$1764, 15, FALSE), "")</f>
        <v/>
      </c>
      <c r="K51" s="185" t="str">
        <f>IF($C51&lt;=$B$17,VLOOKUP(A51&amp;$B$14, localcont!$A$10:$X$1764, 14, FALSE),"")</f>
        <v/>
      </c>
      <c r="L51" s="188" t="str">
        <f t="shared" si="4"/>
        <v xml:space="preserve"> </v>
      </c>
    </row>
    <row r="52" spans="1:17" ht="19.350000000000001" customHeight="1">
      <c r="A52" s="6" t="str">
        <f>IF($C52&lt;=$B$17,VLOOKUP(E52,leas!D39:G478,4,FALSE),"")</f>
        <v/>
      </c>
      <c r="B52" s="6">
        <f t="shared" si="2"/>
        <v>82934</v>
      </c>
      <c r="C52" s="6">
        <v>34</v>
      </c>
      <c r="E52" s="194" t="str">
        <f t="shared" si="0"/>
        <v xml:space="preserve"> </v>
      </c>
      <c r="F52" s="194" t="str">
        <f t="shared" si="5"/>
        <v xml:space="preserve"> </v>
      </c>
      <c r="G52" s="185" t="str">
        <f>IF($C52&lt;=$B$17,VLOOKUP(A52&amp;$B$14, localcont!A43:X1797, 18, FALSE), "")</f>
        <v/>
      </c>
      <c r="H52" s="188" t="str">
        <f>IF($C52&lt;=$B$17,VLOOKUP(A52&amp;$B$14, localcont!$A$10:$X$1764, 23, FALSE), "")</f>
        <v/>
      </c>
      <c r="I52" s="188" t="str">
        <f t="shared" si="3"/>
        <v xml:space="preserve"> </v>
      </c>
      <c r="J52" s="185" t="str">
        <f>IF($C52&lt;=$B$17,VLOOKUP(A52&amp;$B$14, localcont!$A$10:$X$1764, 15, FALSE), "")</f>
        <v/>
      </c>
      <c r="K52" s="185" t="str">
        <f>IF($C52&lt;=$B$17,VLOOKUP(A52&amp;$B$14, localcont!$A$10:$X$1764, 14, FALSE),"")</f>
        <v/>
      </c>
      <c r="L52" s="188" t="str">
        <f t="shared" si="4"/>
        <v xml:space="preserve"> </v>
      </c>
    </row>
    <row r="53" spans="1:17" ht="19.350000000000001" customHeight="1">
      <c r="A53" s="6" t="str">
        <f>IF($C53&lt;=$B$17,VLOOKUP(E53,leas!D40:G479,4,FALSE),"")</f>
        <v/>
      </c>
      <c r="B53" s="6">
        <f t="shared" si="2"/>
        <v>82935</v>
      </c>
      <c r="C53" s="6">
        <v>35</v>
      </c>
      <c r="E53" s="194" t="str">
        <f t="shared" si="0"/>
        <v xml:space="preserve"> </v>
      </c>
      <c r="F53" s="194" t="str">
        <f t="shared" si="5"/>
        <v xml:space="preserve"> </v>
      </c>
      <c r="G53" s="185" t="str">
        <f>IF($C53&lt;=$B$17,VLOOKUP(A53&amp;$B$14, localcont!A44:X1798, 18, FALSE), "")</f>
        <v/>
      </c>
      <c r="H53" s="188" t="str">
        <f>IF($C53&lt;=$B$17,VLOOKUP(A53&amp;$B$14, localcont!$A$10:$X$1764, 23, FALSE), "")</f>
        <v/>
      </c>
      <c r="I53" s="188" t="str">
        <f t="shared" si="3"/>
        <v xml:space="preserve"> </v>
      </c>
      <c r="J53" s="185" t="str">
        <f>IF($C53&lt;=$B$17,VLOOKUP(A53&amp;$B$14, localcont!$A$10:$X$1764, 15, FALSE), "")</f>
        <v/>
      </c>
      <c r="K53" s="185" t="str">
        <f>IF($C53&lt;=$B$17,VLOOKUP(A53&amp;$B$14, localcont!$A$10:$X$1764, 14, FALSE),"")</f>
        <v/>
      </c>
      <c r="L53" s="188" t="str">
        <f t="shared" si="4"/>
        <v xml:space="preserve"> </v>
      </c>
    </row>
    <row r="54" spans="1:17" ht="19.350000000000001" customHeight="1">
      <c r="A54" s="6" t="str">
        <f>IF($C54&lt;=$B$17,VLOOKUP(E54,leas!D41:G480,4,FALSE),"")</f>
        <v/>
      </c>
      <c r="B54" s="6">
        <f t="shared" si="2"/>
        <v>82936</v>
      </c>
      <c r="C54" s="6">
        <v>36</v>
      </c>
      <c r="E54" s="194" t="str">
        <f t="shared" si="0"/>
        <v xml:space="preserve"> </v>
      </c>
      <c r="F54" s="194" t="str">
        <f t="shared" si="5"/>
        <v xml:space="preserve"> </v>
      </c>
      <c r="G54" s="185" t="str">
        <f>IF($C54&lt;=$B$17,VLOOKUP(A54&amp;$B$14, localcont!A45:X1799, 18, FALSE), "")</f>
        <v/>
      </c>
      <c r="H54" s="188" t="str">
        <f>IF($C54&lt;=$B$17,VLOOKUP(A54&amp;$B$14, localcont!$A$10:$X$1764, 23, FALSE), "")</f>
        <v/>
      </c>
      <c r="I54" s="188" t="str">
        <f t="shared" si="3"/>
        <v xml:space="preserve"> </v>
      </c>
      <c r="J54" s="185" t="str">
        <f>IF($C54&lt;=$B$17,VLOOKUP(A54&amp;$B$14, localcont!$A$10:$X$1764, 15, FALSE), "")</f>
        <v/>
      </c>
      <c r="K54" s="185" t="str">
        <f>IF($C54&lt;=$B$17,VLOOKUP(A54&amp;$B$14, localcont!$A$10:$X$1764, 14, FALSE),"")</f>
        <v/>
      </c>
      <c r="L54" s="188" t="str">
        <f t="shared" si="4"/>
        <v xml:space="preserve"> </v>
      </c>
    </row>
    <row r="55" spans="1:17" ht="19.350000000000001" customHeight="1">
      <c r="A55" s="6" t="str">
        <f>IF($C55&lt;=$B$17,VLOOKUP(E55,leas!D42:G481,4,FALSE),"")</f>
        <v/>
      </c>
      <c r="B55" s="6">
        <f t="shared" si="2"/>
        <v>82937</v>
      </c>
      <c r="C55" s="6">
        <v>37</v>
      </c>
      <c r="E55" s="194" t="str">
        <f t="shared" si="0"/>
        <v xml:space="preserve"> </v>
      </c>
      <c r="F55" s="194" t="str">
        <f t="shared" si="5"/>
        <v xml:space="preserve"> </v>
      </c>
      <c r="G55" s="185" t="str">
        <f>IF($C55&lt;=$B$17,VLOOKUP(A55&amp;$B$14, localcont!A46:X1800, 18, FALSE), "")</f>
        <v/>
      </c>
      <c r="H55" s="188" t="str">
        <f>IF($C55&lt;=$B$17,VLOOKUP(A55&amp;$B$14, localcont!$A$10:$X$1764, 23, FALSE), "")</f>
        <v/>
      </c>
      <c r="I55" s="188" t="str">
        <f t="shared" si="3"/>
        <v xml:space="preserve"> </v>
      </c>
      <c r="J55" s="185" t="str">
        <f>IF($C55&lt;=$B$17,VLOOKUP(A55&amp;$B$14, localcont!$A$10:$X$1764, 15, FALSE), "")</f>
        <v/>
      </c>
      <c r="K55" s="185" t="str">
        <f>IF($C55&lt;=$B$17,VLOOKUP(A55&amp;$B$14, localcont!$A$10:$X$1764, 14, FALSE),"")</f>
        <v/>
      </c>
      <c r="L55" s="188" t="str">
        <f t="shared" si="4"/>
        <v xml:space="preserve"> </v>
      </c>
    </row>
    <row r="56" spans="1:17" ht="19.350000000000001" customHeight="1">
      <c r="A56" s="6" t="str">
        <f>IF($C56&lt;=$B$17,VLOOKUP(E56,leas!D43:G482,4,FALSE),"")</f>
        <v/>
      </c>
      <c r="B56" s="6">
        <f t="shared" si="2"/>
        <v>82938</v>
      </c>
      <c r="C56" s="6">
        <v>38</v>
      </c>
      <c r="E56" s="194" t="str">
        <f t="shared" si="0"/>
        <v xml:space="preserve"> </v>
      </c>
      <c r="F56" s="194" t="str">
        <f t="shared" si="5"/>
        <v xml:space="preserve"> </v>
      </c>
      <c r="G56" s="185" t="str">
        <f>IF($C56&lt;=$B$17,VLOOKUP(A56&amp;$B$14, localcont!A47:X1801, 18, FALSE), "")</f>
        <v/>
      </c>
      <c r="H56" s="188" t="str">
        <f>IF($C56&lt;=$B$17,VLOOKUP(A56&amp;$B$14, localcont!$A$10:$X$1764, 23, FALSE), "")</f>
        <v/>
      </c>
      <c r="I56" s="188" t="str">
        <f t="shared" si="3"/>
        <v xml:space="preserve"> </v>
      </c>
      <c r="J56" s="185" t="str">
        <f>IF($C56&lt;=$B$17,VLOOKUP(A56&amp;$B$14, localcont!$A$10:$X$1764, 15, FALSE), "")</f>
        <v/>
      </c>
      <c r="K56" s="185" t="str">
        <f>IF($C56&lt;=$B$17,VLOOKUP(A56&amp;$B$14, localcont!$A$10:$X$1764, 14, FALSE),"")</f>
        <v/>
      </c>
      <c r="L56" s="188" t="str">
        <f t="shared" si="4"/>
        <v xml:space="preserve"> </v>
      </c>
    </row>
    <row r="57" spans="1:17" ht="19.350000000000001" customHeight="1">
      <c r="A57" s="6" t="str">
        <f>IF($C57&lt;=$B$17,VLOOKUP(E57,leas!D44:G483,4,FALSE),"")</f>
        <v/>
      </c>
      <c r="B57" s="6">
        <f t="shared" si="2"/>
        <v>82939</v>
      </c>
      <c r="C57" s="6">
        <v>39</v>
      </c>
      <c r="E57" s="194" t="str">
        <f t="shared" si="0"/>
        <v xml:space="preserve"> </v>
      </c>
      <c r="F57" s="194" t="str">
        <f t="shared" si="5"/>
        <v xml:space="preserve"> </v>
      </c>
      <c r="G57" s="185" t="str">
        <f>IF($C57&lt;=$B$17,VLOOKUP(A57&amp;$B$14, localcont!A48:X1802, 18, FALSE), "")</f>
        <v/>
      </c>
      <c r="H57" s="188" t="str">
        <f>IF($C57&lt;=$B$17,VLOOKUP(A57&amp;$B$14, localcont!$A$10:$X$1764, 23, FALSE), "")</f>
        <v/>
      </c>
      <c r="I57" s="188" t="str">
        <f t="shared" si="3"/>
        <v xml:space="preserve"> </v>
      </c>
      <c r="J57" s="185" t="str">
        <f>IF($C57&lt;=$B$17,VLOOKUP(A57&amp;$B$14, localcont!$A$10:$X$1764, 15, FALSE), "")</f>
        <v/>
      </c>
      <c r="K57" s="185" t="str">
        <f>IF($C57&lt;=$B$17,VLOOKUP(A57&amp;$B$14, localcont!$A$10:$X$1764, 14, FALSE),"")</f>
        <v/>
      </c>
      <c r="L57" s="188" t="str">
        <f t="shared" si="4"/>
        <v xml:space="preserve"> </v>
      </c>
    </row>
    <row r="58" spans="1:17" ht="19.350000000000001" customHeight="1">
      <c r="A58" s="6" t="str">
        <f>IF($C58&lt;=$B$17,VLOOKUP(E58,leas!D45:G484,4,FALSE),"")</f>
        <v/>
      </c>
      <c r="B58" s="6">
        <f t="shared" si="2"/>
        <v>82940</v>
      </c>
      <c r="C58" s="6">
        <v>40</v>
      </c>
      <c r="E58" s="194" t="str">
        <f t="shared" si="0"/>
        <v xml:space="preserve"> </v>
      </c>
      <c r="F58" s="194" t="str">
        <f t="shared" si="5"/>
        <v xml:space="preserve"> </v>
      </c>
      <c r="G58" s="185" t="str">
        <f>IF($C58&lt;=$B$17,VLOOKUP(A58&amp;$B$14, localcont!A49:X1803, 18, FALSE), "")</f>
        <v/>
      </c>
      <c r="H58" s="188" t="str">
        <f>IF($C58&lt;=$B$17,VLOOKUP(A58&amp;$B$14, localcont!$A$10:$X$1764, 23, FALSE), "")</f>
        <v/>
      </c>
      <c r="I58" s="188" t="str">
        <f t="shared" si="3"/>
        <v xml:space="preserve"> </v>
      </c>
      <c r="J58" s="185" t="str">
        <f>IF($C58&lt;=$B$17,VLOOKUP(A58&amp;$B$14, localcont!$A$10:$X$1764, 15, FALSE), "")</f>
        <v/>
      </c>
      <c r="K58" s="185" t="str">
        <f>IF($C58&lt;=$B$17,VLOOKUP(A58&amp;$B$14, localcont!$A$10:$X$1764, 14, FALSE),"")</f>
        <v/>
      </c>
      <c r="L58" s="188" t="str">
        <f t="shared" si="4"/>
        <v xml:space="preserve"> </v>
      </c>
    </row>
    <row r="59" spans="1:17" ht="19.350000000000001" customHeight="1">
      <c r="A59" s="6" t="str">
        <f>IF($C59&lt;=$B$17,VLOOKUP(E59,leas!D46:G485,4,FALSE),"")</f>
        <v/>
      </c>
      <c r="B59" s="6">
        <f t="shared" si="2"/>
        <v>82941</v>
      </c>
      <c r="C59" s="6">
        <v>41</v>
      </c>
      <c r="E59" s="194" t="str">
        <f t="shared" si="0"/>
        <v xml:space="preserve"> </v>
      </c>
      <c r="F59" s="194" t="str">
        <f t="shared" si="5"/>
        <v xml:space="preserve"> </v>
      </c>
      <c r="G59" s="185" t="str">
        <f>IF($C59&lt;=$B$17,VLOOKUP(A59&amp;$B$14, localcont!A50:X1804, 18, FALSE), "")</f>
        <v/>
      </c>
      <c r="H59" s="188" t="str">
        <f>IF($C59&lt;=$B$17,VLOOKUP(A59&amp;$B$14, localcont!$A$10:$X$1764, 23, FALSE), "")</f>
        <v/>
      </c>
      <c r="I59" s="188" t="str">
        <f t="shared" si="3"/>
        <v xml:space="preserve"> </v>
      </c>
      <c r="J59" s="185" t="str">
        <f>IF($C59&lt;=$B$17,VLOOKUP(A59&amp;$B$14, localcont!$A$10:$X$1764, 15, FALSE), "")</f>
        <v/>
      </c>
      <c r="K59" s="185" t="str">
        <f>IF($C59&lt;=$B$17,VLOOKUP(A59&amp;$B$14, localcont!$A$10:$X$1764, 14, FALSE),"")</f>
        <v/>
      </c>
      <c r="L59" s="188" t="str">
        <f t="shared" si="4"/>
        <v xml:space="preserve"> </v>
      </c>
    </row>
    <row r="60" spans="1:17" ht="19.350000000000001" customHeight="1">
      <c r="A60" s="6" t="str">
        <f>IF($C60&lt;=$B$17,VLOOKUP(E60,leas!D47:G486,4,FALSE),"")</f>
        <v/>
      </c>
      <c r="B60" s="6">
        <f t="shared" si="2"/>
        <v>82942</v>
      </c>
      <c r="C60" s="6">
        <v>42</v>
      </c>
      <c r="E60" s="194" t="str">
        <f t="shared" si="0"/>
        <v xml:space="preserve"> </v>
      </c>
      <c r="F60" s="194" t="str">
        <f t="shared" si="5"/>
        <v xml:space="preserve"> </v>
      </c>
      <c r="G60" s="185" t="str">
        <f>IF($C60&lt;=$B$17,VLOOKUP(A60&amp;$B$14, localcont!A51:X1805, 18, FALSE), "")</f>
        <v/>
      </c>
      <c r="H60" s="188" t="str">
        <f>IF($C60&lt;=$B$17,VLOOKUP(A60&amp;$B$14, localcont!$A$10:$X$1764, 23, FALSE), "")</f>
        <v/>
      </c>
      <c r="I60" s="188" t="str">
        <f t="shared" si="3"/>
        <v xml:space="preserve"> </v>
      </c>
      <c r="J60" s="185" t="str">
        <f>IF($C60&lt;=$B$17,VLOOKUP(A60&amp;$B$14, localcont!$A$10:$X$1764, 15, FALSE), "")</f>
        <v/>
      </c>
      <c r="K60" s="185" t="str">
        <f>IF($C60&lt;=$B$17,VLOOKUP(A60&amp;$B$14, localcont!$A$10:$X$1764, 14, FALSE),"")</f>
        <v/>
      </c>
      <c r="L60" s="188" t="str">
        <f t="shared" si="4"/>
        <v xml:space="preserve"> </v>
      </c>
      <c r="N60" s="452"/>
      <c r="O60" s="453"/>
      <c r="P60" s="454"/>
      <c r="Q60" s="454"/>
    </row>
    <row r="61" spans="1:17" ht="19.350000000000001" customHeight="1">
      <c r="A61" s="6" t="str">
        <f>IF($C61&lt;=$B$17,VLOOKUP(E61,leas!D48:G487,4,FALSE),"")</f>
        <v/>
      </c>
      <c r="B61" s="6">
        <f t="shared" si="2"/>
        <v>82943</v>
      </c>
      <c r="C61" s="6">
        <v>43</v>
      </c>
      <c r="E61" s="194" t="str">
        <f t="shared" si="0"/>
        <v xml:space="preserve"> </v>
      </c>
      <c r="F61" s="194" t="str">
        <f t="shared" si="5"/>
        <v xml:space="preserve"> </v>
      </c>
      <c r="G61" s="185" t="str">
        <f>IF($C61&lt;=$B$17,VLOOKUP(A61&amp;$B$14, localcont!A52:X1806, 18, FALSE), "")</f>
        <v/>
      </c>
      <c r="H61" s="188" t="str">
        <f>IF($C61&lt;=$B$17,VLOOKUP(A61&amp;$B$14, localcont!$A$10:$X$1764, 23, FALSE), "")</f>
        <v/>
      </c>
      <c r="I61" s="188" t="str">
        <f t="shared" si="3"/>
        <v xml:space="preserve"> </v>
      </c>
      <c r="J61" s="185" t="str">
        <f>IF($C61&lt;=$B$17,VLOOKUP(A61&amp;$B$14, localcont!$A$10:$X$1764, 15, FALSE), "")</f>
        <v/>
      </c>
      <c r="K61" s="185" t="str">
        <f>IF($C61&lt;=$B$17,VLOOKUP(A61&amp;$B$14, localcont!$A$10:$X$1764, 14, FALSE),"")</f>
        <v/>
      </c>
      <c r="L61" s="188" t="str">
        <f t="shared" si="4"/>
        <v xml:space="preserve"> </v>
      </c>
      <c r="P61" s="454"/>
    </row>
    <row r="62" spans="1:17" ht="19.350000000000001" customHeight="1">
      <c r="A62" s="6" t="str">
        <f>IF($C62&lt;=$B$17,VLOOKUP(E62,leas!D49:G488,4,FALSE),"")</f>
        <v/>
      </c>
      <c r="B62" s="6">
        <f t="shared" si="2"/>
        <v>82944</v>
      </c>
      <c r="C62" s="6">
        <v>44</v>
      </c>
      <c r="E62" s="194" t="str">
        <f t="shared" si="0"/>
        <v xml:space="preserve"> </v>
      </c>
      <c r="F62" s="194" t="str">
        <f t="shared" si="5"/>
        <v xml:space="preserve"> </v>
      </c>
      <c r="G62" s="185" t="str">
        <f>IF($C62&lt;=$B$17,VLOOKUP(A62&amp;$B$14, localcont!A53:X1807, 18, FALSE), "")</f>
        <v/>
      </c>
      <c r="H62" s="188" t="str">
        <f>IF($C62&lt;=$B$17,VLOOKUP(A62&amp;$B$14, localcont!$A$10:$X$1764, 23, FALSE), "")</f>
        <v/>
      </c>
      <c r="I62" s="188" t="str">
        <f t="shared" si="3"/>
        <v xml:space="preserve"> </v>
      </c>
      <c r="J62" s="185" t="str">
        <f>IF($C62&lt;=$B$17,VLOOKUP(A62&amp;$B$14, localcont!$A$10:$X$1764, 15, FALSE), "")</f>
        <v/>
      </c>
      <c r="K62" s="185" t="str">
        <f>IF($C62&lt;=$B$17,VLOOKUP(A62&amp;$B$14, localcont!$A$10:$X$1764, 14, FALSE),"")</f>
        <v/>
      </c>
      <c r="L62" s="188" t="str">
        <f t="shared" si="4"/>
        <v xml:space="preserve"> </v>
      </c>
      <c r="P62" s="454" t="str">
        <f t="shared" ref="P62:P67" si="6">IF($C62&gt;$B$17,"",O62*$P$15)</f>
        <v/>
      </c>
    </row>
    <row r="63" spans="1:17" ht="19.350000000000001" customHeight="1">
      <c r="A63" s="6" t="str">
        <f>IF($C63&lt;=$B$17,VLOOKUP(E63,leas!D50:G489,4,FALSE),"")</f>
        <v/>
      </c>
      <c r="B63" s="6">
        <f t="shared" si="2"/>
        <v>82945</v>
      </c>
      <c r="C63" s="6">
        <v>45</v>
      </c>
      <c r="E63" s="194" t="str">
        <f t="shared" si="0"/>
        <v xml:space="preserve"> </v>
      </c>
      <c r="F63" s="194" t="str">
        <f t="shared" si="5"/>
        <v xml:space="preserve"> </v>
      </c>
      <c r="G63" s="185" t="str">
        <f>IF($C63&lt;=$B$17,VLOOKUP(A63&amp;$B$14, localcont!A54:X1808, 18, FALSE), "")</f>
        <v/>
      </c>
      <c r="H63" s="188" t="str">
        <f>IF($C63&lt;=$B$17,VLOOKUP(A63&amp;$B$14, localcont!$A$10:$X$1764, 23, FALSE), "")</f>
        <v/>
      </c>
      <c r="I63" s="188" t="str">
        <f t="shared" si="3"/>
        <v xml:space="preserve"> </v>
      </c>
      <c r="J63" s="185" t="str">
        <f>IF($C63&lt;=$B$17,VLOOKUP(A63&amp;$B$14, localcont!$A$10:$X$1764, 15, FALSE), "")</f>
        <v/>
      </c>
      <c r="K63" s="185" t="str">
        <f>IF($C63&lt;=$B$17,VLOOKUP(A63&amp;$B$14, localcont!$A$10:$X$1764, 14, FALSE),"")</f>
        <v/>
      </c>
      <c r="L63" s="188" t="str">
        <f t="shared" si="4"/>
        <v xml:space="preserve"> </v>
      </c>
      <c r="P63" s="454" t="str">
        <f t="shared" si="6"/>
        <v/>
      </c>
    </row>
    <row r="64" spans="1:17" ht="19.350000000000001" customHeight="1">
      <c r="A64" s="6" t="str">
        <f>IF($C64&lt;=$B$17,VLOOKUP(E64,leas!D51:G490,4,FALSE),"")</f>
        <v/>
      </c>
      <c r="B64" s="6">
        <f t="shared" si="2"/>
        <v>82946</v>
      </c>
      <c r="C64" s="6">
        <v>46</v>
      </c>
      <c r="E64" s="194" t="str">
        <f t="shared" si="0"/>
        <v xml:space="preserve"> </v>
      </c>
      <c r="F64" s="194" t="str">
        <f t="shared" si="5"/>
        <v xml:space="preserve"> </v>
      </c>
      <c r="G64" s="185" t="str">
        <f>IF($C64&lt;=$B$17,VLOOKUP(A64&amp;$B$14, localcont!A55:X1809, 18, FALSE), "")</f>
        <v/>
      </c>
      <c r="H64" s="188" t="str">
        <f>IF($C64&lt;=$B$17,VLOOKUP(A64&amp;$B$14, localcont!$A$10:$X$1764, 23, FALSE), "")</f>
        <v/>
      </c>
      <c r="I64" s="188" t="str">
        <f t="shared" si="3"/>
        <v xml:space="preserve"> </v>
      </c>
      <c r="J64" s="185" t="str">
        <f>IF($C64&lt;=$B$17,VLOOKUP(A64&amp;$B$14, localcont!$A$10:$X$1764, 15, FALSE), "")</f>
        <v/>
      </c>
      <c r="K64" s="185" t="str">
        <f>IF($C64&lt;=$B$17,VLOOKUP(A64&amp;$B$14, localcont!$A$10:$X$1764, 14, FALSE),"")</f>
        <v/>
      </c>
      <c r="L64" s="188" t="str">
        <f t="shared" si="4"/>
        <v xml:space="preserve"> </v>
      </c>
      <c r="P64" s="454" t="str">
        <f t="shared" si="6"/>
        <v/>
      </c>
    </row>
    <row r="65" spans="1:16" ht="19.350000000000001" customHeight="1">
      <c r="A65" s="6" t="str">
        <f>IF($C65&lt;=$B$17,VLOOKUP(E65,leas!D52:G491,4,FALSE),"")</f>
        <v/>
      </c>
      <c r="B65" s="6">
        <f t="shared" si="2"/>
        <v>82947</v>
      </c>
      <c r="C65" s="6">
        <v>47</v>
      </c>
      <c r="E65" s="194" t="str">
        <f t="shared" si="0"/>
        <v xml:space="preserve"> </v>
      </c>
      <c r="F65" s="194" t="str">
        <f t="shared" si="5"/>
        <v xml:space="preserve"> </v>
      </c>
      <c r="G65" s="185" t="str">
        <f>IF($C65&lt;=$B$17,VLOOKUP(A65&amp;$B$14, localcont!A56:X1810, 18, FALSE), "")</f>
        <v/>
      </c>
      <c r="H65" s="188" t="str">
        <f>IF($C65&lt;=$B$17,VLOOKUP(A65&amp;$B$14, localcont!$A$10:$X$1764, 23, FALSE), "")</f>
        <v/>
      </c>
      <c r="I65" s="188" t="str">
        <f t="shared" si="3"/>
        <v xml:space="preserve"> </v>
      </c>
      <c r="J65" s="185" t="str">
        <f>IF($C65&lt;=$B$17,VLOOKUP(A65&amp;$B$14, localcont!$A$10:$X$1764, 15, FALSE), "")</f>
        <v/>
      </c>
      <c r="K65" s="185" t="str">
        <f>IF($C65&lt;=$B$17,VLOOKUP(A65&amp;$B$14, localcont!$A$10:$X$1764, 14, FALSE),"")</f>
        <v/>
      </c>
      <c r="L65" s="188" t="str">
        <f t="shared" si="4"/>
        <v xml:space="preserve"> </v>
      </c>
      <c r="P65" s="454" t="str">
        <f t="shared" si="6"/>
        <v/>
      </c>
    </row>
    <row r="66" spans="1:16" ht="19.350000000000001" customHeight="1">
      <c r="A66" s="6" t="str">
        <f>IF($C66&lt;=$B$17,VLOOKUP(E66,leas!D53:G492,4,FALSE),"")</f>
        <v/>
      </c>
      <c r="B66" s="6">
        <f t="shared" si="2"/>
        <v>82948</v>
      </c>
      <c r="C66" s="6">
        <v>48</v>
      </c>
      <c r="E66" s="194" t="str">
        <f t="shared" si="0"/>
        <v xml:space="preserve"> </v>
      </c>
      <c r="F66" s="194" t="str">
        <f t="shared" si="5"/>
        <v xml:space="preserve"> </v>
      </c>
      <c r="G66" s="185" t="str">
        <f>IF($C66&lt;=$B$17,VLOOKUP(A66&amp;$B$14, localcont!A57:X1811, 18, FALSE), "")</f>
        <v/>
      </c>
      <c r="H66" s="188" t="str">
        <f>IF($C66&lt;=$B$17,VLOOKUP(A66&amp;$B$14, localcont!$A$10:$X$1764, 23, FALSE), "")</f>
        <v/>
      </c>
      <c r="I66" s="188" t="str">
        <f t="shared" si="3"/>
        <v xml:space="preserve"> </v>
      </c>
      <c r="J66" s="185" t="str">
        <f>IF($C66&lt;=$B$17,VLOOKUP(A66&amp;$B$14, localcont!$A$10:$X$1764, 15, FALSE), "")</f>
        <v/>
      </c>
      <c r="K66" s="185" t="str">
        <f>IF($C66&lt;=$B$17,VLOOKUP(A66&amp;$B$14, localcont!$A$10:$X$1764, 14, FALSE),"")</f>
        <v/>
      </c>
      <c r="L66" s="188" t="str">
        <f t="shared" si="4"/>
        <v xml:space="preserve"> </v>
      </c>
      <c r="P66" s="454" t="str">
        <f t="shared" si="6"/>
        <v/>
      </c>
    </row>
    <row r="67" spans="1:16" ht="19.350000000000001" customHeight="1">
      <c r="A67" s="6" t="str">
        <f>IF($C67&lt;=$B$17,VLOOKUP(E67,leas!D54:G493,4,FALSE),"")</f>
        <v/>
      </c>
      <c r="B67" s="6">
        <f t="shared" si="2"/>
        <v>82949</v>
      </c>
      <c r="C67" s="6">
        <v>49</v>
      </c>
      <c r="E67" s="194" t="str">
        <f t="shared" si="0"/>
        <v xml:space="preserve"> </v>
      </c>
      <c r="F67" s="194" t="str">
        <f t="shared" si="5"/>
        <v xml:space="preserve"> </v>
      </c>
      <c r="G67" s="185" t="str">
        <f>IF($C67&lt;=$B$17,VLOOKUP(A67&amp;$B$14, localcont!A58:X1812, 18, FALSE), "")</f>
        <v/>
      </c>
      <c r="H67" s="188" t="str">
        <f>IF($C67&lt;=$B$17,VLOOKUP(A67&amp;$B$14, localcont!$A$10:$X$1764, 23, FALSE), "")</f>
        <v/>
      </c>
      <c r="I67" s="188" t="str">
        <f t="shared" si="3"/>
        <v xml:space="preserve"> </v>
      </c>
      <c r="J67" s="185" t="str">
        <f>IF($C67&lt;=$B$17,VLOOKUP(A67&amp;$B$14, localcont!$A$10:$X$1764, 15, FALSE), "")</f>
        <v/>
      </c>
      <c r="K67" s="185" t="str">
        <f>IF($C67&lt;=$B$17,VLOOKUP(A67&amp;$B$14, localcont!$A$10:$X$1764, 14, FALSE),"")</f>
        <v/>
      </c>
      <c r="L67" s="188" t="str">
        <f t="shared" si="4"/>
        <v xml:space="preserve"> </v>
      </c>
      <c r="P67" s="454" t="str">
        <f t="shared" si="6"/>
        <v/>
      </c>
    </row>
    <row r="68" spans="1:16" ht="15.75" customHeight="1">
      <c r="A68" s="6" t="s">
        <v>2580</v>
      </c>
    </row>
  </sheetData>
  <mergeCells count="1">
    <mergeCell ref="M16:O16"/>
  </mergeCells>
  <phoneticPr fontId="0" type="noConversion"/>
  <hyperlinks>
    <hyperlink ref="E2" location="Index!A10" display="Return to Index" xr:uid="{00000000-0004-0000-0900-000000000000}"/>
  </hyperlinks>
  <pageMargins left="0.25" right="0.25" top="0.75" bottom="0.75" header="0.3" footer="0.3"/>
  <pageSetup scale="55" fitToHeight="2" orientation="landscape" r:id="rId1"/>
  <headerFooter alignWithMargins="0">
    <oddFooter>&amp;C&amp;"Arial,Regular"Page &amp;P</oddFooter>
  </headerFooter>
  <rowBreaks count="1" manualBreakCount="1">
    <brk id="47" min="4" max="21" man="1"/>
  </rowBreaks>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prompt="Select a regional district" xr:uid="{00000000-0002-0000-0900-000000000000}">
          <x14:formula1>
            <xm:f>leas!$E$450:$E$536</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V442"/>
  <sheetViews>
    <sheetView showGridLines="0" zoomScaleNormal="100" workbookViewId="0">
      <pane xSplit="2" ySplit="7" topLeftCell="C8" activePane="bottomRight" state="frozen"/>
      <selection activeCell="D18" sqref="D18"/>
      <selection pane="topRight" activeCell="D18" sqref="D18"/>
      <selection pane="bottomLeft" activeCell="D18" sqref="D18"/>
      <selection pane="bottomRight"/>
    </sheetView>
  </sheetViews>
  <sheetFormatPr defaultColWidth="12.625" defaultRowHeight="12.75"/>
  <cols>
    <col min="1" max="1" width="4.375" style="6" customWidth="1"/>
    <col min="2" max="2" width="19.125" style="6" customWidth="1"/>
    <col min="3" max="3" width="9.5" style="6" customWidth="1"/>
    <col min="4" max="4" width="9.375" style="6" customWidth="1"/>
    <col min="5" max="5" width="6.75" style="6" customWidth="1"/>
    <col min="6" max="6" width="11.625" style="6" customWidth="1"/>
    <col min="7" max="7" width="12" style="6" customWidth="1"/>
    <col min="8" max="8" width="7.25" style="6" customWidth="1"/>
    <col min="9" max="10" width="11.875" style="6" customWidth="1"/>
    <col min="11" max="11" width="7.875" style="6" customWidth="1"/>
    <col min="12" max="12" width="10.125" style="6" customWidth="1"/>
    <col min="13" max="13" width="10.625" style="6" customWidth="1"/>
    <col min="14" max="14" width="9.625" style="6" customWidth="1"/>
    <col min="15" max="15" width="7.375" style="6" customWidth="1"/>
    <col min="16" max="16" width="7.625" style="6" customWidth="1"/>
    <col min="17" max="16384" width="12.625" style="6"/>
  </cols>
  <sheetData>
    <row r="1" spans="1:22">
      <c r="A1" s="206"/>
      <c r="B1" s="135" t="s">
        <v>84</v>
      </c>
      <c r="C1" s="206"/>
      <c r="O1" s="282" t="s">
        <v>2096</v>
      </c>
    </row>
    <row r="2" spans="1:22" ht="18.75">
      <c r="A2" s="181" t="s">
        <v>524</v>
      </c>
      <c r="B2" s="181"/>
      <c r="C2" s="181"/>
      <c r="D2" s="181"/>
      <c r="E2" s="181"/>
      <c r="F2" s="181"/>
      <c r="G2" s="181"/>
      <c r="H2" s="181"/>
      <c r="I2" s="181"/>
      <c r="J2" s="181"/>
      <c r="K2" s="181"/>
      <c r="L2" s="55"/>
    </row>
    <row r="3" spans="1:22" ht="18.75">
      <c r="A3" s="181" t="str">
        <f>CYr&amp;" Chapter 70 Comparison to "&amp;PYr</f>
        <v>FY25 Chapter 70 Comparison to FY24</v>
      </c>
      <c r="B3" s="181"/>
      <c r="C3" s="181"/>
      <c r="D3" s="181"/>
      <c r="E3" s="181"/>
      <c r="F3" s="181"/>
      <c r="G3" s="181"/>
      <c r="H3" s="181"/>
      <c r="I3" s="181"/>
      <c r="J3" s="181"/>
      <c r="K3" s="181"/>
      <c r="L3" s="55"/>
    </row>
    <row r="4" spans="1:22" ht="26.25" hidden="1" customHeight="1">
      <c r="A4" s="530"/>
      <c r="B4" s="530"/>
      <c r="C4" s="530"/>
      <c r="D4" s="530"/>
      <c r="E4" s="530"/>
      <c r="F4" s="530"/>
      <c r="G4" s="530"/>
      <c r="H4" s="530"/>
      <c r="I4" s="530"/>
      <c r="J4" s="530"/>
      <c r="K4" s="530"/>
      <c r="L4" s="530"/>
    </row>
    <row r="5" spans="1:22" hidden="1">
      <c r="A5" s="12"/>
      <c r="B5" s="12"/>
      <c r="C5" s="12"/>
    </row>
    <row r="6" spans="1:22" ht="13.5" hidden="1" customHeight="1">
      <c r="A6" s="12"/>
      <c r="B6" s="12"/>
      <c r="C6" s="12"/>
    </row>
    <row r="7" spans="1:22" s="318" customFormat="1" ht="38.25">
      <c r="A7" s="318" t="s">
        <v>57</v>
      </c>
      <c r="B7" s="570" t="s">
        <v>2510</v>
      </c>
      <c r="C7" s="571" t="s">
        <v>2511</v>
      </c>
      <c r="D7" s="571" t="s">
        <v>2512</v>
      </c>
      <c r="E7" s="571" t="s">
        <v>2210</v>
      </c>
      <c r="F7" s="572" t="s">
        <v>2513</v>
      </c>
      <c r="G7" s="572" t="s">
        <v>2514</v>
      </c>
      <c r="H7" s="572" t="s">
        <v>2188</v>
      </c>
      <c r="I7" s="573" t="s">
        <v>2516</v>
      </c>
      <c r="J7" s="573" t="s">
        <v>2517</v>
      </c>
      <c r="K7" s="573" t="s">
        <v>2515</v>
      </c>
      <c r="L7" s="574" t="s">
        <v>2518</v>
      </c>
      <c r="M7" s="574" t="s">
        <v>2519</v>
      </c>
      <c r="N7" s="574" t="s">
        <v>2184</v>
      </c>
      <c r="O7" s="574" t="s">
        <v>2189</v>
      </c>
      <c r="P7" s="574" t="s">
        <v>2190</v>
      </c>
      <c r="R7" s="82"/>
    </row>
    <row r="8" spans="1:22">
      <c r="A8" s="6">
        <v>1</v>
      </c>
      <c r="B8" s="6" t="s">
        <v>1120</v>
      </c>
      <c r="C8" s="410">
        <f t="shared" ref="C8:C71" si="0">VLOOKUP(A8,aidcalc,14,FALSE)</f>
        <v>2206</v>
      </c>
      <c r="D8" s="410">
        <f t="shared" ref="D8:D71" si="1">VLOOKUP(A8,aidcalc,15,FALSE)</f>
        <v>2202</v>
      </c>
      <c r="E8" s="410">
        <f t="shared" ref="E8:E71" si="2">D8-C8</f>
        <v>-4</v>
      </c>
      <c r="F8" s="411">
        <f t="shared" ref="F8:F71" si="3">VLOOKUP(A8,aidcalc,4,FALSE)</f>
        <v>31287579.078960005</v>
      </c>
      <c r="G8" s="411">
        <f t="shared" ref="G8:G71" si="4">VLOOKUP(A8,aidcalc,9,FALSE)</f>
        <v>32236384.532019995</v>
      </c>
      <c r="H8" s="411">
        <f t="shared" ref="H8:H71" si="5">(G8-F8)/$D8</f>
        <v>430.88349366938689</v>
      </c>
      <c r="I8" s="412">
        <f t="shared" ref="I8:I71" si="6">VLOOKUP(A8,aidcalc,5,FALSE)</f>
        <v>17104459</v>
      </c>
      <c r="J8" s="412">
        <f t="shared" ref="J8:J71" si="7">VLOOKUP(A8,aidcalc,10,FALSE)</f>
        <v>17754107</v>
      </c>
      <c r="K8" s="412">
        <f t="shared" ref="K8:K71" si="8">(J8-I8)/$D8</f>
        <v>295.02633969118983</v>
      </c>
      <c r="L8" s="413">
        <f t="shared" ref="L8:L71" si="9">VLOOKUP(A8,aidcalc,6,FALSE)</f>
        <v>14183120</v>
      </c>
      <c r="M8" s="413">
        <f t="shared" ref="M8:M71" si="10">VLOOKUP(A8,aidcalc,25,FALSE)</f>
        <v>14482278</v>
      </c>
      <c r="N8" s="413">
        <f t="shared" ref="N8:N71" si="11">M8-L8</f>
        <v>299158</v>
      </c>
      <c r="O8" s="413">
        <f t="shared" ref="O8:O71" si="12">(M8-L8)/$D8</f>
        <v>135.85740236148956</v>
      </c>
      <c r="P8" s="414">
        <f t="shared" ref="P8:P71" si="13">ROUND(IF(F8&gt;0,(M8-L8)/L8,100),2)</f>
        <v>0.02</v>
      </c>
      <c r="Q8" s="415"/>
      <c r="S8" s="9"/>
      <c r="T8" s="28"/>
      <c r="U8" s="28"/>
      <c r="V8" s="28"/>
    </row>
    <row r="9" spans="1:22">
      <c r="A9" s="6">
        <v>3</v>
      </c>
      <c r="B9" s="6" t="s">
        <v>1122</v>
      </c>
      <c r="C9" s="410">
        <f t="shared" si="0"/>
        <v>1221</v>
      </c>
      <c r="D9" s="410">
        <f t="shared" si="1"/>
        <v>1173</v>
      </c>
      <c r="E9" s="410">
        <f t="shared" si="2"/>
        <v>-48</v>
      </c>
      <c r="F9" s="411">
        <f t="shared" si="3"/>
        <v>15911255.389999999</v>
      </c>
      <c r="G9" s="411">
        <f t="shared" si="4"/>
        <v>15622821.810000001</v>
      </c>
      <c r="H9" s="411">
        <f t="shared" si="5"/>
        <v>-245.89393009377511</v>
      </c>
      <c r="I9" s="412">
        <f t="shared" si="6"/>
        <v>8740925</v>
      </c>
      <c r="J9" s="412">
        <f t="shared" si="7"/>
        <v>8852864</v>
      </c>
      <c r="K9" s="412">
        <f t="shared" si="8"/>
        <v>95.429667519181592</v>
      </c>
      <c r="L9" s="413">
        <f t="shared" si="9"/>
        <v>7170330</v>
      </c>
      <c r="M9" s="413">
        <f t="shared" si="10"/>
        <v>7292322</v>
      </c>
      <c r="N9" s="413">
        <f t="shared" si="11"/>
        <v>121992</v>
      </c>
      <c r="O9" s="413">
        <f t="shared" si="12"/>
        <v>104</v>
      </c>
      <c r="P9" s="414">
        <f t="shared" si="13"/>
        <v>0.02</v>
      </c>
      <c r="Q9" s="415"/>
      <c r="S9" s="9"/>
      <c r="T9" s="28"/>
      <c r="U9" s="28"/>
      <c r="V9" s="28"/>
    </row>
    <row r="10" spans="1:22">
      <c r="A10" s="6">
        <v>5</v>
      </c>
      <c r="B10" s="6" t="s">
        <v>1124</v>
      </c>
      <c r="C10" s="410">
        <f t="shared" si="0"/>
        <v>3421</v>
      </c>
      <c r="D10" s="410">
        <f t="shared" si="1"/>
        <v>3486</v>
      </c>
      <c r="E10" s="410">
        <f t="shared" si="2"/>
        <v>65</v>
      </c>
      <c r="F10" s="411">
        <f t="shared" si="3"/>
        <v>50397491.299999997</v>
      </c>
      <c r="G10" s="411">
        <f t="shared" si="4"/>
        <v>52988778.250000007</v>
      </c>
      <c r="H10" s="411">
        <f t="shared" si="5"/>
        <v>743.34106425703112</v>
      </c>
      <c r="I10" s="412">
        <f t="shared" si="6"/>
        <v>25373043</v>
      </c>
      <c r="J10" s="412">
        <f t="shared" si="7"/>
        <v>26903037</v>
      </c>
      <c r="K10" s="412">
        <f t="shared" si="8"/>
        <v>438.89672977624787</v>
      </c>
      <c r="L10" s="413">
        <f t="shared" si="9"/>
        <v>25024448</v>
      </c>
      <c r="M10" s="413">
        <f t="shared" si="10"/>
        <v>26085741</v>
      </c>
      <c r="N10" s="413">
        <f t="shared" si="11"/>
        <v>1061293</v>
      </c>
      <c r="O10" s="413">
        <f t="shared" si="12"/>
        <v>304.4443488238669</v>
      </c>
      <c r="P10" s="414">
        <f t="shared" si="13"/>
        <v>0.04</v>
      </c>
      <c r="Q10" s="415"/>
      <c r="S10" s="9"/>
      <c r="T10" s="28"/>
      <c r="U10" s="28"/>
      <c r="V10" s="28"/>
    </row>
    <row r="11" spans="1:22">
      <c r="A11" s="6">
        <v>7</v>
      </c>
      <c r="B11" s="6" t="s">
        <v>1126</v>
      </c>
      <c r="C11" s="410">
        <f t="shared" si="0"/>
        <v>1847</v>
      </c>
      <c r="D11" s="410">
        <f t="shared" si="1"/>
        <v>1898</v>
      </c>
      <c r="E11" s="410">
        <f t="shared" si="2"/>
        <v>51</v>
      </c>
      <c r="F11" s="411">
        <f t="shared" si="3"/>
        <v>24965747.029999997</v>
      </c>
      <c r="G11" s="411">
        <f t="shared" si="4"/>
        <v>26495878.260000002</v>
      </c>
      <c r="H11" s="411">
        <f t="shared" si="5"/>
        <v>806.18083772392208</v>
      </c>
      <c r="I11" s="412">
        <f t="shared" si="6"/>
        <v>18234602</v>
      </c>
      <c r="J11" s="412">
        <f t="shared" si="7"/>
        <v>19160041</v>
      </c>
      <c r="K11" s="412">
        <f t="shared" si="8"/>
        <v>487.58640674394098</v>
      </c>
      <c r="L11" s="413">
        <f t="shared" si="9"/>
        <v>9472287</v>
      </c>
      <c r="M11" s="413">
        <f t="shared" si="10"/>
        <v>9669679</v>
      </c>
      <c r="N11" s="413">
        <f t="shared" si="11"/>
        <v>197392</v>
      </c>
      <c r="O11" s="413">
        <f t="shared" si="12"/>
        <v>104</v>
      </c>
      <c r="P11" s="414">
        <f t="shared" si="13"/>
        <v>0.02</v>
      </c>
      <c r="Q11" s="415"/>
      <c r="S11" s="9"/>
      <c r="T11" s="28"/>
      <c r="U11" s="28"/>
      <c r="V11" s="28"/>
    </row>
    <row r="12" spans="1:22">
      <c r="A12" s="6">
        <v>8</v>
      </c>
      <c r="B12" s="6" t="s">
        <v>1127</v>
      </c>
      <c r="C12" s="410">
        <f t="shared" si="0"/>
        <v>1055</v>
      </c>
      <c r="D12" s="410">
        <f t="shared" si="1"/>
        <v>984</v>
      </c>
      <c r="E12" s="410">
        <f t="shared" si="2"/>
        <v>-71</v>
      </c>
      <c r="F12" s="411">
        <f t="shared" si="3"/>
        <v>14207190.940000001</v>
      </c>
      <c r="G12" s="411">
        <f t="shared" si="4"/>
        <v>13476149.789999999</v>
      </c>
      <c r="H12" s="411">
        <f t="shared" si="5"/>
        <v>-742.92799796748193</v>
      </c>
      <c r="I12" s="412">
        <f t="shared" si="6"/>
        <v>11168148</v>
      </c>
      <c r="J12" s="412">
        <f t="shared" si="7"/>
        <v>11117824</v>
      </c>
      <c r="K12" s="412">
        <f t="shared" si="8"/>
        <v>-51.142276422764226</v>
      </c>
      <c r="L12" s="413">
        <f t="shared" si="9"/>
        <v>6280773</v>
      </c>
      <c r="M12" s="413">
        <f t="shared" si="10"/>
        <v>6383109</v>
      </c>
      <c r="N12" s="413">
        <f t="shared" si="11"/>
        <v>102336</v>
      </c>
      <c r="O12" s="413">
        <f t="shared" si="12"/>
        <v>104</v>
      </c>
      <c r="P12" s="414">
        <f t="shared" si="13"/>
        <v>0.02</v>
      </c>
      <c r="Q12" s="415"/>
      <c r="S12" s="9"/>
      <c r="T12" s="28"/>
      <c r="U12" s="28"/>
      <c r="V12" s="28"/>
    </row>
    <row r="13" spans="1:22">
      <c r="A13" s="6">
        <v>9</v>
      </c>
      <c r="B13" s="6" t="s">
        <v>1128</v>
      </c>
      <c r="C13" s="410">
        <f t="shared" si="0"/>
        <v>5554</v>
      </c>
      <c r="D13" s="410">
        <f t="shared" si="1"/>
        <v>5465</v>
      </c>
      <c r="E13" s="410">
        <f t="shared" si="2"/>
        <v>-89</v>
      </c>
      <c r="F13" s="411">
        <f t="shared" si="3"/>
        <v>72244408.493600011</v>
      </c>
      <c r="G13" s="411">
        <f t="shared" si="4"/>
        <v>72595075.473940015</v>
      </c>
      <c r="H13" s="411">
        <f t="shared" si="5"/>
        <v>64.165961635865315</v>
      </c>
      <c r="I13" s="412">
        <f t="shared" si="6"/>
        <v>58293608</v>
      </c>
      <c r="J13" s="412">
        <f t="shared" si="7"/>
        <v>59890937</v>
      </c>
      <c r="K13" s="412">
        <f t="shared" si="8"/>
        <v>292.28344007319305</v>
      </c>
      <c r="L13" s="413">
        <f t="shared" si="9"/>
        <v>13950800</v>
      </c>
      <c r="M13" s="413">
        <f t="shared" si="10"/>
        <v>14519160</v>
      </c>
      <c r="N13" s="413">
        <f t="shared" si="11"/>
        <v>568360</v>
      </c>
      <c r="O13" s="413">
        <f t="shared" si="12"/>
        <v>104</v>
      </c>
      <c r="P13" s="414">
        <f t="shared" si="13"/>
        <v>0.04</v>
      </c>
      <c r="Q13" s="415"/>
      <c r="S13" s="9"/>
      <c r="T13" s="28"/>
      <c r="U13" s="28"/>
      <c r="V13" s="28"/>
    </row>
    <row r="14" spans="1:22">
      <c r="A14" s="6">
        <v>10</v>
      </c>
      <c r="B14" s="6" t="s">
        <v>1129</v>
      </c>
      <c r="C14" s="410">
        <f t="shared" si="0"/>
        <v>6002</v>
      </c>
      <c r="D14" s="410">
        <f t="shared" si="1"/>
        <v>6021</v>
      </c>
      <c r="E14" s="410">
        <f t="shared" si="2"/>
        <v>19</v>
      </c>
      <c r="F14" s="411">
        <f t="shared" si="3"/>
        <v>74896748.635400012</v>
      </c>
      <c r="G14" s="411">
        <f t="shared" si="4"/>
        <v>77449420.442229986</v>
      </c>
      <c r="H14" s="411">
        <f t="shared" si="5"/>
        <v>423.96143611193725</v>
      </c>
      <c r="I14" s="412">
        <f t="shared" si="6"/>
        <v>56193340</v>
      </c>
      <c r="J14" s="412">
        <f t="shared" si="7"/>
        <v>58893679</v>
      </c>
      <c r="K14" s="412">
        <f t="shared" si="8"/>
        <v>448.48679621325363</v>
      </c>
      <c r="L14" s="413">
        <f t="shared" si="9"/>
        <v>18703409</v>
      </c>
      <c r="M14" s="413">
        <f t="shared" si="10"/>
        <v>19329593</v>
      </c>
      <c r="N14" s="413">
        <f t="shared" si="11"/>
        <v>626184</v>
      </c>
      <c r="O14" s="413">
        <f t="shared" si="12"/>
        <v>104</v>
      </c>
      <c r="P14" s="414">
        <f t="shared" si="13"/>
        <v>0.03</v>
      </c>
      <c r="Q14" s="415"/>
      <c r="S14" s="9"/>
      <c r="T14" s="28"/>
      <c r="U14" s="28"/>
      <c r="V14" s="28"/>
    </row>
    <row r="15" spans="1:22">
      <c r="A15" s="6">
        <v>14</v>
      </c>
      <c r="B15" s="6" t="s">
        <v>1133</v>
      </c>
      <c r="C15" s="410">
        <f t="shared" si="0"/>
        <v>2839</v>
      </c>
      <c r="D15" s="410">
        <f t="shared" si="1"/>
        <v>2857</v>
      </c>
      <c r="E15" s="410">
        <f t="shared" si="2"/>
        <v>18</v>
      </c>
      <c r="F15" s="411">
        <f t="shared" si="3"/>
        <v>36758230.609999992</v>
      </c>
      <c r="G15" s="411">
        <f t="shared" si="4"/>
        <v>37765344.57</v>
      </c>
      <c r="H15" s="411">
        <f t="shared" si="5"/>
        <v>352.50751137557171</v>
      </c>
      <c r="I15" s="412">
        <f t="shared" si="6"/>
        <v>25484731</v>
      </c>
      <c r="J15" s="412">
        <f t="shared" si="7"/>
        <v>26791174</v>
      </c>
      <c r="K15" s="412">
        <f t="shared" si="8"/>
        <v>457.27791389569478</v>
      </c>
      <c r="L15" s="413">
        <f t="shared" si="9"/>
        <v>11273500</v>
      </c>
      <c r="M15" s="413">
        <f t="shared" si="10"/>
        <v>11570628</v>
      </c>
      <c r="N15" s="413">
        <f t="shared" si="11"/>
        <v>297128</v>
      </c>
      <c r="O15" s="413">
        <f t="shared" si="12"/>
        <v>104</v>
      </c>
      <c r="P15" s="414">
        <f t="shared" si="13"/>
        <v>0.03</v>
      </c>
      <c r="Q15" s="415"/>
      <c r="S15" s="9"/>
      <c r="T15" s="28"/>
      <c r="U15" s="28"/>
      <c r="V15" s="28"/>
    </row>
    <row r="16" spans="1:22">
      <c r="A16" s="6">
        <v>16</v>
      </c>
      <c r="B16" s="6" t="s">
        <v>1135</v>
      </c>
      <c r="C16" s="410">
        <f t="shared" si="0"/>
        <v>6238</v>
      </c>
      <c r="D16" s="410">
        <f t="shared" si="1"/>
        <v>6313</v>
      </c>
      <c r="E16" s="410">
        <f t="shared" si="2"/>
        <v>75</v>
      </c>
      <c r="F16" s="411">
        <f t="shared" si="3"/>
        <v>97105120.719999999</v>
      </c>
      <c r="G16" s="411">
        <f t="shared" si="4"/>
        <v>102004503.33000001</v>
      </c>
      <c r="H16" s="411">
        <f t="shared" si="5"/>
        <v>776.07834785363764</v>
      </c>
      <c r="I16" s="412">
        <f t="shared" si="6"/>
        <v>43712969</v>
      </c>
      <c r="J16" s="412">
        <f t="shared" si="7"/>
        <v>46028760</v>
      </c>
      <c r="K16" s="412">
        <f t="shared" si="8"/>
        <v>366.82892444162837</v>
      </c>
      <c r="L16" s="413">
        <f t="shared" si="9"/>
        <v>53392152</v>
      </c>
      <c r="M16" s="413">
        <f t="shared" si="10"/>
        <v>55975743</v>
      </c>
      <c r="N16" s="413">
        <f t="shared" si="11"/>
        <v>2583591</v>
      </c>
      <c r="O16" s="413">
        <f t="shared" si="12"/>
        <v>409.24932678599714</v>
      </c>
      <c r="P16" s="414">
        <f t="shared" si="13"/>
        <v>0.05</v>
      </c>
      <c r="Q16" s="415"/>
      <c r="S16" s="9"/>
      <c r="T16" s="28"/>
      <c r="U16" s="28"/>
      <c r="V16" s="28"/>
    </row>
    <row r="17" spans="1:22">
      <c r="A17" s="6">
        <v>17</v>
      </c>
      <c r="B17" s="6" t="s">
        <v>1136</v>
      </c>
      <c r="C17" s="410">
        <f t="shared" si="0"/>
        <v>2422</v>
      </c>
      <c r="D17" s="410">
        <f t="shared" si="1"/>
        <v>2367</v>
      </c>
      <c r="E17" s="410">
        <f t="shared" si="2"/>
        <v>-55</v>
      </c>
      <c r="F17" s="411">
        <f t="shared" si="3"/>
        <v>32176028.359999999</v>
      </c>
      <c r="G17" s="411">
        <f t="shared" si="4"/>
        <v>32470504.220000003</v>
      </c>
      <c r="H17" s="411">
        <f t="shared" si="5"/>
        <v>124.40889733840436</v>
      </c>
      <c r="I17" s="412">
        <f t="shared" si="6"/>
        <v>17041707</v>
      </c>
      <c r="J17" s="412">
        <f t="shared" si="7"/>
        <v>17758731</v>
      </c>
      <c r="K17" s="412">
        <f t="shared" si="8"/>
        <v>302.92522179974651</v>
      </c>
      <c r="L17" s="413">
        <f t="shared" si="9"/>
        <v>15134321</v>
      </c>
      <c r="M17" s="413">
        <f t="shared" si="10"/>
        <v>15380489</v>
      </c>
      <c r="N17" s="413">
        <f t="shared" si="11"/>
        <v>246168</v>
      </c>
      <c r="O17" s="413">
        <f t="shared" si="12"/>
        <v>104</v>
      </c>
      <c r="P17" s="414">
        <f t="shared" si="13"/>
        <v>0.02</v>
      </c>
      <c r="Q17" s="415"/>
      <c r="S17" s="9"/>
      <c r="T17" s="28"/>
      <c r="U17" s="28"/>
      <c r="V17" s="28"/>
    </row>
    <row r="18" spans="1:22">
      <c r="A18" s="6">
        <v>18</v>
      </c>
      <c r="B18" s="6" t="s">
        <v>1137</v>
      </c>
      <c r="C18" s="410">
        <f t="shared" si="0"/>
        <v>586</v>
      </c>
      <c r="D18" s="410">
        <f t="shared" si="1"/>
        <v>572</v>
      </c>
      <c r="E18" s="410">
        <f t="shared" si="2"/>
        <v>-14</v>
      </c>
      <c r="F18" s="411">
        <f t="shared" si="3"/>
        <v>9536788.9200000018</v>
      </c>
      <c r="G18" s="411">
        <f t="shared" si="4"/>
        <v>9514711.5199999996</v>
      </c>
      <c r="H18" s="411">
        <f t="shared" si="5"/>
        <v>-38.596853146857057</v>
      </c>
      <c r="I18" s="412">
        <f t="shared" si="6"/>
        <v>5390722</v>
      </c>
      <c r="J18" s="412">
        <f t="shared" si="7"/>
        <v>5674808</v>
      </c>
      <c r="K18" s="412">
        <f t="shared" si="8"/>
        <v>496.65384615384613</v>
      </c>
      <c r="L18" s="413">
        <f t="shared" si="9"/>
        <v>4146067</v>
      </c>
      <c r="M18" s="413">
        <f t="shared" si="10"/>
        <v>4205555</v>
      </c>
      <c r="N18" s="413">
        <f t="shared" si="11"/>
        <v>59488</v>
      </c>
      <c r="O18" s="413">
        <f t="shared" si="12"/>
        <v>104</v>
      </c>
      <c r="P18" s="414">
        <f t="shared" si="13"/>
        <v>0.01</v>
      </c>
      <c r="Q18" s="415"/>
      <c r="S18" s="9"/>
      <c r="T18" s="28"/>
      <c r="U18" s="28"/>
      <c r="V18" s="28"/>
    </row>
    <row r="19" spans="1:22">
      <c r="A19" s="6">
        <v>20</v>
      </c>
      <c r="B19" s="6" t="s">
        <v>1139</v>
      </c>
      <c r="C19" s="410">
        <f t="shared" si="0"/>
        <v>5302</v>
      </c>
      <c r="D19" s="410">
        <f t="shared" si="1"/>
        <v>5306</v>
      </c>
      <c r="E19" s="410">
        <f t="shared" si="2"/>
        <v>4</v>
      </c>
      <c r="F19" s="411">
        <f t="shared" si="3"/>
        <v>84542110.140000001</v>
      </c>
      <c r="G19" s="411">
        <f t="shared" si="4"/>
        <v>88879328.449999988</v>
      </c>
      <c r="H19" s="411">
        <f t="shared" si="5"/>
        <v>817.41769883150914</v>
      </c>
      <c r="I19" s="412">
        <f t="shared" si="6"/>
        <v>59790057</v>
      </c>
      <c r="J19" s="412">
        <f t="shared" si="7"/>
        <v>63910403</v>
      </c>
      <c r="K19" s="412">
        <f t="shared" si="8"/>
        <v>776.54466641537886</v>
      </c>
      <c r="L19" s="413">
        <f t="shared" si="9"/>
        <v>24752053</v>
      </c>
      <c r="M19" s="413">
        <f t="shared" si="10"/>
        <v>25303877</v>
      </c>
      <c r="N19" s="413">
        <f t="shared" si="11"/>
        <v>551824</v>
      </c>
      <c r="O19" s="413">
        <f t="shared" si="12"/>
        <v>104</v>
      </c>
      <c r="P19" s="414">
        <f t="shared" si="13"/>
        <v>0.02</v>
      </c>
      <c r="Q19" s="415"/>
      <c r="S19" s="9"/>
      <c r="T19" s="28"/>
      <c r="U19" s="28"/>
      <c r="V19" s="28"/>
    </row>
    <row r="20" spans="1:22">
      <c r="A20" s="6">
        <v>23</v>
      </c>
      <c r="B20" s="6" t="s">
        <v>1142</v>
      </c>
      <c r="C20" s="410">
        <f t="shared" si="0"/>
        <v>2549</v>
      </c>
      <c r="D20" s="410">
        <f t="shared" si="1"/>
        <v>2579</v>
      </c>
      <c r="E20" s="410">
        <f t="shared" si="2"/>
        <v>30</v>
      </c>
      <c r="F20" s="411">
        <f t="shared" si="3"/>
        <v>33265363.043120004</v>
      </c>
      <c r="G20" s="411">
        <f t="shared" si="4"/>
        <v>34828204.54556001</v>
      </c>
      <c r="H20" s="411">
        <f t="shared" si="5"/>
        <v>605.98739916246825</v>
      </c>
      <c r="I20" s="412">
        <f t="shared" si="6"/>
        <v>27443924</v>
      </c>
      <c r="J20" s="412">
        <f t="shared" si="7"/>
        <v>28733269</v>
      </c>
      <c r="K20" s="412">
        <f t="shared" si="8"/>
        <v>499.93989918573089</v>
      </c>
      <c r="L20" s="413">
        <f t="shared" si="9"/>
        <v>6020493</v>
      </c>
      <c r="M20" s="413">
        <f t="shared" si="10"/>
        <v>6288709</v>
      </c>
      <c r="N20" s="413">
        <f t="shared" si="11"/>
        <v>268216</v>
      </c>
      <c r="O20" s="413">
        <f t="shared" si="12"/>
        <v>104</v>
      </c>
      <c r="P20" s="414">
        <f t="shared" si="13"/>
        <v>0.04</v>
      </c>
      <c r="Q20" s="415"/>
      <c r="S20" s="9"/>
      <c r="T20" s="28"/>
      <c r="U20" s="28"/>
      <c r="V20" s="28"/>
    </row>
    <row r="21" spans="1:22">
      <c r="A21" s="6">
        <v>24</v>
      </c>
      <c r="B21" s="6" t="s">
        <v>1143</v>
      </c>
      <c r="C21" s="410">
        <f t="shared" si="0"/>
        <v>2152</v>
      </c>
      <c r="D21" s="410">
        <f t="shared" si="1"/>
        <v>2106</v>
      </c>
      <c r="E21" s="410">
        <f t="shared" si="2"/>
        <v>-46</v>
      </c>
      <c r="F21" s="411">
        <f t="shared" si="3"/>
        <v>27713334.379999995</v>
      </c>
      <c r="G21" s="411">
        <f t="shared" si="4"/>
        <v>27898291.619999997</v>
      </c>
      <c r="H21" s="411">
        <f t="shared" si="5"/>
        <v>87.823950617284936</v>
      </c>
      <c r="I21" s="412">
        <f t="shared" si="6"/>
        <v>13763232</v>
      </c>
      <c r="J21" s="412">
        <f t="shared" si="7"/>
        <v>14251380</v>
      </c>
      <c r="K21" s="412">
        <f t="shared" si="8"/>
        <v>231.78917378917379</v>
      </c>
      <c r="L21" s="413">
        <f t="shared" si="9"/>
        <v>14210006</v>
      </c>
      <c r="M21" s="413">
        <f t="shared" si="10"/>
        <v>14429030</v>
      </c>
      <c r="N21" s="413">
        <f t="shared" si="11"/>
        <v>219024</v>
      </c>
      <c r="O21" s="413">
        <f t="shared" si="12"/>
        <v>104</v>
      </c>
      <c r="P21" s="414">
        <f t="shared" si="13"/>
        <v>0.02</v>
      </c>
      <c r="Q21" s="415"/>
      <c r="S21" s="9"/>
      <c r="T21" s="28"/>
      <c r="U21" s="28"/>
      <c r="V21" s="28"/>
    </row>
    <row r="22" spans="1:22">
      <c r="A22" s="6">
        <v>25</v>
      </c>
      <c r="B22" s="6" t="s">
        <v>1144</v>
      </c>
      <c r="C22" s="410">
        <f t="shared" si="0"/>
        <v>2175</v>
      </c>
      <c r="D22" s="410">
        <f t="shared" si="1"/>
        <v>2175</v>
      </c>
      <c r="E22" s="410">
        <f t="shared" si="2"/>
        <v>0</v>
      </c>
      <c r="F22" s="411">
        <f t="shared" si="3"/>
        <v>29660512.23</v>
      </c>
      <c r="G22" s="411">
        <f t="shared" si="4"/>
        <v>30088447.590000004</v>
      </c>
      <c r="H22" s="411">
        <f t="shared" si="5"/>
        <v>196.75188965517384</v>
      </c>
      <c r="I22" s="412">
        <f t="shared" si="6"/>
        <v>19686080</v>
      </c>
      <c r="J22" s="412">
        <f t="shared" si="7"/>
        <v>20822076</v>
      </c>
      <c r="K22" s="412">
        <f t="shared" si="8"/>
        <v>522.29701149425284</v>
      </c>
      <c r="L22" s="413">
        <f t="shared" si="9"/>
        <v>9974432</v>
      </c>
      <c r="M22" s="413">
        <f t="shared" si="10"/>
        <v>10200632</v>
      </c>
      <c r="N22" s="413">
        <f t="shared" si="11"/>
        <v>226200</v>
      </c>
      <c r="O22" s="413">
        <f t="shared" si="12"/>
        <v>104</v>
      </c>
      <c r="P22" s="414">
        <f t="shared" si="13"/>
        <v>0.02</v>
      </c>
      <c r="Q22" s="415"/>
      <c r="S22" s="9"/>
      <c r="T22" s="28"/>
      <c r="U22" s="28"/>
      <c r="V22" s="28"/>
    </row>
    <row r="23" spans="1:22">
      <c r="A23" s="6">
        <v>26</v>
      </c>
      <c r="B23" s="6" t="s">
        <v>1145</v>
      </c>
      <c r="C23" s="410">
        <f t="shared" si="0"/>
        <v>4505</v>
      </c>
      <c r="D23" s="410">
        <f t="shared" si="1"/>
        <v>4521</v>
      </c>
      <c r="E23" s="410">
        <f t="shared" si="2"/>
        <v>16</v>
      </c>
      <c r="F23" s="411">
        <f t="shared" si="3"/>
        <v>57423975.883839987</v>
      </c>
      <c r="G23" s="411">
        <f t="shared" si="4"/>
        <v>59533725.074059986</v>
      </c>
      <c r="H23" s="411">
        <f t="shared" si="5"/>
        <v>466.65542805131571</v>
      </c>
      <c r="I23" s="412">
        <f t="shared" si="6"/>
        <v>45639441</v>
      </c>
      <c r="J23" s="412">
        <f t="shared" si="7"/>
        <v>47889465</v>
      </c>
      <c r="K23" s="412">
        <f t="shared" si="8"/>
        <v>497.68281353682812</v>
      </c>
      <c r="L23" s="413">
        <f t="shared" si="9"/>
        <v>11784535</v>
      </c>
      <c r="M23" s="413">
        <f t="shared" si="10"/>
        <v>12254719</v>
      </c>
      <c r="N23" s="413">
        <f t="shared" si="11"/>
        <v>470184</v>
      </c>
      <c r="O23" s="413">
        <f t="shared" si="12"/>
        <v>104</v>
      </c>
      <c r="P23" s="414">
        <f t="shared" si="13"/>
        <v>0.04</v>
      </c>
      <c r="Q23" s="415"/>
      <c r="S23" s="9"/>
      <c r="T23" s="28"/>
      <c r="U23" s="28"/>
      <c r="V23" s="28"/>
    </row>
    <row r="24" spans="1:22">
      <c r="A24" s="6">
        <v>27</v>
      </c>
      <c r="B24" s="6" t="s">
        <v>1146</v>
      </c>
      <c r="C24" s="410">
        <f t="shared" si="0"/>
        <v>698</v>
      </c>
      <c r="D24" s="410">
        <f t="shared" si="1"/>
        <v>682</v>
      </c>
      <c r="E24" s="410">
        <f t="shared" si="2"/>
        <v>-16</v>
      </c>
      <c r="F24" s="411">
        <f t="shared" si="3"/>
        <v>8929788.1399999987</v>
      </c>
      <c r="G24" s="411">
        <f t="shared" si="4"/>
        <v>8895289.5700000003</v>
      </c>
      <c r="H24" s="411">
        <f t="shared" si="5"/>
        <v>-50.584413489733777</v>
      </c>
      <c r="I24" s="412">
        <f t="shared" si="6"/>
        <v>4777868</v>
      </c>
      <c r="J24" s="412">
        <f t="shared" si="7"/>
        <v>5017565</v>
      </c>
      <c r="K24" s="412">
        <f t="shared" si="8"/>
        <v>351.46187683284455</v>
      </c>
      <c r="L24" s="413">
        <f t="shared" si="9"/>
        <v>4151920</v>
      </c>
      <c r="M24" s="413">
        <f t="shared" si="10"/>
        <v>4222848</v>
      </c>
      <c r="N24" s="413">
        <f t="shared" si="11"/>
        <v>70928</v>
      </c>
      <c r="O24" s="413">
        <f t="shared" si="12"/>
        <v>104</v>
      </c>
      <c r="P24" s="414">
        <f t="shared" si="13"/>
        <v>0.02</v>
      </c>
      <c r="Q24" s="415"/>
      <c r="S24" s="9"/>
      <c r="T24" s="28"/>
      <c r="U24" s="28"/>
      <c r="V24" s="28"/>
    </row>
    <row r="25" spans="1:22">
      <c r="A25" s="6">
        <v>30</v>
      </c>
      <c r="B25" s="6" t="s">
        <v>1149</v>
      </c>
      <c r="C25" s="410">
        <f t="shared" si="0"/>
        <v>4541</v>
      </c>
      <c r="D25" s="410">
        <f t="shared" si="1"/>
        <v>4466</v>
      </c>
      <c r="E25" s="410">
        <f t="shared" si="2"/>
        <v>-75</v>
      </c>
      <c r="F25" s="411">
        <f t="shared" si="3"/>
        <v>61798815.259999998</v>
      </c>
      <c r="G25" s="411">
        <f t="shared" si="4"/>
        <v>62707090.120000005</v>
      </c>
      <c r="H25" s="411">
        <f t="shared" si="5"/>
        <v>203.37547245857743</v>
      </c>
      <c r="I25" s="412">
        <f t="shared" si="6"/>
        <v>47254334</v>
      </c>
      <c r="J25" s="412">
        <f t="shared" si="7"/>
        <v>49168020</v>
      </c>
      <c r="K25" s="412">
        <f t="shared" si="8"/>
        <v>428.50111957008511</v>
      </c>
      <c r="L25" s="413">
        <f t="shared" si="9"/>
        <v>14544481</v>
      </c>
      <c r="M25" s="413">
        <f t="shared" si="10"/>
        <v>15008945</v>
      </c>
      <c r="N25" s="413">
        <f t="shared" si="11"/>
        <v>464464</v>
      </c>
      <c r="O25" s="413">
        <f t="shared" si="12"/>
        <v>104</v>
      </c>
      <c r="P25" s="414">
        <f t="shared" si="13"/>
        <v>0.03</v>
      </c>
      <c r="Q25" s="415"/>
      <c r="S25" s="9"/>
      <c r="T25" s="28"/>
      <c r="U25" s="28"/>
      <c r="V25" s="28"/>
    </row>
    <row r="26" spans="1:22">
      <c r="A26" s="6">
        <v>31</v>
      </c>
      <c r="B26" s="6" t="s">
        <v>1150</v>
      </c>
      <c r="C26" s="410">
        <f t="shared" si="0"/>
        <v>4879</v>
      </c>
      <c r="D26" s="410">
        <f t="shared" si="1"/>
        <v>4925</v>
      </c>
      <c r="E26" s="410">
        <f t="shared" si="2"/>
        <v>46</v>
      </c>
      <c r="F26" s="411">
        <f t="shared" si="3"/>
        <v>63590856.680000007</v>
      </c>
      <c r="G26" s="411">
        <f t="shared" si="4"/>
        <v>65232366.109999992</v>
      </c>
      <c r="H26" s="411">
        <f t="shared" si="5"/>
        <v>333.30140710659589</v>
      </c>
      <c r="I26" s="412">
        <f t="shared" si="6"/>
        <v>49635324</v>
      </c>
      <c r="J26" s="412">
        <f t="shared" si="7"/>
        <v>52490595</v>
      </c>
      <c r="K26" s="412">
        <f t="shared" si="8"/>
        <v>579.7504568527919</v>
      </c>
      <c r="L26" s="413">
        <f t="shared" si="9"/>
        <v>20069934</v>
      </c>
      <c r="M26" s="413">
        <f t="shared" si="10"/>
        <v>20582134</v>
      </c>
      <c r="N26" s="413">
        <f t="shared" si="11"/>
        <v>512200</v>
      </c>
      <c r="O26" s="413">
        <f t="shared" si="12"/>
        <v>104</v>
      </c>
      <c r="P26" s="414">
        <f t="shared" si="13"/>
        <v>0.03</v>
      </c>
      <c r="Q26" s="415"/>
      <c r="S26" s="9"/>
      <c r="T26" s="28"/>
      <c r="U26" s="28"/>
      <c r="V26" s="28"/>
    </row>
    <row r="27" spans="1:22">
      <c r="A27" s="6">
        <v>35</v>
      </c>
      <c r="B27" s="6" t="s">
        <v>1154</v>
      </c>
      <c r="C27" s="410">
        <f t="shared" si="0"/>
        <v>57738</v>
      </c>
      <c r="D27" s="410">
        <f t="shared" si="1"/>
        <v>57369</v>
      </c>
      <c r="E27" s="410">
        <f t="shared" si="2"/>
        <v>-369</v>
      </c>
      <c r="F27" s="411">
        <f t="shared" si="3"/>
        <v>1095713386.0691998</v>
      </c>
      <c r="G27" s="411">
        <f t="shared" si="4"/>
        <v>1145949554.1332099</v>
      </c>
      <c r="H27" s="411">
        <f t="shared" si="5"/>
        <v>875.66748704021586</v>
      </c>
      <c r="I27" s="412">
        <f t="shared" si="6"/>
        <v>880485066</v>
      </c>
      <c r="J27" s="412">
        <f t="shared" si="7"/>
        <v>945408382</v>
      </c>
      <c r="K27" s="412">
        <f t="shared" si="8"/>
        <v>1131.6794087399119</v>
      </c>
      <c r="L27" s="413">
        <f t="shared" si="9"/>
        <v>230700785</v>
      </c>
      <c r="M27" s="413">
        <f t="shared" si="10"/>
        <v>236667161</v>
      </c>
      <c r="N27" s="413">
        <f t="shared" si="11"/>
        <v>5966376</v>
      </c>
      <c r="O27" s="413">
        <f t="shared" si="12"/>
        <v>104</v>
      </c>
      <c r="P27" s="414">
        <f t="shared" si="13"/>
        <v>0.03</v>
      </c>
      <c r="Q27" s="415"/>
      <c r="S27" s="9"/>
      <c r="T27" s="28"/>
      <c r="U27" s="28"/>
      <c r="V27" s="28"/>
    </row>
    <row r="28" spans="1:22">
      <c r="A28" s="6">
        <v>36</v>
      </c>
      <c r="B28" s="6" t="s">
        <v>1155</v>
      </c>
      <c r="C28" s="410">
        <f t="shared" si="0"/>
        <v>1678</v>
      </c>
      <c r="D28" s="410">
        <f t="shared" si="1"/>
        <v>1698</v>
      </c>
      <c r="E28" s="410">
        <f t="shared" si="2"/>
        <v>20</v>
      </c>
      <c r="F28" s="411">
        <f t="shared" si="3"/>
        <v>22858350.509999994</v>
      </c>
      <c r="G28" s="411">
        <f t="shared" si="4"/>
        <v>24109451.629999992</v>
      </c>
      <c r="H28" s="411">
        <f t="shared" si="5"/>
        <v>736.80866902237767</v>
      </c>
      <c r="I28" s="412">
        <f t="shared" si="6"/>
        <v>18409357</v>
      </c>
      <c r="J28" s="412">
        <f t="shared" si="7"/>
        <v>19319804</v>
      </c>
      <c r="K28" s="412">
        <f t="shared" si="8"/>
        <v>536.18786808009418</v>
      </c>
      <c r="L28" s="413">
        <f t="shared" si="9"/>
        <v>5472583</v>
      </c>
      <c r="M28" s="413">
        <f t="shared" si="10"/>
        <v>5649175</v>
      </c>
      <c r="N28" s="413">
        <f t="shared" si="11"/>
        <v>176592</v>
      </c>
      <c r="O28" s="413">
        <f t="shared" si="12"/>
        <v>104</v>
      </c>
      <c r="P28" s="414">
        <f t="shared" si="13"/>
        <v>0.03</v>
      </c>
      <c r="Q28" s="415"/>
      <c r="S28" s="9"/>
      <c r="T28" s="28"/>
      <c r="U28" s="28"/>
      <c r="V28" s="28"/>
    </row>
    <row r="29" spans="1:22">
      <c r="A29" s="6">
        <v>38</v>
      </c>
      <c r="B29" s="6" t="s">
        <v>1157</v>
      </c>
      <c r="C29" s="410">
        <f t="shared" si="0"/>
        <v>721</v>
      </c>
      <c r="D29" s="410">
        <f t="shared" si="1"/>
        <v>745</v>
      </c>
      <c r="E29" s="410">
        <f t="shared" si="2"/>
        <v>24</v>
      </c>
      <c r="F29" s="411">
        <f t="shared" si="3"/>
        <v>8528050.2678800002</v>
      </c>
      <c r="G29" s="411">
        <f t="shared" si="4"/>
        <v>9024222.1102399994</v>
      </c>
      <c r="H29" s="411">
        <f t="shared" si="5"/>
        <v>666.00247296644193</v>
      </c>
      <c r="I29" s="412">
        <f t="shared" si="6"/>
        <v>6718468</v>
      </c>
      <c r="J29" s="412">
        <f t="shared" si="7"/>
        <v>7139841</v>
      </c>
      <c r="K29" s="412">
        <f t="shared" si="8"/>
        <v>565.60134228187917</v>
      </c>
      <c r="L29" s="413">
        <f t="shared" si="9"/>
        <v>1855093</v>
      </c>
      <c r="M29" s="413">
        <f t="shared" si="10"/>
        <v>1932573</v>
      </c>
      <c r="N29" s="413">
        <f t="shared" si="11"/>
        <v>77480</v>
      </c>
      <c r="O29" s="413">
        <f t="shared" si="12"/>
        <v>104</v>
      </c>
      <c r="P29" s="414">
        <f t="shared" si="13"/>
        <v>0.04</v>
      </c>
      <c r="Q29" s="415"/>
      <c r="S29" s="9"/>
      <c r="T29" s="28"/>
      <c r="U29" s="28"/>
      <c r="V29" s="28"/>
    </row>
    <row r="30" spans="1:22">
      <c r="A30" s="6">
        <v>40</v>
      </c>
      <c r="B30" s="6" t="s">
        <v>1159</v>
      </c>
      <c r="C30" s="410">
        <f t="shared" si="0"/>
        <v>5244</v>
      </c>
      <c r="D30" s="410">
        <f t="shared" si="1"/>
        <v>5181</v>
      </c>
      <c r="E30" s="410">
        <f t="shared" si="2"/>
        <v>-63</v>
      </c>
      <c r="F30" s="411">
        <f t="shared" si="3"/>
        <v>72501248.639650002</v>
      </c>
      <c r="G30" s="411">
        <f t="shared" si="4"/>
        <v>73532608.806799993</v>
      </c>
      <c r="H30" s="411">
        <f t="shared" si="5"/>
        <v>199.06584967187624</v>
      </c>
      <c r="I30" s="412">
        <f t="shared" si="6"/>
        <v>51848673</v>
      </c>
      <c r="J30" s="412">
        <f t="shared" si="7"/>
        <v>55176708</v>
      </c>
      <c r="K30" s="412">
        <f t="shared" si="8"/>
        <v>642.35379270411113</v>
      </c>
      <c r="L30" s="413">
        <f t="shared" si="9"/>
        <v>20652576</v>
      </c>
      <c r="M30" s="413">
        <f t="shared" si="10"/>
        <v>21191400</v>
      </c>
      <c r="N30" s="413">
        <f t="shared" si="11"/>
        <v>538824</v>
      </c>
      <c r="O30" s="413">
        <f t="shared" si="12"/>
        <v>104</v>
      </c>
      <c r="P30" s="414">
        <f t="shared" si="13"/>
        <v>0.03</v>
      </c>
      <c r="Q30" s="415"/>
      <c r="S30" s="9"/>
      <c r="T30" s="28"/>
      <c r="U30" s="28"/>
      <c r="V30" s="28"/>
    </row>
    <row r="31" spans="1:22">
      <c r="A31" s="6">
        <v>41</v>
      </c>
      <c r="B31" s="6" t="s">
        <v>1160</v>
      </c>
      <c r="C31" s="410">
        <f t="shared" si="0"/>
        <v>418</v>
      </c>
      <c r="D31" s="410">
        <f t="shared" si="1"/>
        <v>421</v>
      </c>
      <c r="E31" s="410">
        <f t="shared" si="2"/>
        <v>3</v>
      </c>
      <c r="F31" s="411">
        <f t="shared" si="3"/>
        <v>5743102.1100000003</v>
      </c>
      <c r="G31" s="411">
        <f t="shared" si="4"/>
        <v>5984373.9899999993</v>
      </c>
      <c r="H31" s="411">
        <f t="shared" si="5"/>
        <v>573.09235154394048</v>
      </c>
      <c r="I31" s="412">
        <f t="shared" si="6"/>
        <v>4394765</v>
      </c>
      <c r="J31" s="412">
        <f t="shared" si="7"/>
        <v>4937108</v>
      </c>
      <c r="K31" s="412">
        <f t="shared" si="8"/>
        <v>1288.2256532066508</v>
      </c>
      <c r="L31" s="413">
        <f t="shared" si="9"/>
        <v>1377451</v>
      </c>
      <c r="M31" s="413">
        <f t="shared" si="10"/>
        <v>1421235</v>
      </c>
      <c r="N31" s="413">
        <f t="shared" si="11"/>
        <v>43784</v>
      </c>
      <c r="O31" s="413">
        <f t="shared" si="12"/>
        <v>104</v>
      </c>
      <c r="P31" s="414">
        <f t="shared" si="13"/>
        <v>0.03</v>
      </c>
      <c r="Q31" s="415"/>
      <c r="S31" s="9"/>
      <c r="T31" s="28"/>
      <c r="U31" s="28"/>
      <c r="V31" s="28"/>
    </row>
    <row r="32" spans="1:22">
      <c r="A32" s="6">
        <v>43</v>
      </c>
      <c r="B32" s="6" t="s">
        <v>1162</v>
      </c>
      <c r="C32" s="410">
        <f t="shared" si="0"/>
        <v>264</v>
      </c>
      <c r="D32" s="410">
        <f t="shared" si="1"/>
        <v>270</v>
      </c>
      <c r="E32" s="410">
        <f t="shared" si="2"/>
        <v>6</v>
      </c>
      <c r="F32" s="411">
        <f t="shared" si="3"/>
        <v>3511281.75</v>
      </c>
      <c r="G32" s="411">
        <f t="shared" si="4"/>
        <v>3675840.4599999995</v>
      </c>
      <c r="H32" s="411">
        <f t="shared" si="5"/>
        <v>609.47670370370179</v>
      </c>
      <c r="I32" s="412">
        <f t="shared" si="6"/>
        <v>1913482</v>
      </c>
      <c r="J32" s="412">
        <f t="shared" si="7"/>
        <v>1922423</v>
      </c>
      <c r="K32" s="412">
        <f t="shared" si="8"/>
        <v>33.114814814814814</v>
      </c>
      <c r="L32" s="413">
        <f t="shared" si="9"/>
        <v>1597800</v>
      </c>
      <c r="M32" s="413">
        <f t="shared" si="10"/>
        <v>1753417</v>
      </c>
      <c r="N32" s="413">
        <f t="shared" si="11"/>
        <v>155617</v>
      </c>
      <c r="O32" s="413">
        <f t="shared" si="12"/>
        <v>576.35925925925926</v>
      </c>
      <c r="P32" s="414">
        <f t="shared" si="13"/>
        <v>0.1</v>
      </c>
      <c r="Q32" s="415"/>
      <c r="S32" s="9"/>
      <c r="T32" s="28"/>
      <c r="U32" s="28"/>
      <c r="V32" s="28"/>
    </row>
    <row r="33" spans="1:22">
      <c r="A33" s="6">
        <v>44</v>
      </c>
      <c r="B33" s="6" t="s">
        <v>1163</v>
      </c>
      <c r="C33" s="410">
        <f t="shared" si="0"/>
        <v>16619</v>
      </c>
      <c r="D33" s="410">
        <f t="shared" si="1"/>
        <v>16775</v>
      </c>
      <c r="E33" s="410">
        <f t="shared" si="2"/>
        <v>156</v>
      </c>
      <c r="F33" s="411">
        <f t="shared" si="3"/>
        <v>295646847.72000003</v>
      </c>
      <c r="G33" s="411">
        <f t="shared" si="4"/>
        <v>314919037.44</v>
      </c>
      <c r="H33" s="411">
        <f t="shared" si="5"/>
        <v>1148.8637687034259</v>
      </c>
      <c r="I33" s="412">
        <f t="shared" si="6"/>
        <v>54579267</v>
      </c>
      <c r="J33" s="412">
        <f t="shared" si="7"/>
        <v>58428285</v>
      </c>
      <c r="K33" s="412">
        <f t="shared" si="8"/>
        <v>229.44965722801788</v>
      </c>
      <c r="L33" s="413">
        <f t="shared" si="9"/>
        <v>241067581</v>
      </c>
      <c r="M33" s="413">
        <f t="shared" si="10"/>
        <v>256490752</v>
      </c>
      <c r="N33" s="413">
        <f t="shared" si="11"/>
        <v>15423171</v>
      </c>
      <c r="O33" s="413">
        <f t="shared" si="12"/>
        <v>919.41406855439641</v>
      </c>
      <c r="P33" s="414">
        <f t="shared" si="13"/>
        <v>0.06</v>
      </c>
      <c r="Q33" s="415"/>
      <c r="S33" s="9"/>
      <c r="T33" s="28"/>
      <c r="U33" s="28"/>
      <c r="V33" s="28"/>
    </row>
    <row r="34" spans="1:22">
      <c r="A34" s="6">
        <v>45</v>
      </c>
      <c r="B34" s="6" t="s">
        <v>1164</v>
      </c>
      <c r="C34" s="410">
        <f t="shared" si="0"/>
        <v>223</v>
      </c>
      <c r="D34" s="410">
        <f t="shared" si="1"/>
        <v>225</v>
      </c>
      <c r="E34" s="410">
        <f t="shared" si="2"/>
        <v>2</v>
      </c>
      <c r="F34" s="411">
        <f t="shared" si="3"/>
        <v>3240938.5500000003</v>
      </c>
      <c r="G34" s="411">
        <f t="shared" si="4"/>
        <v>3232462.2</v>
      </c>
      <c r="H34" s="411">
        <f t="shared" si="5"/>
        <v>-37.672666666667084</v>
      </c>
      <c r="I34" s="412">
        <f t="shared" si="6"/>
        <v>1329203</v>
      </c>
      <c r="J34" s="412">
        <f t="shared" si="7"/>
        <v>1406803</v>
      </c>
      <c r="K34" s="412">
        <f t="shared" si="8"/>
        <v>344.88888888888891</v>
      </c>
      <c r="L34" s="413">
        <f t="shared" si="9"/>
        <v>1911736</v>
      </c>
      <c r="M34" s="413">
        <f t="shared" si="10"/>
        <v>1935136</v>
      </c>
      <c r="N34" s="413">
        <f t="shared" si="11"/>
        <v>23400</v>
      </c>
      <c r="O34" s="413">
        <f t="shared" si="12"/>
        <v>104</v>
      </c>
      <c r="P34" s="414">
        <f t="shared" si="13"/>
        <v>0.01</v>
      </c>
      <c r="Q34" s="415"/>
      <c r="S34" s="9"/>
      <c r="T34" s="28"/>
      <c r="U34" s="28"/>
      <c r="V34" s="28"/>
    </row>
    <row r="35" spans="1:22">
      <c r="A35" s="6">
        <v>46</v>
      </c>
      <c r="B35" s="6" t="s">
        <v>1165</v>
      </c>
      <c r="C35" s="410">
        <f t="shared" si="0"/>
        <v>6913</v>
      </c>
      <c r="D35" s="410">
        <f t="shared" si="1"/>
        <v>6899</v>
      </c>
      <c r="E35" s="410">
        <f t="shared" si="2"/>
        <v>-14</v>
      </c>
      <c r="F35" s="411">
        <f t="shared" si="3"/>
        <v>89394640.063260004</v>
      </c>
      <c r="G35" s="411">
        <f t="shared" si="4"/>
        <v>91993751.557960004</v>
      </c>
      <c r="H35" s="411">
        <f t="shared" si="5"/>
        <v>376.73742494564425</v>
      </c>
      <c r="I35" s="412">
        <f t="shared" si="6"/>
        <v>73750578</v>
      </c>
      <c r="J35" s="412">
        <f t="shared" si="7"/>
        <v>75894845</v>
      </c>
      <c r="K35" s="412">
        <f t="shared" si="8"/>
        <v>310.80837802580083</v>
      </c>
      <c r="L35" s="413">
        <f t="shared" si="9"/>
        <v>16035247</v>
      </c>
      <c r="M35" s="413">
        <f t="shared" si="10"/>
        <v>16752743</v>
      </c>
      <c r="N35" s="413">
        <f t="shared" si="11"/>
        <v>717496</v>
      </c>
      <c r="O35" s="413">
        <f t="shared" si="12"/>
        <v>104</v>
      </c>
      <c r="P35" s="414">
        <f t="shared" si="13"/>
        <v>0.04</v>
      </c>
      <c r="Q35" s="415"/>
      <c r="S35" s="9"/>
      <c r="T35" s="28"/>
      <c r="U35" s="28"/>
      <c r="V35" s="28"/>
    </row>
    <row r="36" spans="1:22">
      <c r="A36" s="6">
        <v>48</v>
      </c>
      <c r="B36" s="6" t="s">
        <v>1167</v>
      </c>
      <c r="C36" s="410">
        <f t="shared" si="0"/>
        <v>3424</v>
      </c>
      <c r="D36" s="410">
        <f t="shared" si="1"/>
        <v>3523</v>
      </c>
      <c r="E36" s="410">
        <f t="shared" si="2"/>
        <v>99</v>
      </c>
      <c r="F36" s="411">
        <f t="shared" si="3"/>
        <v>46103747.98904001</v>
      </c>
      <c r="G36" s="411">
        <f t="shared" si="4"/>
        <v>49033422.446800001</v>
      </c>
      <c r="H36" s="411">
        <f t="shared" si="5"/>
        <v>831.58514270791693</v>
      </c>
      <c r="I36" s="412">
        <f t="shared" si="6"/>
        <v>36818680</v>
      </c>
      <c r="J36" s="412">
        <f t="shared" si="7"/>
        <v>39058316</v>
      </c>
      <c r="K36" s="412">
        <f t="shared" si="8"/>
        <v>635.71842179960265</v>
      </c>
      <c r="L36" s="413">
        <f t="shared" si="9"/>
        <v>9355284</v>
      </c>
      <c r="M36" s="413">
        <f t="shared" si="10"/>
        <v>9975106</v>
      </c>
      <c r="N36" s="413">
        <f t="shared" si="11"/>
        <v>619822</v>
      </c>
      <c r="O36" s="413">
        <f t="shared" si="12"/>
        <v>175.93585012773204</v>
      </c>
      <c r="P36" s="414">
        <f t="shared" si="13"/>
        <v>7.0000000000000007E-2</v>
      </c>
      <c r="Q36" s="415"/>
      <c r="S36" s="9"/>
      <c r="T36" s="28"/>
      <c r="U36" s="28"/>
      <c r="V36" s="28"/>
    </row>
    <row r="37" spans="1:22">
      <c r="A37" s="6">
        <v>49</v>
      </c>
      <c r="B37" s="6" t="s">
        <v>1168</v>
      </c>
      <c r="C37" s="410">
        <f t="shared" si="0"/>
        <v>7030</v>
      </c>
      <c r="D37" s="410">
        <f t="shared" si="1"/>
        <v>7297</v>
      </c>
      <c r="E37" s="410">
        <f t="shared" si="2"/>
        <v>267</v>
      </c>
      <c r="F37" s="411">
        <f t="shared" si="3"/>
        <v>112732473.50964999</v>
      </c>
      <c r="G37" s="411">
        <f t="shared" si="4"/>
        <v>118963463.14608002</v>
      </c>
      <c r="H37" s="411">
        <f t="shared" si="5"/>
        <v>853.91114655749277</v>
      </c>
      <c r="I37" s="412">
        <f t="shared" si="6"/>
        <v>93004291</v>
      </c>
      <c r="J37" s="412">
        <f t="shared" si="7"/>
        <v>98144857</v>
      </c>
      <c r="K37" s="412">
        <f t="shared" si="8"/>
        <v>704.4766342332465</v>
      </c>
      <c r="L37" s="413">
        <f t="shared" si="9"/>
        <v>19728183</v>
      </c>
      <c r="M37" s="413">
        <f t="shared" si="10"/>
        <v>20818606</v>
      </c>
      <c r="N37" s="413">
        <f t="shared" si="11"/>
        <v>1090423</v>
      </c>
      <c r="O37" s="413">
        <f t="shared" si="12"/>
        <v>149.43442510620804</v>
      </c>
      <c r="P37" s="414">
        <f t="shared" si="13"/>
        <v>0.06</v>
      </c>
      <c r="Q37" s="415"/>
      <c r="S37" s="9"/>
      <c r="T37" s="28"/>
      <c r="U37" s="28"/>
      <c r="V37" s="28"/>
    </row>
    <row r="38" spans="1:22">
      <c r="A38" s="6">
        <v>50</v>
      </c>
      <c r="B38" s="6" t="s">
        <v>1169</v>
      </c>
      <c r="C38" s="410">
        <f t="shared" si="0"/>
        <v>3260</v>
      </c>
      <c r="D38" s="410">
        <f t="shared" si="1"/>
        <v>3291</v>
      </c>
      <c r="E38" s="410">
        <f t="shared" si="2"/>
        <v>31</v>
      </c>
      <c r="F38" s="411">
        <f t="shared" si="3"/>
        <v>43350134.769279994</v>
      </c>
      <c r="G38" s="411">
        <f t="shared" si="4"/>
        <v>44999693.302450001</v>
      </c>
      <c r="H38" s="411">
        <f t="shared" si="5"/>
        <v>501.23322186873509</v>
      </c>
      <c r="I38" s="412">
        <f t="shared" si="6"/>
        <v>34684949</v>
      </c>
      <c r="J38" s="412">
        <f t="shared" si="7"/>
        <v>36588682</v>
      </c>
      <c r="K38" s="412">
        <f t="shared" si="8"/>
        <v>578.46642357945916</v>
      </c>
      <c r="L38" s="413">
        <f t="shared" si="9"/>
        <v>8665186</v>
      </c>
      <c r="M38" s="413">
        <f t="shared" si="10"/>
        <v>9007450</v>
      </c>
      <c r="N38" s="413">
        <f t="shared" si="11"/>
        <v>342264</v>
      </c>
      <c r="O38" s="413">
        <f t="shared" si="12"/>
        <v>104</v>
      </c>
      <c r="P38" s="414">
        <f t="shared" si="13"/>
        <v>0.04</v>
      </c>
      <c r="Q38" s="415"/>
      <c r="S38" s="9"/>
      <c r="T38" s="28"/>
      <c r="U38" s="28"/>
      <c r="V38" s="28"/>
    </row>
    <row r="39" spans="1:22">
      <c r="A39" s="6">
        <v>51</v>
      </c>
      <c r="B39" s="6" t="s">
        <v>1170</v>
      </c>
      <c r="C39" s="410">
        <f t="shared" si="0"/>
        <v>567</v>
      </c>
      <c r="D39" s="410">
        <f t="shared" si="1"/>
        <v>571</v>
      </c>
      <c r="E39" s="410">
        <f t="shared" si="2"/>
        <v>4</v>
      </c>
      <c r="F39" s="411">
        <f t="shared" si="3"/>
        <v>6639945.1630799994</v>
      </c>
      <c r="G39" s="411">
        <f t="shared" si="4"/>
        <v>6853478.0810400005</v>
      </c>
      <c r="H39" s="411">
        <f t="shared" si="5"/>
        <v>373.9630787390563</v>
      </c>
      <c r="I39" s="412">
        <f t="shared" si="6"/>
        <v>5477955</v>
      </c>
      <c r="J39" s="412">
        <f t="shared" si="7"/>
        <v>5654120</v>
      </c>
      <c r="K39" s="412">
        <f t="shared" si="8"/>
        <v>308.52014010507878</v>
      </c>
      <c r="L39" s="413">
        <f t="shared" si="9"/>
        <v>1387990</v>
      </c>
      <c r="M39" s="413">
        <f t="shared" si="10"/>
        <v>1447374</v>
      </c>
      <c r="N39" s="413">
        <f t="shared" si="11"/>
        <v>59384</v>
      </c>
      <c r="O39" s="413">
        <f t="shared" si="12"/>
        <v>104</v>
      </c>
      <c r="P39" s="414">
        <f t="shared" si="13"/>
        <v>0.04</v>
      </c>
      <c r="Q39" s="415"/>
      <c r="S39" s="9"/>
      <c r="T39" s="28"/>
      <c r="U39" s="28"/>
      <c r="V39" s="28"/>
    </row>
    <row r="40" spans="1:22">
      <c r="A40" s="6">
        <v>52</v>
      </c>
      <c r="B40" s="6" t="s">
        <v>1171</v>
      </c>
      <c r="C40" s="410">
        <f t="shared" si="0"/>
        <v>1535</v>
      </c>
      <c r="D40" s="410">
        <f t="shared" si="1"/>
        <v>1501</v>
      </c>
      <c r="E40" s="410">
        <f t="shared" si="2"/>
        <v>-34</v>
      </c>
      <c r="F40" s="411">
        <f t="shared" si="3"/>
        <v>21283331.499319997</v>
      </c>
      <c r="G40" s="411">
        <f t="shared" si="4"/>
        <v>20958681.776560001</v>
      </c>
      <c r="H40" s="411">
        <f t="shared" si="5"/>
        <v>-216.28895586941746</v>
      </c>
      <c r="I40" s="412">
        <f t="shared" si="6"/>
        <v>10820042</v>
      </c>
      <c r="J40" s="412">
        <f t="shared" si="7"/>
        <v>11414545</v>
      </c>
      <c r="K40" s="412">
        <f t="shared" si="8"/>
        <v>396.07128580946033</v>
      </c>
      <c r="L40" s="413">
        <f t="shared" si="9"/>
        <v>10463289</v>
      </c>
      <c r="M40" s="413">
        <f t="shared" si="10"/>
        <v>10619393</v>
      </c>
      <c r="N40" s="413">
        <f t="shared" si="11"/>
        <v>156104</v>
      </c>
      <c r="O40" s="413">
        <f t="shared" si="12"/>
        <v>104</v>
      </c>
      <c r="P40" s="414">
        <f t="shared" si="13"/>
        <v>0.01</v>
      </c>
      <c r="Q40" s="415"/>
      <c r="S40" s="9"/>
      <c r="T40" s="28"/>
      <c r="U40" s="28"/>
      <c r="V40" s="28"/>
    </row>
    <row r="41" spans="1:22">
      <c r="A41" s="6">
        <v>56</v>
      </c>
      <c r="B41" s="6" t="s">
        <v>1175</v>
      </c>
      <c r="C41" s="410">
        <f t="shared" si="0"/>
        <v>5108</v>
      </c>
      <c r="D41" s="410">
        <f t="shared" si="1"/>
        <v>5181</v>
      </c>
      <c r="E41" s="410">
        <f t="shared" si="2"/>
        <v>73</v>
      </c>
      <c r="F41" s="411">
        <f t="shared" si="3"/>
        <v>63812307.760000005</v>
      </c>
      <c r="G41" s="411">
        <f t="shared" si="4"/>
        <v>66887500.860000007</v>
      </c>
      <c r="H41" s="411">
        <f t="shared" si="5"/>
        <v>593.55203628643153</v>
      </c>
      <c r="I41" s="412">
        <f t="shared" si="6"/>
        <v>49670508</v>
      </c>
      <c r="J41" s="412">
        <f t="shared" si="7"/>
        <v>52463272</v>
      </c>
      <c r="K41" s="412">
        <f t="shared" si="8"/>
        <v>539.0395676510326</v>
      </c>
      <c r="L41" s="413">
        <f t="shared" si="9"/>
        <v>14141800</v>
      </c>
      <c r="M41" s="413">
        <f t="shared" si="10"/>
        <v>14680624</v>
      </c>
      <c r="N41" s="413">
        <f t="shared" si="11"/>
        <v>538824</v>
      </c>
      <c r="O41" s="413">
        <f t="shared" si="12"/>
        <v>104</v>
      </c>
      <c r="P41" s="414">
        <f t="shared" si="13"/>
        <v>0.04</v>
      </c>
      <c r="Q41" s="415"/>
      <c r="S41" s="9"/>
      <c r="T41" s="28"/>
      <c r="U41" s="28"/>
      <c r="V41" s="28"/>
    </row>
    <row r="42" spans="1:22">
      <c r="A42" s="6">
        <v>57</v>
      </c>
      <c r="B42" s="6" t="s">
        <v>1176</v>
      </c>
      <c r="C42" s="410">
        <f t="shared" si="0"/>
        <v>7110</v>
      </c>
      <c r="D42" s="410">
        <f t="shared" si="1"/>
        <v>7095</v>
      </c>
      <c r="E42" s="410">
        <f t="shared" si="2"/>
        <v>-15</v>
      </c>
      <c r="F42" s="411">
        <f t="shared" si="3"/>
        <v>138863180.45907998</v>
      </c>
      <c r="G42" s="411">
        <f t="shared" si="4"/>
        <v>146924932.87000003</v>
      </c>
      <c r="H42" s="411">
        <f t="shared" si="5"/>
        <v>1136.2582679238976</v>
      </c>
      <c r="I42" s="412">
        <f t="shared" si="6"/>
        <v>22081668</v>
      </c>
      <c r="J42" s="412">
        <f t="shared" si="7"/>
        <v>23727035</v>
      </c>
      <c r="K42" s="412">
        <f t="shared" si="8"/>
        <v>231.90514446793517</v>
      </c>
      <c r="L42" s="413">
        <f t="shared" si="9"/>
        <v>116781512</v>
      </c>
      <c r="M42" s="413">
        <f t="shared" si="10"/>
        <v>123197898</v>
      </c>
      <c r="N42" s="413">
        <f t="shared" si="11"/>
        <v>6416386</v>
      </c>
      <c r="O42" s="413">
        <f t="shared" si="12"/>
        <v>904.35320648343907</v>
      </c>
      <c r="P42" s="414">
        <f t="shared" si="13"/>
        <v>0.05</v>
      </c>
      <c r="Q42" s="415"/>
      <c r="S42" s="9"/>
      <c r="T42" s="28"/>
      <c r="U42" s="28"/>
      <c r="V42" s="28"/>
    </row>
    <row r="43" spans="1:22">
      <c r="A43" s="6">
        <v>61</v>
      </c>
      <c r="B43" s="6" t="s">
        <v>1180</v>
      </c>
      <c r="C43" s="410">
        <f t="shared" si="0"/>
        <v>7166</v>
      </c>
      <c r="D43" s="410">
        <f t="shared" si="1"/>
        <v>7202</v>
      </c>
      <c r="E43" s="410">
        <f t="shared" si="2"/>
        <v>36</v>
      </c>
      <c r="F43" s="411">
        <f t="shared" si="3"/>
        <v>122693363.2</v>
      </c>
      <c r="G43" s="411">
        <f t="shared" si="4"/>
        <v>129158251.12</v>
      </c>
      <c r="H43" s="411">
        <f t="shared" si="5"/>
        <v>897.65175229103056</v>
      </c>
      <c r="I43" s="412">
        <f t="shared" si="6"/>
        <v>33865812</v>
      </c>
      <c r="J43" s="412">
        <f t="shared" si="7"/>
        <v>35132393</v>
      </c>
      <c r="K43" s="412">
        <f t="shared" si="8"/>
        <v>175.86517633990559</v>
      </c>
      <c r="L43" s="413">
        <f t="shared" si="9"/>
        <v>88827551</v>
      </c>
      <c r="M43" s="413">
        <f t="shared" si="10"/>
        <v>94025858</v>
      </c>
      <c r="N43" s="413">
        <f t="shared" si="11"/>
        <v>5198307</v>
      </c>
      <c r="O43" s="413">
        <f t="shared" si="12"/>
        <v>721.78658705915029</v>
      </c>
      <c r="P43" s="414">
        <f t="shared" si="13"/>
        <v>0.06</v>
      </c>
      <c r="Q43" s="415"/>
      <c r="S43" s="9"/>
      <c r="T43" s="28"/>
      <c r="U43" s="28"/>
      <c r="V43" s="28"/>
    </row>
    <row r="44" spans="1:22">
      <c r="A44" s="6">
        <v>63</v>
      </c>
      <c r="B44" s="6" t="s">
        <v>1182</v>
      </c>
      <c r="C44" s="410">
        <f t="shared" si="0"/>
        <v>171</v>
      </c>
      <c r="D44" s="410">
        <f t="shared" si="1"/>
        <v>204</v>
      </c>
      <c r="E44" s="410">
        <f t="shared" si="2"/>
        <v>33</v>
      </c>
      <c r="F44" s="411">
        <f t="shared" si="3"/>
        <v>2395286.75</v>
      </c>
      <c r="G44" s="411">
        <f t="shared" si="4"/>
        <v>2889718.2099999995</v>
      </c>
      <c r="H44" s="411">
        <f t="shared" si="5"/>
        <v>2423.6836274509778</v>
      </c>
      <c r="I44" s="412">
        <f t="shared" si="6"/>
        <v>736864</v>
      </c>
      <c r="J44" s="412">
        <f t="shared" si="7"/>
        <v>806811</v>
      </c>
      <c r="K44" s="412">
        <f t="shared" si="8"/>
        <v>342.87745098039215</v>
      </c>
      <c r="L44" s="413">
        <f t="shared" si="9"/>
        <v>1827355</v>
      </c>
      <c r="M44" s="413">
        <f t="shared" si="10"/>
        <v>2082907</v>
      </c>
      <c r="N44" s="413">
        <f t="shared" si="11"/>
        <v>255552</v>
      </c>
      <c r="O44" s="413">
        <f t="shared" si="12"/>
        <v>1252.7058823529412</v>
      </c>
      <c r="P44" s="414">
        <f t="shared" si="13"/>
        <v>0.14000000000000001</v>
      </c>
      <c r="Q44" s="415"/>
      <c r="S44" s="9"/>
      <c r="T44" s="28"/>
      <c r="U44" s="28"/>
      <c r="V44" s="28"/>
    </row>
    <row r="45" spans="1:22">
      <c r="A45" s="6">
        <v>64</v>
      </c>
      <c r="B45" s="6" t="s">
        <v>1183</v>
      </c>
      <c r="C45" s="410">
        <f t="shared" si="0"/>
        <v>2062</v>
      </c>
      <c r="D45" s="410">
        <f t="shared" si="1"/>
        <v>2095</v>
      </c>
      <c r="E45" s="410">
        <f t="shared" si="2"/>
        <v>33</v>
      </c>
      <c r="F45" s="411">
        <f t="shared" si="3"/>
        <v>32534279.410000004</v>
      </c>
      <c r="G45" s="411">
        <f t="shared" si="4"/>
        <v>34438020.57</v>
      </c>
      <c r="H45" s="411">
        <f t="shared" si="5"/>
        <v>908.70699761336346</v>
      </c>
      <c r="I45" s="412">
        <f t="shared" si="6"/>
        <v>13217258</v>
      </c>
      <c r="J45" s="412">
        <f t="shared" si="7"/>
        <v>14024833</v>
      </c>
      <c r="K45" s="412">
        <f t="shared" si="8"/>
        <v>385.47732696897373</v>
      </c>
      <c r="L45" s="413">
        <f t="shared" si="9"/>
        <v>19317021</v>
      </c>
      <c r="M45" s="413">
        <f t="shared" si="10"/>
        <v>20413188</v>
      </c>
      <c r="N45" s="413">
        <f t="shared" si="11"/>
        <v>1096167</v>
      </c>
      <c r="O45" s="413">
        <f t="shared" si="12"/>
        <v>523.23007159904535</v>
      </c>
      <c r="P45" s="414">
        <f t="shared" si="13"/>
        <v>0.06</v>
      </c>
      <c r="Q45" s="415"/>
      <c r="S45" s="9"/>
      <c r="T45" s="28"/>
      <c r="U45" s="28"/>
      <c r="V45" s="28"/>
    </row>
    <row r="46" spans="1:22">
      <c r="A46" s="6">
        <v>65</v>
      </c>
      <c r="B46" s="6" t="s">
        <v>1184</v>
      </c>
      <c r="C46" s="410">
        <f t="shared" si="0"/>
        <v>1367</v>
      </c>
      <c r="D46" s="410">
        <f t="shared" si="1"/>
        <v>1433</v>
      </c>
      <c r="E46" s="410">
        <f t="shared" si="2"/>
        <v>66</v>
      </c>
      <c r="F46" s="411">
        <f t="shared" si="3"/>
        <v>16687439.717179999</v>
      </c>
      <c r="G46" s="411">
        <f t="shared" si="4"/>
        <v>17839057.451559998</v>
      </c>
      <c r="H46" s="411">
        <f t="shared" si="5"/>
        <v>803.64112657362136</v>
      </c>
      <c r="I46" s="412">
        <f t="shared" si="6"/>
        <v>13767138</v>
      </c>
      <c r="J46" s="412">
        <f t="shared" si="7"/>
        <v>14717222</v>
      </c>
      <c r="K46" s="412">
        <f t="shared" si="8"/>
        <v>663.00348918353109</v>
      </c>
      <c r="L46" s="413">
        <f t="shared" si="9"/>
        <v>2955742</v>
      </c>
      <c r="M46" s="413">
        <f t="shared" si="10"/>
        <v>3121835</v>
      </c>
      <c r="N46" s="413">
        <f t="shared" si="11"/>
        <v>166093</v>
      </c>
      <c r="O46" s="413">
        <f t="shared" si="12"/>
        <v>115.90579204466155</v>
      </c>
      <c r="P46" s="414">
        <f t="shared" si="13"/>
        <v>0.06</v>
      </c>
      <c r="Q46" s="415"/>
      <c r="S46" s="9"/>
      <c r="T46" s="28"/>
      <c r="U46" s="28"/>
      <c r="V46" s="28"/>
    </row>
    <row r="47" spans="1:22">
      <c r="A47" s="6">
        <v>67</v>
      </c>
      <c r="B47" s="6" t="s">
        <v>1186</v>
      </c>
      <c r="C47" s="410">
        <f t="shared" si="0"/>
        <v>1925</v>
      </c>
      <c r="D47" s="410">
        <f t="shared" si="1"/>
        <v>1943</v>
      </c>
      <c r="E47" s="410">
        <f t="shared" si="2"/>
        <v>18</v>
      </c>
      <c r="F47" s="411">
        <f t="shared" si="3"/>
        <v>23075622.333200004</v>
      </c>
      <c r="G47" s="411">
        <f t="shared" si="4"/>
        <v>24161392.54073</v>
      </c>
      <c r="H47" s="411">
        <f t="shared" si="5"/>
        <v>558.81122363870077</v>
      </c>
      <c r="I47" s="412">
        <f t="shared" si="6"/>
        <v>19037389</v>
      </c>
      <c r="J47" s="412">
        <f t="shared" si="7"/>
        <v>19933149</v>
      </c>
      <c r="K47" s="412">
        <f t="shared" si="8"/>
        <v>461.01904271744723</v>
      </c>
      <c r="L47" s="413">
        <f t="shared" si="9"/>
        <v>4038233</v>
      </c>
      <c r="M47" s="413">
        <f t="shared" si="10"/>
        <v>4240305</v>
      </c>
      <c r="N47" s="413">
        <f t="shared" si="11"/>
        <v>202072</v>
      </c>
      <c r="O47" s="413">
        <f t="shared" si="12"/>
        <v>104</v>
      </c>
      <c r="P47" s="414">
        <f t="shared" si="13"/>
        <v>0.05</v>
      </c>
      <c r="Q47" s="415"/>
      <c r="S47" s="9"/>
      <c r="T47" s="28"/>
      <c r="U47" s="28"/>
      <c r="V47" s="28"/>
    </row>
    <row r="48" spans="1:22">
      <c r="A48" s="6">
        <v>68</v>
      </c>
      <c r="B48" s="6" t="s">
        <v>1187</v>
      </c>
      <c r="C48" s="410">
        <f t="shared" si="0"/>
        <v>66</v>
      </c>
      <c r="D48" s="410">
        <f t="shared" si="1"/>
        <v>68</v>
      </c>
      <c r="E48" s="410">
        <f t="shared" si="2"/>
        <v>2</v>
      </c>
      <c r="F48" s="411">
        <f t="shared" si="3"/>
        <v>941811.15000000014</v>
      </c>
      <c r="G48" s="411">
        <f t="shared" si="4"/>
        <v>969244.91999999993</v>
      </c>
      <c r="H48" s="411">
        <f t="shared" si="5"/>
        <v>403.43779411764393</v>
      </c>
      <c r="I48" s="412">
        <f t="shared" si="6"/>
        <v>776994</v>
      </c>
      <c r="J48" s="412">
        <f t="shared" si="7"/>
        <v>799627</v>
      </c>
      <c r="K48" s="412">
        <f t="shared" si="8"/>
        <v>332.83823529411762</v>
      </c>
      <c r="L48" s="413">
        <f t="shared" si="9"/>
        <v>637444</v>
      </c>
      <c r="M48" s="413">
        <f t="shared" si="10"/>
        <v>644516</v>
      </c>
      <c r="N48" s="413">
        <f t="shared" si="11"/>
        <v>7072</v>
      </c>
      <c r="O48" s="413">
        <f t="shared" si="12"/>
        <v>104</v>
      </c>
      <c r="P48" s="414">
        <f t="shared" si="13"/>
        <v>0.01</v>
      </c>
      <c r="Q48" s="415"/>
      <c r="S48" s="9"/>
      <c r="T48" s="28"/>
      <c r="U48" s="28"/>
      <c r="V48" s="28"/>
    </row>
    <row r="49" spans="1:22">
      <c r="A49" s="6">
        <v>71</v>
      </c>
      <c r="B49" s="6" t="s">
        <v>1190</v>
      </c>
      <c r="C49" s="410">
        <f t="shared" si="0"/>
        <v>3315</v>
      </c>
      <c r="D49" s="410">
        <f t="shared" si="1"/>
        <v>3349</v>
      </c>
      <c r="E49" s="410">
        <f t="shared" si="2"/>
        <v>34</v>
      </c>
      <c r="F49" s="411">
        <f t="shared" si="3"/>
        <v>42331707.480000004</v>
      </c>
      <c r="G49" s="411">
        <f t="shared" si="4"/>
        <v>44328380.18</v>
      </c>
      <c r="H49" s="411">
        <f t="shared" si="5"/>
        <v>596.19967154374308</v>
      </c>
      <c r="I49" s="412">
        <f t="shared" si="6"/>
        <v>33039603</v>
      </c>
      <c r="J49" s="412">
        <f t="shared" si="7"/>
        <v>34918958</v>
      </c>
      <c r="K49" s="412">
        <f t="shared" si="8"/>
        <v>561.16900567333528</v>
      </c>
      <c r="L49" s="413">
        <f t="shared" si="9"/>
        <v>9292104</v>
      </c>
      <c r="M49" s="413">
        <f t="shared" si="10"/>
        <v>9640400</v>
      </c>
      <c r="N49" s="413">
        <f t="shared" si="11"/>
        <v>348296</v>
      </c>
      <c r="O49" s="413">
        <f t="shared" si="12"/>
        <v>104</v>
      </c>
      <c r="P49" s="414">
        <f t="shared" si="13"/>
        <v>0.04</v>
      </c>
      <c r="Q49" s="415"/>
      <c r="S49" s="9"/>
      <c r="T49" s="28"/>
      <c r="U49" s="28"/>
      <c r="V49" s="28"/>
    </row>
    <row r="50" spans="1:22">
      <c r="A50" s="6">
        <v>72</v>
      </c>
      <c r="B50" s="6" t="s">
        <v>1191</v>
      </c>
      <c r="C50" s="410">
        <f t="shared" si="0"/>
        <v>3303</v>
      </c>
      <c r="D50" s="410">
        <f t="shared" si="1"/>
        <v>3284</v>
      </c>
      <c r="E50" s="410">
        <f t="shared" si="2"/>
        <v>-19</v>
      </c>
      <c r="F50" s="411">
        <f t="shared" si="3"/>
        <v>43916766.759999998</v>
      </c>
      <c r="G50" s="411">
        <f t="shared" si="4"/>
        <v>44678547.479999989</v>
      </c>
      <c r="H50" s="411">
        <f t="shared" si="5"/>
        <v>231.96733252131284</v>
      </c>
      <c r="I50" s="412">
        <f t="shared" si="6"/>
        <v>34831363</v>
      </c>
      <c r="J50" s="412">
        <f t="shared" si="7"/>
        <v>36166183</v>
      </c>
      <c r="K50" s="412">
        <f t="shared" si="8"/>
        <v>406.46163215590741</v>
      </c>
      <c r="L50" s="413">
        <f t="shared" si="9"/>
        <v>10449331</v>
      </c>
      <c r="M50" s="413">
        <f t="shared" si="10"/>
        <v>10790867</v>
      </c>
      <c r="N50" s="413">
        <f t="shared" si="11"/>
        <v>341536</v>
      </c>
      <c r="O50" s="413">
        <f t="shared" si="12"/>
        <v>104</v>
      </c>
      <c r="P50" s="414">
        <f t="shared" si="13"/>
        <v>0.03</v>
      </c>
      <c r="Q50" s="415"/>
      <c r="S50" s="9"/>
      <c r="T50" s="28"/>
      <c r="U50" s="28"/>
      <c r="V50" s="28"/>
    </row>
    <row r="51" spans="1:22">
      <c r="A51" s="6">
        <v>73</v>
      </c>
      <c r="B51" s="6" t="s">
        <v>1192</v>
      </c>
      <c r="C51" s="410">
        <f t="shared" si="0"/>
        <v>2529</v>
      </c>
      <c r="D51" s="410">
        <f t="shared" si="1"/>
        <v>2748</v>
      </c>
      <c r="E51" s="410">
        <f t="shared" si="2"/>
        <v>219</v>
      </c>
      <c r="F51" s="411">
        <f t="shared" si="3"/>
        <v>34648058.12985</v>
      </c>
      <c r="G51" s="411">
        <f t="shared" si="4"/>
        <v>39060888.148359999</v>
      </c>
      <c r="H51" s="411">
        <f t="shared" si="5"/>
        <v>1605.8333400691408</v>
      </c>
      <c r="I51" s="412">
        <f t="shared" si="6"/>
        <v>27655361</v>
      </c>
      <c r="J51" s="412">
        <f t="shared" si="7"/>
        <v>29321375</v>
      </c>
      <c r="K51" s="412">
        <f t="shared" si="8"/>
        <v>606.26419213973804</v>
      </c>
      <c r="L51" s="413">
        <f t="shared" si="9"/>
        <v>6992697</v>
      </c>
      <c r="M51" s="413">
        <f t="shared" si="10"/>
        <v>9739513</v>
      </c>
      <c r="N51" s="413">
        <f t="shared" si="11"/>
        <v>2746816</v>
      </c>
      <c r="O51" s="413">
        <f t="shared" si="12"/>
        <v>999.56914119359533</v>
      </c>
      <c r="P51" s="414">
        <f t="shared" si="13"/>
        <v>0.39</v>
      </c>
      <c r="Q51" s="415"/>
      <c r="S51" s="9"/>
      <c r="T51" s="28"/>
      <c r="U51" s="28"/>
      <c r="V51" s="28"/>
    </row>
    <row r="52" spans="1:22">
      <c r="A52" s="6">
        <v>74</v>
      </c>
      <c r="B52" s="6" t="s">
        <v>1193</v>
      </c>
      <c r="C52" s="410">
        <f t="shared" si="0"/>
        <v>281</v>
      </c>
      <c r="D52" s="410">
        <f t="shared" si="1"/>
        <v>279</v>
      </c>
      <c r="E52" s="410">
        <f t="shared" si="2"/>
        <v>-2</v>
      </c>
      <c r="F52" s="411">
        <f t="shared" si="3"/>
        <v>3505682.31</v>
      </c>
      <c r="G52" s="411">
        <f t="shared" si="4"/>
        <v>3547455.8600000003</v>
      </c>
      <c r="H52" s="411">
        <f t="shared" si="5"/>
        <v>149.72598566308343</v>
      </c>
      <c r="I52" s="412">
        <f t="shared" si="6"/>
        <v>2863682</v>
      </c>
      <c r="J52" s="412">
        <f t="shared" si="7"/>
        <v>2926651</v>
      </c>
      <c r="K52" s="412">
        <f t="shared" si="8"/>
        <v>225.69534050179212</v>
      </c>
      <c r="L52" s="413">
        <f t="shared" si="9"/>
        <v>1157053</v>
      </c>
      <c r="M52" s="413">
        <f t="shared" si="10"/>
        <v>1186069</v>
      </c>
      <c r="N52" s="413">
        <f t="shared" si="11"/>
        <v>29016</v>
      </c>
      <c r="O52" s="413">
        <f t="shared" si="12"/>
        <v>104</v>
      </c>
      <c r="P52" s="414">
        <f t="shared" si="13"/>
        <v>0.03</v>
      </c>
      <c r="Q52" s="415"/>
      <c r="S52" s="9"/>
      <c r="T52" s="28"/>
      <c r="U52" s="28"/>
      <c r="V52" s="28"/>
    </row>
    <row r="53" spans="1:22">
      <c r="A53" s="6">
        <v>77</v>
      </c>
      <c r="B53" s="6" t="s">
        <v>1196</v>
      </c>
      <c r="C53" s="410">
        <f t="shared" si="0"/>
        <v>1132</v>
      </c>
      <c r="D53" s="410">
        <f t="shared" si="1"/>
        <v>1072</v>
      </c>
      <c r="E53" s="410">
        <f t="shared" si="2"/>
        <v>-60</v>
      </c>
      <c r="F53" s="411">
        <f t="shared" si="3"/>
        <v>14574247.939999998</v>
      </c>
      <c r="G53" s="411">
        <f t="shared" si="4"/>
        <v>14237865.390000002</v>
      </c>
      <c r="H53" s="411">
        <f t="shared" si="5"/>
        <v>-313.7896921641746</v>
      </c>
      <c r="I53" s="412">
        <f t="shared" si="6"/>
        <v>8454786</v>
      </c>
      <c r="J53" s="412">
        <f t="shared" si="7"/>
        <v>8850986</v>
      </c>
      <c r="K53" s="412">
        <f t="shared" si="8"/>
        <v>369.58955223880599</v>
      </c>
      <c r="L53" s="413">
        <f t="shared" si="9"/>
        <v>8927525</v>
      </c>
      <c r="M53" s="413">
        <f t="shared" si="10"/>
        <v>9039013</v>
      </c>
      <c r="N53" s="413">
        <f t="shared" si="11"/>
        <v>111488</v>
      </c>
      <c r="O53" s="413">
        <f t="shared" si="12"/>
        <v>104</v>
      </c>
      <c r="P53" s="414">
        <f t="shared" si="13"/>
        <v>0.01</v>
      </c>
      <c r="Q53" s="415"/>
      <c r="S53" s="9"/>
      <c r="T53" s="28"/>
      <c r="U53" s="28"/>
      <c r="V53" s="28"/>
    </row>
    <row r="54" spans="1:22">
      <c r="A54" s="6">
        <v>78</v>
      </c>
      <c r="B54" s="6" t="s">
        <v>1197</v>
      </c>
      <c r="C54" s="410">
        <f t="shared" si="0"/>
        <v>500</v>
      </c>
      <c r="D54" s="410">
        <f t="shared" si="1"/>
        <v>491</v>
      </c>
      <c r="E54" s="410">
        <f t="shared" si="2"/>
        <v>-9</v>
      </c>
      <c r="F54" s="411">
        <f t="shared" si="3"/>
        <v>5901407.9242000002</v>
      </c>
      <c r="G54" s="411">
        <f t="shared" si="4"/>
        <v>5959421.4737200011</v>
      </c>
      <c r="H54" s="411">
        <f t="shared" si="5"/>
        <v>118.15386867617273</v>
      </c>
      <c r="I54" s="412">
        <f t="shared" si="6"/>
        <v>4868661</v>
      </c>
      <c r="J54" s="412">
        <f t="shared" si="7"/>
        <v>4916523</v>
      </c>
      <c r="K54" s="412">
        <f t="shared" si="8"/>
        <v>97.478615071283102</v>
      </c>
      <c r="L54" s="413">
        <f t="shared" si="9"/>
        <v>1032747</v>
      </c>
      <c r="M54" s="413">
        <f t="shared" si="10"/>
        <v>1083811</v>
      </c>
      <c r="N54" s="413">
        <f t="shared" si="11"/>
        <v>51064</v>
      </c>
      <c r="O54" s="413">
        <f t="shared" si="12"/>
        <v>104</v>
      </c>
      <c r="P54" s="414">
        <f t="shared" si="13"/>
        <v>0.05</v>
      </c>
      <c r="Q54" s="415"/>
      <c r="S54" s="9"/>
      <c r="T54" s="28"/>
      <c r="U54" s="28"/>
      <c r="V54" s="28"/>
    </row>
    <row r="55" spans="1:22">
      <c r="A55" s="6">
        <v>79</v>
      </c>
      <c r="B55" s="6" t="s">
        <v>1198</v>
      </c>
      <c r="C55" s="410">
        <f t="shared" si="0"/>
        <v>3900</v>
      </c>
      <c r="D55" s="410">
        <f t="shared" si="1"/>
        <v>3837</v>
      </c>
      <c r="E55" s="410">
        <f t="shared" si="2"/>
        <v>-63</v>
      </c>
      <c r="F55" s="411">
        <f t="shared" si="3"/>
        <v>54539267.460000008</v>
      </c>
      <c r="G55" s="411">
        <f t="shared" si="4"/>
        <v>54583406.889999993</v>
      </c>
      <c r="H55" s="411">
        <f t="shared" si="5"/>
        <v>11.503630440444306</v>
      </c>
      <c r="I55" s="412">
        <f t="shared" si="6"/>
        <v>27369124</v>
      </c>
      <c r="J55" s="412">
        <f t="shared" si="7"/>
        <v>27974680</v>
      </c>
      <c r="K55" s="412">
        <f t="shared" si="8"/>
        <v>157.82017200938233</v>
      </c>
      <c r="L55" s="413">
        <f t="shared" si="9"/>
        <v>27170143</v>
      </c>
      <c r="M55" s="413">
        <f t="shared" si="10"/>
        <v>27570439</v>
      </c>
      <c r="N55" s="413">
        <f t="shared" si="11"/>
        <v>400296</v>
      </c>
      <c r="O55" s="413">
        <f t="shared" si="12"/>
        <v>104.32525410476936</v>
      </c>
      <c r="P55" s="414">
        <f t="shared" si="13"/>
        <v>0.01</v>
      </c>
      <c r="Q55" s="415"/>
      <c r="S55" s="9"/>
      <c r="T55" s="28"/>
      <c r="U55" s="28"/>
      <c r="V55" s="28"/>
    </row>
    <row r="56" spans="1:22">
      <c r="A56" s="6">
        <v>82</v>
      </c>
      <c r="B56" s="6" t="s">
        <v>1201</v>
      </c>
      <c r="C56" s="410">
        <f t="shared" si="0"/>
        <v>2729</v>
      </c>
      <c r="D56" s="410">
        <f t="shared" si="1"/>
        <v>2658</v>
      </c>
      <c r="E56" s="410">
        <f t="shared" si="2"/>
        <v>-71</v>
      </c>
      <c r="F56" s="411">
        <f t="shared" si="3"/>
        <v>33659011.201460004</v>
      </c>
      <c r="G56" s="411">
        <f t="shared" si="4"/>
        <v>33652713.458800003</v>
      </c>
      <c r="H56" s="411">
        <f t="shared" si="5"/>
        <v>-2.3693538976677653</v>
      </c>
      <c r="I56" s="412">
        <f t="shared" si="6"/>
        <v>26987503</v>
      </c>
      <c r="J56" s="412">
        <f t="shared" si="7"/>
        <v>27763489</v>
      </c>
      <c r="K56" s="412">
        <f t="shared" si="8"/>
        <v>291.9435665914221</v>
      </c>
      <c r="L56" s="413">
        <f t="shared" si="9"/>
        <v>6671508</v>
      </c>
      <c r="M56" s="413">
        <f t="shared" si="10"/>
        <v>6947940</v>
      </c>
      <c r="N56" s="413">
        <f t="shared" si="11"/>
        <v>276432</v>
      </c>
      <c r="O56" s="413">
        <f t="shared" si="12"/>
        <v>104</v>
      </c>
      <c r="P56" s="414">
        <f t="shared" si="13"/>
        <v>0.04</v>
      </c>
      <c r="Q56" s="415"/>
      <c r="S56" s="9"/>
      <c r="T56" s="28"/>
      <c r="U56" s="28"/>
      <c r="V56" s="28"/>
    </row>
    <row r="57" spans="1:22">
      <c r="A57" s="6">
        <v>83</v>
      </c>
      <c r="B57" s="6" t="s">
        <v>1202</v>
      </c>
      <c r="C57" s="410">
        <f t="shared" si="0"/>
        <v>2022</v>
      </c>
      <c r="D57" s="410">
        <f t="shared" si="1"/>
        <v>1963</v>
      </c>
      <c r="E57" s="410">
        <f t="shared" si="2"/>
        <v>-59</v>
      </c>
      <c r="F57" s="411">
        <f t="shared" si="3"/>
        <v>26867274.059999999</v>
      </c>
      <c r="G57" s="411">
        <f t="shared" si="4"/>
        <v>26713492.300000004</v>
      </c>
      <c r="H57" s="411">
        <f t="shared" si="5"/>
        <v>-78.340173204276198</v>
      </c>
      <c r="I57" s="412">
        <f t="shared" si="6"/>
        <v>13993957</v>
      </c>
      <c r="J57" s="412">
        <f t="shared" si="7"/>
        <v>14744525</v>
      </c>
      <c r="K57" s="412">
        <f t="shared" si="8"/>
        <v>382.35761589403972</v>
      </c>
      <c r="L57" s="413">
        <f t="shared" si="9"/>
        <v>12873317</v>
      </c>
      <c r="M57" s="413">
        <f t="shared" si="10"/>
        <v>13077469</v>
      </c>
      <c r="N57" s="413">
        <f t="shared" si="11"/>
        <v>204152</v>
      </c>
      <c r="O57" s="413">
        <f t="shared" si="12"/>
        <v>104</v>
      </c>
      <c r="P57" s="414">
        <f t="shared" si="13"/>
        <v>0.02</v>
      </c>
      <c r="Q57" s="415"/>
      <c r="S57" s="9"/>
      <c r="T57" s="28"/>
      <c r="U57" s="28"/>
      <c r="V57" s="28"/>
    </row>
    <row r="58" spans="1:22">
      <c r="A58" s="6">
        <v>85</v>
      </c>
      <c r="B58" s="6" t="s">
        <v>1204</v>
      </c>
      <c r="C58" s="410">
        <f t="shared" si="0"/>
        <v>197</v>
      </c>
      <c r="D58" s="410">
        <f t="shared" si="1"/>
        <v>198</v>
      </c>
      <c r="E58" s="410">
        <f t="shared" si="2"/>
        <v>1</v>
      </c>
      <c r="F58" s="411">
        <f t="shared" si="3"/>
        <v>2896212.01</v>
      </c>
      <c r="G58" s="411">
        <f t="shared" si="4"/>
        <v>2893667.62</v>
      </c>
      <c r="H58" s="411">
        <f t="shared" si="5"/>
        <v>-12.850454545452852</v>
      </c>
      <c r="I58" s="412">
        <f t="shared" si="6"/>
        <v>2389375</v>
      </c>
      <c r="J58" s="412">
        <f t="shared" si="7"/>
        <v>2387276</v>
      </c>
      <c r="K58" s="412">
        <f t="shared" si="8"/>
        <v>-10.6010101010101</v>
      </c>
      <c r="L58" s="413">
        <f t="shared" si="9"/>
        <v>506837</v>
      </c>
      <c r="M58" s="413">
        <f t="shared" si="10"/>
        <v>527429</v>
      </c>
      <c r="N58" s="413">
        <f t="shared" si="11"/>
        <v>20592</v>
      </c>
      <c r="O58" s="413">
        <f t="shared" si="12"/>
        <v>104</v>
      </c>
      <c r="P58" s="414">
        <f t="shared" si="13"/>
        <v>0.04</v>
      </c>
      <c r="Q58" s="415"/>
      <c r="S58" s="9"/>
      <c r="T58" s="28"/>
      <c r="U58" s="28"/>
      <c r="V58" s="28"/>
    </row>
    <row r="59" spans="1:22">
      <c r="A59" s="6">
        <v>86</v>
      </c>
      <c r="B59" s="6" t="s">
        <v>1205</v>
      </c>
      <c r="C59" s="410">
        <f t="shared" si="0"/>
        <v>1591</v>
      </c>
      <c r="D59" s="410">
        <f t="shared" si="1"/>
        <v>1580</v>
      </c>
      <c r="E59" s="410">
        <f t="shared" si="2"/>
        <v>-11</v>
      </c>
      <c r="F59" s="411">
        <f t="shared" si="3"/>
        <v>22559015.459999997</v>
      </c>
      <c r="G59" s="411">
        <f t="shared" si="4"/>
        <v>23097746.730000004</v>
      </c>
      <c r="H59" s="411">
        <f t="shared" si="5"/>
        <v>340.96915822785252</v>
      </c>
      <c r="I59" s="412">
        <f t="shared" si="6"/>
        <v>13894543</v>
      </c>
      <c r="J59" s="412">
        <f t="shared" si="7"/>
        <v>14936633</v>
      </c>
      <c r="K59" s="412">
        <f t="shared" si="8"/>
        <v>659.55063291139243</v>
      </c>
      <c r="L59" s="413">
        <f t="shared" si="9"/>
        <v>8664472</v>
      </c>
      <c r="M59" s="413">
        <f t="shared" si="10"/>
        <v>8828792</v>
      </c>
      <c r="N59" s="413">
        <f t="shared" si="11"/>
        <v>164320</v>
      </c>
      <c r="O59" s="413">
        <f t="shared" si="12"/>
        <v>104</v>
      </c>
      <c r="P59" s="414">
        <f t="shared" si="13"/>
        <v>0.02</v>
      </c>
      <c r="Q59" s="415"/>
      <c r="S59" s="9"/>
      <c r="T59" s="28"/>
      <c r="U59" s="28"/>
      <c r="V59" s="28"/>
    </row>
    <row r="60" spans="1:22">
      <c r="A60" s="6">
        <v>87</v>
      </c>
      <c r="B60" s="6" t="s">
        <v>1206</v>
      </c>
      <c r="C60" s="410">
        <f t="shared" si="0"/>
        <v>2552</v>
      </c>
      <c r="D60" s="410">
        <f t="shared" si="1"/>
        <v>2522</v>
      </c>
      <c r="E60" s="410">
        <f t="shared" si="2"/>
        <v>-30</v>
      </c>
      <c r="F60" s="411">
        <f t="shared" si="3"/>
        <v>33881345.879999995</v>
      </c>
      <c r="G60" s="411">
        <f t="shared" si="4"/>
        <v>34416160.82</v>
      </c>
      <c r="H60" s="411">
        <f t="shared" si="5"/>
        <v>212.05984932593381</v>
      </c>
      <c r="I60" s="412">
        <f t="shared" si="6"/>
        <v>18843898</v>
      </c>
      <c r="J60" s="412">
        <f t="shared" si="7"/>
        <v>19663608</v>
      </c>
      <c r="K60" s="412">
        <f t="shared" si="8"/>
        <v>325.02379064234736</v>
      </c>
      <c r="L60" s="413">
        <f t="shared" si="9"/>
        <v>15037448</v>
      </c>
      <c r="M60" s="413">
        <f t="shared" si="10"/>
        <v>15299736</v>
      </c>
      <c r="N60" s="413">
        <f t="shared" si="11"/>
        <v>262288</v>
      </c>
      <c r="O60" s="413">
        <f t="shared" si="12"/>
        <v>104</v>
      </c>
      <c r="P60" s="414">
        <f t="shared" si="13"/>
        <v>0.02</v>
      </c>
      <c r="Q60" s="415"/>
      <c r="S60" s="9"/>
      <c r="T60" s="28"/>
      <c r="U60" s="28"/>
      <c r="V60" s="28"/>
    </row>
    <row r="61" spans="1:22">
      <c r="A61" s="6">
        <v>88</v>
      </c>
      <c r="B61" s="6" t="s">
        <v>1207</v>
      </c>
      <c r="C61" s="410">
        <f t="shared" si="0"/>
        <v>3418</v>
      </c>
      <c r="D61" s="410">
        <f t="shared" si="1"/>
        <v>3404</v>
      </c>
      <c r="E61" s="410">
        <f t="shared" si="2"/>
        <v>-14</v>
      </c>
      <c r="F61" s="411">
        <f t="shared" si="3"/>
        <v>43192301.489999995</v>
      </c>
      <c r="G61" s="411">
        <f t="shared" si="4"/>
        <v>44308894.519999996</v>
      </c>
      <c r="H61" s="411">
        <f t="shared" si="5"/>
        <v>328.02380434782646</v>
      </c>
      <c r="I61" s="412">
        <f t="shared" si="6"/>
        <v>33376275</v>
      </c>
      <c r="J61" s="412">
        <f t="shared" si="7"/>
        <v>34692019</v>
      </c>
      <c r="K61" s="412">
        <f t="shared" si="8"/>
        <v>386.52878965922446</v>
      </c>
      <c r="L61" s="413">
        <f t="shared" si="9"/>
        <v>10655421</v>
      </c>
      <c r="M61" s="413">
        <f t="shared" si="10"/>
        <v>11009437</v>
      </c>
      <c r="N61" s="413">
        <f t="shared" si="11"/>
        <v>354016</v>
      </c>
      <c r="O61" s="413">
        <f t="shared" si="12"/>
        <v>104</v>
      </c>
      <c r="P61" s="414">
        <f t="shared" si="13"/>
        <v>0.03</v>
      </c>
      <c r="Q61" s="415"/>
      <c r="S61" s="9"/>
      <c r="T61" s="28"/>
      <c r="U61" s="28"/>
      <c r="V61" s="28"/>
    </row>
    <row r="62" spans="1:22">
      <c r="A62" s="6">
        <v>89</v>
      </c>
      <c r="B62" s="6" t="s">
        <v>1208</v>
      </c>
      <c r="C62" s="410">
        <f t="shared" si="0"/>
        <v>438</v>
      </c>
      <c r="D62" s="410">
        <f t="shared" si="1"/>
        <v>434</v>
      </c>
      <c r="E62" s="410">
        <f t="shared" si="2"/>
        <v>-4</v>
      </c>
      <c r="F62" s="411">
        <f t="shared" si="3"/>
        <v>6660865.3400000008</v>
      </c>
      <c r="G62" s="411">
        <f t="shared" si="4"/>
        <v>6714943.7300000014</v>
      </c>
      <c r="H62" s="411">
        <f t="shared" si="5"/>
        <v>124.6045852534576</v>
      </c>
      <c r="I62" s="412">
        <f t="shared" si="6"/>
        <v>5495214</v>
      </c>
      <c r="J62" s="412">
        <f t="shared" si="7"/>
        <v>5539828</v>
      </c>
      <c r="K62" s="412">
        <f t="shared" si="8"/>
        <v>102.79723502304148</v>
      </c>
      <c r="L62" s="413">
        <f t="shared" si="9"/>
        <v>1165651</v>
      </c>
      <c r="M62" s="413">
        <f t="shared" si="10"/>
        <v>1210787</v>
      </c>
      <c r="N62" s="413">
        <f t="shared" si="11"/>
        <v>45136</v>
      </c>
      <c r="O62" s="413">
        <f t="shared" si="12"/>
        <v>104</v>
      </c>
      <c r="P62" s="414">
        <f t="shared" si="13"/>
        <v>0.04</v>
      </c>
      <c r="Q62" s="415"/>
      <c r="S62" s="9"/>
      <c r="T62" s="28"/>
      <c r="U62" s="28"/>
      <c r="V62" s="28"/>
    </row>
    <row r="63" spans="1:22">
      <c r="A63" s="6">
        <v>91</v>
      </c>
      <c r="B63" s="6" t="s">
        <v>1210</v>
      </c>
      <c r="C63" s="410">
        <f t="shared" si="0"/>
        <v>203</v>
      </c>
      <c r="D63" s="410">
        <f t="shared" si="1"/>
        <v>204</v>
      </c>
      <c r="E63" s="410">
        <f t="shared" si="2"/>
        <v>1</v>
      </c>
      <c r="F63" s="411">
        <f t="shared" si="3"/>
        <v>2671388.7799999998</v>
      </c>
      <c r="G63" s="411">
        <f t="shared" si="4"/>
        <v>2756151.77</v>
      </c>
      <c r="H63" s="411">
        <f t="shared" si="5"/>
        <v>415.50485294117755</v>
      </c>
      <c r="I63" s="412">
        <f t="shared" si="6"/>
        <v>2115389</v>
      </c>
      <c r="J63" s="412">
        <f t="shared" si="7"/>
        <v>2220663</v>
      </c>
      <c r="K63" s="412">
        <f t="shared" si="8"/>
        <v>516.04901960784309</v>
      </c>
      <c r="L63" s="413">
        <f t="shared" si="9"/>
        <v>556000</v>
      </c>
      <c r="M63" s="413">
        <f t="shared" si="10"/>
        <v>577216</v>
      </c>
      <c r="N63" s="413">
        <f t="shared" si="11"/>
        <v>21216</v>
      </c>
      <c r="O63" s="413">
        <f t="shared" si="12"/>
        <v>104</v>
      </c>
      <c r="P63" s="414">
        <f t="shared" si="13"/>
        <v>0.04</v>
      </c>
      <c r="Q63" s="415"/>
      <c r="S63" s="9"/>
      <c r="T63" s="28"/>
      <c r="U63" s="28"/>
      <c r="V63" s="28"/>
    </row>
    <row r="64" spans="1:22">
      <c r="A64" s="6">
        <v>93</v>
      </c>
      <c r="B64" s="6" t="s">
        <v>1212</v>
      </c>
      <c r="C64" s="410">
        <f t="shared" si="0"/>
        <v>7937</v>
      </c>
      <c r="D64" s="410">
        <f t="shared" si="1"/>
        <v>8020</v>
      </c>
      <c r="E64" s="410">
        <f t="shared" si="2"/>
        <v>83</v>
      </c>
      <c r="F64" s="411">
        <f t="shared" si="3"/>
        <v>152643280.48403001</v>
      </c>
      <c r="G64" s="411">
        <f t="shared" si="4"/>
        <v>161811104.85304004</v>
      </c>
      <c r="H64" s="411">
        <f t="shared" si="5"/>
        <v>1143.1202455124728</v>
      </c>
      <c r="I64" s="412">
        <f t="shared" si="6"/>
        <v>40961068</v>
      </c>
      <c r="J64" s="412">
        <f t="shared" si="7"/>
        <v>43738229</v>
      </c>
      <c r="K64" s="412">
        <f t="shared" si="8"/>
        <v>346.27942643391521</v>
      </c>
      <c r="L64" s="413">
        <f t="shared" si="9"/>
        <v>111682212</v>
      </c>
      <c r="M64" s="413">
        <f t="shared" si="10"/>
        <v>118072876</v>
      </c>
      <c r="N64" s="413">
        <f t="shared" si="11"/>
        <v>6390664</v>
      </c>
      <c r="O64" s="413">
        <f t="shared" si="12"/>
        <v>796.84089775561097</v>
      </c>
      <c r="P64" s="414">
        <f t="shared" si="13"/>
        <v>0.06</v>
      </c>
      <c r="Q64" s="415"/>
      <c r="S64" s="9"/>
      <c r="T64" s="28"/>
      <c r="U64" s="28"/>
      <c r="V64" s="28"/>
    </row>
    <row r="65" spans="1:22">
      <c r="A65" s="6">
        <v>94</v>
      </c>
      <c r="B65" s="6" t="s">
        <v>1213</v>
      </c>
      <c r="C65" s="410">
        <f t="shared" si="0"/>
        <v>1659</v>
      </c>
      <c r="D65" s="410">
        <f t="shared" si="1"/>
        <v>1595</v>
      </c>
      <c r="E65" s="410">
        <f t="shared" si="2"/>
        <v>-64</v>
      </c>
      <c r="F65" s="411">
        <f t="shared" si="3"/>
        <v>23768492.649999999</v>
      </c>
      <c r="G65" s="411">
        <f t="shared" si="4"/>
        <v>23598054.430000003</v>
      </c>
      <c r="H65" s="411">
        <f t="shared" si="5"/>
        <v>-106.85781818181511</v>
      </c>
      <c r="I65" s="412">
        <f t="shared" si="6"/>
        <v>14136790</v>
      </c>
      <c r="J65" s="412">
        <f t="shared" si="7"/>
        <v>14889430</v>
      </c>
      <c r="K65" s="412">
        <f t="shared" si="8"/>
        <v>471.87460815047024</v>
      </c>
      <c r="L65" s="413">
        <f t="shared" si="9"/>
        <v>9631703</v>
      </c>
      <c r="M65" s="413">
        <f t="shared" si="10"/>
        <v>9797583</v>
      </c>
      <c r="N65" s="413">
        <f t="shared" si="11"/>
        <v>165880</v>
      </c>
      <c r="O65" s="413">
        <f t="shared" si="12"/>
        <v>104</v>
      </c>
      <c r="P65" s="414">
        <f t="shared" si="13"/>
        <v>0.02</v>
      </c>
      <c r="Q65" s="415"/>
      <c r="S65" s="9"/>
      <c r="T65" s="28"/>
      <c r="U65" s="28"/>
      <c r="V65" s="28"/>
    </row>
    <row r="66" spans="1:22">
      <c r="A66" s="6">
        <v>95</v>
      </c>
      <c r="B66" s="6" t="s">
        <v>1214</v>
      </c>
      <c r="C66" s="410">
        <f t="shared" si="0"/>
        <v>12238</v>
      </c>
      <c r="D66" s="410">
        <f t="shared" si="1"/>
        <v>12433</v>
      </c>
      <c r="E66" s="410">
        <f t="shared" si="2"/>
        <v>195</v>
      </c>
      <c r="F66" s="411">
        <f t="shared" si="3"/>
        <v>226544925.61000004</v>
      </c>
      <c r="G66" s="411">
        <f t="shared" si="4"/>
        <v>243053149.76999998</v>
      </c>
      <c r="H66" s="411">
        <f t="shared" si="5"/>
        <v>1327.7748057588624</v>
      </c>
      <c r="I66" s="412">
        <f t="shared" si="6"/>
        <v>38520449</v>
      </c>
      <c r="J66" s="412">
        <f t="shared" si="7"/>
        <v>40721548</v>
      </c>
      <c r="K66" s="412">
        <f t="shared" si="8"/>
        <v>177.03683744872518</v>
      </c>
      <c r="L66" s="413">
        <f t="shared" si="9"/>
        <v>188024477</v>
      </c>
      <c r="M66" s="413">
        <f t="shared" si="10"/>
        <v>202331602</v>
      </c>
      <c r="N66" s="413">
        <f t="shared" si="11"/>
        <v>14307125</v>
      </c>
      <c r="O66" s="413">
        <f t="shared" si="12"/>
        <v>1150.7379554411646</v>
      </c>
      <c r="P66" s="414">
        <f t="shared" si="13"/>
        <v>0.08</v>
      </c>
      <c r="Q66" s="415"/>
      <c r="S66" s="9"/>
      <c r="T66" s="28"/>
      <c r="U66" s="28"/>
      <c r="V66" s="28"/>
    </row>
    <row r="67" spans="1:22">
      <c r="A67" s="6">
        <v>96</v>
      </c>
      <c r="B67" s="6" t="s">
        <v>1215</v>
      </c>
      <c r="C67" s="410">
        <f t="shared" si="0"/>
        <v>2959</v>
      </c>
      <c r="D67" s="410">
        <f t="shared" si="1"/>
        <v>2870</v>
      </c>
      <c r="E67" s="410">
        <f t="shared" si="2"/>
        <v>-89</v>
      </c>
      <c r="F67" s="411">
        <f t="shared" si="3"/>
        <v>42847018.859999999</v>
      </c>
      <c r="G67" s="411">
        <f t="shared" si="4"/>
        <v>43218462.880000003</v>
      </c>
      <c r="H67" s="411">
        <f t="shared" si="5"/>
        <v>129.4230034843217</v>
      </c>
      <c r="I67" s="412">
        <f t="shared" si="6"/>
        <v>33524110</v>
      </c>
      <c r="J67" s="412">
        <f t="shared" si="7"/>
        <v>35655232</v>
      </c>
      <c r="K67" s="412">
        <f t="shared" si="8"/>
        <v>742.55121951219508</v>
      </c>
      <c r="L67" s="413">
        <f t="shared" si="9"/>
        <v>9322909</v>
      </c>
      <c r="M67" s="413">
        <f t="shared" si="10"/>
        <v>9621389</v>
      </c>
      <c r="N67" s="413">
        <f t="shared" si="11"/>
        <v>298480</v>
      </c>
      <c r="O67" s="413">
        <f t="shared" si="12"/>
        <v>104</v>
      </c>
      <c r="P67" s="414">
        <f t="shared" si="13"/>
        <v>0.03</v>
      </c>
      <c r="Q67" s="415"/>
      <c r="S67" s="9"/>
      <c r="T67" s="28"/>
      <c r="U67" s="28"/>
      <c r="V67" s="28"/>
    </row>
    <row r="68" spans="1:22">
      <c r="A68" s="6">
        <v>97</v>
      </c>
      <c r="B68" s="6" t="s">
        <v>1216</v>
      </c>
      <c r="C68" s="410">
        <f t="shared" si="0"/>
        <v>5661</v>
      </c>
      <c r="D68" s="410">
        <f t="shared" si="1"/>
        <v>5623</v>
      </c>
      <c r="E68" s="410">
        <f t="shared" si="2"/>
        <v>-38</v>
      </c>
      <c r="F68" s="411">
        <f t="shared" si="3"/>
        <v>96678430.429999992</v>
      </c>
      <c r="G68" s="411">
        <f t="shared" si="4"/>
        <v>101071841.39</v>
      </c>
      <c r="H68" s="411">
        <f t="shared" si="5"/>
        <v>781.3286430730941</v>
      </c>
      <c r="I68" s="412">
        <f t="shared" si="6"/>
        <v>21950317</v>
      </c>
      <c r="J68" s="412">
        <f t="shared" si="7"/>
        <v>23118748</v>
      </c>
      <c r="K68" s="412">
        <f t="shared" si="8"/>
        <v>207.79494931531212</v>
      </c>
      <c r="L68" s="413">
        <f t="shared" si="9"/>
        <v>74728113</v>
      </c>
      <c r="M68" s="413">
        <f t="shared" si="10"/>
        <v>77953093</v>
      </c>
      <c r="N68" s="413">
        <f t="shared" si="11"/>
        <v>3224980</v>
      </c>
      <c r="O68" s="413">
        <f t="shared" si="12"/>
        <v>573.53370087142093</v>
      </c>
      <c r="P68" s="414">
        <f t="shared" si="13"/>
        <v>0.04</v>
      </c>
      <c r="Q68" s="415"/>
      <c r="S68" s="9"/>
      <c r="T68" s="28"/>
      <c r="U68" s="28"/>
      <c r="V68" s="28"/>
    </row>
    <row r="69" spans="1:22">
      <c r="A69" s="6">
        <v>98</v>
      </c>
      <c r="B69" s="6" t="s">
        <v>1217</v>
      </c>
      <c r="C69" s="410">
        <f t="shared" si="0"/>
        <v>57</v>
      </c>
      <c r="D69" s="410">
        <f t="shared" si="1"/>
        <v>55</v>
      </c>
      <c r="E69" s="410">
        <f t="shared" si="2"/>
        <v>-2</v>
      </c>
      <c r="F69" s="411">
        <f t="shared" si="3"/>
        <v>917915.93000000017</v>
      </c>
      <c r="G69" s="411">
        <f t="shared" si="4"/>
        <v>865066.34</v>
      </c>
      <c r="H69" s="411">
        <f t="shared" si="5"/>
        <v>-960.90163636364002</v>
      </c>
      <c r="I69" s="412">
        <f t="shared" si="6"/>
        <v>425391</v>
      </c>
      <c r="J69" s="412">
        <f t="shared" si="7"/>
        <v>439942</v>
      </c>
      <c r="K69" s="412">
        <f t="shared" si="8"/>
        <v>264.56363636363636</v>
      </c>
      <c r="L69" s="413">
        <f t="shared" si="9"/>
        <v>559717</v>
      </c>
      <c r="M69" s="413">
        <f t="shared" si="10"/>
        <v>565437</v>
      </c>
      <c r="N69" s="413">
        <f t="shared" si="11"/>
        <v>5720</v>
      </c>
      <c r="O69" s="413">
        <f t="shared" si="12"/>
        <v>104</v>
      </c>
      <c r="P69" s="414">
        <f t="shared" si="13"/>
        <v>0.01</v>
      </c>
      <c r="Q69" s="415"/>
      <c r="S69" s="9"/>
      <c r="T69" s="28"/>
      <c r="U69" s="28"/>
      <c r="V69" s="28"/>
    </row>
    <row r="70" spans="1:22">
      <c r="A70" s="6">
        <v>99</v>
      </c>
      <c r="B70" s="6" t="s">
        <v>1218</v>
      </c>
      <c r="C70" s="410">
        <f t="shared" si="0"/>
        <v>2537</v>
      </c>
      <c r="D70" s="410">
        <f t="shared" si="1"/>
        <v>2573</v>
      </c>
      <c r="E70" s="410">
        <f t="shared" si="2"/>
        <v>36</v>
      </c>
      <c r="F70" s="411">
        <f t="shared" si="3"/>
        <v>34005786.001159996</v>
      </c>
      <c r="G70" s="411">
        <f t="shared" si="4"/>
        <v>35604499.836640008</v>
      </c>
      <c r="H70" s="411">
        <f t="shared" si="5"/>
        <v>621.34233792460634</v>
      </c>
      <c r="I70" s="412">
        <f t="shared" si="6"/>
        <v>27296530</v>
      </c>
      <c r="J70" s="412">
        <f t="shared" si="7"/>
        <v>28583943</v>
      </c>
      <c r="K70" s="412">
        <f t="shared" si="8"/>
        <v>500.35483870967744</v>
      </c>
      <c r="L70" s="413">
        <f t="shared" si="9"/>
        <v>9428040</v>
      </c>
      <c r="M70" s="413">
        <f t="shared" si="10"/>
        <v>9695632</v>
      </c>
      <c r="N70" s="413">
        <f t="shared" si="11"/>
        <v>267592</v>
      </c>
      <c r="O70" s="413">
        <f t="shared" si="12"/>
        <v>104</v>
      </c>
      <c r="P70" s="414">
        <f t="shared" si="13"/>
        <v>0.03</v>
      </c>
      <c r="Q70" s="415"/>
      <c r="S70" s="9"/>
      <c r="T70" s="28"/>
      <c r="U70" s="28"/>
      <c r="V70" s="28"/>
    </row>
    <row r="71" spans="1:22">
      <c r="A71" s="6">
        <v>100</v>
      </c>
      <c r="B71" s="6" t="s">
        <v>1219</v>
      </c>
      <c r="C71" s="410">
        <f t="shared" si="0"/>
        <v>9759</v>
      </c>
      <c r="D71" s="410">
        <f t="shared" si="1"/>
        <v>9521</v>
      </c>
      <c r="E71" s="410">
        <f t="shared" si="2"/>
        <v>-238</v>
      </c>
      <c r="F71" s="411">
        <f t="shared" si="3"/>
        <v>159351946.7809</v>
      </c>
      <c r="G71" s="411">
        <f t="shared" si="4"/>
        <v>164084535.65007001</v>
      </c>
      <c r="H71" s="411">
        <f t="shared" si="5"/>
        <v>497.06846646045688</v>
      </c>
      <c r="I71" s="412">
        <f t="shared" si="6"/>
        <v>74355413</v>
      </c>
      <c r="J71" s="412">
        <f t="shared" si="7"/>
        <v>78033062</v>
      </c>
      <c r="K71" s="412">
        <f t="shared" si="8"/>
        <v>386.26709379266885</v>
      </c>
      <c r="L71" s="413">
        <f t="shared" si="9"/>
        <v>84996534</v>
      </c>
      <c r="M71" s="413">
        <f t="shared" si="10"/>
        <v>85986718</v>
      </c>
      <c r="N71" s="413">
        <f t="shared" si="11"/>
        <v>990184</v>
      </c>
      <c r="O71" s="413">
        <f t="shared" si="12"/>
        <v>104</v>
      </c>
      <c r="P71" s="414">
        <f t="shared" si="13"/>
        <v>0.01</v>
      </c>
      <c r="Q71" s="415"/>
      <c r="S71" s="9"/>
      <c r="T71" s="28"/>
      <c r="U71" s="28"/>
      <c r="V71" s="28"/>
    </row>
    <row r="72" spans="1:22">
      <c r="A72" s="6">
        <v>101</v>
      </c>
      <c r="B72" s="6" t="s">
        <v>1220</v>
      </c>
      <c r="C72" s="410">
        <f t="shared" ref="C72:C135" si="14">VLOOKUP(A72,aidcalc,14,FALSE)</f>
        <v>5104</v>
      </c>
      <c r="D72" s="410">
        <f t="shared" ref="D72:D135" si="15">VLOOKUP(A72,aidcalc,15,FALSE)</f>
        <v>5058</v>
      </c>
      <c r="E72" s="410">
        <f t="shared" ref="E72:E135" si="16">D72-C72</f>
        <v>-46</v>
      </c>
      <c r="F72" s="411">
        <f t="shared" ref="F72:F135" si="17">VLOOKUP(A72,aidcalc,4,FALSE)</f>
        <v>65275976.234380007</v>
      </c>
      <c r="G72" s="411">
        <f t="shared" ref="G72:G135" si="18">VLOOKUP(A72,aidcalc,9,FALSE)</f>
        <v>66584573.909320004</v>
      </c>
      <c r="H72" s="411">
        <f t="shared" ref="H72:H135" si="19">(G72-F72)/$D72</f>
        <v>258.71840153024863</v>
      </c>
      <c r="I72" s="412">
        <f t="shared" ref="I72:I135" si="20">VLOOKUP(A72,aidcalc,5,FALSE)</f>
        <v>47235495</v>
      </c>
      <c r="J72" s="412">
        <f t="shared" ref="J72:J135" si="21">VLOOKUP(A72,aidcalc,10,FALSE)</f>
        <v>49904466</v>
      </c>
      <c r="K72" s="412">
        <f t="shared" ref="K72:K135" si="22">(J72-I72)/$D72</f>
        <v>527.67319098457892</v>
      </c>
      <c r="L72" s="413">
        <f t="shared" ref="L72:L135" si="23">VLOOKUP(A72,aidcalc,6,FALSE)</f>
        <v>29191961</v>
      </c>
      <c r="M72" s="413">
        <f t="shared" ref="M72:M135" si="24">VLOOKUP(A72,aidcalc,25,FALSE)</f>
        <v>29717993</v>
      </c>
      <c r="N72" s="413">
        <f t="shared" ref="N72:N135" si="25">M72-L72</f>
        <v>526032</v>
      </c>
      <c r="O72" s="413">
        <f t="shared" ref="O72:O135" si="26">(M72-L72)/$D72</f>
        <v>104</v>
      </c>
      <c r="P72" s="414">
        <f t="shared" ref="P72:P135" si="27">ROUND(IF(F72&gt;0,(M72-L72)/L72,100),2)</f>
        <v>0.02</v>
      </c>
      <c r="Q72" s="415"/>
      <c r="S72" s="9"/>
      <c r="T72" s="28"/>
      <c r="U72" s="28"/>
      <c r="V72" s="28"/>
    </row>
    <row r="73" spans="1:22">
      <c r="A73" s="6">
        <v>103</v>
      </c>
      <c r="B73" s="6" t="s">
        <v>1222</v>
      </c>
      <c r="C73" s="410">
        <f t="shared" si="14"/>
        <v>2397</v>
      </c>
      <c r="D73" s="410">
        <f t="shared" si="15"/>
        <v>2453</v>
      </c>
      <c r="E73" s="410">
        <f t="shared" si="16"/>
        <v>56</v>
      </c>
      <c r="F73" s="411">
        <f t="shared" si="17"/>
        <v>38690363.829999998</v>
      </c>
      <c r="G73" s="411">
        <f t="shared" si="18"/>
        <v>41586508.200000003</v>
      </c>
      <c r="H73" s="411">
        <f t="shared" si="19"/>
        <v>1180.6540440277231</v>
      </c>
      <c r="I73" s="412">
        <f t="shared" si="20"/>
        <v>11262118</v>
      </c>
      <c r="J73" s="412">
        <f t="shared" si="21"/>
        <v>11909298</v>
      </c>
      <c r="K73" s="412">
        <f t="shared" si="22"/>
        <v>263.83204239706481</v>
      </c>
      <c r="L73" s="413">
        <f t="shared" si="23"/>
        <v>27428246</v>
      </c>
      <c r="M73" s="413">
        <f t="shared" si="24"/>
        <v>29677210</v>
      </c>
      <c r="N73" s="413">
        <f t="shared" si="25"/>
        <v>2248964</v>
      </c>
      <c r="O73" s="413">
        <f t="shared" si="26"/>
        <v>916.82185079494502</v>
      </c>
      <c r="P73" s="414">
        <f t="shared" si="27"/>
        <v>0.08</v>
      </c>
      <c r="Q73" s="415"/>
      <c r="S73" s="9"/>
      <c r="T73" s="28"/>
      <c r="U73" s="28"/>
      <c r="V73" s="28"/>
    </row>
    <row r="74" spans="1:22">
      <c r="A74" s="6">
        <v>105</v>
      </c>
      <c r="B74" s="6" t="s">
        <v>1223</v>
      </c>
      <c r="C74" s="410">
        <f t="shared" si="14"/>
        <v>1229</v>
      </c>
      <c r="D74" s="410">
        <f t="shared" si="15"/>
        <v>1196</v>
      </c>
      <c r="E74" s="410">
        <f t="shared" si="16"/>
        <v>-33</v>
      </c>
      <c r="F74" s="411">
        <f t="shared" si="17"/>
        <v>15011687.49</v>
      </c>
      <c r="G74" s="411">
        <f t="shared" si="18"/>
        <v>15097839.610000001</v>
      </c>
      <c r="H74" s="411">
        <f t="shared" si="19"/>
        <v>72.033545150502547</v>
      </c>
      <c r="I74" s="412">
        <f t="shared" si="20"/>
        <v>11377637</v>
      </c>
      <c r="J74" s="412">
        <f t="shared" si="21"/>
        <v>11942079</v>
      </c>
      <c r="K74" s="412">
        <f t="shared" si="22"/>
        <v>471.94147157190633</v>
      </c>
      <c r="L74" s="413">
        <f t="shared" si="23"/>
        <v>5713498</v>
      </c>
      <c r="M74" s="413">
        <f t="shared" si="24"/>
        <v>5837882</v>
      </c>
      <c r="N74" s="413">
        <f t="shared" si="25"/>
        <v>124384</v>
      </c>
      <c r="O74" s="413">
        <f t="shared" si="26"/>
        <v>104</v>
      </c>
      <c r="P74" s="414">
        <f t="shared" si="27"/>
        <v>0.02</v>
      </c>
      <c r="Q74" s="415"/>
      <c r="S74" s="9"/>
      <c r="T74" s="28"/>
      <c r="U74" s="28"/>
      <c r="V74" s="28"/>
    </row>
    <row r="75" spans="1:22">
      <c r="A75" s="6">
        <v>107</v>
      </c>
      <c r="B75" s="6" t="s">
        <v>1225</v>
      </c>
      <c r="C75" s="410">
        <f t="shared" si="14"/>
        <v>3035</v>
      </c>
      <c r="D75" s="410">
        <f t="shared" si="15"/>
        <v>3064</v>
      </c>
      <c r="E75" s="410">
        <f t="shared" si="16"/>
        <v>29</v>
      </c>
      <c r="F75" s="411">
        <f t="shared" si="17"/>
        <v>47045109.888499998</v>
      </c>
      <c r="G75" s="411">
        <f t="shared" si="18"/>
        <v>49375946.820559993</v>
      </c>
      <c r="H75" s="411">
        <f t="shared" si="19"/>
        <v>760.71701437989418</v>
      </c>
      <c r="I75" s="412">
        <f t="shared" si="20"/>
        <v>35714197</v>
      </c>
      <c r="J75" s="412">
        <f t="shared" si="21"/>
        <v>37665556</v>
      </c>
      <c r="K75" s="412">
        <f t="shared" si="22"/>
        <v>636.86651436031332</v>
      </c>
      <c r="L75" s="413">
        <f t="shared" si="23"/>
        <v>11330913</v>
      </c>
      <c r="M75" s="413">
        <f t="shared" si="24"/>
        <v>11710391</v>
      </c>
      <c r="N75" s="413">
        <f t="shared" si="25"/>
        <v>379478</v>
      </c>
      <c r="O75" s="413">
        <f t="shared" si="26"/>
        <v>123.85052219321149</v>
      </c>
      <c r="P75" s="414">
        <f t="shared" si="27"/>
        <v>0.03</v>
      </c>
      <c r="Q75" s="415"/>
      <c r="S75" s="9"/>
      <c r="T75" s="28"/>
      <c r="U75" s="28"/>
      <c r="V75" s="28"/>
    </row>
    <row r="76" spans="1:22">
      <c r="A76" s="6">
        <v>110</v>
      </c>
      <c r="B76" s="6" t="s">
        <v>1228</v>
      </c>
      <c r="C76" s="410">
        <f t="shared" si="14"/>
        <v>2950</v>
      </c>
      <c r="D76" s="410">
        <f t="shared" si="15"/>
        <v>2902</v>
      </c>
      <c r="E76" s="410">
        <f t="shared" si="16"/>
        <v>-48</v>
      </c>
      <c r="F76" s="411">
        <f t="shared" si="17"/>
        <v>36858149.159999996</v>
      </c>
      <c r="G76" s="411">
        <f t="shared" si="18"/>
        <v>37107723.809999995</v>
      </c>
      <c r="H76" s="411">
        <f t="shared" si="19"/>
        <v>86.000913163335113</v>
      </c>
      <c r="I76" s="412">
        <f t="shared" si="20"/>
        <v>24436656</v>
      </c>
      <c r="J76" s="412">
        <f t="shared" si="21"/>
        <v>25816666</v>
      </c>
      <c r="K76" s="412">
        <f t="shared" si="22"/>
        <v>475.53756030323916</v>
      </c>
      <c r="L76" s="413">
        <f t="shared" si="23"/>
        <v>12794520</v>
      </c>
      <c r="M76" s="413">
        <f t="shared" si="24"/>
        <v>13096328</v>
      </c>
      <c r="N76" s="413">
        <f t="shared" si="25"/>
        <v>301808</v>
      </c>
      <c r="O76" s="413">
        <f t="shared" si="26"/>
        <v>104</v>
      </c>
      <c r="P76" s="414">
        <f t="shared" si="27"/>
        <v>0.02</v>
      </c>
      <c r="Q76" s="415"/>
      <c r="S76" s="9"/>
      <c r="T76" s="28"/>
      <c r="U76" s="28"/>
      <c r="V76" s="28"/>
    </row>
    <row r="77" spans="1:22">
      <c r="A77" s="6">
        <v>111</v>
      </c>
      <c r="B77" s="6" t="s">
        <v>1229</v>
      </c>
      <c r="C77" s="410">
        <f t="shared" si="14"/>
        <v>672</v>
      </c>
      <c r="D77" s="410">
        <f t="shared" si="15"/>
        <v>655</v>
      </c>
      <c r="E77" s="410">
        <f t="shared" si="16"/>
        <v>-17</v>
      </c>
      <c r="F77" s="411">
        <f t="shared" si="17"/>
        <v>9588488.8899999987</v>
      </c>
      <c r="G77" s="411">
        <f t="shared" si="18"/>
        <v>9658208.7799999993</v>
      </c>
      <c r="H77" s="411">
        <f t="shared" si="19"/>
        <v>106.44258015267266</v>
      </c>
      <c r="I77" s="412">
        <f t="shared" si="20"/>
        <v>5667319</v>
      </c>
      <c r="J77" s="412">
        <f t="shared" si="21"/>
        <v>5916543</v>
      </c>
      <c r="K77" s="412">
        <f t="shared" si="22"/>
        <v>380.49465648854959</v>
      </c>
      <c r="L77" s="413">
        <f t="shared" si="23"/>
        <v>4765430</v>
      </c>
      <c r="M77" s="413">
        <f t="shared" si="24"/>
        <v>4833550</v>
      </c>
      <c r="N77" s="413">
        <f t="shared" si="25"/>
        <v>68120</v>
      </c>
      <c r="O77" s="413">
        <f t="shared" si="26"/>
        <v>104</v>
      </c>
      <c r="P77" s="414">
        <f t="shared" si="27"/>
        <v>0.01</v>
      </c>
      <c r="Q77" s="415"/>
      <c r="S77" s="9"/>
      <c r="T77" s="28"/>
      <c r="U77" s="28"/>
      <c r="V77" s="28"/>
    </row>
    <row r="78" spans="1:22">
      <c r="A78" s="6">
        <v>114</v>
      </c>
      <c r="B78" s="6" t="s">
        <v>1232</v>
      </c>
      <c r="C78" s="410">
        <f t="shared" si="14"/>
        <v>1791</v>
      </c>
      <c r="D78" s="410">
        <f t="shared" si="15"/>
        <v>1759</v>
      </c>
      <c r="E78" s="410">
        <f t="shared" si="16"/>
        <v>-32</v>
      </c>
      <c r="F78" s="411">
        <f t="shared" si="17"/>
        <v>27294290.690000001</v>
      </c>
      <c r="G78" s="411">
        <f t="shared" si="18"/>
        <v>27960950.600000009</v>
      </c>
      <c r="H78" s="411">
        <f t="shared" si="19"/>
        <v>378.99938032973711</v>
      </c>
      <c r="I78" s="412">
        <f t="shared" si="20"/>
        <v>11091044</v>
      </c>
      <c r="J78" s="412">
        <f t="shared" si="21"/>
        <v>11465787</v>
      </c>
      <c r="K78" s="412">
        <f t="shared" si="22"/>
        <v>213.04320636725413</v>
      </c>
      <c r="L78" s="413">
        <f t="shared" si="23"/>
        <v>16203247</v>
      </c>
      <c r="M78" s="413">
        <f t="shared" si="24"/>
        <v>16495164</v>
      </c>
      <c r="N78" s="413">
        <f t="shared" si="25"/>
        <v>291917</v>
      </c>
      <c r="O78" s="413">
        <f t="shared" si="26"/>
        <v>165.9562251279136</v>
      </c>
      <c r="P78" s="414">
        <f t="shared" si="27"/>
        <v>0.02</v>
      </c>
      <c r="Q78" s="415"/>
      <c r="S78" s="9"/>
      <c r="T78" s="28"/>
      <c r="U78" s="28"/>
      <c r="V78" s="28"/>
    </row>
    <row r="79" spans="1:22">
      <c r="A79" s="6">
        <v>117</v>
      </c>
      <c r="B79" s="6" t="s">
        <v>1235</v>
      </c>
      <c r="C79" s="410">
        <f t="shared" si="14"/>
        <v>456</v>
      </c>
      <c r="D79" s="410">
        <f t="shared" si="15"/>
        <v>449</v>
      </c>
      <c r="E79" s="410">
        <f t="shared" si="16"/>
        <v>-7</v>
      </c>
      <c r="F79" s="411">
        <f t="shared" si="17"/>
        <v>6277106.5899999999</v>
      </c>
      <c r="G79" s="411">
        <f t="shared" si="18"/>
        <v>6210751.3199999984</v>
      </c>
      <c r="H79" s="411">
        <f t="shared" si="19"/>
        <v>-147.78456570156217</v>
      </c>
      <c r="I79" s="412">
        <f t="shared" si="20"/>
        <v>5178613</v>
      </c>
      <c r="J79" s="412">
        <f t="shared" si="21"/>
        <v>5123870</v>
      </c>
      <c r="K79" s="412">
        <f t="shared" si="22"/>
        <v>-121.92204899777283</v>
      </c>
      <c r="L79" s="413">
        <f t="shared" si="23"/>
        <v>1350100</v>
      </c>
      <c r="M79" s="413">
        <f t="shared" si="24"/>
        <v>1396796</v>
      </c>
      <c r="N79" s="413">
        <f t="shared" si="25"/>
        <v>46696</v>
      </c>
      <c r="O79" s="413">
        <f t="shared" si="26"/>
        <v>104</v>
      </c>
      <c r="P79" s="414">
        <f t="shared" si="27"/>
        <v>0.03</v>
      </c>
      <c r="Q79" s="415"/>
      <c r="S79" s="9"/>
      <c r="T79" s="28"/>
      <c r="U79" s="28"/>
      <c r="V79" s="28"/>
    </row>
    <row r="80" spans="1:22">
      <c r="A80" s="6">
        <v>118</v>
      </c>
      <c r="B80" s="6" t="s">
        <v>1236</v>
      </c>
      <c r="C80" s="410">
        <f t="shared" si="14"/>
        <v>613</v>
      </c>
      <c r="D80" s="410">
        <f t="shared" si="15"/>
        <v>564</v>
      </c>
      <c r="E80" s="410">
        <f t="shared" si="16"/>
        <v>-49</v>
      </c>
      <c r="F80" s="411">
        <f t="shared" si="17"/>
        <v>7849455.0234599989</v>
      </c>
      <c r="G80" s="411">
        <f t="shared" si="18"/>
        <v>7511760.5564400004</v>
      </c>
      <c r="H80" s="411">
        <f t="shared" si="19"/>
        <v>-598.74905499999727</v>
      </c>
      <c r="I80" s="412">
        <f t="shared" si="20"/>
        <v>4340378</v>
      </c>
      <c r="J80" s="412">
        <f t="shared" si="21"/>
        <v>4050476</v>
      </c>
      <c r="K80" s="412">
        <f t="shared" si="22"/>
        <v>-514.01063829787233</v>
      </c>
      <c r="L80" s="413">
        <f t="shared" si="23"/>
        <v>3509077</v>
      </c>
      <c r="M80" s="413">
        <f t="shared" si="24"/>
        <v>3567733</v>
      </c>
      <c r="N80" s="413">
        <f t="shared" si="25"/>
        <v>58656</v>
      </c>
      <c r="O80" s="413">
        <f t="shared" si="26"/>
        <v>104</v>
      </c>
      <c r="P80" s="414">
        <f t="shared" si="27"/>
        <v>0.02</v>
      </c>
      <c r="Q80" s="415"/>
      <c r="S80" s="9"/>
      <c r="T80" s="28"/>
      <c r="U80" s="28"/>
      <c r="V80" s="28"/>
    </row>
    <row r="81" spans="1:22">
      <c r="A81" s="6">
        <v>121</v>
      </c>
      <c r="B81" s="6" t="s">
        <v>1239</v>
      </c>
      <c r="C81" s="410">
        <f t="shared" si="14"/>
        <v>86</v>
      </c>
      <c r="D81" s="410">
        <f t="shared" si="15"/>
        <v>85</v>
      </c>
      <c r="E81" s="410">
        <f t="shared" si="16"/>
        <v>-1</v>
      </c>
      <c r="F81" s="411">
        <f t="shared" si="17"/>
        <v>1216494.7500000002</v>
      </c>
      <c r="G81" s="411">
        <f t="shared" si="18"/>
        <v>1270682.74</v>
      </c>
      <c r="H81" s="411">
        <f t="shared" si="19"/>
        <v>637.50576470587953</v>
      </c>
      <c r="I81" s="412">
        <f t="shared" si="20"/>
        <v>780690</v>
      </c>
      <c r="J81" s="412">
        <f t="shared" si="21"/>
        <v>820427</v>
      </c>
      <c r="K81" s="412">
        <f t="shared" si="22"/>
        <v>467.49411764705883</v>
      </c>
      <c r="L81" s="413">
        <f t="shared" si="23"/>
        <v>435805</v>
      </c>
      <c r="M81" s="413">
        <f t="shared" si="24"/>
        <v>450256</v>
      </c>
      <c r="N81" s="413">
        <f t="shared" si="25"/>
        <v>14451</v>
      </c>
      <c r="O81" s="413">
        <f t="shared" si="26"/>
        <v>170.01176470588234</v>
      </c>
      <c r="P81" s="414">
        <f t="shared" si="27"/>
        <v>0.03</v>
      </c>
      <c r="Q81" s="415"/>
      <c r="S81" s="9"/>
      <c r="T81" s="28"/>
      <c r="U81" s="28"/>
      <c r="V81" s="28"/>
    </row>
    <row r="82" spans="1:22">
      <c r="A82" s="6">
        <v>122</v>
      </c>
      <c r="B82" s="6" t="s">
        <v>1240</v>
      </c>
      <c r="C82" s="410">
        <f t="shared" si="14"/>
        <v>2481</v>
      </c>
      <c r="D82" s="410">
        <f t="shared" si="15"/>
        <v>2497</v>
      </c>
      <c r="E82" s="410">
        <f t="shared" si="16"/>
        <v>16</v>
      </c>
      <c r="F82" s="411">
        <f t="shared" si="17"/>
        <v>30800181.273539998</v>
      </c>
      <c r="G82" s="411">
        <f t="shared" si="18"/>
        <v>31861566.581689995</v>
      </c>
      <c r="H82" s="411">
        <f t="shared" si="19"/>
        <v>425.06420030035929</v>
      </c>
      <c r="I82" s="412">
        <f t="shared" si="20"/>
        <v>23372172</v>
      </c>
      <c r="J82" s="412">
        <f t="shared" si="21"/>
        <v>24358612</v>
      </c>
      <c r="K82" s="412">
        <f t="shared" si="22"/>
        <v>395.05006007208652</v>
      </c>
      <c r="L82" s="413">
        <f t="shared" si="23"/>
        <v>7458443</v>
      </c>
      <c r="M82" s="413">
        <f t="shared" si="24"/>
        <v>7718131</v>
      </c>
      <c r="N82" s="413">
        <f t="shared" si="25"/>
        <v>259688</v>
      </c>
      <c r="O82" s="413">
        <f t="shared" si="26"/>
        <v>104</v>
      </c>
      <c r="P82" s="414">
        <f t="shared" si="27"/>
        <v>0.03</v>
      </c>
      <c r="Q82" s="415"/>
      <c r="S82" s="9"/>
      <c r="T82" s="28"/>
      <c r="U82" s="28"/>
      <c r="V82" s="28"/>
    </row>
    <row r="83" spans="1:22">
      <c r="A83" s="6">
        <v>125</v>
      </c>
      <c r="B83" s="6" t="s">
        <v>1243</v>
      </c>
      <c r="C83" s="410">
        <f t="shared" si="14"/>
        <v>875</v>
      </c>
      <c r="D83" s="410">
        <f t="shared" si="15"/>
        <v>881</v>
      </c>
      <c r="E83" s="410">
        <f t="shared" si="16"/>
        <v>6</v>
      </c>
      <c r="F83" s="411">
        <f t="shared" si="17"/>
        <v>10576374.949999999</v>
      </c>
      <c r="G83" s="411">
        <f t="shared" si="18"/>
        <v>10978851.09</v>
      </c>
      <c r="H83" s="411">
        <f t="shared" si="19"/>
        <v>456.84011350737865</v>
      </c>
      <c r="I83" s="412">
        <f t="shared" si="20"/>
        <v>8379508</v>
      </c>
      <c r="J83" s="412">
        <f t="shared" si="21"/>
        <v>8697832</v>
      </c>
      <c r="K83" s="412">
        <f t="shared" si="22"/>
        <v>361.32122587968217</v>
      </c>
      <c r="L83" s="413">
        <f t="shared" si="23"/>
        <v>2196867</v>
      </c>
      <c r="M83" s="413">
        <f t="shared" si="24"/>
        <v>2288491</v>
      </c>
      <c r="N83" s="413">
        <f t="shared" si="25"/>
        <v>91624</v>
      </c>
      <c r="O83" s="413">
        <f t="shared" si="26"/>
        <v>104</v>
      </c>
      <c r="P83" s="414">
        <f t="shared" si="27"/>
        <v>0.04</v>
      </c>
      <c r="Q83" s="415"/>
      <c r="S83" s="9"/>
      <c r="T83" s="28"/>
      <c r="U83" s="28"/>
      <c r="V83" s="28"/>
    </row>
    <row r="84" spans="1:22">
      <c r="A84" s="6">
        <v>127</v>
      </c>
      <c r="B84" s="6" t="s">
        <v>1245</v>
      </c>
      <c r="C84" s="410">
        <f t="shared" si="14"/>
        <v>317</v>
      </c>
      <c r="D84" s="410">
        <f t="shared" si="15"/>
        <v>310</v>
      </c>
      <c r="E84" s="410">
        <f t="shared" si="16"/>
        <v>-7</v>
      </c>
      <c r="F84" s="411">
        <f t="shared" si="17"/>
        <v>4215602.3500000006</v>
      </c>
      <c r="G84" s="411">
        <f t="shared" si="18"/>
        <v>4167872.81</v>
      </c>
      <c r="H84" s="411">
        <f t="shared" si="19"/>
        <v>-153.96625806451775</v>
      </c>
      <c r="I84" s="412">
        <f t="shared" si="20"/>
        <v>3472030</v>
      </c>
      <c r="J84" s="412">
        <f t="shared" si="21"/>
        <v>3438495</v>
      </c>
      <c r="K84" s="412">
        <f t="shared" si="22"/>
        <v>-108.1774193548387</v>
      </c>
      <c r="L84" s="413">
        <f t="shared" si="23"/>
        <v>895156</v>
      </c>
      <c r="M84" s="413">
        <f t="shared" si="24"/>
        <v>927396</v>
      </c>
      <c r="N84" s="413">
        <f t="shared" si="25"/>
        <v>32240</v>
      </c>
      <c r="O84" s="413">
        <f t="shared" si="26"/>
        <v>104</v>
      </c>
      <c r="P84" s="414">
        <f t="shared" si="27"/>
        <v>0.04</v>
      </c>
      <c r="Q84" s="415"/>
      <c r="S84" s="9"/>
      <c r="T84" s="28"/>
      <c r="U84" s="28"/>
      <c r="V84" s="28"/>
    </row>
    <row r="85" spans="1:22">
      <c r="A85" s="6">
        <v>128</v>
      </c>
      <c r="B85" s="6" t="s">
        <v>1246</v>
      </c>
      <c r="C85" s="410">
        <f t="shared" si="14"/>
        <v>8287</v>
      </c>
      <c r="D85" s="410">
        <f t="shared" si="15"/>
        <v>8401</v>
      </c>
      <c r="E85" s="410">
        <f t="shared" si="16"/>
        <v>114</v>
      </c>
      <c r="F85" s="411">
        <f t="shared" si="17"/>
        <v>132551888.25</v>
      </c>
      <c r="G85" s="411">
        <f t="shared" si="18"/>
        <v>140921702.34</v>
      </c>
      <c r="H85" s="411">
        <f t="shared" si="19"/>
        <v>996.28783359123952</v>
      </c>
      <c r="I85" s="412">
        <f t="shared" si="20"/>
        <v>49918077</v>
      </c>
      <c r="J85" s="412">
        <f t="shared" si="21"/>
        <v>52953650</v>
      </c>
      <c r="K85" s="412">
        <f t="shared" si="22"/>
        <v>361.33472205689799</v>
      </c>
      <c r="L85" s="413">
        <f t="shared" si="23"/>
        <v>82633811</v>
      </c>
      <c r="M85" s="413">
        <f t="shared" si="24"/>
        <v>87968052</v>
      </c>
      <c r="N85" s="413">
        <f t="shared" si="25"/>
        <v>5334241</v>
      </c>
      <c r="O85" s="413">
        <f t="shared" si="26"/>
        <v>634.95310082133085</v>
      </c>
      <c r="P85" s="414">
        <f t="shared" si="27"/>
        <v>0.06</v>
      </c>
      <c r="Q85" s="415"/>
      <c r="S85" s="9"/>
      <c r="T85" s="28"/>
      <c r="U85" s="28"/>
      <c r="V85" s="28"/>
    </row>
    <row r="86" spans="1:22">
      <c r="A86" s="6">
        <v>131</v>
      </c>
      <c r="B86" s="6" t="s">
        <v>1249</v>
      </c>
      <c r="C86" s="410">
        <f t="shared" si="14"/>
        <v>3807</v>
      </c>
      <c r="D86" s="410">
        <f t="shared" si="15"/>
        <v>3606</v>
      </c>
      <c r="E86" s="410">
        <f t="shared" si="16"/>
        <v>-201</v>
      </c>
      <c r="F86" s="411">
        <f t="shared" si="17"/>
        <v>47057670.467040002</v>
      </c>
      <c r="G86" s="411">
        <f t="shared" si="18"/>
        <v>45884665.988949992</v>
      </c>
      <c r="H86" s="411">
        <f t="shared" si="19"/>
        <v>-325.29242320854428</v>
      </c>
      <c r="I86" s="412">
        <f t="shared" si="20"/>
        <v>38822578</v>
      </c>
      <c r="J86" s="412">
        <f t="shared" si="21"/>
        <v>37854849</v>
      </c>
      <c r="K86" s="412">
        <f t="shared" si="22"/>
        <v>-268.36633388796452</v>
      </c>
      <c r="L86" s="413">
        <f t="shared" si="23"/>
        <v>8535193</v>
      </c>
      <c r="M86" s="413">
        <f t="shared" si="24"/>
        <v>8910217</v>
      </c>
      <c r="N86" s="413">
        <f t="shared" si="25"/>
        <v>375024</v>
      </c>
      <c r="O86" s="413">
        <f t="shared" si="26"/>
        <v>104</v>
      </c>
      <c r="P86" s="414">
        <f t="shared" si="27"/>
        <v>0.04</v>
      </c>
      <c r="Q86" s="415"/>
      <c r="S86" s="9"/>
      <c r="T86" s="28"/>
      <c r="U86" s="28"/>
      <c r="V86" s="28"/>
    </row>
    <row r="87" spans="1:22">
      <c r="A87" s="6">
        <v>133</v>
      </c>
      <c r="B87" s="6" t="s">
        <v>1251</v>
      </c>
      <c r="C87" s="410">
        <f t="shared" si="14"/>
        <v>1352</v>
      </c>
      <c r="D87" s="410">
        <f t="shared" si="15"/>
        <v>1355</v>
      </c>
      <c r="E87" s="410">
        <f t="shared" si="16"/>
        <v>3</v>
      </c>
      <c r="F87" s="411">
        <f t="shared" si="17"/>
        <v>20493828.679550003</v>
      </c>
      <c r="G87" s="411">
        <f t="shared" si="18"/>
        <v>21278519.472400002</v>
      </c>
      <c r="H87" s="411">
        <f t="shared" si="19"/>
        <v>579.10759619926125</v>
      </c>
      <c r="I87" s="412">
        <f t="shared" si="20"/>
        <v>9611922</v>
      </c>
      <c r="J87" s="412">
        <f t="shared" si="21"/>
        <v>10008705</v>
      </c>
      <c r="K87" s="412">
        <f t="shared" si="22"/>
        <v>292.82878228782289</v>
      </c>
      <c r="L87" s="413">
        <f t="shared" si="23"/>
        <v>10881907</v>
      </c>
      <c r="M87" s="413">
        <f t="shared" si="24"/>
        <v>11269814</v>
      </c>
      <c r="N87" s="413">
        <f t="shared" si="25"/>
        <v>387907</v>
      </c>
      <c r="O87" s="413">
        <f t="shared" si="26"/>
        <v>286.27822878228784</v>
      </c>
      <c r="P87" s="414">
        <f t="shared" si="27"/>
        <v>0.04</v>
      </c>
      <c r="Q87" s="415"/>
      <c r="S87" s="9"/>
      <c r="T87" s="28"/>
      <c r="U87" s="28"/>
      <c r="V87" s="28"/>
    </row>
    <row r="88" spans="1:22">
      <c r="A88" s="6">
        <v>135</v>
      </c>
      <c r="B88" s="6" t="s">
        <v>1253</v>
      </c>
      <c r="C88" s="410">
        <f t="shared" si="14"/>
        <v>175</v>
      </c>
      <c r="D88" s="410">
        <f t="shared" si="15"/>
        <v>157</v>
      </c>
      <c r="E88" s="410">
        <f t="shared" si="16"/>
        <v>-18</v>
      </c>
      <c r="F88" s="411">
        <f t="shared" si="17"/>
        <v>2529520.8899999997</v>
      </c>
      <c r="G88" s="411">
        <f t="shared" si="18"/>
        <v>2372741.1</v>
      </c>
      <c r="H88" s="411">
        <f t="shared" si="19"/>
        <v>-998.59738853502915</v>
      </c>
      <c r="I88" s="412">
        <f t="shared" si="20"/>
        <v>1516165</v>
      </c>
      <c r="J88" s="412">
        <f t="shared" si="21"/>
        <v>1515869</v>
      </c>
      <c r="K88" s="412">
        <f t="shared" si="22"/>
        <v>-1.8853503184713376</v>
      </c>
      <c r="L88" s="413">
        <f t="shared" si="23"/>
        <v>1013356</v>
      </c>
      <c r="M88" s="413">
        <f t="shared" si="24"/>
        <v>1029684</v>
      </c>
      <c r="N88" s="413">
        <f t="shared" si="25"/>
        <v>16328</v>
      </c>
      <c r="O88" s="413">
        <f t="shared" si="26"/>
        <v>104</v>
      </c>
      <c r="P88" s="414">
        <f t="shared" si="27"/>
        <v>0.02</v>
      </c>
      <c r="Q88" s="415"/>
      <c r="S88" s="9"/>
      <c r="T88" s="28"/>
      <c r="U88" s="28"/>
      <c r="V88" s="28"/>
    </row>
    <row r="89" spans="1:22">
      <c r="A89" s="6">
        <v>136</v>
      </c>
      <c r="B89" s="6" t="s">
        <v>1254</v>
      </c>
      <c r="C89" s="410">
        <f t="shared" si="14"/>
        <v>2686</v>
      </c>
      <c r="D89" s="410">
        <f t="shared" si="15"/>
        <v>2652</v>
      </c>
      <c r="E89" s="410">
        <f t="shared" si="16"/>
        <v>-34</v>
      </c>
      <c r="F89" s="411">
        <f t="shared" si="17"/>
        <v>32828254.537319999</v>
      </c>
      <c r="G89" s="411">
        <f t="shared" si="18"/>
        <v>33400106.240699988</v>
      </c>
      <c r="H89" s="411">
        <f t="shared" si="19"/>
        <v>215.63035572397763</v>
      </c>
      <c r="I89" s="412">
        <f t="shared" si="20"/>
        <v>23937028</v>
      </c>
      <c r="J89" s="412">
        <f t="shared" si="21"/>
        <v>25423217</v>
      </c>
      <c r="K89" s="412">
        <f t="shared" si="22"/>
        <v>560.40309200603315</v>
      </c>
      <c r="L89" s="413">
        <f t="shared" si="23"/>
        <v>8912782</v>
      </c>
      <c r="M89" s="413">
        <f t="shared" si="24"/>
        <v>9188590</v>
      </c>
      <c r="N89" s="413">
        <f t="shared" si="25"/>
        <v>275808</v>
      </c>
      <c r="O89" s="413">
        <f t="shared" si="26"/>
        <v>104</v>
      </c>
      <c r="P89" s="414">
        <f t="shared" si="27"/>
        <v>0.03</v>
      </c>
      <c r="Q89" s="415"/>
      <c r="S89" s="9"/>
      <c r="T89" s="28"/>
      <c r="U89" s="28"/>
      <c r="V89" s="28"/>
    </row>
    <row r="90" spans="1:22">
      <c r="A90" s="6">
        <v>137</v>
      </c>
      <c r="B90" s="6" t="s">
        <v>1255</v>
      </c>
      <c r="C90" s="410">
        <f t="shared" si="14"/>
        <v>5926</v>
      </c>
      <c r="D90" s="410">
        <f t="shared" si="15"/>
        <v>5850</v>
      </c>
      <c r="E90" s="410">
        <f t="shared" si="16"/>
        <v>-76</v>
      </c>
      <c r="F90" s="411">
        <f t="shared" si="17"/>
        <v>109412142.28999999</v>
      </c>
      <c r="G90" s="411">
        <f t="shared" si="18"/>
        <v>114374878.07000002</v>
      </c>
      <c r="H90" s="411">
        <f t="shared" si="19"/>
        <v>848.33090256410787</v>
      </c>
      <c r="I90" s="412">
        <f t="shared" si="20"/>
        <v>12452771</v>
      </c>
      <c r="J90" s="412">
        <f t="shared" si="21"/>
        <v>13183748</v>
      </c>
      <c r="K90" s="412">
        <f t="shared" si="22"/>
        <v>124.95333333333333</v>
      </c>
      <c r="L90" s="413">
        <f t="shared" si="23"/>
        <v>96959371</v>
      </c>
      <c r="M90" s="413">
        <f t="shared" si="24"/>
        <v>101191130</v>
      </c>
      <c r="N90" s="413">
        <f t="shared" si="25"/>
        <v>4231759</v>
      </c>
      <c r="O90" s="413">
        <f t="shared" si="26"/>
        <v>723.37760683760689</v>
      </c>
      <c r="P90" s="414">
        <f t="shared" si="27"/>
        <v>0.04</v>
      </c>
      <c r="Q90" s="415"/>
      <c r="S90" s="9"/>
      <c r="T90" s="28"/>
      <c r="U90" s="28"/>
      <c r="V90" s="28"/>
    </row>
    <row r="91" spans="1:22">
      <c r="A91" s="6">
        <v>138</v>
      </c>
      <c r="B91" s="6" t="s">
        <v>1256</v>
      </c>
      <c r="C91" s="410">
        <f t="shared" si="14"/>
        <v>875</v>
      </c>
      <c r="D91" s="410">
        <f t="shared" si="15"/>
        <v>865</v>
      </c>
      <c r="E91" s="410">
        <f t="shared" si="16"/>
        <v>-10</v>
      </c>
      <c r="F91" s="411">
        <f t="shared" si="17"/>
        <v>11489500.85</v>
      </c>
      <c r="G91" s="411">
        <f t="shared" si="18"/>
        <v>11657637.4</v>
      </c>
      <c r="H91" s="411">
        <f t="shared" si="19"/>
        <v>194.37751445086792</v>
      </c>
      <c r="I91" s="412">
        <f t="shared" si="20"/>
        <v>6489561</v>
      </c>
      <c r="J91" s="412">
        <f t="shared" si="21"/>
        <v>6842443</v>
      </c>
      <c r="K91" s="412">
        <f t="shared" si="22"/>
        <v>407.95606936416186</v>
      </c>
      <c r="L91" s="413">
        <f t="shared" si="23"/>
        <v>6221250</v>
      </c>
      <c r="M91" s="413">
        <f t="shared" si="24"/>
        <v>6311210</v>
      </c>
      <c r="N91" s="413">
        <f t="shared" si="25"/>
        <v>89960</v>
      </c>
      <c r="O91" s="413">
        <f t="shared" si="26"/>
        <v>104</v>
      </c>
      <c r="P91" s="414">
        <f t="shared" si="27"/>
        <v>0.01</v>
      </c>
      <c r="Q91" s="415"/>
      <c r="S91" s="9"/>
      <c r="T91" s="28"/>
      <c r="U91" s="28"/>
      <c r="V91" s="28"/>
    </row>
    <row r="92" spans="1:22">
      <c r="A92" s="6">
        <v>139</v>
      </c>
      <c r="B92" s="6" t="s">
        <v>1257</v>
      </c>
      <c r="C92" s="410">
        <f t="shared" si="14"/>
        <v>4139</v>
      </c>
      <c r="D92" s="410">
        <f t="shared" si="15"/>
        <v>4165</v>
      </c>
      <c r="E92" s="410">
        <f t="shared" si="16"/>
        <v>26</v>
      </c>
      <c r="F92" s="411">
        <f t="shared" si="17"/>
        <v>50873294.826880008</v>
      </c>
      <c r="G92" s="411">
        <f t="shared" si="18"/>
        <v>52668757.257279992</v>
      </c>
      <c r="H92" s="411">
        <f t="shared" si="19"/>
        <v>431.08341666266125</v>
      </c>
      <c r="I92" s="412">
        <f t="shared" si="20"/>
        <v>41073636</v>
      </c>
      <c r="J92" s="412">
        <f t="shared" si="21"/>
        <v>43451724</v>
      </c>
      <c r="K92" s="412">
        <f t="shared" si="22"/>
        <v>570.96950780312125</v>
      </c>
      <c r="L92" s="413">
        <f t="shared" si="23"/>
        <v>9799659</v>
      </c>
      <c r="M92" s="413">
        <f t="shared" si="24"/>
        <v>10232819</v>
      </c>
      <c r="N92" s="413">
        <f t="shared" si="25"/>
        <v>433160</v>
      </c>
      <c r="O92" s="413">
        <f t="shared" si="26"/>
        <v>104</v>
      </c>
      <c r="P92" s="414">
        <f t="shared" si="27"/>
        <v>0.04</v>
      </c>
      <c r="Q92" s="415"/>
      <c r="S92" s="9"/>
      <c r="T92" s="28"/>
      <c r="U92" s="28"/>
      <c r="V92" s="28"/>
    </row>
    <row r="93" spans="1:22">
      <c r="A93" s="6">
        <v>141</v>
      </c>
      <c r="B93" s="6" t="s">
        <v>1259</v>
      </c>
      <c r="C93" s="410">
        <f t="shared" si="14"/>
        <v>2417</v>
      </c>
      <c r="D93" s="410">
        <f t="shared" si="15"/>
        <v>2407</v>
      </c>
      <c r="E93" s="410">
        <f t="shared" si="16"/>
        <v>-10</v>
      </c>
      <c r="F93" s="411">
        <f t="shared" si="17"/>
        <v>34207457.530000001</v>
      </c>
      <c r="G93" s="411">
        <f t="shared" si="18"/>
        <v>35386035.233459994</v>
      </c>
      <c r="H93" s="411">
        <f t="shared" si="19"/>
        <v>489.64590920647817</v>
      </c>
      <c r="I93" s="412">
        <f t="shared" si="20"/>
        <v>21209511</v>
      </c>
      <c r="J93" s="412">
        <f t="shared" si="21"/>
        <v>22432839</v>
      </c>
      <c r="K93" s="412">
        <f t="shared" si="22"/>
        <v>508.23764021603654</v>
      </c>
      <c r="L93" s="413">
        <f t="shared" si="23"/>
        <v>12997947</v>
      </c>
      <c r="M93" s="413">
        <f t="shared" si="24"/>
        <v>13248275</v>
      </c>
      <c r="N93" s="413">
        <f t="shared" si="25"/>
        <v>250328</v>
      </c>
      <c r="O93" s="413">
        <f t="shared" si="26"/>
        <v>104</v>
      </c>
      <c r="P93" s="414">
        <f t="shared" si="27"/>
        <v>0.02</v>
      </c>
      <c r="Q93" s="415"/>
      <c r="S93" s="9"/>
      <c r="T93" s="28"/>
      <c r="U93" s="28"/>
      <c r="V93" s="28"/>
    </row>
    <row r="94" spans="1:22">
      <c r="A94" s="6">
        <v>142</v>
      </c>
      <c r="B94" s="6" t="s">
        <v>1260</v>
      </c>
      <c r="C94" s="410">
        <f t="shared" si="14"/>
        <v>791</v>
      </c>
      <c r="D94" s="410">
        <f t="shared" si="15"/>
        <v>757</v>
      </c>
      <c r="E94" s="410">
        <f t="shared" si="16"/>
        <v>-34</v>
      </c>
      <c r="F94" s="411">
        <f t="shared" si="17"/>
        <v>10986735.571280001</v>
      </c>
      <c r="G94" s="411">
        <f t="shared" si="18"/>
        <v>10813118.211879998</v>
      </c>
      <c r="H94" s="411">
        <f t="shared" si="19"/>
        <v>-229.34921981506247</v>
      </c>
      <c r="I94" s="412">
        <f t="shared" si="20"/>
        <v>9052274</v>
      </c>
      <c r="J94" s="412">
        <f t="shared" si="21"/>
        <v>8920823</v>
      </c>
      <c r="K94" s="412">
        <f t="shared" si="22"/>
        <v>-173.64729194187584</v>
      </c>
      <c r="L94" s="413">
        <f t="shared" si="23"/>
        <v>3996296</v>
      </c>
      <c r="M94" s="413">
        <f t="shared" si="24"/>
        <v>4075024</v>
      </c>
      <c r="N94" s="413">
        <f t="shared" si="25"/>
        <v>78728</v>
      </c>
      <c r="O94" s="413">
        <f t="shared" si="26"/>
        <v>104</v>
      </c>
      <c r="P94" s="414">
        <f t="shared" si="27"/>
        <v>0.02</v>
      </c>
      <c r="Q94" s="415"/>
      <c r="S94" s="9"/>
      <c r="T94" s="28"/>
      <c r="U94" s="28"/>
      <c r="V94" s="28"/>
    </row>
    <row r="95" spans="1:22">
      <c r="A95" s="6">
        <v>144</v>
      </c>
      <c r="B95" s="6" t="s">
        <v>1262</v>
      </c>
      <c r="C95" s="410">
        <f t="shared" si="14"/>
        <v>1557</v>
      </c>
      <c r="D95" s="410">
        <f t="shared" si="15"/>
        <v>1551</v>
      </c>
      <c r="E95" s="410">
        <f t="shared" si="16"/>
        <v>-6</v>
      </c>
      <c r="F95" s="411">
        <f t="shared" si="17"/>
        <v>20567036.155019999</v>
      </c>
      <c r="G95" s="411">
        <f t="shared" si="18"/>
        <v>21036885.203640003</v>
      </c>
      <c r="H95" s="411">
        <f t="shared" si="19"/>
        <v>302.93297783365841</v>
      </c>
      <c r="I95" s="412">
        <f t="shared" si="20"/>
        <v>16419694</v>
      </c>
      <c r="J95" s="412">
        <f t="shared" si="21"/>
        <v>17194551</v>
      </c>
      <c r="K95" s="412">
        <f t="shared" si="22"/>
        <v>499.58542875564154</v>
      </c>
      <c r="L95" s="413">
        <f t="shared" si="23"/>
        <v>4147342</v>
      </c>
      <c r="M95" s="413">
        <f t="shared" si="24"/>
        <v>4308646</v>
      </c>
      <c r="N95" s="413">
        <f t="shared" si="25"/>
        <v>161304</v>
      </c>
      <c r="O95" s="413">
        <f t="shared" si="26"/>
        <v>104</v>
      </c>
      <c r="P95" s="414">
        <f t="shared" si="27"/>
        <v>0.04</v>
      </c>
      <c r="Q95" s="415"/>
      <c r="S95" s="9"/>
      <c r="T95" s="28"/>
      <c r="U95" s="28"/>
      <c r="V95" s="28"/>
    </row>
    <row r="96" spans="1:22">
      <c r="A96" s="6">
        <v>145</v>
      </c>
      <c r="B96" s="6" t="s">
        <v>1263</v>
      </c>
      <c r="C96" s="410">
        <f t="shared" si="14"/>
        <v>1125</v>
      </c>
      <c r="D96" s="410">
        <f t="shared" si="15"/>
        <v>1151</v>
      </c>
      <c r="E96" s="410">
        <f t="shared" si="16"/>
        <v>26</v>
      </c>
      <c r="F96" s="411">
        <f t="shared" si="17"/>
        <v>14371240.407579998</v>
      </c>
      <c r="G96" s="411">
        <f t="shared" si="18"/>
        <v>14866128.19836</v>
      </c>
      <c r="H96" s="411">
        <f t="shared" si="19"/>
        <v>429.96332821894202</v>
      </c>
      <c r="I96" s="412">
        <f t="shared" si="20"/>
        <v>8940323</v>
      </c>
      <c r="J96" s="412">
        <f t="shared" si="21"/>
        <v>9396563</v>
      </c>
      <c r="K96" s="412">
        <f t="shared" si="22"/>
        <v>396.38575152041705</v>
      </c>
      <c r="L96" s="413">
        <f t="shared" si="23"/>
        <v>5430917</v>
      </c>
      <c r="M96" s="413">
        <f t="shared" si="24"/>
        <v>5550621</v>
      </c>
      <c r="N96" s="413">
        <f t="shared" si="25"/>
        <v>119704</v>
      </c>
      <c r="O96" s="413">
        <f t="shared" si="26"/>
        <v>104</v>
      </c>
      <c r="P96" s="414">
        <f t="shared" si="27"/>
        <v>0.02</v>
      </c>
      <c r="Q96" s="415"/>
      <c r="S96" s="9"/>
      <c r="T96" s="28"/>
      <c r="U96" s="28"/>
      <c r="V96" s="28"/>
    </row>
    <row r="97" spans="1:22">
      <c r="A97" s="6">
        <v>149</v>
      </c>
      <c r="B97" s="6" t="s">
        <v>1267</v>
      </c>
      <c r="C97" s="410">
        <f t="shared" si="14"/>
        <v>14566</v>
      </c>
      <c r="D97" s="410">
        <f t="shared" si="15"/>
        <v>14816</v>
      </c>
      <c r="E97" s="410">
        <f t="shared" si="16"/>
        <v>250</v>
      </c>
      <c r="F97" s="411">
        <f t="shared" si="17"/>
        <v>279873222.13999999</v>
      </c>
      <c r="G97" s="411">
        <f t="shared" si="18"/>
        <v>301454148.42000002</v>
      </c>
      <c r="H97" s="411">
        <f t="shared" si="19"/>
        <v>1456.5959962203044</v>
      </c>
      <c r="I97" s="412">
        <f t="shared" si="20"/>
        <v>13728391</v>
      </c>
      <c r="J97" s="412">
        <f t="shared" si="21"/>
        <v>15203337</v>
      </c>
      <c r="K97" s="412">
        <f t="shared" si="22"/>
        <v>99.550890928725707</v>
      </c>
      <c r="L97" s="413">
        <f t="shared" si="23"/>
        <v>266144831</v>
      </c>
      <c r="M97" s="413">
        <f t="shared" si="24"/>
        <v>286250811</v>
      </c>
      <c r="N97" s="413">
        <f t="shared" si="25"/>
        <v>20105980</v>
      </c>
      <c r="O97" s="413">
        <f t="shared" si="26"/>
        <v>1357.0450863930885</v>
      </c>
      <c r="P97" s="414">
        <f t="shared" si="27"/>
        <v>0.08</v>
      </c>
      <c r="Q97" s="415"/>
      <c r="S97" s="9"/>
      <c r="T97" s="28"/>
      <c r="U97" s="28"/>
      <c r="V97" s="28"/>
    </row>
    <row r="98" spans="1:22">
      <c r="A98" s="6">
        <v>150</v>
      </c>
      <c r="B98" s="6" t="s">
        <v>1268</v>
      </c>
      <c r="C98" s="410">
        <f t="shared" si="14"/>
        <v>570</v>
      </c>
      <c r="D98" s="410">
        <f t="shared" si="15"/>
        <v>549</v>
      </c>
      <c r="E98" s="410">
        <f t="shared" si="16"/>
        <v>-21</v>
      </c>
      <c r="F98" s="411">
        <f t="shared" si="17"/>
        <v>8739704.6600000001</v>
      </c>
      <c r="G98" s="411">
        <f t="shared" si="18"/>
        <v>8566370.1999999974</v>
      </c>
      <c r="H98" s="411">
        <f t="shared" si="19"/>
        <v>-315.72761384335655</v>
      </c>
      <c r="I98" s="412">
        <f t="shared" si="20"/>
        <v>6760874</v>
      </c>
      <c r="J98" s="412">
        <f t="shared" si="21"/>
        <v>7067255</v>
      </c>
      <c r="K98" s="412">
        <f t="shared" si="22"/>
        <v>558.07103825136608</v>
      </c>
      <c r="L98" s="413">
        <f t="shared" si="23"/>
        <v>2170239</v>
      </c>
      <c r="M98" s="413">
        <f t="shared" si="24"/>
        <v>2227335</v>
      </c>
      <c r="N98" s="413">
        <f t="shared" si="25"/>
        <v>57096</v>
      </c>
      <c r="O98" s="413">
        <f t="shared" si="26"/>
        <v>104</v>
      </c>
      <c r="P98" s="414">
        <f t="shared" si="27"/>
        <v>0.03</v>
      </c>
      <c r="Q98" s="415"/>
      <c r="S98" s="9"/>
      <c r="T98" s="28"/>
      <c r="U98" s="28"/>
      <c r="V98" s="28"/>
    </row>
    <row r="99" spans="1:22">
      <c r="A99" s="6">
        <v>151</v>
      </c>
      <c r="B99" s="6" t="s">
        <v>1269</v>
      </c>
      <c r="C99" s="410">
        <f t="shared" si="14"/>
        <v>1443</v>
      </c>
      <c r="D99" s="410">
        <f t="shared" si="15"/>
        <v>1405</v>
      </c>
      <c r="E99" s="410">
        <f t="shared" si="16"/>
        <v>-38</v>
      </c>
      <c r="F99" s="411">
        <f t="shared" si="17"/>
        <v>20759208.559999999</v>
      </c>
      <c r="G99" s="411">
        <f t="shared" si="18"/>
        <v>21380842.219999999</v>
      </c>
      <c r="H99" s="411">
        <f t="shared" si="19"/>
        <v>442.44388612099652</v>
      </c>
      <c r="I99" s="412">
        <f t="shared" si="20"/>
        <v>9660962</v>
      </c>
      <c r="J99" s="412">
        <f t="shared" si="21"/>
        <v>10610635</v>
      </c>
      <c r="K99" s="412">
        <f t="shared" si="22"/>
        <v>675.92384341637012</v>
      </c>
      <c r="L99" s="413">
        <f t="shared" si="23"/>
        <v>11098247</v>
      </c>
      <c r="M99" s="413">
        <f t="shared" si="24"/>
        <v>11244367</v>
      </c>
      <c r="N99" s="413">
        <f t="shared" si="25"/>
        <v>146120</v>
      </c>
      <c r="O99" s="413">
        <f t="shared" si="26"/>
        <v>104</v>
      </c>
      <c r="P99" s="414">
        <f t="shared" si="27"/>
        <v>0.01</v>
      </c>
      <c r="Q99" s="415"/>
      <c r="S99" s="9"/>
      <c r="T99" s="28"/>
      <c r="U99" s="28"/>
      <c r="V99" s="28"/>
    </row>
    <row r="100" spans="1:22">
      <c r="A100" s="6">
        <v>152</v>
      </c>
      <c r="B100" s="6" t="s">
        <v>1270</v>
      </c>
      <c r="C100" s="410">
        <f t="shared" si="14"/>
        <v>489</v>
      </c>
      <c r="D100" s="410">
        <f t="shared" si="15"/>
        <v>482</v>
      </c>
      <c r="E100" s="410">
        <f t="shared" si="16"/>
        <v>-7</v>
      </c>
      <c r="F100" s="411">
        <f t="shared" si="17"/>
        <v>6717817.4100000001</v>
      </c>
      <c r="G100" s="411">
        <f t="shared" si="18"/>
        <v>6823610.0699999994</v>
      </c>
      <c r="H100" s="411">
        <f t="shared" si="19"/>
        <v>219.48684647302741</v>
      </c>
      <c r="I100" s="412">
        <f t="shared" si="20"/>
        <v>5422289</v>
      </c>
      <c r="J100" s="412">
        <f t="shared" si="21"/>
        <v>5629478</v>
      </c>
      <c r="K100" s="412">
        <f t="shared" si="22"/>
        <v>429.8526970954357</v>
      </c>
      <c r="L100" s="413">
        <f t="shared" si="23"/>
        <v>1345245</v>
      </c>
      <c r="M100" s="413">
        <f t="shared" si="24"/>
        <v>1395373</v>
      </c>
      <c r="N100" s="413">
        <f t="shared" si="25"/>
        <v>50128</v>
      </c>
      <c r="O100" s="413">
        <f t="shared" si="26"/>
        <v>104</v>
      </c>
      <c r="P100" s="414">
        <f t="shared" si="27"/>
        <v>0.04</v>
      </c>
      <c r="Q100" s="415"/>
      <c r="S100" s="9"/>
      <c r="T100" s="28"/>
      <c r="U100" s="28"/>
      <c r="V100" s="28"/>
    </row>
    <row r="101" spans="1:22">
      <c r="A101" s="6">
        <v>153</v>
      </c>
      <c r="B101" s="6" t="s">
        <v>1271</v>
      </c>
      <c r="C101" s="410">
        <f t="shared" si="14"/>
        <v>6020</v>
      </c>
      <c r="D101" s="410">
        <f t="shared" si="15"/>
        <v>6009</v>
      </c>
      <c r="E101" s="410">
        <f t="shared" si="16"/>
        <v>-11</v>
      </c>
      <c r="F101" s="411">
        <f t="shared" si="17"/>
        <v>99599000.579999998</v>
      </c>
      <c r="G101" s="411">
        <f t="shared" si="18"/>
        <v>103734761.66000001</v>
      </c>
      <c r="H101" s="411">
        <f t="shared" si="19"/>
        <v>688.2611216508592</v>
      </c>
      <c r="I101" s="412">
        <f t="shared" si="20"/>
        <v>35204065</v>
      </c>
      <c r="J101" s="412">
        <f t="shared" si="21"/>
        <v>36964269</v>
      </c>
      <c r="K101" s="412">
        <f t="shared" si="22"/>
        <v>292.92794142120152</v>
      </c>
      <c r="L101" s="413">
        <f t="shared" si="23"/>
        <v>64394936</v>
      </c>
      <c r="M101" s="413">
        <f t="shared" si="24"/>
        <v>66770493</v>
      </c>
      <c r="N101" s="413">
        <f t="shared" si="25"/>
        <v>2375557</v>
      </c>
      <c r="O101" s="413">
        <f t="shared" si="26"/>
        <v>395.33316691629221</v>
      </c>
      <c r="P101" s="414">
        <f t="shared" si="27"/>
        <v>0.04</v>
      </c>
      <c r="Q101" s="415"/>
      <c r="S101" s="9"/>
      <c r="T101" s="28"/>
      <c r="U101" s="28"/>
      <c r="V101" s="28"/>
    </row>
    <row r="102" spans="1:22">
      <c r="A102" s="6">
        <v>154</v>
      </c>
      <c r="B102" s="6" t="s">
        <v>1272</v>
      </c>
      <c r="C102" s="410">
        <f t="shared" si="14"/>
        <v>101</v>
      </c>
      <c r="D102" s="410">
        <f t="shared" si="15"/>
        <v>105</v>
      </c>
      <c r="E102" s="410">
        <f t="shared" si="16"/>
        <v>4</v>
      </c>
      <c r="F102" s="411">
        <f t="shared" si="17"/>
        <v>1255147.3</v>
      </c>
      <c r="G102" s="411">
        <f t="shared" si="18"/>
        <v>1407132.92</v>
      </c>
      <c r="H102" s="411">
        <f t="shared" si="19"/>
        <v>1447.4820952380942</v>
      </c>
      <c r="I102" s="412">
        <f t="shared" si="20"/>
        <v>954740</v>
      </c>
      <c r="J102" s="412">
        <f t="shared" si="21"/>
        <v>1083930</v>
      </c>
      <c r="K102" s="412">
        <f t="shared" si="22"/>
        <v>1230.3809523809523</v>
      </c>
      <c r="L102" s="413">
        <f t="shared" si="23"/>
        <v>396968</v>
      </c>
      <c r="M102" s="413">
        <f t="shared" si="24"/>
        <v>407888</v>
      </c>
      <c r="N102" s="413">
        <f t="shared" si="25"/>
        <v>10920</v>
      </c>
      <c r="O102" s="413">
        <f t="shared" si="26"/>
        <v>104</v>
      </c>
      <c r="P102" s="414">
        <f t="shared" si="27"/>
        <v>0.03</v>
      </c>
      <c r="Q102" s="415"/>
      <c r="S102" s="9"/>
      <c r="T102" s="28"/>
      <c r="U102" s="28"/>
      <c r="V102" s="28"/>
    </row>
    <row r="103" spans="1:22">
      <c r="A103" s="6">
        <v>155</v>
      </c>
      <c r="B103" s="6" t="s">
        <v>1273</v>
      </c>
      <c r="C103" s="410">
        <f t="shared" si="14"/>
        <v>6893</v>
      </c>
      <c r="D103" s="410">
        <f t="shared" si="15"/>
        <v>6851</v>
      </c>
      <c r="E103" s="410">
        <f t="shared" si="16"/>
        <v>-42</v>
      </c>
      <c r="F103" s="411">
        <f t="shared" si="17"/>
        <v>90646899.40639998</v>
      </c>
      <c r="G103" s="411">
        <f t="shared" si="18"/>
        <v>91458917.922800004</v>
      </c>
      <c r="H103" s="411">
        <f t="shared" si="19"/>
        <v>118.52554611006047</v>
      </c>
      <c r="I103" s="412">
        <f t="shared" si="20"/>
        <v>73037768</v>
      </c>
      <c r="J103" s="412">
        <f t="shared" si="21"/>
        <v>75453607</v>
      </c>
      <c r="K103" s="412">
        <f t="shared" si="22"/>
        <v>352.62574806597576</v>
      </c>
      <c r="L103" s="413">
        <f t="shared" si="23"/>
        <v>17609131</v>
      </c>
      <c r="M103" s="413">
        <f t="shared" si="24"/>
        <v>18321635</v>
      </c>
      <c r="N103" s="413">
        <f t="shared" si="25"/>
        <v>712504</v>
      </c>
      <c r="O103" s="413">
        <f t="shared" si="26"/>
        <v>104</v>
      </c>
      <c r="P103" s="414">
        <f t="shared" si="27"/>
        <v>0.04</v>
      </c>
      <c r="Q103" s="415"/>
      <c r="S103" s="9"/>
      <c r="T103" s="28"/>
      <c r="U103" s="28"/>
      <c r="V103" s="28"/>
    </row>
    <row r="104" spans="1:22">
      <c r="A104" s="6">
        <v>157</v>
      </c>
      <c r="B104" s="6" t="s">
        <v>1275</v>
      </c>
      <c r="C104" s="410">
        <f t="shared" si="14"/>
        <v>586</v>
      </c>
      <c r="D104" s="410">
        <f t="shared" si="15"/>
        <v>585</v>
      </c>
      <c r="E104" s="410">
        <f t="shared" si="16"/>
        <v>-1</v>
      </c>
      <c r="F104" s="411">
        <f t="shared" si="17"/>
        <v>7355301.9672800004</v>
      </c>
      <c r="G104" s="411">
        <f t="shared" si="18"/>
        <v>7515362.2277600011</v>
      </c>
      <c r="H104" s="411">
        <f t="shared" si="19"/>
        <v>273.60728287179597</v>
      </c>
      <c r="I104" s="412">
        <f t="shared" si="20"/>
        <v>6068124</v>
      </c>
      <c r="J104" s="412">
        <f t="shared" si="21"/>
        <v>6200174</v>
      </c>
      <c r="K104" s="412">
        <f t="shared" si="22"/>
        <v>225.72649572649573</v>
      </c>
      <c r="L104" s="413">
        <f t="shared" si="23"/>
        <v>1287178</v>
      </c>
      <c r="M104" s="413">
        <f t="shared" si="24"/>
        <v>1348018</v>
      </c>
      <c r="N104" s="413">
        <f t="shared" si="25"/>
        <v>60840</v>
      </c>
      <c r="O104" s="413">
        <f t="shared" si="26"/>
        <v>104</v>
      </c>
      <c r="P104" s="414">
        <f t="shared" si="27"/>
        <v>0.05</v>
      </c>
      <c r="Q104" s="415"/>
      <c r="S104" s="9"/>
      <c r="T104" s="28"/>
      <c r="U104" s="28"/>
      <c r="V104" s="28"/>
    </row>
    <row r="105" spans="1:22">
      <c r="A105" s="6">
        <v>158</v>
      </c>
      <c r="B105" s="6" t="s">
        <v>1276</v>
      </c>
      <c r="C105" s="410">
        <f t="shared" si="14"/>
        <v>1665</v>
      </c>
      <c r="D105" s="410">
        <f t="shared" si="15"/>
        <v>1636</v>
      </c>
      <c r="E105" s="410">
        <f t="shared" si="16"/>
        <v>-29</v>
      </c>
      <c r="F105" s="411">
        <f t="shared" si="17"/>
        <v>20056951.579999998</v>
      </c>
      <c r="G105" s="411">
        <f t="shared" si="18"/>
        <v>20185599.029999997</v>
      </c>
      <c r="H105" s="411">
        <f t="shared" si="19"/>
        <v>78.635360635696372</v>
      </c>
      <c r="I105" s="412">
        <f t="shared" si="20"/>
        <v>15207996</v>
      </c>
      <c r="J105" s="412">
        <f t="shared" si="21"/>
        <v>15942774</v>
      </c>
      <c r="K105" s="412">
        <f t="shared" si="22"/>
        <v>449.13080684596576</v>
      </c>
      <c r="L105" s="413">
        <f t="shared" si="23"/>
        <v>4848956</v>
      </c>
      <c r="M105" s="413">
        <f t="shared" si="24"/>
        <v>5019100</v>
      </c>
      <c r="N105" s="413">
        <f t="shared" si="25"/>
        <v>170144</v>
      </c>
      <c r="O105" s="413">
        <f t="shared" si="26"/>
        <v>104</v>
      </c>
      <c r="P105" s="414">
        <f t="shared" si="27"/>
        <v>0.04</v>
      </c>
      <c r="Q105" s="415"/>
      <c r="S105" s="9"/>
      <c r="T105" s="28"/>
      <c r="U105" s="28"/>
      <c r="V105" s="28"/>
    </row>
    <row r="106" spans="1:22">
      <c r="A106" s="6">
        <v>159</v>
      </c>
      <c r="B106" s="6" t="s">
        <v>1277</v>
      </c>
      <c r="C106" s="410">
        <f t="shared" si="14"/>
        <v>2725</v>
      </c>
      <c r="D106" s="410">
        <f t="shared" si="15"/>
        <v>2723</v>
      </c>
      <c r="E106" s="410">
        <f t="shared" si="16"/>
        <v>-2</v>
      </c>
      <c r="F106" s="411">
        <f t="shared" si="17"/>
        <v>33192700.990000002</v>
      </c>
      <c r="G106" s="411">
        <f t="shared" si="18"/>
        <v>34218165.739999995</v>
      </c>
      <c r="H106" s="411">
        <f t="shared" si="19"/>
        <v>376.59373852368435</v>
      </c>
      <c r="I106" s="412">
        <f t="shared" si="20"/>
        <v>26093332</v>
      </c>
      <c r="J106" s="412">
        <f t="shared" si="21"/>
        <v>27327546</v>
      </c>
      <c r="K106" s="412">
        <f t="shared" si="22"/>
        <v>453.25523319867796</v>
      </c>
      <c r="L106" s="413">
        <f t="shared" si="23"/>
        <v>7099369</v>
      </c>
      <c r="M106" s="413">
        <f t="shared" si="24"/>
        <v>7382561</v>
      </c>
      <c r="N106" s="413">
        <f t="shared" si="25"/>
        <v>283192</v>
      </c>
      <c r="O106" s="413">
        <f t="shared" si="26"/>
        <v>104</v>
      </c>
      <c r="P106" s="414">
        <f t="shared" si="27"/>
        <v>0.04</v>
      </c>
      <c r="Q106" s="415"/>
      <c r="S106" s="9"/>
      <c r="T106" s="28"/>
      <c r="U106" s="28"/>
      <c r="V106" s="28"/>
    </row>
    <row r="107" spans="1:22">
      <c r="A107" s="6">
        <v>160</v>
      </c>
      <c r="B107" s="6" t="s">
        <v>1278</v>
      </c>
      <c r="C107" s="410">
        <f t="shared" si="14"/>
        <v>16323</v>
      </c>
      <c r="D107" s="410">
        <f t="shared" si="15"/>
        <v>16506</v>
      </c>
      <c r="E107" s="410">
        <f t="shared" si="16"/>
        <v>183</v>
      </c>
      <c r="F107" s="411">
        <f t="shared" si="17"/>
        <v>288791629.52999997</v>
      </c>
      <c r="G107" s="411">
        <f t="shared" si="18"/>
        <v>308040584.44</v>
      </c>
      <c r="H107" s="411">
        <f t="shared" si="19"/>
        <v>1166.1792626923559</v>
      </c>
      <c r="I107" s="412">
        <f t="shared" si="20"/>
        <v>60097975</v>
      </c>
      <c r="J107" s="412">
        <f t="shared" si="21"/>
        <v>64989538</v>
      </c>
      <c r="K107" s="412">
        <f t="shared" si="22"/>
        <v>296.35059978189747</v>
      </c>
      <c r="L107" s="413">
        <f t="shared" si="23"/>
        <v>229138873</v>
      </c>
      <c r="M107" s="413">
        <f t="shared" si="24"/>
        <v>243051046</v>
      </c>
      <c r="N107" s="413">
        <f t="shared" si="25"/>
        <v>13912173</v>
      </c>
      <c r="O107" s="413">
        <f t="shared" si="26"/>
        <v>842.85550708833148</v>
      </c>
      <c r="P107" s="414">
        <f t="shared" si="27"/>
        <v>0.06</v>
      </c>
      <c r="Q107" s="415"/>
      <c r="S107" s="9"/>
      <c r="T107" s="28"/>
      <c r="U107" s="28"/>
      <c r="V107" s="28"/>
    </row>
    <row r="108" spans="1:22">
      <c r="A108" s="6">
        <v>161</v>
      </c>
      <c r="B108" s="6" t="s">
        <v>1279</v>
      </c>
      <c r="C108" s="410">
        <f t="shared" si="14"/>
        <v>2248</v>
      </c>
      <c r="D108" s="410">
        <f t="shared" si="15"/>
        <v>2221</v>
      </c>
      <c r="E108" s="410">
        <f t="shared" si="16"/>
        <v>-27</v>
      </c>
      <c r="F108" s="411">
        <f t="shared" si="17"/>
        <v>32627792.160000004</v>
      </c>
      <c r="G108" s="411">
        <f t="shared" si="18"/>
        <v>33328396.509999994</v>
      </c>
      <c r="H108" s="411">
        <f t="shared" si="19"/>
        <v>315.44545249887</v>
      </c>
      <c r="I108" s="412">
        <f t="shared" si="20"/>
        <v>18168773</v>
      </c>
      <c r="J108" s="412">
        <f t="shared" si="21"/>
        <v>18877355</v>
      </c>
      <c r="K108" s="412">
        <f t="shared" si="22"/>
        <v>319.03737055380458</v>
      </c>
      <c r="L108" s="413">
        <f t="shared" si="23"/>
        <v>14459019</v>
      </c>
      <c r="M108" s="413">
        <f t="shared" si="24"/>
        <v>14690003</v>
      </c>
      <c r="N108" s="413">
        <f t="shared" si="25"/>
        <v>230984</v>
      </c>
      <c r="O108" s="413">
        <f t="shared" si="26"/>
        <v>104</v>
      </c>
      <c r="P108" s="414">
        <f t="shared" si="27"/>
        <v>0.02</v>
      </c>
      <c r="Q108" s="415"/>
      <c r="S108" s="9"/>
      <c r="T108" s="28"/>
      <c r="U108" s="28"/>
      <c r="V108" s="28"/>
    </row>
    <row r="109" spans="1:22">
      <c r="A109" s="6">
        <v>162</v>
      </c>
      <c r="B109" s="6" t="s">
        <v>1280</v>
      </c>
      <c r="C109" s="410">
        <f t="shared" si="14"/>
        <v>1615</v>
      </c>
      <c r="D109" s="410">
        <f t="shared" si="15"/>
        <v>1633</v>
      </c>
      <c r="E109" s="410">
        <f t="shared" si="16"/>
        <v>18</v>
      </c>
      <c r="F109" s="411">
        <f t="shared" si="17"/>
        <v>20659694.909999996</v>
      </c>
      <c r="G109" s="411">
        <f t="shared" si="18"/>
        <v>21553250.210000001</v>
      </c>
      <c r="H109" s="411">
        <f t="shared" si="19"/>
        <v>547.18634415187046</v>
      </c>
      <c r="I109" s="412">
        <f t="shared" si="20"/>
        <v>11910986</v>
      </c>
      <c r="J109" s="412">
        <f t="shared" si="21"/>
        <v>12595979</v>
      </c>
      <c r="K109" s="412">
        <f t="shared" si="22"/>
        <v>419.46907532149419</v>
      </c>
      <c r="L109" s="413">
        <f t="shared" si="23"/>
        <v>8819128</v>
      </c>
      <c r="M109" s="413">
        <f t="shared" si="24"/>
        <v>8988960</v>
      </c>
      <c r="N109" s="413">
        <f t="shared" si="25"/>
        <v>169832</v>
      </c>
      <c r="O109" s="413">
        <f t="shared" si="26"/>
        <v>104</v>
      </c>
      <c r="P109" s="414">
        <f t="shared" si="27"/>
        <v>0.02</v>
      </c>
      <c r="Q109" s="415"/>
      <c r="S109" s="9"/>
      <c r="T109" s="28"/>
      <c r="U109" s="28"/>
      <c r="V109" s="28"/>
    </row>
    <row r="110" spans="1:22">
      <c r="A110" s="6">
        <v>163</v>
      </c>
      <c r="B110" s="6" t="s">
        <v>1281</v>
      </c>
      <c r="C110" s="410">
        <f t="shared" si="14"/>
        <v>17895</v>
      </c>
      <c r="D110" s="410">
        <f t="shared" si="15"/>
        <v>18143</v>
      </c>
      <c r="E110" s="410">
        <f t="shared" si="16"/>
        <v>248</v>
      </c>
      <c r="F110" s="411">
        <f t="shared" si="17"/>
        <v>329943497.06999999</v>
      </c>
      <c r="G110" s="411">
        <f t="shared" si="18"/>
        <v>351967448.88</v>
      </c>
      <c r="H110" s="411">
        <f t="shared" si="19"/>
        <v>1213.9090453618476</v>
      </c>
      <c r="I110" s="412">
        <f t="shared" si="20"/>
        <v>60851330</v>
      </c>
      <c r="J110" s="412">
        <f t="shared" si="21"/>
        <v>64398962</v>
      </c>
      <c r="K110" s="412">
        <f t="shared" si="22"/>
        <v>195.53723199029929</v>
      </c>
      <c r="L110" s="413">
        <f t="shared" si="23"/>
        <v>269092167</v>
      </c>
      <c r="M110" s="413">
        <f t="shared" si="24"/>
        <v>287568487</v>
      </c>
      <c r="N110" s="413">
        <f t="shared" si="25"/>
        <v>18476320</v>
      </c>
      <c r="O110" s="413">
        <f t="shared" si="26"/>
        <v>1018.3718238439068</v>
      </c>
      <c r="P110" s="414">
        <f t="shared" si="27"/>
        <v>7.0000000000000007E-2</v>
      </c>
      <c r="Q110" s="415"/>
      <c r="S110" s="9"/>
      <c r="T110" s="28"/>
      <c r="U110" s="28"/>
      <c r="V110" s="28"/>
    </row>
    <row r="111" spans="1:22">
      <c r="A111" s="6">
        <v>164</v>
      </c>
      <c r="B111" s="6" t="s">
        <v>1282</v>
      </c>
      <c r="C111" s="410">
        <f t="shared" si="14"/>
        <v>2207</v>
      </c>
      <c r="D111" s="410">
        <f t="shared" si="15"/>
        <v>2195</v>
      </c>
      <c r="E111" s="410">
        <f t="shared" si="16"/>
        <v>-12</v>
      </c>
      <c r="F111" s="411">
        <f t="shared" si="17"/>
        <v>27452371.780520003</v>
      </c>
      <c r="G111" s="411">
        <f t="shared" si="18"/>
        <v>27975039.198300004</v>
      </c>
      <c r="H111" s="411">
        <f t="shared" si="19"/>
        <v>238.11727461503449</v>
      </c>
      <c r="I111" s="412">
        <f t="shared" si="20"/>
        <v>21507362</v>
      </c>
      <c r="J111" s="412">
        <f t="shared" si="21"/>
        <v>22407746</v>
      </c>
      <c r="K111" s="412">
        <f t="shared" si="22"/>
        <v>410.19772209567196</v>
      </c>
      <c r="L111" s="413">
        <f t="shared" si="23"/>
        <v>5945010</v>
      </c>
      <c r="M111" s="413">
        <f t="shared" si="24"/>
        <v>6173290</v>
      </c>
      <c r="N111" s="413">
        <f t="shared" si="25"/>
        <v>228280</v>
      </c>
      <c r="O111" s="413">
        <f t="shared" si="26"/>
        <v>104</v>
      </c>
      <c r="P111" s="414">
        <f t="shared" si="27"/>
        <v>0.04</v>
      </c>
      <c r="Q111" s="415"/>
      <c r="S111" s="9"/>
      <c r="T111" s="28"/>
      <c r="U111" s="28"/>
      <c r="V111" s="28"/>
    </row>
    <row r="112" spans="1:22">
      <c r="A112" s="6">
        <v>165</v>
      </c>
      <c r="B112" s="6" t="s">
        <v>1283</v>
      </c>
      <c r="C112" s="410">
        <f t="shared" si="14"/>
        <v>6940</v>
      </c>
      <c r="D112" s="410">
        <f t="shared" si="15"/>
        <v>6863</v>
      </c>
      <c r="E112" s="410">
        <f t="shared" si="16"/>
        <v>-77</v>
      </c>
      <c r="F112" s="411">
        <f t="shared" si="17"/>
        <v>117616659.13781999</v>
      </c>
      <c r="G112" s="411">
        <f t="shared" si="18"/>
        <v>121527751.11873999</v>
      </c>
      <c r="H112" s="411">
        <f t="shared" si="19"/>
        <v>569.88080736121253</v>
      </c>
      <c r="I112" s="412">
        <f t="shared" si="20"/>
        <v>54419682</v>
      </c>
      <c r="J112" s="412">
        <f t="shared" si="21"/>
        <v>57647090</v>
      </c>
      <c r="K112" s="412">
        <f t="shared" si="22"/>
        <v>470.2619845548594</v>
      </c>
      <c r="L112" s="413">
        <f t="shared" si="23"/>
        <v>63196977</v>
      </c>
      <c r="M112" s="413">
        <f t="shared" si="24"/>
        <v>63910729</v>
      </c>
      <c r="N112" s="413">
        <f t="shared" si="25"/>
        <v>713752</v>
      </c>
      <c r="O112" s="413">
        <f t="shared" si="26"/>
        <v>104</v>
      </c>
      <c r="P112" s="414">
        <f t="shared" si="27"/>
        <v>0.01</v>
      </c>
      <c r="Q112" s="415"/>
      <c r="S112" s="9"/>
      <c r="T112" s="28"/>
      <c r="U112" s="28"/>
      <c r="V112" s="28"/>
    </row>
    <row r="113" spans="1:22">
      <c r="A113" s="6">
        <v>167</v>
      </c>
      <c r="B113" s="6" t="s">
        <v>1285</v>
      </c>
      <c r="C113" s="410">
        <f t="shared" si="14"/>
        <v>3485</v>
      </c>
      <c r="D113" s="410">
        <f t="shared" si="15"/>
        <v>3412</v>
      </c>
      <c r="E113" s="410">
        <f t="shared" si="16"/>
        <v>-73</v>
      </c>
      <c r="F113" s="411">
        <f t="shared" si="17"/>
        <v>46129087.005899996</v>
      </c>
      <c r="G113" s="411">
        <f t="shared" si="18"/>
        <v>46131542.886</v>
      </c>
      <c r="H113" s="411">
        <f t="shared" si="19"/>
        <v>0.71977728605052027</v>
      </c>
      <c r="I113" s="412">
        <f t="shared" si="20"/>
        <v>32585038</v>
      </c>
      <c r="J113" s="412">
        <f t="shared" si="21"/>
        <v>34993046</v>
      </c>
      <c r="K113" s="412">
        <f t="shared" si="22"/>
        <v>705.746776084408</v>
      </c>
      <c r="L113" s="413">
        <f t="shared" si="23"/>
        <v>19491149</v>
      </c>
      <c r="M113" s="413">
        <f t="shared" si="24"/>
        <v>19845997</v>
      </c>
      <c r="N113" s="413">
        <f t="shared" si="25"/>
        <v>354848</v>
      </c>
      <c r="O113" s="413">
        <f t="shared" si="26"/>
        <v>104</v>
      </c>
      <c r="P113" s="414">
        <f t="shared" si="27"/>
        <v>0.02</v>
      </c>
      <c r="Q113" s="415"/>
      <c r="S113" s="9"/>
      <c r="T113" s="28"/>
      <c r="U113" s="28"/>
      <c r="V113" s="28"/>
    </row>
    <row r="114" spans="1:22">
      <c r="A114" s="6">
        <v>168</v>
      </c>
      <c r="B114" s="6" t="s">
        <v>1286</v>
      </c>
      <c r="C114" s="410">
        <f t="shared" si="14"/>
        <v>2658</v>
      </c>
      <c r="D114" s="410">
        <f t="shared" si="15"/>
        <v>2588</v>
      </c>
      <c r="E114" s="410">
        <f t="shared" si="16"/>
        <v>-70</v>
      </c>
      <c r="F114" s="411">
        <f t="shared" si="17"/>
        <v>32681938.290000007</v>
      </c>
      <c r="G114" s="411">
        <f t="shared" si="18"/>
        <v>32926181.66</v>
      </c>
      <c r="H114" s="411">
        <f t="shared" si="19"/>
        <v>94.375336166921784</v>
      </c>
      <c r="I114" s="412">
        <f t="shared" si="20"/>
        <v>26962599</v>
      </c>
      <c r="J114" s="412">
        <f t="shared" si="21"/>
        <v>27164100</v>
      </c>
      <c r="K114" s="412">
        <f t="shared" si="22"/>
        <v>77.859737248840801</v>
      </c>
      <c r="L114" s="413">
        <f t="shared" si="23"/>
        <v>6354327</v>
      </c>
      <c r="M114" s="413">
        <f t="shared" si="24"/>
        <v>6623479</v>
      </c>
      <c r="N114" s="413">
        <f t="shared" si="25"/>
        <v>269152</v>
      </c>
      <c r="O114" s="413">
        <f t="shared" si="26"/>
        <v>104</v>
      </c>
      <c r="P114" s="414">
        <f t="shared" si="27"/>
        <v>0.04</v>
      </c>
      <c r="Q114" s="415"/>
      <c r="S114" s="9"/>
      <c r="T114" s="28"/>
      <c r="U114" s="28"/>
      <c r="V114" s="28"/>
    </row>
    <row r="115" spans="1:22">
      <c r="A115" s="6">
        <v>169</v>
      </c>
      <c r="B115" s="6" t="s">
        <v>1287</v>
      </c>
      <c r="C115" s="410">
        <f t="shared" si="14"/>
        <v>401</v>
      </c>
      <c r="D115" s="410">
        <f t="shared" si="15"/>
        <v>388</v>
      </c>
      <c r="E115" s="410">
        <f t="shared" si="16"/>
        <v>-13</v>
      </c>
      <c r="F115" s="411">
        <f t="shared" si="17"/>
        <v>5068217.2599999988</v>
      </c>
      <c r="G115" s="411">
        <f t="shared" si="18"/>
        <v>5105842.0000000009</v>
      </c>
      <c r="H115" s="411">
        <f t="shared" si="19"/>
        <v>96.970979381448672</v>
      </c>
      <c r="I115" s="412">
        <f t="shared" si="20"/>
        <v>3913467</v>
      </c>
      <c r="J115" s="412">
        <f t="shared" si="21"/>
        <v>3952749</v>
      </c>
      <c r="K115" s="412">
        <f t="shared" si="22"/>
        <v>101.24226804123711</v>
      </c>
      <c r="L115" s="413">
        <f t="shared" si="23"/>
        <v>1154750</v>
      </c>
      <c r="M115" s="413">
        <f t="shared" si="24"/>
        <v>1195102</v>
      </c>
      <c r="N115" s="413">
        <f t="shared" si="25"/>
        <v>40352</v>
      </c>
      <c r="O115" s="413">
        <f t="shared" si="26"/>
        <v>104</v>
      </c>
      <c r="P115" s="414">
        <f t="shared" si="27"/>
        <v>0.03</v>
      </c>
      <c r="Q115" s="415"/>
      <c r="S115" s="9"/>
      <c r="T115" s="28"/>
      <c r="U115" s="28"/>
      <c r="V115" s="28"/>
    </row>
    <row r="116" spans="1:22">
      <c r="A116" s="6">
        <v>170</v>
      </c>
      <c r="B116" s="6" t="s">
        <v>1288</v>
      </c>
      <c r="C116" s="410">
        <f t="shared" si="14"/>
        <v>5370</v>
      </c>
      <c r="D116" s="410">
        <f t="shared" si="15"/>
        <v>5345</v>
      </c>
      <c r="E116" s="410">
        <f t="shared" si="16"/>
        <v>-25</v>
      </c>
      <c r="F116" s="411">
        <f t="shared" si="17"/>
        <v>87221684.996450007</v>
      </c>
      <c r="G116" s="411">
        <f t="shared" si="18"/>
        <v>91366536.508999988</v>
      </c>
      <c r="H116" s="411">
        <f t="shared" si="19"/>
        <v>775.4633325631396</v>
      </c>
      <c r="I116" s="412">
        <f t="shared" si="20"/>
        <v>41360456</v>
      </c>
      <c r="J116" s="412">
        <f t="shared" si="21"/>
        <v>43502723</v>
      </c>
      <c r="K116" s="412">
        <f t="shared" si="22"/>
        <v>400.7983161833489</v>
      </c>
      <c r="L116" s="413">
        <f t="shared" si="23"/>
        <v>45861229</v>
      </c>
      <c r="M116" s="413">
        <f t="shared" si="24"/>
        <v>47863814</v>
      </c>
      <c r="N116" s="413">
        <f t="shared" si="25"/>
        <v>2002585</v>
      </c>
      <c r="O116" s="413">
        <f t="shared" si="26"/>
        <v>374.66510757717492</v>
      </c>
      <c r="P116" s="414">
        <f t="shared" si="27"/>
        <v>0.04</v>
      </c>
      <c r="Q116" s="415"/>
      <c r="S116" s="9"/>
      <c r="T116" s="28"/>
      <c r="U116" s="28"/>
      <c r="V116" s="28"/>
    </row>
    <row r="117" spans="1:22">
      <c r="A117" s="6">
        <v>171</v>
      </c>
      <c r="B117" s="6" t="s">
        <v>1289</v>
      </c>
      <c r="C117" s="410">
        <f t="shared" si="14"/>
        <v>3783</v>
      </c>
      <c r="D117" s="410">
        <f t="shared" si="15"/>
        <v>3669</v>
      </c>
      <c r="E117" s="410">
        <f t="shared" si="16"/>
        <v>-114</v>
      </c>
      <c r="F117" s="411">
        <f t="shared" si="17"/>
        <v>49950295.557299994</v>
      </c>
      <c r="G117" s="411">
        <f t="shared" si="18"/>
        <v>49730334.689119995</v>
      </c>
      <c r="H117" s="411">
        <f t="shared" si="19"/>
        <v>-59.951176936494768</v>
      </c>
      <c r="I117" s="412">
        <f t="shared" si="20"/>
        <v>39070159</v>
      </c>
      <c r="J117" s="412">
        <f t="shared" si="21"/>
        <v>40410183</v>
      </c>
      <c r="K117" s="412">
        <f t="shared" si="22"/>
        <v>365.2286726628509</v>
      </c>
      <c r="L117" s="413">
        <f t="shared" si="23"/>
        <v>15233203</v>
      </c>
      <c r="M117" s="413">
        <f t="shared" si="24"/>
        <v>15590973</v>
      </c>
      <c r="N117" s="413">
        <f t="shared" si="25"/>
        <v>357770</v>
      </c>
      <c r="O117" s="413">
        <f t="shared" si="26"/>
        <v>97.511583537748706</v>
      </c>
      <c r="P117" s="414">
        <f t="shared" si="27"/>
        <v>0.02</v>
      </c>
      <c r="Q117" s="415"/>
      <c r="S117" s="9"/>
      <c r="T117" s="28"/>
      <c r="U117" s="28"/>
      <c r="V117" s="28"/>
    </row>
    <row r="118" spans="1:22">
      <c r="A118" s="6">
        <v>172</v>
      </c>
      <c r="B118" s="6" t="s">
        <v>1290</v>
      </c>
      <c r="C118" s="410">
        <f t="shared" si="14"/>
        <v>1422</v>
      </c>
      <c r="D118" s="410">
        <f t="shared" si="15"/>
        <v>1416</v>
      </c>
      <c r="E118" s="410">
        <f t="shared" si="16"/>
        <v>-6</v>
      </c>
      <c r="F118" s="411">
        <f t="shared" si="17"/>
        <v>20496134.48</v>
      </c>
      <c r="G118" s="411">
        <f t="shared" si="18"/>
        <v>21264618.640000001</v>
      </c>
      <c r="H118" s="411">
        <f t="shared" si="19"/>
        <v>542.71480225988716</v>
      </c>
      <c r="I118" s="412">
        <f t="shared" si="20"/>
        <v>16524355</v>
      </c>
      <c r="J118" s="412">
        <f t="shared" si="21"/>
        <v>17203029</v>
      </c>
      <c r="K118" s="412">
        <f t="shared" si="22"/>
        <v>479.28954802259886</v>
      </c>
      <c r="L118" s="413">
        <f t="shared" si="23"/>
        <v>4858266</v>
      </c>
      <c r="M118" s="413">
        <f t="shared" si="24"/>
        <v>5005530</v>
      </c>
      <c r="N118" s="413">
        <f t="shared" si="25"/>
        <v>147264</v>
      </c>
      <c r="O118" s="413">
        <f t="shared" si="26"/>
        <v>104</v>
      </c>
      <c r="P118" s="414">
        <f t="shared" si="27"/>
        <v>0.03</v>
      </c>
      <c r="Q118" s="415"/>
      <c r="S118" s="9"/>
      <c r="T118" s="28"/>
      <c r="U118" s="28"/>
      <c r="V118" s="28"/>
    </row>
    <row r="119" spans="1:22">
      <c r="A119" s="6">
        <v>173</v>
      </c>
      <c r="B119" s="6" t="s">
        <v>1291</v>
      </c>
      <c r="C119" s="410">
        <f t="shared" si="14"/>
        <v>414</v>
      </c>
      <c r="D119" s="410">
        <f t="shared" si="15"/>
        <v>383</v>
      </c>
      <c r="E119" s="410">
        <f t="shared" si="16"/>
        <v>-31</v>
      </c>
      <c r="F119" s="411">
        <f t="shared" si="17"/>
        <v>5079932.7300000004</v>
      </c>
      <c r="G119" s="411">
        <f t="shared" si="18"/>
        <v>4865916.0799999991</v>
      </c>
      <c r="H119" s="411">
        <f t="shared" si="19"/>
        <v>-558.79020887728802</v>
      </c>
      <c r="I119" s="412">
        <f t="shared" si="20"/>
        <v>4120905</v>
      </c>
      <c r="J119" s="412">
        <f t="shared" si="21"/>
        <v>4014381</v>
      </c>
      <c r="K119" s="412">
        <f t="shared" si="22"/>
        <v>-278.13054830287206</v>
      </c>
      <c r="L119" s="413">
        <f t="shared" si="23"/>
        <v>1005221</v>
      </c>
      <c r="M119" s="413">
        <f t="shared" si="24"/>
        <v>1045053</v>
      </c>
      <c r="N119" s="413">
        <f t="shared" si="25"/>
        <v>39832</v>
      </c>
      <c r="O119" s="413">
        <f t="shared" si="26"/>
        <v>104</v>
      </c>
      <c r="P119" s="414">
        <f t="shared" si="27"/>
        <v>0.04</v>
      </c>
      <c r="Q119" s="415"/>
      <c r="S119" s="9"/>
      <c r="T119" s="28"/>
      <c r="U119" s="28"/>
      <c r="V119" s="28"/>
    </row>
    <row r="120" spans="1:22">
      <c r="A120" s="6">
        <v>174</v>
      </c>
      <c r="B120" s="6" t="s">
        <v>1292</v>
      </c>
      <c r="C120" s="410">
        <f t="shared" si="14"/>
        <v>1240</v>
      </c>
      <c r="D120" s="410">
        <f t="shared" si="15"/>
        <v>1258</v>
      </c>
      <c r="E120" s="410">
        <f t="shared" si="16"/>
        <v>18</v>
      </c>
      <c r="F120" s="411">
        <f t="shared" si="17"/>
        <v>17768872.032999996</v>
      </c>
      <c r="G120" s="411">
        <f t="shared" si="18"/>
        <v>17943402.248780001</v>
      </c>
      <c r="H120" s="411">
        <f t="shared" si="19"/>
        <v>138.73626055644266</v>
      </c>
      <c r="I120" s="412">
        <f t="shared" si="20"/>
        <v>12105654</v>
      </c>
      <c r="J120" s="412">
        <f t="shared" si="21"/>
        <v>12813459</v>
      </c>
      <c r="K120" s="412">
        <f t="shared" si="22"/>
        <v>562.64308426073137</v>
      </c>
      <c r="L120" s="413">
        <f t="shared" si="23"/>
        <v>5663218</v>
      </c>
      <c r="M120" s="413">
        <f t="shared" si="24"/>
        <v>5794050</v>
      </c>
      <c r="N120" s="413">
        <f t="shared" si="25"/>
        <v>130832</v>
      </c>
      <c r="O120" s="413">
        <f t="shared" si="26"/>
        <v>104</v>
      </c>
      <c r="P120" s="414">
        <f t="shared" si="27"/>
        <v>0.02</v>
      </c>
      <c r="Q120" s="415"/>
      <c r="S120" s="9"/>
      <c r="T120" s="28"/>
      <c r="U120" s="28"/>
      <c r="V120" s="28"/>
    </row>
    <row r="121" spans="1:22">
      <c r="A121" s="6">
        <v>175</v>
      </c>
      <c r="B121" s="6" t="s">
        <v>1293</v>
      </c>
      <c r="C121" s="410">
        <f t="shared" si="14"/>
        <v>2427</v>
      </c>
      <c r="D121" s="410">
        <f t="shared" si="15"/>
        <v>2371</v>
      </c>
      <c r="E121" s="410">
        <f t="shared" si="16"/>
        <v>-56</v>
      </c>
      <c r="F121" s="411">
        <f t="shared" si="17"/>
        <v>29777088.9976</v>
      </c>
      <c r="G121" s="411">
        <f t="shared" si="18"/>
        <v>29971700.2535</v>
      </c>
      <c r="H121" s="411">
        <f t="shared" si="19"/>
        <v>82.079821130324461</v>
      </c>
      <c r="I121" s="412">
        <f t="shared" si="20"/>
        <v>23849002</v>
      </c>
      <c r="J121" s="412">
        <f t="shared" si="21"/>
        <v>24726652</v>
      </c>
      <c r="K121" s="412">
        <f t="shared" si="22"/>
        <v>370.16026992830029</v>
      </c>
      <c r="L121" s="413">
        <f t="shared" si="23"/>
        <v>6653094</v>
      </c>
      <c r="M121" s="413">
        <f t="shared" si="24"/>
        <v>6899678</v>
      </c>
      <c r="N121" s="413">
        <f t="shared" si="25"/>
        <v>246584</v>
      </c>
      <c r="O121" s="413">
        <f t="shared" si="26"/>
        <v>104</v>
      </c>
      <c r="P121" s="414">
        <f t="shared" si="27"/>
        <v>0.04</v>
      </c>
      <c r="Q121" s="415"/>
      <c r="S121" s="9"/>
      <c r="T121" s="28"/>
      <c r="U121" s="28"/>
      <c r="V121" s="28"/>
    </row>
    <row r="122" spans="1:22">
      <c r="A122" s="6">
        <v>176</v>
      </c>
      <c r="B122" s="6" t="s">
        <v>1294</v>
      </c>
      <c r="C122" s="410">
        <f t="shared" si="14"/>
        <v>4559</v>
      </c>
      <c r="D122" s="410">
        <f t="shared" si="15"/>
        <v>4524</v>
      </c>
      <c r="E122" s="410">
        <f t="shared" si="16"/>
        <v>-35</v>
      </c>
      <c r="F122" s="411">
        <f t="shared" si="17"/>
        <v>71888258.341159999</v>
      </c>
      <c r="G122" s="411">
        <f t="shared" si="18"/>
        <v>73681605.546039999</v>
      </c>
      <c r="H122" s="411">
        <f t="shared" si="19"/>
        <v>396.40742813439414</v>
      </c>
      <c r="I122" s="412">
        <f t="shared" si="20"/>
        <v>54480958</v>
      </c>
      <c r="J122" s="412">
        <f t="shared" si="21"/>
        <v>57259487</v>
      </c>
      <c r="K122" s="412">
        <f t="shared" si="22"/>
        <v>614.17528735632186</v>
      </c>
      <c r="L122" s="413">
        <f t="shared" si="23"/>
        <v>17407300</v>
      </c>
      <c r="M122" s="413">
        <f t="shared" si="24"/>
        <v>17877796</v>
      </c>
      <c r="N122" s="413">
        <f t="shared" si="25"/>
        <v>470496</v>
      </c>
      <c r="O122" s="413">
        <f t="shared" si="26"/>
        <v>104</v>
      </c>
      <c r="P122" s="414">
        <f t="shared" si="27"/>
        <v>0.03</v>
      </c>
      <c r="Q122" s="415"/>
      <c r="S122" s="9"/>
      <c r="T122" s="28"/>
      <c r="U122" s="28"/>
      <c r="V122" s="28"/>
    </row>
    <row r="123" spans="1:22">
      <c r="A123" s="6">
        <v>177</v>
      </c>
      <c r="B123" s="6" t="s">
        <v>1295</v>
      </c>
      <c r="C123" s="410">
        <f t="shared" si="14"/>
        <v>2120</v>
      </c>
      <c r="D123" s="410">
        <f t="shared" si="15"/>
        <v>2157</v>
      </c>
      <c r="E123" s="410">
        <f t="shared" si="16"/>
        <v>37</v>
      </c>
      <c r="F123" s="411">
        <f t="shared" si="17"/>
        <v>26890897.844290003</v>
      </c>
      <c r="G123" s="411">
        <f t="shared" si="18"/>
        <v>28282405.937880002</v>
      </c>
      <c r="H123" s="411">
        <f t="shared" si="19"/>
        <v>645.11269985628132</v>
      </c>
      <c r="I123" s="412">
        <f t="shared" si="20"/>
        <v>19298650</v>
      </c>
      <c r="J123" s="412">
        <f t="shared" si="21"/>
        <v>20376839</v>
      </c>
      <c r="K123" s="412">
        <f t="shared" si="22"/>
        <v>499.85581826611036</v>
      </c>
      <c r="L123" s="413">
        <f t="shared" si="23"/>
        <v>10818549</v>
      </c>
      <c r="M123" s="413">
        <f t="shared" si="24"/>
        <v>11042877</v>
      </c>
      <c r="N123" s="413">
        <f t="shared" si="25"/>
        <v>224328</v>
      </c>
      <c r="O123" s="413">
        <f t="shared" si="26"/>
        <v>104</v>
      </c>
      <c r="P123" s="414">
        <f t="shared" si="27"/>
        <v>0.02</v>
      </c>
      <c r="Q123" s="415"/>
      <c r="S123" s="9"/>
      <c r="T123" s="28"/>
      <c r="U123" s="28"/>
      <c r="V123" s="28"/>
    </row>
    <row r="124" spans="1:22">
      <c r="A124" s="6">
        <v>178</v>
      </c>
      <c r="B124" s="6" t="s">
        <v>1296</v>
      </c>
      <c r="C124" s="410">
        <f t="shared" si="14"/>
        <v>4062</v>
      </c>
      <c r="D124" s="410">
        <f t="shared" si="15"/>
        <v>4112</v>
      </c>
      <c r="E124" s="410">
        <f t="shared" si="16"/>
        <v>50</v>
      </c>
      <c r="F124" s="411">
        <f t="shared" si="17"/>
        <v>51330398.765020005</v>
      </c>
      <c r="G124" s="411">
        <f t="shared" si="18"/>
        <v>53488054.658699989</v>
      </c>
      <c r="H124" s="411">
        <f t="shared" si="19"/>
        <v>524.72176402723346</v>
      </c>
      <c r="I124" s="412">
        <f t="shared" si="20"/>
        <v>39070041</v>
      </c>
      <c r="J124" s="412">
        <f t="shared" si="21"/>
        <v>41053058</v>
      </c>
      <c r="K124" s="412">
        <f t="shared" si="22"/>
        <v>482.25121595330739</v>
      </c>
      <c r="L124" s="413">
        <f t="shared" si="23"/>
        <v>12260358</v>
      </c>
      <c r="M124" s="413">
        <f t="shared" si="24"/>
        <v>12688006</v>
      </c>
      <c r="N124" s="413">
        <f t="shared" si="25"/>
        <v>427648</v>
      </c>
      <c r="O124" s="413">
        <f t="shared" si="26"/>
        <v>104</v>
      </c>
      <c r="P124" s="414">
        <f t="shared" si="27"/>
        <v>0.03</v>
      </c>
      <c r="Q124" s="415"/>
      <c r="S124" s="9"/>
      <c r="T124" s="28"/>
      <c r="U124" s="28"/>
      <c r="V124" s="28"/>
    </row>
    <row r="125" spans="1:22">
      <c r="A125" s="6">
        <v>181</v>
      </c>
      <c r="B125" s="6" t="s">
        <v>1299</v>
      </c>
      <c r="C125" s="410">
        <f t="shared" si="14"/>
        <v>6775</v>
      </c>
      <c r="D125" s="410">
        <f t="shared" si="15"/>
        <v>6860</v>
      </c>
      <c r="E125" s="410">
        <f t="shared" si="16"/>
        <v>85</v>
      </c>
      <c r="F125" s="411">
        <f t="shared" si="17"/>
        <v>109298849.82999998</v>
      </c>
      <c r="G125" s="411">
        <f t="shared" si="18"/>
        <v>115622808.23</v>
      </c>
      <c r="H125" s="411">
        <f t="shared" si="19"/>
        <v>921.85982507288929</v>
      </c>
      <c r="I125" s="412">
        <f t="shared" si="20"/>
        <v>44617436</v>
      </c>
      <c r="J125" s="412">
        <f t="shared" si="21"/>
        <v>47005987</v>
      </c>
      <c r="K125" s="412">
        <f t="shared" si="22"/>
        <v>348.18527696793001</v>
      </c>
      <c r="L125" s="413">
        <f t="shared" si="23"/>
        <v>64681414</v>
      </c>
      <c r="M125" s="413">
        <f t="shared" si="24"/>
        <v>68616821</v>
      </c>
      <c r="N125" s="413">
        <f t="shared" si="25"/>
        <v>3935407</v>
      </c>
      <c r="O125" s="413">
        <f t="shared" si="26"/>
        <v>573.67448979591836</v>
      </c>
      <c r="P125" s="414">
        <f t="shared" si="27"/>
        <v>0.06</v>
      </c>
      <c r="Q125" s="415"/>
      <c r="S125" s="9"/>
      <c r="T125" s="28"/>
      <c r="U125" s="28"/>
      <c r="V125" s="28"/>
    </row>
    <row r="126" spans="1:22">
      <c r="A126" s="6">
        <v>182</v>
      </c>
      <c r="B126" s="6" t="s">
        <v>1300</v>
      </c>
      <c r="C126" s="410">
        <f t="shared" si="14"/>
        <v>3137</v>
      </c>
      <c r="D126" s="410">
        <f t="shared" si="15"/>
        <v>3086</v>
      </c>
      <c r="E126" s="410">
        <f t="shared" si="16"/>
        <v>-51</v>
      </c>
      <c r="F126" s="411">
        <f t="shared" si="17"/>
        <v>44333813.130000003</v>
      </c>
      <c r="G126" s="411">
        <f t="shared" si="18"/>
        <v>45255834.980000012</v>
      </c>
      <c r="H126" s="411">
        <f t="shared" si="19"/>
        <v>298.77571289695686</v>
      </c>
      <c r="I126" s="412">
        <f t="shared" si="20"/>
        <v>22002952</v>
      </c>
      <c r="J126" s="412">
        <f t="shared" si="21"/>
        <v>23019131</v>
      </c>
      <c r="K126" s="412">
        <f t="shared" si="22"/>
        <v>329.28677900194424</v>
      </c>
      <c r="L126" s="413">
        <f t="shared" si="23"/>
        <v>22330861</v>
      </c>
      <c r="M126" s="413">
        <f t="shared" si="24"/>
        <v>22651805</v>
      </c>
      <c r="N126" s="413">
        <f t="shared" si="25"/>
        <v>320944</v>
      </c>
      <c r="O126" s="413">
        <f t="shared" si="26"/>
        <v>104</v>
      </c>
      <c r="P126" s="414">
        <f t="shared" si="27"/>
        <v>0.01</v>
      </c>
      <c r="Q126" s="415"/>
      <c r="S126" s="9"/>
      <c r="T126" s="28"/>
      <c r="U126" s="28"/>
      <c r="V126" s="28"/>
    </row>
    <row r="127" spans="1:22">
      <c r="A127" s="6">
        <v>184</v>
      </c>
      <c r="B127" s="6" t="s">
        <v>1302</v>
      </c>
      <c r="C127" s="410">
        <f t="shared" si="14"/>
        <v>703</v>
      </c>
      <c r="D127" s="410">
        <f t="shared" si="15"/>
        <v>702</v>
      </c>
      <c r="E127" s="410">
        <f t="shared" si="16"/>
        <v>-1</v>
      </c>
      <c r="F127" s="411">
        <f t="shared" si="17"/>
        <v>8542770.1967999991</v>
      </c>
      <c r="G127" s="411">
        <f t="shared" si="18"/>
        <v>8701795.6002499983</v>
      </c>
      <c r="H127" s="411">
        <f t="shared" si="19"/>
        <v>226.53191374643757</v>
      </c>
      <c r="I127" s="412">
        <f t="shared" si="20"/>
        <v>6914393</v>
      </c>
      <c r="J127" s="412">
        <f t="shared" si="21"/>
        <v>7178981</v>
      </c>
      <c r="K127" s="412">
        <f t="shared" si="22"/>
        <v>376.90598290598291</v>
      </c>
      <c r="L127" s="413">
        <f t="shared" si="23"/>
        <v>1769171</v>
      </c>
      <c r="M127" s="413">
        <f t="shared" si="24"/>
        <v>1842179</v>
      </c>
      <c r="N127" s="413">
        <f t="shared" si="25"/>
        <v>73008</v>
      </c>
      <c r="O127" s="413">
        <f t="shared" si="26"/>
        <v>104</v>
      </c>
      <c r="P127" s="414">
        <f t="shared" si="27"/>
        <v>0.04</v>
      </c>
      <c r="Q127" s="415"/>
      <c r="S127" s="9"/>
      <c r="T127" s="28"/>
      <c r="U127" s="28"/>
      <c r="V127" s="28"/>
    </row>
    <row r="128" spans="1:22">
      <c r="A128" s="6">
        <v>185</v>
      </c>
      <c r="B128" s="6" t="s">
        <v>1303</v>
      </c>
      <c r="C128" s="410">
        <f t="shared" si="14"/>
        <v>4704</v>
      </c>
      <c r="D128" s="410">
        <f t="shared" si="15"/>
        <v>4680</v>
      </c>
      <c r="E128" s="410">
        <f t="shared" si="16"/>
        <v>-24</v>
      </c>
      <c r="F128" s="411">
        <f t="shared" si="17"/>
        <v>75437511.279999986</v>
      </c>
      <c r="G128" s="411">
        <f t="shared" si="18"/>
        <v>79260184.288840011</v>
      </c>
      <c r="H128" s="411">
        <f t="shared" si="19"/>
        <v>816.81047197436419</v>
      </c>
      <c r="I128" s="412">
        <f t="shared" si="20"/>
        <v>28632172</v>
      </c>
      <c r="J128" s="412">
        <f t="shared" si="21"/>
        <v>30457781</v>
      </c>
      <c r="K128" s="412">
        <f t="shared" si="22"/>
        <v>390.08739316239314</v>
      </c>
      <c r="L128" s="413">
        <f t="shared" si="23"/>
        <v>46805339</v>
      </c>
      <c r="M128" s="413">
        <f t="shared" si="24"/>
        <v>48802403</v>
      </c>
      <c r="N128" s="413">
        <f t="shared" si="25"/>
        <v>1997064</v>
      </c>
      <c r="O128" s="413">
        <f t="shared" si="26"/>
        <v>426.72307692307692</v>
      </c>
      <c r="P128" s="414">
        <f t="shared" si="27"/>
        <v>0.04</v>
      </c>
      <c r="Q128" s="415"/>
      <c r="S128" s="9"/>
      <c r="T128" s="28"/>
      <c r="U128" s="28"/>
      <c r="V128" s="28"/>
    </row>
    <row r="129" spans="1:22">
      <c r="A129" s="6">
        <v>186</v>
      </c>
      <c r="B129" s="6" t="s">
        <v>1304</v>
      </c>
      <c r="C129" s="410">
        <f t="shared" si="14"/>
        <v>1638</v>
      </c>
      <c r="D129" s="410">
        <f t="shared" si="15"/>
        <v>1646</v>
      </c>
      <c r="E129" s="410">
        <f t="shared" si="16"/>
        <v>8</v>
      </c>
      <c r="F129" s="411">
        <f t="shared" si="17"/>
        <v>22434599.240000002</v>
      </c>
      <c r="G129" s="411">
        <f t="shared" si="18"/>
        <v>23341579.899999999</v>
      </c>
      <c r="H129" s="411">
        <f t="shared" si="19"/>
        <v>551.02105710813873</v>
      </c>
      <c r="I129" s="412">
        <f t="shared" si="20"/>
        <v>13581840</v>
      </c>
      <c r="J129" s="412">
        <f t="shared" si="21"/>
        <v>14332855</v>
      </c>
      <c r="K129" s="412">
        <f t="shared" si="22"/>
        <v>456.2667071688943</v>
      </c>
      <c r="L129" s="413">
        <f t="shared" si="23"/>
        <v>8852759</v>
      </c>
      <c r="M129" s="413">
        <f t="shared" si="24"/>
        <v>9023943</v>
      </c>
      <c r="N129" s="413">
        <f t="shared" si="25"/>
        <v>171184</v>
      </c>
      <c r="O129" s="413">
        <f t="shared" si="26"/>
        <v>104</v>
      </c>
      <c r="P129" s="414">
        <f t="shared" si="27"/>
        <v>0.02</v>
      </c>
      <c r="Q129" s="415"/>
      <c r="S129" s="9"/>
      <c r="T129" s="28"/>
      <c r="U129" s="28"/>
      <c r="V129" s="28"/>
    </row>
    <row r="130" spans="1:22">
      <c r="A130" s="6">
        <v>187</v>
      </c>
      <c r="B130" s="6" t="s">
        <v>1305</v>
      </c>
      <c r="C130" s="410">
        <f t="shared" si="14"/>
        <v>1089</v>
      </c>
      <c r="D130" s="410">
        <f t="shared" si="15"/>
        <v>1086</v>
      </c>
      <c r="E130" s="410">
        <f t="shared" si="16"/>
        <v>-3</v>
      </c>
      <c r="F130" s="411">
        <f t="shared" si="17"/>
        <v>14054851.192480003</v>
      </c>
      <c r="G130" s="411">
        <f t="shared" si="18"/>
        <v>14399304.707199998</v>
      </c>
      <c r="H130" s="411">
        <f t="shared" si="19"/>
        <v>317.17634872927692</v>
      </c>
      <c r="I130" s="412">
        <f t="shared" si="20"/>
        <v>11047181</v>
      </c>
      <c r="J130" s="412">
        <f t="shared" si="21"/>
        <v>11879426</v>
      </c>
      <c r="K130" s="412">
        <f t="shared" si="22"/>
        <v>766.33977900552486</v>
      </c>
      <c r="L130" s="413">
        <f t="shared" si="23"/>
        <v>4992022</v>
      </c>
      <c r="M130" s="413">
        <f t="shared" si="24"/>
        <v>5104966</v>
      </c>
      <c r="N130" s="413">
        <f t="shared" si="25"/>
        <v>112944</v>
      </c>
      <c r="O130" s="413">
        <f t="shared" si="26"/>
        <v>104</v>
      </c>
      <c r="P130" s="414">
        <f t="shared" si="27"/>
        <v>0.02</v>
      </c>
      <c r="Q130" s="415"/>
      <c r="S130" s="9"/>
      <c r="T130" s="28"/>
      <c r="U130" s="28"/>
      <c r="V130" s="28"/>
    </row>
    <row r="131" spans="1:22">
      <c r="A131" s="6">
        <v>189</v>
      </c>
      <c r="B131" s="6" t="s">
        <v>1307</v>
      </c>
      <c r="C131" s="410">
        <f t="shared" si="14"/>
        <v>4294</v>
      </c>
      <c r="D131" s="410">
        <f t="shared" si="15"/>
        <v>4303</v>
      </c>
      <c r="E131" s="410">
        <f t="shared" si="16"/>
        <v>9</v>
      </c>
      <c r="F131" s="411">
        <f t="shared" si="17"/>
        <v>53957475.515560001</v>
      </c>
      <c r="G131" s="411">
        <f t="shared" si="18"/>
        <v>55677434.427500002</v>
      </c>
      <c r="H131" s="411">
        <f t="shared" si="19"/>
        <v>399.71157609574738</v>
      </c>
      <c r="I131" s="412">
        <f t="shared" si="20"/>
        <v>42281594</v>
      </c>
      <c r="J131" s="412">
        <f t="shared" si="21"/>
        <v>44754901</v>
      </c>
      <c r="K131" s="412">
        <f t="shared" si="22"/>
        <v>574.78666046943988</v>
      </c>
      <c r="L131" s="413">
        <f t="shared" si="23"/>
        <v>11675882</v>
      </c>
      <c r="M131" s="413">
        <f t="shared" si="24"/>
        <v>12123394</v>
      </c>
      <c r="N131" s="413">
        <f t="shared" si="25"/>
        <v>447512</v>
      </c>
      <c r="O131" s="413">
        <f t="shared" si="26"/>
        <v>104</v>
      </c>
      <c r="P131" s="414">
        <f t="shared" si="27"/>
        <v>0.04</v>
      </c>
      <c r="Q131" s="415"/>
      <c r="S131" s="9"/>
      <c r="T131" s="28"/>
      <c r="U131" s="28"/>
      <c r="V131" s="28"/>
    </row>
    <row r="132" spans="1:22">
      <c r="A132" s="6">
        <v>191</v>
      </c>
      <c r="B132" s="6" t="s">
        <v>1309</v>
      </c>
      <c r="C132" s="410">
        <f t="shared" si="14"/>
        <v>810</v>
      </c>
      <c r="D132" s="410">
        <f t="shared" si="15"/>
        <v>811</v>
      </c>
      <c r="E132" s="410">
        <f t="shared" si="16"/>
        <v>1</v>
      </c>
      <c r="F132" s="411">
        <f t="shared" si="17"/>
        <v>11361547.17</v>
      </c>
      <c r="G132" s="411">
        <f t="shared" si="18"/>
        <v>11739604.360000001</v>
      </c>
      <c r="H132" s="411">
        <f t="shared" si="19"/>
        <v>466.16176325524208</v>
      </c>
      <c r="I132" s="412">
        <f t="shared" si="20"/>
        <v>6395027</v>
      </c>
      <c r="J132" s="412">
        <f t="shared" si="21"/>
        <v>6544648</v>
      </c>
      <c r="K132" s="412">
        <f t="shared" si="22"/>
        <v>184.48951911220715</v>
      </c>
      <c r="L132" s="413">
        <f t="shared" si="23"/>
        <v>7667285</v>
      </c>
      <c r="M132" s="413">
        <f t="shared" si="24"/>
        <v>7751629</v>
      </c>
      <c r="N132" s="413">
        <f t="shared" si="25"/>
        <v>84344</v>
      </c>
      <c r="O132" s="413">
        <f t="shared" si="26"/>
        <v>104</v>
      </c>
      <c r="P132" s="414">
        <f t="shared" si="27"/>
        <v>0.01</v>
      </c>
      <c r="Q132" s="415"/>
      <c r="S132" s="9"/>
      <c r="T132" s="28"/>
      <c r="U132" s="28"/>
      <c r="V132" s="28"/>
    </row>
    <row r="133" spans="1:22">
      <c r="A133" s="6">
        <v>196</v>
      </c>
      <c r="B133" s="6" t="s">
        <v>1314</v>
      </c>
      <c r="C133" s="410">
        <f t="shared" si="14"/>
        <v>248</v>
      </c>
      <c r="D133" s="410">
        <f t="shared" si="15"/>
        <v>238</v>
      </c>
      <c r="E133" s="410">
        <f t="shared" si="16"/>
        <v>-10</v>
      </c>
      <c r="F133" s="411">
        <f t="shared" si="17"/>
        <v>2954392.4200000004</v>
      </c>
      <c r="G133" s="411">
        <f t="shared" si="18"/>
        <v>2904538.0700000003</v>
      </c>
      <c r="H133" s="411">
        <f t="shared" si="19"/>
        <v>-209.47205882352981</v>
      </c>
      <c r="I133" s="412">
        <f t="shared" si="20"/>
        <v>2437374</v>
      </c>
      <c r="J133" s="412">
        <f t="shared" si="21"/>
        <v>2396244</v>
      </c>
      <c r="K133" s="412">
        <f t="shared" si="22"/>
        <v>-172.81512605042016</v>
      </c>
      <c r="L133" s="413">
        <f t="shared" si="23"/>
        <v>561403</v>
      </c>
      <c r="M133" s="413">
        <f t="shared" si="24"/>
        <v>586155</v>
      </c>
      <c r="N133" s="413">
        <f t="shared" si="25"/>
        <v>24752</v>
      </c>
      <c r="O133" s="413">
        <f t="shared" si="26"/>
        <v>104</v>
      </c>
      <c r="P133" s="414">
        <f t="shared" si="27"/>
        <v>0.04</v>
      </c>
      <c r="Q133" s="415"/>
      <c r="S133" s="9"/>
      <c r="T133" s="28"/>
      <c r="U133" s="28"/>
      <c r="V133" s="28"/>
    </row>
    <row r="134" spans="1:22">
      <c r="A134" s="6">
        <v>197</v>
      </c>
      <c r="B134" s="6" t="s">
        <v>1315</v>
      </c>
      <c r="C134" s="410">
        <f t="shared" si="14"/>
        <v>1713</v>
      </c>
      <c r="D134" s="410">
        <f t="shared" si="15"/>
        <v>1668</v>
      </c>
      <c r="E134" s="410">
        <f t="shared" si="16"/>
        <v>-45</v>
      </c>
      <c r="F134" s="411">
        <f t="shared" si="17"/>
        <v>25201462.489999998</v>
      </c>
      <c r="G134" s="411">
        <f t="shared" si="18"/>
        <v>25535123.509999998</v>
      </c>
      <c r="H134" s="411">
        <f t="shared" si="19"/>
        <v>200.03658273381268</v>
      </c>
      <c r="I134" s="412">
        <f t="shared" si="20"/>
        <v>20791207</v>
      </c>
      <c r="J134" s="412">
        <f t="shared" si="21"/>
        <v>21066477</v>
      </c>
      <c r="K134" s="412">
        <f t="shared" si="22"/>
        <v>165.02997601918466</v>
      </c>
      <c r="L134" s="413">
        <f t="shared" si="23"/>
        <v>4410255</v>
      </c>
      <c r="M134" s="413">
        <f t="shared" si="24"/>
        <v>4583727</v>
      </c>
      <c r="N134" s="413">
        <f t="shared" si="25"/>
        <v>173472</v>
      </c>
      <c r="O134" s="413">
        <f t="shared" si="26"/>
        <v>104</v>
      </c>
      <c r="P134" s="414">
        <f t="shared" si="27"/>
        <v>0.04</v>
      </c>
      <c r="Q134" s="415"/>
      <c r="S134" s="9"/>
      <c r="T134" s="28"/>
      <c r="U134" s="28"/>
      <c r="V134" s="28"/>
    </row>
    <row r="135" spans="1:22">
      <c r="A135" s="6">
        <v>198</v>
      </c>
      <c r="B135" s="6" t="s">
        <v>1316</v>
      </c>
      <c r="C135" s="410">
        <f t="shared" si="14"/>
        <v>5309</v>
      </c>
      <c r="D135" s="410">
        <f t="shared" si="15"/>
        <v>5293</v>
      </c>
      <c r="E135" s="410">
        <f t="shared" si="16"/>
        <v>-16</v>
      </c>
      <c r="F135" s="411">
        <f t="shared" si="17"/>
        <v>65231071.033819996</v>
      </c>
      <c r="G135" s="411">
        <f t="shared" si="18"/>
        <v>67714131.173480004</v>
      </c>
      <c r="H135" s="411">
        <f t="shared" si="19"/>
        <v>469.12150758738113</v>
      </c>
      <c r="I135" s="412">
        <f t="shared" si="20"/>
        <v>52065336</v>
      </c>
      <c r="J135" s="412">
        <f t="shared" si="21"/>
        <v>54650974</v>
      </c>
      <c r="K135" s="412">
        <f t="shared" si="22"/>
        <v>488.50141696580391</v>
      </c>
      <c r="L135" s="413">
        <f t="shared" si="23"/>
        <v>13165735</v>
      </c>
      <c r="M135" s="413">
        <f t="shared" si="24"/>
        <v>13716207</v>
      </c>
      <c r="N135" s="413">
        <f t="shared" si="25"/>
        <v>550472</v>
      </c>
      <c r="O135" s="413">
        <f t="shared" si="26"/>
        <v>104</v>
      </c>
      <c r="P135" s="414">
        <f t="shared" si="27"/>
        <v>0.04</v>
      </c>
      <c r="Q135" s="415"/>
      <c r="S135" s="9"/>
      <c r="T135" s="28"/>
      <c r="U135" s="28"/>
      <c r="V135" s="28"/>
    </row>
    <row r="136" spans="1:22">
      <c r="A136" s="6">
        <v>199</v>
      </c>
      <c r="B136" s="6" t="s">
        <v>1317</v>
      </c>
      <c r="C136" s="410">
        <f t="shared" ref="C136:C199" si="28">VLOOKUP(A136,aidcalc,14,FALSE)</f>
        <v>5558</v>
      </c>
      <c r="D136" s="410">
        <f t="shared" ref="D136:D199" si="29">VLOOKUP(A136,aidcalc,15,FALSE)</f>
        <v>5582</v>
      </c>
      <c r="E136" s="410">
        <f t="shared" ref="E136:E199" si="30">D136-C136</f>
        <v>24</v>
      </c>
      <c r="F136" s="411">
        <f t="shared" ref="F136:F199" si="31">VLOOKUP(A136,aidcalc,4,FALSE)</f>
        <v>70773642.887999997</v>
      </c>
      <c r="G136" s="411">
        <f t="shared" ref="G136:G199" si="32">VLOOKUP(A136,aidcalc,9,FALSE)</f>
        <v>72809517.784119993</v>
      </c>
      <c r="H136" s="411">
        <f t="shared" ref="H136:H199" si="33">(G136-F136)/$D136</f>
        <v>364.72140740236421</v>
      </c>
      <c r="I136" s="412">
        <f t="shared" ref="I136:I199" si="34">VLOOKUP(A136,aidcalc,5,FALSE)</f>
        <v>57461187</v>
      </c>
      <c r="J136" s="412">
        <f t="shared" ref="J136:J199" si="35">VLOOKUP(A136,aidcalc,10,FALSE)</f>
        <v>60067852</v>
      </c>
      <c r="K136" s="412">
        <f t="shared" ref="K136:K199" si="36">(J136-I136)/$D136</f>
        <v>466.97689000358292</v>
      </c>
      <c r="L136" s="413">
        <f t="shared" ref="L136:L199" si="37">VLOOKUP(A136,aidcalc,6,FALSE)</f>
        <v>13312456</v>
      </c>
      <c r="M136" s="413">
        <f t="shared" ref="M136:M199" si="38">VLOOKUP(A136,aidcalc,25,FALSE)</f>
        <v>13892984</v>
      </c>
      <c r="N136" s="413">
        <f t="shared" ref="N136:N199" si="39">M136-L136</f>
        <v>580528</v>
      </c>
      <c r="O136" s="413">
        <f t="shared" ref="O136:O199" si="40">(M136-L136)/$D136</f>
        <v>104</v>
      </c>
      <c r="P136" s="414">
        <f t="shared" ref="P136:P199" si="41">ROUND(IF(F136&gt;0,(M136-L136)/L136,100),2)</f>
        <v>0.04</v>
      </c>
      <c r="Q136" s="415"/>
      <c r="S136" s="9"/>
      <c r="T136" s="28"/>
      <c r="U136" s="28"/>
      <c r="V136" s="28"/>
    </row>
    <row r="137" spans="1:22">
      <c r="A137" s="6">
        <v>201</v>
      </c>
      <c r="B137" s="6" t="s">
        <v>1319</v>
      </c>
      <c r="C137" s="410">
        <f t="shared" si="28"/>
        <v>14148</v>
      </c>
      <c r="D137" s="410">
        <f t="shared" si="29"/>
        <v>14110</v>
      </c>
      <c r="E137" s="410">
        <f t="shared" si="30"/>
        <v>-38</v>
      </c>
      <c r="F137" s="411">
        <f t="shared" si="31"/>
        <v>259908138.25999999</v>
      </c>
      <c r="G137" s="411">
        <f t="shared" si="32"/>
        <v>274431862.38999999</v>
      </c>
      <c r="H137" s="411">
        <f t="shared" si="33"/>
        <v>1029.3213416017006</v>
      </c>
      <c r="I137" s="412">
        <f t="shared" si="34"/>
        <v>35809016</v>
      </c>
      <c r="J137" s="412">
        <f t="shared" si="35"/>
        <v>38100672</v>
      </c>
      <c r="K137" s="412">
        <f t="shared" si="36"/>
        <v>162.41360737065909</v>
      </c>
      <c r="L137" s="413">
        <f t="shared" si="37"/>
        <v>224099122</v>
      </c>
      <c r="M137" s="413">
        <f t="shared" si="38"/>
        <v>236331190</v>
      </c>
      <c r="N137" s="413">
        <f t="shared" si="39"/>
        <v>12232068</v>
      </c>
      <c r="O137" s="413">
        <f t="shared" si="40"/>
        <v>866.90772501771789</v>
      </c>
      <c r="P137" s="414">
        <f t="shared" si="41"/>
        <v>0.05</v>
      </c>
      <c r="Q137" s="415"/>
      <c r="S137" s="9"/>
      <c r="T137" s="28"/>
      <c r="U137" s="28"/>
      <c r="V137" s="28"/>
    </row>
    <row r="138" spans="1:22">
      <c r="A138" s="6">
        <v>204</v>
      </c>
      <c r="B138" s="6" t="s">
        <v>1322</v>
      </c>
      <c r="C138" s="410">
        <f t="shared" si="28"/>
        <v>2232</v>
      </c>
      <c r="D138" s="410">
        <f t="shared" si="29"/>
        <v>2185</v>
      </c>
      <c r="E138" s="410">
        <f t="shared" si="30"/>
        <v>-47</v>
      </c>
      <c r="F138" s="411">
        <f t="shared" si="31"/>
        <v>27448207.989999998</v>
      </c>
      <c r="G138" s="411">
        <f t="shared" si="32"/>
        <v>27513365.690000001</v>
      </c>
      <c r="H138" s="411">
        <f t="shared" si="33"/>
        <v>29.820457665905256</v>
      </c>
      <c r="I138" s="412">
        <f t="shared" si="34"/>
        <v>21788063</v>
      </c>
      <c r="J138" s="412">
        <f t="shared" si="35"/>
        <v>22663896</v>
      </c>
      <c r="K138" s="412">
        <f t="shared" si="36"/>
        <v>400.83890160183068</v>
      </c>
      <c r="L138" s="413">
        <f t="shared" si="37"/>
        <v>5660145</v>
      </c>
      <c r="M138" s="413">
        <f t="shared" si="38"/>
        <v>5887385</v>
      </c>
      <c r="N138" s="413">
        <f t="shared" si="39"/>
        <v>227240</v>
      </c>
      <c r="O138" s="413">
        <f t="shared" si="40"/>
        <v>104</v>
      </c>
      <c r="P138" s="414">
        <f t="shared" si="41"/>
        <v>0.04</v>
      </c>
      <c r="Q138" s="415"/>
      <c r="S138" s="9"/>
      <c r="T138" s="28"/>
      <c r="U138" s="28"/>
      <c r="V138" s="28"/>
    </row>
    <row r="139" spans="1:22">
      <c r="A139" s="6">
        <v>207</v>
      </c>
      <c r="B139" s="6" t="s">
        <v>1325</v>
      </c>
      <c r="C139" s="410">
        <f t="shared" si="28"/>
        <v>11885</v>
      </c>
      <c r="D139" s="410">
        <f t="shared" si="29"/>
        <v>11757</v>
      </c>
      <c r="E139" s="410">
        <f t="shared" si="30"/>
        <v>-128</v>
      </c>
      <c r="F139" s="411">
        <f t="shared" si="31"/>
        <v>156764603.61603001</v>
      </c>
      <c r="G139" s="411">
        <f t="shared" si="32"/>
        <v>159609730.37020001</v>
      </c>
      <c r="H139" s="411">
        <f t="shared" si="33"/>
        <v>241.99428035808458</v>
      </c>
      <c r="I139" s="412">
        <f t="shared" si="34"/>
        <v>129330798</v>
      </c>
      <c r="J139" s="412">
        <f t="shared" si="35"/>
        <v>131678028</v>
      </c>
      <c r="K139" s="412">
        <f t="shared" si="36"/>
        <v>199.64531768308242</v>
      </c>
      <c r="L139" s="413">
        <f t="shared" si="37"/>
        <v>27433806</v>
      </c>
      <c r="M139" s="413">
        <f t="shared" si="38"/>
        <v>28656534</v>
      </c>
      <c r="N139" s="413">
        <f t="shared" si="39"/>
        <v>1222728</v>
      </c>
      <c r="O139" s="413">
        <f t="shared" si="40"/>
        <v>104</v>
      </c>
      <c r="P139" s="414">
        <f t="shared" si="41"/>
        <v>0.04</v>
      </c>
      <c r="Q139" s="415"/>
      <c r="S139" s="9"/>
      <c r="T139" s="28"/>
      <c r="U139" s="28"/>
      <c r="V139" s="28"/>
    </row>
    <row r="140" spans="1:22">
      <c r="A140" s="6">
        <v>208</v>
      </c>
      <c r="B140" s="6" t="s">
        <v>1326</v>
      </c>
      <c r="C140" s="410">
        <f t="shared" si="28"/>
        <v>1010</v>
      </c>
      <c r="D140" s="410">
        <f t="shared" si="29"/>
        <v>1031</v>
      </c>
      <c r="E140" s="410">
        <f t="shared" si="30"/>
        <v>21</v>
      </c>
      <c r="F140" s="411">
        <f t="shared" si="31"/>
        <v>11993145.444000002</v>
      </c>
      <c r="G140" s="411">
        <f t="shared" si="32"/>
        <v>12579945.423040001</v>
      </c>
      <c r="H140" s="411">
        <f t="shared" si="33"/>
        <v>569.15613873908706</v>
      </c>
      <c r="I140" s="412">
        <f t="shared" si="34"/>
        <v>9300692</v>
      </c>
      <c r="J140" s="412">
        <f t="shared" si="35"/>
        <v>9800477</v>
      </c>
      <c r="K140" s="412">
        <f t="shared" si="36"/>
        <v>484.75751697381185</v>
      </c>
      <c r="L140" s="413">
        <f t="shared" si="37"/>
        <v>3612405</v>
      </c>
      <c r="M140" s="413">
        <f t="shared" si="38"/>
        <v>3719629</v>
      </c>
      <c r="N140" s="413">
        <f t="shared" si="39"/>
        <v>107224</v>
      </c>
      <c r="O140" s="413">
        <f t="shared" si="40"/>
        <v>104</v>
      </c>
      <c r="P140" s="414">
        <f t="shared" si="41"/>
        <v>0.03</v>
      </c>
      <c r="Q140" s="415"/>
      <c r="S140" s="9"/>
      <c r="T140" s="28"/>
      <c r="U140" s="28"/>
      <c r="V140" s="28"/>
    </row>
    <row r="141" spans="1:22">
      <c r="A141" s="6">
        <v>209</v>
      </c>
      <c r="B141" s="6" t="s">
        <v>1327</v>
      </c>
      <c r="C141" s="410">
        <f t="shared" si="28"/>
        <v>1315</v>
      </c>
      <c r="D141" s="410">
        <f t="shared" si="29"/>
        <v>1280</v>
      </c>
      <c r="E141" s="410">
        <f t="shared" si="30"/>
        <v>-35</v>
      </c>
      <c r="F141" s="411">
        <f t="shared" si="31"/>
        <v>21755055.919999998</v>
      </c>
      <c r="G141" s="411">
        <f t="shared" si="32"/>
        <v>22174984.270000003</v>
      </c>
      <c r="H141" s="411">
        <f t="shared" si="33"/>
        <v>328.06902343750409</v>
      </c>
      <c r="I141" s="412">
        <f t="shared" si="34"/>
        <v>5538974</v>
      </c>
      <c r="J141" s="412">
        <f t="shared" si="35"/>
        <v>5756158</v>
      </c>
      <c r="K141" s="412">
        <f t="shared" si="36"/>
        <v>169.67500000000001</v>
      </c>
      <c r="L141" s="413">
        <f t="shared" si="37"/>
        <v>16216082</v>
      </c>
      <c r="M141" s="413">
        <f t="shared" si="38"/>
        <v>16418826</v>
      </c>
      <c r="N141" s="413">
        <f t="shared" si="39"/>
        <v>202744</v>
      </c>
      <c r="O141" s="413">
        <f t="shared" si="40"/>
        <v>158.39375000000001</v>
      </c>
      <c r="P141" s="414">
        <f t="shared" si="41"/>
        <v>0.01</v>
      </c>
      <c r="Q141" s="415"/>
      <c r="S141" s="9"/>
      <c r="T141" s="28"/>
      <c r="U141" s="28"/>
      <c r="V141" s="28"/>
    </row>
    <row r="142" spans="1:22">
      <c r="A142" s="6">
        <v>210</v>
      </c>
      <c r="B142" s="6" t="s">
        <v>1328</v>
      </c>
      <c r="C142" s="410">
        <f t="shared" si="28"/>
        <v>2668</v>
      </c>
      <c r="D142" s="410">
        <f t="shared" si="29"/>
        <v>2600</v>
      </c>
      <c r="E142" s="410">
        <f t="shared" si="30"/>
        <v>-68</v>
      </c>
      <c r="F142" s="411">
        <f t="shared" si="31"/>
        <v>35618666.020000003</v>
      </c>
      <c r="G142" s="411">
        <f t="shared" si="32"/>
        <v>35941837.469999999</v>
      </c>
      <c r="H142" s="411">
        <f t="shared" si="33"/>
        <v>124.29671153845982</v>
      </c>
      <c r="I142" s="412">
        <f t="shared" si="34"/>
        <v>28077001</v>
      </c>
      <c r="J142" s="412">
        <f t="shared" si="35"/>
        <v>29043502</v>
      </c>
      <c r="K142" s="412">
        <f t="shared" si="36"/>
        <v>371.73115384615386</v>
      </c>
      <c r="L142" s="413">
        <f t="shared" si="37"/>
        <v>7958689</v>
      </c>
      <c r="M142" s="413">
        <f t="shared" si="38"/>
        <v>8229089</v>
      </c>
      <c r="N142" s="413">
        <f t="shared" si="39"/>
        <v>270400</v>
      </c>
      <c r="O142" s="413">
        <f t="shared" si="40"/>
        <v>104</v>
      </c>
      <c r="P142" s="414">
        <f t="shared" si="41"/>
        <v>0.03</v>
      </c>
      <c r="Q142" s="415"/>
      <c r="S142" s="9"/>
      <c r="T142" s="28"/>
      <c r="U142" s="28"/>
      <c r="V142" s="28"/>
    </row>
    <row r="143" spans="1:22">
      <c r="A143" s="6">
        <v>211</v>
      </c>
      <c r="B143" s="6" t="s">
        <v>1329</v>
      </c>
      <c r="C143" s="410">
        <f t="shared" si="28"/>
        <v>4505</v>
      </c>
      <c r="D143" s="410">
        <f t="shared" si="29"/>
        <v>4460</v>
      </c>
      <c r="E143" s="410">
        <f t="shared" si="30"/>
        <v>-45</v>
      </c>
      <c r="F143" s="411">
        <f t="shared" si="31"/>
        <v>57569717.300000004</v>
      </c>
      <c r="G143" s="411">
        <f t="shared" si="32"/>
        <v>58940201.540000007</v>
      </c>
      <c r="H143" s="411">
        <f t="shared" si="33"/>
        <v>307.28346188340856</v>
      </c>
      <c r="I143" s="412">
        <f t="shared" si="34"/>
        <v>45627018</v>
      </c>
      <c r="J143" s="412">
        <f t="shared" si="35"/>
        <v>47473051</v>
      </c>
      <c r="K143" s="412">
        <f t="shared" si="36"/>
        <v>413.90874439461885</v>
      </c>
      <c r="L143" s="413">
        <f t="shared" si="37"/>
        <v>11942699</v>
      </c>
      <c r="M143" s="413">
        <f t="shared" si="38"/>
        <v>12406539</v>
      </c>
      <c r="N143" s="413">
        <f t="shared" si="39"/>
        <v>463840</v>
      </c>
      <c r="O143" s="413">
        <f t="shared" si="40"/>
        <v>104</v>
      </c>
      <c r="P143" s="414">
        <f t="shared" si="41"/>
        <v>0.04</v>
      </c>
      <c r="Q143" s="415"/>
      <c r="S143" s="9"/>
      <c r="T143" s="28"/>
      <c r="U143" s="28"/>
      <c r="V143" s="28"/>
    </row>
    <row r="144" spans="1:22">
      <c r="A144" s="6">
        <v>212</v>
      </c>
      <c r="B144" s="6" t="s">
        <v>1330</v>
      </c>
      <c r="C144" s="410">
        <f t="shared" si="28"/>
        <v>4031</v>
      </c>
      <c r="D144" s="410">
        <f t="shared" si="29"/>
        <v>3974</v>
      </c>
      <c r="E144" s="410">
        <f t="shared" si="30"/>
        <v>-57</v>
      </c>
      <c r="F144" s="411">
        <f t="shared" si="31"/>
        <v>51608133.329999998</v>
      </c>
      <c r="G144" s="411">
        <f t="shared" si="32"/>
        <v>52550990.75</v>
      </c>
      <c r="H144" s="411">
        <f t="shared" si="33"/>
        <v>237.25652239557166</v>
      </c>
      <c r="I144" s="412">
        <f t="shared" si="34"/>
        <v>32183541</v>
      </c>
      <c r="J144" s="412">
        <f t="shared" si="35"/>
        <v>34400627</v>
      </c>
      <c r="K144" s="412">
        <f t="shared" si="36"/>
        <v>557.89783593356822</v>
      </c>
      <c r="L144" s="413">
        <f t="shared" si="37"/>
        <v>21293531</v>
      </c>
      <c r="M144" s="413">
        <f t="shared" si="38"/>
        <v>21706827</v>
      </c>
      <c r="N144" s="413">
        <f t="shared" si="39"/>
        <v>413296</v>
      </c>
      <c r="O144" s="413">
        <f t="shared" si="40"/>
        <v>104</v>
      </c>
      <c r="P144" s="414">
        <f t="shared" si="41"/>
        <v>0.02</v>
      </c>
      <c r="Q144" s="415"/>
      <c r="S144" s="9"/>
      <c r="T144" s="28"/>
      <c r="U144" s="28"/>
      <c r="V144" s="28"/>
    </row>
    <row r="145" spans="1:22">
      <c r="A145" s="6">
        <v>213</v>
      </c>
      <c r="B145" s="6" t="s">
        <v>1331</v>
      </c>
      <c r="C145" s="410">
        <f t="shared" si="28"/>
        <v>1618</v>
      </c>
      <c r="D145" s="410">
        <f t="shared" si="29"/>
        <v>1667</v>
      </c>
      <c r="E145" s="410">
        <f t="shared" si="30"/>
        <v>49</v>
      </c>
      <c r="F145" s="411">
        <f t="shared" si="31"/>
        <v>19538316.099999998</v>
      </c>
      <c r="G145" s="411">
        <f t="shared" si="32"/>
        <v>20846041.259999998</v>
      </c>
      <c r="H145" s="411">
        <f t="shared" si="33"/>
        <v>784.47820035992811</v>
      </c>
      <c r="I145" s="412">
        <f t="shared" si="34"/>
        <v>15713655</v>
      </c>
      <c r="J145" s="412">
        <f t="shared" si="35"/>
        <v>16677517</v>
      </c>
      <c r="K145" s="412">
        <f t="shared" si="36"/>
        <v>578.20155968806239</v>
      </c>
      <c r="L145" s="413">
        <f t="shared" si="37"/>
        <v>4232990</v>
      </c>
      <c r="M145" s="413">
        <f t="shared" si="38"/>
        <v>4406358</v>
      </c>
      <c r="N145" s="413">
        <f t="shared" si="39"/>
        <v>173368</v>
      </c>
      <c r="O145" s="413">
        <f t="shared" si="40"/>
        <v>104</v>
      </c>
      <c r="P145" s="414">
        <f t="shared" si="41"/>
        <v>0.04</v>
      </c>
      <c r="Q145" s="415"/>
      <c r="S145" s="9"/>
      <c r="T145" s="28"/>
      <c r="U145" s="28"/>
      <c r="V145" s="28"/>
    </row>
    <row r="146" spans="1:22">
      <c r="A146" s="6">
        <v>214</v>
      </c>
      <c r="B146" s="6" t="s">
        <v>1332</v>
      </c>
      <c r="C146" s="410">
        <f t="shared" si="28"/>
        <v>1997</v>
      </c>
      <c r="D146" s="410">
        <f t="shared" si="29"/>
        <v>1918</v>
      </c>
      <c r="E146" s="410">
        <f t="shared" si="30"/>
        <v>-79</v>
      </c>
      <c r="F146" s="411">
        <f t="shared" si="31"/>
        <v>28109617.770000007</v>
      </c>
      <c r="G146" s="411">
        <f t="shared" si="32"/>
        <v>27773856.899999991</v>
      </c>
      <c r="H146" s="411">
        <f t="shared" si="33"/>
        <v>-175.05780500522206</v>
      </c>
      <c r="I146" s="412">
        <f t="shared" si="34"/>
        <v>14472856</v>
      </c>
      <c r="J146" s="412">
        <f t="shared" si="35"/>
        <v>15208759</v>
      </c>
      <c r="K146" s="412">
        <f t="shared" si="36"/>
        <v>383.68248175182481</v>
      </c>
      <c r="L146" s="413">
        <f t="shared" si="37"/>
        <v>15905881</v>
      </c>
      <c r="M146" s="413">
        <f t="shared" si="38"/>
        <v>16105353</v>
      </c>
      <c r="N146" s="413">
        <f t="shared" si="39"/>
        <v>199472</v>
      </c>
      <c r="O146" s="413">
        <f t="shared" si="40"/>
        <v>104</v>
      </c>
      <c r="P146" s="414">
        <f t="shared" si="41"/>
        <v>0.01</v>
      </c>
      <c r="Q146" s="415"/>
      <c r="S146" s="9"/>
      <c r="T146" s="28"/>
      <c r="U146" s="28"/>
      <c r="V146" s="28"/>
    </row>
    <row r="147" spans="1:22">
      <c r="A147" s="6">
        <v>215</v>
      </c>
      <c r="B147" s="6" t="s">
        <v>1333</v>
      </c>
      <c r="C147" s="410">
        <f t="shared" si="28"/>
        <v>574</v>
      </c>
      <c r="D147" s="410">
        <f t="shared" si="29"/>
        <v>565</v>
      </c>
      <c r="E147" s="410">
        <f t="shared" si="30"/>
        <v>-9</v>
      </c>
      <c r="F147" s="411">
        <f t="shared" si="31"/>
        <v>8281136.6699999999</v>
      </c>
      <c r="G147" s="411">
        <f t="shared" si="32"/>
        <v>8161429.120000002</v>
      </c>
      <c r="H147" s="411">
        <f t="shared" si="33"/>
        <v>-211.87176991150079</v>
      </c>
      <c r="I147" s="412">
        <f t="shared" si="34"/>
        <v>3375581</v>
      </c>
      <c r="J147" s="412">
        <f t="shared" si="35"/>
        <v>3523318</v>
      </c>
      <c r="K147" s="412">
        <f t="shared" si="36"/>
        <v>261.48141592920354</v>
      </c>
      <c r="L147" s="413">
        <f t="shared" si="37"/>
        <v>4905556</v>
      </c>
      <c r="M147" s="413">
        <f t="shared" si="38"/>
        <v>4964316</v>
      </c>
      <c r="N147" s="413">
        <f t="shared" si="39"/>
        <v>58760</v>
      </c>
      <c r="O147" s="413">
        <f t="shared" si="40"/>
        <v>104</v>
      </c>
      <c r="P147" s="414">
        <f t="shared" si="41"/>
        <v>0.01</v>
      </c>
      <c r="Q147" s="415"/>
      <c r="S147" s="9"/>
      <c r="T147" s="28"/>
      <c r="U147" s="28"/>
      <c r="V147" s="28"/>
    </row>
    <row r="148" spans="1:22">
      <c r="A148" s="6">
        <v>217</v>
      </c>
      <c r="B148" s="6" t="s">
        <v>1335</v>
      </c>
      <c r="C148" s="410">
        <f t="shared" si="28"/>
        <v>2269</v>
      </c>
      <c r="D148" s="410">
        <f t="shared" si="29"/>
        <v>2260</v>
      </c>
      <c r="E148" s="410">
        <f t="shared" si="30"/>
        <v>-9</v>
      </c>
      <c r="F148" s="411">
        <f t="shared" si="31"/>
        <v>29062440.792260002</v>
      </c>
      <c r="G148" s="411">
        <f t="shared" si="32"/>
        <v>29675954.006980006</v>
      </c>
      <c r="H148" s="411">
        <f t="shared" si="33"/>
        <v>271.46602421239083</v>
      </c>
      <c r="I148" s="412">
        <f t="shared" si="34"/>
        <v>23011257</v>
      </c>
      <c r="J148" s="412">
        <f t="shared" si="35"/>
        <v>24047692</v>
      </c>
      <c r="K148" s="412">
        <f t="shared" si="36"/>
        <v>458.59955752212392</v>
      </c>
      <c r="L148" s="413">
        <f t="shared" si="37"/>
        <v>7492247</v>
      </c>
      <c r="M148" s="413">
        <f t="shared" si="38"/>
        <v>7727287</v>
      </c>
      <c r="N148" s="413">
        <f t="shared" si="39"/>
        <v>235040</v>
      </c>
      <c r="O148" s="413">
        <f t="shared" si="40"/>
        <v>104</v>
      </c>
      <c r="P148" s="414">
        <f t="shared" si="41"/>
        <v>0.03</v>
      </c>
      <c r="Q148" s="415"/>
      <c r="S148" s="9"/>
      <c r="T148" s="28"/>
      <c r="U148" s="28"/>
      <c r="V148" s="28"/>
    </row>
    <row r="149" spans="1:22">
      <c r="A149" s="6">
        <v>218</v>
      </c>
      <c r="B149" s="6" t="s">
        <v>1336</v>
      </c>
      <c r="C149" s="410">
        <f t="shared" si="28"/>
        <v>2189</v>
      </c>
      <c r="D149" s="410">
        <f t="shared" si="29"/>
        <v>2173</v>
      </c>
      <c r="E149" s="410">
        <f t="shared" si="30"/>
        <v>-16</v>
      </c>
      <c r="F149" s="411">
        <f t="shared" si="31"/>
        <v>29128867.219999995</v>
      </c>
      <c r="G149" s="411">
        <f t="shared" si="32"/>
        <v>29386897.029999994</v>
      </c>
      <c r="H149" s="411">
        <f t="shared" si="33"/>
        <v>118.74358490565976</v>
      </c>
      <c r="I149" s="412">
        <f t="shared" si="34"/>
        <v>20948264</v>
      </c>
      <c r="J149" s="412">
        <f t="shared" si="35"/>
        <v>22278223</v>
      </c>
      <c r="K149" s="412">
        <f t="shared" si="36"/>
        <v>612.03819604233774</v>
      </c>
      <c r="L149" s="413">
        <f t="shared" si="37"/>
        <v>13160540</v>
      </c>
      <c r="M149" s="413">
        <f t="shared" si="38"/>
        <v>13386532</v>
      </c>
      <c r="N149" s="413">
        <f t="shared" si="39"/>
        <v>225992</v>
      </c>
      <c r="O149" s="413">
        <f t="shared" si="40"/>
        <v>104</v>
      </c>
      <c r="P149" s="414">
        <f t="shared" si="41"/>
        <v>0.02</v>
      </c>
      <c r="Q149" s="415"/>
      <c r="S149" s="9"/>
      <c r="T149" s="28"/>
      <c r="U149" s="28"/>
      <c r="V149" s="28"/>
    </row>
    <row r="150" spans="1:22">
      <c r="A150" s="6">
        <v>219</v>
      </c>
      <c r="B150" s="6" t="s">
        <v>1337</v>
      </c>
      <c r="C150" s="410">
        <f t="shared" si="28"/>
        <v>2100</v>
      </c>
      <c r="D150" s="410">
        <f t="shared" si="29"/>
        <v>2115</v>
      </c>
      <c r="E150" s="410">
        <f t="shared" si="30"/>
        <v>15</v>
      </c>
      <c r="F150" s="411">
        <f t="shared" si="31"/>
        <v>25956168.805050001</v>
      </c>
      <c r="G150" s="411">
        <f t="shared" si="32"/>
        <v>26697645.459049996</v>
      </c>
      <c r="H150" s="411">
        <f t="shared" si="33"/>
        <v>350.57997825058885</v>
      </c>
      <c r="I150" s="412">
        <f t="shared" si="34"/>
        <v>20944041</v>
      </c>
      <c r="J150" s="412">
        <f t="shared" si="35"/>
        <v>22025558</v>
      </c>
      <c r="K150" s="412">
        <f t="shared" si="36"/>
        <v>511.35555555555555</v>
      </c>
      <c r="L150" s="413">
        <f t="shared" si="37"/>
        <v>5012128</v>
      </c>
      <c r="M150" s="413">
        <f t="shared" si="38"/>
        <v>5232088</v>
      </c>
      <c r="N150" s="413">
        <f t="shared" si="39"/>
        <v>219960</v>
      </c>
      <c r="O150" s="413">
        <f t="shared" si="40"/>
        <v>104</v>
      </c>
      <c r="P150" s="414">
        <f t="shared" si="41"/>
        <v>0.04</v>
      </c>
      <c r="Q150" s="415"/>
      <c r="S150" s="9"/>
      <c r="T150" s="28"/>
      <c r="U150" s="28"/>
      <c r="V150" s="28"/>
    </row>
    <row r="151" spans="1:22">
      <c r="A151" s="6">
        <v>220</v>
      </c>
      <c r="B151" s="6" t="s">
        <v>1338</v>
      </c>
      <c r="C151" s="410">
        <f t="shared" si="28"/>
        <v>3547</v>
      </c>
      <c r="D151" s="410">
        <f t="shared" si="29"/>
        <v>3596</v>
      </c>
      <c r="E151" s="410">
        <f t="shared" si="30"/>
        <v>49</v>
      </c>
      <c r="F151" s="411">
        <f t="shared" si="31"/>
        <v>53483623.868720002</v>
      </c>
      <c r="G151" s="411">
        <f t="shared" si="32"/>
        <v>56535316.259999998</v>
      </c>
      <c r="H151" s="411">
        <f t="shared" si="33"/>
        <v>848.63525897663942</v>
      </c>
      <c r="I151" s="412">
        <f t="shared" si="34"/>
        <v>37142187</v>
      </c>
      <c r="J151" s="412">
        <f t="shared" si="35"/>
        <v>39118730</v>
      </c>
      <c r="K151" s="412">
        <f t="shared" si="36"/>
        <v>549.6504449388209</v>
      </c>
      <c r="L151" s="413">
        <f t="shared" si="37"/>
        <v>16341437</v>
      </c>
      <c r="M151" s="413">
        <f t="shared" si="38"/>
        <v>17416586</v>
      </c>
      <c r="N151" s="413">
        <f t="shared" si="39"/>
        <v>1075149</v>
      </c>
      <c r="O151" s="413">
        <f t="shared" si="40"/>
        <v>298.98470522803115</v>
      </c>
      <c r="P151" s="414">
        <f t="shared" si="41"/>
        <v>7.0000000000000007E-2</v>
      </c>
      <c r="Q151" s="415"/>
      <c r="S151" s="9"/>
      <c r="T151" s="28"/>
      <c r="U151" s="28"/>
      <c r="V151" s="28"/>
    </row>
    <row r="152" spans="1:22">
      <c r="A152" s="6">
        <v>221</v>
      </c>
      <c r="B152" s="6" t="s">
        <v>1339</v>
      </c>
      <c r="C152" s="410">
        <f t="shared" si="28"/>
        <v>435</v>
      </c>
      <c r="D152" s="410">
        <f t="shared" si="29"/>
        <v>421</v>
      </c>
      <c r="E152" s="410">
        <f t="shared" si="30"/>
        <v>-14</v>
      </c>
      <c r="F152" s="411">
        <f t="shared" si="31"/>
        <v>6470637.9299999997</v>
      </c>
      <c r="G152" s="411">
        <f t="shared" si="32"/>
        <v>6233849.8500000006</v>
      </c>
      <c r="H152" s="411">
        <f t="shared" si="33"/>
        <v>-562.44199524940416</v>
      </c>
      <c r="I152" s="412">
        <f t="shared" si="34"/>
        <v>4519073</v>
      </c>
      <c r="J152" s="412">
        <f t="shared" si="35"/>
        <v>5142926</v>
      </c>
      <c r="K152" s="412">
        <f t="shared" si="36"/>
        <v>1481.8361045130641</v>
      </c>
      <c r="L152" s="413">
        <f t="shared" si="37"/>
        <v>1951565</v>
      </c>
      <c r="M152" s="413">
        <f t="shared" si="38"/>
        <v>1995349</v>
      </c>
      <c r="N152" s="413">
        <f t="shared" si="39"/>
        <v>43784</v>
      </c>
      <c r="O152" s="413">
        <f t="shared" si="40"/>
        <v>104</v>
      </c>
      <c r="P152" s="414">
        <f t="shared" si="41"/>
        <v>0.02</v>
      </c>
      <c r="Q152" s="415"/>
      <c r="S152" s="9"/>
      <c r="T152" s="28"/>
      <c r="U152" s="28"/>
      <c r="V152" s="28"/>
    </row>
    <row r="153" spans="1:22">
      <c r="A153" s="6">
        <v>223</v>
      </c>
      <c r="B153" s="6" t="s">
        <v>1341</v>
      </c>
      <c r="C153" s="410">
        <f t="shared" si="28"/>
        <v>583</v>
      </c>
      <c r="D153" s="410">
        <f t="shared" si="29"/>
        <v>573</v>
      </c>
      <c r="E153" s="410">
        <f t="shared" si="30"/>
        <v>-10</v>
      </c>
      <c r="F153" s="411">
        <f t="shared" si="31"/>
        <v>9212499.9199999981</v>
      </c>
      <c r="G153" s="411">
        <f t="shared" si="32"/>
        <v>9418168.6300000008</v>
      </c>
      <c r="H153" s="411">
        <f t="shared" si="33"/>
        <v>358.93317626527534</v>
      </c>
      <c r="I153" s="412">
        <f t="shared" si="34"/>
        <v>2332598</v>
      </c>
      <c r="J153" s="412">
        <f t="shared" si="35"/>
        <v>2446944</v>
      </c>
      <c r="K153" s="412">
        <f t="shared" si="36"/>
        <v>199.55671902268762</v>
      </c>
      <c r="L153" s="413">
        <f t="shared" si="37"/>
        <v>6879902</v>
      </c>
      <c r="M153" s="413">
        <f t="shared" si="38"/>
        <v>6971225</v>
      </c>
      <c r="N153" s="413">
        <f t="shared" si="39"/>
        <v>91323</v>
      </c>
      <c r="O153" s="413">
        <f t="shared" si="40"/>
        <v>159.37696335078533</v>
      </c>
      <c r="P153" s="414">
        <f t="shared" si="41"/>
        <v>0.01</v>
      </c>
      <c r="Q153" s="415"/>
      <c r="S153" s="9"/>
      <c r="T153" s="28"/>
      <c r="U153" s="28"/>
      <c r="V153" s="28"/>
    </row>
    <row r="154" spans="1:22">
      <c r="A154" s="6">
        <v>224</v>
      </c>
      <c r="B154" s="6" t="s">
        <v>1342</v>
      </c>
      <c r="C154" s="410">
        <f t="shared" si="28"/>
        <v>149</v>
      </c>
      <c r="D154" s="410">
        <f t="shared" si="29"/>
        <v>145</v>
      </c>
      <c r="E154" s="410">
        <f t="shared" si="30"/>
        <v>-4</v>
      </c>
      <c r="F154" s="411">
        <f t="shared" si="31"/>
        <v>2114047.8800000004</v>
      </c>
      <c r="G154" s="411">
        <f t="shared" si="32"/>
        <v>2052611.2499999998</v>
      </c>
      <c r="H154" s="411">
        <f t="shared" si="33"/>
        <v>-423.70089655172819</v>
      </c>
      <c r="I154" s="412">
        <f t="shared" si="34"/>
        <v>1744090</v>
      </c>
      <c r="J154" s="412">
        <f t="shared" si="35"/>
        <v>1693404</v>
      </c>
      <c r="K154" s="412">
        <f t="shared" si="36"/>
        <v>-349.55862068965519</v>
      </c>
      <c r="L154" s="413">
        <f t="shared" si="37"/>
        <v>454554</v>
      </c>
      <c r="M154" s="413">
        <f t="shared" si="38"/>
        <v>469634</v>
      </c>
      <c r="N154" s="413">
        <f t="shared" si="39"/>
        <v>15080</v>
      </c>
      <c r="O154" s="413">
        <f t="shared" si="40"/>
        <v>104</v>
      </c>
      <c r="P154" s="414">
        <f t="shared" si="41"/>
        <v>0.03</v>
      </c>
      <c r="Q154" s="415"/>
      <c r="S154" s="9"/>
      <c r="T154" s="28"/>
      <c r="U154" s="28"/>
      <c r="V154" s="28"/>
    </row>
    <row r="155" spans="1:22">
      <c r="A155" s="6">
        <v>226</v>
      </c>
      <c r="B155" s="6" t="s">
        <v>1344</v>
      </c>
      <c r="C155" s="410">
        <f t="shared" si="28"/>
        <v>1526</v>
      </c>
      <c r="D155" s="410">
        <f t="shared" si="29"/>
        <v>1569</v>
      </c>
      <c r="E155" s="410">
        <f t="shared" si="30"/>
        <v>43</v>
      </c>
      <c r="F155" s="411">
        <f t="shared" si="31"/>
        <v>21950126.810000002</v>
      </c>
      <c r="G155" s="411">
        <f t="shared" si="32"/>
        <v>23877644.359999999</v>
      </c>
      <c r="H155" s="411">
        <f t="shared" si="33"/>
        <v>1228.5006692160594</v>
      </c>
      <c r="I155" s="412">
        <f t="shared" si="34"/>
        <v>10995071</v>
      </c>
      <c r="J155" s="412">
        <f t="shared" si="35"/>
        <v>11652431</v>
      </c>
      <c r="K155" s="412">
        <f t="shared" si="36"/>
        <v>418.96749521988528</v>
      </c>
      <c r="L155" s="413">
        <f t="shared" si="37"/>
        <v>10955056</v>
      </c>
      <c r="M155" s="413">
        <f t="shared" si="38"/>
        <v>12225213</v>
      </c>
      <c r="N155" s="413">
        <f t="shared" si="39"/>
        <v>1270157</v>
      </c>
      <c r="O155" s="413">
        <f t="shared" si="40"/>
        <v>809.5328234544296</v>
      </c>
      <c r="P155" s="414">
        <f t="shared" si="41"/>
        <v>0.12</v>
      </c>
      <c r="Q155" s="415"/>
      <c r="S155" s="9"/>
      <c r="T155" s="28"/>
      <c r="U155" s="28"/>
      <c r="V155" s="28"/>
    </row>
    <row r="156" spans="1:22">
      <c r="A156" s="6">
        <v>227</v>
      </c>
      <c r="B156" s="6" t="s">
        <v>1345</v>
      </c>
      <c r="C156" s="410">
        <f t="shared" si="28"/>
        <v>1244</v>
      </c>
      <c r="D156" s="410">
        <f t="shared" si="29"/>
        <v>1196</v>
      </c>
      <c r="E156" s="410">
        <f t="shared" si="30"/>
        <v>-48</v>
      </c>
      <c r="F156" s="411">
        <f t="shared" si="31"/>
        <v>19001379.489999998</v>
      </c>
      <c r="G156" s="411">
        <f t="shared" si="32"/>
        <v>19106951.319999997</v>
      </c>
      <c r="H156" s="411">
        <f t="shared" si="33"/>
        <v>88.270760869563716</v>
      </c>
      <c r="I156" s="412">
        <f t="shared" si="34"/>
        <v>7280709</v>
      </c>
      <c r="J156" s="412">
        <f t="shared" si="35"/>
        <v>7584489</v>
      </c>
      <c r="K156" s="412">
        <f t="shared" si="36"/>
        <v>253.99665551839465</v>
      </c>
      <c r="L156" s="413">
        <f t="shared" si="37"/>
        <v>11720670</v>
      </c>
      <c r="M156" s="413">
        <f t="shared" si="38"/>
        <v>11845054</v>
      </c>
      <c r="N156" s="413">
        <f t="shared" si="39"/>
        <v>124384</v>
      </c>
      <c r="O156" s="413">
        <f t="shared" si="40"/>
        <v>104</v>
      </c>
      <c r="P156" s="414">
        <f t="shared" si="41"/>
        <v>0.01</v>
      </c>
      <c r="Q156" s="415"/>
      <c r="S156" s="9"/>
      <c r="T156" s="28"/>
      <c r="U156" s="28"/>
      <c r="V156" s="28"/>
    </row>
    <row r="157" spans="1:22">
      <c r="A157" s="6">
        <v>229</v>
      </c>
      <c r="B157" s="6" t="s">
        <v>1347</v>
      </c>
      <c r="C157" s="410">
        <f t="shared" si="28"/>
        <v>5959</v>
      </c>
      <c r="D157" s="410">
        <f t="shared" si="29"/>
        <v>5981</v>
      </c>
      <c r="E157" s="410">
        <f t="shared" si="30"/>
        <v>22</v>
      </c>
      <c r="F157" s="411">
        <f t="shared" si="31"/>
        <v>91177548.530000001</v>
      </c>
      <c r="G157" s="411">
        <f t="shared" si="32"/>
        <v>95329652.76000002</v>
      </c>
      <c r="H157" s="411">
        <f t="shared" si="33"/>
        <v>694.21572145126549</v>
      </c>
      <c r="I157" s="412">
        <f t="shared" si="34"/>
        <v>55819170</v>
      </c>
      <c r="J157" s="412">
        <f t="shared" si="35"/>
        <v>58256933</v>
      </c>
      <c r="K157" s="412">
        <f t="shared" si="36"/>
        <v>407.58451763919078</v>
      </c>
      <c r="L157" s="413">
        <f t="shared" si="37"/>
        <v>35358379</v>
      </c>
      <c r="M157" s="413">
        <f t="shared" si="38"/>
        <v>37072720</v>
      </c>
      <c r="N157" s="413">
        <f t="shared" si="39"/>
        <v>1714341</v>
      </c>
      <c r="O157" s="413">
        <f t="shared" si="40"/>
        <v>286.63116535696372</v>
      </c>
      <c r="P157" s="414">
        <f t="shared" si="41"/>
        <v>0.05</v>
      </c>
      <c r="Q157" s="415"/>
      <c r="S157" s="9"/>
      <c r="T157" s="28"/>
      <c r="U157" s="28"/>
      <c r="V157" s="28"/>
    </row>
    <row r="158" spans="1:22">
      <c r="A158" s="6">
        <v>230</v>
      </c>
      <c r="B158" s="6" t="s">
        <v>1348</v>
      </c>
      <c r="C158" s="410">
        <f t="shared" si="28"/>
        <v>63</v>
      </c>
      <c r="D158" s="410">
        <f t="shared" si="29"/>
        <v>63</v>
      </c>
      <c r="E158" s="410">
        <f t="shared" si="30"/>
        <v>0</v>
      </c>
      <c r="F158" s="411">
        <f t="shared" si="31"/>
        <v>858482.55999999994</v>
      </c>
      <c r="G158" s="411">
        <f t="shared" si="32"/>
        <v>910076.45</v>
      </c>
      <c r="H158" s="411">
        <f t="shared" si="33"/>
        <v>818.95063492063514</v>
      </c>
      <c r="I158" s="412">
        <f t="shared" si="34"/>
        <v>631932</v>
      </c>
      <c r="J158" s="412">
        <f t="shared" si="35"/>
        <v>661794</v>
      </c>
      <c r="K158" s="412">
        <f t="shared" si="36"/>
        <v>474</v>
      </c>
      <c r="L158" s="413">
        <f t="shared" si="37"/>
        <v>248263</v>
      </c>
      <c r="M158" s="413">
        <f t="shared" si="38"/>
        <v>254815</v>
      </c>
      <c r="N158" s="413">
        <f t="shared" si="39"/>
        <v>6552</v>
      </c>
      <c r="O158" s="413">
        <f t="shared" si="40"/>
        <v>104</v>
      </c>
      <c r="P158" s="414">
        <f t="shared" si="41"/>
        <v>0.03</v>
      </c>
      <c r="Q158" s="415"/>
      <c r="S158" s="9"/>
      <c r="T158" s="28"/>
      <c r="U158" s="28"/>
      <c r="V158" s="28"/>
    </row>
    <row r="159" spans="1:22">
      <c r="A159" s="6">
        <v>231</v>
      </c>
      <c r="B159" s="6" t="s">
        <v>1349</v>
      </c>
      <c r="C159" s="410">
        <f t="shared" si="28"/>
        <v>2599</v>
      </c>
      <c r="D159" s="410">
        <f t="shared" si="29"/>
        <v>2483</v>
      </c>
      <c r="E159" s="410">
        <f t="shared" si="30"/>
        <v>-116</v>
      </c>
      <c r="F159" s="411">
        <f t="shared" si="31"/>
        <v>33926554.381990001</v>
      </c>
      <c r="G159" s="411">
        <f t="shared" si="32"/>
        <v>33089290.707739998</v>
      </c>
      <c r="H159" s="411">
        <f t="shared" si="33"/>
        <v>-337.19841894885337</v>
      </c>
      <c r="I159" s="412">
        <f t="shared" si="34"/>
        <v>23884371</v>
      </c>
      <c r="J159" s="412">
        <f t="shared" si="35"/>
        <v>25260111</v>
      </c>
      <c r="K159" s="412">
        <f t="shared" si="36"/>
        <v>554.06363270237614</v>
      </c>
      <c r="L159" s="413">
        <f t="shared" si="37"/>
        <v>14008892</v>
      </c>
      <c r="M159" s="413">
        <f t="shared" si="38"/>
        <v>14267124</v>
      </c>
      <c r="N159" s="413">
        <f t="shared" si="39"/>
        <v>258232</v>
      </c>
      <c r="O159" s="413">
        <f t="shared" si="40"/>
        <v>104</v>
      </c>
      <c r="P159" s="414">
        <f t="shared" si="41"/>
        <v>0.02</v>
      </c>
      <c r="Q159" s="415"/>
      <c r="S159" s="9"/>
      <c r="T159" s="28"/>
      <c r="U159" s="28"/>
      <c r="V159" s="28"/>
    </row>
    <row r="160" spans="1:22">
      <c r="A160" s="6">
        <v>234</v>
      </c>
      <c r="B160" s="6" t="s">
        <v>1352</v>
      </c>
      <c r="C160" s="410">
        <f t="shared" si="28"/>
        <v>77</v>
      </c>
      <c r="D160" s="410">
        <f t="shared" si="29"/>
        <v>83</v>
      </c>
      <c r="E160" s="410">
        <f t="shared" si="30"/>
        <v>6</v>
      </c>
      <c r="F160" s="411">
        <f t="shared" si="31"/>
        <v>1133842.72</v>
      </c>
      <c r="G160" s="411">
        <f t="shared" si="32"/>
        <v>1204091.5800000003</v>
      </c>
      <c r="H160" s="411">
        <f t="shared" si="33"/>
        <v>846.37180722891969</v>
      </c>
      <c r="I160" s="412">
        <f t="shared" si="34"/>
        <v>637636</v>
      </c>
      <c r="J160" s="412">
        <f t="shared" si="35"/>
        <v>666342</v>
      </c>
      <c r="K160" s="412">
        <f t="shared" si="36"/>
        <v>345.85542168674698</v>
      </c>
      <c r="L160" s="413">
        <f t="shared" si="37"/>
        <v>496207</v>
      </c>
      <c r="M160" s="413">
        <f t="shared" si="38"/>
        <v>537750</v>
      </c>
      <c r="N160" s="413">
        <f t="shared" si="39"/>
        <v>41543</v>
      </c>
      <c r="O160" s="413">
        <f t="shared" si="40"/>
        <v>500.51807228915663</v>
      </c>
      <c r="P160" s="414">
        <f t="shared" si="41"/>
        <v>0.08</v>
      </c>
      <c r="Q160" s="415"/>
      <c r="S160" s="9"/>
      <c r="T160" s="28"/>
      <c r="U160" s="28"/>
      <c r="V160" s="28"/>
    </row>
    <row r="161" spans="1:22">
      <c r="A161" s="6">
        <v>236</v>
      </c>
      <c r="B161" s="6" t="s">
        <v>1354</v>
      </c>
      <c r="C161" s="410">
        <f t="shared" si="28"/>
        <v>5577</v>
      </c>
      <c r="D161" s="410">
        <f t="shared" si="29"/>
        <v>5558</v>
      </c>
      <c r="E161" s="410">
        <f t="shared" si="30"/>
        <v>-19</v>
      </c>
      <c r="F161" s="411">
        <f t="shared" si="31"/>
        <v>92916030.260000005</v>
      </c>
      <c r="G161" s="411">
        <f t="shared" si="32"/>
        <v>97815674.270000011</v>
      </c>
      <c r="H161" s="411">
        <f t="shared" si="33"/>
        <v>881.54804066210966</v>
      </c>
      <c r="I161" s="412">
        <f t="shared" si="34"/>
        <v>32068500</v>
      </c>
      <c r="J161" s="412">
        <f t="shared" si="35"/>
        <v>33854715</v>
      </c>
      <c r="K161" s="412">
        <f t="shared" si="36"/>
        <v>321.37729399064409</v>
      </c>
      <c r="L161" s="413">
        <f t="shared" si="37"/>
        <v>60847530</v>
      </c>
      <c r="M161" s="413">
        <f t="shared" si="38"/>
        <v>63960959</v>
      </c>
      <c r="N161" s="413">
        <f t="shared" si="39"/>
        <v>3113429</v>
      </c>
      <c r="O161" s="413">
        <f t="shared" si="40"/>
        <v>560.17074487225625</v>
      </c>
      <c r="P161" s="414">
        <f t="shared" si="41"/>
        <v>0.05</v>
      </c>
      <c r="Q161" s="415"/>
      <c r="S161" s="9"/>
      <c r="T161" s="28"/>
      <c r="U161" s="28"/>
      <c r="V161" s="28"/>
    </row>
    <row r="162" spans="1:22">
      <c r="A162" s="6">
        <v>238</v>
      </c>
      <c r="B162" s="6" t="s">
        <v>1356</v>
      </c>
      <c r="C162" s="410">
        <f t="shared" si="28"/>
        <v>655</v>
      </c>
      <c r="D162" s="410">
        <f t="shared" si="29"/>
        <v>633</v>
      </c>
      <c r="E162" s="410">
        <f t="shared" si="30"/>
        <v>-22</v>
      </c>
      <c r="F162" s="411">
        <f t="shared" si="31"/>
        <v>8340185.2700000005</v>
      </c>
      <c r="G162" s="411">
        <f t="shared" si="32"/>
        <v>8367252.290000001</v>
      </c>
      <c r="H162" s="411">
        <f t="shared" si="33"/>
        <v>42.759905213270905</v>
      </c>
      <c r="I162" s="412">
        <f t="shared" si="34"/>
        <v>6122586</v>
      </c>
      <c r="J162" s="412">
        <f t="shared" si="35"/>
        <v>6374798</v>
      </c>
      <c r="K162" s="412">
        <f t="shared" si="36"/>
        <v>398.43917851500788</v>
      </c>
      <c r="L162" s="413">
        <f t="shared" si="37"/>
        <v>3027041</v>
      </c>
      <c r="M162" s="413">
        <f t="shared" si="38"/>
        <v>3092873</v>
      </c>
      <c r="N162" s="413">
        <f t="shared" si="39"/>
        <v>65832</v>
      </c>
      <c r="O162" s="413">
        <f t="shared" si="40"/>
        <v>104</v>
      </c>
      <c r="P162" s="414">
        <f t="shared" si="41"/>
        <v>0.02</v>
      </c>
      <c r="Q162" s="415"/>
      <c r="S162" s="9"/>
      <c r="T162" s="28"/>
      <c r="U162" s="28"/>
      <c r="V162" s="28"/>
    </row>
    <row r="163" spans="1:22">
      <c r="A163" s="6">
        <v>239</v>
      </c>
      <c r="B163" s="6" t="s">
        <v>1357</v>
      </c>
      <c r="C163" s="410">
        <f t="shared" si="28"/>
        <v>7691</v>
      </c>
      <c r="D163" s="410">
        <f t="shared" si="29"/>
        <v>7591</v>
      </c>
      <c r="E163" s="410">
        <f t="shared" si="30"/>
        <v>-100</v>
      </c>
      <c r="F163" s="411">
        <f t="shared" si="31"/>
        <v>111949866.57694001</v>
      </c>
      <c r="G163" s="411">
        <f t="shared" si="32"/>
        <v>112170810.485</v>
      </c>
      <c r="H163" s="411">
        <f t="shared" si="33"/>
        <v>29.10603452245876</v>
      </c>
      <c r="I163" s="412">
        <f t="shared" si="34"/>
        <v>83683584</v>
      </c>
      <c r="J163" s="412">
        <f t="shared" si="35"/>
        <v>88503759</v>
      </c>
      <c r="K163" s="412">
        <f t="shared" si="36"/>
        <v>634.98550915557894</v>
      </c>
      <c r="L163" s="413">
        <f t="shared" si="37"/>
        <v>28266283</v>
      </c>
      <c r="M163" s="413">
        <f t="shared" si="38"/>
        <v>29055747</v>
      </c>
      <c r="N163" s="413">
        <f t="shared" si="39"/>
        <v>789464</v>
      </c>
      <c r="O163" s="413">
        <f t="shared" si="40"/>
        <v>104</v>
      </c>
      <c r="P163" s="414">
        <f t="shared" si="41"/>
        <v>0.03</v>
      </c>
      <c r="Q163" s="415"/>
      <c r="S163" s="9"/>
      <c r="T163" s="28"/>
      <c r="U163" s="28"/>
      <c r="V163" s="28"/>
    </row>
    <row r="164" spans="1:22">
      <c r="A164" s="6">
        <v>240</v>
      </c>
      <c r="B164" s="6" t="s">
        <v>1358</v>
      </c>
      <c r="C164" s="410">
        <f t="shared" si="28"/>
        <v>251</v>
      </c>
      <c r="D164" s="410">
        <f t="shared" si="29"/>
        <v>263</v>
      </c>
      <c r="E164" s="410">
        <f t="shared" si="30"/>
        <v>12</v>
      </c>
      <c r="F164" s="411">
        <f t="shared" si="31"/>
        <v>3146739.0944000003</v>
      </c>
      <c r="G164" s="411">
        <f t="shared" si="32"/>
        <v>3445673.1154400003</v>
      </c>
      <c r="H164" s="411">
        <f t="shared" si="33"/>
        <v>1136.6312587072243</v>
      </c>
      <c r="I164" s="412">
        <f t="shared" si="34"/>
        <v>2196202</v>
      </c>
      <c r="J164" s="412">
        <f t="shared" si="35"/>
        <v>2338631</v>
      </c>
      <c r="K164" s="412">
        <f t="shared" si="36"/>
        <v>541.55513307984791</v>
      </c>
      <c r="L164" s="413">
        <f t="shared" si="37"/>
        <v>950537</v>
      </c>
      <c r="M164" s="413">
        <f t="shared" si="38"/>
        <v>1107042</v>
      </c>
      <c r="N164" s="413">
        <f t="shared" si="39"/>
        <v>156505</v>
      </c>
      <c r="O164" s="413">
        <f t="shared" si="40"/>
        <v>595.0760456273764</v>
      </c>
      <c r="P164" s="414">
        <f t="shared" si="41"/>
        <v>0.16</v>
      </c>
      <c r="Q164" s="415"/>
      <c r="S164" s="9"/>
      <c r="T164" s="28"/>
      <c r="U164" s="28"/>
      <c r="V164" s="28"/>
    </row>
    <row r="165" spans="1:22">
      <c r="A165" s="6">
        <v>242</v>
      </c>
      <c r="B165" s="6" t="s">
        <v>1360</v>
      </c>
      <c r="C165" s="410">
        <f t="shared" si="28"/>
        <v>98</v>
      </c>
      <c r="D165" s="410">
        <f t="shared" si="29"/>
        <v>87</v>
      </c>
      <c r="E165" s="410">
        <f t="shared" si="30"/>
        <v>-11</v>
      </c>
      <c r="F165" s="411">
        <f t="shared" si="31"/>
        <v>1708796.98</v>
      </c>
      <c r="G165" s="411">
        <f t="shared" si="32"/>
        <v>1580908.4799999997</v>
      </c>
      <c r="H165" s="411">
        <f t="shared" si="33"/>
        <v>-1469.9827586206923</v>
      </c>
      <c r="I165" s="412">
        <f t="shared" si="34"/>
        <v>1409758</v>
      </c>
      <c r="J165" s="412">
        <f t="shared" si="35"/>
        <v>1304249</v>
      </c>
      <c r="K165" s="412">
        <f t="shared" si="36"/>
        <v>-1212.7471264367816</v>
      </c>
      <c r="L165" s="413">
        <f t="shared" si="37"/>
        <v>305451</v>
      </c>
      <c r="M165" s="413">
        <f t="shared" si="38"/>
        <v>314499</v>
      </c>
      <c r="N165" s="413">
        <f t="shared" si="39"/>
        <v>9048</v>
      </c>
      <c r="O165" s="413">
        <f t="shared" si="40"/>
        <v>104</v>
      </c>
      <c r="P165" s="414">
        <f t="shared" si="41"/>
        <v>0.03</v>
      </c>
      <c r="Q165" s="415"/>
      <c r="S165" s="9"/>
      <c r="T165" s="28"/>
      <c r="U165" s="28"/>
      <c r="V165" s="28"/>
    </row>
    <row r="166" spans="1:22">
      <c r="A166" s="6">
        <v>243</v>
      </c>
      <c r="B166" s="6" t="s">
        <v>1361</v>
      </c>
      <c r="C166" s="410">
        <f t="shared" si="28"/>
        <v>9715</v>
      </c>
      <c r="D166" s="410">
        <f t="shared" si="29"/>
        <v>9799</v>
      </c>
      <c r="E166" s="410">
        <f t="shared" si="30"/>
        <v>84</v>
      </c>
      <c r="F166" s="411">
        <f t="shared" si="31"/>
        <v>164068488.81255996</v>
      </c>
      <c r="G166" s="411">
        <f t="shared" si="32"/>
        <v>167877095.85800001</v>
      </c>
      <c r="H166" s="411">
        <f t="shared" si="33"/>
        <v>388.67303249719851</v>
      </c>
      <c r="I166" s="412">
        <f t="shared" si="34"/>
        <v>118960682</v>
      </c>
      <c r="J166" s="412">
        <f t="shared" si="35"/>
        <v>127478124</v>
      </c>
      <c r="K166" s="412">
        <f t="shared" si="36"/>
        <v>869.21543014593328</v>
      </c>
      <c r="L166" s="413">
        <f t="shared" si="37"/>
        <v>45107807</v>
      </c>
      <c r="M166" s="413">
        <f t="shared" si="38"/>
        <v>46126903</v>
      </c>
      <c r="N166" s="413">
        <f t="shared" si="39"/>
        <v>1019096</v>
      </c>
      <c r="O166" s="413">
        <f t="shared" si="40"/>
        <v>104</v>
      </c>
      <c r="P166" s="414">
        <f t="shared" si="41"/>
        <v>0.02</v>
      </c>
      <c r="Q166" s="415"/>
      <c r="S166" s="9"/>
      <c r="T166" s="28"/>
      <c r="U166" s="28"/>
      <c r="V166" s="28"/>
    </row>
    <row r="167" spans="1:22">
      <c r="A167" s="6">
        <v>244</v>
      </c>
      <c r="B167" s="6" t="s">
        <v>1362</v>
      </c>
      <c r="C167" s="410">
        <f t="shared" si="28"/>
        <v>3050</v>
      </c>
      <c r="D167" s="410">
        <f t="shared" si="29"/>
        <v>3105</v>
      </c>
      <c r="E167" s="410">
        <f t="shared" si="30"/>
        <v>55</v>
      </c>
      <c r="F167" s="411">
        <f t="shared" si="31"/>
        <v>50608513.309120007</v>
      </c>
      <c r="G167" s="411">
        <f t="shared" si="32"/>
        <v>53653467.411599994</v>
      </c>
      <c r="H167" s="411">
        <f t="shared" si="33"/>
        <v>980.66154669242735</v>
      </c>
      <c r="I167" s="412">
        <f t="shared" si="34"/>
        <v>26405867</v>
      </c>
      <c r="J167" s="412">
        <f t="shared" si="35"/>
        <v>27738483</v>
      </c>
      <c r="K167" s="412">
        <f t="shared" si="36"/>
        <v>429.18389694041866</v>
      </c>
      <c r="L167" s="413">
        <f t="shared" si="37"/>
        <v>24202646</v>
      </c>
      <c r="M167" s="413">
        <f t="shared" si="38"/>
        <v>25914984</v>
      </c>
      <c r="N167" s="413">
        <f t="shared" si="39"/>
        <v>1712338</v>
      </c>
      <c r="O167" s="413">
        <f t="shared" si="40"/>
        <v>551.47761674718197</v>
      </c>
      <c r="P167" s="414">
        <f t="shared" si="41"/>
        <v>7.0000000000000007E-2</v>
      </c>
      <c r="Q167" s="415"/>
      <c r="S167" s="9"/>
      <c r="T167" s="28"/>
      <c r="U167" s="28"/>
      <c r="V167" s="28"/>
    </row>
    <row r="168" spans="1:22">
      <c r="A168" s="6">
        <v>246</v>
      </c>
      <c r="B168" s="6" t="s">
        <v>1364</v>
      </c>
      <c r="C168" s="410">
        <f t="shared" si="28"/>
        <v>3708</v>
      </c>
      <c r="D168" s="410">
        <f t="shared" si="29"/>
        <v>3676</v>
      </c>
      <c r="E168" s="410">
        <f t="shared" si="30"/>
        <v>-32</v>
      </c>
      <c r="F168" s="411">
        <f t="shared" si="31"/>
        <v>46064559.298859999</v>
      </c>
      <c r="G168" s="411">
        <f t="shared" si="32"/>
        <v>47040957.59142001</v>
      </c>
      <c r="H168" s="411">
        <f t="shared" si="33"/>
        <v>265.61433421110206</v>
      </c>
      <c r="I168" s="412">
        <f t="shared" si="34"/>
        <v>37284680</v>
      </c>
      <c r="J168" s="412">
        <f t="shared" si="35"/>
        <v>38808790</v>
      </c>
      <c r="K168" s="412">
        <f t="shared" si="36"/>
        <v>414.61099020674646</v>
      </c>
      <c r="L168" s="413">
        <f t="shared" si="37"/>
        <v>11394279</v>
      </c>
      <c r="M168" s="413">
        <f t="shared" si="38"/>
        <v>11776583</v>
      </c>
      <c r="N168" s="413">
        <f t="shared" si="39"/>
        <v>382304</v>
      </c>
      <c r="O168" s="413">
        <f t="shared" si="40"/>
        <v>104</v>
      </c>
      <c r="P168" s="414">
        <f t="shared" si="41"/>
        <v>0.03</v>
      </c>
      <c r="Q168" s="415"/>
      <c r="S168" s="9"/>
      <c r="T168" s="28"/>
      <c r="U168" s="28"/>
      <c r="V168" s="28"/>
    </row>
    <row r="169" spans="1:22">
      <c r="A169" s="6">
        <v>248</v>
      </c>
      <c r="B169" s="6" t="s">
        <v>1366</v>
      </c>
      <c r="C169" s="410">
        <f t="shared" si="28"/>
        <v>7955</v>
      </c>
      <c r="D169" s="410">
        <f t="shared" si="29"/>
        <v>8010</v>
      </c>
      <c r="E169" s="410">
        <f t="shared" si="30"/>
        <v>55</v>
      </c>
      <c r="F169" s="411">
        <f t="shared" si="31"/>
        <v>142967579.12336001</v>
      </c>
      <c r="G169" s="411">
        <f t="shared" si="32"/>
        <v>150716408.54799998</v>
      </c>
      <c r="H169" s="411">
        <f t="shared" si="33"/>
        <v>967.394435036201</v>
      </c>
      <c r="I169" s="412">
        <f t="shared" si="34"/>
        <v>44549397</v>
      </c>
      <c r="J169" s="412">
        <f t="shared" si="35"/>
        <v>48522644</v>
      </c>
      <c r="K169" s="412">
        <f t="shared" si="36"/>
        <v>496.03583021223471</v>
      </c>
      <c r="L169" s="413">
        <f t="shared" si="37"/>
        <v>98418182</v>
      </c>
      <c r="M169" s="413">
        <f t="shared" si="38"/>
        <v>102193765</v>
      </c>
      <c r="N169" s="413">
        <f t="shared" si="39"/>
        <v>3775583</v>
      </c>
      <c r="O169" s="413">
        <f t="shared" si="40"/>
        <v>471.35867665418226</v>
      </c>
      <c r="P169" s="414">
        <f t="shared" si="41"/>
        <v>0.04</v>
      </c>
      <c r="Q169" s="415"/>
      <c r="S169" s="9"/>
      <c r="T169" s="28"/>
      <c r="U169" s="28"/>
      <c r="V169" s="28"/>
    </row>
    <row r="170" spans="1:22">
      <c r="A170" s="6">
        <v>249</v>
      </c>
      <c r="B170" s="6" t="s">
        <v>1367</v>
      </c>
      <c r="C170" s="410">
        <f t="shared" si="28"/>
        <v>120</v>
      </c>
      <c r="D170" s="410">
        <f t="shared" si="29"/>
        <v>122</v>
      </c>
      <c r="E170" s="410">
        <f t="shared" si="30"/>
        <v>2</v>
      </c>
      <c r="F170" s="411">
        <f t="shared" si="31"/>
        <v>1653453.7499999998</v>
      </c>
      <c r="G170" s="411">
        <f t="shared" si="32"/>
        <v>1660447.3899999997</v>
      </c>
      <c r="H170" s="411">
        <f t="shared" si="33"/>
        <v>57.324918032786044</v>
      </c>
      <c r="I170" s="412">
        <f t="shared" si="34"/>
        <v>1364099</v>
      </c>
      <c r="J170" s="412">
        <f t="shared" si="35"/>
        <v>1369869</v>
      </c>
      <c r="K170" s="412">
        <f t="shared" si="36"/>
        <v>47.295081967213115</v>
      </c>
      <c r="L170" s="413">
        <f t="shared" si="37"/>
        <v>522455</v>
      </c>
      <c r="M170" s="413">
        <f t="shared" si="38"/>
        <v>535143</v>
      </c>
      <c r="N170" s="413">
        <f t="shared" si="39"/>
        <v>12688</v>
      </c>
      <c r="O170" s="413">
        <f t="shared" si="40"/>
        <v>104</v>
      </c>
      <c r="P170" s="414">
        <f t="shared" si="41"/>
        <v>0.02</v>
      </c>
      <c r="Q170" s="415"/>
      <c r="S170" s="9"/>
      <c r="T170" s="28"/>
      <c r="U170" s="28"/>
      <c r="V170" s="28"/>
    </row>
    <row r="171" spans="1:22">
      <c r="A171" s="6">
        <v>250</v>
      </c>
      <c r="B171" s="6" t="s">
        <v>1368</v>
      </c>
      <c r="C171" s="410">
        <f t="shared" si="28"/>
        <v>499</v>
      </c>
      <c r="D171" s="410">
        <f t="shared" si="29"/>
        <v>500</v>
      </c>
      <c r="E171" s="410">
        <f t="shared" si="30"/>
        <v>1</v>
      </c>
      <c r="F171" s="411">
        <f t="shared" si="31"/>
        <v>6163095.8600000003</v>
      </c>
      <c r="G171" s="411">
        <f t="shared" si="32"/>
        <v>6292946.6200000001</v>
      </c>
      <c r="H171" s="411">
        <f t="shared" si="33"/>
        <v>259.70151999999956</v>
      </c>
      <c r="I171" s="412">
        <f t="shared" si="34"/>
        <v>3840072</v>
      </c>
      <c r="J171" s="412">
        <f t="shared" si="35"/>
        <v>4161563</v>
      </c>
      <c r="K171" s="412">
        <f t="shared" si="36"/>
        <v>642.98199999999997</v>
      </c>
      <c r="L171" s="413">
        <f t="shared" si="37"/>
        <v>2414282</v>
      </c>
      <c r="M171" s="413">
        <f t="shared" si="38"/>
        <v>2466282</v>
      </c>
      <c r="N171" s="413">
        <f t="shared" si="39"/>
        <v>52000</v>
      </c>
      <c r="O171" s="413">
        <f t="shared" si="40"/>
        <v>104</v>
      </c>
      <c r="P171" s="414">
        <f t="shared" si="41"/>
        <v>0.02</v>
      </c>
      <c r="Q171" s="415"/>
      <c r="S171" s="9"/>
      <c r="T171" s="28"/>
      <c r="U171" s="28"/>
      <c r="V171" s="28"/>
    </row>
    <row r="172" spans="1:22">
      <c r="A172" s="6">
        <v>251</v>
      </c>
      <c r="B172" s="6" t="s">
        <v>1369</v>
      </c>
      <c r="C172" s="410">
        <f t="shared" si="28"/>
        <v>2213</v>
      </c>
      <c r="D172" s="410">
        <f t="shared" si="29"/>
        <v>2186</v>
      </c>
      <c r="E172" s="410">
        <f t="shared" si="30"/>
        <v>-27</v>
      </c>
      <c r="F172" s="411">
        <f t="shared" si="31"/>
        <v>34848972.482560009</v>
      </c>
      <c r="G172" s="411">
        <f t="shared" si="32"/>
        <v>35665890.654100001</v>
      </c>
      <c r="H172" s="411">
        <f t="shared" si="33"/>
        <v>373.7045615461995</v>
      </c>
      <c r="I172" s="412">
        <f t="shared" si="34"/>
        <v>16311436</v>
      </c>
      <c r="J172" s="412">
        <f t="shared" si="35"/>
        <v>17102717</v>
      </c>
      <c r="K172" s="412">
        <f t="shared" si="36"/>
        <v>361.97666971637693</v>
      </c>
      <c r="L172" s="413">
        <f t="shared" si="37"/>
        <v>18537536</v>
      </c>
      <c r="M172" s="413">
        <f t="shared" si="38"/>
        <v>18764880</v>
      </c>
      <c r="N172" s="413">
        <f t="shared" si="39"/>
        <v>227344</v>
      </c>
      <c r="O172" s="413">
        <f t="shared" si="40"/>
        <v>104</v>
      </c>
      <c r="P172" s="414">
        <f t="shared" si="41"/>
        <v>0.01</v>
      </c>
      <c r="Q172" s="415"/>
      <c r="S172" s="9"/>
      <c r="T172" s="28"/>
      <c r="U172" s="28"/>
      <c r="V172" s="28"/>
    </row>
    <row r="173" spans="1:22">
      <c r="A173" s="6">
        <v>252</v>
      </c>
      <c r="B173" s="6" t="s">
        <v>1370</v>
      </c>
      <c r="C173" s="410">
        <f t="shared" si="28"/>
        <v>587</v>
      </c>
      <c r="D173" s="410">
        <f t="shared" si="29"/>
        <v>555</v>
      </c>
      <c r="E173" s="410">
        <f t="shared" si="30"/>
        <v>-32</v>
      </c>
      <c r="F173" s="411">
        <f t="shared" si="31"/>
        <v>8129580.1188599998</v>
      </c>
      <c r="G173" s="411">
        <f t="shared" si="32"/>
        <v>7652804.31757</v>
      </c>
      <c r="H173" s="411">
        <f t="shared" si="33"/>
        <v>-859.05549781981961</v>
      </c>
      <c r="I173" s="412">
        <f t="shared" si="34"/>
        <v>6706904</v>
      </c>
      <c r="J173" s="412">
        <f t="shared" si="35"/>
        <v>6313563</v>
      </c>
      <c r="K173" s="412">
        <f t="shared" si="36"/>
        <v>-708.72252252252247</v>
      </c>
      <c r="L173" s="413">
        <f t="shared" si="37"/>
        <v>1590746</v>
      </c>
      <c r="M173" s="413">
        <f t="shared" si="38"/>
        <v>1648466</v>
      </c>
      <c r="N173" s="413">
        <f t="shared" si="39"/>
        <v>57720</v>
      </c>
      <c r="O173" s="413">
        <f t="shared" si="40"/>
        <v>104</v>
      </c>
      <c r="P173" s="414">
        <f t="shared" si="41"/>
        <v>0.04</v>
      </c>
      <c r="Q173" s="415"/>
      <c r="S173" s="9"/>
      <c r="T173" s="28"/>
      <c r="U173" s="28"/>
      <c r="V173" s="28"/>
    </row>
    <row r="174" spans="1:22">
      <c r="A174" s="6">
        <v>253</v>
      </c>
      <c r="B174" s="6" t="s">
        <v>1371</v>
      </c>
      <c r="C174" s="410">
        <f t="shared" si="28"/>
        <v>41</v>
      </c>
      <c r="D174" s="410">
        <f t="shared" si="29"/>
        <v>45</v>
      </c>
      <c r="E174" s="410">
        <f t="shared" si="30"/>
        <v>4</v>
      </c>
      <c r="F174" s="411">
        <f t="shared" si="31"/>
        <v>751366.82</v>
      </c>
      <c r="G174" s="411">
        <f t="shared" si="32"/>
        <v>784243.28</v>
      </c>
      <c r="H174" s="411">
        <f t="shared" si="33"/>
        <v>730.58800000000178</v>
      </c>
      <c r="I174" s="412">
        <f t="shared" si="34"/>
        <v>619878</v>
      </c>
      <c r="J174" s="412">
        <f t="shared" si="35"/>
        <v>647001</v>
      </c>
      <c r="K174" s="412">
        <f t="shared" si="36"/>
        <v>602.73333333333335</v>
      </c>
      <c r="L174" s="413">
        <f t="shared" si="37"/>
        <v>146165</v>
      </c>
      <c r="M174" s="413">
        <f t="shared" si="38"/>
        <v>150845</v>
      </c>
      <c r="N174" s="413">
        <f t="shared" si="39"/>
        <v>4680</v>
      </c>
      <c r="O174" s="413">
        <f t="shared" si="40"/>
        <v>104</v>
      </c>
      <c r="P174" s="414">
        <f t="shared" si="41"/>
        <v>0.03</v>
      </c>
      <c r="Q174" s="415"/>
      <c r="S174" s="9"/>
      <c r="T174" s="28"/>
      <c r="U174" s="28"/>
      <c r="V174" s="28"/>
    </row>
    <row r="175" spans="1:22">
      <c r="A175" s="6">
        <v>258</v>
      </c>
      <c r="B175" s="6" t="s">
        <v>1376</v>
      </c>
      <c r="C175" s="410">
        <f t="shared" si="28"/>
        <v>4202</v>
      </c>
      <c r="D175" s="410">
        <f t="shared" si="29"/>
        <v>4290</v>
      </c>
      <c r="E175" s="410">
        <f t="shared" si="30"/>
        <v>88</v>
      </c>
      <c r="F175" s="411">
        <f t="shared" si="31"/>
        <v>69935642.150000006</v>
      </c>
      <c r="G175" s="411">
        <f t="shared" si="32"/>
        <v>75190968.379999995</v>
      </c>
      <c r="H175" s="411">
        <f t="shared" si="33"/>
        <v>1225.0177692307668</v>
      </c>
      <c r="I175" s="412">
        <f t="shared" si="34"/>
        <v>42479762</v>
      </c>
      <c r="J175" s="412">
        <f t="shared" si="35"/>
        <v>45548652</v>
      </c>
      <c r="K175" s="412">
        <f t="shared" si="36"/>
        <v>715.35897435897436</v>
      </c>
      <c r="L175" s="413">
        <f t="shared" si="37"/>
        <v>27455880</v>
      </c>
      <c r="M175" s="413">
        <f t="shared" si="38"/>
        <v>29642316</v>
      </c>
      <c r="N175" s="413">
        <f t="shared" si="39"/>
        <v>2186436</v>
      </c>
      <c r="O175" s="413">
        <f t="shared" si="40"/>
        <v>509.65874125874126</v>
      </c>
      <c r="P175" s="414">
        <f t="shared" si="41"/>
        <v>0.08</v>
      </c>
      <c r="Q175" s="415"/>
      <c r="S175" s="9"/>
      <c r="T175" s="28"/>
      <c r="U175" s="28"/>
      <c r="V175" s="28"/>
    </row>
    <row r="176" spans="1:22">
      <c r="A176" s="6">
        <v>261</v>
      </c>
      <c r="B176" s="6" t="s">
        <v>1379</v>
      </c>
      <c r="C176" s="410">
        <f t="shared" si="28"/>
        <v>2276</v>
      </c>
      <c r="D176" s="410">
        <f t="shared" si="29"/>
        <v>2227</v>
      </c>
      <c r="E176" s="410">
        <f t="shared" si="30"/>
        <v>-49</v>
      </c>
      <c r="F176" s="411">
        <f t="shared" si="31"/>
        <v>29251950.23</v>
      </c>
      <c r="G176" s="411">
        <f t="shared" si="32"/>
        <v>29473433.750000004</v>
      </c>
      <c r="H176" s="411">
        <f t="shared" si="33"/>
        <v>99.453758419399762</v>
      </c>
      <c r="I176" s="412">
        <f t="shared" si="34"/>
        <v>24132859</v>
      </c>
      <c r="J176" s="412">
        <f t="shared" si="35"/>
        <v>24315583</v>
      </c>
      <c r="K176" s="412">
        <f t="shared" si="36"/>
        <v>82.049393803322857</v>
      </c>
      <c r="L176" s="413">
        <f t="shared" si="37"/>
        <v>7508068</v>
      </c>
      <c r="M176" s="413">
        <f t="shared" si="38"/>
        <v>7739676</v>
      </c>
      <c r="N176" s="413">
        <f t="shared" si="39"/>
        <v>231608</v>
      </c>
      <c r="O176" s="413">
        <f t="shared" si="40"/>
        <v>104</v>
      </c>
      <c r="P176" s="414">
        <f t="shared" si="41"/>
        <v>0.03</v>
      </c>
      <c r="Q176" s="415"/>
      <c r="S176" s="9"/>
      <c r="T176" s="28"/>
      <c r="U176" s="28"/>
      <c r="V176" s="28"/>
    </row>
    <row r="177" spans="1:22">
      <c r="A177" s="6">
        <v>262</v>
      </c>
      <c r="B177" s="6" t="s">
        <v>1380</v>
      </c>
      <c r="C177" s="410">
        <f t="shared" si="28"/>
        <v>2830</v>
      </c>
      <c r="D177" s="410">
        <f t="shared" si="29"/>
        <v>2977</v>
      </c>
      <c r="E177" s="410">
        <f t="shared" si="30"/>
        <v>147</v>
      </c>
      <c r="F177" s="411">
        <f t="shared" si="31"/>
        <v>42085454.029999994</v>
      </c>
      <c r="G177" s="411">
        <f t="shared" si="32"/>
        <v>46319897.799999997</v>
      </c>
      <c r="H177" s="411">
        <f t="shared" si="33"/>
        <v>1422.3862176687951</v>
      </c>
      <c r="I177" s="412">
        <f t="shared" si="34"/>
        <v>30096004</v>
      </c>
      <c r="J177" s="412">
        <f t="shared" si="35"/>
        <v>32254007</v>
      </c>
      <c r="K177" s="412">
        <f t="shared" si="36"/>
        <v>724.89183742022169</v>
      </c>
      <c r="L177" s="413">
        <f t="shared" si="37"/>
        <v>11989450</v>
      </c>
      <c r="M177" s="413">
        <f t="shared" si="38"/>
        <v>14065891</v>
      </c>
      <c r="N177" s="413">
        <f t="shared" si="39"/>
        <v>2076441</v>
      </c>
      <c r="O177" s="413">
        <f t="shared" si="40"/>
        <v>697.49445750755797</v>
      </c>
      <c r="P177" s="414">
        <f t="shared" si="41"/>
        <v>0.17</v>
      </c>
      <c r="Q177" s="415"/>
      <c r="S177" s="9"/>
      <c r="T177" s="28"/>
      <c r="U177" s="28"/>
      <c r="V177" s="28"/>
    </row>
    <row r="178" spans="1:22">
      <c r="A178" s="6">
        <v>263</v>
      </c>
      <c r="B178" s="6" t="s">
        <v>1381</v>
      </c>
      <c r="C178" s="410">
        <f t="shared" si="28"/>
        <v>40</v>
      </c>
      <c r="D178" s="410">
        <f t="shared" si="29"/>
        <v>35</v>
      </c>
      <c r="E178" s="410">
        <f t="shared" si="30"/>
        <v>-5</v>
      </c>
      <c r="F178" s="411">
        <f t="shared" si="31"/>
        <v>576479.4</v>
      </c>
      <c r="G178" s="411">
        <f t="shared" si="32"/>
        <v>622293.56000000006</v>
      </c>
      <c r="H178" s="411">
        <f t="shared" si="33"/>
        <v>1308.976000000001</v>
      </c>
      <c r="I178" s="412">
        <f t="shared" si="34"/>
        <v>429924</v>
      </c>
      <c r="J178" s="412">
        <f t="shared" si="35"/>
        <v>425422</v>
      </c>
      <c r="K178" s="412">
        <f t="shared" si="36"/>
        <v>-128.62857142857143</v>
      </c>
      <c r="L178" s="413">
        <f t="shared" si="37"/>
        <v>522299</v>
      </c>
      <c r="M178" s="413">
        <f t="shared" si="38"/>
        <v>525939</v>
      </c>
      <c r="N178" s="413">
        <f t="shared" si="39"/>
        <v>3640</v>
      </c>
      <c r="O178" s="413">
        <f t="shared" si="40"/>
        <v>104</v>
      </c>
      <c r="P178" s="414">
        <f t="shared" si="41"/>
        <v>0.01</v>
      </c>
      <c r="Q178" s="415"/>
      <c r="S178" s="9"/>
      <c r="T178" s="28"/>
      <c r="U178" s="28"/>
      <c r="V178" s="28"/>
    </row>
    <row r="179" spans="1:22">
      <c r="A179" s="6">
        <v>264</v>
      </c>
      <c r="B179" s="6" t="s">
        <v>1382</v>
      </c>
      <c r="C179" s="410">
        <f t="shared" si="28"/>
        <v>2763</v>
      </c>
      <c r="D179" s="410">
        <f t="shared" si="29"/>
        <v>2752</v>
      </c>
      <c r="E179" s="410">
        <f t="shared" si="30"/>
        <v>-11</v>
      </c>
      <c r="F179" s="411">
        <f t="shared" si="31"/>
        <v>34295600.022</v>
      </c>
      <c r="G179" s="411">
        <f t="shared" si="32"/>
        <v>35051638.613499999</v>
      </c>
      <c r="H179" s="411">
        <f t="shared" si="33"/>
        <v>274.72332539970898</v>
      </c>
      <c r="I179" s="412">
        <f t="shared" si="34"/>
        <v>27754773</v>
      </c>
      <c r="J179" s="412">
        <f t="shared" si="35"/>
        <v>28917602</v>
      </c>
      <c r="K179" s="412">
        <f t="shared" si="36"/>
        <v>422.53960755813955</v>
      </c>
      <c r="L179" s="413">
        <f t="shared" si="37"/>
        <v>6540827</v>
      </c>
      <c r="M179" s="413">
        <f t="shared" si="38"/>
        <v>6827035</v>
      </c>
      <c r="N179" s="413">
        <f t="shared" si="39"/>
        <v>286208</v>
      </c>
      <c r="O179" s="413">
        <f t="shared" si="40"/>
        <v>104</v>
      </c>
      <c r="P179" s="414">
        <f t="shared" si="41"/>
        <v>0.04</v>
      </c>
      <c r="Q179" s="415"/>
      <c r="S179" s="9"/>
      <c r="T179" s="28"/>
      <c r="U179" s="28"/>
      <c r="V179" s="28"/>
    </row>
    <row r="180" spans="1:22">
      <c r="A180" s="6">
        <v>265</v>
      </c>
      <c r="B180" s="6" t="s">
        <v>1383</v>
      </c>
      <c r="C180" s="410">
        <f t="shared" si="28"/>
        <v>2067</v>
      </c>
      <c r="D180" s="410">
        <f t="shared" si="29"/>
        <v>2076</v>
      </c>
      <c r="E180" s="410">
        <f t="shared" si="30"/>
        <v>9</v>
      </c>
      <c r="F180" s="411">
        <f t="shared" si="31"/>
        <v>25865534.950000003</v>
      </c>
      <c r="G180" s="411">
        <f t="shared" si="32"/>
        <v>26822442.259999998</v>
      </c>
      <c r="H180" s="411">
        <f t="shared" si="33"/>
        <v>460.93801059730009</v>
      </c>
      <c r="I180" s="412">
        <f t="shared" si="34"/>
        <v>18110661</v>
      </c>
      <c r="J180" s="412">
        <f t="shared" si="35"/>
        <v>19300371</v>
      </c>
      <c r="K180" s="412">
        <f t="shared" si="36"/>
        <v>573.0780346820809</v>
      </c>
      <c r="L180" s="413">
        <f t="shared" si="37"/>
        <v>7754874</v>
      </c>
      <c r="M180" s="413">
        <f t="shared" si="38"/>
        <v>7970778</v>
      </c>
      <c r="N180" s="413">
        <f t="shared" si="39"/>
        <v>215904</v>
      </c>
      <c r="O180" s="413">
        <f t="shared" si="40"/>
        <v>104</v>
      </c>
      <c r="P180" s="414">
        <f t="shared" si="41"/>
        <v>0.03</v>
      </c>
      <c r="Q180" s="415"/>
      <c r="S180" s="9"/>
      <c r="T180" s="28"/>
      <c r="U180" s="28"/>
      <c r="V180" s="28"/>
    </row>
    <row r="181" spans="1:22">
      <c r="A181" s="6">
        <v>266</v>
      </c>
      <c r="B181" s="6" t="s">
        <v>1384</v>
      </c>
      <c r="C181" s="410">
        <f t="shared" si="28"/>
        <v>3495</v>
      </c>
      <c r="D181" s="410">
        <f t="shared" si="29"/>
        <v>3518</v>
      </c>
      <c r="E181" s="410">
        <f t="shared" si="30"/>
        <v>23</v>
      </c>
      <c r="F181" s="411">
        <f t="shared" si="31"/>
        <v>44179615.271480002</v>
      </c>
      <c r="G181" s="411">
        <f t="shared" si="32"/>
        <v>45602230.371939994</v>
      </c>
      <c r="H181" s="411">
        <f t="shared" si="33"/>
        <v>404.38177955087917</v>
      </c>
      <c r="I181" s="412">
        <f t="shared" si="34"/>
        <v>33681121</v>
      </c>
      <c r="J181" s="412">
        <f t="shared" si="35"/>
        <v>35374920</v>
      </c>
      <c r="K181" s="412">
        <f t="shared" si="36"/>
        <v>481.46645821489483</v>
      </c>
      <c r="L181" s="413">
        <f t="shared" si="37"/>
        <v>10498494</v>
      </c>
      <c r="M181" s="413">
        <f t="shared" si="38"/>
        <v>10864366</v>
      </c>
      <c r="N181" s="413">
        <f t="shared" si="39"/>
        <v>365872</v>
      </c>
      <c r="O181" s="413">
        <f t="shared" si="40"/>
        <v>104</v>
      </c>
      <c r="P181" s="414">
        <f t="shared" si="41"/>
        <v>0.03</v>
      </c>
      <c r="Q181" s="415"/>
      <c r="S181" s="9"/>
      <c r="T181" s="28"/>
      <c r="U181" s="28"/>
      <c r="V181" s="28"/>
    </row>
    <row r="182" spans="1:22">
      <c r="A182" s="6">
        <v>269</v>
      </c>
      <c r="B182" s="6" t="s">
        <v>1387</v>
      </c>
      <c r="C182" s="410">
        <f t="shared" si="28"/>
        <v>401</v>
      </c>
      <c r="D182" s="410">
        <f t="shared" si="29"/>
        <v>402</v>
      </c>
      <c r="E182" s="410">
        <f t="shared" si="30"/>
        <v>1</v>
      </c>
      <c r="F182" s="411">
        <f t="shared" si="31"/>
        <v>4685609.0321299993</v>
      </c>
      <c r="G182" s="411">
        <f t="shared" si="32"/>
        <v>4869362.1741699995</v>
      </c>
      <c r="H182" s="411">
        <f t="shared" si="33"/>
        <v>457.09736825870721</v>
      </c>
      <c r="I182" s="412">
        <f t="shared" si="34"/>
        <v>3865627</v>
      </c>
      <c r="J182" s="412">
        <f t="shared" si="35"/>
        <v>4017224</v>
      </c>
      <c r="K182" s="412">
        <f t="shared" si="36"/>
        <v>377.10696517412936</v>
      </c>
      <c r="L182" s="413">
        <f t="shared" si="37"/>
        <v>846957</v>
      </c>
      <c r="M182" s="413">
        <f t="shared" si="38"/>
        <v>888765</v>
      </c>
      <c r="N182" s="413">
        <f t="shared" si="39"/>
        <v>41808</v>
      </c>
      <c r="O182" s="413">
        <f t="shared" si="40"/>
        <v>104</v>
      </c>
      <c r="P182" s="414">
        <f t="shared" si="41"/>
        <v>0.05</v>
      </c>
      <c r="Q182" s="415"/>
      <c r="S182" s="9"/>
      <c r="T182" s="28"/>
      <c r="U182" s="28"/>
      <c r="V182" s="28"/>
    </row>
    <row r="183" spans="1:22">
      <c r="A183" s="6">
        <v>271</v>
      </c>
      <c r="B183" s="6" t="s">
        <v>1389</v>
      </c>
      <c r="C183" s="410">
        <f t="shared" si="28"/>
        <v>5972</v>
      </c>
      <c r="D183" s="410">
        <f t="shared" si="29"/>
        <v>5998</v>
      </c>
      <c r="E183" s="410">
        <f t="shared" si="30"/>
        <v>26</v>
      </c>
      <c r="F183" s="411">
        <f t="shared" si="31"/>
        <v>74633713.99000001</v>
      </c>
      <c r="G183" s="411">
        <f t="shared" si="32"/>
        <v>77754351.169999987</v>
      </c>
      <c r="H183" s="411">
        <f t="shared" si="33"/>
        <v>520.27962320773213</v>
      </c>
      <c r="I183" s="412">
        <f t="shared" si="34"/>
        <v>57993834</v>
      </c>
      <c r="J183" s="412">
        <f t="shared" si="35"/>
        <v>60858729</v>
      </c>
      <c r="K183" s="412">
        <f t="shared" si="36"/>
        <v>477.64171390463486</v>
      </c>
      <c r="L183" s="413">
        <f t="shared" si="37"/>
        <v>20971468</v>
      </c>
      <c r="M183" s="413">
        <f t="shared" si="38"/>
        <v>21595260</v>
      </c>
      <c r="N183" s="413">
        <f t="shared" si="39"/>
        <v>623792</v>
      </c>
      <c r="O183" s="413">
        <f t="shared" si="40"/>
        <v>104</v>
      </c>
      <c r="P183" s="414">
        <f t="shared" si="41"/>
        <v>0.03</v>
      </c>
      <c r="Q183" s="415"/>
      <c r="S183" s="9"/>
      <c r="T183" s="28"/>
      <c r="U183" s="28"/>
      <c r="V183" s="28"/>
    </row>
    <row r="184" spans="1:22">
      <c r="A184" s="6">
        <v>272</v>
      </c>
      <c r="B184" s="6" t="s">
        <v>1390</v>
      </c>
      <c r="C184" s="410">
        <f t="shared" si="28"/>
        <v>111</v>
      </c>
      <c r="D184" s="410">
        <f t="shared" si="29"/>
        <v>99</v>
      </c>
      <c r="E184" s="410">
        <f t="shared" si="30"/>
        <v>-12</v>
      </c>
      <c r="F184" s="411">
        <f t="shared" si="31"/>
        <v>1442294.2199999997</v>
      </c>
      <c r="G184" s="411">
        <f t="shared" si="32"/>
        <v>1330308.4500000002</v>
      </c>
      <c r="H184" s="411">
        <f t="shared" si="33"/>
        <v>-1131.1693939393895</v>
      </c>
      <c r="I184" s="412">
        <f t="shared" si="34"/>
        <v>820401</v>
      </c>
      <c r="J184" s="412">
        <f t="shared" si="35"/>
        <v>822355</v>
      </c>
      <c r="K184" s="412">
        <f t="shared" si="36"/>
        <v>19.737373737373737</v>
      </c>
      <c r="L184" s="413">
        <f t="shared" si="37"/>
        <v>645986</v>
      </c>
      <c r="M184" s="413">
        <f t="shared" si="38"/>
        <v>656282</v>
      </c>
      <c r="N184" s="413">
        <f t="shared" si="39"/>
        <v>10296</v>
      </c>
      <c r="O184" s="413">
        <f t="shared" si="40"/>
        <v>104</v>
      </c>
      <c r="P184" s="414">
        <f t="shared" si="41"/>
        <v>0.02</v>
      </c>
      <c r="Q184" s="415"/>
      <c r="S184" s="9"/>
      <c r="T184" s="28"/>
      <c r="U184" s="28"/>
      <c r="V184" s="28"/>
    </row>
    <row r="185" spans="1:22">
      <c r="A185" s="6">
        <v>273</v>
      </c>
      <c r="B185" s="6" t="s">
        <v>1391</v>
      </c>
      <c r="C185" s="410">
        <f t="shared" si="28"/>
        <v>1628</v>
      </c>
      <c r="D185" s="410">
        <f t="shared" si="29"/>
        <v>1587</v>
      </c>
      <c r="E185" s="410">
        <f t="shared" si="30"/>
        <v>-41</v>
      </c>
      <c r="F185" s="411">
        <f t="shared" si="31"/>
        <v>21144659.59</v>
      </c>
      <c r="G185" s="411">
        <f t="shared" si="32"/>
        <v>20961593.84</v>
      </c>
      <c r="H185" s="411">
        <f t="shared" si="33"/>
        <v>-115.35333963453056</v>
      </c>
      <c r="I185" s="412">
        <f t="shared" si="34"/>
        <v>10510731</v>
      </c>
      <c r="J185" s="412">
        <f t="shared" si="35"/>
        <v>10906308</v>
      </c>
      <c r="K185" s="412">
        <f t="shared" si="36"/>
        <v>249.2608695652174</v>
      </c>
      <c r="L185" s="413">
        <f t="shared" si="37"/>
        <v>10633929</v>
      </c>
      <c r="M185" s="413">
        <f t="shared" si="38"/>
        <v>10798977</v>
      </c>
      <c r="N185" s="413">
        <f t="shared" si="39"/>
        <v>165048</v>
      </c>
      <c r="O185" s="413">
        <f t="shared" si="40"/>
        <v>104</v>
      </c>
      <c r="P185" s="414">
        <f t="shared" si="41"/>
        <v>0.02</v>
      </c>
      <c r="Q185" s="415"/>
      <c r="S185" s="9"/>
      <c r="T185" s="28"/>
      <c r="U185" s="28"/>
      <c r="V185" s="28"/>
    </row>
    <row r="186" spans="1:22">
      <c r="A186" s="6">
        <v>274</v>
      </c>
      <c r="B186" s="6" t="s">
        <v>1392</v>
      </c>
      <c r="C186" s="410">
        <f t="shared" si="28"/>
        <v>5100</v>
      </c>
      <c r="D186" s="410">
        <f t="shared" si="29"/>
        <v>5146</v>
      </c>
      <c r="E186" s="410">
        <f t="shared" si="30"/>
        <v>46</v>
      </c>
      <c r="F186" s="411">
        <f t="shared" si="31"/>
        <v>88070540.975499988</v>
      </c>
      <c r="G186" s="411">
        <f t="shared" si="32"/>
        <v>92273702.112999991</v>
      </c>
      <c r="H186" s="411">
        <f t="shared" si="33"/>
        <v>816.78218762145411</v>
      </c>
      <c r="I186" s="412">
        <f t="shared" si="34"/>
        <v>71896983</v>
      </c>
      <c r="J186" s="412">
        <f t="shared" si="35"/>
        <v>76125804</v>
      </c>
      <c r="K186" s="412">
        <f t="shared" si="36"/>
        <v>821.76855810338122</v>
      </c>
      <c r="L186" s="413">
        <f t="shared" si="37"/>
        <v>21245048</v>
      </c>
      <c r="M186" s="413">
        <f t="shared" si="38"/>
        <v>21780232</v>
      </c>
      <c r="N186" s="413">
        <f t="shared" si="39"/>
        <v>535184</v>
      </c>
      <c r="O186" s="413">
        <f t="shared" si="40"/>
        <v>104</v>
      </c>
      <c r="P186" s="414">
        <f t="shared" si="41"/>
        <v>0.03</v>
      </c>
      <c r="Q186" s="415"/>
      <c r="S186" s="9"/>
      <c r="T186" s="28"/>
      <c r="U186" s="28"/>
      <c r="V186" s="28"/>
    </row>
    <row r="187" spans="1:22">
      <c r="A187" s="6">
        <v>275</v>
      </c>
      <c r="B187" s="6" t="s">
        <v>1393</v>
      </c>
      <c r="C187" s="410">
        <f t="shared" si="28"/>
        <v>492</v>
      </c>
      <c r="D187" s="410">
        <f t="shared" si="29"/>
        <v>463</v>
      </c>
      <c r="E187" s="410">
        <f t="shared" si="30"/>
        <v>-29</v>
      </c>
      <c r="F187" s="411">
        <f t="shared" si="31"/>
        <v>6284662</v>
      </c>
      <c r="G187" s="411">
        <f t="shared" si="32"/>
        <v>6090235.1399999997</v>
      </c>
      <c r="H187" s="411">
        <f t="shared" si="33"/>
        <v>-419.92842332613463</v>
      </c>
      <c r="I187" s="412">
        <f t="shared" si="34"/>
        <v>4309371</v>
      </c>
      <c r="J187" s="412">
        <f t="shared" si="35"/>
        <v>4421614</v>
      </c>
      <c r="K187" s="412">
        <f t="shared" si="36"/>
        <v>242.42548596112312</v>
      </c>
      <c r="L187" s="413">
        <f t="shared" si="37"/>
        <v>2623246</v>
      </c>
      <c r="M187" s="413">
        <f t="shared" si="38"/>
        <v>2671398</v>
      </c>
      <c r="N187" s="413">
        <f t="shared" si="39"/>
        <v>48152</v>
      </c>
      <c r="O187" s="413">
        <f t="shared" si="40"/>
        <v>104</v>
      </c>
      <c r="P187" s="414">
        <f t="shared" si="41"/>
        <v>0.02</v>
      </c>
      <c r="Q187" s="415"/>
      <c r="S187" s="9"/>
      <c r="T187" s="28"/>
      <c r="U187" s="28"/>
      <c r="V187" s="28"/>
    </row>
    <row r="188" spans="1:22">
      <c r="A188" s="6">
        <v>276</v>
      </c>
      <c r="B188" s="6" t="s">
        <v>1394</v>
      </c>
      <c r="C188" s="410">
        <f t="shared" si="28"/>
        <v>1200</v>
      </c>
      <c r="D188" s="410">
        <f t="shared" si="29"/>
        <v>1223</v>
      </c>
      <c r="E188" s="410">
        <f t="shared" si="30"/>
        <v>23</v>
      </c>
      <c r="F188" s="411">
        <f t="shared" si="31"/>
        <v>14230837.126399998</v>
      </c>
      <c r="G188" s="411">
        <f t="shared" si="32"/>
        <v>14839839.35713</v>
      </c>
      <c r="H188" s="411">
        <f t="shared" si="33"/>
        <v>497.9576702616539</v>
      </c>
      <c r="I188" s="412">
        <f t="shared" si="34"/>
        <v>11416440</v>
      </c>
      <c r="J188" s="412">
        <f t="shared" si="35"/>
        <v>12011425</v>
      </c>
      <c r="K188" s="412">
        <f t="shared" si="36"/>
        <v>486.49632052330332</v>
      </c>
      <c r="L188" s="413">
        <f t="shared" si="37"/>
        <v>3163171</v>
      </c>
      <c r="M188" s="413">
        <f t="shared" si="38"/>
        <v>3290363</v>
      </c>
      <c r="N188" s="413">
        <f t="shared" si="39"/>
        <v>127192</v>
      </c>
      <c r="O188" s="413">
        <f t="shared" si="40"/>
        <v>104</v>
      </c>
      <c r="P188" s="414">
        <f t="shared" si="41"/>
        <v>0.04</v>
      </c>
      <c r="Q188" s="415"/>
      <c r="S188" s="9"/>
      <c r="T188" s="28"/>
      <c r="U188" s="28"/>
      <c r="V188" s="28"/>
    </row>
    <row r="189" spans="1:22">
      <c r="A189" s="6">
        <v>277</v>
      </c>
      <c r="B189" s="6" t="s">
        <v>1395</v>
      </c>
      <c r="C189" s="410">
        <f t="shared" si="28"/>
        <v>2165</v>
      </c>
      <c r="D189" s="410">
        <f t="shared" si="29"/>
        <v>2248</v>
      </c>
      <c r="E189" s="410">
        <f t="shared" si="30"/>
        <v>83</v>
      </c>
      <c r="F189" s="411">
        <f t="shared" si="31"/>
        <v>38095220.899999999</v>
      </c>
      <c r="G189" s="411">
        <f t="shared" si="32"/>
        <v>41980389.5</v>
      </c>
      <c r="H189" s="411">
        <f t="shared" si="33"/>
        <v>1728.2778469750897</v>
      </c>
      <c r="I189" s="412">
        <f t="shared" si="34"/>
        <v>9107735</v>
      </c>
      <c r="J189" s="412">
        <f t="shared" si="35"/>
        <v>9707895</v>
      </c>
      <c r="K189" s="412">
        <f t="shared" si="36"/>
        <v>266.97508896797154</v>
      </c>
      <c r="L189" s="413">
        <f t="shared" si="37"/>
        <v>28987486</v>
      </c>
      <c r="M189" s="413">
        <f t="shared" si="38"/>
        <v>32272495</v>
      </c>
      <c r="N189" s="413">
        <f t="shared" si="39"/>
        <v>3285009</v>
      </c>
      <c r="O189" s="413">
        <f t="shared" si="40"/>
        <v>1461.3029359430604</v>
      </c>
      <c r="P189" s="414">
        <f t="shared" si="41"/>
        <v>0.11</v>
      </c>
      <c r="Q189" s="415"/>
      <c r="S189" s="9"/>
      <c r="T189" s="28"/>
      <c r="U189" s="28"/>
      <c r="V189" s="28"/>
    </row>
    <row r="190" spans="1:22">
      <c r="A190" s="6">
        <v>278</v>
      </c>
      <c r="B190" s="6" t="s">
        <v>1396</v>
      </c>
      <c r="C190" s="410">
        <f t="shared" si="28"/>
        <v>1859</v>
      </c>
      <c r="D190" s="410">
        <f t="shared" si="29"/>
        <v>1817</v>
      </c>
      <c r="E190" s="410">
        <f t="shared" si="30"/>
        <v>-42</v>
      </c>
      <c r="F190" s="411">
        <f t="shared" si="31"/>
        <v>25928069.819999997</v>
      </c>
      <c r="G190" s="411">
        <f t="shared" si="32"/>
        <v>26078106.460000001</v>
      </c>
      <c r="H190" s="411">
        <f t="shared" si="33"/>
        <v>82.573824986243437</v>
      </c>
      <c r="I190" s="412">
        <f t="shared" si="34"/>
        <v>15249839</v>
      </c>
      <c r="J190" s="412">
        <f t="shared" si="35"/>
        <v>15934556</v>
      </c>
      <c r="K190" s="412">
        <f t="shared" si="36"/>
        <v>376.83929554210238</v>
      </c>
      <c r="L190" s="413">
        <f t="shared" si="37"/>
        <v>10678231</v>
      </c>
      <c r="M190" s="413">
        <f t="shared" si="38"/>
        <v>10867199</v>
      </c>
      <c r="N190" s="413">
        <f t="shared" si="39"/>
        <v>188968</v>
      </c>
      <c r="O190" s="413">
        <f t="shared" si="40"/>
        <v>104</v>
      </c>
      <c r="P190" s="414">
        <f t="shared" si="41"/>
        <v>0.02</v>
      </c>
      <c r="Q190" s="415"/>
      <c r="S190" s="9"/>
      <c r="T190" s="28"/>
      <c r="U190" s="28"/>
      <c r="V190" s="28"/>
    </row>
    <row r="191" spans="1:22">
      <c r="A191" s="6">
        <v>281</v>
      </c>
      <c r="B191" s="6" t="s">
        <v>1399</v>
      </c>
      <c r="C191" s="410">
        <f t="shared" si="28"/>
        <v>28326</v>
      </c>
      <c r="D191" s="410">
        <f t="shared" si="29"/>
        <v>28394</v>
      </c>
      <c r="E191" s="410">
        <f t="shared" si="30"/>
        <v>68</v>
      </c>
      <c r="F191" s="411">
        <f t="shared" si="31"/>
        <v>525763852.88000005</v>
      </c>
      <c r="G191" s="411">
        <f t="shared" si="32"/>
        <v>557622637.52999997</v>
      </c>
      <c r="H191" s="411">
        <f t="shared" si="33"/>
        <v>1122.0252394872127</v>
      </c>
      <c r="I191" s="412">
        <f t="shared" si="34"/>
        <v>48026085</v>
      </c>
      <c r="J191" s="412">
        <f t="shared" si="35"/>
        <v>51503174</v>
      </c>
      <c r="K191" s="412">
        <f t="shared" si="36"/>
        <v>122.45858279918292</v>
      </c>
      <c r="L191" s="413">
        <f t="shared" si="37"/>
        <v>477737768</v>
      </c>
      <c r="M191" s="413">
        <f t="shared" si="38"/>
        <v>506119464</v>
      </c>
      <c r="N191" s="413">
        <f t="shared" si="39"/>
        <v>28381696</v>
      </c>
      <c r="O191" s="413">
        <f t="shared" si="40"/>
        <v>999.5666690145805</v>
      </c>
      <c r="P191" s="414">
        <f t="shared" si="41"/>
        <v>0.06</v>
      </c>
      <c r="Q191" s="415"/>
      <c r="S191" s="9"/>
      <c r="T191" s="28"/>
      <c r="U191" s="28"/>
      <c r="V191" s="28"/>
    </row>
    <row r="192" spans="1:22">
      <c r="A192" s="6">
        <v>284</v>
      </c>
      <c r="B192" s="6" t="s">
        <v>1402</v>
      </c>
      <c r="C192" s="410">
        <f t="shared" si="28"/>
        <v>2425</v>
      </c>
      <c r="D192" s="410">
        <f t="shared" si="29"/>
        <v>2456</v>
      </c>
      <c r="E192" s="410">
        <f t="shared" si="30"/>
        <v>31</v>
      </c>
      <c r="F192" s="411">
        <f t="shared" si="31"/>
        <v>32165599.711240005</v>
      </c>
      <c r="G192" s="411">
        <f t="shared" si="32"/>
        <v>33190354.091199998</v>
      </c>
      <c r="H192" s="411">
        <f t="shared" si="33"/>
        <v>417.24526871335223</v>
      </c>
      <c r="I192" s="412">
        <f t="shared" si="34"/>
        <v>24905971</v>
      </c>
      <c r="J192" s="412">
        <f t="shared" si="35"/>
        <v>26075035</v>
      </c>
      <c r="K192" s="412">
        <f t="shared" si="36"/>
        <v>476.00325732899023</v>
      </c>
      <c r="L192" s="413">
        <f t="shared" si="37"/>
        <v>7259629</v>
      </c>
      <c r="M192" s="413">
        <f t="shared" si="38"/>
        <v>7515053</v>
      </c>
      <c r="N192" s="413">
        <f t="shared" si="39"/>
        <v>255424</v>
      </c>
      <c r="O192" s="413">
        <f t="shared" si="40"/>
        <v>104</v>
      </c>
      <c r="P192" s="414">
        <f t="shared" si="41"/>
        <v>0.04</v>
      </c>
      <c r="Q192" s="415"/>
      <c r="S192" s="9"/>
      <c r="T192" s="28"/>
      <c r="U192" s="28"/>
      <c r="V192" s="28"/>
    </row>
    <row r="193" spans="1:22">
      <c r="A193" s="6">
        <v>285</v>
      </c>
      <c r="B193" s="6" t="s">
        <v>1403</v>
      </c>
      <c r="C193" s="410">
        <f t="shared" si="28"/>
        <v>3693</v>
      </c>
      <c r="D193" s="410">
        <f t="shared" si="29"/>
        <v>3781</v>
      </c>
      <c r="E193" s="410">
        <f t="shared" si="30"/>
        <v>88</v>
      </c>
      <c r="F193" s="411">
        <f t="shared" si="31"/>
        <v>56987020.295979992</v>
      </c>
      <c r="G193" s="411">
        <f t="shared" si="32"/>
        <v>60534150.371639997</v>
      </c>
      <c r="H193" s="411">
        <f t="shared" si="33"/>
        <v>938.14601313409287</v>
      </c>
      <c r="I193" s="412">
        <f t="shared" si="34"/>
        <v>30547654</v>
      </c>
      <c r="J193" s="412">
        <f t="shared" si="35"/>
        <v>31939620</v>
      </c>
      <c r="K193" s="412">
        <f t="shared" si="36"/>
        <v>368.14758000528963</v>
      </c>
      <c r="L193" s="413">
        <f t="shared" si="37"/>
        <v>26439366</v>
      </c>
      <c r="M193" s="413">
        <f t="shared" si="38"/>
        <v>28594530</v>
      </c>
      <c r="N193" s="413">
        <f t="shared" si="39"/>
        <v>2155164</v>
      </c>
      <c r="O193" s="413">
        <f t="shared" si="40"/>
        <v>569.99841311822274</v>
      </c>
      <c r="P193" s="414">
        <f t="shared" si="41"/>
        <v>0.08</v>
      </c>
      <c r="Q193" s="415"/>
      <c r="S193" s="9"/>
      <c r="T193" s="28"/>
      <c r="U193" s="28"/>
      <c r="V193" s="28"/>
    </row>
    <row r="194" spans="1:22">
      <c r="A194" s="6">
        <v>287</v>
      </c>
      <c r="B194" s="6" t="s">
        <v>1405</v>
      </c>
      <c r="C194" s="410">
        <f t="shared" si="28"/>
        <v>883</v>
      </c>
      <c r="D194" s="410">
        <f t="shared" si="29"/>
        <v>901</v>
      </c>
      <c r="E194" s="410">
        <f t="shared" si="30"/>
        <v>18</v>
      </c>
      <c r="F194" s="411">
        <f t="shared" si="31"/>
        <v>10737439.589999998</v>
      </c>
      <c r="G194" s="411">
        <f t="shared" si="32"/>
        <v>11550189.470000001</v>
      </c>
      <c r="H194" s="411">
        <f t="shared" si="33"/>
        <v>902.05314095449796</v>
      </c>
      <c r="I194" s="412">
        <f t="shared" si="34"/>
        <v>6009212</v>
      </c>
      <c r="J194" s="412">
        <f t="shared" si="35"/>
        <v>6370085</v>
      </c>
      <c r="K194" s="412">
        <f t="shared" si="36"/>
        <v>400.52497225305217</v>
      </c>
      <c r="L194" s="413">
        <f t="shared" si="37"/>
        <v>4728228</v>
      </c>
      <c r="M194" s="413">
        <f t="shared" si="38"/>
        <v>5180104</v>
      </c>
      <c r="N194" s="413">
        <f t="shared" si="39"/>
        <v>451876</v>
      </c>
      <c r="O194" s="413">
        <f t="shared" si="40"/>
        <v>501.52719200887901</v>
      </c>
      <c r="P194" s="414">
        <f t="shared" si="41"/>
        <v>0.1</v>
      </c>
      <c r="Q194" s="415"/>
      <c r="S194" s="9"/>
      <c r="T194" s="28"/>
      <c r="U194" s="28"/>
      <c r="V194" s="28"/>
    </row>
    <row r="195" spans="1:22">
      <c r="A195" s="6">
        <v>288</v>
      </c>
      <c r="B195" s="6" t="s">
        <v>1406</v>
      </c>
      <c r="C195" s="410">
        <f t="shared" si="28"/>
        <v>2513</v>
      </c>
      <c r="D195" s="410">
        <f t="shared" si="29"/>
        <v>2509</v>
      </c>
      <c r="E195" s="410">
        <f t="shared" si="30"/>
        <v>-4</v>
      </c>
      <c r="F195" s="411">
        <f t="shared" si="31"/>
        <v>28628096.43</v>
      </c>
      <c r="G195" s="411">
        <f t="shared" si="32"/>
        <v>29591077.410479996</v>
      </c>
      <c r="H195" s="411">
        <f t="shared" si="33"/>
        <v>383.81067376643949</v>
      </c>
      <c r="I195" s="412">
        <f t="shared" si="34"/>
        <v>23070588</v>
      </c>
      <c r="J195" s="412">
        <f t="shared" si="35"/>
        <v>23968199</v>
      </c>
      <c r="K195" s="412">
        <f t="shared" si="36"/>
        <v>357.75647668393782</v>
      </c>
      <c r="L195" s="413">
        <f t="shared" si="37"/>
        <v>5557508</v>
      </c>
      <c r="M195" s="413">
        <f t="shared" si="38"/>
        <v>5818444</v>
      </c>
      <c r="N195" s="413">
        <f t="shared" si="39"/>
        <v>260936</v>
      </c>
      <c r="O195" s="413">
        <f t="shared" si="40"/>
        <v>104</v>
      </c>
      <c r="P195" s="414">
        <f t="shared" si="41"/>
        <v>0.05</v>
      </c>
      <c r="Q195" s="415"/>
      <c r="S195" s="9"/>
      <c r="T195" s="28"/>
      <c r="U195" s="28"/>
      <c r="V195" s="28"/>
    </row>
    <row r="196" spans="1:22">
      <c r="A196" s="6">
        <v>289</v>
      </c>
      <c r="B196" s="6" t="s">
        <v>1407</v>
      </c>
      <c r="C196" s="410">
        <f t="shared" si="28"/>
        <v>146</v>
      </c>
      <c r="D196" s="410">
        <f t="shared" si="29"/>
        <v>142</v>
      </c>
      <c r="E196" s="410">
        <f t="shared" si="30"/>
        <v>-4</v>
      </c>
      <c r="F196" s="411">
        <f t="shared" si="31"/>
        <v>1946645.5199999998</v>
      </c>
      <c r="G196" s="411">
        <f t="shared" si="32"/>
        <v>2077119.5199999998</v>
      </c>
      <c r="H196" s="411">
        <f t="shared" si="33"/>
        <v>918.83098591549299</v>
      </c>
      <c r="I196" s="412">
        <f t="shared" si="34"/>
        <v>1555821</v>
      </c>
      <c r="J196" s="412">
        <f t="shared" si="35"/>
        <v>1678357</v>
      </c>
      <c r="K196" s="412">
        <f t="shared" si="36"/>
        <v>862.92957746478874</v>
      </c>
      <c r="L196" s="413">
        <f t="shared" si="37"/>
        <v>895488</v>
      </c>
      <c r="M196" s="413">
        <f t="shared" si="38"/>
        <v>910256</v>
      </c>
      <c r="N196" s="413">
        <f t="shared" si="39"/>
        <v>14768</v>
      </c>
      <c r="O196" s="413">
        <f t="shared" si="40"/>
        <v>104</v>
      </c>
      <c r="P196" s="414">
        <f t="shared" si="41"/>
        <v>0.02</v>
      </c>
      <c r="Q196" s="415"/>
      <c r="S196" s="9"/>
      <c r="T196" s="28"/>
      <c r="U196" s="28"/>
      <c r="V196" s="28"/>
    </row>
    <row r="197" spans="1:22">
      <c r="A197" s="6">
        <v>290</v>
      </c>
      <c r="B197" s="6" t="s">
        <v>1408</v>
      </c>
      <c r="C197" s="410">
        <f t="shared" si="28"/>
        <v>1294</v>
      </c>
      <c r="D197" s="410">
        <f t="shared" si="29"/>
        <v>1314</v>
      </c>
      <c r="E197" s="410">
        <f t="shared" si="30"/>
        <v>20</v>
      </c>
      <c r="F197" s="411">
        <f t="shared" si="31"/>
        <v>16076441.029999997</v>
      </c>
      <c r="G197" s="411">
        <f t="shared" si="32"/>
        <v>16892397.649999999</v>
      </c>
      <c r="H197" s="411">
        <f t="shared" si="33"/>
        <v>620.97155251141635</v>
      </c>
      <c r="I197" s="412">
        <f t="shared" si="34"/>
        <v>12750768</v>
      </c>
      <c r="J197" s="412">
        <f t="shared" si="35"/>
        <v>13481611</v>
      </c>
      <c r="K197" s="412">
        <f t="shared" si="36"/>
        <v>556.19710806697105</v>
      </c>
      <c r="L197" s="413">
        <f t="shared" si="37"/>
        <v>5669325</v>
      </c>
      <c r="M197" s="413">
        <f t="shared" si="38"/>
        <v>5805981</v>
      </c>
      <c r="N197" s="413">
        <f t="shared" si="39"/>
        <v>136656</v>
      </c>
      <c r="O197" s="413">
        <f t="shared" si="40"/>
        <v>104</v>
      </c>
      <c r="P197" s="414">
        <f t="shared" si="41"/>
        <v>0.02</v>
      </c>
      <c r="Q197" s="415"/>
      <c r="S197" s="9"/>
      <c r="T197" s="28"/>
      <c r="U197" s="28"/>
      <c r="V197" s="28"/>
    </row>
    <row r="198" spans="1:22">
      <c r="A198" s="6">
        <v>291</v>
      </c>
      <c r="B198" s="6" t="s">
        <v>1409</v>
      </c>
      <c r="C198" s="410">
        <f t="shared" si="28"/>
        <v>2024</v>
      </c>
      <c r="D198" s="410">
        <f t="shared" si="29"/>
        <v>2040</v>
      </c>
      <c r="E198" s="410">
        <f t="shared" si="30"/>
        <v>16</v>
      </c>
      <c r="F198" s="411">
        <f t="shared" si="31"/>
        <v>26012947.399999999</v>
      </c>
      <c r="G198" s="411">
        <f t="shared" si="32"/>
        <v>26943739.010000002</v>
      </c>
      <c r="H198" s="411">
        <f t="shared" si="33"/>
        <v>456.27039705882504</v>
      </c>
      <c r="I198" s="412">
        <f t="shared" si="34"/>
        <v>20898493</v>
      </c>
      <c r="J198" s="412">
        <f t="shared" si="35"/>
        <v>21599799</v>
      </c>
      <c r="K198" s="412">
        <f t="shared" si="36"/>
        <v>343.77745098039213</v>
      </c>
      <c r="L198" s="413">
        <f t="shared" si="37"/>
        <v>5114454</v>
      </c>
      <c r="M198" s="413">
        <f t="shared" si="38"/>
        <v>5343940</v>
      </c>
      <c r="N198" s="413">
        <f t="shared" si="39"/>
        <v>229486</v>
      </c>
      <c r="O198" s="413">
        <f t="shared" si="40"/>
        <v>112.49313725490197</v>
      </c>
      <c r="P198" s="414">
        <f t="shared" si="41"/>
        <v>0.04</v>
      </c>
      <c r="Q198" s="415"/>
      <c r="S198" s="9"/>
      <c r="T198" s="28"/>
      <c r="U198" s="28"/>
      <c r="V198" s="28"/>
    </row>
    <row r="199" spans="1:22">
      <c r="A199" s="6">
        <v>292</v>
      </c>
      <c r="B199" s="6" t="s">
        <v>1410</v>
      </c>
      <c r="C199" s="410">
        <f t="shared" si="28"/>
        <v>2033</v>
      </c>
      <c r="D199" s="410">
        <f t="shared" si="29"/>
        <v>2081</v>
      </c>
      <c r="E199" s="410">
        <f t="shared" si="30"/>
        <v>48</v>
      </c>
      <c r="F199" s="411">
        <f t="shared" si="31"/>
        <v>26694462.580000002</v>
      </c>
      <c r="G199" s="411">
        <f t="shared" si="32"/>
        <v>28125194.139999993</v>
      </c>
      <c r="H199" s="411">
        <f t="shared" si="33"/>
        <v>687.52117251321056</v>
      </c>
      <c r="I199" s="412">
        <f t="shared" si="34"/>
        <v>16252187</v>
      </c>
      <c r="J199" s="412">
        <f t="shared" si="35"/>
        <v>17101306</v>
      </c>
      <c r="K199" s="412">
        <f t="shared" si="36"/>
        <v>408.03411821239791</v>
      </c>
      <c r="L199" s="413">
        <f t="shared" si="37"/>
        <v>10442276</v>
      </c>
      <c r="M199" s="413">
        <f t="shared" si="38"/>
        <v>11023888</v>
      </c>
      <c r="N199" s="413">
        <f t="shared" si="39"/>
        <v>581612</v>
      </c>
      <c r="O199" s="413">
        <f t="shared" si="40"/>
        <v>279.48678519942337</v>
      </c>
      <c r="P199" s="414">
        <f t="shared" si="41"/>
        <v>0.06</v>
      </c>
      <c r="Q199" s="415"/>
      <c r="S199" s="9"/>
      <c r="T199" s="28"/>
      <c r="U199" s="28"/>
      <c r="V199" s="28"/>
    </row>
    <row r="200" spans="1:22">
      <c r="A200" s="6">
        <v>293</v>
      </c>
      <c r="B200" s="6" t="s">
        <v>1411</v>
      </c>
      <c r="C200" s="410">
        <f t="shared" ref="C200:C264" si="42">VLOOKUP(A200,aidcalc,14,FALSE)</f>
        <v>8075</v>
      </c>
      <c r="D200" s="410">
        <f t="shared" ref="D200:D264" si="43">VLOOKUP(A200,aidcalc,15,FALSE)</f>
        <v>8235</v>
      </c>
      <c r="E200" s="410">
        <f t="shared" ref="E200:E264" si="44">D200-C200</f>
        <v>160</v>
      </c>
      <c r="F200" s="411">
        <f t="shared" ref="F200:F264" si="45">VLOOKUP(A200,aidcalc,4,FALSE)</f>
        <v>131396476.31</v>
      </c>
      <c r="G200" s="411">
        <f t="shared" ref="G200:G264" si="46">VLOOKUP(A200,aidcalc,9,FALSE)</f>
        <v>140024274.21000001</v>
      </c>
      <c r="H200" s="411">
        <f t="shared" ref="H200:H264" si="47">(G200-F200)/$D200</f>
        <v>1047.6985913782642</v>
      </c>
      <c r="I200" s="412">
        <f t="shared" ref="I200:I264" si="48">VLOOKUP(A200,aidcalc,5,FALSE)</f>
        <v>42467828</v>
      </c>
      <c r="J200" s="412">
        <f t="shared" ref="J200:J264" si="49">VLOOKUP(A200,aidcalc,10,FALSE)</f>
        <v>45058660</v>
      </c>
      <c r="K200" s="412">
        <f t="shared" ref="K200:K264" si="50">(J200-I200)/$D200</f>
        <v>314.61226472374011</v>
      </c>
      <c r="L200" s="413">
        <f t="shared" ref="L200:L264" si="51">VLOOKUP(A200,aidcalc,6,FALSE)</f>
        <v>88928648</v>
      </c>
      <c r="M200" s="413">
        <f t="shared" ref="M200:M264" si="52">VLOOKUP(A200,aidcalc,25,FALSE)</f>
        <v>94965614</v>
      </c>
      <c r="N200" s="413">
        <f t="shared" ref="N200:N264" si="53">M200-L200</f>
        <v>6036966</v>
      </c>
      <c r="O200" s="413">
        <f t="shared" ref="O200:O264" si="54">(M200-L200)/$D200</f>
        <v>733.08633879781416</v>
      </c>
      <c r="P200" s="414">
        <f t="shared" ref="P200:P264" si="55">ROUND(IF(F200&gt;0,(M200-L200)/L200,100),2)</f>
        <v>7.0000000000000007E-2</v>
      </c>
      <c r="Q200" s="415"/>
      <c r="S200" s="9"/>
      <c r="T200" s="28"/>
      <c r="U200" s="28"/>
      <c r="V200" s="28"/>
    </row>
    <row r="201" spans="1:22">
      <c r="A201" s="6">
        <v>295</v>
      </c>
      <c r="B201" s="6" t="s">
        <v>1413</v>
      </c>
      <c r="C201" s="410">
        <f t="shared" si="42"/>
        <v>3249</v>
      </c>
      <c r="D201" s="410">
        <f t="shared" si="43"/>
        <v>3258</v>
      </c>
      <c r="E201" s="410">
        <f t="shared" si="44"/>
        <v>9</v>
      </c>
      <c r="F201" s="411">
        <f t="shared" si="45"/>
        <v>41191248.019999996</v>
      </c>
      <c r="G201" s="411">
        <f t="shared" si="46"/>
        <v>42576904.100000009</v>
      </c>
      <c r="H201" s="411">
        <f t="shared" si="47"/>
        <v>425.30880294659704</v>
      </c>
      <c r="I201" s="412">
        <f t="shared" si="48"/>
        <v>32555022</v>
      </c>
      <c r="J201" s="412">
        <f t="shared" si="49"/>
        <v>34163893</v>
      </c>
      <c r="K201" s="412">
        <f t="shared" si="50"/>
        <v>493.82166973603438</v>
      </c>
      <c r="L201" s="413">
        <f t="shared" si="51"/>
        <v>13812515</v>
      </c>
      <c r="M201" s="413">
        <f t="shared" si="52"/>
        <v>14151347</v>
      </c>
      <c r="N201" s="413">
        <f t="shared" si="53"/>
        <v>338832</v>
      </c>
      <c r="O201" s="413">
        <f t="shared" si="54"/>
        <v>104</v>
      </c>
      <c r="P201" s="414">
        <f t="shared" si="55"/>
        <v>0.02</v>
      </c>
      <c r="Q201" s="415"/>
      <c r="S201" s="9"/>
      <c r="T201" s="28"/>
      <c r="U201" s="28"/>
      <c r="V201" s="28"/>
    </row>
    <row r="202" spans="1:22">
      <c r="A202" s="6">
        <v>296</v>
      </c>
      <c r="B202" s="6" t="s">
        <v>1414</v>
      </c>
      <c r="C202" s="410">
        <f t="shared" si="42"/>
        <v>360</v>
      </c>
      <c r="D202" s="410">
        <f t="shared" si="43"/>
        <v>355</v>
      </c>
      <c r="E202" s="410">
        <f t="shared" si="44"/>
        <v>-5</v>
      </c>
      <c r="F202" s="411">
        <f t="shared" si="45"/>
        <v>5475942.1799999988</v>
      </c>
      <c r="G202" s="411">
        <f t="shared" si="46"/>
        <v>5499468.6799999997</v>
      </c>
      <c r="H202" s="411">
        <f t="shared" si="47"/>
        <v>66.271830985918115</v>
      </c>
      <c r="I202" s="412">
        <f t="shared" si="48"/>
        <v>3835613</v>
      </c>
      <c r="J202" s="412">
        <f t="shared" si="49"/>
        <v>4537062</v>
      </c>
      <c r="K202" s="412">
        <f t="shared" si="50"/>
        <v>1975.9126760563381</v>
      </c>
      <c r="L202" s="413">
        <f t="shared" si="51"/>
        <v>1640329</v>
      </c>
      <c r="M202" s="413">
        <f t="shared" si="52"/>
        <v>1677249</v>
      </c>
      <c r="N202" s="413">
        <f t="shared" si="53"/>
        <v>36920</v>
      </c>
      <c r="O202" s="413">
        <f t="shared" si="54"/>
        <v>104</v>
      </c>
      <c r="P202" s="414">
        <f t="shared" si="55"/>
        <v>0.02</v>
      </c>
      <c r="Q202" s="415"/>
      <c r="S202" s="9"/>
      <c r="T202" s="28"/>
      <c r="U202" s="28"/>
      <c r="V202" s="28"/>
    </row>
    <row r="203" spans="1:22">
      <c r="A203" s="6">
        <v>298</v>
      </c>
      <c r="B203" s="6" t="s">
        <v>1416</v>
      </c>
      <c r="C203" s="410">
        <f t="shared" si="42"/>
        <v>574</v>
      </c>
      <c r="D203" s="410">
        <f t="shared" si="43"/>
        <v>589</v>
      </c>
      <c r="E203" s="410">
        <f t="shared" si="44"/>
        <v>15</v>
      </c>
      <c r="F203" s="411">
        <f t="shared" si="45"/>
        <v>6737747.4920000006</v>
      </c>
      <c r="G203" s="411">
        <f t="shared" si="46"/>
        <v>7135071.2786099995</v>
      </c>
      <c r="H203" s="411">
        <f t="shared" si="47"/>
        <v>674.57349169779104</v>
      </c>
      <c r="I203" s="412">
        <f t="shared" si="48"/>
        <v>5269483</v>
      </c>
      <c r="J203" s="412">
        <f t="shared" si="49"/>
        <v>5582684</v>
      </c>
      <c r="K203" s="412">
        <f t="shared" si="50"/>
        <v>531.75042444821736</v>
      </c>
      <c r="L203" s="413">
        <f t="shared" si="51"/>
        <v>1468264</v>
      </c>
      <c r="M203" s="413">
        <f t="shared" si="52"/>
        <v>1552387</v>
      </c>
      <c r="N203" s="413">
        <f t="shared" si="53"/>
        <v>84123</v>
      </c>
      <c r="O203" s="413">
        <f t="shared" si="54"/>
        <v>142.82342954159591</v>
      </c>
      <c r="P203" s="414">
        <f t="shared" si="55"/>
        <v>0.06</v>
      </c>
      <c r="Q203" s="415"/>
      <c r="S203" s="9"/>
      <c r="T203" s="28"/>
      <c r="U203" s="28"/>
      <c r="V203" s="28"/>
    </row>
    <row r="204" spans="1:22">
      <c r="A204" s="6">
        <v>300</v>
      </c>
      <c r="B204" s="6" t="s">
        <v>1418</v>
      </c>
      <c r="C204" s="410">
        <f t="shared" si="42"/>
        <v>173</v>
      </c>
      <c r="D204" s="410">
        <f t="shared" si="43"/>
        <v>170</v>
      </c>
      <c r="E204" s="410">
        <f t="shared" si="44"/>
        <v>-3</v>
      </c>
      <c r="F204" s="411">
        <f t="shared" si="45"/>
        <v>2300504.7399999998</v>
      </c>
      <c r="G204" s="411">
        <f t="shared" si="46"/>
        <v>2291577.2599999998</v>
      </c>
      <c r="H204" s="411">
        <f t="shared" si="47"/>
        <v>-52.514588235294006</v>
      </c>
      <c r="I204" s="412">
        <f t="shared" si="48"/>
        <v>1897916</v>
      </c>
      <c r="J204" s="412">
        <f t="shared" si="49"/>
        <v>1890551</v>
      </c>
      <c r="K204" s="412">
        <f t="shared" si="50"/>
        <v>-43.323529411764703</v>
      </c>
      <c r="L204" s="413">
        <f t="shared" si="51"/>
        <v>429896</v>
      </c>
      <c r="M204" s="413">
        <f t="shared" si="52"/>
        <v>447576</v>
      </c>
      <c r="N204" s="413">
        <f t="shared" si="53"/>
        <v>17680</v>
      </c>
      <c r="O204" s="413">
        <f t="shared" si="54"/>
        <v>104</v>
      </c>
      <c r="P204" s="414">
        <f t="shared" si="55"/>
        <v>0.04</v>
      </c>
      <c r="Q204" s="415"/>
      <c r="S204" s="9"/>
      <c r="T204" s="28"/>
      <c r="U204" s="28"/>
      <c r="V204" s="28"/>
    </row>
    <row r="205" spans="1:22">
      <c r="A205" s="6">
        <v>301</v>
      </c>
      <c r="B205" s="6" t="s">
        <v>1419</v>
      </c>
      <c r="C205" s="410">
        <f t="shared" si="42"/>
        <v>1619</v>
      </c>
      <c r="D205" s="410">
        <f t="shared" si="43"/>
        <v>1594</v>
      </c>
      <c r="E205" s="410">
        <f t="shared" si="44"/>
        <v>-25</v>
      </c>
      <c r="F205" s="411">
        <f t="shared" si="45"/>
        <v>21286361.979999997</v>
      </c>
      <c r="G205" s="411">
        <f t="shared" si="46"/>
        <v>21384094.800000001</v>
      </c>
      <c r="H205" s="411">
        <f t="shared" si="47"/>
        <v>61.312936010040168</v>
      </c>
      <c r="I205" s="412">
        <f t="shared" si="48"/>
        <v>13961757</v>
      </c>
      <c r="J205" s="412">
        <f t="shared" si="49"/>
        <v>14900523</v>
      </c>
      <c r="K205" s="412">
        <f t="shared" si="50"/>
        <v>588.93726474278549</v>
      </c>
      <c r="L205" s="413">
        <f t="shared" si="51"/>
        <v>7654834</v>
      </c>
      <c r="M205" s="413">
        <f t="shared" si="52"/>
        <v>7820610</v>
      </c>
      <c r="N205" s="413">
        <f t="shared" si="53"/>
        <v>165776</v>
      </c>
      <c r="O205" s="413">
        <f t="shared" si="54"/>
        <v>104</v>
      </c>
      <c r="P205" s="414">
        <f t="shared" si="55"/>
        <v>0.02</v>
      </c>
      <c r="Q205" s="415"/>
      <c r="S205" s="9"/>
      <c r="T205" s="28"/>
      <c r="U205" s="28"/>
      <c r="V205" s="28"/>
    </row>
    <row r="206" spans="1:22">
      <c r="A206" s="6">
        <v>304</v>
      </c>
      <c r="B206" s="6" t="s">
        <v>1422</v>
      </c>
      <c r="C206" s="410">
        <f t="shared" si="42"/>
        <v>1690</v>
      </c>
      <c r="D206" s="410">
        <f t="shared" si="43"/>
        <v>1649</v>
      </c>
      <c r="E206" s="410">
        <f t="shared" si="44"/>
        <v>-41</v>
      </c>
      <c r="F206" s="411">
        <f t="shared" si="45"/>
        <v>22214657.669999998</v>
      </c>
      <c r="G206" s="411">
        <f t="shared" si="46"/>
        <v>22397904.870000001</v>
      </c>
      <c r="H206" s="411">
        <f t="shared" si="47"/>
        <v>111.12625833838871</v>
      </c>
      <c r="I206" s="412">
        <f t="shared" si="48"/>
        <v>14882274</v>
      </c>
      <c r="J206" s="412">
        <f t="shared" si="49"/>
        <v>15614534</v>
      </c>
      <c r="K206" s="412">
        <f t="shared" si="50"/>
        <v>444.06306852637965</v>
      </c>
      <c r="L206" s="413">
        <f t="shared" si="51"/>
        <v>9689924</v>
      </c>
      <c r="M206" s="413">
        <f t="shared" si="52"/>
        <v>9861420</v>
      </c>
      <c r="N206" s="413">
        <f t="shared" si="53"/>
        <v>171496</v>
      </c>
      <c r="O206" s="413">
        <f t="shared" si="54"/>
        <v>104</v>
      </c>
      <c r="P206" s="414">
        <f t="shared" si="55"/>
        <v>0.02</v>
      </c>
      <c r="Q206" s="415"/>
      <c r="S206" s="9"/>
      <c r="T206" s="28"/>
      <c r="U206" s="28"/>
      <c r="V206" s="28"/>
    </row>
    <row r="207" spans="1:22">
      <c r="A207" s="6">
        <v>305</v>
      </c>
      <c r="B207" s="6" t="s">
        <v>1423</v>
      </c>
      <c r="C207" s="410">
        <f t="shared" si="42"/>
        <v>3317</v>
      </c>
      <c r="D207" s="410">
        <f t="shared" si="43"/>
        <v>3359</v>
      </c>
      <c r="E207" s="410">
        <f t="shared" si="44"/>
        <v>42</v>
      </c>
      <c r="F207" s="411">
        <f t="shared" si="45"/>
        <v>43061534.5506</v>
      </c>
      <c r="G207" s="411">
        <f t="shared" si="46"/>
        <v>44741734.350440003</v>
      </c>
      <c r="H207" s="411">
        <f t="shared" si="47"/>
        <v>500.20833576659817</v>
      </c>
      <c r="I207" s="412">
        <f t="shared" si="48"/>
        <v>34517798</v>
      </c>
      <c r="J207" s="412">
        <f t="shared" si="49"/>
        <v>36213785</v>
      </c>
      <c r="K207" s="412">
        <f t="shared" si="50"/>
        <v>504.9083060434653</v>
      </c>
      <c r="L207" s="413">
        <f t="shared" si="51"/>
        <v>8543737</v>
      </c>
      <c r="M207" s="413">
        <f t="shared" si="52"/>
        <v>8893073</v>
      </c>
      <c r="N207" s="413">
        <f t="shared" si="53"/>
        <v>349336</v>
      </c>
      <c r="O207" s="413">
        <f t="shared" si="54"/>
        <v>104</v>
      </c>
      <c r="P207" s="414">
        <f t="shared" si="55"/>
        <v>0.04</v>
      </c>
      <c r="Q207" s="415"/>
      <c r="S207" s="9"/>
      <c r="T207" s="28"/>
      <c r="U207" s="28"/>
      <c r="V207" s="28"/>
    </row>
    <row r="208" spans="1:22">
      <c r="A208" s="6">
        <v>306</v>
      </c>
      <c r="B208" s="6" t="s">
        <v>1424</v>
      </c>
      <c r="C208" s="410">
        <f t="shared" si="42"/>
        <v>111</v>
      </c>
      <c r="D208" s="410">
        <f t="shared" si="43"/>
        <v>105</v>
      </c>
      <c r="E208" s="410">
        <f t="shared" si="44"/>
        <v>-6</v>
      </c>
      <c r="F208" s="411">
        <f t="shared" si="45"/>
        <v>1628374.74</v>
      </c>
      <c r="G208" s="411">
        <f t="shared" si="46"/>
        <v>1625333.8399999999</v>
      </c>
      <c r="H208" s="411">
        <f t="shared" si="47"/>
        <v>-28.96095238095371</v>
      </c>
      <c r="I208" s="412">
        <f t="shared" si="48"/>
        <v>566808</v>
      </c>
      <c r="J208" s="412">
        <f t="shared" si="49"/>
        <v>599401</v>
      </c>
      <c r="K208" s="412">
        <f t="shared" si="50"/>
        <v>310.40952380952382</v>
      </c>
      <c r="L208" s="413">
        <f t="shared" si="51"/>
        <v>1177348</v>
      </c>
      <c r="M208" s="413">
        <f t="shared" si="52"/>
        <v>1188268</v>
      </c>
      <c r="N208" s="413">
        <f t="shared" si="53"/>
        <v>10920</v>
      </c>
      <c r="O208" s="413">
        <f t="shared" si="54"/>
        <v>104</v>
      </c>
      <c r="P208" s="414">
        <f t="shared" si="55"/>
        <v>0.01</v>
      </c>
      <c r="Q208" s="415"/>
      <c r="S208" s="9"/>
      <c r="T208" s="28"/>
      <c r="U208" s="28"/>
      <c r="V208" s="28"/>
    </row>
    <row r="209" spans="1:22">
      <c r="A209" s="6">
        <v>307</v>
      </c>
      <c r="B209" s="6" t="s">
        <v>1425</v>
      </c>
      <c r="C209" s="410">
        <f t="shared" si="42"/>
        <v>3680</v>
      </c>
      <c r="D209" s="410">
        <f t="shared" si="43"/>
        <v>3643</v>
      </c>
      <c r="E209" s="410">
        <f t="shared" si="44"/>
        <v>-37</v>
      </c>
      <c r="F209" s="411">
        <f t="shared" si="45"/>
        <v>47191402.9124</v>
      </c>
      <c r="G209" s="411">
        <f t="shared" si="46"/>
        <v>47733569.965189993</v>
      </c>
      <c r="H209" s="411">
        <f t="shared" si="47"/>
        <v>148.82433510568038</v>
      </c>
      <c r="I209" s="412">
        <f t="shared" si="48"/>
        <v>37306825</v>
      </c>
      <c r="J209" s="412">
        <f t="shared" si="49"/>
        <v>39164094</v>
      </c>
      <c r="K209" s="412">
        <f t="shared" si="50"/>
        <v>509.81855613505354</v>
      </c>
      <c r="L209" s="413">
        <f t="shared" si="51"/>
        <v>9884578</v>
      </c>
      <c r="M209" s="413">
        <f t="shared" si="52"/>
        <v>10263450</v>
      </c>
      <c r="N209" s="413">
        <f t="shared" si="53"/>
        <v>378872</v>
      </c>
      <c r="O209" s="413">
        <f t="shared" si="54"/>
        <v>104</v>
      </c>
      <c r="P209" s="414">
        <f t="shared" si="55"/>
        <v>0.04</v>
      </c>
      <c r="Q209" s="415"/>
      <c r="S209" s="9"/>
      <c r="T209" s="28"/>
      <c r="U209" s="28"/>
      <c r="V209" s="28"/>
    </row>
    <row r="210" spans="1:22">
      <c r="A210" s="6">
        <v>308</v>
      </c>
      <c r="B210" s="6" t="s">
        <v>1426</v>
      </c>
      <c r="C210" s="410">
        <f t="shared" si="42"/>
        <v>5657</v>
      </c>
      <c r="D210" s="410">
        <f t="shared" si="43"/>
        <v>5718</v>
      </c>
      <c r="E210" s="410">
        <f t="shared" si="44"/>
        <v>61</v>
      </c>
      <c r="F210" s="411">
        <f t="shared" si="45"/>
        <v>98129290.060850009</v>
      </c>
      <c r="G210" s="411">
        <f t="shared" si="46"/>
        <v>103566216.31179999</v>
      </c>
      <c r="H210" s="411">
        <f t="shared" si="47"/>
        <v>950.84404528680989</v>
      </c>
      <c r="I210" s="412">
        <f t="shared" si="48"/>
        <v>74508112</v>
      </c>
      <c r="J210" s="412">
        <f t="shared" si="49"/>
        <v>79254279</v>
      </c>
      <c r="K210" s="412">
        <f t="shared" si="50"/>
        <v>830.03969919552287</v>
      </c>
      <c r="L210" s="413">
        <f t="shared" si="51"/>
        <v>23621178</v>
      </c>
      <c r="M210" s="413">
        <f t="shared" si="52"/>
        <v>24311937</v>
      </c>
      <c r="N210" s="413">
        <f t="shared" si="53"/>
        <v>690759</v>
      </c>
      <c r="O210" s="413">
        <f t="shared" si="54"/>
        <v>120.80430220356769</v>
      </c>
      <c r="P210" s="414">
        <f t="shared" si="55"/>
        <v>0.03</v>
      </c>
      <c r="Q210" s="415"/>
      <c r="S210" s="9"/>
      <c r="T210" s="28"/>
      <c r="U210" s="28"/>
      <c r="V210" s="28"/>
    </row>
    <row r="211" spans="1:22">
      <c r="A211" s="6">
        <v>309</v>
      </c>
      <c r="B211" s="6" t="s">
        <v>1427</v>
      </c>
      <c r="C211" s="410">
        <f t="shared" si="42"/>
        <v>1264</v>
      </c>
      <c r="D211" s="410">
        <f t="shared" si="43"/>
        <v>1266</v>
      </c>
      <c r="E211" s="410">
        <f t="shared" si="44"/>
        <v>2</v>
      </c>
      <c r="F211" s="411">
        <f t="shared" si="45"/>
        <v>19400007.25</v>
      </c>
      <c r="G211" s="411">
        <f t="shared" si="46"/>
        <v>20308799.120000001</v>
      </c>
      <c r="H211" s="411">
        <f t="shared" si="47"/>
        <v>717.84507898894242</v>
      </c>
      <c r="I211" s="412">
        <f t="shared" si="48"/>
        <v>5872745</v>
      </c>
      <c r="J211" s="412">
        <f t="shared" si="49"/>
        <v>6201461</v>
      </c>
      <c r="K211" s="412">
        <f t="shared" si="50"/>
        <v>259.64928909952607</v>
      </c>
      <c r="L211" s="413">
        <f t="shared" si="51"/>
        <v>13527262</v>
      </c>
      <c r="M211" s="413">
        <f t="shared" si="52"/>
        <v>14107338</v>
      </c>
      <c r="N211" s="413">
        <f t="shared" si="53"/>
        <v>580076</v>
      </c>
      <c r="O211" s="413">
        <f t="shared" si="54"/>
        <v>458.19589257503952</v>
      </c>
      <c r="P211" s="414">
        <f t="shared" si="55"/>
        <v>0.04</v>
      </c>
      <c r="Q211" s="415"/>
      <c r="S211" s="9"/>
      <c r="T211" s="28"/>
      <c r="U211" s="28"/>
      <c r="V211" s="28"/>
    </row>
    <row r="212" spans="1:22">
      <c r="A212" s="6">
        <v>310</v>
      </c>
      <c r="B212" s="6" t="s">
        <v>1428</v>
      </c>
      <c r="C212" s="410">
        <f t="shared" si="42"/>
        <v>2307</v>
      </c>
      <c r="D212" s="410">
        <f t="shared" si="43"/>
        <v>2244</v>
      </c>
      <c r="E212" s="410">
        <f t="shared" si="44"/>
        <v>-63</v>
      </c>
      <c r="F212" s="411">
        <f t="shared" si="45"/>
        <v>37763668.480000004</v>
      </c>
      <c r="G212" s="411">
        <f t="shared" si="46"/>
        <v>37911821.280000001</v>
      </c>
      <c r="H212" s="411">
        <f t="shared" si="47"/>
        <v>66.021746880569083</v>
      </c>
      <c r="I212" s="412">
        <f t="shared" si="48"/>
        <v>21536212</v>
      </c>
      <c r="J212" s="412">
        <f t="shared" si="49"/>
        <v>22749870</v>
      </c>
      <c r="K212" s="412">
        <f t="shared" si="50"/>
        <v>540.84581105169343</v>
      </c>
      <c r="L212" s="413">
        <f t="shared" si="51"/>
        <v>16227456</v>
      </c>
      <c r="M212" s="413">
        <f t="shared" si="52"/>
        <v>16460832</v>
      </c>
      <c r="N212" s="413">
        <f t="shared" si="53"/>
        <v>233376</v>
      </c>
      <c r="O212" s="413">
        <f t="shared" si="54"/>
        <v>104</v>
      </c>
      <c r="P212" s="414">
        <f t="shared" si="55"/>
        <v>0.01</v>
      </c>
      <c r="Q212" s="415"/>
      <c r="S212" s="9"/>
      <c r="T212" s="28"/>
      <c r="U212" s="28"/>
      <c r="V212" s="28"/>
    </row>
    <row r="213" spans="1:22">
      <c r="A213" s="6">
        <v>312</v>
      </c>
      <c r="B213" s="6" t="s">
        <v>993</v>
      </c>
      <c r="C213" s="410">
        <f t="shared" ref="C213" si="56">VLOOKUP(A213,aidcalc,14,FALSE)</f>
        <v>58</v>
      </c>
      <c r="D213" s="410">
        <f t="shared" ref="D213" si="57">VLOOKUP(A213,aidcalc,15,FALSE)</f>
        <v>51</v>
      </c>
      <c r="E213" s="410">
        <f t="shared" ref="E213" si="58">D213-C213</f>
        <v>-7</v>
      </c>
      <c r="F213" s="411">
        <f t="shared" ref="F213" si="59">VLOOKUP(A213,aidcalc,4,FALSE)</f>
        <v>860882.41</v>
      </c>
      <c r="G213" s="411">
        <f t="shared" ref="G213" si="60">VLOOKUP(A213,aidcalc,9,FALSE)</f>
        <v>700343.84</v>
      </c>
      <c r="H213" s="411">
        <f t="shared" ref="H213" si="61">(G213-F213)/$D213</f>
        <v>-3147.815098039217</v>
      </c>
      <c r="I213" s="412">
        <f t="shared" ref="I213" si="62">VLOOKUP(A213,aidcalc,5,FALSE)</f>
        <v>480702</v>
      </c>
      <c r="J213" s="412">
        <f t="shared" ref="J213" si="63">VLOOKUP(A213,aidcalc,10,FALSE)</f>
        <v>501075</v>
      </c>
      <c r="K213" s="412">
        <f t="shared" ref="K213" si="64">(J213-I213)/$D213</f>
        <v>399.47058823529414</v>
      </c>
      <c r="L213" s="413">
        <f t="shared" ref="L213" si="65">VLOOKUP(A213,aidcalc,6,FALSE)</f>
        <v>380180</v>
      </c>
      <c r="M213" s="413">
        <f t="shared" ref="M213" si="66">VLOOKUP(A213,aidcalc,25,FALSE)</f>
        <v>385484</v>
      </c>
      <c r="N213" s="413">
        <f t="shared" ref="N213" si="67">M213-L213</f>
        <v>5304</v>
      </c>
      <c r="O213" s="413">
        <f t="shared" ref="O213" si="68">(M213-L213)/$D213</f>
        <v>104</v>
      </c>
      <c r="P213" s="414">
        <f t="shared" ref="P213" si="69">ROUND(IF(F213&gt;0,(M213-L213)/L213,100),2)</f>
        <v>0.01</v>
      </c>
      <c r="Q213" s="415"/>
      <c r="S213" s="9"/>
      <c r="T213" s="28"/>
      <c r="U213" s="28"/>
      <c r="V213" s="28"/>
    </row>
    <row r="214" spans="1:22">
      <c r="A214" s="6">
        <v>314</v>
      </c>
      <c r="B214" s="6" t="s">
        <v>1432</v>
      </c>
      <c r="C214" s="410">
        <f t="shared" si="42"/>
        <v>2661</v>
      </c>
      <c r="D214" s="410">
        <f t="shared" si="43"/>
        <v>2713</v>
      </c>
      <c r="E214" s="410">
        <f t="shared" si="44"/>
        <v>52</v>
      </c>
      <c r="F214" s="411">
        <f t="shared" si="45"/>
        <v>39855550.60148</v>
      </c>
      <c r="G214" s="411">
        <f t="shared" si="46"/>
        <v>42285807.326579988</v>
      </c>
      <c r="H214" s="411">
        <f t="shared" si="47"/>
        <v>895.78205864356369</v>
      </c>
      <c r="I214" s="412">
        <f t="shared" si="48"/>
        <v>32047587</v>
      </c>
      <c r="J214" s="412">
        <f t="shared" si="49"/>
        <v>34885791</v>
      </c>
      <c r="K214" s="412">
        <f t="shared" si="50"/>
        <v>1046.1496498341319</v>
      </c>
      <c r="L214" s="413">
        <f t="shared" si="51"/>
        <v>7807964</v>
      </c>
      <c r="M214" s="413">
        <f t="shared" si="52"/>
        <v>8090116</v>
      </c>
      <c r="N214" s="413">
        <f t="shared" si="53"/>
        <v>282152</v>
      </c>
      <c r="O214" s="413">
        <f t="shared" si="54"/>
        <v>104</v>
      </c>
      <c r="P214" s="414">
        <f t="shared" si="55"/>
        <v>0.04</v>
      </c>
      <c r="Q214" s="415"/>
      <c r="S214" s="9"/>
      <c r="T214" s="28"/>
      <c r="U214" s="28"/>
      <c r="V214" s="28"/>
    </row>
    <row r="215" spans="1:22">
      <c r="A215" s="6">
        <v>315</v>
      </c>
      <c r="B215" s="6" t="s">
        <v>1433</v>
      </c>
      <c r="C215" s="410">
        <f t="shared" si="42"/>
        <v>2681</v>
      </c>
      <c r="D215" s="410">
        <f t="shared" si="43"/>
        <v>2672</v>
      </c>
      <c r="E215" s="410">
        <f t="shared" si="44"/>
        <v>-9</v>
      </c>
      <c r="F215" s="411">
        <f t="shared" si="45"/>
        <v>33119434.224909998</v>
      </c>
      <c r="G215" s="411">
        <f t="shared" si="46"/>
        <v>33905314.106570005</v>
      </c>
      <c r="H215" s="411">
        <f t="shared" si="47"/>
        <v>294.11672217814629</v>
      </c>
      <c r="I215" s="412">
        <f t="shared" si="48"/>
        <v>25852462</v>
      </c>
      <c r="J215" s="412">
        <f t="shared" si="49"/>
        <v>27971884</v>
      </c>
      <c r="K215" s="412">
        <f t="shared" si="50"/>
        <v>793.19685628742513</v>
      </c>
      <c r="L215" s="413">
        <f t="shared" si="51"/>
        <v>7266972</v>
      </c>
      <c r="M215" s="413">
        <f t="shared" si="52"/>
        <v>7544860</v>
      </c>
      <c r="N215" s="413">
        <f t="shared" si="53"/>
        <v>277888</v>
      </c>
      <c r="O215" s="413">
        <f t="shared" si="54"/>
        <v>104</v>
      </c>
      <c r="P215" s="414">
        <f t="shared" si="55"/>
        <v>0.04</v>
      </c>
      <c r="Q215" s="415"/>
      <c r="S215" s="9"/>
      <c r="T215" s="28"/>
      <c r="U215" s="28"/>
      <c r="V215" s="28"/>
    </row>
    <row r="216" spans="1:22">
      <c r="A216" s="6">
        <v>316</v>
      </c>
      <c r="B216" s="6" t="s">
        <v>1434</v>
      </c>
      <c r="C216" s="410">
        <f t="shared" si="42"/>
        <v>1907</v>
      </c>
      <c r="D216" s="410">
        <f t="shared" si="43"/>
        <v>1921</v>
      </c>
      <c r="E216" s="410">
        <f t="shared" si="44"/>
        <v>14</v>
      </c>
      <c r="F216" s="411">
        <f t="shared" si="45"/>
        <v>31971769.840000004</v>
      </c>
      <c r="G216" s="411">
        <f t="shared" si="46"/>
        <v>33656707.75</v>
      </c>
      <c r="H216" s="411">
        <f t="shared" si="47"/>
        <v>877.11499739718715</v>
      </c>
      <c r="I216" s="412">
        <f t="shared" si="48"/>
        <v>12851534</v>
      </c>
      <c r="J216" s="412">
        <f t="shared" si="49"/>
        <v>13578012</v>
      </c>
      <c r="K216" s="412">
        <f t="shared" si="50"/>
        <v>378.17699115044246</v>
      </c>
      <c r="L216" s="413">
        <f t="shared" si="51"/>
        <v>19120236</v>
      </c>
      <c r="M216" s="413">
        <f t="shared" si="52"/>
        <v>20078696</v>
      </c>
      <c r="N216" s="413">
        <f t="shared" si="53"/>
        <v>958460</v>
      </c>
      <c r="O216" s="413">
        <f t="shared" si="54"/>
        <v>498.93805309734512</v>
      </c>
      <c r="P216" s="414">
        <f t="shared" si="55"/>
        <v>0.05</v>
      </c>
      <c r="Q216" s="415"/>
      <c r="S216" s="9"/>
      <c r="T216" s="28"/>
      <c r="U216" s="28"/>
      <c r="V216" s="28"/>
    </row>
    <row r="217" spans="1:22">
      <c r="A217" s="6">
        <v>317</v>
      </c>
      <c r="B217" s="6" t="s">
        <v>1435</v>
      </c>
      <c r="C217" s="410">
        <f t="shared" si="42"/>
        <v>4180</v>
      </c>
      <c r="D217" s="410">
        <f t="shared" si="43"/>
        <v>4118</v>
      </c>
      <c r="E217" s="410">
        <f t="shared" si="44"/>
        <v>-62</v>
      </c>
      <c r="F217" s="411">
        <f t="shared" si="45"/>
        <v>52634797.2425</v>
      </c>
      <c r="G217" s="411">
        <f t="shared" si="46"/>
        <v>53567076.591169998</v>
      </c>
      <c r="H217" s="411">
        <f t="shared" si="47"/>
        <v>226.39129399465719</v>
      </c>
      <c r="I217" s="412">
        <f t="shared" si="48"/>
        <v>43423707</v>
      </c>
      <c r="J217" s="412">
        <f t="shared" si="49"/>
        <v>44192838</v>
      </c>
      <c r="K217" s="412">
        <f t="shared" si="50"/>
        <v>186.77294803302573</v>
      </c>
      <c r="L217" s="413">
        <f t="shared" si="51"/>
        <v>9916764</v>
      </c>
      <c r="M217" s="413">
        <f t="shared" si="52"/>
        <v>10345036</v>
      </c>
      <c r="N217" s="413">
        <f t="shared" si="53"/>
        <v>428272</v>
      </c>
      <c r="O217" s="413">
        <f t="shared" si="54"/>
        <v>104</v>
      </c>
      <c r="P217" s="414">
        <f t="shared" si="55"/>
        <v>0.04</v>
      </c>
      <c r="Q217" s="415"/>
      <c r="S217" s="9"/>
      <c r="T217" s="28"/>
      <c r="U217" s="28"/>
      <c r="V217" s="28"/>
    </row>
    <row r="218" spans="1:22">
      <c r="A218" s="6">
        <v>318</v>
      </c>
      <c r="B218" s="6" t="s">
        <v>1436</v>
      </c>
      <c r="C218" s="410">
        <f t="shared" si="42"/>
        <v>116</v>
      </c>
      <c r="D218" s="410">
        <f t="shared" si="43"/>
        <v>105</v>
      </c>
      <c r="E218" s="410">
        <f t="shared" si="44"/>
        <v>-11</v>
      </c>
      <c r="F218" s="411">
        <f t="shared" si="45"/>
        <v>1610248.3900000004</v>
      </c>
      <c r="G218" s="411">
        <f t="shared" si="46"/>
        <v>1446546.9000000001</v>
      </c>
      <c r="H218" s="411">
        <f t="shared" si="47"/>
        <v>-1559.0618095238117</v>
      </c>
      <c r="I218" s="412">
        <f t="shared" si="48"/>
        <v>1328455</v>
      </c>
      <c r="J218" s="412">
        <f t="shared" si="49"/>
        <v>1193401</v>
      </c>
      <c r="K218" s="412">
        <f t="shared" si="50"/>
        <v>-1286.2285714285715</v>
      </c>
      <c r="L218" s="413">
        <f t="shared" si="51"/>
        <v>302393</v>
      </c>
      <c r="M218" s="413">
        <f t="shared" si="52"/>
        <v>313313</v>
      </c>
      <c r="N218" s="413">
        <f t="shared" si="53"/>
        <v>10920</v>
      </c>
      <c r="O218" s="413">
        <f t="shared" si="54"/>
        <v>104</v>
      </c>
      <c r="P218" s="414">
        <f t="shared" si="55"/>
        <v>0.04</v>
      </c>
      <c r="Q218" s="415"/>
      <c r="S218" s="9"/>
      <c r="T218" s="28"/>
      <c r="U218" s="28"/>
      <c r="V218" s="28"/>
    </row>
    <row r="219" spans="1:22">
      <c r="A219" s="6">
        <v>321</v>
      </c>
      <c r="B219" s="6" t="s">
        <v>1439</v>
      </c>
      <c r="C219" s="410">
        <f t="shared" si="42"/>
        <v>3764</v>
      </c>
      <c r="D219" s="410">
        <f t="shared" si="43"/>
        <v>3819</v>
      </c>
      <c r="E219" s="410">
        <f t="shared" si="44"/>
        <v>55</v>
      </c>
      <c r="F219" s="411">
        <f t="shared" si="45"/>
        <v>47373904.239999995</v>
      </c>
      <c r="G219" s="411">
        <f t="shared" si="46"/>
        <v>49809693.649999991</v>
      </c>
      <c r="H219" s="411">
        <f t="shared" si="47"/>
        <v>637.80817229641173</v>
      </c>
      <c r="I219" s="412">
        <f t="shared" si="48"/>
        <v>35784512</v>
      </c>
      <c r="J219" s="412">
        <f t="shared" si="49"/>
        <v>38095421</v>
      </c>
      <c r="K219" s="412">
        <f t="shared" si="50"/>
        <v>605.10840534171246</v>
      </c>
      <c r="L219" s="413">
        <f t="shared" si="51"/>
        <v>11912580</v>
      </c>
      <c r="M219" s="413">
        <f t="shared" si="52"/>
        <v>12309756</v>
      </c>
      <c r="N219" s="413">
        <f t="shared" si="53"/>
        <v>397176</v>
      </c>
      <c r="O219" s="413">
        <f t="shared" si="54"/>
        <v>104</v>
      </c>
      <c r="P219" s="414">
        <f t="shared" si="55"/>
        <v>0.03</v>
      </c>
      <c r="Q219" s="415"/>
      <c r="S219" s="9"/>
      <c r="T219" s="28"/>
      <c r="U219" s="28"/>
      <c r="V219" s="28"/>
    </row>
    <row r="220" spans="1:22">
      <c r="A220" s="6">
        <v>322</v>
      </c>
      <c r="B220" s="6" t="s">
        <v>1440</v>
      </c>
      <c r="C220" s="410">
        <f t="shared" si="42"/>
        <v>826</v>
      </c>
      <c r="D220" s="410">
        <f t="shared" si="43"/>
        <v>830</v>
      </c>
      <c r="E220" s="410">
        <f t="shared" si="44"/>
        <v>4</v>
      </c>
      <c r="F220" s="411">
        <f t="shared" si="45"/>
        <v>11278495.76</v>
      </c>
      <c r="G220" s="411">
        <f t="shared" si="46"/>
        <v>11804797.720000001</v>
      </c>
      <c r="H220" s="411">
        <f t="shared" si="47"/>
        <v>634.09874698795284</v>
      </c>
      <c r="I220" s="412">
        <f t="shared" si="48"/>
        <v>8476196</v>
      </c>
      <c r="J220" s="412">
        <f t="shared" si="49"/>
        <v>8971206</v>
      </c>
      <c r="K220" s="412">
        <f t="shared" si="50"/>
        <v>596.39759036144574</v>
      </c>
      <c r="L220" s="413">
        <f t="shared" si="51"/>
        <v>3158025</v>
      </c>
      <c r="M220" s="413">
        <f t="shared" si="52"/>
        <v>3244345</v>
      </c>
      <c r="N220" s="413">
        <f t="shared" si="53"/>
        <v>86320</v>
      </c>
      <c r="O220" s="413">
        <f t="shared" si="54"/>
        <v>104</v>
      </c>
      <c r="P220" s="414">
        <f t="shared" si="55"/>
        <v>0.03</v>
      </c>
      <c r="Q220" s="415"/>
      <c r="S220" s="9"/>
      <c r="T220" s="28"/>
      <c r="U220" s="28"/>
      <c r="V220" s="28"/>
    </row>
    <row r="221" spans="1:22">
      <c r="A221" s="6">
        <v>323</v>
      </c>
      <c r="B221" s="6" t="s">
        <v>1441</v>
      </c>
      <c r="C221" s="410">
        <f t="shared" si="42"/>
        <v>1130</v>
      </c>
      <c r="D221" s="410">
        <f t="shared" si="43"/>
        <v>1154</v>
      </c>
      <c r="E221" s="410">
        <f t="shared" si="44"/>
        <v>24</v>
      </c>
      <c r="F221" s="411">
        <f t="shared" si="45"/>
        <v>15250441.900000002</v>
      </c>
      <c r="G221" s="411">
        <f t="shared" si="46"/>
        <v>15992142.17</v>
      </c>
      <c r="H221" s="411">
        <f t="shared" si="47"/>
        <v>642.72120450606383</v>
      </c>
      <c r="I221" s="412">
        <f t="shared" si="48"/>
        <v>8732058</v>
      </c>
      <c r="J221" s="412">
        <f t="shared" si="49"/>
        <v>9060869</v>
      </c>
      <c r="K221" s="412">
        <f t="shared" si="50"/>
        <v>284.93154246100522</v>
      </c>
      <c r="L221" s="413">
        <f t="shared" si="51"/>
        <v>6518384</v>
      </c>
      <c r="M221" s="413">
        <f t="shared" si="52"/>
        <v>6931273</v>
      </c>
      <c r="N221" s="413">
        <f t="shared" si="53"/>
        <v>412889</v>
      </c>
      <c r="O221" s="413">
        <f t="shared" si="54"/>
        <v>357.78942807625651</v>
      </c>
      <c r="P221" s="414">
        <f t="shared" si="55"/>
        <v>0.06</v>
      </c>
      <c r="Q221" s="415"/>
      <c r="S221" s="9"/>
      <c r="T221" s="28"/>
      <c r="U221" s="28"/>
      <c r="V221" s="28"/>
    </row>
    <row r="222" spans="1:22">
      <c r="A222" s="6">
        <v>325</v>
      </c>
      <c r="B222" s="6" t="s">
        <v>1443</v>
      </c>
      <c r="C222" s="410">
        <f t="shared" si="42"/>
        <v>4849</v>
      </c>
      <c r="D222" s="410">
        <f t="shared" si="43"/>
        <v>4815</v>
      </c>
      <c r="E222" s="410">
        <f t="shared" si="44"/>
        <v>-34</v>
      </c>
      <c r="F222" s="411">
        <f t="shared" si="45"/>
        <v>75008744.25999999</v>
      </c>
      <c r="G222" s="411">
        <f t="shared" si="46"/>
        <v>77785675.980000004</v>
      </c>
      <c r="H222" s="411">
        <f t="shared" si="47"/>
        <v>576.72517549325312</v>
      </c>
      <c r="I222" s="412">
        <f t="shared" si="48"/>
        <v>32011961</v>
      </c>
      <c r="J222" s="412">
        <f t="shared" si="49"/>
        <v>33756613</v>
      </c>
      <c r="K222" s="412">
        <f t="shared" si="50"/>
        <v>362.33686396677052</v>
      </c>
      <c r="L222" s="413">
        <f t="shared" si="51"/>
        <v>42996783</v>
      </c>
      <c r="M222" s="413">
        <f t="shared" si="52"/>
        <v>44029063</v>
      </c>
      <c r="N222" s="413">
        <f t="shared" si="53"/>
        <v>1032280</v>
      </c>
      <c r="O222" s="413">
        <f t="shared" si="54"/>
        <v>214.3883696780893</v>
      </c>
      <c r="P222" s="414">
        <f t="shared" si="55"/>
        <v>0.02</v>
      </c>
      <c r="Q222" s="415"/>
      <c r="S222" s="9"/>
      <c r="T222" s="28"/>
      <c r="U222" s="28"/>
      <c r="V222" s="28"/>
    </row>
    <row r="223" spans="1:22">
      <c r="A223" s="6">
        <v>326</v>
      </c>
      <c r="B223" s="6" t="s">
        <v>1444</v>
      </c>
      <c r="C223" s="410">
        <f t="shared" si="42"/>
        <v>4658</v>
      </c>
      <c r="D223" s="410">
        <f t="shared" si="43"/>
        <v>4566</v>
      </c>
      <c r="E223" s="410">
        <f t="shared" si="44"/>
        <v>-92</v>
      </c>
      <c r="F223" s="411">
        <f t="shared" si="45"/>
        <v>56419497.774939992</v>
      </c>
      <c r="G223" s="411">
        <f t="shared" si="46"/>
        <v>56506301.348869994</v>
      </c>
      <c r="H223" s="411">
        <f t="shared" si="47"/>
        <v>19.010857190101348</v>
      </c>
      <c r="I223" s="412">
        <f t="shared" si="48"/>
        <v>42434964</v>
      </c>
      <c r="J223" s="412">
        <f t="shared" si="49"/>
        <v>43815994</v>
      </c>
      <c r="K223" s="412">
        <f t="shared" si="50"/>
        <v>302.45948313622426</v>
      </c>
      <c r="L223" s="413">
        <f t="shared" si="51"/>
        <v>17830755</v>
      </c>
      <c r="M223" s="413">
        <f t="shared" si="52"/>
        <v>18305619</v>
      </c>
      <c r="N223" s="413">
        <f t="shared" si="53"/>
        <v>474864</v>
      </c>
      <c r="O223" s="413">
        <f t="shared" si="54"/>
        <v>104</v>
      </c>
      <c r="P223" s="414">
        <f t="shared" si="55"/>
        <v>0.03</v>
      </c>
      <c r="Q223" s="415"/>
      <c r="S223" s="9"/>
      <c r="T223" s="28"/>
      <c r="U223" s="28"/>
      <c r="V223" s="28"/>
    </row>
    <row r="224" spans="1:22">
      <c r="A224" s="6">
        <v>327</v>
      </c>
      <c r="B224" s="6" t="s">
        <v>1445</v>
      </c>
      <c r="C224" s="410">
        <f t="shared" si="42"/>
        <v>92</v>
      </c>
      <c r="D224" s="410">
        <f t="shared" si="43"/>
        <v>92</v>
      </c>
      <c r="E224" s="410">
        <f t="shared" si="44"/>
        <v>0</v>
      </c>
      <c r="F224" s="411">
        <f t="shared" si="45"/>
        <v>1280165.0299999996</v>
      </c>
      <c r="G224" s="411">
        <f t="shared" si="46"/>
        <v>1321578.7600000002</v>
      </c>
      <c r="H224" s="411">
        <f t="shared" si="47"/>
        <v>450.1492391304422</v>
      </c>
      <c r="I224" s="412">
        <f t="shared" si="48"/>
        <v>1028923</v>
      </c>
      <c r="J224" s="412">
        <f t="shared" si="49"/>
        <v>1072012</v>
      </c>
      <c r="K224" s="412">
        <f t="shared" si="50"/>
        <v>468.35869565217394</v>
      </c>
      <c r="L224" s="413">
        <f t="shared" si="51"/>
        <v>491630</v>
      </c>
      <c r="M224" s="413">
        <f t="shared" si="52"/>
        <v>501198</v>
      </c>
      <c r="N224" s="413">
        <f t="shared" si="53"/>
        <v>9568</v>
      </c>
      <c r="O224" s="413">
        <f t="shared" si="54"/>
        <v>104</v>
      </c>
      <c r="P224" s="414">
        <f t="shared" si="55"/>
        <v>0.02</v>
      </c>
      <c r="Q224" s="415"/>
      <c r="S224" s="9"/>
      <c r="T224" s="28"/>
      <c r="U224" s="28"/>
      <c r="V224" s="28"/>
    </row>
    <row r="225" spans="1:22">
      <c r="A225" s="6">
        <v>330</v>
      </c>
      <c r="B225" s="6" t="s">
        <v>1448</v>
      </c>
      <c r="C225" s="410">
        <f t="shared" si="42"/>
        <v>2010</v>
      </c>
      <c r="D225" s="410">
        <f t="shared" si="43"/>
        <v>2041</v>
      </c>
      <c r="E225" s="410">
        <f t="shared" si="44"/>
        <v>31</v>
      </c>
      <c r="F225" s="411">
        <f t="shared" si="45"/>
        <v>25392258.954960003</v>
      </c>
      <c r="G225" s="411">
        <f t="shared" si="46"/>
        <v>26381907.903000001</v>
      </c>
      <c r="H225" s="411">
        <f t="shared" si="47"/>
        <v>484.88434494855335</v>
      </c>
      <c r="I225" s="412">
        <f t="shared" si="48"/>
        <v>20948614</v>
      </c>
      <c r="J225" s="412">
        <f t="shared" si="49"/>
        <v>21765074</v>
      </c>
      <c r="K225" s="412">
        <f t="shared" si="50"/>
        <v>400.02939735423814</v>
      </c>
      <c r="L225" s="413">
        <f t="shared" si="51"/>
        <v>4443645</v>
      </c>
      <c r="M225" s="413">
        <f t="shared" si="52"/>
        <v>4655909</v>
      </c>
      <c r="N225" s="413">
        <f t="shared" si="53"/>
        <v>212264</v>
      </c>
      <c r="O225" s="413">
        <f t="shared" si="54"/>
        <v>104</v>
      </c>
      <c r="P225" s="414">
        <f t="shared" si="55"/>
        <v>0.05</v>
      </c>
      <c r="Q225" s="415"/>
      <c r="S225" s="9"/>
      <c r="T225" s="28"/>
      <c r="U225" s="28"/>
      <c r="V225" s="28"/>
    </row>
    <row r="226" spans="1:22">
      <c r="A226" s="6">
        <v>331</v>
      </c>
      <c r="B226" s="6" t="s">
        <v>1449</v>
      </c>
      <c r="C226" s="410">
        <f t="shared" si="42"/>
        <v>1560</v>
      </c>
      <c r="D226" s="410">
        <f t="shared" si="43"/>
        <v>1595</v>
      </c>
      <c r="E226" s="410">
        <f t="shared" si="44"/>
        <v>35</v>
      </c>
      <c r="F226" s="411">
        <f t="shared" si="45"/>
        <v>20926189.139999997</v>
      </c>
      <c r="G226" s="411">
        <f t="shared" si="46"/>
        <v>22168976.699999999</v>
      </c>
      <c r="H226" s="411">
        <f t="shared" si="47"/>
        <v>779.17715360501722</v>
      </c>
      <c r="I226" s="412">
        <f t="shared" si="48"/>
        <v>15677019</v>
      </c>
      <c r="J226" s="412">
        <f t="shared" si="49"/>
        <v>16573075</v>
      </c>
      <c r="K226" s="412">
        <f t="shared" si="50"/>
        <v>561.79059561128531</v>
      </c>
      <c r="L226" s="413">
        <f t="shared" si="51"/>
        <v>5249170</v>
      </c>
      <c r="M226" s="413">
        <f t="shared" si="52"/>
        <v>5595902</v>
      </c>
      <c r="N226" s="413">
        <f t="shared" si="53"/>
        <v>346732</v>
      </c>
      <c r="O226" s="413">
        <f t="shared" si="54"/>
        <v>217.38683385579938</v>
      </c>
      <c r="P226" s="414">
        <f t="shared" si="55"/>
        <v>7.0000000000000007E-2</v>
      </c>
      <c r="Q226" s="415"/>
      <c r="S226" s="9"/>
      <c r="T226" s="28"/>
      <c r="U226" s="28"/>
      <c r="V226" s="28"/>
    </row>
    <row r="227" spans="1:22">
      <c r="A227" s="6">
        <v>332</v>
      </c>
      <c r="B227" s="6" t="s">
        <v>1450</v>
      </c>
      <c r="C227" s="410">
        <f t="shared" si="42"/>
        <v>3982</v>
      </c>
      <c r="D227" s="410">
        <f t="shared" si="43"/>
        <v>4087</v>
      </c>
      <c r="E227" s="410">
        <f t="shared" si="44"/>
        <v>105</v>
      </c>
      <c r="F227" s="411">
        <f t="shared" si="45"/>
        <v>63567924.089999989</v>
      </c>
      <c r="G227" s="411">
        <f t="shared" si="46"/>
        <v>68366792.900000006</v>
      </c>
      <c r="H227" s="411">
        <f t="shared" si="47"/>
        <v>1174.178813310501</v>
      </c>
      <c r="I227" s="412">
        <f t="shared" si="48"/>
        <v>22906588</v>
      </c>
      <c r="J227" s="412">
        <f t="shared" si="49"/>
        <v>24010686</v>
      </c>
      <c r="K227" s="412">
        <f t="shared" si="50"/>
        <v>270.14876437484708</v>
      </c>
      <c r="L227" s="413">
        <f t="shared" si="51"/>
        <v>40661336</v>
      </c>
      <c r="M227" s="413">
        <f t="shared" si="52"/>
        <v>44356107</v>
      </c>
      <c r="N227" s="413">
        <f t="shared" si="53"/>
        <v>3694771</v>
      </c>
      <c r="O227" s="413">
        <f t="shared" si="54"/>
        <v>904.03009542451673</v>
      </c>
      <c r="P227" s="414">
        <f t="shared" si="55"/>
        <v>0.09</v>
      </c>
      <c r="Q227" s="415"/>
      <c r="S227" s="9"/>
      <c r="T227" s="28"/>
      <c r="U227" s="28"/>
      <c r="V227" s="28"/>
    </row>
    <row r="228" spans="1:22">
      <c r="A228" s="6">
        <v>335</v>
      </c>
      <c r="B228" s="6" t="s">
        <v>1453</v>
      </c>
      <c r="C228" s="410">
        <f t="shared" si="42"/>
        <v>2893</v>
      </c>
      <c r="D228" s="410">
        <f t="shared" si="43"/>
        <v>2890</v>
      </c>
      <c r="E228" s="410">
        <f t="shared" si="44"/>
        <v>-3</v>
      </c>
      <c r="F228" s="411">
        <f t="shared" si="45"/>
        <v>36039140.915650003</v>
      </c>
      <c r="G228" s="411">
        <f t="shared" si="46"/>
        <v>36920748.450279996</v>
      </c>
      <c r="H228" s="411">
        <f t="shared" si="47"/>
        <v>305.05451025259276</v>
      </c>
      <c r="I228" s="412">
        <f t="shared" si="48"/>
        <v>28969675</v>
      </c>
      <c r="J228" s="412">
        <f t="shared" si="49"/>
        <v>30155173</v>
      </c>
      <c r="K228" s="412">
        <f t="shared" si="50"/>
        <v>410.20692041522489</v>
      </c>
      <c r="L228" s="413">
        <f t="shared" si="51"/>
        <v>7069466</v>
      </c>
      <c r="M228" s="413">
        <f t="shared" si="52"/>
        <v>7370026</v>
      </c>
      <c r="N228" s="413">
        <f t="shared" si="53"/>
        <v>300560</v>
      </c>
      <c r="O228" s="413">
        <f t="shared" si="54"/>
        <v>104</v>
      </c>
      <c r="P228" s="414">
        <f t="shared" si="55"/>
        <v>0.04</v>
      </c>
      <c r="Q228" s="415"/>
      <c r="S228" s="9"/>
      <c r="T228" s="28"/>
      <c r="U228" s="28"/>
      <c r="V228" s="28"/>
    </row>
    <row r="229" spans="1:22">
      <c r="A229" s="6">
        <v>336</v>
      </c>
      <c r="B229" s="6" t="s">
        <v>1454</v>
      </c>
      <c r="C229" s="410">
        <f t="shared" si="42"/>
        <v>5863</v>
      </c>
      <c r="D229" s="410">
        <f t="shared" si="43"/>
        <v>5877</v>
      </c>
      <c r="E229" s="410">
        <f t="shared" si="44"/>
        <v>14</v>
      </c>
      <c r="F229" s="411">
        <f t="shared" si="45"/>
        <v>89980250.507149994</v>
      </c>
      <c r="G229" s="411">
        <f t="shared" si="46"/>
        <v>92545801.942100003</v>
      </c>
      <c r="H229" s="411">
        <f t="shared" si="47"/>
        <v>436.54099624808731</v>
      </c>
      <c r="I229" s="412">
        <f t="shared" si="48"/>
        <v>65671537</v>
      </c>
      <c r="J229" s="412">
        <f t="shared" si="49"/>
        <v>69831655</v>
      </c>
      <c r="K229" s="412">
        <f t="shared" si="50"/>
        <v>707.86421643695758</v>
      </c>
      <c r="L229" s="413">
        <f t="shared" si="51"/>
        <v>29315975</v>
      </c>
      <c r="M229" s="413">
        <f t="shared" si="52"/>
        <v>29927183</v>
      </c>
      <c r="N229" s="413">
        <f t="shared" si="53"/>
        <v>611208</v>
      </c>
      <c r="O229" s="413">
        <f t="shared" si="54"/>
        <v>104</v>
      </c>
      <c r="P229" s="414">
        <f t="shared" si="55"/>
        <v>0.02</v>
      </c>
      <c r="Q229" s="415"/>
      <c r="S229" s="9"/>
      <c r="T229" s="28"/>
      <c r="U229" s="28"/>
      <c r="V229" s="28"/>
    </row>
    <row r="230" spans="1:22">
      <c r="A230" s="6">
        <v>337</v>
      </c>
      <c r="B230" s="6" t="s">
        <v>1455</v>
      </c>
      <c r="C230" s="410">
        <f t="shared" si="42"/>
        <v>85</v>
      </c>
      <c r="D230" s="410">
        <f t="shared" si="43"/>
        <v>85</v>
      </c>
      <c r="E230" s="410">
        <f t="shared" si="44"/>
        <v>0</v>
      </c>
      <c r="F230" s="411">
        <f t="shared" si="45"/>
        <v>1127263.1800000002</v>
      </c>
      <c r="G230" s="411">
        <f t="shared" si="46"/>
        <v>1124388.7500000002</v>
      </c>
      <c r="H230" s="411">
        <f t="shared" si="47"/>
        <v>-33.816823529410996</v>
      </c>
      <c r="I230" s="412">
        <f t="shared" si="48"/>
        <v>797920</v>
      </c>
      <c r="J230" s="412">
        <f t="shared" si="49"/>
        <v>859258</v>
      </c>
      <c r="K230" s="412">
        <f t="shared" si="50"/>
        <v>721.62352941176471</v>
      </c>
      <c r="L230" s="413">
        <f t="shared" si="51"/>
        <v>329343</v>
      </c>
      <c r="M230" s="413">
        <f t="shared" si="52"/>
        <v>338183</v>
      </c>
      <c r="N230" s="413">
        <f t="shared" si="53"/>
        <v>8840</v>
      </c>
      <c r="O230" s="413">
        <f t="shared" si="54"/>
        <v>104</v>
      </c>
      <c r="P230" s="414">
        <f t="shared" si="55"/>
        <v>0.03</v>
      </c>
      <c r="Q230" s="415"/>
      <c r="S230" s="9"/>
      <c r="T230" s="28"/>
      <c r="U230" s="28"/>
      <c r="V230" s="28"/>
    </row>
    <row r="231" spans="1:22">
      <c r="A231" s="6">
        <v>340</v>
      </c>
      <c r="B231" s="6" t="s">
        <v>1458</v>
      </c>
      <c r="C231" s="410">
        <f t="shared" si="42"/>
        <v>154</v>
      </c>
      <c r="D231" s="410">
        <f t="shared" si="43"/>
        <v>136</v>
      </c>
      <c r="E231" s="410">
        <f t="shared" si="44"/>
        <v>-18</v>
      </c>
      <c r="F231" s="411">
        <f t="shared" si="45"/>
        <v>2130357.6900000004</v>
      </c>
      <c r="G231" s="411">
        <f t="shared" si="46"/>
        <v>2006164.9200000002</v>
      </c>
      <c r="H231" s="411">
        <f t="shared" si="47"/>
        <v>-913.18213235294297</v>
      </c>
      <c r="I231" s="412">
        <f t="shared" si="48"/>
        <v>1343356</v>
      </c>
      <c r="J231" s="412">
        <f t="shared" si="49"/>
        <v>1353300</v>
      </c>
      <c r="K231" s="412">
        <f t="shared" si="50"/>
        <v>73.117647058823536</v>
      </c>
      <c r="L231" s="413">
        <f t="shared" si="51"/>
        <v>843437</v>
      </c>
      <c r="M231" s="413">
        <f t="shared" si="52"/>
        <v>857581</v>
      </c>
      <c r="N231" s="413">
        <f t="shared" si="53"/>
        <v>14144</v>
      </c>
      <c r="O231" s="413">
        <f t="shared" si="54"/>
        <v>104</v>
      </c>
      <c r="P231" s="414">
        <f t="shared" si="55"/>
        <v>0.02</v>
      </c>
      <c r="Q231" s="415"/>
      <c r="S231" s="9"/>
      <c r="T231" s="28"/>
      <c r="U231" s="28"/>
      <c r="V231" s="28"/>
    </row>
    <row r="232" spans="1:22">
      <c r="A232" s="6">
        <v>342</v>
      </c>
      <c r="B232" s="6" t="s">
        <v>1460</v>
      </c>
      <c r="C232" s="410">
        <f t="shared" si="42"/>
        <v>2832</v>
      </c>
      <c r="D232" s="410">
        <f t="shared" si="43"/>
        <v>2805</v>
      </c>
      <c r="E232" s="410">
        <f t="shared" si="44"/>
        <v>-27</v>
      </c>
      <c r="F232" s="411">
        <f t="shared" si="45"/>
        <v>36154606.173280001</v>
      </c>
      <c r="G232" s="411">
        <f t="shared" si="46"/>
        <v>36803962.054719999</v>
      </c>
      <c r="H232" s="411">
        <f t="shared" si="47"/>
        <v>231.49942297326157</v>
      </c>
      <c r="I232" s="412">
        <f t="shared" si="48"/>
        <v>28577249</v>
      </c>
      <c r="J232" s="412">
        <f t="shared" si="49"/>
        <v>29777494</v>
      </c>
      <c r="K232" s="412">
        <f t="shared" si="50"/>
        <v>427.89483065953652</v>
      </c>
      <c r="L232" s="413">
        <f t="shared" si="51"/>
        <v>11894150</v>
      </c>
      <c r="M232" s="413">
        <f t="shared" si="52"/>
        <v>12185870</v>
      </c>
      <c r="N232" s="413">
        <f t="shared" si="53"/>
        <v>291720</v>
      </c>
      <c r="O232" s="413">
        <f t="shared" si="54"/>
        <v>104</v>
      </c>
      <c r="P232" s="414">
        <f t="shared" si="55"/>
        <v>0.02</v>
      </c>
      <c r="Q232" s="415"/>
      <c r="S232" s="9"/>
      <c r="T232" s="28"/>
      <c r="U232" s="28"/>
      <c r="V232" s="28"/>
    </row>
    <row r="233" spans="1:22">
      <c r="A233" s="6">
        <v>343</v>
      </c>
      <c r="B233" s="6" t="s">
        <v>1461</v>
      </c>
      <c r="C233" s="410">
        <f t="shared" si="42"/>
        <v>1319</v>
      </c>
      <c r="D233" s="410">
        <f t="shared" si="43"/>
        <v>1294</v>
      </c>
      <c r="E233" s="410">
        <f t="shared" si="44"/>
        <v>-25</v>
      </c>
      <c r="F233" s="411">
        <f t="shared" si="45"/>
        <v>20130691.019999996</v>
      </c>
      <c r="G233" s="411">
        <f t="shared" si="46"/>
        <v>20484346.350000001</v>
      </c>
      <c r="H233" s="411">
        <f t="shared" si="47"/>
        <v>273.30396445131811</v>
      </c>
      <c r="I233" s="412">
        <f t="shared" si="48"/>
        <v>6129765</v>
      </c>
      <c r="J233" s="412">
        <f t="shared" si="49"/>
        <v>6462904</v>
      </c>
      <c r="K233" s="412">
        <f t="shared" si="50"/>
        <v>257.44899536321486</v>
      </c>
      <c r="L233" s="413">
        <f t="shared" si="51"/>
        <v>14000926</v>
      </c>
      <c r="M233" s="413">
        <f t="shared" si="52"/>
        <v>14135502</v>
      </c>
      <c r="N233" s="413">
        <f t="shared" si="53"/>
        <v>134576</v>
      </c>
      <c r="O233" s="413">
        <f t="shared" si="54"/>
        <v>104</v>
      </c>
      <c r="P233" s="414">
        <f t="shared" si="55"/>
        <v>0.01</v>
      </c>
      <c r="Q233" s="415"/>
      <c r="S233" s="9"/>
      <c r="T233" s="28"/>
      <c r="U233" s="28"/>
      <c r="V233" s="28"/>
    </row>
    <row r="234" spans="1:22">
      <c r="A234" s="6">
        <v>344</v>
      </c>
      <c r="B234" s="6" t="s">
        <v>1462</v>
      </c>
      <c r="C234" s="410">
        <f t="shared" si="42"/>
        <v>4346</v>
      </c>
      <c r="D234" s="410">
        <f t="shared" si="43"/>
        <v>4346</v>
      </c>
      <c r="E234" s="410">
        <f t="shared" si="44"/>
        <v>0</v>
      </c>
      <c r="F234" s="411">
        <f t="shared" si="45"/>
        <v>53860981.504270002</v>
      </c>
      <c r="G234" s="411">
        <f t="shared" si="46"/>
        <v>55351171.165500008</v>
      </c>
      <c r="H234" s="411">
        <f t="shared" si="47"/>
        <v>342.88763488955482</v>
      </c>
      <c r="I234" s="412">
        <f t="shared" si="48"/>
        <v>43974784</v>
      </c>
      <c r="J234" s="412">
        <f t="shared" si="49"/>
        <v>45664717</v>
      </c>
      <c r="K234" s="412">
        <f t="shared" si="50"/>
        <v>388.84790612057066</v>
      </c>
      <c r="L234" s="413">
        <f t="shared" si="51"/>
        <v>10277119</v>
      </c>
      <c r="M234" s="413">
        <f t="shared" si="52"/>
        <v>10729103</v>
      </c>
      <c r="N234" s="413">
        <f t="shared" si="53"/>
        <v>451984</v>
      </c>
      <c r="O234" s="413">
        <f t="shared" si="54"/>
        <v>104</v>
      </c>
      <c r="P234" s="414">
        <f t="shared" si="55"/>
        <v>0.04</v>
      </c>
      <c r="Q234" s="415"/>
      <c r="S234" s="9"/>
      <c r="T234" s="28"/>
      <c r="U234" s="28"/>
      <c r="V234" s="28"/>
    </row>
    <row r="235" spans="1:22">
      <c r="A235" s="6">
        <v>346</v>
      </c>
      <c r="B235" s="6" t="s">
        <v>1464</v>
      </c>
      <c r="C235" s="410">
        <f t="shared" si="42"/>
        <v>1957</v>
      </c>
      <c r="D235" s="410">
        <f t="shared" si="43"/>
        <v>1995</v>
      </c>
      <c r="E235" s="410">
        <f t="shared" si="44"/>
        <v>38</v>
      </c>
      <c r="F235" s="411">
        <f t="shared" si="45"/>
        <v>28718694.131870005</v>
      </c>
      <c r="G235" s="411">
        <f t="shared" si="46"/>
        <v>30384003.300080005</v>
      </c>
      <c r="H235" s="411">
        <f t="shared" si="47"/>
        <v>834.74143769924797</v>
      </c>
      <c r="I235" s="412">
        <f t="shared" si="48"/>
        <v>18971710</v>
      </c>
      <c r="J235" s="412">
        <f t="shared" si="49"/>
        <v>20235207</v>
      </c>
      <c r="K235" s="412">
        <f t="shared" si="50"/>
        <v>633.33182957393478</v>
      </c>
      <c r="L235" s="413">
        <f t="shared" si="51"/>
        <v>9746984</v>
      </c>
      <c r="M235" s="413">
        <f t="shared" si="52"/>
        <v>10148796</v>
      </c>
      <c r="N235" s="413">
        <f t="shared" si="53"/>
        <v>401812</v>
      </c>
      <c r="O235" s="413">
        <f t="shared" si="54"/>
        <v>201.40952380952382</v>
      </c>
      <c r="P235" s="414">
        <f t="shared" si="55"/>
        <v>0.04</v>
      </c>
      <c r="Q235" s="415"/>
      <c r="S235" s="9"/>
      <c r="T235" s="28"/>
      <c r="U235" s="28"/>
      <c r="V235" s="28"/>
    </row>
    <row r="236" spans="1:22">
      <c r="A236" s="6">
        <v>347</v>
      </c>
      <c r="B236" s="6" t="s">
        <v>1028</v>
      </c>
      <c r="C236" s="410">
        <f t="shared" si="42"/>
        <v>4388</v>
      </c>
      <c r="D236" s="410">
        <f t="shared" si="43"/>
        <v>4533</v>
      </c>
      <c r="E236" s="410">
        <f t="shared" si="44"/>
        <v>145</v>
      </c>
      <c r="F236" s="411">
        <f t="shared" si="45"/>
        <v>65492150.344600007</v>
      </c>
      <c r="G236" s="411">
        <f t="shared" si="46"/>
        <v>70723977.379679993</v>
      </c>
      <c r="H236" s="411">
        <f t="shared" si="47"/>
        <v>1154.1643580586776</v>
      </c>
      <c r="I236" s="412">
        <f t="shared" si="48"/>
        <v>51893336</v>
      </c>
      <c r="J236" s="412">
        <f t="shared" si="49"/>
        <v>55994588</v>
      </c>
      <c r="K236" s="412">
        <f t="shared" si="50"/>
        <v>904.75446724023823</v>
      </c>
      <c r="L236" s="413">
        <f t="shared" si="51"/>
        <v>13598814</v>
      </c>
      <c r="M236" s="413">
        <f t="shared" si="52"/>
        <v>14729389</v>
      </c>
      <c r="N236" s="413">
        <f t="shared" si="53"/>
        <v>1130575</v>
      </c>
      <c r="O236" s="413">
        <f t="shared" si="54"/>
        <v>249.40988307963821</v>
      </c>
      <c r="P236" s="414">
        <f t="shared" si="55"/>
        <v>0.08</v>
      </c>
      <c r="Q236" s="415"/>
      <c r="S236" s="9"/>
      <c r="T236" s="28"/>
      <c r="U236" s="28"/>
      <c r="V236" s="28"/>
    </row>
    <row r="237" spans="1:22">
      <c r="A237" s="6">
        <v>348</v>
      </c>
      <c r="B237" s="6" t="s">
        <v>1465</v>
      </c>
      <c r="C237" s="410">
        <f t="shared" si="42"/>
        <v>26552</v>
      </c>
      <c r="D237" s="410">
        <f t="shared" si="43"/>
        <v>26667</v>
      </c>
      <c r="E237" s="410">
        <f t="shared" si="44"/>
        <v>115</v>
      </c>
      <c r="F237" s="411">
        <f t="shared" si="45"/>
        <v>477974878.60999995</v>
      </c>
      <c r="G237" s="411">
        <f t="shared" si="46"/>
        <v>505110665.75</v>
      </c>
      <c r="H237" s="411">
        <f t="shared" si="47"/>
        <v>1017.5792980087766</v>
      </c>
      <c r="I237" s="412">
        <f t="shared" si="48"/>
        <v>120432974</v>
      </c>
      <c r="J237" s="412">
        <f t="shared" si="49"/>
        <v>127670996</v>
      </c>
      <c r="K237" s="412">
        <f t="shared" si="50"/>
        <v>271.42243221959728</v>
      </c>
      <c r="L237" s="413">
        <f t="shared" si="51"/>
        <v>357541905</v>
      </c>
      <c r="M237" s="413">
        <f t="shared" si="52"/>
        <v>377439670</v>
      </c>
      <c r="N237" s="413">
        <f t="shared" si="53"/>
        <v>19897765</v>
      </c>
      <c r="O237" s="413">
        <f t="shared" si="54"/>
        <v>746.15686053924321</v>
      </c>
      <c r="P237" s="414">
        <f t="shared" si="55"/>
        <v>0.06</v>
      </c>
      <c r="Q237" s="415"/>
      <c r="S237" s="9"/>
      <c r="T237" s="28"/>
      <c r="U237" s="28"/>
      <c r="V237" s="28"/>
    </row>
    <row r="238" spans="1:22">
      <c r="A238" s="6">
        <v>349</v>
      </c>
      <c r="B238" s="6" t="s">
        <v>1030</v>
      </c>
      <c r="C238" s="410">
        <f t="shared" si="42"/>
        <v>120</v>
      </c>
      <c r="D238" s="410">
        <f t="shared" si="43"/>
        <v>119</v>
      </c>
      <c r="E238" s="410">
        <f t="shared" si="44"/>
        <v>-1</v>
      </c>
      <c r="F238" s="411">
        <f t="shared" si="45"/>
        <v>1568790.0099999995</v>
      </c>
      <c r="G238" s="411">
        <f t="shared" si="46"/>
        <v>1599602.0399999998</v>
      </c>
      <c r="H238" s="411">
        <f t="shared" si="47"/>
        <v>258.92462184874171</v>
      </c>
      <c r="I238" s="412">
        <f t="shared" si="48"/>
        <v>1103824</v>
      </c>
      <c r="J238" s="412">
        <f t="shared" si="49"/>
        <v>1175020</v>
      </c>
      <c r="K238" s="412">
        <f t="shared" si="50"/>
        <v>598.28571428571433</v>
      </c>
      <c r="L238" s="413">
        <f t="shared" si="51"/>
        <v>464966</v>
      </c>
      <c r="M238" s="413">
        <f t="shared" si="52"/>
        <v>477342</v>
      </c>
      <c r="N238" s="413">
        <f t="shared" si="53"/>
        <v>12376</v>
      </c>
      <c r="O238" s="413">
        <f t="shared" si="54"/>
        <v>104</v>
      </c>
      <c r="P238" s="414">
        <f t="shared" si="55"/>
        <v>0.03</v>
      </c>
      <c r="Q238" s="415"/>
      <c r="S238" s="9"/>
      <c r="T238" s="28"/>
      <c r="U238" s="28"/>
      <c r="V238" s="28"/>
    </row>
    <row r="239" spans="1:22">
      <c r="A239" s="6">
        <v>350</v>
      </c>
      <c r="B239" s="6" t="s">
        <v>1467</v>
      </c>
      <c r="C239" s="410">
        <f t="shared" si="42"/>
        <v>925</v>
      </c>
      <c r="D239" s="410">
        <f t="shared" si="43"/>
        <v>956</v>
      </c>
      <c r="E239" s="410">
        <f t="shared" si="44"/>
        <v>31</v>
      </c>
      <c r="F239" s="411">
        <f t="shared" si="45"/>
        <v>11250378.938039999</v>
      </c>
      <c r="G239" s="411">
        <f t="shared" si="46"/>
        <v>12020258.945529999</v>
      </c>
      <c r="H239" s="411">
        <f t="shared" si="47"/>
        <v>805.31381536610854</v>
      </c>
      <c r="I239" s="412">
        <f t="shared" si="48"/>
        <v>8771480</v>
      </c>
      <c r="J239" s="412">
        <f t="shared" si="49"/>
        <v>9445383</v>
      </c>
      <c r="K239" s="412">
        <f t="shared" si="50"/>
        <v>704.9194560669456</v>
      </c>
      <c r="L239" s="413">
        <f t="shared" si="51"/>
        <v>3924073</v>
      </c>
      <c r="M239" s="413">
        <f t="shared" si="52"/>
        <v>4023497</v>
      </c>
      <c r="N239" s="413">
        <f t="shared" si="53"/>
        <v>99424</v>
      </c>
      <c r="O239" s="413">
        <f t="shared" si="54"/>
        <v>104</v>
      </c>
      <c r="P239" s="414">
        <f t="shared" si="55"/>
        <v>0.03</v>
      </c>
      <c r="Q239" s="415"/>
      <c r="S239" s="9"/>
      <c r="T239" s="28"/>
      <c r="U239" s="28"/>
      <c r="V239" s="28"/>
    </row>
    <row r="240" spans="1:22">
      <c r="A240" s="6">
        <v>406</v>
      </c>
      <c r="B240" s="6" t="s">
        <v>1469</v>
      </c>
      <c r="C240" s="410">
        <f t="shared" si="42"/>
        <v>115</v>
      </c>
      <c r="D240" s="410">
        <f t="shared" si="43"/>
        <v>119</v>
      </c>
      <c r="E240" s="410">
        <f t="shared" si="44"/>
        <v>4</v>
      </c>
      <c r="F240" s="411">
        <f t="shared" si="45"/>
        <v>3641524.6399999997</v>
      </c>
      <c r="G240" s="411">
        <f t="shared" si="46"/>
        <v>3830697.23</v>
      </c>
      <c r="H240" s="411">
        <f t="shared" si="47"/>
        <v>1589.6856302521035</v>
      </c>
      <c r="I240" s="412">
        <f t="shared" si="48"/>
        <v>2870492</v>
      </c>
      <c r="J240" s="412">
        <f t="shared" si="49"/>
        <v>3095469</v>
      </c>
      <c r="K240" s="412">
        <f t="shared" si="50"/>
        <v>1890.5630252100841</v>
      </c>
      <c r="L240" s="413">
        <f t="shared" si="51"/>
        <v>930545</v>
      </c>
      <c r="M240" s="413">
        <f t="shared" si="52"/>
        <v>942921</v>
      </c>
      <c r="N240" s="413">
        <f t="shared" si="53"/>
        <v>12376</v>
      </c>
      <c r="O240" s="413">
        <f t="shared" si="54"/>
        <v>104</v>
      </c>
      <c r="P240" s="414">
        <f t="shared" si="55"/>
        <v>0.01</v>
      </c>
      <c r="Q240" s="415"/>
      <c r="S240" s="9"/>
      <c r="T240" s="28"/>
      <c r="U240" s="28"/>
      <c r="V240" s="28"/>
    </row>
    <row r="241" spans="1:22">
      <c r="A241" s="6">
        <v>600</v>
      </c>
      <c r="B241" s="6" t="s">
        <v>1470</v>
      </c>
      <c r="C241" s="410">
        <f t="shared" si="42"/>
        <v>5020</v>
      </c>
      <c r="D241" s="410">
        <f t="shared" si="43"/>
        <v>4960</v>
      </c>
      <c r="E241" s="410">
        <f t="shared" si="44"/>
        <v>-60</v>
      </c>
      <c r="F241" s="411">
        <f t="shared" si="45"/>
        <v>64406283.823839992</v>
      </c>
      <c r="G241" s="411">
        <f t="shared" si="46"/>
        <v>65611192.994459994</v>
      </c>
      <c r="H241" s="411">
        <f t="shared" si="47"/>
        <v>242.92523601209714</v>
      </c>
      <c r="I241" s="412">
        <f t="shared" si="48"/>
        <v>50399193</v>
      </c>
      <c r="J241" s="412">
        <f t="shared" si="49"/>
        <v>52313929</v>
      </c>
      <c r="K241" s="412">
        <f t="shared" si="50"/>
        <v>386.03548387096777</v>
      </c>
      <c r="L241" s="413">
        <f t="shared" si="51"/>
        <v>15942931</v>
      </c>
      <c r="M241" s="413">
        <f t="shared" si="52"/>
        <v>16458771</v>
      </c>
      <c r="N241" s="413">
        <f t="shared" si="53"/>
        <v>515840</v>
      </c>
      <c r="O241" s="413">
        <f t="shared" si="54"/>
        <v>104</v>
      </c>
      <c r="P241" s="414">
        <f t="shared" si="55"/>
        <v>0.03</v>
      </c>
      <c r="Q241" s="415"/>
      <c r="S241" s="9"/>
      <c r="T241" s="28"/>
      <c r="U241" s="28"/>
      <c r="V241" s="28"/>
    </row>
    <row r="242" spans="1:22">
      <c r="A242" s="6">
        <v>603</v>
      </c>
      <c r="B242" s="6" t="s">
        <v>2176</v>
      </c>
      <c r="C242" s="410">
        <f t="shared" si="42"/>
        <v>1146</v>
      </c>
      <c r="D242" s="410">
        <f t="shared" si="43"/>
        <v>1157</v>
      </c>
      <c r="E242" s="410">
        <f t="shared" si="44"/>
        <v>11</v>
      </c>
      <c r="F242" s="411">
        <f t="shared" si="45"/>
        <v>17400551.630000003</v>
      </c>
      <c r="G242" s="411">
        <f t="shared" si="46"/>
        <v>18240972.630000003</v>
      </c>
      <c r="H242" s="411">
        <f t="shared" si="47"/>
        <v>726.37942955920482</v>
      </c>
      <c r="I242" s="412">
        <f t="shared" si="48"/>
        <v>6167321</v>
      </c>
      <c r="J242" s="412">
        <f t="shared" si="49"/>
        <v>6410290</v>
      </c>
      <c r="K242" s="412">
        <f t="shared" si="50"/>
        <v>209.99913569576492</v>
      </c>
      <c r="L242" s="413">
        <f t="shared" si="51"/>
        <v>11233231</v>
      </c>
      <c r="M242" s="413">
        <f t="shared" si="52"/>
        <v>11830683</v>
      </c>
      <c r="N242" s="413">
        <f t="shared" si="53"/>
        <v>597452</v>
      </c>
      <c r="O242" s="413">
        <f t="shared" si="54"/>
        <v>516.38029386343987</v>
      </c>
      <c r="P242" s="414">
        <f t="shared" si="55"/>
        <v>0.05</v>
      </c>
      <c r="Q242" s="415"/>
      <c r="S242" s="9"/>
      <c r="T242" s="28"/>
      <c r="U242" s="28"/>
      <c r="V242" s="28"/>
    </row>
    <row r="243" spans="1:22">
      <c r="A243" s="6">
        <v>605</v>
      </c>
      <c r="B243" s="6" t="s">
        <v>1472</v>
      </c>
      <c r="C243" s="410">
        <f t="shared" si="42"/>
        <v>1274.0000000000002</v>
      </c>
      <c r="D243" s="410">
        <f t="shared" si="43"/>
        <v>1240.9999999875899</v>
      </c>
      <c r="E243" s="410">
        <f t="shared" si="44"/>
        <v>-33.000000012410283</v>
      </c>
      <c r="F243" s="411">
        <f t="shared" si="45"/>
        <v>18078526.210000001</v>
      </c>
      <c r="G243" s="411">
        <f t="shared" si="46"/>
        <v>17938493.399820615</v>
      </c>
      <c r="H243" s="411">
        <f t="shared" si="47"/>
        <v>-112.83868668878857</v>
      </c>
      <c r="I243" s="412">
        <f t="shared" si="48"/>
        <v>13803543</v>
      </c>
      <c r="J243" s="412">
        <f t="shared" si="49"/>
        <v>14305435</v>
      </c>
      <c r="K243" s="412">
        <f t="shared" si="50"/>
        <v>404.42546334006363</v>
      </c>
      <c r="L243" s="413">
        <f t="shared" si="51"/>
        <v>9756397.0000003986</v>
      </c>
      <c r="M243" s="413">
        <f t="shared" si="52"/>
        <v>9885460.9999991078</v>
      </c>
      <c r="N243" s="413">
        <f t="shared" si="53"/>
        <v>129063.99999870919</v>
      </c>
      <c r="O243" s="413">
        <f t="shared" si="54"/>
        <v>103.99999999999987</v>
      </c>
      <c r="P243" s="414">
        <f t="shared" si="55"/>
        <v>0.01</v>
      </c>
      <c r="Q243" s="415"/>
      <c r="S243" s="9"/>
      <c r="T243" s="28"/>
      <c r="U243" s="28"/>
      <c r="V243" s="28"/>
    </row>
    <row r="244" spans="1:22">
      <c r="A244" s="6">
        <v>610</v>
      </c>
      <c r="B244" s="6" t="s">
        <v>1473</v>
      </c>
      <c r="C244" s="410">
        <f t="shared" si="42"/>
        <v>2282</v>
      </c>
      <c r="D244" s="410">
        <f t="shared" si="43"/>
        <v>2241</v>
      </c>
      <c r="E244" s="410">
        <f t="shared" si="44"/>
        <v>-41</v>
      </c>
      <c r="F244" s="411">
        <f t="shared" si="45"/>
        <v>29646112.5</v>
      </c>
      <c r="G244" s="411">
        <f t="shared" si="46"/>
        <v>29665602.809999995</v>
      </c>
      <c r="H244" s="411">
        <f t="shared" si="47"/>
        <v>8.6971485943752498</v>
      </c>
      <c r="I244" s="412">
        <f t="shared" si="48"/>
        <v>13950290</v>
      </c>
      <c r="J244" s="412">
        <f t="shared" si="49"/>
        <v>14854145</v>
      </c>
      <c r="K244" s="412">
        <f t="shared" si="50"/>
        <v>403.32663989290495</v>
      </c>
      <c r="L244" s="413">
        <f t="shared" si="51"/>
        <v>15695823</v>
      </c>
      <c r="M244" s="413">
        <f t="shared" si="52"/>
        <v>15928887</v>
      </c>
      <c r="N244" s="413">
        <f t="shared" si="53"/>
        <v>233064</v>
      </c>
      <c r="O244" s="413">
        <f t="shared" si="54"/>
        <v>104</v>
      </c>
      <c r="P244" s="414">
        <f t="shared" si="55"/>
        <v>0.01</v>
      </c>
      <c r="Q244" s="415"/>
      <c r="S244" s="9"/>
      <c r="T244" s="28"/>
      <c r="U244" s="28"/>
      <c r="V244" s="28"/>
    </row>
    <row r="245" spans="1:22">
      <c r="A245" s="6">
        <v>615</v>
      </c>
      <c r="B245" s="6" t="s">
        <v>1474</v>
      </c>
      <c r="C245" s="410">
        <f t="shared" si="42"/>
        <v>1746</v>
      </c>
      <c r="D245" s="410">
        <f t="shared" si="43"/>
        <v>1773</v>
      </c>
      <c r="E245" s="410">
        <f t="shared" si="44"/>
        <v>27</v>
      </c>
      <c r="F245" s="411">
        <f t="shared" si="45"/>
        <v>27758995.789999995</v>
      </c>
      <c r="G245" s="411">
        <f t="shared" si="46"/>
        <v>28689338.050000004</v>
      </c>
      <c r="H245" s="411">
        <f t="shared" si="47"/>
        <v>524.72772701636154</v>
      </c>
      <c r="I245" s="412">
        <f t="shared" si="48"/>
        <v>4374330</v>
      </c>
      <c r="J245" s="412">
        <f t="shared" si="49"/>
        <v>4712028</v>
      </c>
      <c r="K245" s="412">
        <f t="shared" si="50"/>
        <v>190.46700507614213</v>
      </c>
      <c r="L245" s="413">
        <f t="shared" si="51"/>
        <v>23384666</v>
      </c>
      <c r="M245" s="413">
        <f t="shared" si="52"/>
        <v>24764149</v>
      </c>
      <c r="N245" s="413">
        <f t="shared" si="53"/>
        <v>1379483</v>
      </c>
      <c r="O245" s="413">
        <f t="shared" si="54"/>
        <v>778.05019740552734</v>
      </c>
      <c r="P245" s="414">
        <f t="shared" si="55"/>
        <v>0.06</v>
      </c>
      <c r="Q245" s="415"/>
      <c r="S245" s="9"/>
      <c r="T245" s="28"/>
      <c r="U245" s="28"/>
      <c r="V245" s="28"/>
    </row>
    <row r="246" spans="1:22">
      <c r="A246" s="6">
        <v>616</v>
      </c>
      <c r="B246" s="6" t="s">
        <v>1039</v>
      </c>
      <c r="C246" s="410">
        <f t="shared" si="42"/>
        <v>1712</v>
      </c>
      <c r="D246" s="410">
        <f t="shared" si="43"/>
        <v>1698</v>
      </c>
      <c r="E246" s="410">
        <f t="shared" si="44"/>
        <v>-14</v>
      </c>
      <c r="F246" s="411">
        <f t="shared" si="45"/>
        <v>23119470.369999997</v>
      </c>
      <c r="G246" s="411">
        <f t="shared" si="46"/>
        <v>23852633.539999999</v>
      </c>
      <c r="H246" s="411">
        <f t="shared" si="47"/>
        <v>431.78042991755109</v>
      </c>
      <c r="I246" s="412">
        <f t="shared" si="48"/>
        <v>14814575</v>
      </c>
      <c r="J246" s="412">
        <f t="shared" si="49"/>
        <v>15653161</v>
      </c>
      <c r="K246" s="412">
        <f t="shared" si="50"/>
        <v>493.86690223792698</v>
      </c>
      <c r="L246" s="413">
        <f t="shared" si="51"/>
        <v>8552891</v>
      </c>
      <c r="M246" s="413">
        <f t="shared" si="52"/>
        <v>8729483</v>
      </c>
      <c r="N246" s="413">
        <f t="shared" si="53"/>
        <v>176592</v>
      </c>
      <c r="O246" s="413">
        <f t="shared" si="54"/>
        <v>104</v>
      </c>
      <c r="P246" s="414">
        <f t="shared" si="55"/>
        <v>0.02</v>
      </c>
      <c r="Q246" s="415"/>
      <c r="S246" s="9"/>
      <c r="T246" s="28"/>
      <c r="U246" s="28"/>
      <c r="V246" s="28"/>
    </row>
    <row r="247" spans="1:22">
      <c r="A247" s="6">
        <v>618</v>
      </c>
      <c r="B247" s="6" t="s">
        <v>1475</v>
      </c>
      <c r="C247" s="410">
        <f t="shared" si="42"/>
        <v>917.99999999999989</v>
      </c>
      <c r="D247" s="410">
        <f t="shared" si="43"/>
        <v>945.99999999999989</v>
      </c>
      <c r="E247" s="410">
        <f t="shared" si="44"/>
        <v>28</v>
      </c>
      <c r="F247" s="411">
        <f t="shared" si="45"/>
        <v>14027795.750000002</v>
      </c>
      <c r="G247" s="411">
        <f t="shared" si="46"/>
        <v>15185337.219999997</v>
      </c>
      <c r="H247" s="411">
        <f t="shared" si="47"/>
        <v>1223.616775898515</v>
      </c>
      <c r="I247" s="412">
        <f t="shared" si="48"/>
        <v>11020467</v>
      </c>
      <c r="J247" s="412">
        <f t="shared" si="49"/>
        <v>11787069</v>
      </c>
      <c r="K247" s="412">
        <f t="shared" si="50"/>
        <v>810.36152219873156</v>
      </c>
      <c r="L247" s="413">
        <f t="shared" si="51"/>
        <v>3072618</v>
      </c>
      <c r="M247" s="413">
        <f t="shared" si="52"/>
        <v>3398268</v>
      </c>
      <c r="N247" s="413">
        <f t="shared" si="53"/>
        <v>325650</v>
      </c>
      <c r="O247" s="413">
        <f t="shared" si="54"/>
        <v>344.23890063424949</v>
      </c>
      <c r="P247" s="414">
        <f t="shared" si="55"/>
        <v>0.11</v>
      </c>
      <c r="Q247" s="415"/>
      <c r="S247" s="9"/>
      <c r="T247" s="28"/>
      <c r="U247" s="28"/>
      <c r="V247" s="28"/>
    </row>
    <row r="248" spans="1:22">
      <c r="A248" s="6">
        <v>620</v>
      </c>
      <c r="B248" s="6" t="s">
        <v>1476</v>
      </c>
      <c r="C248" s="410">
        <f t="shared" si="42"/>
        <v>1004.0000000000001</v>
      </c>
      <c r="D248" s="410">
        <f t="shared" si="43"/>
        <v>1053</v>
      </c>
      <c r="E248" s="410">
        <f t="shared" si="44"/>
        <v>48.999999999999886</v>
      </c>
      <c r="F248" s="411">
        <f t="shared" si="45"/>
        <v>12479595.730000002</v>
      </c>
      <c r="G248" s="411">
        <f t="shared" si="46"/>
        <v>13467608.219999999</v>
      </c>
      <c r="H248" s="411">
        <f t="shared" si="47"/>
        <v>938.28346628679628</v>
      </c>
      <c r="I248" s="412">
        <f t="shared" si="48"/>
        <v>9682981</v>
      </c>
      <c r="J248" s="412">
        <f t="shared" si="49"/>
        <v>10476087</v>
      </c>
      <c r="K248" s="412">
        <f t="shared" si="50"/>
        <v>753.1870845204179</v>
      </c>
      <c r="L248" s="413">
        <f t="shared" si="51"/>
        <v>2796615</v>
      </c>
      <c r="M248" s="413">
        <f t="shared" si="52"/>
        <v>2991521</v>
      </c>
      <c r="N248" s="413">
        <f t="shared" si="53"/>
        <v>194906</v>
      </c>
      <c r="O248" s="413">
        <f t="shared" si="54"/>
        <v>185.09591642924977</v>
      </c>
      <c r="P248" s="414">
        <f t="shared" si="55"/>
        <v>7.0000000000000007E-2</v>
      </c>
      <c r="Q248" s="415"/>
      <c r="S248" s="9"/>
      <c r="T248" s="28"/>
      <c r="U248" s="28"/>
      <c r="V248" s="28"/>
    </row>
    <row r="249" spans="1:22">
      <c r="A249" s="6">
        <v>622</v>
      </c>
      <c r="B249" s="6" t="s">
        <v>1477</v>
      </c>
      <c r="C249" s="410">
        <f t="shared" si="42"/>
        <v>1581</v>
      </c>
      <c r="D249" s="410">
        <f t="shared" si="43"/>
        <v>1597</v>
      </c>
      <c r="E249" s="410">
        <f t="shared" si="44"/>
        <v>16</v>
      </c>
      <c r="F249" s="411">
        <f t="shared" si="45"/>
        <v>21242438.940000005</v>
      </c>
      <c r="G249" s="411">
        <f t="shared" si="46"/>
        <v>22150137.41</v>
      </c>
      <c r="H249" s="411">
        <f t="shared" si="47"/>
        <v>568.37725109580151</v>
      </c>
      <c r="I249" s="412">
        <f t="shared" si="48"/>
        <v>10531596</v>
      </c>
      <c r="J249" s="412">
        <f t="shared" si="49"/>
        <v>11211778</v>
      </c>
      <c r="K249" s="412">
        <f t="shared" si="50"/>
        <v>425.91233562930495</v>
      </c>
      <c r="L249" s="413">
        <f t="shared" si="51"/>
        <v>11228029</v>
      </c>
      <c r="M249" s="413">
        <f t="shared" si="52"/>
        <v>11394117</v>
      </c>
      <c r="N249" s="413">
        <f t="shared" si="53"/>
        <v>166088</v>
      </c>
      <c r="O249" s="413">
        <f t="shared" si="54"/>
        <v>104</v>
      </c>
      <c r="P249" s="414">
        <f t="shared" si="55"/>
        <v>0.01</v>
      </c>
      <c r="Q249" s="415"/>
      <c r="S249" s="9"/>
      <c r="T249" s="28"/>
      <c r="U249" s="28"/>
      <c r="V249" s="28"/>
    </row>
    <row r="250" spans="1:22">
      <c r="A250" s="6">
        <v>625</v>
      </c>
      <c r="B250" s="6" t="s">
        <v>1478</v>
      </c>
      <c r="C250" s="410">
        <f t="shared" si="42"/>
        <v>5609</v>
      </c>
      <c r="D250" s="410">
        <f t="shared" si="43"/>
        <v>5694</v>
      </c>
      <c r="E250" s="410">
        <f t="shared" si="44"/>
        <v>85</v>
      </c>
      <c r="F250" s="411">
        <f t="shared" si="45"/>
        <v>73247622.790000021</v>
      </c>
      <c r="G250" s="411">
        <f t="shared" si="46"/>
        <v>76500993.25</v>
      </c>
      <c r="H250" s="411">
        <f t="shared" si="47"/>
        <v>571.36818756585501</v>
      </c>
      <c r="I250" s="412">
        <f t="shared" si="48"/>
        <v>42311090</v>
      </c>
      <c r="J250" s="412">
        <f t="shared" si="49"/>
        <v>44978242</v>
      </c>
      <c r="K250" s="412">
        <f t="shared" si="50"/>
        <v>468.41447137337548</v>
      </c>
      <c r="L250" s="413">
        <f t="shared" si="51"/>
        <v>30936533</v>
      </c>
      <c r="M250" s="413">
        <f t="shared" si="52"/>
        <v>31528709</v>
      </c>
      <c r="N250" s="413">
        <f t="shared" si="53"/>
        <v>592176</v>
      </c>
      <c r="O250" s="413">
        <f t="shared" si="54"/>
        <v>104</v>
      </c>
      <c r="P250" s="414">
        <f t="shared" si="55"/>
        <v>0.02</v>
      </c>
      <c r="Q250" s="415"/>
      <c r="S250" s="9"/>
      <c r="T250" s="28"/>
      <c r="U250" s="28"/>
      <c r="V250" s="28"/>
    </row>
    <row r="251" spans="1:22">
      <c r="A251" s="6">
        <v>632</v>
      </c>
      <c r="B251" s="6" t="s">
        <v>1044</v>
      </c>
      <c r="C251" s="410">
        <f t="shared" si="42"/>
        <v>117</v>
      </c>
      <c r="D251" s="410">
        <f t="shared" si="43"/>
        <v>113</v>
      </c>
      <c r="E251" s="410">
        <f t="shared" si="44"/>
        <v>-4</v>
      </c>
      <c r="F251" s="411">
        <f t="shared" si="45"/>
        <v>1596663.71</v>
      </c>
      <c r="G251" s="411">
        <f t="shared" si="46"/>
        <v>1573384.0799999998</v>
      </c>
      <c r="H251" s="411">
        <f t="shared" si="47"/>
        <v>-206.01442477876213</v>
      </c>
      <c r="I251" s="412">
        <f t="shared" si="48"/>
        <v>1065120</v>
      </c>
      <c r="J251" s="412">
        <f t="shared" si="49"/>
        <v>1124623</v>
      </c>
      <c r="K251" s="412">
        <f t="shared" si="50"/>
        <v>526.57522123893807</v>
      </c>
      <c r="L251" s="413">
        <f t="shared" si="51"/>
        <v>769270</v>
      </c>
      <c r="M251" s="413">
        <f t="shared" si="52"/>
        <v>781022</v>
      </c>
      <c r="N251" s="413">
        <f t="shared" si="53"/>
        <v>11752</v>
      </c>
      <c r="O251" s="413">
        <f t="shared" si="54"/>
        <v>104</v>
      </c>
      <c r="P251" s="414">
        <f t="shared" si="55"/>
        <v>0.02</v>
      </c>
      <c r="Q251" s="415"/>
      <c r="S251" s="9"/>
      <c r="T251" s="28"/>
      <c r="U251" s="28"/>
      <c r="V251" s="28"/>
    </row>
    <row r="252" spans="1:22">
      <c r="A252" s="6">
        <v>635</v>
      </c>
      <c r="B252" s="6" t="s">
        <v>1479</v>
      </c>
      <c r="C252" s="410">
        <f t="shared" si="42"/>
        <v>1516</v>
      </c>
      <c r="D252" s="410">
        <f t="shared" si="43"/>
        <v>1528</v>
      </c>
      <c r="E252" s="410">
        <f t="shared" si="44"/>
        <v>12</v>
      </c>
      <c r="F252" s="411">
        <f t="shared" si="45"/>
        <v>21682070.819999997</v>
      </c>
      <c r="G252" s="411">
        <f t="shared" si="46"/>
        <v>22485789.989999998</v>
      </c>
      <c r="H252" s="411">
        <f t="shared" si="47"/>
        <v>525.99422120418967</v>
      </c>
      <c r="I252" s="412">
        <f t="shared" si="48"/>
        <v>12180728</v>
      </c>
      <c r="J252" s="412">
        <f t="shared" si="49"/>
        <v>12628653</v>
      </c>
      <c r="K252" s="412">
        <f t="shared" si="50"/>
        <v>293.14463350785343</v>
      </c>
      <c r="L252" s="413">
        <f t="shared" si="51"/>
        <v>9501343</v>
      </c>
      <c r="M252" s="413">
        <f t="shared" si="52"/>
        <v>9857137</v>
      </c>
      <c r="N252" s="413">
        <f t="shared" si="53"/>
        <v>355794</v>
      </c>
      <c r="O252" s="413">
        <f t="shared" si="54"/>
        <v>232.84947643979058</v>
      </c>
      <c r="P252" s="414">
        <f t="shared" si="55"/>
        <v>0.04</v>
      </c>
      <c r="Q252" s="415"/>
      <c r="S252" s="9"/>
      <c r="T252" s="28"/>
      <c r="U252" s="28"/>
      <c r="V252" s="28"/>
    </row>
    <row r="253" spans="1:22">
      <c r="A253" s="6">
        <v>640</v>
      </c>
      <c r="B253" s="6" t="s">
        <v>1480</v>
      </c>
      <c r="C253" s="410">
        <f t="shared" si="42"/>
        <v>1335</v>
      </c>
      <c r="D253" s="410">
        <f t="shared" si="43"/>
        <v>1266</v>
      </c>
      <c r="E253" s="410">
        <f t="shared" si="44"/>
        <v>-69</v>
      </c>
      <c r="F253" s="411">
        <f t="shared" si="45"/>
        <v>18206295.725200001</v>
      </c>
      <c r="G253" s="411">
        <f t="shared" si="46"/>
        <v>17738546.515740003</v>
      </c>
      <c r="H253" s="411">
        <f t="shared" si="47"/>
        <v>-369.47014965244688</v>
      </c>
      <c r="I253" s="412">
        <f t="shared" si="48"/>
        <v>15020194</v>
      </c>
      <c r="J253" s="412">
        <f t="shared" si="49"/>
        <v>14634301</v>
      </c>
      <c r="K253" s="412">
        <f t="shared" si="50"/>
        <v>-304.81279620853081</v>
      </c>
      <c r="L253" s="413">
        <f t="shared" si="51"/>
        <v>3294009</v>
      </c>
      <c r="M253" s="413">
        <f t="shared" si="52"/>
        <v>3425673</v>
      </c>
      <c r="N253" s="413">
        <f t="shared" si="53"/>
        <v>131664</v>
      </c>
      <c r="O253" s="413">
        <f t="shared" si="54"/>
        <v>104</v>
      </c>
      <c r="P253" s="414">
        <f t="shared" si="55"/>
        <v>0.04</v>
      </c>
      <c r="Q253" s="415"/>
      <c r="S253" s="9"/>
      <c r="T253" s="28"/>
      <c r="U253" s="28"/>
      <c r="V253" s="28"/>
    </row>
    <row r="254" spans="1:22">
      <c r="A254" s="6">
        <v>645</v>
      </c>
      <c r="B254" s="6" t="s">
        <v>1481</v>
      </c>
      <c r="C254" s="410">
        <f t="shared" si="42"/>
        <v>3203</v>
      </c>
      <c r="D254" s="410">
        <f t="shared" si="43"/>
        <v>3261</v>
      </c>
      <c r="E254" s="410">
        <f t="shared" si="44"/>
        <v>58</v>
      </c>
      <c r="F254" s="411">
        <f t="shared" si="45"/>
        <v>49764294.759999998</v>
      </c>
      <c r="G254" s="411">
        <f t="shared" si="46"/>
        <v>53177397.429999992</v>
      </c>
      <c r="H254" s="411">
        <f t="shared" si="47"/>
        <v>1046.642953081875</v>
      </c>
      <c r="I254" s="412">
        <f t="shared" si="48"/>
        <v>38104613</v>
      </c>
      <c r="J254" s="412">
        <f t="shared" si="49"/>
        <v>40603887</v>
      </c>
      <c r="K254" s="412">
        <f t="shared" si="50"/>
        <v>766.41337013186137</v>
      </c>
      <c r="L254" s="413">
        <f t="shared" si="51"/>
        <v>11659682</v>
      </c>
      <c r="M254" s="413">
        <f t="shared" si="52"/>
        <v>12573510</v>
      </c>
      <c r="N254" s="413">
        <f t="shared" si="53"/>
        <v>913828</v>
      </c>
      <c r="O254" s="413">
        <f t="shared" si="54"/>
        <v>280.22937749156699</v>
      </c>
      <c r="P254" s="414">
        <f t="shared" si="55"/>
        <v>0.08</v>
      </c>
      <c r="Q254" s="415"/>
      <c r="S254" s="9"/>
      <c r="T254" s="28"/>
      <c r="U254" s="28"/>
      <c r="V254" s="28"/>
    </row>
    <row r="255" spans="1:22">
      <c r="A255" s="6">
        <v>650</v>
      </c>
      <c r="B255" s="6" t="s">
        <v>1482</v>
      </c>
      <c r="C255" s="410">
        <f t="shared" si="42"/>
        <v>2577</v>
      </c>
      <c r="D255" s="410">
        <f t="shared" si="43"/>
        <v>2603</v>
      </c>
      <c r="E255" s="410">
        <f t="shared" si="44"/>
        <v>26</v>
      </c>
      <c r="F255" s="411">
        <f t="shared" si="45"/>
        <v>33303334.109999999</v>
      </c>
      <c r="G255" s="411">
        <f t="shared" si="46"/>
        <v>34651952.299999982</v>
      </c>
      <c r="H255" s="411">
        <f t="shared" si="47"/>
        <v>518.10149442949773</v>
      </c>
      <c r="I255" s="412">
        <f t="shared" si="48"/>
        <v>22502125</v>
      </c>
      <c r="J255" s="412">
        <f t="shared" si="49"/>
        <v>23801972</v>
      </c>
      <c r="K255" s="412">
        <f t="shared" si="50"/>
        <v>499.36496350364962</v>
      </c>
      <c r="L255" s="413">
        <f t="shared" si="51"/>
        <v>13347866</v>
      </c>
      <c r="M255" s="413">
        <f t="shared" si="52"/>
        <v>13618578</v>
      </c>
      <c r="N255" s="413">
        <f t="shared" si="53"/>
        <v>270712</v>
      </c>
      <c r="O255" s="413">
        <f t="shared" si="54"/>
        <v>104</v>
      </c>
      <c r="P255" s="414">
        <f t="shared" si="55"/>
        <v>0.02</v>
      </c>
      <c r="Q255" s="415"/>
      <c r="S255" s="9"/>
      <c r="T255" s="28"/>
      <c r="U255" s="28"/>
      <c r="V255" s="28"/>
    </row>
    <row r="256" spans="1:22">
      <c r="A256" s="6">
        <v>655</v>
      </c>
      <c r="B256" s="6" t="s">
        <v>1483</v>
      </c>
      <c r="C256" s="410">
        <f t="shared" si="42"/>
        <v>1189</v>
      </c>
      <c r="D256" s="410">
        <f t="shared" si="43"/>
        <v>1148</v>
      </c>
      <c r="E256" s="410">
        <f t="shared" si="44"/>
        <v>-41</v>
      </c>
      <c r="F256" s="411">
        <f t="shared" si="45"/>
        <v>15061557.844200004</v>
      </c>
      <c r="G256" s="411">
        <f t="shared" si="46"/>
        <v>15036111.261020001</v>
      </c>
      <c r="H256" s="411">
        <f t="shared" si="47"/>
        <v>-22.166013222999013</v>
      </c>
      <c r="I256" s="412">
        <f t="shared" si="48"/>
        <v>12425785</v>
      </c>
      <c r="J256" s="412">
        <f t="shared" si="49"/>
        <v>12404791</v>
      </c>
      <c r="K256" s="412">
        <f t="shared" si="50"/>
        <v>-18.28745644599303</v>
      </c>
      <c r="L256" s="413">
        <f t="shared" si="51"/>
        <v>2655010</v>
      </c>
      <c r="M256" s="413">
        <f t="shared" si="52"/>
        <v>2774402</v>
      </c>
      <c r="N256" s="413">
        <f t="shared" si="53"/>
        <v>119392</v>
      </c>
      <c r="O256" s="413">
        <f t="shared" si="54"/>
        <v>104</v>
      </c>
      <c r="P256" s="414">
        <f t="shared" si="55"/>
        <v>0.04</v>
      </c>
      <c r="Q256" s="415"/>
      <c r="S256" s="9"/>
      <c r="T256" s="28"/>
      <c r="U256" s="28"/>
      <c r="V256" s="28"/>
    </row>
    <row r="257" spans="1:22">
      <c r="A257" s="6">
        <v>658</v>
      </c>
      <c r="B257" s="6" t="s">
        <v>1484</v>
      </c>
      <c r="C257" s="410">
        <f t="shared" si="42"/>
        <v>3275</v>
      </c>
      <c r="D257" s="410">
        <f t="shared" si="43"/>
        <v>3301</v>
      </c>
      <c r="E257" s="410">
        <f t="shared" si="44"/>
        <v>26</v>
      </c>
      <c r="F257" s="411">
        <f t="shared" si="45"/>
        <v>44767304.399999999</v>
      </c>
      <c r="G257" s="411">
        <f t="shared" si="46"/>
        <v>46546244.079999998</v>
      </c>
      <c r="H257" s="411">
        <f t="shared" si="47"/>
        <v>538.90932444713712</v>
      </c>
      <c r="I257" s="412">
        <f t="shared" si="48"/>
        <v>20147144</v>
      </c>
      <c r="J257" s="412">
        <f t="shared" si="49"/>
        <v>22032809</v>
      </c>
      <c r="K257" s="412">
        <f t="shared" si="50"/>
        <v>571.24053317176617</v>
      </c>
      <c r="L257" s="413">
        <f t="shared" si="51"/>
        <v>24984883</v>
      </c>
      <c r="M257" s="413">
        <f t="shared" si="52"/>
        <v>25328187</v>
      </c>
      <c r="N257" s="413">
        <f t="shared" si="53"/>
        <v>343304</v>
      </c>
      <c r="O257" s="413">
        <f t="shared" si="54"/>
        <v>104</v>
      </c>
      <c r="P257" s="414">
        <f t="shared" si="55"/>
        <v>0.01</v>
      </c>
      <c r="Q257" s="415"/>
      <c r="S257" s="9"/>
      <c r="T257" s="28"/>
      <c r="U257" s="28"/>
      <c r="V257" s="28"/>
    </row>
    <row r="258" spans="1:22">
      <c r="A258" s="6">
        <v>660</v>
      </c>
      <c r="B258" s="6" t="s">
        <v>1485</v>
      </c>
      <c r="C258" s="410">
        <f t="shared" si="42"/>
        <v>1191</v>
      </c>
      <c r="D258" s="410">
        <f t="shared" si="43"/>
        <v>1170</v>
      </c>
      <c r="E258" s="410">
        <f t="shared" si="44"/>
        <v>-21</v>
      </c>
      <c r="F258" s="411">
        <f t="shared" si="45"/>
        <v>17092062.400000002</v>
      </c>
      <c r="G258" s="411">
        <f t="shared" si="46"/>
        <v>17234196.510000002</v>
      </c>
      <c r="H258" s="411">
        <f t="shared" si="47"/>
        <v>121.48214529914479</v>
      </c>
      <c r="I258" s="412">
        <f t="shared" si="48"/>
        <v>13610271</v>
      </c>
      <c r="J258" s="412">
        <f t="shared" si="49"/>
        <v>14218211</v>
      </c>
      <c r="K258" s="412">
        <f t="shared" si="50"/>
        <v>519.60683760683764</v>
      </c>
      <c r="L258" s="413">
        <f t="shared" si="51"/>
        <v>3706548.9999996317</v>
      </c>
      <c r="M258" s="413">
        <f t="shared" si="52"/>
        <v>3828228.9999996317</v>
      </c>
      <c r="N258" s="413">
        <f t="shared" si="53"/>
        <v>121680</v>
      </c>
      <c r="O258" s="413">
        <f t="shared" si="54"/>
        <v>104</v>
      </c>
      <c r="P258" s="414">
        <f t="shared" si="55"/>
        <v>0.03</v>
      </c>
      <c r="Q258" s="415"/>
      <c r="S258" s="9"/>
      <c r="T258" s="28"/>
      <c r="U258" s="28"/>
      <c r="V258" s="28"/>
    </row>
    <row r="259" spans="1:22">
      <c r="A259" s="6">
        <v>662</v>
      </c>
      <c r="B259" s="6" t="s">
        <v>1052</v>
      </c>
      <c r="C259" s="410">
        <f t="shared" si="42"/>
        <v>217</v>
      </c>
      <c r="D259" s="410">
        <f t="shared" si="43"/>
        <v>224</v>
      </c>
      <c r="E259" s="410">
        <f t="shared" si="44"/>
        <v>7</v>
      </c>
      <c r="F259" s="411">
        <f t="shared" si="45"/>
        <v>2970098.28</v>
      </c>
      <c r="G259" s="411">
        <f t="shared" si="46"/>
        <v>3242282.6100000003</v>
      </c>
      <c r="H259" s="411">
        <f t="shared" si="47"/>
        <v>1215.108616071431</v>
      </c>
      <c r="I259" s="412">
        <f t="shared" si="48"/>
        <v>2351188</v>
      </c>
      <c r="J259" s="412">
        <f t="shared" si="49"/>
        <v>2507239</v>
      </c>
      <c r="K259" s="412">
        <f t="shared" si="50"/>
        <v>696.65625</v>
      </c>
      <c r="L259" s="413">
        <f t="shared" si="51"/>
        <v>625131</v>
      </c>
      <c r="M259" s="413">
        <f t="shared" si="52"/>
        <v>735044</v>
      </c>
      <c r="N259" s="413">
        <f t="shared" si="53"/>
        <v>109913</v>
      </c>
      <c r="O259" s="413">
        <f t="shared" si="54"/>
        <v>490.68303571428572</v>
      </c>
      <c r="P259" s="414">
        <f t="shared" si="55"/>
        <v>0.18</v>
      </c>
      <c r="Q259" s="415"/>
      <c r="S259" s="9"/>
      <c r="T259" s="28"/>
      <c r="U259" s="28"/>
      <c r="V259" s="28"/>
    </row>
    <row r="260" spans="1:22">
      <c r="A260" s="6">
        <v>665</v>
      </c>
      <c r="B260" s="6" t="s">
        <v>1486</v>
      </c>
      <c r="C260" s="410">
        <f t="shared" si="42"/>
        <v>2781</v>
      </c>
      <c r="D260" s="410">
        <f t="shared" si="43"/>
        <v>2720</v>
      </c>
      <c r="E260" s="410">
        <f t="shared" si="44"/>
        <v>-61</v>
      </c>
      <c r="F260" s="411">
        <f t="shared" si="45"/>
        <v>35485915.870000005</v>
      </c>
      <c r="G260" s="411">
        <f t="shared" si="46"/>
        <v>35494251.229999989</v>
      </c>
      <c r="H260" s="411">
        <f t="shared" si="47"/>
        <v>3.0644705882295966</v>
      </c>
      <c r="I260" s="412">
        <f t="shared" si="48"/>
        <v>23828457</v>
      </c>
      <c r="J260" s="412">
        <f t="shared" si="49"/>
        <v>24992714</v>
      </c>
      <c r="K260" s="412">
        <f t="shared" si="50"/>
        <v>428.03566176470588</v>
      </c>
      <c r="L260" s="413">
        <f t="shared" si="51"/>
        <v>11657459</v>
      </c>
      <c r="M260" s="413">
        <f t="shared" si="52"/>
        <v>11940339</v>
      </c>
      <c r="N260" s="413">
        <f t="shared" si="53"/>
        <v>282880</v>
      </c>
      <c r="O260" s="413">
        <f t="shared" si="54"/>
        <v>104</v>
      </c>
      <c r="P260" s="414">
        <f t="shared" si="55"/>
        <v>0.02</v>
      </c>
      <c r="Q260" s="415"/>
      <c r="S260" s="9"/>
      <c r="T260" s="28"/>
      <c r="U260" s="28"/>
      <c r="V260" s="28"/>
    </row>
    <row r="261" spans="1:22">
      <c r="A261" s="6">
        <v>670</v>
      </c>
      <c r="B261" s="6" t="s">
        <v>1487</v>
      </c>
      <c r="C261" s="410">
        <f t="shared" si="42"/>
        <v>488</v>
      </c>
      <c r="D261" s="410">
        <f t="shared" si="43"/>
        <v>478</v>
      </c>
      <c r="E261" s="410">
        <f t="shared" si="44"/>
        <v>-10</v>
      </c>
      <c r="F261" s="411">
        <f t="shared" si="45"/>
        <v>6859405.6100000003</v>
      </c>
      <c r="G261" s="411">
        <f t="shared" si="46"/>
        <v>6897529.5600000005</v>
      </c>
      <c r="H261" s="411">
        <f t="shared" si="47"/>
        <v>79.75721757322215</v>
      </c>
      <c r="I261" s="412">
        <f t="shared" si="48"/>
        <v>5502061</v>
      </c>
      <c r="J261" s="412">
        <f t="shared" si="49"/>
        <v>5613913</v>
      </c>
      <c r="K261" s="412">
        <f t="shared" si="50"/>
        <v>234</v>
      </c>
      <c r="L261" s="413">
        <f t="shared" si="51"/>
        <v>2932515</v>
      </c>
      <c r="M261" s="413">
        <f t="shared" si="52"/>
        <v>2982227</v>
      </c>
      <c r="N261" s="413">
        <f t="shared" si="53"/>
        <v>49712</v>
      </c>
      <c r="O261" s="413">
        <f t="shared" si="54"/>
        <v>104</v>
      </c>
      <c r="P261" s="414">
        <f t="shared" si="55"/>
        <v>0.02</v>
      </c>
      <c r="Q261" s="415"/>
      <c r="S261" s="9"/>
      <c r="T261" s="28"/>
      <c r="U261" s="28"/>
      <c r="V261" s="28"/>
    </row>
    <row r="262" spans="1:22">
      <c r="A262" s="6">
        <v>672</v>
      </c>
      <c r="B262" s="6" t="s">
        <v>1488</v>
      </c>
      <c r="C262" s="410">
        <f t="shared" si="42"/>
        <v>785.99999999999989</v>
      </c>
      <c r="D262" s="410">
        <f t="shared" si="43"/>
        <v>775</v>
      </c>
      <c r="E262" s="410">
        <f t="shared" si="44"/>
        <v>-10.999999999999886</v>
      </c>
      <c r="F262" s="411">
        <f t="shared" si="45"/>
        <v>11571635.25</v>
      </c>
      <c r="G262" s="411">
        <f t="shared" si="46"/>
        <v>12121904.290000001</v>
      </c>
      <c r="H262" s="411">
        <f t="shared" si="47"/>
        <v>710.02456774193672</v>
      </c>
      <c r="I262" s="412">
        <f t="shared" si="48"/>
        <v>5636489</v>
      </c>
      <c r="J262" s="412">
        <f t="shared" si="49"/>
        <v>5892974</v>
      </c>
      <c r="K262" s="412">
        <f t="shared" si="50"/>
        <v>330.94838709677418</v>
      </c>
      <c r="L262" s="413">
        <f t="shared" si="51"/>
        <v>5935146</v>
      </c>
      <c r="M262" s="413">
        <f t="shared" si="52"/>
        <v>6228930</v>
      </c>
      <c r="N262" s="413">
        <f t="shared" si="53"/>
        <v>293784</v>
      </c>
      <c r="O262" s="413">
        <f t="shared" si="54"/>
        <v>379.07612903225805</v>
      </c>
      <c r="P262" s="414">
        <f t="shared" si="55"/>
        <v>0.05</v>
      </c>
      <c r="Q262" s="415"/>
      <c r="S262" s="9"/>
      <c r="T262" s="28"/>
      <c r="U262" s="28"/>
      <c r="V262" s="28"/>
    </row>
    <row r="263" spans="1:22">
      <c r="A263" s="6">
        <v>673</v>
      </c>
      <c r="B263" s="6" t="s">
        <v>1489</v>
      </c>
      <c r="C263" s="410">
        <f t="shared" si="42"/>
        <v>2283</v>
      </c>
      <c r="D263" s="410">
        <f t="shared" si="43"/>
        <v>2250</v>
      </c>
      <c r="E263" s="410">
        <f t="shared" si="44"/>
        <v>-33</v>
      </c>
      <c r="F263" s="411">
        <f t="shared" si="45"/>
        <v>27429942.139999997</v>
      </c>
      <c r="G263" s="411">
        <f t="shared" si="46"/>
        <v>27803440.189999998</v>
      </c>
      <c r="H263" s="411">
        <f t="shared" si="47"/>
        <v>165.99913333333367</v>
      </c>
      <c r="I263" s="412">
        <f t="shared" si="48"/>
        <v>21929584</v>
      </c>
      <c r="J263" s="412">
        <f t="shared" si="49"/>
        <v>22810900</v>
      </c>
      <c r="K263" s="412">
        <f t="shared" si="50"/>
        <v>391.69600000000003</v>
      </c>
      <c r="L263" s="413">
        <f t="shared" si="51"/>
        <v>11261903</v>
      </c>
      <c r="M263" s="413">
        <f t="shared" si="52"/>
        <v>11495903</v>
      </c>
      <c r="N263" s="413">
        <f t="shared" si="53"/>
        <v>234000</v>
      </c>
      <c r="O263" s="413">
        <f t="shared" si="54"/>
        <v>104</v>
      </c>
      <c r="P263" s="414">
        <f t="shared" si="55"/>
        <v>0.02</v>
      </c>
      <c r="Q263" s="415"/>
      <c r="S263" s="9"/>
      <c r="T263" s="28"/>
      <c r="U263" s="28"/>
      <c r="V263" s="28"/>
    </row>
    <row r="264" spans="1:22">
      <c r="A264" s="6">
        <v>674</v>
      </c>
      <c r="B264" s="6" t="s">
        <v>1490</v>
      </c>
      <c r="C264" s="410">
        <f t="shared" si="42"/>
        <v>947</v>
      </c>
      <c r="D264" s="410">
        <f t="shared" si="43"/>
        <v>938</v>
      </c>
      <c r="E264" s="410">
        <f t="shared" si="44"/>
        <v>-9</v>
      </c>
      <c r="F264" s="411">
        <f t="shared" si="45"/>
        <v>14525789.259999998</v>
      </c>
      <c r="G264" s="411">
        <f t="shared" si="46"/>
        <v>15171727.360000001</v>
      </c>
      <c r="H264" s="411">
        <f t="shared" si="47"/>
        <v>688.63336886993966</v>
      </c>
      <c r="I264" s="412">
        <f t="shared" si="48"/>
        <v>6845441</v>
      </c>
      <c r="J264" s="412">
        <f t="shared" si="49"/>
        <v>7362219</v>
      </c>
      <c r="K264" s="412">
        <f t="shared" si="50"/>
        <v>550.93603411513857</v>
      </c>
      <c r="L264" s="413">
        <f t="shared" si="51"/>
        <v>7834871</v>
      </c>
      <c r="M264" s="413">
        <f t="shared" si="52"/>
        <v>7932423</v>
      </c>
      <c r="N264" s="413">
        <f t="shared" si="53"/>
        <v>97552</v>
      </c>
      <c r="O264" s="413">
        <f t="shared" si="54"/>
        <v>104</v>
      </c>
      <c r="P264" s="414">
        <f t="shared" si="55"/>
        <v>0.01</v>
      </c>
      <c r="Q264" s="415"/>
      <c r="S264" s="9"/>
      <c r="T264" s="28"/>
      <c r="U264" s="28"/>
      <c r="V264" s="28"/>
    </row>
    <row r="265" spans="1:22">
      <c r="A265" s="6">
        <v>675</v>
      </c>
      <c r="B265" s="6" t="s">
        <v>1491</v>
      </c>
      <c r="C265" s="410">
        <f t="shared" ref="C265:C327" si="70">VLOOKUP(A265,aidcalc,14,FALSE)</f>
        <v>1620</v>
      </c>
      <c r="D265" s="410">
        <f t="shared" ref="D265:D327" si="71">VLOOKUP(A265,aidcalc,15,FALSE)</f>
        <v>1631</v>
      </c>
      <c r="E265" s="410">
        <f t="shared" ref="E265:E327" si="72">D265-C265</f>
        <v>11</v>
      </c>
      <c r="F265" s="411">
        <f t="shared" ref="F265:F327" si="73">VLOOKUP(A265,aidcalc,4,FALSE)</f>
        <v>19935627.51244</v>
      </c>
      <c r="G265" s="411">
        <f t="shared" ref="G265:G327" si="74">VLOOKUP(A265,aidcalc,9,FALSE)</f>
        <v>20510939.057600003</v>
      </c>
      <c r="H265" s="411">
        <f t="shared" ref="H265:H327" si="75">(G265-F265)/$D265</f>
        <v>352.7354660698976</v>
      </c>
      <c r="I265" s="412">
        <f t="shared" ref="I265:I327" si="76">VLOOKUP(A265,aidcalc,5,FALSE)</f>
        <v>15916460</v>
      </c>
      <c r="J265" s="412">
        <f t="shared" ref="J265:J327" si="77">VLOOKUP(A265,aidcalc,10,FALSE)</f>
        <v>16533729</v>
      </c>
      <c r="K265" s="412">
        <f t="shared" ref="K265:K327" si="78">(J265-I265)/$D265</f>
        <v>378.46045370938077</v>
      </c>
      <c r="L265" s="413">
        <f t="shared" ref="L265:L326" si="79">VLOOKUP(A265,aidcalc,6,FALSE)</f>
        <v>4019168</v>
      </c>
      <c r="M265" s="413">
        <f t="shared" ref="M265:M326" si="80">VLOOKUP(A265,aidcalc,25,FALSE)</f>
        <v>4188792</v>
      </c>
      <c r="N265" s="413">
        <f t="shared" ref="N265:N327" si="81">M265-L265</f>
        <v>169624</v>
      </c>
      <c r="O265" s="413">
        <f t="shared" ref="O265:O327" si="82">(M265-L265)/$D265</f>
        <v>104</v>
      </c>
      <c r="P265" s="414">
        <f t="shared" ref="P265:P327" si="83">ROUND(IF(F265&gt;0,(M265-L265)/L265,100),2)</f>
        <v>0.04</v>
      </c>
      <c r="Q265" s="415"/>
      <c r="S265" s="9"/>
      <c r="T265" s="28"/>
      <c r="U265" s="28"/>
      <c r="V265" s="28"/>
    </row>
    <row r="266" spans="1:22">
      <c r="A266" s="6">
        <v>680</v>
      </c>
      <c r="B266" s="6" t="s">
        <v>1492</v>
      </c>
      <c r="C266" s="410">
        <f t="shared" si="70"/>
        <v>2791.9999999999995</v>
      </c>
      <c r="D266" s="410">
        <f t="shared" si="71"/>
        <v>2764</v>
      </c>
      <c r="E266" s="410">
        <f t="shared" si="72"/>
        <v>-27.999999999999545</v>
      </c>
      <c r="F266" s="411">
        <f t="shared" si="73"/>
        <v>35889670.800000012</v>
      </c>
      <c r="G266" s="411">
        <f t="shared" si="74"/>
        <v>36624239.559999995</v>
      </c>
      <c r="H266" s="411">
        <f t="shared" si="75"/>
        <v>265.76293777133975</v>
      </c>
      <c r="I266" s="412">
        <f t="shared" si="76"/>
        <v>23968793</v>
      </c>
      <c r="J266" s="412">
        <f t="shared" si="77"/>
        <v>24791314</v>
      </c>
      <c r="K266" s="412">
        <f t="shared" si="78"/>
        <v>297.58357452966715</v>
      </c>
      <c r="L266" s="413">
        <f t="shared" si="79"/>
        <v>12342524</v>
      </c>
      <c r="M266" s="413">
        <f t="shared" si="80"/>
        <v>12629980</v>
      </c>
      <c r="N266" s="413">
        <f t="shared" si="81"/>
        <v>287456</v>
      </c>
      <c r="O266" s="413">
        <f t="shared" si="82"/>
        <v>104</v>
      </c>
      <c r="P266" s="414">
        <f t="shared" si="83"/>
        <v>0.02</v>
      </c>
      <c r="Q266" s="415"/>
      <c r="S266" s="9"/>
      <c r="T266" s="28"/>
      <c r="U266" s="28"/>
      <c r="V266" s="28"/>
    </row>
    <row r="267" spans="1:22">
      <c r="A267" s="6">
        <v>683</v>
      </c>
      <c r="B267" s="6" t="s">
        <v>1493</v>
      </c>
      <c r="C267" s="410">
        <f t="shared" si="70"/>
        <v>580.00000000579996</v>
      </c>
      <c r="D267" s="410">
        <f t="shared" si="71"/>
        <v>591</v>
      </c>
      <c r="E267" s="410">
        <f t="shared" si="72"/>
        <v>10.999999994200039</v>
      </c>
      <c r="F267" s="411">
        <f t="shared" si="73"/>
        <v>7679400.380076794</v>
      </c>
      <c r="G267" s="411">
        <f t="shared" si="74"/>
        <v>7980532.2599999988</v>
      </c>
      <c r="H267" s="411">
        <f t="shared" si="75"/>
        <v>509.52940765347699</v>
      </c>
      <c r="I267" s="412">
        <f t="shared" si="76"/>
        <v>5295241</v>
      </c>
      <c r="J267" s="412">
        <f t="shared" si="77"/>
        <v>5799556</v>
      </c>
      <c r="K267" s="412">
        <f t="shared" si="78"/>
        <v>853.32487309644671</v>
      </c>
      <c r="L267" s="413">
        <f t="shared" si="79"/>
        <v>3361953.000000712</v>
      </c>
      <c r="M267" s="413">
        <f t="shared" si="80"/>
        <v>3423417.000000712</v>
      </c>
      <c r="N267" s="413">
        <f t="shared" si="81"/>
        <v>61464</v>
      </c>
      <c r="O267" s="413">
        <f t="shared" si="82"/>
        <v>104</v>
      </c>
      <c r="P267" s="414">
        <f t="shared" si="83"/>
        <v>0.02</v>
      </c>
      <c r="Q267" s="415"/>
      <c r="S267" s="9"/>
      <c r="T267" s="28"/>
      <c r="U267" s="28"/>
      <c r="V267" s="28"/>
    </row>
    <row r="268" spans="1:22">
      <c r="A268" s="6">
        <v>685</v>
      </c>
      <c r="B268" s="6" t="s">
        <v>1494</v>
      </c>
      <c r="C268" s="410">
        <f t="shared" si="70"/>
        <v>92</v>
      </c>
      <c r="D268" s="410">
        <f t="shared" si="71"/>
        <v>81</v>
      </c>
      <c r="E268" s="410">
        <f t="shared" si="72"/>
        <v>-11</v>
      </c>
      <c r="F268" s="411">
        <f t="shared" si="73"/>
        <v>1359496.83</v>
      </c>
      <c r="G268" s="411">
        <f t="shared" si="74"/>
        <v>1168904.8600000001</v>
      </c>
      <c r="H268" s="411">
        <f t="shared" si="75"/>
        <v>-2352.987283950617</v>
      </c>
      <c r="I268" s="412">
        <f t="shared" si="76"/>
        <v>747723</v>
      </c>
      <c r="J268" s="412">
        <f t="shared" si="77"/>
        <v>694848</v>
      </c>
      <c r="K268" s="412">
        <f t="shared" si="78"/>
        <v>-652.77777777777783</v>
      </c>
      <c r="L268" s="413">
        <f t="shared" si="79"/>
        <v>648796</v>
      </c>
      <c r="M268" s="413">
        <f t="shared" si="80"/>
        <v>657220</v>
      </c>
      <c r="N268" s="413">
        <f t="shared" si="81"/>
        <v>8424</v>
      </c>
      <c r="O268" s="413">
        <f t="shared" si="82"/>
        <v>104</v>
      </c>
      <c r="P268" s="414">
        <f t="shared" si="83"/>
        <v>0.01</v>
      </c>
      <c r="Q268" s="415"/>
      <c r="S268" s="9"/>
      <c r="T268" s="28"/>
      <c r="U268" s="28"/>
      <c r="V268" s="28"/>
    </row>
    <row r="269" spans="1:22">
      <c r="A269" s="6">
        <v>690</v>
      </c>
      <c r="B269" s="6" t="s">
        <v>1495</v>
      </c>
      <c r="C269" s="410">
        <f t="shared" si="70"/>
        <v>1896.99999998103</v>
      </c>
      <c r="D269" s="410">
        <f t="shared" si="71"/>
        <v>1962</v>
      </c>
      <c r="E269" s="410">
        <f t="shared" si="72"/>
        <v>65.000000018970013</v>
      </c>
      <c r="F269" s="411">
        <f t="shared" si="73"/>
        <v>24882496.668651178</v>
      </c>
      <c r="G269" s="411">
        <f t="shared" si="74"/>
        <v>26298806.635959998</v>
      </c>
      <c r="H269" s="411">
        <f t="shared" si="75"/>
        <v>721.87052360286407</v>
      </c>
      <c r="I269" s="412">
        <f t="shared" si="76"/>
        <v>19073760</v>
      </c>
      <c r="J269" s="412">
        <f t="shared" si="77"/>
        <v>20432925</v>
      </c>
      <c r="K269" s="412">
        <f t="shared" si="78"/>
        <v>692.74464831804278</v>
      </c>
      <c r="L269" s="413">
        <f t="shared" si="79"/>
        <v>7885179.9999976857</v>
      </c>
      <c r="M269" s="413">
        <f t="shared" si="80"/>
        <v>8089227.9999976857</v>
      </c>
      <c r="N269" s="413">
        <f t="shared" si="81"/>
        <v>204048</v>
      </c>
      <c r="O269" s="413">
        <f t="shared" si="82"/>
        <v>104</v>
      </c>
      <c r="P269" s="414">
        <f t="shared" si="83"/>
        <v>0.03</v>
      </c>
      <c r="Q269" s="415"/>
      <c r="S269" s="9"/>
      <c r="T269" s="28"/>
      <c r="U269" s="28"/>
      <c r="V269" s="28"/>
    </row>
    <row r="270" spans="1:22">
      <c r="A270" s="6">
        <v>695</v>
      </c>
      <c r="B270" s="6" t="s">
        <v>1496</v>
      </c>
      <c r="C270" s="410">
        <f t="shared" si="70"/>
        <v>1536</v>
      </c>
      <c r="D270" s="410">
        <f t="shared" si="71"/>
        <v>1523.0000000000002</v>
      </c>
      <c r="E270" s="410">
        <f t="shared" si="72"/>
        <v>-12.999999999999773</v>
      </c>
      <c r="F270" s="411">
        <f t="shared" si="73"/>
        <v>20042623.919999998</v>
      </c>
      <c r="G270" s="411">
        <f t="shared" si="74"/>
        <v>20426551.245900005</v>
      </c>
      <c r="H270" s="411">
        <f t="shared" si="75"/>
        <v>252.0862284307334</v>
      </c>
      <c r="I270" s="412">
        <f t="shared" si="76"/>
        <v>16199749</v>
      </c>
      <c r="J270" s="412">
        <f t="shared" si="77"/>
        <v>16585404</v>
      </c>
      <c r="K270" s="412">
        <f t="shared" si="78"/>
        <v>253.220617202889</v>
      </c>
      <c r="L270" s="413">
        <f t="shared" si="79"/>
        <v>3842875</v>
      </c>
      <c r="M270" s="413">
        <f t="shared" si="80"/>
        <v>4001267</v>
      </c>
      <c r="N270" s="413">
        <f t="shared" si="81"/>
        <v>158392</v>
      </c>
      <c r="O270" s="413">
        <f t="shared" si="82"/>
        <v>103.99999999999999</v>
      </c>
      <c r="P270" s="414">
        <f t="shared" si="83"/>
        <v>0.04</v>
      </c>
      <c r="Q270" s="415"/>
      <c r="S270" s="9"/>
      <c r="T270" s="28"/>
      <c r="U270" s="28"/>
      <c r="V270" s="28"/>
    </row>
    <row r="271" spans="1:22">
      <c r="A271" s="6">
        <v>698</v>
      </c>
      <c r="B271" s="6" t="s">
        <v>1064</v>
      </c>
      <c r="C271" s="410">
        <f t="shared" si="70"/>
        <v>1174</v>
      </c>
      <c r="D271" s="410">
        <f t="shared" si="71"/>
        <v>1132</v>
      </c>
      <c r="E271" s="410">
        <f t="shared" si="72"/>
        <v>-42</v>
      </c>
      <c r="F271" s="411">
        <f t="shared" si="73"/>
        <v>14995281.195770001</v>
      </c>
      <c r="G271" s="411">
        <f t="shared" si="74"/>
        <v>14742042.944370005</v>
      </c>
      <c r="H271" s="411">
        <f t="shared" si="75"/>
        <v>-223.70870265017294</v>
      </c>
      <c r="I271" s="412">
        <f t="shared" si="76"/>
        <v>11980929</v>
      </c>
      <c r="J271" s="412">
        <f t="shared" si="77"/>
        <v>12025689</v>
      </c>
      <c r="K271" s="412">
        <f t="shared" si="78"/>
        <v>39.540636042402824</v>
      </c>
      <c r="L271" s="413">
        <f t="shared" si="79"/>
        <v>3230738</v>
      </c>
      <c r="M271" s="413">
        <f t="shared" si="80"/>
        <v>3348466</v>
      </c>
      <c r="N271" s="413">
        <f t="shared" si="81"/>
        <v>117728</v>
      </c>
      <c r="O271" s="413">
        <f t="shared" si="82"/>
        <v>104</v>
      </c>
      <c r="P271" s="414">
        <f t="shared" si="83"/>
        <v>0.04</v>
      </c>
      <c r="Q271" s="415"/>
      <c r="S271" s="9"/>
      <c r="T271" s="28"/>
      <c r="U271" s="28"/>
      <c r="V271" s="28"/>
    </row>
    <row r="272" spans="1:22">
      <c r="A272" s="6">
        <v>700</v>
      </c>
      <c r="B272" s="6" t="s">
        <v>1497</v>
      </c>
      <c r="C272" s="410">
        <f t="shared" si="70"/>
        <v>808</v>
      </c>
      <c r="D272" s="410">
        <f t="shared" si="71"/>
        <v>792.99999999999989</v>
      </c>
      <c r="E272" s="410">
        <f t="shared" si="72"/>
        <v>-15.000000000000114</v>
      </c>
      <c r="F272" s="411">
        <f t="shared" si="73"/>
        <v>14493699.970000001</v>
      </c>
      <c r="G272" s="411">
        <f t="shared" si="74"/>
        <v>14025834.07</v>
      </c>
      <c r="H272" s="411">
        <f t="shared" si="75"/>
        <v>-589.99482976040406</v>
      </c>
      <c r="I272" s="412">
        <f t="shared" si="76"/>
        <v>10945434</v>
      </c>
      <c r="J272" s="412">
        <f t="shared" si="77"/>
        <v>11571313</v>
      </c>
      <c r="K272" s="412">
        <f t="shared" si="78"/>
        <v>789.25472887767978</v>
      </c>
      <c r="L272" s="413">
        <f t="shared" si="79"/>
        <v>3548266</v>
      </c>
      <c r="M272" s="413">
        <f t="shared" si="80"/>
        <v>3630738</v>
      </c>
      <c r="N272" s="413">
        <f t="shared" si="81"/>
        <v>82472</v>
      </c>
      <c r="O272" s="413">
        <f t="shared" si="82"/>
        <v>104.00000000000001</v>
      </c>
      <c r="P272" s="414">
        <f t="shared" si="83"/>
        <v>0.02</v>
      </c>
      <c r="Q272" s="415"/>
      <c r="S272" s="9"/>
      <c r="T272" s="28"/>
      <c r="U272" s="28"/>
      <c r="V272" s="28"/>
    </row>
    <row r="273" spans="1:22">
      <c r="A273" s="6">
        <v>705</v>
      </c>
      <c r="B273" s="6" t="s">
        <v>1498</v>
      </c>
      <c r="C273" s="410">
        <f t="shared" si="70"/>
        <v>1613</v>
      </c>
      <c r="D273" s="410">
        <f t="shared" si="71"/>
        <v>1576</v>
      </c>
      <c r="E273" s="410">
        <f t="shared" si="72"/>
        <v>-37</v>
      </c>
      <c r="F273" s="411">
        <f t="shared" si="73"/>
        <v>20800201.785499997</v>
      </c>
      <c r="G273" s="411">
        <f t="shared" si="74"/>
        <v>21025301.581389997</v>
      </c>
      <c r="H273" s="411">
        <f t="shared" si="75"/>
        <v>142.82981972715717</v>
      </c>
      <c r="I273" s="412">
        <f t="shared" si="76"/>
        <v>16501157</v>
      </c>
      <c r="J273" s="412">
        <f t="shared" si="77"/>
        <v>16808710</v>
      </c>
      <c r="K273" s="412">
        <f t="shared" si="78"/>
        <v>195.1478426395939</v>
      </c>
      <c r="L273" s="413">
        <f t="shared" si="79"/>
        <v>5451699</v>
      </c>
      <c r="M273" s="413">
        <f t="shared" si="80"/>
        <v>5615603</v>
      </c>
      <c r="N273" s="413">
        <f t="shared" si="81"/>
        <v>163904</v>
      </c>
      <c r="O273" s="413">
        <f t="shared" si="82"/>
        <v>104</v>
      </c>
      <c r="P273" s="414">
        <f t="shared" si="83"/>
        <v>0.03</v>
      </c>
      <c r="Q273" s="415"/>
      <c r="S273" s="9"/>
      <c r="T273" s="28"/>
      <c r="U273" s="28"/>
      <c r="V273" s="28"/>
    </row>
    <row r="274" spans="1:22">
      <c r="A274" s="6">
        <v>710</v>
      </c>
      <c r="B274" s="6" t="s">
        <v>1499</v>
      </c>
      <c r="C274" s="410">
        <f t="shared" si="70"/>
        <v>2025</v>
      </c>
      <c r="D274" s="410">
        <f t="shared" si="71"/>
        <v>1977</v>
      </c>
      <c r="E274" s="410">
        <f t="shared" si="72"/>
        <v>-48</v>
      </c>
      <c r="F274" s="411">
        <f t="shared" si="73"/>
        <v>24957462.550000001</v>
      </c>
      <c r="G274" s="411">
        <f t="shared" si="74"/>
        <v>25098754.039999999</v>
      </c>
      <c r="H274" s="411">
        <f t="shared" si="75"/>
        <v>71.467622660596035</v>
      </c>
      <c r="I274" s="412">
        <f t="shared" si="76"/>
        <v>18856411</v>
      </c>
      <c r="J274" s="412">
        <f t="shared" si="77"/>
        <v>19792146</v>
      </c>
      <c r="K274" s="412">
        <f t="shared" si="78"/>
        <v>473.31057157309056</v>
      </c>
      <c r="L274" s="413">
        <f t="shared" si="79"/>
        <v>12758086</v>
      </c>
      <c r="M274" s="413">
        <f t="shared" si="80"/>
        <v>12963694</v>
      </c>
      <c r="N274" s="413">
        <f t="shared" si="81"/>
        <v>205608</v>
      </c>
      <c r="O274" s="413">
        <f t="shared" si="82"/>
        <v>104</v>
      </c>
      <c r="P274" s="414">
        <f t="shared" si="83"/>
        <v>0.02</v>
      </c>
      <c r="Q274" s="415"/>
      <c r="S274" s="9"/>
      <c r="T274" s="28"/>
      <c r="U274" s="28"/>
      <c r="V274" s="28"/>
    </row>
    <row r="275" spans="1:22">
      <c r="A275" s="6">
        <v>712</v>
      </c>
      <c r="B275" s="6" t="s">
        <v>1068</v>
      </c>
      <c r="C275" s="410">
        <f t="shared" si="70"/>
        <v>1654</v>
      </c>
      <c r="D275" s="410">
        <f t="shared" si="71"/>
        <v>1615</v>
      </c>
      <c r="E275" s="410">
        <f t="shared" si="72"/>
        <v>-39</v>
      </c>
      <c r="F275" s="411">
        <f t="shared" si="73"/>
        <v>23706658.220000003</v>
      </c>
      <c r="G275" s="411">
        <f t="shared" si="74"/>
        <v>24010799.069999997</v>
      </c>
      <c r="H275" s="411">
        <f t="shared" si="75"/>
        <v>188.32250773993439</v>
      </c>
      <c r="I275" s="412">
        <f t="shared" si="76"/>
        <v>19557993</v>
      </c>
      <c r="J275" s="412">
        <f t="shared" si="77"/>
        <v>19808909</v>
      </c>
      <c r="K275" s="412">
        <f t="shared" si="78"/>
        <v>155.36594427244583</v>
      </c>
      <c r="L275" s="413">
        <f t="shared" si="79"/>
        <v>4215105</v>
      </c>
      <c r="M275" s="413">
        <f t="shared" si="80"/>
        <v>4383065</v>
      </c>
      <c r="N275" s="413">
        <f t="shared" si="81"/>
        <v>167960</v>
      </c>
      <c r="O275" s="413">
        <f t="shared" si="82"/>
        <v>104</v>
      </c>
      <c r="P275" s="414">
        <f t="shared" si="83"/>
        <v>0.04</v>
      </c>
      <c r="Q275" s="415"/>
      <c r="S275" s="9"/>
      <c r="T275" s="28"/>
      <c r="U275" s="28"/>
      <c r="V275" s="28"/>
    </row>
    <row r="276" spans="1:22">
      <c r="A276" s="6">
        <v>715</v>
      </c>
      <c r="B276" s="6" t="s">
        <v>1500</v>
      </c>
      <c r="C276" s="410">
        <f t="shared" si="70"/>
        <v>1086</v>
      </c>
      <c r="D276" s="410">
        <f t="shared" si="71"/>
        <v>1107</v>
      </c>
      <c r="E276" s="410">
        <f t="shared" si="72"/>
        <v>21</v>
      </c>
      <c r="F276" s="411">
        <f t="shared" si="73"/>
        <v>14323308.950000001</v>
      </c>
      <c r="G276" s="411">
        <f t="shared" si="74"/>
        <v>15022012.140000004</v>
      </c>
      <c r="H276" s="411">
        <f t="shared" si="75"/>
        <v>631.16819331526938</v>
      </c>
      <c r="I276" s="412">
        <f t="shared" si="76"/>
        <v>9465991</v>
      </c>
      <c r="J276" s="412">
        <f t="shared" si="77"/>
        <v>10049816</v>
      </c>
      <c r="K276" s="412">
        <f t="shared" si="78"/>
        <v>527.39385727190609</v>
      </c>
      <c r="L276" s="413">
        <f t="shared" si="79"/>
        <v>4857318</v>
      </c>
      <c r="M276" s="413">
        <f t="shared" si="80"/>
        <v>4972446</v>
      </c>
      <c r="N276" s="413">
        <f t="shared" si="81"/>
        <v>115128</v>
      </c>
      <c r="O276" s="413">
        <f t="shared" si="82"/>
        <v>104</v>
      </c>
      <c r="P276" s="414">
        <f t="shared" si="83"/>
        <v>0.02</v>
      </c>
      <c r="Q276" s="415"/>
      <c r="S276" s="9"/>
      <c r="T276" s="28"/>
      <c r="U276" s="28"/>
      <c r="V276" s="28"/>
    </row>
    <row r="277" spans="1:22">
      <c r="A277" s="6">
        <v>717</v>
      </c>
      <c r="B277" s="6" t="s">
        <v>1501</v>
      </c>
      <c r="C277" s="410">
        <f t="shared" si="70"/>
        <v>790.9999999920899</v>
      </c>
      <c r="D277" s="410">
        <f t="shared" si="71"/>
        <v>780.00000001559999</v>
      </c>
      <c r="E277" s="410">
        <f t="shared" si="72"/>
        <v>-10.999999976489903</v>
      </c>
      <c r="F277" s="411">
        <f t="shared" si="73"/>
        <v>11381489.499886185</v>
      </c>
      <c r="G277" s="411">
        <f t="shared" si="74"/>
        <v>11760100.9102352</v>
      </c>
      <c r="H277" s="411">
        <f t="shared" si="75"/>
        <v>485.39924402749091</v>
      </c>
      <c r="I277" s="412">
        <f t="shared" si="76"/>
        <v>6907293</v>
      </c>
      <c r="J277" s="412">
        <f t="shared" si="77"/>
        <v>7264768</v>
      </c>
      <c r="K277" s="412">
        <f t="shared" si="78"/>
        <v>458.30128204211604</v>
      </c>
      <c r="L277" s="413">
        <f t="shared" si="79"/>
        <v>6178513.9999992736</v>
      </c>
      <c r="M277" s="413">
        <f t="shared" si="80"/>
        <v>6259634.0000008959</v>
      </c>
      <c r="N277" s="413">
        <f t="shared" si="81"/>
        <v>81120.000001622364</v>
      </c>
      <c r="O277" s="413">
        <f t="shared" si="82"/>
        <v>103.99999999999996</v>
      </c>
      <c r="P277" s="414">
        <f t="shared" si="83"/>
        <v>0.01</v>
      </c>
      <c r="Q277" s="415"/>
      <c r="S277" s="9"/>
      <c r="T277" s="28"/>
      <c r="U277" s="28"/>
      <c r="V277" s="28"/>
    </row>
    <row r="278" spans="1:22">
      <c r="A278" s="6">
        <v>720</v>
      </c>
      <c r="B278" s="6" t="s">
        <v>1502</v>
      </c>
      <c r="C278" s="410">
        <f t="shared" si="70"/>
        <v>1338</v>
      </c>
      <c r="D278" s="410">
        <f t="shared" si="71"/>
        <v>1329.9999999999998</v>
      </c>
      <c r="E278" s="410">
        <f t="shared" si="72"/>
        <v>-8.0000000000002274</v>
      </c>
      <c r="F278" s="411">
        <f t="shared" si="73"/>
        <v>19090731.800000001</v>
      </c>
      <c r="G278" s="411">
        <f t="shared" si="74"/>
        <v>19056826.82</v>
      </c>
      <c r="H278" s="411">
        <f t="shared" si="75"/>
        <v>-25.492466165413873</v>
      </c>
      <c r="I278" s="412">
        <f t="shared" si="76"/>
        <v>6749883</v>
      </c>
      <c r="J278" s="412">
        <f t="shared" si="77"/>
        <v>7014900</v>
      </c>
      <c r="K278" s="412">
        <f t="shared" si="78"/>
        <v>199.26090225563914</v>
      </c>
      <c r="L278" s="413">
        <f t="shared" si="79"/>
        <v>12340849</v>
      </c>
      <c r="M278" s="413">
        <f t="shared" si="80"/>
        <v>12479169</v>
      </c>
      <c r="N278" s="413">
        <f t="shared" si="81"/>
        <v>138320</v>
      </c>
      <c r="O278" s="413">
        <f t="shared" si="82"/>
        <v>104.00000000000001</v>
      </c>
      <c r="P278" s="414">
        <f t="shared" si="83"/>
        <v>0.01</v>
      </c>
      <c r="Q278" s="415"/>
      <c r="S278" s="9"/>
      <c r="T278" s="28"/>
      <c r="U278" s="28"/>
      <c r="V278" s="28"/>
    </row>
    <row r="279" spans="1:22">
      <c r="A279" s="6">
        <v>725</v>
      </c>
      <c r="B279" s="6" t="s">
        <v>1503</v>
      </c>
      <c r="C279" s="410">
        <f t="shared" si="70"/>
        <v>3107</v>
      </c>
      <c r="D279" s="410">
        <f t="shared" si="71"/>
        <v>3078</v>
      </c>
      <c r="E279" s="410">
        <f t="shared" si="72"/>
        <v>-29</v>
      </c>
      <c r="F279" s="411">
        <f t="shared" si="73"/>
        <v>38851075.754790001</v>
      </c>
      <c r="G279" s="411">
        <f t="shared" si="74"/>
        <v>39516916.723600008</v>
      </c>
      <c r="H279" s="411">
        <f t="shared" si="75"/>
        <v>216.32260195256887</v>
      </c>
      <c r="I279" s="412">
        <f t="shared" si="76"/>
        <v>29074040</v>
      </c>
      <c r="J279" s="412">
        <f t="shared" si="77"/>
        <v>30118867</v>
      </c>
      <c r="K279" s="412">
        <f t="shared" si="78"/>
        <v>339.44996751137103</v>
      </c>
      <c r="L279" s="413">
        <f t="shared" si="79"/>
        <v>9777036</v>
      </c>
      <c r="M279" s="413">
        <f t="shared" si="80"/>
        <v>10097148</v>
      </c>
      <c r="N279" s="413">
        <f t="shared" si="81"/>
        <v>320112</v>
      </c>
      <c r="O279" s="413">
        <f t="shared" si="82"/>
        <v>104</v>
      </c>
      <c r="P279" s="414">
        <f t="shared" si="83"/>
        <v>0.03</v>
      </c>
      <c r="Q279" s="415"/>
      <c r="S279" s="9"/>
      <c r="T279" s="28"/>
      <c r="U279" s="28"/>
      <c r="V279" s="28"/>
    </row>
    <row r="280" spans="1:22">
      <c r="A280" s="6">
        <v>728</v>
      </c>
      <c r="B280" s="6" t="s">
        <v>1504</v>
      </c>
      <c r="C280" s="410">
        <f t="shared" si="70"/>
        <v>113.00000000000001</v>
      </c>
      <c r="D280" s="410">
        <f t="shared" si="71"/>
        <v>112</v>
      </c>
      <c r="E280" s="410">
        <f t="shared" si="72"/>
        <v>-1.0000000000000142</v>
      </c>
      <c r="F280" s="411">
        <f t="shared" si="73"/>
        <v>1670707.68</v>
      </c>
      <c r="G280" s="411">
        <f t="shared" si="74"/>
        <v>1606229.6800000002</v>
      </c>
      <c r="H280" s="411">
        <f t="shared" si="75"/>
        <v>-575.69642857142651</v>
      </c>
      <c r="I280" s="412">
        <f t="shared" si="76"/>
        <v>758216</v>
      </c>
      <c r="J280" s="412">
        <f t="shared" si="77"/>
        <v>779247</v>
      </c>
      <c r="K280" s="412">
        <f t="shared" si="78"/>
        <v>187.77678571428572</v>
      </c>
      <c r="L280" s="413">
        <f t="shared" si="79"/>
        <v>912492</v>
      </c>
      <c r="M280" s="413">
        <f t="shared" si="80"/>
        <v>924140</v>
      </c>
      <c r="N280" s="413">
        <f t="shared" si="81"/>
        <v>11648</v>
      </c>
      <c r="O280" s="413">
        <f t="shared" si="82"/>
        <v>104</v>
      </c>
      <c r="P280" s="414">
        <f t="shared" si="83"/>
        <v>0.01</v>
      </c>
      <c r="Q280" s="415"/>
      <c r="S280" s="9"/>
      <c r="T280" s="28"/>
      <c r="U280" s="28"/>
      <c r="V280" s="28"/>
    </row>
    <row r="281" spans="1:22">
      <c r="A281" s="6">
        <v>730</v>
      </c>
      <c r="B281" s="6" t="s">
        <v>1505</v>
      </c>
      <c r="C281" s="410">
        <f t="shared" si="70"/>
        <v>1245</v>
      </c>
      <c r="D281" s="410">
        <f t="shared" si="71"/>
        <v>1223</v>
      </c>
      <c r="E281" s="410">
        <f t="shared" si="72"/>
        <v>-22</v>
      </c>
      <c r="F281" s="411">
        <f t="shared" si="73"/>
        <v>16594258.149999997</v>
      </c>
      <c r="G281" s="411">
        <f t="shared" si="74"/>
        <v>16786924.07</v>
      </c>
      <c r="H281" s="411">
        <f t="shared" si="75"/>
        <v>157.5355028618182</v>
      </c>
      <c r="I281" s="412">
        <f t="shared" si="76"/>
        <v>13332899</v>
      </c>
      <c r="J281" s="412">
        <f t="shared" si="77"/>
        <v>13490437</v>
      </c>
      <c r="K281" s="412">
        <f t="shared" si="78"/>
        <v>128.81275551921505</v>
      </c>
      <c r="L281" s="413">
        <f t="shared" si="79"/>
        <v>3362224</v>
      </c>
      <c r="M281" s="413">
        <f t="shared" si="80"/>
        <v>3489416</v>
      </c>
      <c r="N281" s="413">
        <f t="shared" si="81"/>
        <v>127192</v>
      </c>
      <c r="O281" s="413">
        <f t="shared" si="82"/>
        <v>104</v>
      </c>
      <c r="P281" s="414">
        <f t="shared" si="83"/>
        <v>0.04</v>
      </c>
      <c r="Q281" s="415"/>
      <c r="S281" s="9"/>
      <c r="T281" s="28"/>
      <c r="U281" s="28"/>
      <c r="V281" s="28"/>
    </row>
    <row r="282" spans="1:22">
      <c r="A282" s="6">
        <v>735</v>
      </c>
      <c r="B282" s="6" t="s">
        <v>1506</v>
      </c>
      <c r="C282" s="410">
        <f t="shared" si="70"/>
        <v>3096</v>
      </c>
      <c r="D282" s="410">
        <f t="shared" si="71"/>
        <v>3099</v>
      </c>
      <c r="E282" s="410">
        <f t="shared" si="72"/>
        <v>3</v>
      </c>
      <c r="F282" s="411">
        <f t="shared" si="73"/>
        <v>40550528.920000002</v>
      </c>
      <c r="G282" s="411">
        <f t="shared" si="74"/>
        <v>41616153.899999991</v>
      </c>
      <c r="H282" s="411">
        <f t="shared" si="75"/>
        <v>343.86091642464964</v>
      </c>
      <c r="I282" s="412">
        <f t="shared" si="76"/>
        <v>21382473</v>
      </c>
      <c r="J282" s="412">
        <f t="shared" si="77"/>
        <v>22365493</v>
      </c>
      <c r="K282" s="412">
        <f t="shared" si="78"/>
        <v>317.2055501774766</v>
      </c>
      <c r="L282" s="413">
        <f t="shared" si="79"/>
        <v>20852633.000000898</v>
      </c>
      <c r="M282" s="413">
        <f t="shared" si="80"/>
        <v>21174929.000000898</v>
      </c>
      <c r="N282" s="413">
        <f t="shared" si="81"/>
        <v>322296</v>
      </c>
      <c r="O282" s="413">
        <f t="shared" si="82"/>
        <v>104</v>
      </c>
      <c r="P282" s="414">
        <f t="shared" si="83"/>
        <v>0.02</v>
      </c>
      <c r="Q282" s="415"/>
      <c r="S282" s="9"/>
      <c r="T282" s="28"/>
      <c r="U282" s="28"/>
      <c r="V282" s="28"/>
    </row>
    <row r="283" spans="1:22">
      <c r="A283" s="6">
        <v>740</v>
      </c>
      <c r="B283" s="6" t="s">
        <v>1507</v>
      </c>
      <c r="C283" s="410">
        <f t="shared" si="70"/>
        <v>973</v>
      </c>
      <c r="D283" s="410">
        <f t="shared" si="71"/>
        <v>949</v>
      </c>
      <c r="E283" s="410">
        <f t="shared" si="72"/>
        <v>-24</v>
      </c>
      <c r="F283" s="411">
        <f t="shared" si="73"/>
        <v>13019997.510000002</v>
      </c>
      <c r="G283" s="411">
        <f t="shared" si="74"/>
        <v>13306821.640000001</v>
      </c>
      <c r="H283" s="411">
        <f t="shared" si="75"/>
        <v>302.23828240252789</v>
      </c>
      <c r="I283" s="412">
        <f t="shared" si="76"/>
        <v>9551673</v>
      </c>
      <c r="J283" s="412">
        <f t="shared" si="77"/>
        <v>10043860</v>
      </c>
      <c r="K283" s="412">
        <f t="shared" si="78"/>
        <v>518.63751317175979</v>
      </c>
      <c r="L283" s="413">
        <f t="shared" si="79"/>
        <v>3468325</v>
      </c>
      <c r="M283" s="413">
        <f t="shared" si="80"/>
        <v>3567021</v>
      </c>
      <c r="N283" s="413">
        <f t="shared" si="81"/>
        <v>98696</v>
      </c>
      <c r="O283" s="413">
        <f t="shared" si="82"/>
        <v>104</v>
      </c>
      <c r="P283" s="414">
        <f t="shared" si="83"/>
        <v>0.03</v>
      </c>
      <c r="Q283" s="415"/>
      <c r="S283" s="9"/>
      <c r="T283" s="28"/>
      <c r="U283" s="28"/>
      <c r="V283" s="28"/>
    </row>
    <row r="284" spans="1:22">
      <c r="A284" s="6">
        <v>745</v>
      </c>
      <c r="B284" s="6" t="s">
        <v>1508</v>
      </c>
      <c r="C284" s="410">
        <f t="shared" si="70"/>
        <v>2288</v>
      </c>
      <c r="D284" s="410">
        <f t="shared" si="71"/>
        <v>2287</v>
      </c>
      <c r="E284" s="410">
        <f t="shared" si="72"/>
        <v>-1</v>
      </c>
      <c r="F284" s="411">
        <f t="shared" si="73"/>
        <v>27982141.810000002</v>
      </c>
      <c r="G284" s="411">
        <f t="shared" si="74"/>
        <v>28773485.359999992</v>
      </c>
      <c r="H284" s="411">
        <f t="shared" si="75"/>
        <v>346.01816790554858</v>
      </c>
      <c r="I284" s="412">
        <f t="shared" si="76"/>
        <v>20548996</v>
      </c>
      <c r="J284" s="412">
        <f t="shared" si="77"/>
        <v>21416293</v>
      </c>
      <c r="K284" s="412">
        <f t="shared" si="78"/>
        <v>379.22912111937035</v>
      </c>
      <c r="L284" s="413">
        <f t="shared" si="79"/>
        <v>13522442</v>
      </c>
      <c r="M284" s="413">
        <f t="shared" si="80"/>
        <v>13760290</v>
      </c>
      <c r="N284" s="413">
        <f t="shared" si="81"/>
        <v>237848</v>
      </c>
      <c r="O284" s="413">
        <f t="shared" si="82"/>
        <v>104</v>
      </c>
      <c r="P284" s="414">
        <f t="shared" si="83"/>
        <v>0.02</v>
      </c>
      <c r="Q284" s="415"/>
      <c r="S284" s="9"/>
      <c r="T284" s="28"/>
      <c r="U284" s="28"/>
      <c r="V284" s="28"/>
    </row>
    <row r="285" spans="1:22">
      <c r="A285" s="6">
        <v>750</v>
      </c>
      <c r="B285" s="6" t="s">
        <v>1509</v>
      </c>
      <c r="C285" s="410">
        <f t="shared" si="70"/>
        <v>569</v>
      </c>
      <c r="D285" s="410">
        <f t="shared" si="71"/>
        <v>545</v>
      </c>
      <c r="E285" s="410">
        <f t="shared" si="72"/>
        <v>-24</v>
      </c>
      <c r="F285" s="411">
        <f t="shared" si="73"/>
        <v>7858151.0500000017</v>
      </c>
      <c r="G285" s="411">
        <f t="shared" si="74"/>
        <v>7649537.5300000003</v>
      </c>
      <c r="H285" s="411">
        <f t="shared" si="75"/>
        <v>-382.77710091743381</v>
      </c>
      <c r="I285" s="412">
        <f t="shared" si="76"/>
        <v>4907463</v>
      </c>
      <c r="J285" s="412">
        <f t="shared" si="77"/>
        <v>5011238</v>
      </c>
      <c r="K285" s="412">
        <f t="shared" si="78"/>
        <v>190.41284403669724</v>
      </c>
      <c r="L285" s="413">
        <f t="shared" si="79"/>
        <v>4015269</v>
      </c>
      <c r="M285" s="413">
        <f t="shared" si="80"/>
        <v>4071949</v>
      </c>
      <c r="N285" s="413">
        <f t="shared" si="81"/>
        <v>56680</v>
      </c>
      <c r="O285" s="413">
        <f t="shared" si="82"/>
        <v>104</v>
      </c>
      <c r="P285" s="414">
        <f t="shared" si="83"/>
        <v>0.01</v>
      </c>
      <c r="Q285" s="415"/>
      <c r="S285" s="9"/>
      <c r="T285" s="28"/>
      <c r="U285" s="28"/>
      <c r="V285" s="28"/>
    </row>
    <row r="286" spans="1:22">
      <c r="A286" s="6">
        <v>753</v>
      </c>
      <c r="B286" s="6" t="s">
        <v>1510</v>
      </c>
      <c r="C286" s="410">
        <f t="shared" si="70"/>
        <v>1951</v>
      </c>
      <c r="D286" s="410">
        <f t="shared" si="71"/>
        <v>1930.9999999999998</v>
      </c>
      <c r="E286" s="410">
        <f t="shared" si="72"/>
        <v>-20.000000000000227</v>
      </c>
      <c r="F286" s="411">
        <f t="shared" si="73"/>
        <v>27040442.530000001</v>
      </c>
      <c r="G286" s="411">
        <f t="shared" si="74"/>
        <v>27702274.299999997</v>
      </c>
      <c r="H286" s="411">
        <f t="shared" si="75"/>
        <v>342.74042982910197</v>
      </c>
      <c r="I286" s="412">
        <f t="shared" si="76"/>
        <v>12220640</v>
      </c>
      <c r="J286" s="412">
        <f t="shared" si="77"/>
        <v>12767470</v>
      </c>
      <c r="K286" s="412">
        <f t="shared" si="78"/>
        <v>283.18487830139827</v>
      </c>
      <c r="L286" s="413">
        <f t="shared" si="79"/>
        <v>16938538.000001181</v>
      </c>
      <c r="M286" s="413">
        <f t="shared" si="80"/>
        <v>17139362.000001181</v>
      </c>
      <c r="N286" s="413">
        <f t="shared" si="81"/>
        <v>200824</v>
      </c>
      <c r="O286" s="413">
        <f t="shared" si="82"/>
        <v>104.00000000000001</v>
      </c>
      <c r="P286" s="414">
        <f t="shared" si="83"/>
        <v>0.01</v>
      </c>
      <c r="Q286" s="415"/>
      <c r="S286" s="9"/>
      <c r="T286" s="28"/>
      <c r="U286" s="28"/>
      <c r="V286" s="28"/>
    </row>
    <row r="287" spans="1:22">
      <c r="A287" s="6">
        <v>755</v>
      </c>
      <c r="B287" s="6" t="s">
        <v>1511</v>
      </c>
      <c r="C287" s="410">
        <f t="shared" si="70"/>
        <v>551</v>
      </c>
      <c r="D287" s="410">
        <f t="shared" si="71"/>
        <v>552.99999999447004</v>
      </c>
      <c r="E287" s="410">
        <f t="shared" si="72"/>
        <v>1.9999999944700448</v>
      </c>
      <c r="F287" s="411">
        <f t="shared" si="73"/>
        <v>8804675.8299999982</v>
      </c>
      <c r="G287" s="411">
        <f t="shared" si="74"/>
        <v>9180437.4699081965</v>
      </c>
      <c r="H287" s="411">
        <f t="shared" si="75"/>
        <v>679.49663636881712</v>
      </c>
      <c r="I287" s="412">
        <f t="shared" si="76"/>
        <v>2757119</v>
      </c>
      <c r="J287" s="412">
        <f t="shared" si="77"/>
        <v>2903267</v>
      </c>
      <c r="K287" s="412">
        <f t="shared" si="78"/>
        <v>264.28209765182908</v>
      </c>
      <c r="L287" s="413">
        <f t="shared" si="79"/>
        <v>6047557</v>
      </c>
      <c r="M287" s="413">
        <f t="shared" si="80"/>
        <v>6277170</v>
      </c>
      <c r="N287" s="413">
        <f t="shared" si="81"/>
        <v>229613</v>
      </c>
      <c r="O287" s="413">
        <f t="shared" si="82"/>
        <v>415.21338155930579</v>
      </c>
      <c r="P287" s="414">
        <f t="shared" si="83"/>
        <v>0.04</v>
      </c>
      <c r="Q287" s="415"/>
      <c r="S287" s="9"/>
      <c r="T287" s="28"/>
      <c r="U287" s="28"/>
      <c r="V287" s="28"/>
    </row>
    <row r="288" spans="1:22">
      <c r="A288" s="6">
        <v>760</v>
      </c>
      <c r="B288" s="6" t="s">
        <v>1512</v>
      </c>
      <c r="C288" s="410">
        <f t="shared" si="70"/>
        <v>1634.00000001634</v>
      </c>
      <c r="D288" s="410">
        <f t="shared" si="71"/>
        <v>1733</v>
      </c>
      <c r="E288" s="410">
        <f t="shared" si="72"/>
        <v>98.999999983660018</v>
      </c>
      <c r="F288" s="411">
        <f t="shared" si="73"/>
        <v>24399125.516533989</v>
      </c>
      <c r="G288" s="411">
        <f t="shared" si="74"/>
        <v>26861456.846319992</v>
      </c>
      <c r="H288" s="411">
        <f t="shared" si="75"/>
        <v>1420.8490073779587</v>
      </c>
      <c r="I288" s="412">
        <f t="shared" si="76"/>
        <v>14887605</v>
      </c>
      <c r="J288" s="412">
        <f t="shared" si="77"/>
        <v>16324599</v>
      </c>
      <c r="K288" s="412">
        <f t="shared" si="78"/>
        <v>829.19446047316796</v>
      </c>
      <c r="L288" s="413">
        <f t="shared" si="79"/>
        <v>9511521</v>
      </c>
      <c r="M288" s="413">
        <f t="shared" si="80"/>
        <v>10536858</v>
      </c>
      <c r="N288" s="413">
        <f t="shared" si="81"/>
        <v>1025337</v>
      </c>
      <c r="O288" s="413">
        <f t="shared" si="82"/>
        <v>591.65435660703986</v>
      </c>
      <c r="P288" s="414">
        <f t="shared" si="83"/>
        <v>0.11</v>
      </c>
      <c r="Q288" s="415"/>
      <c r="S288" s="9"/>
      <c r="T288" s="28"/>
      <c r="U288" s="28"/>
      <c r="V288" s="28"/>
    </row>
    <row r="289" spans="1:22">
      <c r="A289" s="6">
        <v>763</v>
      </c>
      <c r="B289" s="6" t="s">
        <v>1082</v>
      </c>
      <c r="C289" s="410">
        <f t="shared" si="70"/>
        <v>998</v>
      </c>
      <c r="D289" s="410">
        <f t="shared" si="71"/>
        <v>955</v>
      </c>
      <c r="E289" s="410">
        <f t="shared" si="72"/>
        <v>-43</v>
      </c>
      <c r="F289" s="411">
        <f t="shared" si="73"/>
        <v>14135320.560000001</v>
      </c>
      <c r="G289" s="411">
        <f t="shared" si="74"/>
        <v>14145681.890000004</v>
      </c>
      <c r="H289" s="411">
        <f t="shared" si="75"/>
        <v>10.849560209428063</v>
      </c>
      <c r="I289" s="412">
        <f t="shared" si="76"/>
        <v>7164940</v>
      </c>
      <c r="J289" s="412">
        <f t="shared" si="77"/>
        <v>7510406</v>
      </c>
      <c r="K289" s="412">
        <f t="shared" si="78"/>
        <v>361.74450261780106</v>
      </c>
      <c r="L289" s="413">
        <f t="shared" si="79"/>
        <v>6970381</v>
      </c>
      <c r="M289" s="413">
        <f t="shared" si="80"/>
        <v>7069701</v>
      </c>
      <c r="N289" s="413">
        <f t="shared" si="81"/>
        <v>99320</v>
      </c>
      <c r="O289" s="413">
        <f t="shared" si="82"/>
        <v>104</v>
      </c>
      <c r="P289" s="414">
        <f t="shared" si="83"/>
        <v>0.01</v>
      </c>
      <c r="Q289" s="415"/>
      <c r="S289" s="9"/>
      <c r="T289" s="28"/>
      <c r="U289" s="28"/>
      <c r="V289" s="28"/>
    </row>
    <row r="290" spans="1:22">
      <c r="A290" s="6">
        <v>765</v>
      </c>
      <c r="B290" s="6" t="s">
        <v>1513</v>
      </c>
      <c r="C290" s="410">
        <f t="shared" si="70"/>
        <v>644.99999999354998</v>
      </c>
      <c r="D290" s="410">
        <f t="shared" si="71"/>
        <v>625.99999999373995</v>
      </c>
      <c r="E290" s="410">
        <f t="shared" si="72"/>
        <v>-18.999999999810029</v>
      </c>
      <c r="F290" s="411">
        <f t="shared" si="73"/>
        <v>9252135.43990748</v>
      </c>
      <c r="G290" s="411">
        <f t="shared" si="74"/>
        <v>9110625.4799088929</v>
      </c>
      <c r="H290" s="411">
        <f t="shared" si="75"/>
        <v>-226.05424920128155</v>
      </c>
      <c r="I290" s="412">
        <f t="shared" si="76"/>
        <v>7434693</v>
      </c>
      <c r="J290" s="412">
        <f t="shared" si="77"/>
        <v>7516265</v>
      </c>
      <c r="K290" s="412">
        <f t="shared" si="78"/>
        <v>130.3067092664788</v>
      </c>
      <c r="L290" s="413">
        <f t="shared" si="79"/>
        <v>2084591.000000003</v>
      </c>
      <c r="M290" s="413">
        <f t="shared" si="80"/>
        <v>2149694.9999993518</v>
      </c>
      <c r="N290" s="413">
        <f t="shared" si="81"/>
        <v>65103.999999348773</v>
      </c>
      <c r="O290" s="413">
        <f t="shared" si="82"/>
        <v>103.99999999999972</v>
      </c>
      <c r="P290" s="414">
        <f t="shared" si="83"/>
        <v>0.03</v>
      </c>
      <c r="Q290" s="415"/>
      <c r="S290" s="9"/>
      <c r="T290" s="28"/>
      <c r="U290" s="28"/>
      <c r="V290" s="28"/>
    </row>
    <row r="291" spans="1:22">
      <c r="A291" s="6">
        <v>766</v>
      </c>
      <c r="B291" s="6" t="s">
        <v>1084</v>
      </c>
      <c r="C291" s="410">
        <f t="shared" si="70"/>
        <v>1281.0000000128102</v>
      </c>
      <c r="D291" s="410">
        <f t="shared" si="71"/>
        <v>1258</v>
      </c>
      <c r="E291" s="410">
        <f t="shared" si="72"/>
        <v>-23.000000012810233</v>
      </c>
      <c r="F291" s="411">
        <f t="shared" si="73"/>
        <v>18106696.800181068</v>
      </c>
      <c r="G291" s="411">
        <f t="shared" si="74"/>
        <v>18485700.379999999</v>
      </c>
      <c r="H291" s="411">
        <f t="shared" si="75"/>
        <v>301.2747057384185</v>
      </c>
      <c r="I291" s="412">
        <f t="shared" si="76"/>
        <v>12099173</v>
      </c>
      <c r="J291" s="412">
        <f t="shared" si="77"/>
        <v>12602300</v>
      </c>
      <c r="K291" s="412">
        <f t="shared" si="78"/>
        <v>399.94197138314786</v>
      </c>
      <c r="L291" s="413">
        <f t="shared" si="79"/>
        <v>10041108.000000769</v>
      </c>
      <c r="M291" s="413">
        <f t="shared" si="80"/>
        <v>10171940.000000769</v>
      </c>
      <c r="N291" s="413">
        <f t="shared" si="81"/>
        <v>130832</v>
      </c>
      <c r="O291" s="413">
        <f t="shared" si="82"/>
        <v>104</v>
      </c>
      <c r="P291" s="414">
        <f t="shared" si="83"/>
        <v>0.01</v>
      </c>
      <c r="Q291" s="415"/>
      <c r="S291" s="9"/>
      <c r="T291" s="28"/>
      <c r="U291" s="28"/>
      <c r="V291" s="28"/>
    </row>
    <row r="292" spans="1:22">
      <c r="A292" s="6">
        <v>767</v>
      </c>
      <c r="B292" s="6" t="s">
        <v>1514</v>
      </c>
      <c r="C292" s="410">
        <f t="shared" si="70"/>
        <v>1484.0000000000002</v>
      </c>
      <c r="D292" s="410">
        <f t="shared" si="71"/>
        <v>1524</v>
      </c>
      <c r="E292" s="410">
        <f t="shared" si="72"/>
        <v>39.999999999999773</v>
      </c>
      <c r="F292" s="411">
        <f t="shared" si="73"/>
        <v>22391801.729999993</v>
      </c>
      <c r="G292" s="411">
        <f t="shared" si="74"/>
        <v>24082014.090000004</v>
      </c>
      <c r="H292" s="411">
        <f t="shared" si="75"/>
        <v>1109.0632283464636</v>
      </c>
      <c r="I292" s="412">
        <f t="shared" si="76"/>
        <v>10460047</v>
      </c>
      <c r="J292" s="412">
        <f t="shared" si="77"/>
        <v>11053262</v>
      </c>
      <c r="K292" s="412">
        <f t="shared" si="78"/>
        <v>389.248687664042</v>
      </c>
      <c r="L292" s="413">
        <f t="shared" si="79"/>
        <v>13921034</v>
      </c>
      <c r="M292" s="413">
        <f t="shared" si="80"/>
        <v>14079530</v>
      </c>
      <c r="N292" s="413">
        <f t="shared" si="81"/>
        <v>158496</v>
      </c>
      <c r="O292" s="413">
        <f t="shared" si="82"/>
        <v>104</v>
      </c>
      <c r="P292" s="414">
        <f t="shared" si="83"/>
        <v>0.01</v>
      </c>
      <c r="Q292" s="415"/>
      <c r="S292" s="9"/>
      <c r="T292" s="28"/>
      <c r="U292" s="28"/>
      <c r="V292" s="28"/>
    </row>
    <row r="293" spans="1:22">
      <c r="A293" s="6">
        <v>770</v>
      </c>
      <c r="B293" s="6" t="s">
        <v>1515</v>
      </c>
      <c r="C293" s="410">
        <f t="shared" si="70"/>
        <v>1512.0000000000002</v>
      </c>
      <c r="D293" s="410">
        <f t="shared" si="71"/>
        <v>1523.9999999847601</v>
      </c>
      <c r="E293" s="410">
        <f t="shared" si="72"/>
        <v>11.999999984759825</v>
      </c>
      <c r="F293" s="411">
        <f t="shared" si="73"/>
        <v>22722962.140000004</v>
      </c>
      <c r="G293" s="411">
        <f t="shared" si="74"/>
        <v>23965742.399760343</v>
      </c>
      <c r="H293" s="411">
        <f t="shared" si="75"/>
        <v>815.47261139945317</v>
      </c>
      <c r="I293" s="412">
        <f t="shared" si="76"/>
        <v>11779194</v>
      </c>
      <c r="J293" s="412">
        <f t="shared" si="77"/>
        <v>12504793</v>
      </c>
      <c r="K293" s="412">
        <f t="shared" si="78"/>
        <v>476.11482940108658</v>
      </c>
      <c r="L293" s="413">
        <f t="shared" si="79"/>
        <v>10943768</v>
      </c>
      <c r="M293" s="413">
        <f t="shared" si="80"/>
        <v>11460949</v>
      </c>
      <c r="N293" s="413">
        <f t="shared" si="81"/>
        <v>517181</v>
      </c>
      <c r="O293" s="413">
        <f t="shared" si="82"/>
        <v>339.35761155195001</v>
      </c>
      <c r="P293" s="414">
        <f t="shared" si="83"/>
        <v>0.05</v>
      </c>
      <c r="Q293" s="415"/>
      <c r="S293" s="9"/>
      <c r="T293" s="28"/>
      <c r="U293" s="28"/>
      <c r="V293" s="28"/>
    </row>
    <row r="294" spans="1:22">
      <c r="A294" s="6">
        <v>773</v>
      </c>
      <c r="B294" s="6" t="s">
        <v>1516</v>
      </c>
      <c r="C294" s="410">
        <f t="shared" si="70"/>
        <v>2223.9999999777601</v>
      </c>
      <c r="D294" s="410">
        <f t="shared" si="71"/>
        <v>2156</v>
      </c>
      <c r="E294" s="410">
        <f t="shared" si="72"/>
        <v>-67.999999977760126</v>
      </c>
      <c r="F294" s="411">
        <f t="shared" si="73"/>
        <v>30407397.850965925</v>
      </c>
      <c r="G294" s="411">
        <f t="shared" si="74"/>
        <v>30126360.845719993</v>
      </c>
      <c r="H294" s="411">
        <f t="shared" si="75"/>
        <v>-130.3511156057196</v>
      </c>
      <c r="I294" s="412">
        <f t="shared" si="76"/>
        <v>22865013</v>
      </c>
      <c r="J294" s="412">
        <f t="shared" si="77"/>
        <v>24150274</v>
      </c>
      <c r="K294" s="412">
        <f t="shared" si="78"/>
        <v>596.13218923933209</v>
      </c>
      <c r="L294" s="413">
        <f t="shared" si="79"/>
        <v>9107060.9999986663</v>
      </c>
      <c r="M294" s="413">
        <f t="shared" si="80"/>
        <v>9331284.9999986663</v>
      </c>
      <c r="N294" s="413">
        <f t="shared" si="81"/>
        <v>224224</v>
      </c>
      <c r="O294" s="413">
        <f t="shared" si="82"/>
        <v>104</v>
      </c>
      <c r="P294" s="414">
        <f t="shared" si="83"/>
        <v>0.02</v>
      </c>
      <c r="Q294" s="415"/>
      <c r="S294" s="9"/>
      <c r="T294" s="28"/>
      <c r="U294" s="28"/>
      <c r="V294" s="28"/>
    </row>
    <row r="295" spans="1:22">
      <c r="A295" s="6">
        <v>774</v>
      </c>
      <c r="B295" s="6" t="s">
        <v>1088</v>
      </c>
      <c r="C295" s="410">
        <f t="shared" si="70"/>
        <v>412</v>
      </c>
      <c r="D295" s="410">
        <f t="shared" si="71"/>
        <v>385</v>
      </c>
      <c r="E295" s="410">
        <f t="shared" si="72"/>
        <v>-27</v>
      </c>
      <c r="F295" s="411">
        <f t="shared" si="73"/>
        <v>5529555.0699999994</v>
      </c>
      <c r="G295" s="411">
        <f t="shared" si="74"/>
        <v>5151589.76</v>
      </c>
      <c r="H295" s="411">
        <f t="shared" si="75"/>
        <v>-981.72807792207686</v>
      </c>
      <c r="I295" s="412">
        <f t="shared" si="76"/>
        <v>4561883</v>
      </c>
      <c r="J295" s="412">
        <f t="shared" si="77"/>
        <v>4250062</v>
      </c>
      <c r="K295" s="412">
        <f t="shared" si="78"/>
        <v>-809.92467532467538</v>
      </c>
      <c r="L295" s="413">
        <f t="shared" si="79"/>
        <v>967672</v>
      </c>
      <c r="M295" s="413">
        <f t="shared" si="80"/>
        <v>1007712</v>
      </c>
      <c r="N295" s="413">
        <f t="shared" si="81"/>
        <v>40040</v>
      </c>
      <c r="O295" s="413">
        <f t="shared" si="82"/>
        <v>104</v>
      </c>
      <c r="P295" s="414">
        <f t="shared" si="83"/>
        <v>0.04</v>
      </c>
      <c r="Q295" s="415"/>
      <c r="S295" s="9"/>
      <c r="T295" s="28"/>
      <c r="U295" s="28"/>
      <c r="V295" s="28"/>
    </row>
    <row r="296" spans="1:22">
      <c r="A296" s="6">
        <v>775</v>
      </c>
      <c r="B296" s="6" t="s">
        <v>1517</v>
      </c>
      <c r="C296" s="410">
        <f t="shared" si="70"/>
        <v>6867.9999999999991</v>
      </c>
      <c r="D296" s="410">
        <f t="shared" si="71"/>
        <v>6807</v>
      </c>
      <c r="E296" s="410">
        <f t="shared" si="72"/>
        <v>-60.999999999999091</v>
      </c>
      <c r="F296" s="411">
        <f t="shared" si="73"/>
        <v>84952456.879999995</v>
      </c>
      <c r="G296" s="411">
        <f t="shared" si="74"/>
        <v>86493263.779999971</v>
      </c>
      <c r="H296" s="411">
        <f t="shared" si="75"/>
        <v>226.35623622740945</v>
      </c>
      <c r="I296" s="412">
        <f t="shared" si="76"/>
        <v>49101422</v>
      </c>
      <c r="J296" s="412">
        <f t="shared" si="77"/>
        <v>51193105</v>
      </c>
      <c r="K296" s="412">
        <f t="shared" si="78"/>
        <v>307.28411928896725</v>
      </c>
      <c r="L296" s="413">
        <f t="shared" si="79"/>
        <v>35851035</v>
      </c>
      <c r="M296" s="413">
        <f t="shared" si="80"/>
        <v>36558963</v>
      </c>
      <c r="N296" s="413">
        <f t="shared" si="81"/>
        <v>707928</v>
      </c>
      <c r="O296" s="413">
        <f t="shared" si="82"/>
        <v>104</v>
      </c>
      <c r="P296" s="414">
        <f t="shared" si="83"/>
        <v>0.02</v>
      </c>
      <c r="Q296" s="415"/>
      <c r="S296" s="9"/>
      <c r="T296" s="28"/>
      <c r="U296" s="28"/>
      <c r="V296" s="28"/>
    </row>
    <row r="297" spans="1:22">
      <c r="A297" s="6">
        <v>778</v>
      </c>
      <c r="B297" s="6" t="s">
        <v>1090</v>
      </c>
      <c r="C297" s="410">
        <f t="shared" si="70"/>
        <v>1110</v>
      </c>
      <c r="D297" s="410">
        <f t="shared" si="71"/>
        <v>1034</v>
      </c>
      <c r="E297" s="410">
        <f t="shared" si="72"/>
        <v>-76</v>
      </c>
      <c r="F297" s="411">
        <f t="shared" si="73"/>
        <v>16750016.709999999</v>
      </c>
      <c r="G297" s="411">
        <f t="shared" si="74"/>
        <v>15692440.66</v>
      </c>
      <c r="H297" s="411">
        <f t="shared" si="75"/>
        <v>-1022.8008220502891</v>
      </c>
      <c r="I297" s="412">
        <f t="shared" si="76"/>
        <v>6411888</v>
      </c>
      <c r="J297" s="412">
        <f t="shared" si="77"/>
        <v>6621808</v>
      </c>
      <c r="K297" s="412">
        <f t="shared" si="78"/>
        <v>203.01740812379111</v>
      </c>
      <c r="L297" s="413">
        <f t="shared" si="79"/>
        <v>10338129</v>
      </c>
      <c r="M297" s="413">
        <f t="shared" si="80"/>
        <v>10445665</v>
      </c>
      <c r="N297" s="413">
        <f t="shared" si="81"/>
        <v>107536</v>
      </c>
      <c r="O297" s="413">
        <f t="shared" si="82"/>
        <v>104</v>
      </c>
      <c r="P297" s="414">
        <f t="shared" si="83"/>
        <v>0.01</v>
      </c>
      <c r="Q297" s="415"/>
      <c r="S297" s="9"/>
      <c r="T297" s="28"/>
      <c r="U297" s="28"/>
      <c r="V297" s="28"/>
    </row>
    <row r="298" spans="1:22">
      <c r="A298" s="6">
        <v>780</v>
      </c>
      <c r="B298" s="6" t="s">
        <v>1518</v>
      </c>
      <c r="C298" s="410">
        <f t="shared" si="70"/>
        <v>3570</v>
      </c>
      <c r="D298" s="410">
        <f t="shared" si="71"/>
        <v>3534</v>
      </c>
      <c r="E298" s="410">
        <f t="shared" si="72"/>
        <v>-36</v>
      </c>
      <c r="F298" s="411">
        <f t="shared" si="73"/>
        <v>47694959.75</v>
      </c>
      <c r="G298" s="411">
        <f t="shared" si="74"/>
        <v>48997412.140000001</v>
      </c>
      <c r="H298" s="411">
        <f t="shared" si="75"/>
        <v>368.5490633842673</v>
      </c>
      <c r="I298" s="412">
        <f t="shared" si="76"/>
        <v>23154753</v>
      </c>
      <c r="J298" s="412">
        <f t="shared" si="77"/>
        <v>24688171</v>
      </c>
      <c r="K298" s="412">
        <f t="shared" si="78"/>
        <v>433.90435766836447</v>
      </c>
      <c r="L298" s="413">
        <f t="shared" si="79"/>
        <v>25303260</v>
      </c>
      <c r="M298" s="413">
        <f t="shared" si="80"/>
        <v>25670796</v>
      </c>
      <c r="N298" s="413">
        <f t="shared" si="81"/>
        <v>367536</v>
      </c>
      <c r="O298" s="413">
        <f t="shared" si="82"/>
        <v>104</v>
      </c>
      <c r="P298" s="414">
        <f t="shared" si="83"/>
        <v>0.01</v>
      </c>
      <c r="Q298" s="415"/>
      <c r="S298" s="9"/>
      <c r="T298" s="28"/>
      <c r="U298" s="28"/>
      <c r="V298" s="28"/>
    </row>
    <row r="299" spans="1:22">
      <c r="A299" s="6">
        <v>801</v>
      </c>
      <c r="B299" s="6" t="s">
        <v>1519</v>
      </c>
      <c r="C299" s="410">
        <f t="shared" si="70"/>
        <v>970.99999999999989</v>
      </c>
      <c r="D299" s="410">
        <f t="shared" si="71"/>
        <v>1019.00000001019</v>
      </c>
      <c r="E299" s="410">
        <f t="shared" si="72"/>
        <v>48.000000010190092</v>
      </c>
      <c r="F299" s="411">
        <f t="shared" si="73"/>
        <v>21431809.599349998</v>
      </c>
      <c r="G299" s="411">
        <f t="shared" si="74"/>
        <v>23337072.609233376</v>
      </c>
      <c r="H299" s="411">
        <f t="shared" si="75"/>
        <v>1869.7379880906037</v>
      </c>
      <c r="I299" s="412">
        <f t="shared" si="76"/>
        <v>12336877</v>
      </c>
      <c r="J299" s="412">
        <f t="shared" si="77"/>
        <v>13488592</v>
      </c>
      <c r="K299" s="412">
        <f t="shared" si="78"/>
        <v>1130.240431784576</v>
      </c>
      <c r="L299" s="413">
        <f t="shared" si="79"/>
        <v>9094933</v>
      </c>
      <c r="M299" s="413">
        <f t="shared" si="80"/>
        <v>9848481</v>
      </c>
      <c r="N299" s="413">
        <f t="shared" si="81"/>
        <v>753548</v>
      </c>
      <c r="O299" s="413">
        <f t="shared" si="82"/>
        <v>739.49754660693281</v>
      </c>
      <c r="P299" s="414">
        <f t="shared" si="83"/>
        <v>0.08</v>
      </c>
      <c r="Q299" s="415"/>
      <c r="S299" s="9"/>
      <c r="T299" s="28"/>
      <c r="U299" s="28"/>
      <c r="V299" s="28"/>
    </row>
    <row r="300" spans="1:22">
      <c r="A300" s="6">
        <v>805</v>
      </c>
      <c r="B300" s="6" t="s">
        <v>1520</v>
      </c>
      <c r="C300" s="410">
        <f t="shared" si="70"/>
        <v>1243.9999999875602</v>
      </c>
      <c r="D300" s="410">
        <f t="shared" si="71"/>
        <v>1261</v>
      </c>
      <c r="E300" s="410">
        <f t="shared" si="72"/>
        <v>17.000000012439841</v>
      </c>
      <c r="F300" s="411">
        <f t="shared" si="73"/>
        <v>23489724.719765104</v>
      </c>
      <c r="G300" s="411">
        <f t="shared" si="74"/>
        <v>24426954.559999999</v>
      </c>
      <c r="H300" s="411">
        <f t="shared" si="75"/>
        <v>743.24333087620482</v>
      </c>
      <c r="I300" s="412">
        <f t="shared" si="76"/>
        <v>14213597</v>
      </c>
      <c r="J300" s="412">
        <f t="shared" si="77"/>
        <v>15281189</v>
      </c>
      <c r="K300" s="412">
        <f t="shared" si="78"/>
        <v>846.62331482950037</v>
      </c>
      <c r="L300" s="413">
        <f t="shared" si="79"/>
        <v>9276128</v>
      </c>
      <c r="M300" s="413">
        <f t="shared" si="80"/>
        <v>9407272</v>
      </c>
      <c r="N300" s="413">
        <f t="shared" si="81"/>
        <v>131144</v>
      </c>
      <c r="O300" s="413">
        <f t="shared" si="82"/>
        <v>104</v>
      </c>
      <c r="P300" s="414">
        <f t="shared" si="83"/>
        <v>0.01</v>
      </c>
      <c r="Q300" s="415"/>
      <c r="S300" s="9"/>
      <c r="T300" s="28"/>
      <c r="U300" s="28"/>
      <c r="V300" s="28"/>
    </row>
    <row r="301" spans="1:22">
      <c r="A301" s="6">
        <v>806</v>
      </c>
      <c r="B301" s="6" t="s">
        <v>1521</v>
      </c>
      <c r="C301" s="410">
        <f t="shared" si="70"/>
        <v>925.0000000092499</v>
      </c>
      <c r="D301" s="410">
        <f t="shared" si="71"/>
        <v>927.99999998143994</v>
      </c>
      <c r="E301" s="410">
        <f t="shared" si="72"/>
        <v>2.9999999721900394</v>
      </c>
      <c r="F301" s="411">
        <f t="shared" si="73"/>
        <v>20180627.194921803</v>
      </c>
      <c r="G301" s="411">
        <f t="shared" si="74"/>
        <v>20640945.172657177</v>
      </c>
      <c r="H301" s="411">
        <f t="shared" si="75"/>
        <v>496.03230360407383</v>
      </c>
      <c r="I301" s="412">
        <f t="shared" si="76"/>
        <v>12979952</v>
      </c>
      <c r="J301" s="412">
        <f t="shared" si="77"/>
        <v>13165278</v>
      </c>
      <c r="K301" s="412">
        <f t="shared" si="78"/>
        <v>199.70474138330445</v>
      </c>
      <c r="L301" s="413">
        <f t="shared" si="79"/>
        <v>7200675</v>
      </c>
      <c r="M301" s="413">
        <f t="shared" si="80"/>
        <v>7475667</v>
      </c>
      <c r="N301" s="413">
        <f t="shared" si="81"/>
        <v>274992</v>
      </c>
      <c r="O301" s="413">
        <f t="shared" si="82"/>
        <v>296.32758621282312</v>
      </c>
      <c r="P301" s="414">
        <f t="shared" si="83"/>
        <v>0.04</v>
      </c>
      <c r="Q301" s="415"/>
      <c r="S301" s="9"/>
      <c r="T301" s="28"/>
      <c r="U301" s="28"/>
      <c r="V301" s="28"/>
    </row>
    <row r="302" spans="1:22">
      <c r="A302" s="6">
        <v>810</v>
      </c>
      <c r="B302" s="6" t="s">
        <v>1522</v>
      </c>
      <c r="C302" s="410">
        <f t="shared" si="70"/>
        <v>1319.9999999868</v>
      </c>
      <c r="D302" s="410">
        <f t="shared" si="71"/>
        <v>1362.0000000136201</v>
      </c>
      <c r="E302" s="410">
        <f t="shared" si="72"/>
        <v>42.000000026820089</v>
      </c>
      <c r="F302" s="411">
        <f t="shared" si="73"/>
        <v>26611587.789733887</v>
      </c>
      <c r="G302" s="411">
        <f t="shared" si="74"/>
        <v>27594090.620275941</v>
      </c>
      <c r="H302" s="411">
        <f t="shared" si="75"/>
        <v>721.36771698401537</v>
      </c>
      <c r="I302" s="412">
        <f t="shared" si="76"/>
        <v>12417077</v>
      </c>
      <c r="J302" s="412">
        <f t="shared" si="77"/>
        <v>13255197</v>
      </c>
      <c r="K302" s="412">
        <f t="shared" si="78"/>
        <v>615.35976504524137</v>
      </c>
      <c r="L302" s="413">
        <f t="shared" si="79"/>
        <v>14194511</v>
      </c>
      <c r="M302" s="413">
        <f t="shared" si="80"/>
        <v>14460069.000001416</v>
      </c>
      <c r="N302" s="413">
        <f t="shared" si="81"/>
        <v>265558.00000141561</v>
      </c>
      <c r="O302" s="413">
        <f t="shared" si="82"/>
        <v>194.97650513859031</v>
      </c>
      <c r="P302" s="414">
        <f t="shared" si="83"/>
        <v>0.02</v>
      </c>
      <c r="Q302" s="415"/>
      <c r="S302" s="9"/>
      <c r="T302" s="28"/>
      <c r="U302" s="28"/>
      <c r="V302" s="28"/>
    </row>
    <row r="303" spans="1:22">
      <c r="A303" s="6">
        <v>815</v>
      </c>
      <c r="B303" s="6" t="s">
        <v>1523</v>
      </c>
      <c r="C303" s="410">
        <f t="shared" si="70"/>
        <v>669.00000000000011</v>
      </c>
      <c r="D303" s="410">
        <f t="shared" si="71"/>
        <v>667.00000000667001</v>
      </c>
      <c r="E303" s="410">
        <f t="shared" si="72"/>
        <v>-1.9999999933301069</v>
      </c>
      <c r="F303" s="411">
        <f t="shared" si="73"/>
        <v>14522131.980000004</v>
      </c>
      <c r="G303" s="411">
        <f t="shared" si="74"/>
        <v>14535867.460145356</v>
      </c>
      <c r="H303" s="411">
        <f t="shared" si="75"/>
        <v>20.592923755943936</v>
      </c>
      <c r="I303" s="412">
        <f t="shared" si="76"/>
        <v>11114860</v>
      </c>
      <c r="J303" s="412">
        <f t="shared" si="77"/>
        <v>11273432</v>
      </c>
      <c r="K303" s="412">
        <f t="shared" si="78"/>
        <v>237.7391304324052</v>
      </c>
      <c r="L303" s="413">
        <f t="shared" si="79"/>
        <v>3407272</v>
      </c>
      <c r="M303" s="413">
        <f t="shared" si="80"/>
        <v>3476640.0000006938</v>
      </c>
      <c r="N303" s="413">
        <f t="shared" si="81"/>
        <v>69368.000000693835</v>
      </c>
      <c r="O303" s="413">
        <f t="shared" si="82"/>
        <v>104.00000000000023</v>
      </c>
      <c r="P303" s="414">
        <f t="shared" si="83"/>
        <v>0.02</v>
      </c>
      <c r="Q303" s="415"/>
      <c r="S303" s="9"/>
      <c r="T303" s="28"/>
      <c r="U303" s="28"/>
      <c r="V303" s="28"/>
    </row>
    <row r="304" spans="1:22">
      <c r="A304" s="6">
        <v>817</v>
      </c>
      <c r="B304" s="6" t="s">
        <v>1097</v>
      </c>
      <c r="C304" s="410">
        <f t="shared" si="70"/>
        <v>1370.9999999725799</v>
      </c>
      <c r="D304" s="410">
        <f t="shared" si="71"/>
        <v>1413.00000004239</v>
      </c>
      <c r="E304" s="410">
        <f t="shared" si="72"/>
        <v>42.000000069810085</v>
      </c>
      <c r="F304" s="411">
        <f t="shared" si="73"/>
        <v>27035849.729459278</v>
      </c>
      <c r="G304" s="411">
        <f t="shared" si="74"/>
        <v>28509097.570855275</v>
      </c>
      <c r="H304" s="411">
        <f t="shared" si="75"/>
        <v>1042.6382458257601</v>
      </c>
      <c r="I304" s="412">
        <f t="shared" si="76"/>
        <v>19200403</v>
      </c>
      <c r="J304" s="412">
        <f t="shared" si="77"/>
        <v>20417318</v>
      </c>
      <c r="K304" s="412">
        <f t="shared" si="78"/>
        <v>861.2278839090535</v>
      </c>
      <c r="L304" s="413">
        <f t="shared" si="79"/>
        <v>7835447</v>
      </c>
      <c r="M304" s="413">
        <f t="shared" si="80"/>
        <v>8091780</v>
      </c>
      <c r="N304" s="413">
        <f t="shared" si="81"/>
        <v>256333</v>
      </c>
      <c r="O304" s="413">
        <f t="shared" si="82"/>
        <v>181.41047416299364</v>
      </c>
      <c r="P304" s="414">
        <f t="shared" si="83"/>
        <v>0.03</v>
      </c>
      <c r="Q304" s="415"/>
      <c r="S304" s="9"/>
      <c r="T304" s="28"/>
      <c r="U304" s="28"/>
      <c r="V304" s="28"/>
    </row>
    <row r="305" spans="1:22">
      <c r="A305" s="6">
        <v>818</v>
      </c>
      <c r="B305" s="6" t="s">
        <v>1524</v>
      </c>
      <c r="C305" s="410">
        <f t="shared" si="70"/>
        <v>559.99999999999989</v>
      </c>
      <c r="D305" s="410">
        <f t="shared" si="71"/>
        <v>571.00000001142007</v>
      </c>
      <c r="E305" s="410">
        <f t="shared" si="72"/>
        <v>11.000000011420184</v>
      </c>
      <c r="F305" s="411">
        <f t="shared" si="73"/>
        <v>11960851.490000004</v>
      </c>
      <c r="G305" s="411">
        <f t="shared" si="74"/>
        <v>12480308.010249607</v>
      </c>
      <c r="H305" s="411">
        <f t="shared" si="75"/>
        <v>909.7312088252437</v>
      </c>
      <c r="I305" s="412">
        <f t="shared" si="76"/>
        <v>6003158</v>
      </c>
      <c r="J305" s="412">
        <f t="shared" si="77"/>
        <v>6519373</v>
      </c>
      <c r="K305" s="412">
        <f t="shared" si="78"/>
        <v>904.05429069995728</v>
      </c>
      <c r="L305" s="413">
        <f t="shared" si="79"/>
        <v>5957693</v>
      </c>
      <c r="M305" s="413">
        <f t="shared" si="80"/>
        <v>6017077.0000011874</v>
      </c>
      <c r="N305" s="413">
        <f t="shared" si="81"/>
        <v>59384.000001187436</v>
      </c>
      <c r="O305" s="413">
        <f t="shared" si="82"/>
        <v>103.99999999999956</v>
      </c>
      <c r="P305" s="414">
        <f t="shared" si="83"/>
        <v>0.01</v>
      </c>
      <c r="Q305" s="415"/>
      <c r="S305" s="9"/>
      <c r="T305" s="28"/>
      <c r="U305" s="28"/>
      <c r="V305" s="28"/>
    </row>
    <row r="306" spans="1:22">
      <c r="A306" s="6">
        <v>821</v>
      </c>
      <c r="B306" s="6" t="s">
        <v>1525</v>
      </c>
      <c r="C306" s="410">
        <f t="shared" si="70"/>
        <v>1450</v>
      </c>
      <c r="D306" s="410">
        <f t="shared" si="71"/>
        <v>1479</v>
      </c>
      <c r="E306" s="410">
        <f t="shared" si="72"/>
        <v>29</v>
      </c>
      <c r="F306" s="411">
        <f t="shared" si="73"/>
        <v>30840956.849999994</v>
      </c>
      <c r="G306" s="411">
        <f t="shared" si="74"/>
        <v>32450539.059999999</v>
      </c>
      <c r="H306" s="411">
        <f t="shared" si="75"/>
        <v>1088.2908789722817</v>
      </c>
      <c r="I306" s="412">
        <f t="shared" si="76"/>
        <v>8881164</v>
      </c>
      <c r="J306" s="412">
        <f t="shared" si="77"/>
        <v>9405908</v>
      </c>
      <c r="K306" s="412">
        <f t="shared" si="78"/>
        <v>354.79648411088573</v>
      </c>
      <c r="L306" s="413">
        <f t="shared" si="79"/>
        <v>21959793</v>
      </c>
      <c r="M306" s="413">
        <f t="shared" si="80"/>
        <v>23044631</v>
      </c>
      <c r="N306" s="413">
        <f t="shared" si="81"/>
        <v>1084838</v>
      </c>
      <c r="O306" s="413">
        <f t="shared" si="82"/>
        <v>733.49425287356325</v>
      </c>
      <c r="P306" s="414">
        <f t="shared" si="83"/>
        <v>0.05</v>
      </c>
      <c r="Q306" s="415"/>
      <c r="S306" s="9"/>
      <c r="T306" s="28"/>
      <c r="U306" s="28"/>
      <c r="V306" s="28"/>
    </row>
    <row r="307" spans="1:22">
      <c r="A307" s="6">
        <v>823</v>
      </c>
      <c r="B307" s="6" t="s">
        <v>1526</v>
      </c>
      <c r="C307" s="410">
        <f t="shared" si="70"/>
        <v>1695.00000001695</v>
      </c>
      <c r="D307" s="410">
        <f t="shared" si="71"/>
        <v>1778.0000000177799</v>
      </c>
      <c r="E307" s="410">
        <f t="shared" si="72"/>
        <v>83.000000000829914</v>
      </c>
      <c r="F307" s="411">
        <f t="shared" si="73"/>
        <v>43068009.264110669</v>
      </c>
      <c r="G307" s="411">
        <f t="shared" si="74"/>
        <v>46223891.29065223</v>
      </c>
      <c r="H307" s="411">
        <f t="shared" si="75"/>
        <v>1774.9617696906648</v>
      </c>
      <c r="I307" s="412">
        <f t="shared" si="76"/>
        <v>7518634</v>
      </c>
      <c r="J307" s="412">
        <f t="shared" si="77"/>
        <v>7953337</v>
      </c>
      <c r="K307" s="412">
        <f t="shared" si="78"/>
        <v>244.48987626302193</v>
      </c>
      <c r="L307" s="413">
        <f t="shared" si="79"/>
        <v>35549375</v>
      </c>
      <c r="M307" s="413">
        <f t="shared" si="80"/>
        <v>38270554</v>
      </c>
      <c r="N307" s="413">
        <f t="shared" si="81"/>
        <v>2721179</v>
      </c>
      <c r="O307" s="413">
        <f t="shared" si="82"/>
        <v>1530.4718784998809</v>
      </c>
      <c r="P307" s="414">
        <f t="shared" si="83"/>
        <v>0.08</v>
      </c>
      <c r="Q307" s="415"/>
      <c r="S307" s="9"/>
      <c r="T307" s="28"/>
      <c r="U307" s="28"/>
      <c r="V307" s="28"/>
    </row>
    <row r="308" spans="1:22">
      <c r="A308" s="6">
        <v>825</v>
      </c>
      <c r="B308" s="6" t="s">
        <v>1527</v>
      </c>
      <c r="C308" s="410">
        <f t="shared" si="70"/>
        <v>2104</v>
      </c>
      <c r="D308" s="410">
        <f t="shared" si="71"/>
        <v>2160</v>
      </c>
      <c r="E308" s="410">
        <f t="shared" si="72"/>
        <v>56</v>
      </c>
      <c r="F308" s="411">
        <f t="shared" si="73"/>
        <v>46465556.500000007</v>
      </c>
      <c r="G308" s="411">
        <f t="shared" si="74"/>
        <v>49088629.350000009</v>
      </c>
      <c r="H308" s="411">
        <f t="shared" si="75"/>
        <v>1214.3855787037044</v>
      </c>
      <c r="I308" s="412">
        <f t="shared" si="76"/>
        <v>12909410</v>
      </c>
      <c r="J308" s="412">
        <f t="shared" si="77"/>
        <v>13645535</v>
      </c>
      <c r="K308" s="412">
        <f t="shared" si="78"/>
        <v>340.79861111111109</v>
      </c>
      <c r="L308" s="413">
        <f t="shared" si="79"/>
        <v>33556147</v>
      </c>
      <c r="M308" s="413">
        <f t="shared" si="80"/>
        <v>35443094</v>
      </c>
      <c r="N308" s="413">
        <f t="shared" si="81"/>
        <v>1886947</v>
      </c>
      <c r="O308" s="413">
        <f t="shared" si="82"/>
        <v>873.58657407407406</v>
      </c>
      <c r="P308" s="414">
        <f t="shared" si="83"/>
        <v>0.06</v>
      </c>
      <c r="Q308" s="415"/>
      <c r="S308" s="9"/>
      <c r="T308" s="28"/>
      <c r="U308" s="28"/>
      <c r="V308" s="28"/>
    </row>
    <row r="309" spans="1:22">
      <c r="A309" s="6">
        <v>828</v>
      </c>
      <c r="B309" s="6" t="s">
        <v>1528</v>
      </c>
      <c r="C309" s="410">
        <f t="shared" si="70"/>
        <v>2364.00000002364</v>
      </c>
      <c r="D309" s="410">
        <f t="shared" si="71"/>
        <v>2373</v>
      </c>
      <c r="E309" s="410">
        <f t="shared" si="72"/>
        <v>8.999999976359959</v>
      </c>
      <c r="F309" s="411">
        <f t="shared" si="73"/>
        <v>52221931.380522214</v>
      </c>
      <c r="G309" s="411">
        <f t="shared" si="74"/>
        <v>53599212.039999992</v>
      </c>
      <c r="H309" s="411">
        <f t="shared" si="75"/>
        <v>580.39640095987261</v>
      </c>
      <c r="I309" s="412">
        <f t="shared" si="76"/>
        <v>14996648</v>
      </c>
      <c r="J309" s="412">
        <f t="shared" si="77"/>
        <v>15928699</v>
      </c>
      <c r="K309" s="412">
        <f t="shared" si="78"/>
        <v>392.77328276443319</v>
      </c>
      <c r="L309" s="413">
        <f t="shared" si="79"/>
        <v>37225283</v>
      </c>
      <c r="M309" s="413">
        <f t="shared" si="80"/>
        <v>37683807</v>
      </c>
      <c r="N309" s="413">
        <f t="shared" si="81"/>
        <v>458524</v>
      </c>
      <c r="O309" s="413">
        <f t="shared" si="82"/>
        <v>193.22545301306363</v>
      </c>
      <c r="P309" s="414">
        <f t="shared" si="83"/>
        <v>0.01</v>
      </c>
      <c r="Q309" s="415"/>
      <c r="S309" s="9"/>
      <c r="T309" s="28"/>
      <c r="U309" s="28"/>
      <c r="V309" s="28"/>
    </row>
    <row r="310" spans="1:22">
      <c r="A310" s="6">
        <v>829</v>
      </c>
      <c r="B310" s="6" t="s">
        <v>1529</v>
      </c>
      <c r="C310" s="410">
        <f t="shared" si="70"/>
        <v>840.99999999159002</v>
      </c>
      <c r="D310" s="410">
        <f t="shared" si="71"/>
        <v>869.00000000868988</v>
      </c>
      <c r="E310" s="410">
        <f t="shared" si="72"/>
        <v>28.000000017099865</v>
      </c>
      <c r="F310" s="411">
        <f t="shared" si="73"/>
        <v>19205858.345507938</v>
      </c>
      <c r="G310" s="411">
        <f t="shared" si="74"/>
        <v>20411990.153714113</v>
      </c>
      <c r="H310" s="411">
        <f t="shared" si="75"/>
        <v>1387.9537493603145</v>
      </c>
      <c r="I310" s="412">
        <f t="shared" si="76"/>
        <v>10232414</v>
      </c>
      <c r="J310" s="412">
        <f t="shared" si="77"/>
        <v>11298529</v>
      </c>
      <c r="K310" s="412">
        <f t="shared" si="78"/>
        <v>1226.8296892857757</v>
      </c>
      <c r="L310" s="413">
        <f t="shared" si="79"/>
        <v>8973444</v>
      </c>
      <c r="M310" s="413">
        <f t="shared" si="80"/>
        <v>9063820</v>
      </c>
      <c r="N310" s="413">
        <f t="shared" si="81"/>
        <v>90376</v>
      </c>
      <c r="O310" s="413">
        <f t="shared" si="82"/>
        <v>103.99999999896002</v>
      </c>
      <c r="P310" s="414">
        <f t="shared" si="83"/>
        <v>0.01</v>
      </c>
      <c r="Q310" s="415"/>
      <c r="S310" s="9"/>
      <c r="T310" s="28"/>
      <c r="U310" s="28"/>
      <c r="V310" s="28"/>
    </row>
    <row r="311" spans="1:22">
      <c r="A311" s="6">
        <v>830</v>
      </c>
      <c r="B311" s="6" t="s">
        <v>1530</v>
      </c>
      <c r="C311" s="410">
        <f t="shared" si="70"/>
        <v>618.00000000618002</v>
      </c>
      <c r="D311" s="410">
        <f t="shared" si="71"/>
        <v>654.00000000653995</v>
      </c>
      <c r="E311" s="410">
        <f t="shared" si="72"/>
        <v>36.000000000359933</v>
      </c>
      <c r="F311" s="411">
        <f t="shared" si="73"/>
        <v>12893971.225288942</v>
      </c>
      <c r="G311" s="411">
        <f t="shared" si="74"/>
        <v>13658261.271336583</v>
      </c>
      <c r="H311" s="411">
        <f t="shared" si="75"/>
        <v>1168.6392141284375</v>
      </c>
      <c r="I311" s="412">
        <f t="shared" si="76"/>
        <v>9915208</v>
      </c>
      <c r="J311" s="412">
        <f t="shared" si="77"/>
        <v>10712608</v>
      </c>
      <c r="K311" s="412">
        <f t="shared" si="78"/>
        <v>1219.2660550336791</v>
      </c>
      <c r="L311" s="413">
        <f t="shared" si="79"/>
        <v>2978763</v>
      </c>
      <c r="M311" s="413">
        <f t="shared" si="80"/>
        <v>3046779.0000006803</v>
      </c>
      <c r="N311" s="413">
        <f t="shared" si="81"/>
        <v>68016.000000680331</v>
      </c>
      <c r="O311" s="413">
        <f t="shared" si="82"/>
        <v>104.00000000000027</v>
      </c>
      <c r="P311" s="414">
        <f t="shared" si="83"/>
        <v>0.02</v>
      </c>
      <c r="Q311" s="415"/>
      <c r="S311" s="9"/>
      <c r="T311" s="28"/>
      <c r="U311" s="28"/>
      <c r="V311" s="28"/>
    </row>
    <row r="312" spans="1:22">
      <c r="A312" s="6">
        <v>832</v>
      </c>
      <c r="B312" s="6" t="s">
        <v>1531</v>
      </c>
      <c r="C312" s="410">
        <f t="shared" si="70"/>
        <v>1464.99999995605</v>
      </c>
      <c r="D312" s="410">
        <f t="shared" si="71"/>
        <v>1476.00000001476</v>
      </c>
      <c r="E312" s="410">
        <f t="shared" si="72"/>
        <v>11.000000058709929</v>
      </c>
      <c r="F312" s="411">
        <f t="shared" si="73"/>
        <v>29486021.359115418</v>
      </c>
      <c r="G312" s="411">
        <f t="shared" si="74"/>
        <v>29905696.930299059</v>
      </c>
      <c r="H312" s="411">
        <f t="shared" si="75"/>
        <v>284.33304280450119</v>
      </c>
      <c r="I312" s="412">
        <f t="shared" si="76"/>
        <v>11167317</v>
      </c>
      <c r="J312" s="412">
        <f t="shared" si="77"/>
        <v>11646249</v>
      </c>
      <c r="K312" s="412">
        <f t="shared" si="78"/>
        <v>324.47967479350319</v>
      </c>
      <c r="L312" s="413">
        <f t="shared" si="79"/>
        <v>18318704</v>
      </c>
      <c r="M312" s="413">
        <f t="shared" si="80"/>
        <v>18472208.000001535</v>
      </c>
      <c r="N312" s="413">
        <f t="shared" si="81"/>
        <v>153504.00000153482</v>
      </c>
      <c r="O312" s="413">
        <f t="shared" si="82"/>
        <v>103.99999999999986</v>
      </c>
      <c r="P312" s="414">
        <f t="shared" si="83"/>
        <v>0.01</v>
      </c>
      <c r="Q312" s="415"/>
      <c r="S312" s="9"/>
      <c r="T312" s="28"/>
      <c r="U312" s="28"/>
      <c r="V312" s="28"/>
    </row>
    <row r="313" spans="1:22">
      <c r="A313" s="6">
        <v>851</v>
      </c>
      <c r="B313" s="6" t="s">
        <v>1532</v>
      </c>
      <c r="C313" s="410">
        <f t="shared" si="70"/>
        <v>500.99999999499005</v>
      </c>
      <c r="D313" s="410">
        <f t="shared" si="71"/>
        <v>498.99999999501006</v>
      </c>
      <c r="E313" s="410">
        <f t="shared" si="72"/>
        <v>-1.9999999999799911</v>
      </c>
      <c r="F313" s="411">
        <f t="shared" si="73"/>
        <v>10599770.639894003</v>
      </c>
      <c r="G313" s="411">
        <f t="shared" si="74"/>
        <v>10940101.949890599</v>
      </c>
      <c r="H313" s="411">
        <f t="shared" si="75"/>
        <v>682.02667334669115</v>
      </c>
      <c r="I313" s="412">
        <f t="shared" si="76"/>
        <v>3758739</v>
      </c>
      <c r="J313" s="412">
        <f t="shared" si="77"/>
        <v>3905500</v>
      </c>
      <c r="K313" s="412">
        <f t="shared" si="78"/>
        <v>294.11022044382281</v>
      </c>
      <c r="L313" s="413">
        <f t="shared" si="79"/>
        <v>6841032</v>
      </c>
      <c r="M313" s="413">
        <f t="shared" si="80"/>
        <v>7034602</v>
      </c>
      <c r="N313" s="413">
        <f t="shared" si="81"/>
        <v>193570</v>
      </c>
      <c r="O313" s="413">
        <f t="shared" si="82"/>
        <v>387.91583166720579</v>
      </c>
      <c r="P313" s="414">
        <f t="shared" si="83"/>
        <v>0.03</v>
      </c>
      <c r="Q313" s="415"/>
      <c r="S313" s="9"/>
      <c r="T313" s="28"/>
      <c r="U313" s="28"/>
      <c r="V313" s="28"/>
    </row>
    <row r="314" spans="1:22">
      <c r="A314" s="6">
        <v>852</v>
      </c>
      <c r="B314" s="6" t="s">
        <v>1533</v>
      </c>
      <c r="C314" s="410">
        <f t="shared" si="70"/>
        <v>715.00000000000011</v>
      </c>
      <c r="D314" s="410">
        <f t="shared" si="71"/>
        <v>756.99999999243005</v>
      </c>
      <c r="E314" s="410">
        <f t="shared" si="72"/>
        <v>41.999999992429935</v>
      </c>
      <c r="F314" s="411">
        <f t="shared" si="73"/>
        <v>14548100.2422</v>
      </c>
      <c r="G314" s="411">
        <f t="shared" si="74"/>
        <v>15600626.052483993</v>
      </c>
      <c r="H314" s="411">
        <f t="shared" si="75"/>
        <v>1390.3907665713575</v>
      </c>
      <c r="I314" s="412">
        <f t="shared" si="76"/>
        <v>9846166</v>
      </c>
      <c r="J314" s="412">
        <f t="shared" si="77"/>
        <v>10713562</v>
      </c>
      <c r="K314" s="412">
        <f t="shared" si="78"/>
        <v>1145.8335535121187</v>
      </c>
      <c r="L314" s="413">
        <f t="shared" si="79"/>
        <v>4701934</v>
      </c>
      <c r="M314" s="413">
        <f t="shared" si="80"/>
        <v>4887064</v>
      </c>
      <c r="N314" s="413">
        <f t="shared" si="81"/>
        <v>185130</v>
      </c>
      <c r="O314" s="413">
        <f t="shared" si="82"/>
        <v>244.55746367483658</v>
      </c>
      <c r="P314" s="414">
        <f t="shared" si="83"/>
        <v>0.04</v>
      </c>
      <c r="Q314" s="415"/>
      <c r="S314" s="9"/>
      <c r="T314" s="28"/>
      <c r="U314" s="28"/>
      <c r="V314" s="28"/>
    </row>
    <row r="315" spans="1:22">
      <c r="A315" s="6">
        <v>853</v>
      </c>
      <c r="B315" s="6" t="s">
        <v>1534</v>
      </c>
      <c r="C315" s="410">
        <f t="shared" si="70"/>
        <v>1293.9999999870602</v>
      </c>
      <c r="D315" s="410">
        <f t="shared" si="71"/>
        <v>1345.0000000134501</v>
      </c>
      <c r="E315" s="410">
        <f t="shared" si="72"/>
        <v>51.000000026389898</v>
      </c>
      <c r="F315" s="411">
        <f t="shared" si="73"/>
        <v>29763086.943302374</v>
      </c>
      <c r="G315" s="411">
        <f t="shared" si="74"/>
        <v>31943468.563439425</v>
      </c>
      <c r="H315" s="411">
        <f t="shared" si="75"/>
        <v>1621.1015762938639</v>
      </c>
      <c r="I315" s="412">
        <f t="shared" si="76"/>
        <v>15690113</v>
      </c>
      <c r="J315" s="412">
        <f t="shared" si="77"/>
        <v>16660786</v>
      </c>
      <c r="K315" s="412">
        <f t="shared" si="78"/>
        <v>721.68996281806187</v>
      </c>
      <c r="L315" s="413">
        <f t="shared" si="79"/>
        <v>14072974</v>
      </c>
      <c r="M315" s="413">
        <f t="shared" si="80"/>
        <v>15282683</v>
      </c>
      <c r="N315" s="413">
        <f t="shared" si="81"/>
        <v>1209709</v>
      </c>
      <c r="O315" s="413">
        <f t="shared" si="82"/>
        <v>899.41189590178647</v>
      </c>
      <c r="P315" s="414">
        <f t="shared" si="83"/>
        <v>0.09</v>
      </c>
      <c r="Q315" s="415"/>
      <c r="S315" s="9"/>
      <c r="T315" s="28"/>
      <c r="U315" s="28"/>
      <c r="V315" s="28"/>
    </row>
    <row r="316" spans="1:22">
      <c r="A316" s="6">
        <v>855</v>
      </c>
      <c r="B316" s="6" t="s">
        <v>1535</v>
      </c>
      <c r="C316" s="410">
        <f t="shared" si="70"/>
        <v>542.00000000541991</v>
      </c>
      <c r="D316" s="410">
        <f t="shared" si="71"/>
        <v>552.99999999447004</v>
      </c>
      <c r="E316" s="410">
        <f t="shared" si="72"/>
        <v>10.999999989050139</v>
      </c>
      <c r="F316" s="411">
        <f t="shared" si="73"/>
        <v>10531538.940105317</v>
      </c>
      <c r="G316" s="411">
        <f t="shared" si="74"/>
        <v>10906849.549890932</v>
      </c>
      <c r="H316" s="411">
        <f t="shared" si="75"/>
        <v>678.68103036052014</v>
      </c>
      <c r="I316" s="412">
        <f t="shared" si="76"/>
        <v>6359936</v>
      </c>
      <c r="J316" s="412">
        <f t="shared" si="77"/>
        <v>6864321</v>
      </c>
      <c r="K316" s="412">
        <f t="shared" si="78"/>
        <v>912.08860760405753</v>
      </c>
      <c r="L316" s="413">
        <f t="shared" si="79"/>
        <v>4171603</v>
      </c>
      <c r="M316" s="413">
        <f t="shared" si="80"/>
        <v>4229114.9999994244</v>
      </c>
      <c r="N316" s="413">
        <f t="shared" si="81"/>
        <v>57511.999999424443</v>
      </c>
      <c r="O316" s="413">
        <f t="shared" si="82"/>
        <v>103.9999999999992</v>
      </c>
      <c r="P316" s="414">
        <f t="shared" si="83"/>
        <v>0.01</v>
      </c>
      <c r="Q316" s="415"/>
      <c r="S316" s="9"/>
      <c r="T316" s="28"/>
      <c r="U316" s="28"/>
      <c r="V316" s="28"/>
    </row>
    <row r="317" spans="1:22">
      <c r="A317" s="6">
        <v>860</v>
      </c>
      <c r="B317" s="6" t="s">
        <v>1536</v>
      </c>
      <c r="C317" s="410">
        <f t="shared" si="70"/>
        <v>602</v>
      </c>
      <c r="D317" s="410">
        <f t="shared" si="71"/>
        <v>623</v>
      </c>
      <c r="E317" s="410">
        <f t="shared" si="72"/>
        <v>21</v>
      </c>
      <c r="F317" s="411">
        <f t="shared" si="73"/>
        <v>12791606.58</v>
      </c>
      <c r="G317" s="411">
        <f t="shared" si="74"/>
        <v>13574951.48</v>
      </c>
      <c r="H317" s="411">
        <f t="shared" si="75"/>
        <v>1257.3754414125206</v>
      </c>
      <c r="I317" s="412">
        <f t="shared" si="76"/>
        <v>5336459</v>
      </c>
      <c r="J317" s="412">
        <f t="shared" si="77"/>
        <v>5890946</v>
      </c>
      <c r="K317" s="412">
        <f t="shared" si="78"/>
        <v>890.02728731942216</v>
      </c>
      <c r="L317" s="413">
        <f t="shared" si="79"/>
        <v>7455148</v>
      </c>
      <c r="M317" s="413">
        <f t="shared" si="80"/>
        <v>7684005</v>
      </c>
      <c r="N317" s="413">
        <f t="shared" si="81"/>
        <v>228857</v>
      </c>
      <c r="O317" s="413">
        <f t="shared" si="82"/>
        <v>367.34670947030497</v>
      </c>
      <c r="P317" s="414">
        <f t="shared" si="83"/>
        <v>0.03</v>
      </c>
      <c r="Q317" s="415"/>
      <c r="S317" s="9"/>
      <c r="T317" s="28"/>
      <c r="U317" s="28"/>
      <c r="V317" s="28"/>
    </row>
    <row r="318" spans="1:22">
      <c r="A318" s="6">
        <v>871</v>
      </c>
      <c r="B318" s="6" t="s">
        <v>1537</v>
      </c>
      <c r="C318" s="410">
        <f t="shared" si="70"/>
        <v>1295</v>
      </c>
      <c r="D318" s="410">
        <f t="shared" si="71"/>
        <v>1308.0000000130799</v>
      </c>
      <c r="E318" s="410">
        <f t="shared" si="72"/>
        <v>13.000000013079898</v>
      </c>
      <c r="F318" s="411">
        <f t="shared" si="73"/>
        <v>24972413.579999994</v>
      </c>
      <c r="G318" s="411">
        <f t="shared" si="74"/>
        <v>25845027.64025845</v>
      </c>
      <c r="H318" s="411">
        <f t="shared" si="75"/>
        <v>667.1361316893956</v>
      </c>
      <c r="I318" s="412">
        <f t="shared" si="76"/>
        <v>19694909</v>
      </c>
      <c r="J318" s="412">
        <f t="shared" si="77"/>
        <v>20804980</v>
      </c>
      <c r="K318" s="412">
        <f t="shared" si="78"/>
        <v>848.67813454808822</v>
      </c>
      <c r="L318" s="413">
        <f t="shared" si="79"/>
        <v>6667041</v>
      </c>
      <c r="M318" s="413">
        <f t="shared" si="80"/>
        <v>6803073.0000013607</v>
      </c>
      <c r="N318" s="413">
        <f t="shared" si="81"/>
        <v>136032.00000136066</v>
      </c>
      <c r="O318" s="413">
        <f t="shared" si="82"/>
        <v>104.00000000000027</v>
      </c>
      <c r="P318" s="414">
        <f t="shared" si="83"/>
        <v>0.02</v>
      </c>
      <c r="Q318" s="415"/>
      <c r="S318" s="9"/>
      <c r="T318" s="28"/>
      <c r="U318" s="28"/>
      <c r="V318" s="28"/>
    </row>
    <row r="319" spans="1:22">
      <c r="A319" s="6">
        <v>872</v>
      </c>
      <c r="B319" s="6" t="s">
        <v>1538</v>
      </c>
      <c r="C319" s="410">
        <f t="shared" si="70"/>
        <v>1637.0000000000005</v>
      </c>
      <c r="D319" s="410">
        <f t="shared" si="71"/>
        <v>1677.0000000000002</v>
      </c>
      <c r="E319" s="410">
        <f t="shared" si="72"/>
        <v>39.999999999999773</v>
      </c>
      <c r="F319" s="411">
        <f t="shared" si="73"/>
        <v>34786651.119999997</v>
      </c>
      <c r="G319" s="411">
        <f t="shared" si="74"/>
        <v>36650377</v>
      </c>
      <c r="H319" s="411">
        <f t="shared" si="75"/>
        <v>1111.3451878354219</v>
      </c>
      <c r="I319" s="412">
        <f t="shared" si="76"/>
        <v>12652345</v>
      </c>
      <c r="J319" s="412">
        <f t="shared" si="77"/>
        <v>13488405</v>
      </c>
      <c r="K319" s="412">
        <f t="shared" si="78"/>
        <v>498.54502087060217</v>
      </c>
      <c r="L319" s="413">
        <f t="shared" si="79"/>
        <v>22134306</v>
      </c>
      <c r="M319" s="413">
        <f t="shared" si="80"/>
        <v>23161972</v>
      </c>
      <c r="N319" s="413">
        <f t="shared" si="81"/>
        <v>1027666</v>
      </c>
      <c r="O319" s="413">
        <f t="shared" si="82"/>
        <v>612.80023852116869</v>
      </c>
      <c r="P319" s="414">
        <f t="shared" si="83"/>
        <v>0.05</v>
      </c>
      <c r="Q319" s="415"/>
      <c r="S319" s="9"/>
      <c r="T319" s="28"/>
      <c r="U319" s="28"/>
      <c r="V319" s="28"/>
    </row>
    <row r="320" spans="1:22">
      <c r="A320" s="6">
        <v>873</v>
      </c>
      <c r="B320" s="6" t="s">
        <v>1539</v>
      </c>
      <c r="C320" s="410">
        <f t="shared" si="70"/>
        <v>620.00000000000011</v>
      </c>
      <c r="D320" s="410">
        <f t="shared" si="71"/>
        <v>663.00000000662999</v>
      </c>
      <c r="E320" s="410">
        <f t="shared" si="72"/>
        <v>43.000000006629875</v>
      </c>
      <c r="F320" s="411">
        <f t="shared" si="73"/>
        <v>12906720.28764</v>
      </c>
      <c r="G320" s="411">
        <f t="shared" si="74"/>
        <v>13836188.897828359</v>
      </c>
      <c r="H320" s="411">
        <f t="shared" si="75"/>
        <v>1401.9134391841096</v>
      </c>
      <c r="I320" s="412">
        <f t="shared" si="76"/>
        <v>7232154</v>
      </c>
      <c r="J320" s="412">
        <f t="shared" si="77"/>
        <v>7981179</v>
      </c>
      <c r="K320" s="412">
        <f t="shared" si="78"/>
        <v>1129.751131210422</v>
      </c>
      <c r="L320" s="413">
        <f t="shared" si="79"/>
        <v>5674566</v>
      </c>
      <c r="M320" s="413">
        <f t="shared" si="80"/>
        <v>5861247</v>
      </c>
      <c r="N320" s="413">
        <f t="shared" si="81"/>
        <v>186681</v>
      </c>
      <c r="O320" s="413">
        <f t="shared" si="82"/>
        <v>281.57013574379062</v>
      </c>
      <c r="P320" s="414">
        <f t="shared" si="83"/>
        <v>0.03</v>
      </c>
      <c r="Q320" s="415"/>
      <c r="S320" s="9"/>
      <c r="T320" s="28"/>
      <c r="U320" s="28"/>
      <c r="V320" s="28"/>
    </row>
    <row r="321" spans="1:22">
      <c r="A321" s="6">
        <v>876</v>
      </c>
      <c r="B321" s="6" t="s">
        <v>1540</v>
      </c>
      <c r="C321" s="410">
        <f t="shared" si="70"/>
        <v>1232.00000001232</v>
      </c>
      <c r="D321" s="410">
        <f t="shared" si="71"/>
        <v>1242.9999999875699</v>
      </c>
      <c r="E321" s="410">
        <f t="shared" si="72"/>
        <v>10.999999975249921</v>
      </c>
      <c r="F321" s="411">
        <f t="shared" si="73"/>
        <v>24914513.250249147</v>
      </c>
      <c r="G321" s="411">
        <f t="shared" si="74"/>
        <v>25679391.349743202</v>
      </c>
      <c r="H321" s="411">
        <f t="shared" si="75"/>
        <v>615.34843081392091</v>
      </c>
      <c r="I321" s="412">
        <f t="shared" si="76"/>
        <v>10695233</v>
      </c>
      <c r="J321" s="412">
        <f t="shared" si="77"/>
        <v>11220404</v>
      </c>
      <c r="K321" s="412">
        <f t="shared" si="78"/>
        <v>422.50281577252753</v>
      </c>
      <c r="L321" s="413">
        <f t="shared" si="79"/>
        <v>14219280</v>
      </c>
      <c r="M321" s="413">
        <f t="shared" si="80"/>
        <v>14458987</v>
      </c>
      <c r="N321" s="413">
        <f t="shared" si="81"/>
        <v>239707</v>
      </c>
      <c r="O321" s="413">
        <f t="shared" si="82"/>
        <v>192.84553499790593</v>
      </c>
      <c r="P321" s="414">
        <f t="shared" si="83"/>
        <v>0.02</v>
      </c>
      <c r="Q321" s="415"/>
      <c r="S321" s="9"/>
      <c r="T321" s="28"/>
      <c r="U321" s="28"/>
      <c r="V321" s="28"/>
    </row>
    <row r="322" spans="1:22">
      <c r="A322" s="6">
        <v>878</v>
      </c>
      <c r="B322" s="6" t="s">
        <v>1541</v>
      </c>
      <c r="C322" s="410">
        <f t="shared" si="70"/>
        <v>935.00000000934995</v>
      </c>
      <c r="D322" s="410">
        <f t="shared" si="71"/>
        <v>942.00000000941998</v>
      </c>
      <c r="E322" s="410">
        <f t="shared" si="72"/>
        <v>7.0000000000700311</v>
      </c>
      <c r="F322" s="411">
        <f t="shared" si="73"/>
        <v>19173060.333461732</v>
      </c>
      <c r="G322" s="411">
        <f t="shared" si="74"/>
        <v>19698359.004916985</v>
      </c>
      <c r="H322" s="411">
        <f t="shared" si="75"/>
        <v>557.64190175159229</v>
      </c>
      <c r="I322" s="412">
        <f t="shared" si="76"/>
        <v>13669772</v>
      </c>
      <c r="J322" s="412">
        <f t="shared" si="77"/>
        <v>14493433</v>
      </c>
      <c r="K322" s="412">
        <f t="shared" si="78"/>
        <v>874.3747345984749</v>
      </c>
      <c r="L322" s="413">
        <f t="shared" si="79"/>
        <v>5853848.0000005607</v>
      </c>
      <c r="M322" s="413">
        <f t="shared" si="80"/>
        <v>5951816.0000015404</v>
      </c>
      <c r="N322" s="413">
        <f t="shared" si="81"/>
        <v>97968.000000979751</v>
      </c>
      <c r="O322" s="413">
        <f t="shared" si="82"/>
        <v>104.00000000000009</v>
      </c>
      <c r="P322" s="414">
        <f t="shared" si="83"/>
        <v>0.02</v>
      </c>
      <c r="Q322" s="415"/>
      <c r="S322" s="9"/>
      <c r="T322" s="28"/>
      <c r="U322" s="28"/>
      <c r="V322" s="28"/>
    </row>
    <row r="323" spans="1:22">
      <c r="A323" s="6">
        <v>879</v>
      </c>
      <c r="B323" s="6" t="s">
        <v>1542</v>
      </c>
      <c r="C323" s="410">
        <f t="shared" si="70"/>
        <v>793</v>
      </c>
      <c r="D323" s="410">
        <f t="shared" si="71"/>
        <v>856</v>
      </c>
      <c r="E323" s="410">
        <f t="shared" si="72"/>
        <v>63</v>
      </c>
      <c r="F323" s="411">
        <f t="shared" si="73"/>
        <v>16601530.709999997</v>
      </c>
      <c r="G323" s="411">
        <f t="shared" si="74"/>
        <v>18130702.799999997</v>
      </c>
      <c r="H323" s="411">
        <f t="shared" si="75"/>
        <v>1786.4159929906541</v>
      </c>
      <c r="I323" s="412">
        <f t="shared" si="76"/>
        <v>12150289</v>
      </c>
      <c r="J323" s="412">
        <f t="shared" si="77"/>
        <v>13570576</v>
      </c>
      <c r="K323" s="412">
        <f t="shared" si="78"/>
        <v>1659.2137850467291</v>
      </c>
      <c r="L323" s="413">
        <f t="shared" si="79"/>
        <v>4451242</v>
      </c>
      <c r="M323" s="413">
        <f t="shared" si="80"/>
        <v>4589560</v>
      </c>
      <c r="N323" s="413">
        <f t="shared" si="81"/>
        <v>138318</v>
      </c>
      <c r="O323" s="413">
        <f t="shared" si="82"/>
        <v>161.58644859813083</v>
      </c>
      <c r="P323" s="414">
        <f t="shared" si="83"/>
        <v>0.03</v>
      </c>
      <c r="Q323" s="415"/>
      <c r="S323" s="9"/>
      <c r="T323" s="74"/>
      <c r="U323" s="28"/>
      <c r="V323" s="28"/>
    </row>
    <row r="324" spans="1:22">
      <c r="A324" s="6">
        <v>885</v>
      </c>
      <c r="B324" s="6" t="s">
        <v>1543</v>
      </c>
      <c r="C324" s="410">
        <f t="shared" si="70"/>
        <v>1274.9999999872502</v>
      </c>
      <c r="D324" s="410">
        <f t="shared" si="71"/>
        <v>1277.0000000000002</v>
      </c>
      <c r="E324" s="410">
        <f t="shared" si="72"/>
        <v>2.0000000127499789</v>
      </c>
      <c r="F324" s="411">
        <f t="shared" si="73"/>
        <v>26519398.819734812</v>
      </c>
      <c r="G324" s="411">
        <f t="shared" si="74"/>
        <v>27194608.429999992</v>
      </c>
      <c r="H324" s="411">
        <f t="shared" si="75"/>
        <v>528.74675823428379</v>
      </c>
      <c r="I324" s="412">
        <f t="shared" si="76"/>
        <v>13131792</v>
      </c>
      <c r="J324" s="412">
        <f t="shared" si="77"/>
        <v>13749864</v>
      </c>
      <c r="K324" s="412">
        <f t="shared" si="78"/>
        <v>484.00313234142516</v>
      </c>
      <c r="L324" s="413">
        <f t="shared" si="79"/>
        <v>13387607</v>
      </c>
      <c r="M324" s="413">
        <f t="shared" si="80"/>
        <v>13520415</v>
      </c>
      <c r="N324" s="413">
        <f t="shared" si="81"/>
        <v>132808</v>
      </c>
      <c r="O324" s="413">
        <f t="shared" si="82"/>
        <v>103.99999999999999</v>
      </c>
      <c r="P324" s="414">
        <f t="shared" si="83"/>
        <v>0.01</v>
      </c>
      <c r="Q324" s="415"/>
      <c r="S324" s="9"/>
      <c r="T324" s="28"/>
      <c r="U324" s="28"/>
      <c r="V324" s="28"/>
    </row>
    <row r="325" spans="1:22">
      <c r="A325" s="6">
        <v>910</v>
      </c>
      <c r="B325" s="6" t="s">
        <v>1544</v>
      </c>
      <c r="C325" s="410">
        <f t="shared" si="70"/>
        <v>487.00000000487</v>
      </c>
      <c r="D325" s="410">
        <f t="shared" si="71"/>
        <v>510.99999998466996</v>
      </c>
      <c r="E325" s="410">
        <f t="shared" si="72"/>
        <v>23.999999979799952</v>
      </c>
      <c r="F325" s="411">
        <f t="shared" si="73"/>
        <v>9916498.0400991645</v>
      </c>
      <c r="G325" s="411">
        <f t="shared" si="74"/>
        <v>10653111.429680407</v>
      </c>
      <c r="H325" s="411">
        <f t="shared" si="75"/>
        <v>1441.5134825897085</v>
      </c>
      <c r="I325" s="412">
        <f t="shared" si="76"/>
        <v>4990303</v>
      </c>
      <c r="J325" s="412">
        <f t="shared" si="77"/>
        <v>5504395</v>
      </c>
      <c r="K325" s="412">
        <f t="shared" si="78"/>
        <v>1006.0508806564047</v>
      </c>
      <c r="L325" s="413">
        <f t="shared" si="79"/>
        <v>4926195</v>
      </c>
      <c r="M325" s="413">
        <f t="shared" si="80"/>
        <v>5148716</v>
      </c>
      <c r="N325" s="413">
        <f t="shared" si="81"/>
        <v>222521</v>
      </c>
      <c r="O325" s="413">
        <f t="shared" si="82"/>
        <v>435.46183954339659</v>
      </c>
      <c r="P325" s="414">
        <f t="shared" si="83"/>
        <v>0.05</v>
      </c>
      <c r="Q325" s="415"/>
      <c r="S325" s="9"/>
      <c r="T325" s="28"/>
      <c r="U325" s="28"/>
      <c r="V325" s="28"/>
    </row>
    <row r="326" spans="1:22">
      <c r="A326" s="6">
        <v>915</v>
      </c>
      <c r="B326" s="6" t="s">
        <v>1545</v>
      </c>
      <c r="C326" s="410">
        <f t="shared" si="70"/>
        <v>253.00000000253002</v>
      </c>
      <c r="D326" s="410">
        <f t="shared" si="71"/>
        <v>247.99999999255999</v>
      </c>
      <c r="E326" s="410">
        <f t="shared" si="72"/>
        <v>-5.000000009970023</v>
      </c>
      <c r="F326" s="411">
        <f t="shared" si="73"/>
        <v>5446250.7874944638</v>
      </c>
      <c r="G326" s="411">
        <f t="shared" si="74"/>
        <v>5461945.0265061418</v>
      </c>
      <c r="H326" s="411">
        <f t="shared" si="75"/>
        <v>63.283221823180405</v>
      </c>
      <c r="I326" s="412">
        <f t="shared" si="76"/>
        <v>3980038</v>
      </c>
      <c r="J326" s="412">
        <f t="shared" si="77"/>
        <v>4073476</v>
      </c>
      <c r="K326" s="412">
        <f t="shared" si="78"/>
        <v>376.76612904356108</v>
      </c>
      <c r="L326" s="413">
        <f t="shared" si="79"/>
        <v>1466213</v>
      </c>
      <c r="M326" s="413">
        <f t="shared" si="80"/>
        <v>1492004.9999992263</v>
      </c>
      <c r="N326" s="413">
        <f t="shared" si="81"/>
        <v>25791.999999226304</v>
      </c>
      <c r="O326" s="413">
        <f t="shared" si="82"/>
        <v>104.00000000000026</v>
      </c>
      <c r="P326" s="414">
        <f t="shared" si="83"/>
        <v>0.02</v>
      </c>
      <c r="Q326" s="415"/>
      <c r="S326" s="9"/>
      <c r="T326" s="28"/>
      <c r="U326" s="28"/>
      <c r="V326" s="28"/>
    </row>
    <row r="327" spans="1:22" s="10" customFormat="1" ht="19.5" customHeight="1">
      <c r="A327" s="10">
        <v>999</v>
      </c>
      <c r="B327" s="10" t="s">
        <v>1546</v>
      </c>
      <c r="C327" s="92">
        <f t="shared" si="70"/>
        <v>905105.99999993376</v>
      </c>
      <c r="D327" s="92">
        <f t="shared" si="71"/>
        <v>905572.00000007881</v>
      </c>
      <c r="E327" s="92">
        <f t="shared" si="72"/>
        <v>466.00000014505349</v>
      </c>
      <c r="F327" s="92">
        <f t="shared" si="73"/>
        <v>13963389872.29413</v>
      </c>
      <c r="G327" s="92">
        <f t="shared" si="74"/>
        <v>14535103399.717712</v>
      </c>
      <c r="H327" s="92">
        <f t="shared" si="75"/>
        <v>631.32862701533656</v>
      </c>
      <c r="I327" s="92">
        <f t="shared" si="76"/>
        <v>7566302116</v>
      </c>
      <c r="J327" s="92">
        <f t="shared" si="77"/>
        <v>7972055321</v>
      </c>
      <c r="K327" s="92">
        <f t="shared" si="78"/>
        <v>448.06288732421575</v>
      </c>
      <c r="L327" s="92">
        <f>VLOOKUP(A327,aidcalc,6,FALSE)+308558</f>
        <v>6592623085.6000013</v>
      </c>
      <c r="M327" s="92">
        <f>VLOOKUP(A327,aidcalc,25,FALSE)+308558</f>
        <v>6901918685.2600069</v>
      </c>
      <c r="N327" s="92">
        <f t="shared" si="81"/>
        <v>309295599.66000557</v>
      </c>
      <c r="O327" s="92">
        <f t="shared" si="82"/>
        <v>341.54722060750402</v>
      </c>
      <c r="P327" s="425">
        <f t="shared" si="83"/>
        <v>0.05</v>
      </c>
      <c r="Q327" s="214"/>
      <c r="S327" s="9"/>
      <c r="T327" s="28"/>
      <c r="U327" s="28"/>
      <c r="V327" s="6"/>
    </row>
    <row r="328" spans="1:22">
      <c r="A328" s="10"/>
      <c r="B328" s="10"/>
      <c r="C328" s="79"/>
      <c r="D328" s="79"/>
      <c r="E328" s="79"/>
      <c r="F328" s="79"/>
      <c r="G328" s="79"/>
      <c r="H328" s="79"/>
      <c r="I328" s="79"/>
      <c r="J328" s="79"/>
      <c r="K328" s="79"/>
      <c r="L328" s="9" t="s">
        <v>2242</v>
      </c>
      <c r="M328" s="9" t="s">
        <v>2242</v>
      </c>
      <c r="N328" s="79"/>
      <c r="S328" s="9"/>
      <c r="T328" s="28"/>
      <c r="U328" s="28"/>
    </row>
    <row r="329" spans="1:22">
      <c r="G329" s="9"/>
      <c r="H329" s="9"/>
      <c r="I329" s="9"/>
      <c r="J329" s="9"/>
      <c r="K329" s="9"/>
      <c r="S329" s="9"/>
      <c r="T329" s="28"/>
      <c r="U329" s="28"/>
    </row>
    <row r="330" spans="1:22">
      <c r="A330" s="6" t="s">
        <v>2303</v>
      </c>
      <c r="E330" s="6">
        <f>COUNTIF(E8:E326,"&gt;0")</f>
        <v>149</v>
      </c>
      <c r="G330" s="9"/>
      <c r="H330" s="6">
        <f>COUNTIF(H8:H326,"&gt;.5")</f>
        <v>267</v>
      </c>
      <c r="I330" s="9"/>
      <c r="J330" s="9"/>
      <c r="K330" s="6">
        <f>COUNTIF(K8:K326,"&gt;.5")</f>
        <v>299</v>
      </c>
      <c r="N330" s="6">
        <f>COUNTIF(N8:N326,"&gt;.5")</f>
        <v>319</v>
      </c>
      <c r="O330" s="6">
        <f>COUNTIF(O8:O326,"&gt;.5")</f>
        <v>319</v>
      </c>
      <c r="S330" s="9"/>
      <c r="T330" s="28"/>
      <c r="U330" s="28"/>
    </row>
    <row r="331" spans="1:22">
      <c r="A331" s="6" t="s">
        <v>2304</v>
      </c>
      <c r="E331" s="6">
        <f>COUNTIF(E8:E326,"&lt;0")</f>
        <v>165</v>
      </c>
      <c r="H331" s="6">
        <f>COUNTIF(H8:H326,"&lt;-.5")</f>
        <v>52</v>
      </c>
      <c r="K331" s="6">
        <f>COUNTIF(K8:K326,"&lt;-.5")</f>
        <v>20</v>
      </c>
      <c r="N331" s="6">
        <f>COUNTIF(N8:N326,"&lt;-.5")</f>
        <v>0</v>
      </c>
      <c r="O331" s="6">
        <f>COUNTIF(O8:O326,"&lt;-.5")</f>
        <v>0</v>
      </c>
      <c r="S331" s="9"/>
      <c r="T331" s="28"/>
      <c r="U331" s="28"/>
    </row>
    <row r="332" spans="1:22">
      <c r="A332" s="6" t="s">
        <v>2580</v>
      </c>
      <c r="E332" s="409"/>
      <c r="L332" s="9"/>
      <c r="S332" s="9"/>
      <c r="T332" s="28"/>
      <c r="U332" s="28"/>
    </row>
    <row r="333" spans="1:22">
      <c r="E333" s="409"/>
      <c r="L333" s="9"/>
      <c r="S333" s="9"/>
      <c r="T333" s="28"/>
      <c r="U333" s="28"/>
    </row>
    <row r="334" spans="1:22">
      <c r="L334" s="9"/>
      <c r="S334" s="9"/>
      <c r="T334" s="28"/>
      <c r="U334" s="28"/>
    </row>
    <row r="335" spans="1:22">
      <c r="S335" s="9"/>
      <c r="T335" s="28"/>
      <c r="U335" s="28"/>
    </row>
    <row r="336" spans="1:22">
      <c r="S336" s="9"/>
      <c r="T336" s="28"/>
      <c r="U336" s="28"/>
    </row>
    <row r="337" spans="19:21">
      <c r="S337" s="9"/>
      <c r="T337" s="28"/>
      <c r="U337" s="28"/>
    </row>
    <row r="338" spans="19:21">
      <c r="S338" s="9"/>
      <c r="T338" s="28"/>
      <c r="U338" s="28"/>
    </row>
    <row r="339" spans="19:21">
      <c r="S339" s="9"/>
      <c r="T339" s="28"/>
      <c r="U339" s="28"/>
    </row>
    <row r="340" spans="19:21">
      <c r="S340" s="9"/>
      <c r="T340" s="28"/>
      <c r="U340" s="28"/>
    </row>
    <row r="341" spans="19:21">
      <c r="S341" s="9"/>
      <c r="T341" s="28"/>
      <c r="U341" s="28"/>
    </row>
    <row r="342" spans="19:21">
      <c r="S342" s="9"/>
      <c r="T342" s="28"/>
      <c r="U342" s="28"/>
    </row>
    <row r="343" spans="19:21">
      <c r="S343" s="9"/>
      <c r="T343" s="28"/>
      <c r="U343" s="28"/>
    </row>
    <row r="344" spans="19:21">
      <c r="S344" s="9"/>
      <c r="T344" s="28"/>
      <c r="U344" s="28"/>
    </row>
    <row r="345" spans="19:21">
      <c r="S345" s="9"/>
      <c r="T345" s="28"/>
      <c r="U345" s="28"/>
    </row>
    <row r="346" spans="19:21">
      <c r="S346" s="9"/>
      <c r="T346" s="28"/>
      <c r="U346" s="28"/>
    </row>
    <row r="347" spans="19:21">
      <c r="S347" s="9"/>
      <c r="T347" s="28"/>
      <c r="U347" s="28"/>
    </row>
    <row r="348" spans="19:21">
      <c r="S348" s="9"/>
      <c r="T348" s="28"/>
      <c r="U348" s="28"/>
    </row>
    <row r="349" spans="19:21">
      <c r="S349" s="9"/>
      <c r="T349" s="28"/>
      <c r="U349" s="28"/>
    </row>
    <row r="350" spans="19:21">
      <c r="S350" s="9"/>
      <c r="T350" s="28"/>
      <c r="U350" s="28"/>
    </row>
    <row r="351" spans="19:21">
      <c r="S351" s="9"/>
      <c r="T351" s="28"/>
      <c r="U351" s="28"/>
    </row>
    <row r="352" spans="19:21">
      <c r="S352" s="9"/>
      <c r="T352" s="28"/>
      <c r="U352" s="28"/>
    </row>
    <row r="353" spans="19:21">
      <c r="S353" s="9"/>
      <c r="T353" s="28"/>
      <c r="U353" s="28"/>
    </row>
    <row r="354" spans="19:21">
      <c r="S354" s="9"/>
      <c r="T354" s="28"/>
      <c r="U354" s="28"/>
    </row>
    <row r="355" spans="19:21">
      <c r="S355" s="9"/>
      <c r="T355" s="28"/>
      <c r="U355" s="28"/>
    </row>
    <row r="356" spans="19:21">
      <c r="S356" s="9"/>
      <c r="T356" s="28"/>
      <c r="U356" s="28"/>
    </row>
    <row r="357" spans="19:21">
      <c r="S357" s="9"/>
      <c r="T357" s="28"/>
      <c r="U357" s="28"/>
    </row>
    <row r="358" spans="19:21">
      <c r="S358" s="9"/>
      <c r="T358" s="28"/>
      <c r="U358" s="28"/>
    </row>
    <row r="359" spans="19:21">
      <c r="S359" s="9"/>
      <c r="T359" s="28"/>
      <c r="U359" s="28"/>
    </row>
    <row r="360" spans="19:21">
      <c r="S360" s="9"/>
      <c r="T360" s="28"/>
      <c r="U360" s="28"/>
    </row>
    <row r="361" spans="19:21">
      <c r="S361" s="9"/>
      <c r="T361" s="28"/>
      <c r="U361" s="28"/>
    </row>
    <row r="362" spans="19:21">
      <c r="S362" s="9"/>
      <c r="T362" s="28"/>
      <c r="U362" s="28"/>
    </row>
    <row r="363" spans="19:21">
      <c r="S363" s="9"/>
      <c r="T363" s="28"/>
      <c r="U363" s="28"/>
    </row>
    <row r="364" spans="19:21">
      <c r="S364" s="9"/>
      <c r="T364" s="28"/>
      <c r="U364" s="28"/>
    </row>
    <row r="365" spans="19:21">
      <c r="S365" s="9"/>
      <c r="T365" s="28"/>
      <c r="U365" s="28"/>
    </row>
    <row r="366" spans="19:21">
      <c r="S366" s="9"/>
      <c r="T366" s="28"/>
      <c r="U366" s="28"/>
    </row>
    <row r="367" spans="19:21">
      <c r="S367" s="9"/>
      <c r="T367" s="28"/>
      <c r="U367" s="28"/>
    </row>
    <row r="368" spans="19:21">
      <c r="S368" s="9"/>
      <c r="T368" s="28"/>
      <c r="U368" s="28"/>
    </row>
    <row r="369" spans="19:21">
      <c r="S369" s="9"/>
      <c r="T369" s="28"/>
      <c r="U369" s="28"/>
    </row>
    <row r="370" spans="19:21">
      <c r="S370" s="9"/>
      <c r="T370" s="28"/>
      <c r="U370" s="28"/>
    </row>
    <row r="371" spans="19:21">
      <c r="S371" s="9"/>
      <c r="T371" s="28"/>
      <c r="U371" s="28"/>
    </row>
    <row r="372" spans="19:21">
      <c r="S372" s="9"/>
      <c r="T372" s="28"/>
      <c r="U372" s="28"/>
    </row>
    <row r="373" spans="19:21">
      <c r="S373" s="9"/>
      <c r="T373" s="28"/>
      <c r="U373" s="28"/>
    </row>
    <row r="374" spans="19:21">
      <c r="S374" s="9"/>
      <c r="T374" s="28"/>
      <c r="U374" s="28"/>
    </row>
    <row r="375" spans="19:21">
      <c r="S375" s="9"/>
      <c r="T375" s="28"/>
      <c r="U375" s="28"/>
    </row>
    <row r="376" spans="19:21">
      <c r="S376" s="9"/>
      <c r="T376" s="28"/>
      <c r="U376" s="28"/>
    </row>
    <row r="377" spans="19:21">
      <c r="S377" s="9"/>
      <c r="T377" s="28"/>
      <c r="U377" s="28"/>
    </row>
    <row r="378" spans="19:21">
      <c r="S378" s="9"/>
      <c r="T378" s="28"/>
      <c r="U378" s="28"/>
    </row>
    <row r="379" spans="19:21">
      <c r="S379" s="9"/>
      <c r="T379" s="28"/>
      <c r="U379" s="28"/>
    </row>
    <row r="380" spans="19:21">
      <c r="S380" s="9"/>
      <c r="T380" s="28"/>
      <c r="U380" s="28"/>
    </row>
    <row r="381" spans="19:21">
      <c r="S381" s="9"/>
      <c r="T381" s="28"/>
      <c r="U381" s="28"/>
    </row>
    <row r="382" spans="19:21">
      <c r="S382" s="9"/>
      <c r="T382" s="28"/>
      <c r="U382" s="28"/>
    </row>
    <row r="383" spans="19:21">
      <c r="S383" s="9"/>
      <c r="T383" s="28"/>
      <c r="U383" s="28"/>
    </row>
    <row r="384" spans="19:21">
      <c r="S384" s="9"/>
      <c r="T384" s="28"/>
      <c r="U384" s="28"/>
    </row>
    <row r="385" spans="19:21">
      <c r="S385" s="9"/>
      <c r="T385" s="28"/>
      <c r="U385" s="28"/>
    </row>
    <row r="386" spans="19:21">
      <c r="S386" s="9"/>
      <c r="T386" s="28"/>
      <c r="U386" s="28"/>
    </row>
    <row r="387" spans="19:21">
      <c r="S387" s="9"/>
      <c r="T387" s="28"/>
      <c r="U387" s="28"/>
    </row>
    <row r="388" spans="19:21">
      <c r="S388" s="9"/>
      <c r="T388" s="28"/>
      <c r="U388" s="28"/>
    </row>
    <row r="389" spans="19:21">
      <c r="S389" s="9"/>
      <c r="T389" s="28"/>
      <c r="U389" s="28"/>
    </row>
    <row r="390" spans="19:21">
      <c r="S390" s="9"/>
      <c r="T390" s="28"/>
      <c r="U390" s="28"/>
    </row>
    <row r="391" spans="19:21">
      <c r="S391" s="9"/>
      <c r="T391" s="28"/>
      <c r="U391" s="28"/>
    </row>
    <row r="392" spans="19:21">
      <c r="S392" s="9"/>
      <c r="T392" s="28"/>
      <c r="U392" s="28"/>
    </row>
    <row r="393" spans="19:21">
      <c r="S393" s="9"/>
      <c r="T393" s="28"/>
      <c r="U393" s="28"/>
    </row>
    <row r="394" spans="19:21">
      <c r="S394" s="9"/>
      <c r="T394" s="28"/>
      <c r="U394" s="28"/>
    </row>
    <row r="395" spans="19:21">
      <c r="S395" s="9"/>
      <c r="T395" s="28"/>
      <c r="U395" s="28"/>
    </row>
    <row r="396" spans="19:21">
      <c r="S396" s="9"/>
      <c r="T396" s="28"/>
      <c r="U396" s="28"/>
    </row>
    <row r="397" spans="19:21">
      <c r="S397" s="9"/>
      <c r="T397" s="28"/>
      <c r="U397" s="28"/>
    </row>
    <row r="398" spans="19:21">
      <c r="S398" s="9"/>
      <c r="T398" s="28"/>
      <c r="U398" s="28"/>
    </row>
    <row r="399" spans="19:21">
      <c r="S399" s="9"/>
      <c r="T399" s="28"/>
      <c r="U399" s="28"/>
    </row>
    <row r="400" spans="19:21">
      <c r="S400" s="9"/>
      <c r="T400" s="28"/>
      <c r="U400" s="28"/>
    </row>
    <row r="401" spans="19:21">
      <c r="S401" s="9"/>
      <c r="T401" s="28"/>
      <c r="U401" s="28"/>
    </row>
    <row r="402" spans="19:21">
      <c r="S402" s="9"/>
      <c r="T402" s="28"/>
      <c r="U402" s="28"/>
    </row>
    <row r="403" spans="19:21">
      <c r="S403" s="9"/>
      <c r="T403" s="28"/>
      <c r="U403" s="28"/>
    </row>
    <row r="404" spans="19:21">
      <c r="S404" s="9"/>
      <c r="T404" s="28"/>
      <c r="U404" s="28"/>
    </row>
    <row r="405" spans="19:21">
      <c r="S405" s="9"/>
      <c r="T405" s="28"/>
      <c r="U405" s="28"/>
    </row>
    <row r="406" spans="19:21">
      <c r="S406" s="9"/>
      <c r="T406" s="28"/>
      <c r="U406" s="28"/>
    </row>
    <row r="407" spans="19:21">
      <c r="S407" s="9"/>
      <c r="T407" s="28"/>
      <c r="U407" s="28"/>
    </row>
    <row r="408" spans="19:21">
      <c r="S408" s="9"/>
      <c r="T408" s="28"/>
      <c r="U408" s="28"/>
    </row>
    <row r="409" spans="19:21">
      <c r="S409" s="9"/>
      <c r="T409" s="28"/>
      <c r="U409" s="28"/>
    </row>
    <row r="410" spans="19:21">
      <c r="S410" s="9"/>
      <c r="T410" s="28"/>
      <c r="U410" s="28"/>
    </row>
    <row r="411" spans="19:21">
      <c r="S411" s="9"/>
      <c r="T411" s="28"/>
      <c r="U411" s="28"/>
    </row>
    <row r="412" spans="19:21">
      <c r="S412" s="9"/>
      <c r="T412" s="28"/>
      <c r="U412" s="28"/>
    </row>
    <row r="413" spans="19:21">
      <c r="S413" s="9"/>
      <c r="T413" s="28"/>
      <c r="U413" s="28"/>
    </row>
    <row r="414" spans="19:21">
      <c r="S414" s="9"/>
      <c r="T414" s="28"/>
      <c r="U414" s="28"/>
    </row>
    <row r="415" spans="19:21">
      <c r="S415" s="9"/>
      <c r="T415" s="28"/>
      <c r="U415" s="28"/>
    </row>
    <row r="416" spans="19:21">
      <c r="S416" s="9"/>
      <c r="T416" s="28"/>
      <c r="U416" s="28"/>
    </row>
    <row r="417" spans="19:21">
      <c r="S417" s="9"/>
      <c r="T417" s="28"/>
      <c r="U417" s="28"/>
    </row>
    <row r="418" spans="19:21">
      <c r="S418" s="9"/>
      <c r="T418" s="28"/>
      <c r="U418" s="28"/>
    </row>
    <row r="419" spans="19:21">
      <c r="S419" s="9"/>
      <c r="T419" s="28"/>
      <c r="U419" s="28"/>
    </row>
    <row r="420" spans="19:21">
      <c r="S420" s="9"/>
      <c r="T420" s="28"/>
      <c r="U420" s="28"/>
    </row>
    <row r="421" spans="19:21">
      <c r="S421" s="9"/>
      <c r="T421" s="28"/>
      <c r="U421" s="28"/>
    </row>
    <row r="422" spans="19:21">
      <c r="S422" s="9"/>
      <c r="T422" s="28"/>
      <c r="U422" s="28"/>
    </row>
    <row r="423" spans="19:21">
      <c r="S423" s="9"/>
      <c r="T423" s="28"/>
      <c r="U423" s="28"/>
    </row>
    <row r="424" spans="19:21">
      <c r="S424" s="9"/>
      <c r="T424" s="28"/>
      <c r="U424" s="28"/>
    </row>
    <row r="425" spans="19:21">
      <c r="S425" s="9"/>
      <c r="T425" s="28"/>
      <c r="U425" s="28"/>
    </row>
    <row r="426" spans="19:21">
      <c r="S426" s="9"/>
      <c r="T426" s="28"/>
      <c r="U426" s="28"/>
    </row>
    <row r="427" spans="19:21">
      <c r="S427" s="9"/>
      <c r="T427" s="28"/>
      <c r="U427" s="28"/>
    </row>
    <row r="428" spans="19:21">
      <c r="S428" s="9"/>
      <c r="T428" s="28"/>
      <c r="U428" s="28"/>
    </row>
    <row r="429" spans="19:21">
      <c r="S429" s="9"/>
      <c r="T429" s="28"/>
      <c r="U429" s="28"/>
    </row>
    <row r="430" spans="19:21">
      <c r="S430" s="9"/>
      <c r="T430" s="28"/>
      <c r="U430" s="28"/>
    </row>
    <row r="431" spans="19:21">
      <c r="S431" s="9"/>
      <c r="T431" s="28"/>
      <c r="U431" s="28"/>
    </row>
    <row r="432" spans="19:21">
      <c r="S432" s="9"/>
      <c r="T432" s="28"/>
      <c r="U432" s="28"/>
    </row>
    <row r="433" spans="19:21">
      <c r="S433" s="9"/>
      <c r="T433" s="28"/>
      <c r="U433" s="28"/>
    </row>
    <row r="434" spans="19:21">
      <c r="S434" s="9"/>
      <c r="T434" s="28"/>
      <c r="U434" s="28"/>
    </row>
    <row r="435" spans="19:21">
      <c r="S435" s="9"/>
      <c r="T435" s="28"/>
      <c r="U435" s="28"/>
    </row>
    <row r="436" spans="19:21">
      <c r="S436" s="9"/>
      <c r="T436" s="28"/>
      <c r="U436" s="28"/>
    </row>
    <row r="437" spans="19:21">
      <c r="S437" s="9"/>
      <c r="T437" s="28"/>
      <c r="U437" s="28"/>
    </row>
    <row r="438" spans="19:21">
      <c r="S438" s="9"/>
      <c r="T438" s="28"/>
      <c r="U438" s="28"/>
    </row>
    <row r="439" spans="19:21">
      <c r="S439" s="9"/>
      <c r="T439" s="28"/>
      <c r="U439" s="28"/>
    </row>
    <row r="440" spans="19:21">
      <c r="S440" s="9"/>
      <c r="T440" s="28"/>
      <c r="U440" s="28"/>
    </row>
    <row r="441" spans="19:21">
      <c r="S441" s="9"/>
      <c r="T441" s="28"/>
      <c r="U441" s="28"/>
    </row>
    <row r="442" spans="19:21">
      <c r="S442" s="9"/>
      <c r="T442" s="9"/>
      <c r="U442" s="28"/>
    </row>
  </sheetData>
  <sheetProtection autoFilter="0"/>
  <sortState xmlns:xlrd2="http://schemas.microsoft.com/office/spreadsheetml/2017/richdata2" ref="A8:B330">
    <sortCondition ref="A8:A330"/>
  </sortState>
  <phoneticPr fontId="0" type="noConversion"/>
  <hyperlinks>
    <hyperlink ref="B1" location="Index!A10" display="Return to Index" xr:uid="{00000000-0004-0000-0A00-000000000000}"/>
    <hyperlink ref="O1" location="MoreAboutData!A4" display="More about the data" xr:uid="{00000000-0004-0000-0A00-000001000000}"/>
  </hyperlinks>
  <pageMargins left="0.17" right="0.16" top="0.24" bottom="0.6" header="0.18" footer="0.5"/>
  <pageSetup scale="80" orientation="landscape" r:id="rId1"/>
  <headerFooter alignWithMargins="0"/>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X888"/>
  <sheetViews>
    <sheetView showGridLines="0" zoomScaleNormal="100" workbookViewId="0">
      <pane xSplit="3" ySplit="7" topLeftCell="D8" activePane="bottomRight" state="frozen"/>
      <selection activeCell="D18" sqref="D18"/>
      <selection pane="topRight" activeCell="D18" sqref="D18"/>
      <selection pane="bottomLeft" activeCell="D18" sqref="D18"/>
      <selection pane="bottomRight"/>
    </sheetView>
  </sheetViews>
  <sheetFormatPr defaultColWidth="8.875" defaultRowHeight="12.75"/>
  <cols>
    <col min="1" max="1" width="3.625" style="6" customWidth="1"/>
    <col min="2" max="2" width="24.875" style="6" customWidth="1"/>
    <col min="3" max="3" width="5.25" style="7" customWidth="1"/>
    <col min="4" max="4" width="11.875" style="6" customWidth="1"/>
    <col min="5" max="5" width="11.5" style="6" customWidth="1"/>
    <col min="6" max="6" width="10.75" style="6" customWidth="1"/>
    <col min="7" max="7" width="12.5" style="6" hidden="1" customWidth="1"/>
    <col min="8" max="8" width="12.125" style="6" customWidth="1"/>
    <col min="9" max="9" width="12.25" style="6" customWidth="1"/>
    <col min="10" max="10" width="11.75" style="6" customWidth="1"/>
    <col min="11" max="11" width="12.25" style="6" customWidth="1"/>
    <col min="12" max="12" width="10.75" style="6" customWidth="1"/>
    <col min="13" max="13" width="9.5" style="6" customWidth="1"/>
    <col min="14" max="14" width="9.375" style="6" customWidth="1"/>
    <col min="15" max="15" width="9.875" style="6" customWidth="1"/>
    <col min="16" max="16" width="8.625" style="6" customWidth="1"/>
    <col min="17" max="17" width="7.375" style="6" customWidth="1"/>
    <col min="18" max="18" width="16.625" style="6" customWidth="1"/>
    <col min="19" max="19" width="12.125" style="6" customWidth="1"/>
    <col min="20" max="20" width="11.5" style="6" customWidth="1"/>
    <col min="21" max="21" width="9.125" style="6" customWidth="1"/>
    <col min="22" max="22" width="13.875" style="6" customWidth="1"/>
    <col min="23" max="23" width="8.375" style="6" customWidth="1"/>
    <col min="24" max="24" width="8" style="6" customWidth="1"/>
    <col min="25" max="25" width="11.25" style="6" customWidth="1"/>
    <col min="26" max="26" width="8.875" style="6" customWidth="1"/>
    <col min="27" max="27" width="12.375" style="6" customWidth="1"/>
    <col min="28" max="28" width="8.375" style="6" customWidth="1"/>
    <col min="29" max="29" width="8.625" style="6" customWidth="1"/>
    <col min="30" max="30" width="10.875" style="6" customWidth="1"/>
    <col min="31" max="31" width="10.125" style="6" customWidth="1"/>
    <col min="32" max="32" width="7.125" style="6" customWidth="1"/>
    <col min="33" max="33" width="8.125" style="6" customWidth="1"/>
    <col min="34" max="34" width="9.625" style="6" hidden="1" customWidth="1"/>
    <col min="35" max="35" width="9.375" style="6" hidden="1" customWidth="1"/>
    <col min="36" max="36" width="9.625" style="6" hidden="1" customWidth="1"/>
    <col min="37" max="37" width="7" customWidth="1"/>
    <col min="38" max="38" width="2.375" customWidth="1"/>
    <col min="39" max="39" width="5.375" style="6" customWidth="1"/>
    <col min="40" max="40" width="15.125" style="6" customWidth="1"/>
    <col min="41" max="41" width="5.125" style="6" customWidth="1"/>
    <col min="42" max="42" width="8.875" style="6" customWidth="1"/>
    <col min="43" max="43" width="11.75" style="6" customWidth="1"/>
    <col min="44" max="44" width="11.625" style="9" customWidth="1"/>
    <col min="45" max="45" width="11.5" style="6" customWidth="1"/>
    <col min="46" max="48" width="8.875" style="6"/>
    <col min="49" max="49" width="14.375" style="6" bestFit="1" customWidth="1"/>
    <col min="50" max="50" width="9.625" style="6" bestFit="1" customWidth="1"/>
    <col min="51" max="16384" width="8.875" style="6"/>
  </cols>
  <sheetData>
    <row r="1" spans="1:50" s="75" customFormat="1" ht="21" customHeight="1">
      <c r="D1" s="105" t="s">
        <v>2315</v>
      </c>
      <c r="E1" s="105" t="s">
        <v>2315</v>
      </c>
      <c r="F1" s="105" t="s">
        <v>2315</v>
      </c>
      <c r="G1" s="105"/>
      <c r="K1" s="105"/>
      <c r="N1" s="105" t="s">
        <v>2315</v>
      </c>
      <c r="O1" s="106"/>
      <c r="P1" s="106"/>
      <c r="S1" s="513"/>
      <c r="T1" s="513"/>
      <c r="U1" s="75" t="s">
        <v>2326</v>
      </c>
      <c r="AA1" s="106"/>
      <c r="AB1" s="106"/>
      <c r="AK1"/>
      <c r="AL1"/>
      <c r="AR1" s="319"/>
    </row>
    <row r="2" spans="1:50" s="77" customFormat="1" ht="12.95" hidden="1" customHeight="1">
      <c r="C2" s="206"/>
      <c r="D2" s="77">
        <v>47</v>
      </c>
      <c r="H2" s="77">
        <v>49</v>
      </c>
      <c r="L2" s="318"/>
      <c r="M2" s="318"/>
      <c r="N2" s="107"/>
      <c r="O2" s="318"/>
      <c r="P2" s="318"/>
      <c r="S2" s="513"/>
      <c r="T2" s="513"/>
      <c r="U2" s="513"/>
      <c r="V2" s="82"/>
      <c r="W2" s="82"/>
      <c r="X2" s="82"/>
      <c r="Y2" s="82"/>
      <c r="Z2" s="82"/>
      <c r="AA2" s="82"/>
      <c r="AB2" s="82"/>
      <c r="AK2"/>
      <c r="AL2"/>
      <c r="AQ2" s="17"/>
      <c r="AR2" s="17"/>
      <c r="AS2" s="17"/>
    </row>
    <row r="3" spans="1:50" hidden="1">
      <c r="A3" s="17"/>
      <c r="B3" s="17">
        <v>2</v>
      </c>
      <c r="C3" s="142">
        <v>3</v>
      </c>
      <c r="D3" s="17">
        <v>4</v>
      </c>
      <c r="E3" s="17">
        <v>5</v>
      </c>
      <c r="F3" s="17">
        <v>6</v>
      </c>
      <c r="G3" s="17">
        <v>7</v>
      </c>
      <c r="H3" s="17">
        <v>8</v>
      </c>
      <c r="I3" s="17">
        <v>9</v>
      </c>
      <c r="J3" s="17">
        <v>10</v>
      </c>
      <c r="K3" s="17">
        <v>11</v>
      </c>
      <c r="L3" s="17">
        <v>12</v>
      </c>
      <c r="M3" s="17">
        <v>13</v>
      </c>
      <c r="N3" s="17">
        <v>14</v>
      </c>
      <c r="O3" s="17">
        <v>15</v>
      </c>
      <c r="P3" s="17">
        <v>16</v>
      </c>
      <c r="Q3" s="17">
        <v>17</v>
      </c>
      <c r="R3" s="17">
        <v>18</v>
      </c>
      <c r="S3" s="17">
        <v>19</v>
      </c>
      <c r="T3" s="17">
        <v>20</v>
      </c>
      <c r="U3" s="17">
        <v>21</v>
      </c>
      <c r="V3" s="17">
        <v>22</v>
      </c>
      <c r="W3" s="17">
        <v>23</v>
      </c>
      <c r="X3" s="17">
        <v>24</v>
      </c>
      <c r="Y3" s="17">
        <v>25</v>
      </c>
      <c r="Z3" s="17">
        <v>26</v>
      </c>
      <c r="AA3" s="17">
        <v>27</v>
      </c>
      <c r="AB3" s="17">
        <v>28</v>
      </c>
      <c r="AC3" s="17">
        <v>29</v>
      </c>
      <c r="AD3" s="17">
        <v>30</v>
      </c>
      <c r="AE3" s="17">
        <v>31</v>
      </c>
      <c r="AF3" s="17">
        <v>32</v>
      </c>
      <c r="AG3" s="17">
        <v>33</v>
      </c>
      <c r="AH3" s="17">
        <v>34</v>
      </c>
      <c r="AI3" s="17">
        <v>35</v>
      </c>
      <c r="AJ3" s="17">
        <v>36</v>
      </c>
      <c r="AK3" s="17">
        <v>37</v>
      </c>
      <c r="AL3" s="17">
        <v>38</v>
      </c>
      <c r="AM3" s="17">
        <v>39</v>
      </c>
      <c r="AN3" s="17">
        <v>40</v>
      </c>
      <c r="AO3" s="17">
        <v>41</v>
      </c>
      <c r="AP3" s="17"/>
      <c r="AQ3" s="17">
        <v>42</v>
      </c>
      <c r="AR3" s="17">
        <v>43</v>
      </c>
      <c r="AS3" s="17">
        <v>44</v>
      </c>
    </row>
    <row r="4" spans="1:50" s="107" customFormat="1">
      <c r="A4" s="135" t="s">
        <v>84</v>
      </c>
      <c r="C4" s="108" t="s">
        <v>455</v>
      </c>
      <c r="F4" s="639"/>
      <c r="H4" s="108" t="s">
        <v>653</v>
      </c>
      <c r="I4" s="109" t="s">
        <v>598</v>
      </c>
      <c r="J4" s="109" t="s">
        <v>607</v>
      </c>
      <c r="K4" s="108" t="s">
        <v>64</v>
      </c>
      <c r="L4" s="108" t="s">
        <v>473</v>
      </c>
      <c r="M4" s="108"/>
      <c r="N4" s="108"/>
      <c r="O4" s="108" t="s">
        <v>482</v>
      </c>
      <c r="P4" s="108"/>
      <c r="R4" s="108" t="s">
        <v>483</v>
      </c>
      <c r="T4" s="107" t="s">
        <v>2342</v>
      </c>
      <c r="V4" s="108"/>
      <c r="W4" s="108" t="s">
        <v>135</v>
      </c>
      <c r="X4" s="527" t="s">
        <v>2309</v>
      </c>
      <c r="Y4" s="108" t="s">
        <v>645</v>
      </c>
      <c r="Z4" s="108"/>
      <c r="AA4" s="108"/>
      <c r="AB4" s="108"/>
      <c r="AJ4" s="149"/>
      <c r="AK4"/>
      <c r="AL4"/>
      <c r="AM4" s="135"/>
      <c r="AO4" s="108"/>
      <c r="AP4" s="108"/>
      <c r="AR4" s="361"/>
    </row>
    <row r="5" spans="1:50" s="107" customFormat="1" ht="12.75" customHeight="1">
      <c r="A5" s="283" t="s">
        <v>2096</v>
      </c>
      <c r="F5" s="639"/>
      <c r="H5" s="158" t="s">
        <v>672</v>
      </c>
      <c r="I5" s="534"/>
      <c r="J5" s="534" t="s">
        <v>651</v>
      </c>
      <c r="K5" s="534"/>
      <c r="L5" s="534"/>
      <c r="Q5" s="535"/>
      <c r="R5" s="535" t="s">
        <v>650</v>
      </c>
      <c r="S5" s="588"/>
      <c r="T5" s="588" t="s">
        <v>2227</v>
      </c>
      <c r="U5" s="588"/>
      <c r="V5" s="108"/>
      <c r="W5" s="317"/>
      <c r="Y5" s="317"/>
      <c r="Z5" s="317"/>
      <c r="AC5" s="578"/>
      <c r="AD5" s="579" t="s">
        <v>1595</v>
      </c>
      <c r="AE5" s="578"/>
      <c r="AF5" s="578"/>
      <c r="AG5" s="578"/>
      <c r="AJ5" s="150"/>
      <c r="AK5"/>
      <c r="AL5"/>
      <c r="AM5" s="575"/>
      <c r="AN5" s="576"/>
      <c r="AO5" s="576" t="s">
        <v>2175</v>
      </c>
      <c r="AP5" s="576"/>
      <c r="AQ5" s="576"/>
      <c r="AR5" s="576"/>
      <c r="AS5" s="577"/>
    </row>
    <row r="6" spans="1:50" s="107" customFormat="1">
      <c r="D6" s="456"/>
      <c r="E6" s="456"/>
      <c r="F6" s="639"/>
      <c r="H6" s="120"/>
      <c r="P6" s="121"/>
      <c r="Q6" s="119">
        <v>104</v>
      </c>
      <c r="W6" s="317"/>
      <c r="X6" s="455"/>
      <c r="Y6" s="317"/>
      <c r="Z6" s="317"/>
      <c r="AK6"/>
      <c r="AL6" s="313"/>
      <c r="AM6" s="374"/>
      <c r="AN6" s="375"/>
      <c r="AO6" s="375"/>
      <c r="AP6" s="375"/>
      <c r="AQ6" s="375"/>
      <c r="AR6" s="375"/>
      <c r="AS6" s="376"/>
    </row>
    <row r="7" spans="1:50" s="134" customFormat="1" ht="48">
      <c r="A7" s="583" t="s">
        <v>57</v>
      </c>
      <c r="B7" s="584" t="s">
        <v>594</v>
      </c>
      <c r="C7" s="585" t="s">
        <v>63</v>
      </c>
      <c r="D7" s="585" t="s">
        <v>2545</v>
      </c>
      <c r="E7" s="585" t="s">
        <v>2543</v>
      </c>
      <c r="F7" s="585" t="s">
        <v>2546</v>
      </c>
      <c r="G7" s="580"/>
      <c r="H7" s="585" t="s">
        <v>2146</v>
      </c>
      <c r="I7" s="585" t="s">
        <v>2547</v>
      </c>
      <c r="J7" s="585" t="s">
        <v>2548</v>
      </c>
      <c r="K7" s="585" t="s">
        <v>2542</v>
      </c>
      <c r="L7" s="585" t="s">
        <v>2541</v>
      </c>
      <c r="M7" s="585" t="s">
        <v>2540</v>
      </c>
      <c r="N7" s="585" t="s">
        <v>2539</v>
      </c>
      <c r="O7" s="585" t="s">
        <v>2527</v>
      </c>
      <c r="P7" s="585" t="s">
        <v>2538</v>
      </c>
      <c r="Q7" s="585" t="s">
        <v>2537</v>
      </c>
      <c r="R7" s="585" t="s">
        <v>2536</v>
      </c>
      <c r="S7" s="585" t="s">
        <v>2535</v>
      </c>
      <c r="T7" s="587" t="s">
        <v>2224</v>
      </c>
      <c r="U7" s="585" t="s">
        <v>2534</v>
      </c>
      <c r="V7" s="585" t="s">
        <v>2533</v>
      </c>
      <c r="W7" s="585" t="s">
        <v>2532</v>
      </c>
      <c r="X7" s="585" t="s">
        <v>2307</v>
      </c>
      <c r="Y7" s="585" t="s">
        <v>2549</v>
      </c>
      <c r="Z7" s="585" t="s">
        <v>2531</v>
      </c>
      <c r="AA7" s="585" t="s">
        <v>2530</v>
      </c>
      <c r="AB7" s="585" t="s">
        <v>2529</v>
      </c>
      <c r="AC7" s="585" t="s">
        <v>680</v>
      </c>
      <c r="AD7" s="585" t="s">
        <v>681</v>
      </c>
      <c r="AE7" s="585" t="s">
        <v>2520</v>
      </c>
      <c r="AF7" s="585" t="s">
        <v>2521</v>
      </c>
      <c r="AG7" s="585" t="s">
        <v>2522</v>
      </c>
      <c r="AH7" s="581" t="s">
        <v>1577</v>
      </c>
      <c r="AI7" s="121" t="s">
        <v>673</v>
      </c>
      <c r="AJ7" s="581" t="s">
        <v>1577</v>
      </c>
      <c r="AK7" s="582" t="s">
        <v>2523</v>
      </c>
      <c r="AL7" s="581" t="s">
        <v>1577</v>
      </c>
      <c r="AM7" s="121" t="s">
        <v>2524</v>
      </c>
      <c r="AN7" s="121" t="s">
        <v>2525</v>
      </c>
      <c r="AO7" s="121" t="s">
        <v>2526</v>
      </c>
      <c r="AP7" s="121" t="s">
        <v>2527</v>
      </c>
      <c r="AQ7" s="121" t="s">
        <v>2547</v>
      </c>
      <c r="AR7" s="121" t="s">
        <v>2528</v>
      </c>
      <c r="AS7" s="121" t="s">
        <v>2549</v>
      </c>
    </row>
    <row r="8" spans="1:50" ht="15">
      <c r="A8" s="6">
        <v>1</v>
      </c>
      <c r="B8" s="6" t="s">
        <v>1120</v>
      </c>
      <c r="C8" s="7">
        <v>1</v>
      </c>
      <c r="D8" s="9">
        <v>31287579.078960005</v>
      </c>
      <c r="E8" s="9">
        <v>17104459</v>
      </c>
      <c r="F8" s="9">
        <v>14183120</v>
      </c>
      <c r="G8" s="348"/>
      <c r="H8" s="111">
        <f>F8</f>
        <v>14183120</v>
      </c>
      <c r="I8" s="9">
        <f t="shared" ref="I8:I71" si="0">SUMIF(dist1755,A8,found1755)</f>
        <v>32236384.532019995</v>
      </c>
      <c r="J8" s="33">
        <f t="shared" ref="J8:J71" si="1">SUMIF(dist1755,A8,prelcont1755)</f>
        <v>17754107</v>
      </c>
      <c r="K8" s="9">
        <f>ROUND(MAX(found-prelcont436,0),0)</f>
        <v>14482278</v>
      </c>
      <c r="L8" s="112">
        <f>IF(foundaid&gt;priorc70,foundaid-priorc70,0)</f>
        <v>299158</v>
      </c>
      <c r="M8" s="458">
        <f>ROUND(100-'Townwide Contributions'!L7,2)</f>
        <v>39.6</v>
      </c>
      <c r="N8" s="9">
        <v>2206</v>
      </c>
      <c r="O8" s="9">
        <f t="shared" ref="O8:O71" si="2">SUMIF(dist1755,A8,enro1755)</f>
        <v>2202</v>
      </c>
      <c r="P8" s="9">
        <f t="shared" ref="P8:P71" si="3">IF(AND(C8=1,L8&gt;0),1,0)</f>
        <v>1</v>
      </c>
      <c r="Q8" s="28">
        <f t="shared" ref="Q8:Q71" si="4">IF(nonop=1,enro*$Q$6,0)</f>
        <v>229008</v>
      </c>
      <c r="R8" s="382">
        <f>IF((foundinc)&lt;Q8,Q8-(foundinc),0)</f>
        <v>0</v>
      </c>
      <c r="S8" s="28">
        <v>14183120</v>
      </c>
      <c r="T8" s="33">
        <f t="shared" ref="T8:T71" si="5">S8+30*enro</f>
        <v>14249180</v>
      </c>
      <c r="U8" s="9">
        <f t="shared" ref="U8:U71" si="6">IF(AND(T8-priorc70-foundinc-minaid&gt;0,nonop=1), T8-priorc70-foundinc-minaid,0)</f>
        <v>0</v>
      </c>
      <c r="V8" s="33">
        <f t="shared" ref="V8:V71" si="7">priorc70+ foundinc+minaidadjincrement+minaid</f>
        <v>14482278</v>
      </c>
      <c r="W8" s="33">
        <f t="shared" ref="W8:W71" si="8">IF(AND(C8=0,V8&gt;found),V8-found,0)</f>
        <v>0</v>
      </c>
      <c r="X8" s="33">
        <v>0</v>
      </c>
      <c r="Y8" s="113">
        <f>priorc70+foundinc+minaidadjincrement+minaid-rednonop+holdharmlessaid</f>
        <v>14482278</v>
      </c>
      <c r="Z8" s="155">
        <f t="shared" ref="Z8:Z71" si="9">IF(C8=1, Y8/I8*100, 0)</f>
        <v>44.925255143345666</v>
      </c>
      <c r="AA8" s="33">
        <f t="shared" ref="AA8:AA71" si="10">prelcont436+chapter70</f>
        <v>32236385</v>
      </c>
      <c r="AB8" s="114">
        <f t="shared" ref="AB8:AB71" si="11">IF(found&gt;0,AA8*100/found,0)</f>
        <v>100.00000145171369</v>
      </c>
      <c r="AC8" s="28">
        <f t="shared" ref="AC8:AC71" si="12">I8-D8</f>
        <v>948805.45305998996</v>
      </c>
      <c r="AD8" s="28">
        <f t="shared" ref="AD8:AD71" si="13">Y8-F8</f>
        <v>299158</v>
      </c>
      <c r="AE8" s="28">
        <f t="shared" ref="AE8:AE71" si="14">Y8-((M8/100)*I8)</f>
        <v>1716669.7253200822</v>
      </c>
      <c r="AF8" s="115">
        <f t="shared" ref="AF8:AF71" si="15">IF(C8=1, (Y8/I8*100)-M8, "")</f>
        <v>5.3252551433456645</v>
      </c>
      <c r="AG8" s="28">
        <f t="shared" ref="AG8:AG71" si="16">IFERROR(ROUND(I8/O8, 2), 0)</f>
        <v>14639.59</v>
      </c>
      <c r="AI8" s="28">
        <f t="shared" ref="AI8:AI71" si="17">VLOOKUP(A8, disthist, 37, FALSE)*$H$6</f>
        <v>0</v>
      </c>
      <c r="AJ8" s="28"/>
      <c r="AK8" s="28">
        <f t="shared" ref="AK8:AK71" si="18">IFERROR(AD8/O8, 0)</f>
        <v>135.85740236148956</v>
      </c>
      <c r="AL8" s="156"/>
      <c r="AM8" s="6">
        <f t="shared" ref="AM8:AM71" si="19">A8</f>
        <v>1</v>
      </c>
      <c r="AN8" s="6" t="str">
        <f t="shared" ref="AN8:AN71" si="20">B8</f>
        <v xml:space="preserve">Abington                     </v>
      </c>
      <c r="AO8" s="6">
        <f t="shared" ref="AO8:AO71" si="21">C8</f>
        <v>1</v>
      </c>
      <c r="AP8" s="9">
        <f>O8</f>
        <v>2202</v>
      </c>
      <c r="AQ8" s="9">
        <f t="shared" ref="AQ8:AQ71" si="22">I8</f>
        <v>32236384.532019995</v>
      </c>
      <c r="AR8" s="33">
        <f t="shared" ref="AR8:AR71" si="23">J8</f>
        <v>17754107</v>
      </c>
      <c r="AS8" s="33">
        <f t="shared" ref="AS8:AS71" si="24">Y8</f>
        <v>14482278</v>
      </c>
      <c r="AU8" s="28"/>
      <c r="AV8" s="523"/>
      <c r="AW8" s="28"/>
      <c r="AX8" s="28"/>
    </row>
    <row r="9" spans="1:50" ht="15">
      <c r="A9" s="6">
        <v>2</v>
      </c>
      <c r="B9" s="6" t="s">
        <v>1121</v>
      </c>
      <c r="C9" s="7">
        <v>0</v>
      </c>
      <c r="D9" s="9">
        <v>0</v>
      </c>
      <c r="E9" s="9">
        <v>0</v>
      </c>
      <c r="F9" s="9">
        <v>0</v>
      </c>
      <c r="G9" s="348"/>
      <c r="H9" s="111">
        <f t="shared" ref="H9:H72" si="25">F9</f>
        <v>0</v>
      </c>
      <c r="I9" s="9">
        <f t="shared" si="0"/>
        <v>0</v>
      </c>
      <c r="J9" s="33">
        <f>SUMIF(dist1755,A9,prelcont1755)</f>
        <v>0</v>
      </c>
      <c r="K9" s="9">
        <f t="shared" ref="K9:K71" si="26">ROUND(MAX(found-prelcont436,0),0)</f>
        <v>0</v>
      </c>
      <c r="L9" s="112">
        <f t="shared" ref="L9:L71" si="27">IF(foundaid&gt;priorc70,foundaid-priorc70,0)</f>
        <v>0</v>
      </c>
      <c r="M9" s="458">
        <f>ROUND(100-'Townwide Contributions'!L8,2)</f>
        <v>17.5</v>
      </c>
      <c r="N9" s="9">
        <v>0</v>
      </c>
      <c r="O9" s="9">
        <f t="shared" si="2"/>
        <v>0</v>
      </c>
      <c r="P9" s="9">
        <f t="shared" si="3"/>
        <v>0</v>
      </c>
      <c r="Q9" s="28">
        <f t="shared" si="4"/>
        <v>0</v>
      </c>
      <c r="R9" s="382">
        <f t="shared" ref="R9:R71" si="28">IF((foundinc)&lt;Q9,Q9-(foundinc),0)</f>
        <v>0</v>
      </c>
      <c r="S9" s="28">
        <v>0</v>
      </c>
      <c r="T9" s="33">
        <f t="shared" si="5"/>
        <v>0</v>
      </c>
      <c r="U9" s="9">
        <f t="shared" si="6"/>
        <v>0</v>
      </c>
      <c r="V9" s="33">
        <f t="shared" si="7"/>
        <v>0</v>
      </c>
      <c r="W9" s="33">
        <f t="shared" si="8"/>
        <v>0</v>
      </c>
      <c r="X9" s="33">
        <v>0</v>
      </c>
      <c r="Y9" s="113">
        <f t="shared" ref="Y9:Y71" si="29">priorc70+foundinc+minaidadjincrement+minaid-rednonop+holdharmlessaid</f>
        <v>0</v>
      </c>
      <c r="Z9" s="155">
        <f t="shared" si="9"/>
        <v>0</v>
      </c>
      <c r="AA9" s="33">
        <f t="shared" si="10"/>
        <v>0</v>
      </c>
      <c r="AB9" s="114">
        <f t="shared" si="11"/>
        <v>0</v>
      </c>
      <c r="AC9" s="28">
        <f t="shared" si="12"/>
        <v>0</v>
      </c>
      <c r="AD9" s="28">
        <f t="shared" si="13"/>
        <v>0</v>
      </c>
      <c r="AE9" s="28">
        <f t="shared" si="14"/>
        <v>0</v>
      </c>
      <c r="AF9" s="115" t="str">
        <f t="shared" si="15"/>
        <v/>
      </c>
      <c r="AG9" s="28">
        <f t="shared" si="16"/>
        <v>0</v>
      </c>
      <c r="AI9" s="28">
        <f t="shared" si="17"/>
        <v>0</v>
      </c>
      <c r="AJ9" s="28"/>
      <c r="AK9" s="28">
        <f t="shared" si="18"/>
        <v>0</v>
      </c>
      <c r="AL9" s="156"/>
      <c r="AM9" s="6">
        <f t="shared" si="19"/>
        <v>2</v>
      </c>
      <c r="AN9" s="6" t="str">
        <f t="shared" si="20"/>
        <v xml:space="preserve">Acton                        </v>
      </c>
      <c r="AO9" s="6">
        <f t="shared" si="21"/>
        <v>0</v>
      </c>
      <c r="AP9" s="9">
        <f t="shared" ref="AP9:AP72" si="30">O9</f>
        <v>0</v>
      </c>
      <c r="AQ9" s="9">
        <f t="shared" si="22"/>
        <v>0</v>
      </c>
      <c r="AR9" s="33">
        <f t="shared" si="23"/>
        <v>0</v>
      </c>
      <c r="AS9" s="33">
        <f t="shared" si="24"/>
        <v>0</v>
      </c>
      <c r="AU9" s="28"/>
      <c r="AV9" s="523"/>
      <c r="AW9" s="28"/>
      <c r="AX9" s="28"/>
    </row>
    <row r="10" spans="1:50" ht="15">
      <c r="A10" s="6">
        <v>3</v>
      </c>
      <c r="B10" s="6" t="s">
        <v>1122</v>
      </c>
      <c r="C10" s="7">
        <v>1</v>
      </c>
      <c r="D10" s="9">
        <v>15911255.389999999</v>
      </c>
      <c r="E10" s="9">
        <v>8740925</v>
      </c>
      <c r="F10" s="9">
        <v>7170330</v>
      </c>
      <c r="G10" s="348"/>
      <c r="H10" s="111">
        <f t="shared" si="25"/>
        <v>7170330</v>
      </c>
      <c r="I10" s="9">
        <f t="shared" si="0"/>
        <v>15622821.810000001</v>
      </c>
      <c r="J10" s="33">
        <f t="shared" si="1"/>
        <v>8852864</v>
      </c>
      <c r="K10" s="9">
        <f t="shared" si="26"/>
        <v>6769958</v>
      </c>
      <c r="L10" s="112">
        <f t="shared" si="27"/>
        <v>0</v>
      </c>
      <c r="M10" s="458">
        <f>ROUND(100-'Townwide Contributions'!L9,2)</f>
        <v>36.82</v>
      </c>
      <c r="N10" s="9">
        <v>1221</v>
      </c>
      <c r="O10" s="9">
        <f t="shared" si="2"/>
        <v>1173</v>
      </c>
      <c r="P10" s="9">
        <f t="shared" si="3"/>
        <v>0</v>
      </c>
      <c r="Q10" s="28">
        <f t="shared" si="4"/>
        <v>121992</v>
      </c>
      <c r="R10" s="382">
        <f t="shared" si="28"/>
        <v>121992</v>
      </c>
      <c r="S10" s="28">
        <v>7170330</v>
      </c>
      <c r="T10" s="33">
        <f t="shared" si="5"/>
        <v>7205520</v>
      </c>
      <c r="U10" s="9">
        <f t="shared" si="6"/>
        <v>0</v>
      </c>
      <c r="V10" s="33">
        <f t="shared" si="7"/>
        <v>7292322</v>
      </c>
      <c r="W10" s="33">
        <f t="shared" si="8"/>
        <v>0</v>
      </c>
      <c r="X10" s="33">
        <v>0</v>
      </c>
      <c r="Y10" s="113">
        <f t="shared" si="29"/>
        <v>7292322</v>
      </c>
      <c r="Z10" s="155">
        <f t="shared" si="9"/>
        <v>46.677367819251856</v>
      </c>
      <c r="AA10" s="33">
        <f t="shared" si="10"/>
        <v>16145186</v>
      </c>
      <c r="AB10" s="114">
        <f t="shared" si="11"/>
        <v>103.34359692732103</v>
      </c>
      <c r="AC10" s="28">
        <f t="shared" si="12"/>
        <v>-288433.57999999821</v>
      </c>
      <c r="AD10" s="28">
        <f t="shared" si="13"/>
        <v>121992</v>
      </c>
      <c r="AE10" s="28">
        <f t="shared" si="14"/>
        <v>1539999.0095579997</v>
      </c>
      <c r="AF10" s="115">
        <f t="shared" si="15"/>
        <v>9.8573678192518557</v>
      </c>
      <c r="AG10" s="28">
        <f t="shared" si="16"/>
        <v>13318.69</v>
      </c>
      <c r="AI10" s="28">
        <f t="shared" si="17"/>
        <v>0</v>
      </c>
      <c r="AJ10" s="28"/>
      <c r="AK10" s="28">
        <f t="shared" si="18"/>
        <v>104</v>
      </c>
      <c r="AL10" s="156"/>
      <c r="AM10" s="6">
        <f t="shared" si="19"/>
        <v>3</v>
      </c>
      <c r="AN10" s="6" t="str">
        <f t="shared" si="20"/>
        <v xml:space="preserve">Acushnet                     </v>
      </c>
      <c r="AO10" s="6">
        <f t="shared" si="21"/>
        <v>1</v>
      </c>
      <c r="AP10" s="9">
        <f t="shared" si="30"/>
        <v>1173</v>
      </c>
      <c r="AQ10" s="9">
        <f t="shared" si="22"/>
        <v>15622821.810000001</v>
      </c>
      <c r="AR10" s="33">
        <f t="shared" si="23"/>
        <v>8852864</v>
      </c>
      <c r="AS10" s="33">
        <f t="shared" si="24"/>
        <v>7292322</v>
      </c>
      <c r="AU10" s="28"/>
      <c r="AV10" s="523"/>
      <c r="AW10" s="28"/>
      <c r="AX10" s="28"/>
    </row>
    <row r="11" spans="1:50" ht="15">
      <c r="A11" s="6">
        <v>4</v>
      </c>
      <c r="B11" s="6" t="s">
        <v>1123</v>
      </c>
      <c r="C11" s="7">
        <v>0</v>
      </c>
      <c r="D11" s="9">
        <v>0</v>
      </c>
      <c r="E11" s="9">
        <v>0</v>
      </c>
      <c r="F11" s="9">
        <v>0</v>
      </c>
      <c r="G11" s="348"/>
      <c r="H11" s="111">
        <f t="shared" si="25"/>
        <v>0</v>
      </c>
      <c r="I11" s="9">
        <f t="shared" si="0"/>
        <v>0</v>
      </c>
      <c r="J11" s="33">
        <f t="shared" si="1"/>
        <v>0</v>
      </c>
      <c r="K11" s="9">
        <f t="shared" si="26"/>
        <v>0</v>
      </c>
      <c r="L11" s="112">
        <f t="shared" si="27"/>
        <v>0</v>
      </c>
      <c r="M11" s="458">
        <f>ROUND(100-'Townwide Contributions'!L10,2)</f>
        <v>67.77</v>
      </c>
      <c r="N11" s="9">
        <v>0</v>
      </c>
      <c r="O11" s="9">
        <f t="shared" si="2"/>
        <v>0</v>
      </c>
      <c r="P11" s="9">
        <f t="shared" si="3"/>
        <v>0</v>
      </c>
      <c r="Q11" s="28">
        <f t="shared" si="4"/>
        <v>0</v>
      </c>
      <c r="R11" s="382">
        <f t="shared" si="28"/>
        <v>0</v>
      </c>
      <c r="S11" s="28">
        <v>0</v>
      </c>
      <c r="T11" s="33">
        <f t="shared" si="5"/>
        <v>0</v>
      </c>
      <c r="U11" s="9">
        <f t="shared" si="6"/>
        <v>0</v>
      </c>
      <c r="V11" s="33">
        <f t="shared" si="7"/>
        <v>0</v>
      </c>
      <c r="W11" s="33">
        <f t="shared" si="8"/>
        <v>0</v>
      </c>
      <c r="X11" s="33">
        <v>0</v>
      </c>
      <c r="Y11" s="113">
        <f t="shared" si="29"/>
        <v>0</v>
      </c>
      <c r="Z11" s="155">
        <f t="shared" si="9"/>
        <v>0</v>
      </c>
      <c r="AA11" s="33">
        <f t="shared" si="10"/>
        <v>0</v>
      </c>
      <c r="AB11" s="114">
        <f t="shared" si="11"/>
        <v>0</v>
      </c>
      <c r="AC11" s="28">
        <f t="shared" si="12"/>
        <v>0</v>
      </c>
      <c r="AD11" s="28">
        <f t="shared" si="13"/>
        <v>0</v>
      </c>
      <c r="AE11" s="28">
        <f t="shared" si="14"/>
        <v>0</v>
      </c>
      <c r="AF11" s="115" t="str">
        <f t="shared" si="15"/>
        <v/>
      </c>
      <c r="AG11" s="28">
        <f t="shared" si="16"/>
        <v>0</v>
      </c>
      <c r="AI11" s="28">
        <f t="shared" si="17"/>
        <v>0</v>
      </c>
      <c r="AJ11" s="28"/>
      <c r="AK11" s="28">
        <f t="shared" si="18"/>
        <v>0</v>
      </c>
      <c r="AL11" s="156"/>
      <c r="AM11" s="6">
        <f t="shared" si="19"/>
        <v>4</v>
      </c>
      <c r="AN11" s="6" t="str">
        <f t="shared" si="20"/>
        <v xml:space="preserve">Adams                        </v>
      </c>
      <c r="AO11" s="6">
        <f t="shared" si="21"/>
        <v>0</v>
      </c>
      <c r="AP11" s="9">
        <f t="shared" si="30"/>
        <v>0</v>
      </c>
      <c r="AQ11" s="9">
        <f t="shared" si="22"/>
        <v>0</v>
      </c>
      <c r="AR11" s="33">
        <f t="shared" si="23"/>
        <v>0</v>
      </c>
      <c r="AS11" s="33">
        <f t="shared" si="24"/>
        <v>0</v>
      </c>
      <c r="AU11" s="28"/>
      <c r="AV11" s="523"/>
      <c r="AW11" s="28"/>
      <c r="AX11" s="28"/>
    </row>
    <row r="12" spans="1:50" ht="15">
      <c r="A12" s="6">
        <v>5</v>
      </c>
      <c r="B12" s="6" t="s">
        <v>1124</v>
      </c>
      <c r="C12" s="7">
        <v>1</v>
      </c>
      <c r="D12" s="9">
        <v>50397491.299999997</v>
      </c>
      <c r="E12" s="9">
        <v>25373043</v>
      </c>
      <c r="F12" s="9">
        <v>25024448</v>
      </c>
      <c r="G12" s="348"/>
      <c r="H12" s="111">
        <f t="shared" si="25"/>
        <v>25024448</v>
      </c>
      <c r="I12" s="9">
        <f t="shared" si="0"/>
        <v>52988778.250000007</v>
      </c>
      <c r="J12" s="33">
        <f t="shared" si="1"/>
        <v>26903037</v>
      </c>
      <c r="K12" s="9">
        <f t="shared" si="26"/>
        <v>26085741</v>
      </c>
      <c r="L12" s="112">
        <f t="shared" si="27"/>
        <v>1061293</v>
      </c>
      <c r="M12" s="458">
        <f>ROUND(100-'Townwide Contributions'!L11,2)</f>
        <v>46.24</v>
      </c>
      <c r="N12" s="9">
        <v>3421</v>
      </c>
      <c r="O12" s="9">
        <f t="shared" si="2"/>
        <v>3486</v>
      </c>
      <c r="P12" s="9">
        <f t="shared" si="3"/>
        <v>1</v>
      </c>
      <c r="Q12" s="28">
        <f t="shared" si="4"/>
        <v>362544</v>
      </c>
      <c r="R12" s="382">
        <f t="shared" si="28"/>
        <v>0</v>
      </c>
      <c r="S12" s="28">
        <v>25024448</v>
      </c>
      <c r="T12" s="33">
        <f t="shared" si="5"/>
        <v>25129028</v>
      </c>
      <c r="U12" s="9">
        <f t="shared" si="6"/>
        <v>0</v>
      </c>
      <c r="V12" s="33">
        <f t="shared" si="7"/>
        <v>26085741</v>
      </c>
      <c r="W12" s="33">
        <f t="shared" si="8"/>
        <v>0</v>
      </c>
      <c r="X12" s="33">
        <v>0</v>
      </c>
      <c r="Y12" s="113">
        <f t="shared" si="29"/>
        <v>26085741</v>
      </c>
      <c r="Z12" s="155">
        <f t="shared" si="9"/>
        <v>49.228802515370312</v>
      </c>
      <c r="AA12" s="33">
        <f t="shared" si="10"/>
        <v>52988778</v>
      </c>
      <c r="AB12" s="114">
        <f t="shared" si="11"/>
        <v>99.999999528201982</v>
      </c>
      <c r="AC12" s="28">
        <f t="shared" si="12"/>
        <v>2591286.9500000104</v>
      </c>
      <c r="AD12" s="28">
        <f t="shared" si="13"/>
        <v>1061293</v>
      </c>
      <c r="AE12" s="28">
        <f t="shared" si="14"/>
        <v>1583729.9371999949</v>
      </c>
      <c r="AF12" s="115">
        <f t="shared" si="15"/>
        <v>2.9888025153703097</v>
      </c>
      <c r="AG12" s="28">
        <f t="shared" si="16"/>
        <v>15200.45</v>
      </c>
      <c r="AI12" s="28">
        <f t="shared" si="17"/>
        <v>0</v>
      </c>
      <c r="AJ12" s="28"/>
      <c r="AK12" s="28">
        <f t="shared" si="18"/>
        <v>304.4443488238669</v>
      </c>
      <c r="AL12" s="156"/>
      <c r="AM12" s="6">
        <f t="shared" si="19"/>
        <v>5</v>
      </c>
      <c r="AN12" s="6" t="str">
        <f t="shared" si="20"/>
        <v xml:space="preserve">Agawam                       </v>
      </c>
      <c r="AO12" s="6">
        <f t="shared" si="21"/>
        <v>1</v>
      </c>
      <c r="AP12" s="9">
        <f t="shared" si="30"/>
        <v>3486</v>
      </c>
      <c r="AQ12" s="9">
        <f t="shared" si="22"/>
        <v>52988778.250000007</v>
      </c>
      <c r="AR12" s="33">
        <f t="shared" si="23"/>
        <v>26903037</v>
      </c>
      <c r="AS12" s="33">
        <f t="shared" si="24"/>
        <v>26085741</v>
      </c>
      <c r="AU12" s="28"/>
      <c r="AV12" s="523"/>
      <c r="AW12" s="28"/>
      <c r="AX12" s="28"/>
    </row>
    <row r="13" spans="1:50" ht="15">
      <c r="A13" s="6">
        <v>6</v>
      </c>
      <c r="B13" s="6" t="s">
        <v>1125</v>
      </c>
      <c r="C13" s="7">
        <v>0</v>
      </c>
      <c r="D13" s="9">
        <v>0</v>
      </c>
      <c r="E13" s="9">
        <v>0</v>
      </c>
      <c r="F13" s="9">
        <v>0</v>
      </c>
      <c r="G13" s="348"/>
      <c r="H13" s="111">
        <f t="shared" si="25"/>
        <v>0</v>
      </c>
      <c r="I13" s="9">
        <f t="shared" si="0"/>
        <v>0</v>
      </c>
      <c r="J13" s="33">
        <f t="shared" si="1"/>
        <v>0</v>
      </c>
      <c r="K13" s="9">
        <f t="shared" si="26"/>
        <v>0</v>
      </c>
      <c r="L13" s="112">
        <f t="shared" si="27"/>
        <v>0</v>
      </c>
      <c r="M13" s="458">
        <f>ROUND(100-'Townwide Contributions'!L12,2)</f>
        <v>17.5</v>
      </c>
      <c r="N13" s="9">
        <v>0</v>
      </c>
      <c r="O13" s="9">
        <f t="shared" si="2"/>
        <v>0</v>
      </c>
      <c r="P13" s="9">
        <f t="shared" si="3"/>
        <v>0</v>
      </c>
      <c r="Q13" s="28">
        <f t="shared" si="4"/>
        <v>0</v>
      </c>
      <c r="R13" s="382">
        <f t="shared" si="28"/>
        <v>0</v>
      </c>
      <c r="S13" s="28">
        <v>0</v>
      </c>
      <c r="T13" s="33">
        <f t="shared" si="5"/>
        <v>0</v>
      </c>
      <c r="U13" s="9">
        <f t="shared" si="6"/>
        <v>0</v>
      </c>
      <c r="V13" s="33">
        <f t="shared" si="7"/>
        <v>0</v>
      </c>
      <c r="W13" s="33">
        <f t="shared" si="8"/>
        <v>0</v>
      </c>
      <c r="X13" s="33">
        <v>0</v>
      </c>
      <c r="Y13" s="113">
        <f t="shared" si="29"/>
        <v>0</v>
      </c>
      <c r="Z13" s="155">
        <f t="shared" si="9"/>
        <v>0</v>
      </c>
      <c r="AA13" s="33">
        <f t="shared" si="10"/>
        <v>0</v>
      </c>
      <c r="AB13" s="114">
        <f t="shared" si="11"/>
        <v>0</v>
      </c>
      <c r="AC13" s="28">
        <f t="shared" si="12"/>
        <v>0</v>
      </c>
      <c r="AD13" s="28">
        <f t="shared" si="13"/>
        <v>0</v>
      </c>
      <c r="AE13" s="28">
        <f t="shared" si="14"/>
        <v>0</v>
      </c>
      <c r="AF13" s="115" t="str">
        <f t="shared" si="15"/>
        <v/>
      </c>
      <c r="AG13" s="28">
        <f t="shared" si="16"/>
        <v>0</v>
      </c>
      <c r="AI13" s="28">
        <f t="shared" si="17"/>
        <v>0</v>
      </c>
      <c r="AJ13" s="28"/>
      <c r="AK13" s="28">
        <f t="shared" si="18"/>
        <v>0</v>
      </c>
      <c r="AL13" s="156"/>
      <c r="AM13" s="6">
        <f t="shared" si="19"/>
        <v>6</v>
      </c>
      <c r="AN13" s="6" t="str">
        <f t="shared" si="20"/>
        <v xml:space="preserve">Alford                       </v>
      </c>
      <c r="AO13" s="6">
        <f t="shared" si="21"/>
        <v>0</v>
      </c>
      <c r="AP13" s="9">
        <f t="shared" si="30"/>
        <v>0</v>
      </c>
      <c r="AQ13" s="9">
        <f t="shared" si="22"/>
        <v>0</v>
      </c>
      <c r="AR13" s="33">
        <f t="shared" si="23"/>
        <v>0</v>
      </c>
      <c r="AS13" s="33">
        <f t="shared" si="24"/>
        <v>0</v>
      </c>
      <c r="AU13" s="28"/>
      <c r="AV13" s="523"/>
      <c r="AW13" s="28"/>
      <c r="AX13" s="28"/>
    </row>
    <row r="14" spans="1:50" ht="15">
      <c r="A14" s="6">
        <v>7</v>
      </c>
      <c r="B14" s="6" t="s">
        <v>1126</v>
      </c>
      <c r="C14" s="7">
        <v>1</v>
      </c>
      <c r="D14" s="9">
        <v>24965747.029999997</v>
      </c>
      <c r="E14" s="9">
        <v>18234602</v>
      </c>
      <c r="F14" s="9">
        <v>9472287</v>
      </c>
      <c r="G14" s="348"/>
      <c r="H14" s="111">
        <f t="shared" si="25"/>
        <v>9472287</v>
      </c>
      <c r="I14" s="9">
        <f t="shared" si="0"/>
        <v>26495878.260000002</v>
      </c>
      <c r="J14" s="33">
        <f t="shared" si="1"/>
        <v>19160041</v>
      </c>
      <c r="K14" s="9">
        <f t="shared" si="26"/>
        <v>7335837</v>
      </c>
      <c r="L14" s="112">
        <f t="shared" si="27"/>
        <v>0</v>
      </c>
      <c r="M14" s="458">
        <f>ROUND(100-'Townwide Contributions'!L13,2)</f>
        <v>19.36</v>
      </c>
      <c r="N14" s="9">
        <v>1847</v>
      </c>
      <c r="O14" s="9">
        <f t="shared" si="2"/>
        <v>1898</v>
      </c>
      <c r="P14" s="9">
        <f t="shared" si="3"/>
        <v>0</v>
      </c>
      <c r="Q14" s="28">
        <f t="shared" si="4"/>
        <v>197392</v>
      </c>
      <c r="R14" s="382">
        <f t="shared" si="28"/>
        <v>197392</v>
      </c>
      <c r="S14" s="28">
        <v>9472287</v>
      </c>
      <c r="T14" s="33">
        <f t="shared" si="5"/>
        <v>9529227</v>
      </c>
      <c r="U14" s="9">
        <f t="shared" si="6"/>
        <v>0</v>
      </c>
      <c r="V14" s="33">
        <f t="shared" si="7"/>
        <v>9669679</v>
      </c>
      <c r="W14" s="33">
        <f t="shared" si="8"/>
        <v>0</v>
      </c>
      <c r="X14" s="33">
        <v>0</v>
      </c>
      <c r="Y14" s="113">
        <f t="shared" si="29"/>
        <v>9669679</v>
      </c>
      <c r="Z14" s="155">
        <f t="shared" si="9"/>
        <v>36.495031057709873</v>
      </c>
      <c r="AA14" s="33">
        <f t="shared" si="10"/>
        <v>28829720</v>
      </c>
      <c r="AB14" s="114">
        <f t="shared" si="11"/>
        <v>108.80831998508737</v>
      </c>
      <c r="AC14" s="28">
        <f t="shared" si="12"/>
        <v>1530131.2300000042</v>
      </c>
      <c r="AD14" s="28">
        <f t="shared" si="13"/>
        <v>197392</v>
      </c>
      <c r="AE14" s="28">
        <f t="shared" si="14"/>
        <v>4540076.9688639995</v>
      </c>
      <c r="AF14" s="115">
        <f t="shared" si="15"/>
        <v>17.135031057709874</v>
      </c>
      <c r="AG14" s="28">
        <f t="shared" si="16"/>
        <v>13959.89</v>
      </c>
      <c r="AI14" s="28">
        <f t="shared" si="17"/>
        <v>0</v>
      </c>
      <c r="AJ14" s="28"/>
      <c r="AK14" s="28">
        <f t="shared" si="18"/>
        <v>104</v>
      </c>
      <c r="AL14" s="156"/>
      <c r="AM14" s="6">
        <f t="shared" si="19"/>
        <v>7</v>
      </c>
      <c r="AN14" s="6" t="str">
        <f t="shared" si="20"/>
        <v xml:space="preserve">Amesbury                     </v>
      </c>
      <c r="AO14" s="6">
        <f t="shared" si="21"/>
        <v>1</v>
      </c>
      <c r="AP14" s="9">
        <f t="shared" si="30"/>
        <v>1898</v>
      </c>
      <c r="AQ14" s="9">
        <f t="shared" si="22"/>
        <v>26495878.260000002</v>
      </c>
      <c r="AR14" s="33">
        <f t="shared" si="23"/>
        <v>19160041</v>
      </c>
      <c r="AS14" s="33">
        <f t="shared" si="24"/>
        <v>9669679</v>
      </c>
      <c r="AU14" s="28"/>
      <c r="AV14" s="523"/>
      <c r="AW14" s="28"/>
      <c r="AX14" s="28"/>
    </row>
    <row r="15" spans="1:50" ht="15">
      <c r="A15" s="6">
        <v>8</v>
      </c>
      <c r="B15" s="6" t="s">
        <v>1127</v>
      </c>
      <c r="C15" s="7">
        <v>1</v>
      </c>
      <c r="D15" s="9">
        <v>14207190.940000001</v>
      </c>
      <c r="E15" s="9">
        <v>11168148</v>
      </c>
      <c r="F15" s="9">
        <v>6280773</v>
      </c>
      <c r="G15" s="348"/>
      <c r="H15" s="111">
        <f t="shared" si="25"/>
        <v>6280773</v>
      </c>
      <c r="I15" s="9">
        <f t="shared" si="0"/>
        <v>13476149.789999999</v>
      </c>
      <c r="J15" s="33">
        <f t="shared" si="1"/>
        <v>11117824</v>
      </c>
      <c r="K15" s="9">
        <f t="shared" si="26"/>
        <v>2358326</v>
      </c>
      <c r="L15" s="112">
        <f t="shared" si="27"/>
        <v>0</v>
      </c>
      <c r="M15" s="458">
        <f>ROUND(100-'Townwide Contributions'!L14,2)</f>
        <v>17.5</v>
      </c>
      <c r="N15" s="9">
        <v>1055</v>
      </c>
      <c r="O15" s="9">
        <f t="shared" si="2"/>
        <v>984</v>
      </c>
      <c r="P15" s="9">
        <f t="shared" si="3"/>
        <v>0</v>
      </c>
      <c r="Q15" s="28">
        <f t="shared" si="4"/>
        <v>102336</v>
      </c>
      <c r="R15" s="382">
        <f t="shared" si="28"/>
        <v>102336</v>
      </c>
      <c r="S15" s="28">
        <v>6280773</v>
      </c>
      <c r="T15" s="33">
        <f t="shared" si="5"/>
        <v>6310293</v>
      </c>
      <c r="U15" s="9">
        <f t="shared" si="6"/>
        <v>0</v>
      </c>
      <c r="V15" s="33">
        <f t="shared" si="7"/>
        <v>6383109</v>
      </c>
      <c r="W15" s="33">
        <f t="shared" si="8"/>
        <v>0</v>
      </c>
      <c r="X15" s="33">
        <v>0</v>
      </c>
      <c r="Y15" s="113">
        <f t="shared" si="29"/>
        <v>6383109</v>
      </c>
      <c r="Z15" s="155">
        <f t="shared" si="9"/>
        <v>47.365969505151959</v>
      </c>
      <c r="AA15" s="33">
        <f t="shared" si="10"/>
        <v>17500933</v>
      </c>
      <c r="AB15" s="114">
        <f t="shared" si="11"/>
        <v>129.86597264588585</v>
      </c>
      <c r="AC15" s="28">
        <f t="shared" si="12"/>
        <v>-731041.15000000224</v>
      </c>
      <c r="AD15" s="28">
        <f t="shared" si="13"/>
        <v>102336</v>
      </c>
      <c r="AE15" s="28">
        <f t="shared" si="14"/>
        <v>4024782.7867500004</v>
      </c>
      <c r="AF15" s="115">
        <f t="shared" si="15"/>
        <v>29.865969505151959</v>
      </c>
      <c r="AG15" s="28">
        <f t="shared" si="16"/>
        <v>13695.27</v>
      </c>
      <c r="AI15" s="28">
        <f t="shared" si="17"/>
        <v>0</v>
      </c>
      <c r="AJ15" s="28"/>
      <c r="AK15" s="28">
        <f t="shared" si="18"/>
        <v>104</v>
      </c>
      <c r="AL15" s="156"/>
      <c r="AM15" s="6">
        <f t="shared" si="19"/>
        <v>8</v>
      </c>
      <c r="AN15" s="6" t="str">
        <f t="shared" si="20"/>
        <v xml:space="preserve">Amherst                      </v>
      </c>
      <c r="AO15" s="6">
        <f t="shared" si="21"/>
        <v>1</v>
      </c>
      <c r="AP15" s="9">
        <f t="shared" si="30"/>
        <v>984</v>
      </c>
      <c r="AQ15" s="9">
        <f t="shared" si="22"/>
        <v>13476149.789999999</v>
      </c>
      <c r="AR15" s="33">
        <f t="shared" si="23"/>
        <v>11117824</v>
      </c>
      <c r="AS15" s="33">
        <f t="shared" si="24"/>
        <v>6383109</v>
      </c>
      <c r="AU15" s="28"/>
      <c r="AV15" s="523"/>
      <c r="AW15" s="28"/>
      <c r="AX15" s="28"/>
    </row>
    <row r="16" spans="1:50" ht="15">
      <c r="A16" s="6">
        <v>9</v>
      </c>
      <c r="B16" s="6" t="s">
        <v>1128</v>
      </c>
      <c r="C16" s="7">
        <v>1</v>
      </c>
      <c r="D16" s="9">
        <v>72244408.493600011</v>
      </c>
      <c r="E16" s="9">
        <v>58293608</v>
      </c>
      <c r="F16" s="9">
        <v>13950800</v>
      </c>
      <c r="G16" s="348"/>
      <c r="H16" s="111">
        <f t="shared" si="25"/>
        <v>13950800</v>
      </c>
      <c r="I16" s="9">
        <f t="shared" si="0"/>
        <v>72595075.473940015</v>
      </c>
      <c r="J16" s="33">
        <f t="shared" si="1"/>
        <v>59890937</v>
      </c>
      <c r="K16" s="9">
        <f t="shared" si="26"/>
        <v>12704138</v>
      </c>
      <c r="L16" s="112">
        <f t="shared" si="27"/>
        <v>0</v>
      </c>
      <c r="M16" s="458">
        <f>ROUND(100-'Townwide Contributions'!L15,2)</f>
        <v>17.5</v>
      </c>
      <c r="N16" s="9">
        <v>5554</v>
      </c>
      <c r="O16" s="9">
        <f t="shared" si="2"/>
        <v>5465</v>
      </c>
      <c r="P16" s="9">
        <f t="shared" si="3"/>
        <v>0</v>
      </c>
      <c r="Q16" s="28">
        <f t="shared" si="4"/>
        <v>568360</v>
      </c>
      <c r="R16" s="382">
        <f t="shared" si="28"/>
        <v>568360</v>
      </c>
      <c r="S16" s="28">
        <v>13950800</v>
      </c>
      <c r="T16" s="33">
        <f t="shared" si="5"/>
        <v>14114750</v>
      </c>
      <c r="U16" s="9">
        <f t="shared" si="6"/>
        <v>0</v>
      </c>
      <c r="V16" s="33">
        <f t="shared" si="7"/>
        <v>14519160</v>
      </c>
      <c r="W16" s="33">
        <f t="shared" si="8"/>
        <v>0</v>
      </c>
      <c r="X16" s="33">
        <v>0</v>
      </c>
      <c r="Y16" s="113">
        <f t="shared" si="29"/>
        <v>14519160</v>
      </c>
      <c r="Z16" s="155">
        <f t="shared" si="9"/>
        <v>20.000199607495482</v>
      </c>
      <c r="AA16" s="33">
        <f t="shared" si="10"/>
        <v>74410097</v>
      </c>
      <c r="AB16" s="114">
        <f t="shared" si="11"/>
        <v>102.50019924107873</v>
      </c>
      <c r="AC16" s="28">
        <f t="shared" si="12"/>
        <v>350666.98034000397</v>
      </c>
      <c r="AD16" s="28">
        <f t="shared" si="13"/>
        <v>568360</v>
      </c>
      <c r="AE16" s="28">
        <f t="shared" si="14"/>
        <v>1815021.7920604981</v>
      </c>
      <c r="AF16" s="115">
        <f t="shared" si="15"/>
        <v>2.5001996074954818</v>
      </c>
      <c r="AG16" s="28">
        <f t="shared" si="16"/>
        <v>13283.64</v>
      </c>
      <c r="AI16" s="28">
        <f t="shared" si="17"/>
        <v>0</v>
      </c>
      <c r="AJ16" s="28"/>
      <c r="AK16" s="28">
        <f t="shared" si="18"/>
        <v>104</v>
      </c>
      <c r="AL16" s="156"/>
      <c r="AM16" s="6">
        <f t="shared" si="19"/>
        <v>9</v>
      </c>
      <c r="AN16" s="6" t="str">
        <f t="shared" si="20"/>
        <v xml:space="preserve">Andover                      </v>
      </c>
      <c r="AO16" s="6">
        <f t="shared" si="21"/>
        <v>1</v>
      </c>
      <c r="AP16" s="9">
        <f t="shared" si="30"/>
        <v>5465</v>
      </c>
      <c r="AQ16" s="9">
        <f t="shared" si="22"/>
        <v>72595075.473940015</v>
      </c>
      <c r="AR16" s="33">
        <f t="shared" si="23"/>
        <v>59890937</v>
      </c>
      <c r="AS16" s="33">
        <f t="shared" si="24"/>
        <v>14519160</v>
      </c>
      <c r="AU16" s="28"/>
      <c r="AV16" s="523"/>
      <c r="AW16" s="28"/>
      <c r="AX16" s="28"/>
    </row>
    <row r="17" spans="1:49">
      <c r="A17" s="6">
        <v>10</v>
      </c>
      <c r="B17" s="6" t="s">
        <v>1129</v>
      </c>
      <c r="C17" s="7">
        <v>1</v>
      </c>
      <c r="D17" s="9">
        <v>74896748.635400012</v>
      </c>
      <c r="E17" s="9">
        <v>56193340</v>
      </c>
      <c r="F17" s="9">
        <v>18703409</v>
      </c>
      <c r="G17" s="348"/>
      <c r="H17" s="111">
        <f t="shared" si="25"/>
        <v>18703409</v>
      </c>
      <c r="I17" s="9">
        <f t="shared" si="0"/>
        <v>77449420.442229986</v>
      </c>
      <c r="J17" s="33">
        <f t="shared" si="1"/>
        <v>58893679</v>
      </c>
      <c r="K17" s="9">
        <f t="shared" si="26"/>
        <v>18555741</v>
      </c>
      <c r="L17" s="112">
        <f t="shared" si="27"/>
        <v>0</v>
      </c>
      <c r="M17" s="458">
        <f>ROUND(100-'Townwide Contributions'!L16,2)</f>
        <v>17.5</v>
      </c>
      <c r="N17" s="9">
        <v>6002</v>
      </c>
      <c r="O17" s="9">
        <f t="shared" si="2"/>
        <v>6021</v>
      </c>
      <c r="P17" s="9">
        <f t="shared" si="3"/>
        <v>0</v>
      </c>
      <c r="Q17" s="28">
        <f t="shared" si="4"/>
        <v>626184</v>
      </c>
      <c r="R17" s="382">
        <f t="shared" si="28"/>
        <v>626184</v>
      </c>
      <c r="S17" s="28">
        <v>18703409</v>
      </c>
      <c r="T17" s="33">
        <f t="shared" si="5"/>
        <v>18884039</v>
      </c>
      <c r="U17" s="9">
        <f t="shared" si="6"/>
        <v>0</v>
      </c>
      <c r="V17" s="33">
        <f t="shared" si="7"/>
        <v>19329593</v>
      </c>
      <c r="W17" s="33">
        <f t="shared" si="8"/>
        <v>0</v>
      </c>
      <c r="X17" s="33">
        <v>0</v>
      </c>
      <c r="Y17" s="113">
        <f t="shared" si="29"/>
        <v>19329593</v>
      </c>
      <c r="Z17" s="155">
        <f t="shared" si="9"/>
        <v>24.957698701461641</v>
      </c>
      <c r="AA17" s="33">
        <f>prelcont436+chapter70</f>
        <v>78223272</v>
      </c>
      <c r="AB17" s="114">
        <f t="shared" si="11"/>
        <v>100.99917023697709</v>
      </c>
      <c r="AC17" s="28">
        <f t="shared" si="12"/>
        <v>2552671.8068299741</v>
      </c>
      <c r="AD17" s="28">
        <f t="shared" si="13"/>
        <v>626184</v>
      </c>
      <c r="AE17" s="28">
        <f t="shared" si="14"/>
        <v>5775944.4226097539</v>
      </c>
      <c r="AF17" s="115">
        <f t="shared" si="15"/>
        <v>7.4576987014616414</v>
      </c>
      <c r="AG17" s="28">
        <f t="shared" si="16"/>
        <v>12863.22</v>
      </c>
      <c r="AI17" s="28">
        <f t="shared" si="17"/>
        <v>0</v>
      </c>
      <c r="AJ17" s="28"/>
      <c r="AK17" s="28">
        <f t="shared" si="18"/>
        <v>104</v>
      </c>
      <c r="AL17" s="156"/>
      <c r="AM17" s="6">
        <f t="shared" si="19"/>
        <v>10</v>
      </c>
      <c r="AN17" s="6" t="str">
        <f t="shared" si="20"/>
        <v xml:space="preserve">Arlington                    </v>
      </c>
      <c r="AO17" s="6">
        <f t="shared" si="21"/>
        <v>1</v>
      </c>
      <c r="AP17" s="9">
        <f t="shared" si="30"/>
        <v>6021</v>
      </c>
      <c r="AQ17" s="9">
        <f t="shared" si="22"/>
        <v>77449420.442229986</v>
      </c>
      <c r="AR17" s="33">
        <f t="shared" si="23"/>
        <v>58893679</v>
      </c>
      <c r="AS17" s="33">
        <f t="shared" si="24"/>
        <v>19329593</v>
      </c>
      <c r="AU17" s="28"/>
      <c r="AV17" s="9"/>
      <c r="AW17" s="519"/>
    </row>
    <row r="18" spans="1:49">
      <c r="A18" s="6">
        <v>11</v>
      </c>
      <c r="B18" s="6" t="s">
        <v>1130</v>
      </c>
      <c r="C18" s="7">
        <v>0</v>
      </c>
      <c r="D18" s="9">
        <v>0</v>
      </c>
      <c r="E18" s="9">
        <v>0</v>
      </c>
      <c r="F18" s="9">
        <v>0</v>
      </c>
      <c r="G18" s="348"/>
      <c r="H18" s="111">
        <f t="shared" si="25"/>
        <v>0</v>
      </c>
      <c r="I18" s="9">
        <f t="shared" si="0"/>
        <v>0</v>
      </c>
      <c r="J18" s="33">
        <f t="shared" si="1"/>
        <v>0</v>
      </c>
      <c r="K18" s="9">
        <f t="shared" si="26"/>
        <v>0</v>
      </c>
      <c r="L18" s="112">
        <f t="shared" si="27"/>
        <v>0</v>
      </c>
      <c r="M18" s="458">
        <f>ROUND(100-'Townwide Contributions'!L17,2)</f>
        <v>51.52</v>
      </c>
      <c r="N18" s="9">
        <v>0</v>
      </c>
      <c r="O18" s="9">
        <f t="shared" si="2"/>
        <v>0</v>
      </c>
      <c r="P18" s="9">
        <f t="shared" si="3"/>
        <v>0</v>
      </c>
      <c r="Q18" s="28">
        <f t="shared" si="4"/>
        <v>0</v>
      </c>
      <c r="R18" s="382">
        <f t="shared" si="28"/>
        <v>0</v>
      </c>
      <c r="S18" s="28">
        <v>0</v>
      </c>
      <c r="T18" s="33">
        <f t="shared" si="5"/>
        <v>0</v>
      </c>
      <c r="U18" s="9">
        <f t="shared" si="6"/>
        <v>0</v>
      </c>
      <c r="V18" s="33">
        <f t="shared" si="7"/>
        <v>0</v>
      </c>
      <c r="W18" s="33">
        <f t="shared" si="8"/>
        <v>0</v>
      </c>
      <c r="X18" s="33">
        <v>0</v>
      </c>
      <c r="Y18" s="113">
        <f t="shared" si="29"/>
        <v>0</v>
      </c>
      <c r="Z18" s="155">
        <f t="shared" si="9"/>
        <v>0</v>
      </c>
      <c r="AA18" s="33">
        <f t="shared" si="10"/>
        <v>0</v>
      </c>
      <c r="AB18" s="114">
        <f t="shared" si="11"/>
        <v>0</v>
      </c>
      <c r="AC18" s="28">
        <f t="shared" si="12"/>
        <v>0</v>
      </c>
      <c r="AD18" s="28">
        <f t="shared" si="13"/>
        <v>0</v>
      </c>
      <c r="AE18" s="28">
        <f t="shared" si="14"/>
        <v>0</v>
      </c>
      <c r="AF18" s="115" t="str">
        <f t="shared" si="15"/>
        <v/>
      </c>
      <c r="AG18" s="28">
        <f t="shared" si="16"/>
        <v>0</v>
      </c>
      <c r="AI18" s="28">
        <f t="shared" si="17"/>
        <v>0</v>
      </c>
      <c r="AJ18" s="28"/>
      <c r="AK18" s="28">
        <f t="shared" si="18"/>
        <v>0</v>
      </c>
      <c r="AL18" s="156"/>
      <c r="AM18" s="6">
        <f t="shared" si="19"/>
        <v>11</v>
      </c>
      <c r="AN18" s="6" t="str">
        <f t="shared" si="20"/>
        <v xml:space="preserve">Ashburnham                   </v>
      </c>
      <c r="AO18" s="6">
        <f t="shared" si="21"/>
        <v>0</v>
      </c>
      <c r="AP18" s="9">
        <f t="shared" si="30"/>
        <v>0</v>
      </c>
      <c r="AQ18" s="9">
        <f t="shared" si="22"/>
        <v>0</v>
      </c>
      <c r="AR18" s="33">
        <f t="shared" si="23"/>
        <v>0</v>
      </c>
      <c r="AS18" s="33">
        <f t="shared" si="24"/>
        <v>0</v>
      </c>
      <c r="AU18" s="28"/>
      <c r="AW18" s="519"/>
    </row>
    <row r="19" spans="1:49">
      <c r="A19" s="6">
        <v>12</v>
      </c>
      <c r="B19" s="6" t="s">
        <v>1131</v>
      </c>
      <c r="C19" s="7">
        <v>0</v>
      </c>
      <c r="D19" s="9">
        <v>0</v>
      </c>
      <c r="E19" s="9">
        <v>0</v>
      </c>
      <c r="F19" s="9">
        <v>0</v>
      </c>
      <c r="G19" s="348"/>
      <c r="H19" s="111">
        <f t="shared" si="25"/>
        <v>0</v>
      </c>
      <c r="I19" s="9">
        <f t="shared" si="0"/>
        <v>0</v>
      </c>
      <c r="J19" s="33">
        <f t="shared" si="1"/>
        <v>0</v>
      </c>
      <c r="K19" s="9">
        <f t="shared" si="26"/>
        <v>0</v>
      </c>
      <c r="L19" s="112">
        <f t="shared" si="27"/>
        <v>0</v>
      </c>
      <c r="M19" s="458">
        <f>ROUND(100-'Townwide Contributions'!L18,2)</f>
        <v>44.71</v>
      </c>
      <c r="N19" s="9">
        <v>0</v>
      </c>
      <c r="O19" s="9">
        <f t="shared" si="2"/>
        <v>0</v>
      </c>
      <c r="P19" s="9">
        <f t="shared" si="3"/>
        <v>0</v>
      </c>
      <c r="Q19" s="28">
        <f t="shared" si="4"/>
        <v>0</v>
      </c>
      <c r="R19" s="382">
        <f t="shared" si="28"/>
        <v>0</v>
      </c>
      <c r="S19" s="28">
        <v>0</v>
      </c>
      <c r="T19" s="33">
        <f t="shared" si="5"/>
        <v>0</v>
      </c>
      <c r="U19" s="9">
        <f t="shared" si="6"/>
        <v>0</v>
      </c>
      <c r="V19" s="33">
        <f t="shared" si="7"/>
        <v>0</v>
      </c>
      <c r="W19" s="33">
        <f t="shared" si="8"/>
        <v>0</v>
      </c>
      <c r="X19" s="33">
        <v>0</v>
      </c>
      <c r="Y19" s="113">
        <f t="shared" si="29"/>
        <v>0</v>
      </c>
      <c r="Z19" s="155">
        <f t="shared" si="9"/>
        <v>0</v>
      </c>
      <c r="AA19" s="33">
        <f t="shared" si="10"/>
        <v>0</v>
      </c>
      <c r="AB19" s="114">
        <f t="shared" si="11"/>
        <v>0</v>
      </c>
      <c r="AC19" s="28">
        <f t="shared" si="12"/>
        <v>0</v>
      </c>
      <c r="AD19" s="28">
        <f t="shared" si="13"/>
        <v>0</v>
      </c>
      <c r="AE19" s="28">
        <f t="shared" si="14"/>
        <v>0</v>
      </c>
      <c r="AF19" s="115" t="str">
        <f t="shared" si="15"/>
        <v/>
      </c>
      <c r="AG19" s="28">
        <f t="shared" si="16"/>
        <v>0</v>
      </c>
      <c r="AI19" s="28">
        <f t="shared" si="17"/>
        <v>0</v>
      </c>
      <c r="AJ19" s="28"/>
      <c r="AK19" s="28">
        <f t="shared" si="18"/>
        <v>0</v>
      </c>
      <c r="AL19" s="156"/>
      <c r="AM19" s="6">
        <f t="shared" si="19"/>
        <v>12</v>
      </c>
      <c r="AN19" s="6" t="str">
        <f t="shared" si="20"/>
        <v xml:space="preserve">Ashby                        </v>
      </c>
      <c r="AO19" s="6">
        <f t="shared" si="21"/>
        <v>0</v>
      </c>
      <c r="AP19" s="9">
        <f t="shared" si="30"/>
        <v>0</v>
      </c>
      <c r="AQ19" s="9">
        <f t="shared" si="22"/>
        <v>0</v>
      </c>
      <c r="AR19" s="33">
        <f t="shared" si="23"/>
        <v>0</v>
      </c>
      <c r="AS19" s="33">
        <f t="shared" si="24"/>
        <v>0</v>
      </c>
      <c r="AU19" s="28"/>
      <c r="AW19" s="519"/>
    </row>
    <row r="20" spans="1:49">
      <c r="A20" s="6">
        <v>13</v>
      </c>
      <c r="B20" s="6" t="s">
        <v>1132</v>
      </c>
      <c r="C20" s="7">
        <v>0</v>
      </c>
      <c r="D20" s="9">
        <v>245151</v>
      </c>
      <c r="E20" s="9">
        <v>179015</v>
      </c>
      <c r="F20" s="9">
        <v>93683</v>
      </c>
      <c r="G20" s="348"/>
      <c r="H20" s="111">
        <f t="shared" si="25"/>
        <v>93683</v>
      </c>
      <c r="I20" s="9">
        <f t="shared" si="0"/>
        <v>216797.25000000006</v>
      </c>
      <c r="J20" s="33">
        <f t="shared" si="1"/>
        <v>158626</v>
      </c>
      <c r="K20" s="9">
        <f t="shared" si="26"/>
        <v>58171</v>
      </c>
      <c r="L20" s="112">
        <f t="shared" si="27"/>
        <v>0</v>
      </c>
      <c r="M20" s="458">
        <f>ROUND(100-'Townwide Contributions'!L19,2)</f>
        <v>17.5</v>
      </c>
      <c r="N20" s="9">
        <v>13</v>
      </c>
      <c r="O20" s="9">
        <f t="shared" si="2"/>
        <v>11</v>
      </c>
      <c r="P20" s="9">
        <f t="shared" si="3"/>
        <v>0</v>
      </c>
      <c r="Q20" s="28">
        <f t="shared" si="4"/>
        <v>0</v>
      </c>
      <c r="R20" s="382">
        <f t="shared" si="28"/>
        <v>0</v>
      </c>
      <c r="S20" s="28">
        <v>93683</v>
      </c>
      <c r="T20" s="33">
        <f t="shared" si="5"/>
        <v>94013</v>
      </c>
      <c r="U20" s="9">
        <f t="shared" si="6"/>
        <v>0</v>
      </c>
      <c r="V20" s="33">
        <f t="shared" si="7"/>
        <v>93683</v>
      </c>
      <c r="W20" s="33">
        <f t="shared" si="8"/>
        <v>0</v>
      </c>
      <c r="X20" s="33">
        <v>0</v>
      </c>
      <c r="Y20" s="113">
        <f t="shared" si="29"/>
        <v>93683</v>
      </c>
      <c r="Z20" s="155">
        <f t="shared" si="9"/>
        <v>0</v>
      </c>
      <c r="AA20" s="33">
        <f t="shared" si="10"/>
        <v>252309</v>
      </c>
      <c r="AB20" s="114">
        <f t="shared" si="11"/>
        <v>116.380166261334</v>
      </c>
      <c r="AC20" s="28">
        <f t="shared" si="12"/>
        <v>-28353.749999999942</v>
      </c>
      <c r="AD20" s="28">
        <f t="shared" si="13"/>
        <v>0</v>
      </c>
      <c r="AE20" s="28">
        <f t="shared" si="14"/>
        <v>55743.48124999999</v>
      </c>
      <c r="AF20" s="115" t="str">
        <f t="shared" si="15"/>
        <v/>
      </c>
      <c r="AG20" s="28">
        <f t="shared" si="16"/>
        <v>19708.84</v>
      </c>
      <c r="AI20" s="28">
        <f t="shared" si="17"/>
        <v>0</v>
      </c>
      <c r="AJ20" s="28"/>
      <c r="AK20" s="28">
        <f t="shared" si="18"/>
        <v>0</v>
      </c>
      <c r="AL20" s="156"/>
      <c r="AM20" s="6">
        <f t="shared" si="19"/>
        <v>13</v>
      </c>
      <c r="AN20" s="6" t="str">
        <f t="shared" si="20"/>
        <v xml:space="preserve">Ashfield                     </v>
      </c>
      <c r="AO20" s="6">
        <f t="shared" si="21"/>
        <v>0</v>
      </c>
      <c r="AP20" s="9">
        <f t="shared" si="30"/>
        <v>11</v>
      </c>
      <c r="AQ20" s="9">
        <f t="shared" si="22"/>
        <v>216797.25000000006</v>
      </c>
      <c r="AR20" s="33">
        <f t="shared" si="23"/>
        <v>158626</v>
      </c>
      <c r="AS20" s="33">
        <f t="shared" si="24"/>
        <v>93683</v>
      </c>
      <c r="AU20" s="28"/>
      <c r="AV20" s="9"/>
      <c r="AW20" s="519"/>
    </row>
    <row r="21" spans="1:49">
      <c r="A21" s="6">
        <v>14</v>
      </c>
      <c r="B21" s="6" t="s">
        <v>1133</v>
      </c>
      <c r="C21" s="7">
        <v>1</v>
      </c>
      <c r="D21" s="9">
        <v>36758230.609999992</v>
      </c>
      <c r="E21" s="9">
        <v>25484731</v>
      </c>
      <c r="F21" s="9">
        <v>11273500</v>
      </c>
      <c r="G21" s="348"/>
      <c r="H21" s="111">
        <f t="shared" si="25"/>
        <v>11273500</v>
      </c>
      <c r="I21" s="9">
        <f t="shared" si="0"/>
        <v>37765344.57</v>
      </c>
      <c r="J21" s="33">
        <f t="shared" si="1"/>
        <v>26791174</v>
      </c>
      <c r="K21" s="9">
        <f t="shared" si="26"/>
        <v>10974171</v>
      </c>
      <c r="L21" s="112">
        <f t="shared" si="27"/>
        <v>0</v>
      </c>
      <c r="M21" s="458">
        <f>ROUND(100-'Townwide Contributions'!L20,2)</f>
        <v>18.45</v>
      </c>
      <c r="N21" s="9">
        <v>2839</v>
      </c>
      <c r="O21" s="9">
        <f t="shared" si="2"/>
        <v>2857</v>
      </c>
      <c r="P21" s="9">
        <f t="shared" si="3"/>
        <v>0</v>
      </c>
      <c r="Q21" s="28">
        <f t="shared" si="4"/>
        <v>297128</v>
      </c>
      <c r="R21" s="382">
        <f t="shared" si="28"/>
        <v>297128</v>
      </c>
      <c r="S21" s="28">
        <v>11273500</v>
      </c>
      <c r="T21" s="33">
        <f t="shared" si="5"/>
        <v>11359210</v>
      </c>
      <c r="U21" s="9">
        <f t="shared" si="6"/>
        <v>0</v>
      </c>
      <c r="V21" s="33">
        <f t="shared" si="7"/>
        <v>11570628</v>
      </c>
      <c r="W21" s="33">
        <f t="shared" si="8"/>
        <v>0</v>
      </c>
      <c r="X21" s="33">
        <v>0</v>
      </c>
      <c r="Y21" s="113">
        <f t="shared" si="29"/>
        <v>11570628</v>
      </c>
      <c r="Z21" s="155">
        <f t="shared" si="9"/>
        <v>30.638216417046714</v>
      </c>
      <c r="AA21" s="33">
        <f t="shared" si="10"/>
        <v>38361802</v>
      </c>
      <c r="AB21" s="114">
        <f t="shared" si="11"/>
        <v>101.57937769876411</v>
      </c>
      <c r="AC21" s="28">
        <f t="shared" si="12"/>
        <v>1007113.9600000083</v>
      </c>
      <c r="AD21" s="28">
        <f t="shared" si="13"/>
        <v>297128</v>
      </c>
      <c r="AE21" s="28">
        <f t="shared" si="14"/>
        <v>4602921.9268349996</v>
      </c>
      <c r="AF21" s="115">
        <f t="shared" si="15"/>
        <v>12.188216417046714</v>
      </c>
      <c r="AG21" s="28">
        <f t="shared" si="16"/>
        <v>13218.53</v>
      </c>
      <c r="AI21" s="28">
        <f t="shared" si="17"/>
        <v>0</v>
      </c>
      <c r="AJ21" s="28"/>
      <c r="AK21" s="28">
        <f t="shared" si="18"/>
        <v>104</v>
      </c>
      <c r="AL21" s="156"/>
      <c r="AM21" s="6">
        <f t="shared" si="19"/>
        <v>14</v>
      </c>
      <c r="AN21" s="6" t="str">
        <f t="shared" si="20"/>
        <v xml:space="preserve">Ashland                      </v>
      </c>
      <c r="AO21" s="6">
        <f t="shared" si="21"/>
        <v>1</v>
      </c>
      <c r="AP21" s="9">
        <f t="shared" si="30"/>
        <v>2857</v>
      </c>
      <c r="AQ21" s="9">
        <f t="shared" si="22"/>
        <v>37765344.57</v>
      </c>
      <c r="AR21" s="33">
        <f t="shared" si="23"/>
        <v>26791174</v>
      </c>
      <c r="AS21" s="33">
        <f t="shared" si="24"/>
        <v>11570628</v>
      </c>
      <c r="AU21" s="28"/>
      <c r="AV21" s="9"/>
      <c r="AW21" s="519"/>
    </row>
    <row r="22" spans="1:49">
      <c r="A22" s="6">
        <v>15</v>
      </c>
      <c r="B22" s="6" t="s">
        <v>1134</v>
      </c>
      <c r="C22" s="7">
        <v>0</v>
      </c>
      <c r="D22" s="9">
        <v>0</v>
      </c>
      <c r="E22" s="9">
        <v>0</v>
      </c>
      <c r="F22" s="9">
        <v>0</v>
      </c>
      <c r="G22" s="348"/>
      <c r="H22" s="111">
        <f t="shared" si="25"/>
        <v>0</v>
      </c>
      <c r="I22" s="9">
        <f t="shared" si="0"/>
        <v>0</v>
      </c>
      <c r="J22" s="33">
        <f t="shared" si="1"/>
        <v>0</v>
      </c>
      <c r="K22" s="9">
        <f t="shared" si="26"/>
        <v>0</v>
      </c>
      <c r="L22" s="112">
        <f t="shared" si="27"/>
        <v>0</v>
      </c>
      <c r="M22" s="458">
        <f>ROUND(100-'Townwide Contributions'!L21,2)</f>
        <v>70.94</v>
      </c>
      <c r="N22" s="9">
        <v>0</v>
      </c>
      <c r="O22" s="9">
        <f t="shared" si="2"/>
        <v>0</v>
      </c>
      <c r="P22" s="9">
        <f t="shared" si="3"/>
        <v>0</v>
      </c>
      <c r="Q22" s="28">
        <f t="shared" si="4"/>
        <v>0</v>
      </c>
      <c r="R22" s="382">
        <f t="shared" si="28"/>
        <v>0</v>
      </c>
      <c r="S22" s="28">
        <v>0</v>
      </c>
      <c r="T22" s="33">
        <f t="shared" si="5"/>
        <v>0</v>
      </c>
      <c r="U22" s="9">
        <f t="shared" si="6"/>
        <v>0</v>
      </c>
      <c r="V22" s="33">
        <f t="shared" si="7"/>
        <v>0</v>
      </c>
      <c r="W22" s="33">
        <f t="shared" si="8"/>
        <v>0</v>
      </c>
      <c r="X22" s="33">
        <v>0</v>
      </c>
      <c r="Y22" s="113">
        <f t="shared" si="29"/>
        <v>0</v>
      </c>
      <c r="Z22" s="155">
        <f t="shared" si="9"/>
        <v>0</v>
      </c>
      <c r="AA22" s="33">
        <f t="shared" si="10"/>
        <v>0</v>
      </c>
      <c r="AB22" s="114">
        <f t="shared" si="11"/>
        <v>0</v>
      </c>
      <c r="AC22" s="28">
        <f t="shared" si="12"/>
        <v>0</v>
      </c>
      <c r="AD22" s="28">
        <f t="shared" si="13"/>
        <v>0</v>
      </c>
      <c r="AE22" s="28">
        <f t="shared" si="14"/>
        <v>0</v>
      </c>
      <c r="AF22" s="115" t="str">
        <f t="shared" si="15"/>
        <v/>
      </c>
      <c r="AG22" s="28">
        <f t="shared" si="16"/>
        <v>0</v>
      </c>
      <c r="AI22" s="28">
        <f t="shared" si="17"/>
        <v>0</v>
      </c>
      <c r="AJ22" s="28"/>
      <c r="AK22" s="28">
        <f t="shared" si="18"/>
        <v>0</v>
      </c>
      <c r="AL22" s="156"/>
      <c r="AM22" s="6">
        <f t="shared" si="19"/>
        <v>15</v>
      </c>
      <c r="AN22" s="6" t="str">
        <f t="shared" si="20"/>
        <v xml:space="preserve">Athol                        </v>
      </c>
      <c r="AO22" s="6">
        <f t="shared" si="21"/>
        <v>0</v>
      </c>
      <c r="AP22" s="9">
        <f t="shared" si="30"/>
        <v>0</v>
      </c>
      <c r="AQ22" s="9">
        <f t="shared" si="22"/>
        <v>0</v>
      </c>
      <c r="AR22" s="33">
        <f t="shared" si="23"/>
        <v>0</v>
      </c>
      <c r="AS22" s="33">
        <f t="shared" si="24"/>
        <v>0</v>
      </c>
      <c r="AU22" s="28"/>
      <c r="AW22" s="519"/>
    </row>
    <row r="23" spans="1:49">
      <c r="A23" s="6">
        <v>16</v>
      </c>
      <c r="B23" s="6" t="s">
        <v>1135</v>
      </c>
      <c r="C23" s="7">
        <v>1</v>
      </c>
      <c r="D23" s="9">
        <v>97105120.719999999</v>
      </c>
      <c r="E23" s="9">
        <v>43712969</v>
      </c>
      <c r="F23" s="9">
        <v>53392152</v>
      </c>
      <c r="G23" s="348"/>
      <c r="H23" s="111">
        <f t="shared" si="25"/>
        <v>53392152</v>
      </c>
      <c r="I23" s="9">
        <f t="shared" si="0"/>
        <v>102004503.33000001</v>
      </c>
      <c r="J23" s="33">
        <f t="shared" si="1"/>
        <v>46028760</v>
      </c>
      <c r="K23" s="9">
        <f t="shared" si="26"/>
        <v>55975743</v>
      </c>
      <c r="L23" s="112">
        <f t="shared" si="27"/>
        <v>2583591</v>
      </c>
      <c r="M23" s="458">
        <f>ROUND(100-'Townwide Contributions'!L22,2)</f>
        <v>51.28</v>
      </c>
      <c r="N23" s="9">
        <v>6238</v>
      </c>
      <c r="O23" s="9">
        <f t="shared" si="2"/>
        <v>6313</v>
      </c>
      <c r="P23" s="9">
        <f t="shared" si="3"/>
        <v>1</v>
      </c>
      <c r="Q23" s="28">
        <f t="shared" si="4"/>
        <v>656552</v>
      </c>
      <c r="R23" s="382">
        <f t="shared" si="28"/>
        <v>0</v>
      </c>
      <c r="S23" s="28">
        <v>53392152</v>
      </c>
      <c r="T23" s="33">
        <f t="shared" si="5"/>
        <v>53581542</v>
      </c>
      <c r="U23" s="9">
        <f t="shared" si="6"/>
        <v>0</v>
      </c>
      <c r="V23" s="33">
        <f t="shared" si="7"/>
        <v>55975743</v>
      </c>
      <c r="W23" s="33">
        <f t="shared" si="8"/>
        <v>0</v>
      </c>
      <c r="X23" s="33">
        <v>0</v>
      </c>
      <c r="Y23" s="113">
        <f t="shared" si="29"/>
        <v>55975743</v>
      </c>
      <c r="Z23" s="155">
        <f t="shared" si="9"/>
        <v>54.875756630969505</v>
      </c>
      <c r="AA23" s="33">
        <f t="shared" si="10"/>
        <v>102004503</v>
      </c>
      <c r="AB23" s="114">
        <f t="shared" si="11"/>
        <v>99.999999676484862</v>
      </c>
      <c r="AC23" s="28">
        <f t="shared" si="12"/>
        <v>4899382.6100000143</v>
      </c>
      <c r="AD23" s="28">
        <f t="shared" si="13"/>
        <v>2583591</v>
      </c>
      <c r="AE23" s="28">
        <f t="shared" si="14"/>
        <v>3667833.6923759878</v>
      </c>
      <c r="AF23" s="115">
        <f t="shared" si="15"/>
        <v>3.5957566309695039</v>
      </c>
      <c r="AG23" s="28">
        <f t="shared" si="16"/>
        <v>16157.85</v>
      </c>
      <c r="AI23" s="28">
        <f t="shared" si="17"/>
        <v>0</v>
      </c>
      <c r="AJ23" s="28"/>
      <c r="AK23" s="28">
        <f t="shared" si="18"/>
        <v>409.24932678599714</v>
      </c>
      <c r="AL23" s="156"/>
      <c r="AM23" s="6">
        <f t="shared" si="19"/>
        <v>16</v>
      </c>
      <c r="AN23" s="6" t="str">
        <f t="shared" si="20"/>
        <v xml:space="preserve">Attleboro                    </v>
      </c>
      <c r="AO23" s="6">
        <f t="shared" si="21"/>
        <v>1</v>
      </c>
      <c r="AP23" s="9">
        <f t="shared" si="30"/>
        <v>6313</v>
      </c>
      <c r="AQ23" s="9">
        <f t="shared" si="22"/>
        <v>102004503.33000001</v>
      </c>
      <c r="AR23" s="33">
        <f t="shared" si="23"/>
        <v>46028760</v>
      </c>
      <c r="AS23" s="33">
        <f t="shared" si="24"/>
        <v>55975743</v>
      </c>
      <c r="AU23" s="28"/>
      <c r="AV23" s="9"/>
      <c r="AW23" s="519"/>
    </row>
    <row r="24" spans="1:49">
      <c r="A24" s="6">
        <v>17</v>
      </c>
      <c r="B24" s="6" t="s">
        <v>1136</v>
      </c>
      <c r="C24" s="7">
        <v>1</v>
      </c>
      <c r="D24" s="9">
        <v>32176028.359999999</v>
      </c>
      <c r="E24" s="9">
        <v>17041707</v>
      </c>
      <c r="F24" s="9">
        <v>15134321</v>
      </c>
      <c r="G24" s="348"/>
      <c r="H24" s="111">
        <f t="shared" si="25"/>
        <v>15134321</v>
      </c>
      <c r="I24" s="9">
        <f t="shared" si="0"/>
        <v>32470504.220000003</v>
      </c>
      <c r="J24" s="33">
        <f t="shared" si="1"/>
        <v>17758731</v>
      </c>
      <c r="K24" s="9">
        <f t="shared" si="26"/>
        <v>14711773</v>
      </c>
      <c r="L24" s="112">
        <f t="shared" si="27"/>
        <v>0</v>
      </c>
      <c r="M24" s="458">
        <f>ROUND(100-'Townwide Contributions'!L23,2)</f>
        <v>40.67</v>
      </c>
      <c r="N24" s="9">
        <v>2422</v>
      </c>
      <c r="O24" s="9">
        <f t="shared" si="2"/>
        <v>2367</v>
      </c>
      <c r="P24" s="9">
        <f t="shared" si="3"/>
        <v>0</v>
      </c>
      <c r="Q24" s="28">
        <f t="shared" si="4"/>
        <v>246168</v>
      </c>
      <c r="R24" s="382">
        <f t="shared" si="28"/>
        <v>246168</v>
      </c>
      <c r="S24" s="28">
        <v>15134321</v>
      </c>
      <c r="T24" s="33">
        <f t="shared" si="5"/>
        <v>15205331</v>
      </c>
      <c r="U24" s="9">
        <f t="shared" si="6"/>
        <v>0</v>
      </c>
      <c r="V24" s="33">
        <f t="shared" si="7"/>
        <v>15380489</v>
      </c>
      <c r="W24" s="33">
        <f t="shared" si="8"/>
        <v>0</v>
      </c>
      <c r="X24" s="33">
        <v>0</v>
      </c>
      <c r="Y24" s="113">
        <f t="shared" si="29"/>
        <v>15380489</v>
      </c>
      <c r="Z24" s="155">
        <f t="shared" si="9"/>
        <v>47.367570567402787</v>
      </c>
      <c r="AA24" s="33">
        <f t="shared" si="10"/>
        <v>33139220</v>
      </c>
      <c r="AB24" s="114">
        <f t="shared" si="11"/>
        <v>102.05945610043254</v>
      </c>
      <c r="AC24" s="28">
        <f t="shared" si="12"/>
        <v>294475.86000000313</v>
      </c>
      <c r="AD24" s="28">
        <f t="shared" si="13"/>
        <v>246168</v>
      </c>
      <c r="AE24" s="28">
        <f t="shared" si="14"/>
        <v>2174734.9337259997</v>
      </c>
      <c r="AF24" s="115">
        <f t="shared" si="15"/>
        <v>6.697570567402785</v>
      </c>
      <c r="AG24" s="28">
        <f t="shared" si="16"/>
        <v>13718</v>
      </c>
      <c r="AI24" s="28">
        <f t="shared" si="17"/>
        <v>0</v>
      </c>
      <c r="AJ24" s="28"/>
      <c r="AK24" s="28">
        <f t="shared" si="18"/>
        <v>104</v>
      </c>
      <c r="AL24" s="156"/>
      <c r="AM24" s="6">
        <f t="shared" si="19"/>
        <v>17</v>
      </c>
      <c r="AN24" s="6" t="str">
        <f t="shared" si="20"/>
        <v xml:space="preserve">Auburn                       </v>
      </c>
      <c r="AO24" s="6">
        <f t="shared" si="21"/>
        <v>1</v>
      </c>
      <c r="AP24" s="9">
        <f t="shared" si="30"/>
        <v>2367</v>
      </c>
      <c r="AQ24" s="9">
        <f t="shared" si="22"/>
        <v>32470504.220000003</v>
      </c>
      <c r="AR24" s="33">
        <f t="shared" si="23"/>
        <v>17758731</v>
      </c>
      <c r="AS24" s="33">
        <f t="shared" si="24"/>
        <v>15380489</v>
      </c>
      <c r="AU24" s="28"/>
      <c r="AV24" s="9"/>
      <c r="AW24" s="519"/>
    </row>
    <row r="25" spans="1:49">
      <c r="A25" s="6">
        <v>18</v>
      </c>
      <c r="B25" s="6" t="s">
        <v>1137</v>
      </c>
      <c r="C25" s="7">
        <v>1</v>
      </c>
      <c r="D25" s="9">
        <v>9536788.9200000018</v>
      </c>
      <c r="E25" s="9">
        <v>5390722</v>
      </c>
      <c r="F25" s="9">
        <v>4146067</v>
      </c>
      <c r="G25" s="348"/>
      <c r="H25" s="111">
        <f t="shared" si="25"/>
        <v>4146067</v>
      </c>
      <c r="I25" s="9">
        <f t="shared" si="0"/>
        <v>9514711.5199999996</v>
      </c>
      <c r="J25" s="33">
        <f t="shared" si="1"/>
        <v>5674808</v>
      </c>
      <c r="K25" s="9">
        <f t="shared" si="26"/>
        <v>3839904</v>
      </c>
      <c r="L25" s="112">
        <f t="shared" si="27"/>
        <v>0</v>
      </c>
      <c r="M25" s="458">
        <f>ROUND(100-'Townwide Contributions'!L24,2)</f>
        <v>31.2</v>
      </c>
      <c r="N25" s="9">
        <v>586</v>
      </c>
      <c r="O25" s="9">
        <f t="shared" si="2"/>
        <v>572</v>
      </c>
      <c r="P25" s="9">
        <f t="shared" si="3"/>
        <v>0</v>
      </c>
      <c r="Q25" s="28">
        <f t="shared" si="4"/>
        <v>59488</v>
      </c>
      <c r="R25" s="382">
        <f t="shared" si="28"/>
        <v>59488</v>
      </c>
      <c r="S25" s="28">
        <v>4146067</v>
      </c>
      <c r="T25" s="33">
        <f t="shared" si="5"/>
        <v>4163227</v>
      </c>
      <c r="U25" s="9">
        <f t="shared" si="6"/>
        <v>0</v>
      </c>
      <c r="V25" s="33">
        <f t="shared" si="7"/>
        <v>4205555</v>
      </c>
      <c r="W25" s="33">
        <f t="shared" si="8"/>
        <v>0</v>
      </c>
      <c r="X25" s="33">
        <v>0</v>
      </c>
      <c r="Y25" s="113">
        <f t="shared" si="29"/>
        <v>4205555</v>
      </c>
      <c r="Z25" s="155">
        <f t="shared" si="9"/>
        <v>44.200551862869304</v>
      </c>
      <c r="AA25" s="33">
        <f t="shared" si="10"/>
        <v>9880363</v>
      </c>
      <c r="AB25" s="114">
        <f t="shared" si="11"/>
        <v>103.84301173221488</v>
      </c>
      <c r="AC25" s="28">
        <f t="shared" si="12"/>
        <v>-22077.400000002235</v>
      </c>
      <c r="AD25" s="28">
        <f t="shared" si="13"/>
        <v>59488</v>
      </c>
      <c r="AE25" s="28">
        <f t="shared" si="14"/>
        <v>1236965.0057600001</v>
      </c>
      <c r="AF25" s="115">
        <f t="shared" si="15"/>
        <v>13.000551862869305</v>
      </c>
      <c r="AG25" s="28">
        <f t="shared" si="16"/>
        <v>16634.11</v>
      </c>
      <c r="AI25" s="28">
        <f t="shared" si="17"/>
        <v>0</v>
      </c>
      <c r="AJ25" s="28"/>
      <c r="AK25" s="28">
        <f t="shared" si="18"/>
        <v>104</v>
      </c>
      <c r="AL25" s="156"/>
      <c r="AM25" s="6">
        <f t="shared" si="19"/>
        <v>18</v>
      </c>
      <c r="AN25" s="6" t="str">
        <f t="shared" si="20"/>
        <v xml:space="preserve">Avon                         </v>
      </c>
      <c r="AO25" s="6">
        <f t="shared" si="21"/>
        <v>1</v>
      </c>
      <c r="AP25" s="9">
        <f t="shared" si="30"/>
        <v>572</v>
      </c>
      <c r="AQ25" s="9">
        <f t="shared" si="22"/>
        <v>9514711.5199999996</v>
      </c>
      <c r="AR25" s="33">
        <f t="shared" si="23"/>
        <v>5674808</v>
      </c>
      <c r="AS25" s="33">
        <f t="shared" si="24"/>
        <v>4205555</v>
      </c>
      <c r="AU25" s="28"/>
      <c r="AV25" s="9"/>
      <c r="AW25" s="519"/>
    </row>
    <row r="26" spans="1:49">
      <c r="A26" s="6">
        <v>19</v>
      </c>
      <c r="B26" s="6" t="s">
        <v>1138</v>
      </c>
      <c r="C26" s="7">
        <v>0</v>
      </c>
      <c r="D26" s="9">
        <v>0</v>
      </c>
      <c r="E26" s="9">
        <v>0</v>
      </c>
      <c r="F26" s="9">
        <v>0</v>
      </c>
      <c r="G26" s="348"/>
      <c r="H26" s="111">
        <f t="shared" si="25"/>
        <v>0</v>
      </c>
      <c r="I26" s="9">
        <f t="shared" si="0"/>
        <v>0</v>
      </c>
      <c r="J26" s="33">
        <f t="shared" si="1"/>
        <v>0</v>
      </c>
      <c r="K26" s="9">
        <f t="shared" si="26"/>
        <v>0</v>
      </c>
      <c r="L26" s="112">
        <f t="shared" si="27"/>
        <v>0</v>
      </c>
      <c r="M26" s="458">
        <f>ROUND(100-'Townwide Contributions'!L25,2)</f>
        <v>24.2</v>
      </c>
      <c r="N26" s="9">
        <v>0</v>
      </c>
      <c r="O26" s="9">
        <f t="shared" si="2"/>
        <v>0</v>
      </c>
      <c r="P26" s="9">
        <f t="shared" si="3"/>
        <v>0</v>
      </c>
      <c r="Q26" s="28">
        <f t="shared" si="4"/>
        <v>0</v>
      </c>
      <c r="R26" s="382">
        <f t="shared" si="28"/>
        <v>0</v>
      </c>
      <c r="S26" s="28">
        <v>0</v>
      </c>
      <c r="T26" s="33">
        <f t="shared" si="5"/>
        <v>0</v>
      </c>
      <c r="U26" s="9">
        <f t="shared" si="6"/>
        <v>0</v>
      </c>
      <c r="V26" s="33">
        <f t="shared" si="7"/>
        <v>0</v>
      </c>
      <c r="W26" s="33">
        <f t="shared" si="8"/>
        <v>0</v>
      </c>
      <c r="X26" s="33">
        <v>0</v>
      </c>
      <c r="Y26" s="113">
        <f t="shared" si="29"/>
        <v>0</v>
      </c>
      <c r="Z26" s="155">
        <f t="shared" si="9"/>
        <v>0</v>
      </c>
      <c r="AA26" s="33">
        <f t="shared" si="10"/>
        <v>0</v>
      </c>
      <c r="AB26" s="114">
        <f t="shared" si="11"/>
        <v>0</v>
      </c>
      <c r="AC26" s="28">
        <f t="shared" si="12"/>
        <v>0</v>
      </c>
      <c r="AD26" s="28">
        <f t="shared" si="13"/>
        <v>0</v>
      </c>
      <c r="AE26" s="28">
        <f t="shared" si="14"/>
        <v>0</v>
      </c>
      <c r="AF26" s="115" t="str">
        <f t="shared" si="15"/>
        <v/>
      </c>
      <c r="AG26" s="28">
        <f t="shared" si="16"/>
        <v>0</v>
      </c>
      <c r="AI26" s="28">
        <f t="shared" si="17"/>
        <v>0</v>
      </c>
      <c r="AJ26" s="28"/>
      <c r="AK26" s="28">
        <f t="shared" si="18"/>
        <v>0</v>
      </c>
      <c r="AL26" s="156"/>
      <c r="AM26" s="6">
        <f t="shared" si="19"/>
        <v>19</v>
      </c>
      <c r="AN26" s="6" t="str">
        <f t="shared" si="20"/>
        <v xml:space="preserve">Ayer                         </v>
      </c>
      <c r="AO26" s="6">
        <f t="shared" si="21"/>
        <v>0</v>
      </c>
      <c r="AP26" s="9">
        <f t="shared" si="30"/>
        <v>0</v>
      </c>
      <c r="AQ26" s="9">
        <f t="shared" si="22"/>
        <v>0</v>
      </c>
      <c r="AR26" s="33">
        <f t="shared" si="23"/>
        <v>0</v>
      </c>
      <c r="AS26" s="33">
        <f t="shared" si="24"/>
        <v>0</v>
      </c>
      <c r="AU26" s="28"/>
      <c r="AW26" s="519"/>
    </row>
    <row r="27" spans="1:49">
      <c r="A27" s="6">
        <v>20</v>
      </c>
      <c r="B27" s="6" t="s">
        <v>1139</v>
      </c>
      <c r="C27" s="7">
        <v>1</v>
      </c>
      <c r="D27" s="9">
        <v>84542110.140000001</v>
      </c>
      <c r="E27" s="9">
        <v>59790057</v>
      </c>
      <c r="F27" s="9">
        <v>24752053</v>
      </c>
      <c r="G27" s="348"/>
      <c r="H27" s="111">
        <f t="shared" si="25"/>
        <v>24752053</v>
      </c>
      <c r="I27" s="9">
        <f t="shared" si="0"/>
        <v>88879328.449999988</v>
      </c>
      <c r="J27" s="33">
        <f t="shared" si="1"/>
        <v>63910403</v>
      </c>
      <c r="K27" s="9">
        <f t="shared" si="26"/>
        <v>24968925</v>
      </c>
      <c r="L27" s="112">
        <f t="shared" si="27"/>
        <v>216872</v>
      </c>
      <c r="M27" s="458">
        <f>ROUND(100-'Townwide Contributions'!L26,2)</f>
        <v>17.5</v>
      </c>
      <c r="N27" s="9">
        <v>5302</v>
      </c>
      <c r="O27" s="9">
        <f t="shared" si="2"/>
        <v>5306</v>
      </c>
      <c r="P27" s="9">
        <f t="shared" si="3"/>
        <v>1</v>
      </c>
      <c r="Q27" s="28">
        <f t="shared" si="4"/>
        <v>551824</v>
      </c>
      <c r="R27" s="382">
        <f t="shared" si="28"/>
        <v>334952</v>
      </c>
      <c r="S27" s="28">
        <v>24752053</v>
      </c>
      <c r="T27" s="33">
        <f t="shared" si="5"/>
        <v>24911233</v>
      </c>
      <c r="U27" s="9">
        <f t="shared" si="6"/>
        <v>0</v>
      </c>
      <c r="V27" s="33">
        <f t="shared" si="7"/>
        <v>25303877</v>
      </c>
      <c r="W27" s="33">
        <f t="shared" si="8"/>
        <v>0</v>
      </c>
      <c r="X27" s="33">
        <v>0</v>
      </c>
      <c r="Y27" s="113">
        <f t="shared" si="29"/>
        <v>25303877</v>
      </c>
      <c r="Z27" s="155">
        <f t="shared" si="9"/>
        <v>28.469923705864819</v>
      </c>
      <c r="AA27" s="33">
        <f t="shared" si="10"/>
        <v>89214280</v>
      </c>
      <c r="AB27" s="114">
        <f t="shared" si="11"/>
        <v>100.37686102701421</v>
      </c>
      <c r="AC27" s="28">
        <f t="shared" si="12"/>
        <v>4337218.3099999875</v>
      </c>
      <c r="AD27" s="28">
        <f t="shared" si="13"/>
        <v>551824</v>
      </c>
      <c r="AE27" s="28">
        <f t="shared" si="14"/>
        <v>9749994.5212500039</v>
      </c>
      <c r="AF27" s="115">
        <f t="shared" si="15"/>
        <v>10.969923705864819</v>
      </c>
      <c r="AG27" s="28">
        <f t="shared" si="16"/>
        <v>16750.72</v>
      </c>
      <c r="AI27" s="28">
        <f t="shared" si="17"/>
        <v>0</v>
      </c>
      <c r="AJ27" s="28"/>
      <c r="AK27" s="28">
        <f t="shared" si="18"/>
        <v>104</v>
      </c>
      <c r="AL27" s="156"/>
      <c r="AM27" s="6">
        <f t="shared" si="19"/>
        <v>20</v>
      </c>
      <c r="AN27" s="6" t="str">
        <f t="shared" si="20"/>
        <v xml:space="preserve">Barnstable                   </v>
      </c>
      <c r="AO27" s="6">
        <f t="shared" si="21"/>
        <v>1</v>
      </c>
      <c r="AP27" s="9">
        <f t="shared" si="30"/>
        <v>5306</v>
      </c>
      <c r="AQ27" s="9">
        <f t="shared" si="22"/>
        <v>88879328.449999988</v>
      </c>
      <c r="AR27" s="33">
        <f t="shared" si="23"/>
        <v>63910403</v>
      </c>
      <c r="AS27" s="33">
        <f t="shared" si="24"/>
        <v>25303877</v>
      </c>
      <c r="AU27" s="28"/>
      <c r="AV27" s="9"/>
      <c r="AW27" s="519"/>
    </row>
    <row r="28" spans="1:49">
      <c r="A28" s="6">
        <v>21</v>
      </c>
      <c r="B28" s="6" t="s">
        <v>1140</v>
      </c>
      <c r="C28" s="7">
        <v>0</v>
      </c>
      <c r="D28" s="9">
        <v>0</v>
      </c>
      <c r="E28" s="9">
        <v>0</v>
      </c>
      <c r="F28" s="9">
        <v>0</v>
      </c>
      <c r="G28" s="348"/>
      <c r="H28" s="111">
        <f t="shared" si="25"/>
        <v>0</v>
      </c>
      <c r="I28" s="9">
        <f t="shared" si="0"/>
        <v>0</v>
      </c>
      <c r="J28" s="33">
        <f t="shared" si="1"/>
        <v>0</v>
      </c>
      <c r="K28" s="9">
        <f t="shared" si="26"/>
        <v>0</v>
      </c>
      <c r="L28" s="112">
        <f t="shared" si="27"/>
        <v>0</v>
      </c>
      <c r="M28" s="458">
        <f>ROUND(100-'Townwide Contributions'!L27,2)</f>
        <v>56.91</v>
      </c>
      <c r="N28" s="9">
        <v>0</v>
      </c>
      <c r="O28" s="9">
        <f t="shared" si="2"/>
        <v>0</v>
      </c>
      <c r="P28" s="9">
        <f t="shared" si="3"/>
        <v>0</v>
      </c>
      <c r="Q28" s="28">
        <f t="shared" si="4"/>
        <v>0</v>
      </c>
      <c r="R28" s="382">
        <f t="shared" si="28"/>
        <v>0</v>
      </c>
      <c r="S28" s="28">
        <v>0</v>
      </c>
      <c r="T28" s="33">
        <f t="shared" si="5"/>
        <v>0</v>
      </c>
      <c r="U28" s="9">
        <f t="shared" si="6"/>
        <v>0</v>
      </c>
      <c r="V28" s="33">
        <f t="shared" si="7"/>
        <v>0</v>
      </c>
      <c r="W28" s="33">
        <f t="shared" si="8"/>
        <v>0</v>
      </c>
      <c r="X28" s="33">
        <v>0</v>
      </c>
      <c r="Y28" s="113">
        <f t="shared" si="29"/>
        <v>0</v>
      </c>
      <c r="Z28" s="155">
        <f t="shared" si="9"/>
        <v>0</v>
      </c>
      <c r="AA28" s="33">
        <f t="shared" si="10"/>
        <v>0</v>
      </c>
      <c r="AB28" s="114">
        <f t="shared" si="11"/>
        <v>0</v>
      </c>
      <c r="AC28" s="28">
        <f t="shared" si="12"/>
        <v>0</v>
      </c>
      <c r="AD28" s="28">
        <f t="shared" si="13"/>
        <v>0</v>
      </c>
      <c r="AE28" s="28">
        <f t="shared" si="14"/>
        <v>0</v>
      </c>
      <c r="AF28" s="115" t="str">
        <f t="shared" si="15"/>
        <v/>
      </c>
      <c r="AG28" s="28">
        <f t="shared" si="16"/>
        <v>0</v>
      </c>
      <c r="AI28" s="28">
        <f t="shared" si="17"/>
        <v>0</v>
      </c>
      <c r="AJ28" s="28"/>
      <c r="AK28" s="28">
        <f t="shared" si="18"/>
        <v>0</v>
      </c>
      <c r="AL28" s="156"/>
      <c r="AM28" s="6">
        <f t="shared" si="19"/>
        <v>21</v>
      </c>
      <c r="AN28" s="6" t="str">
        <f t="shared" si="20"/>
        <v xml:space="preserve">Barre                        </v>
      </c>
      <c r="AO28" s="6">
        <f t="shared" si="21"/>
        <v>0</v>
      </c>
      <c r="AP28" s="9">
        <f t="shared" si="30"/>
        <v>0</v>
      </c>
      <c r="AQ28" s="9">
        <f t="shared" si="22"/>
        <v>0</v>
      </c>
      <c r="AR28" s="33">
        <f t="shared" si="23"/>
        <v>0</v>
      </c>
      <c r="AS28" s="33">
        <f t="shared" si="24"/>
        <v>0</v>
      </c>
      <c r="AU28" s="28"/>
      <c r="AW28" s="519"/>
    </row>
    <row r="29" spans="1:49">
      <c r="A29" s="6">
        <v>22</v>
      </c>
      <c r="B29" s="6" t="s">
        <v>1141</v>
      </c>
      <c r="C29" s="7">
        <v>0</v>
      </c>
      <c r="D29" s="9">
        <v>261641.76000000004</v>
      </c>
      <c r="E29" s="9">
        <v>189361</v>
      </c>
      <c r="F29" s="9">
        <v>76923</v>
      </c>
      <c r="G29" s="348"/>
      <c r="H29" s="111">
        <f t="shared" si="25"/>
        <v>76923</v>
      </c>
      <c r="I29" s="9">
        <f t="shared" si="0"/>
        <v>250517.91</v>
      </c>
      <c r="J29" s="33">
        <f t="shared" si="1"/>
        <v>198708</v>
      </c>
      <c r="K29" s="9">
        <f t="shared" si="26"/>
        <v>51810</v>
      </c>
      <c r="L29" s="112">
        <f t="shared" si="27"/>
        <v>0</v>
      </c>
      <c r="M29" s="458">
        <f>ROUND(100-'Townwide Contributions'!L28,2)</f>
        <v>17.5</v>
      </c>
      <c r="N29" s="9">
        <v>14</v>
      </c>
      <c r="O29" s="9">
        <f t="shared" si="2"/>
        <v>13</v>
      </c>
      <c r="P29" s="9">
        <f t="shared" si="3"/>
        <v>0</v>
      </c>
      <c r="Q29" s="28">
        <f t="shared" si="4"/>
        <v>0</v>
      </c>
      <c r="R29" s="382">
        <f t="shared" si="28"/>
        <v>0</v>
      </c>
      <c r="S29" s="28">
        <v>76923</v>
      </c>
      <c r="T29" s="33">
        <f t="shared" si="5"/>
        <v>77313</v>
      </c>
      <c r="U29" s="9">
        <f t="shared" si="6"/>
        <v>0</v>
      </c>
      <c r="V29" s="33">
        <f t="shared" si="7"/>
        <v>76923</v>
      </c>
      <c r="W29" s="33">
        <f t="shared" si="8"/>
        <v>0</v>
      </c>
      <c r="X29" s="33">
        <v>0</v>
      </c>
      <c r="Y29" s="113">
        <f t="shared" si="29"/>
        <v>76923</v>
      </c>
      <c r="Z29" s="155">
        <f t="shared" si="9"/>
        <v>0</v>
      </c>
      <c r="AA29" s="33">
        <f t="shared" si="10"/>
        <v>275631</v>
      </c>
      <c r="AB29" s="114">
        <f t="shared" si="11"/>
        <v>110.02446890922889</v>
      </c>
      <c r="AC29" s="28">
        <f t="shared" si="12"/>
        <v>-11123.850000000035</v>
      </c>
      <c r="AD29" s="28">
        <f t="shared" si="13"/>
        <v>0</v>
      </c>
      <c r="AE29" s="28">
        <f t="shared" si="14"/>
        <v>33082.365750000004</v>
      </c>
      <c r="AF29" s="115" t="str">
        <f t="shared" si="15"/>
        <v/>
      </c>
      <c r="AG29" s="28">
        <f t="shared" si="16"/>
        <v>19270.61</v>
      </c>
      <c r="AI29" s="28">
        <f t="shared" si="17"/>
        <v>0</v>
      </c>
      <c r="AJ29" s="28"/>
      <c r="AK29" s="28">
        <f t="shared" si="18"/>
        <v>0</v>
      </c>
      <c r="AL29" s="156"/>
      <c r="AM29" s="6">
        <f t="shared" si="19"/>
        <v>22</v>
      </c>
      <c r="AN29" s="6" t="str">
        <f t="shared" si="20"/>
        <v xml:space="preserve">Becket                       </v>
      </c>
      <c r="AO29" s="6">
        <f t="shared" si="21"/>
        <v>0</v>
      </c>
      <c r="AP29" s="9">
        <f t="shared" si="30"/>
        <v>13</v>
      </c>
      <c r="AQ29" s="9">
        <f t="shared" si="22"/>
        <v>250517.91</v>
      </c>
      <c r="AR29" s="33">
        <f t="shared" si="23"/>
        <v>198708</v>
      </c>
      <c r="AS29" s="33">
        <f t="shared" si="24"/>
        <v>76923</v>
      </c>
      <c r="AU29" s="28"/>
      <c r="AV29" s="9"/>
      <c r="AW29" s="519"/>
    </row>
    <row r="30" spans="1:49">
      <c r="A30" s="6">
        <v>23</v>
      </c>
      <c r="B30" s="6" t="s">
        <v>1142</v>
      </c>
      <c r="C30" s="7">
        <v>1</v>
      </c>
      <c r="D30" s="9">
        <v>33265363.043120004</v>
      </c>
      <c r="E30" s="9">
        <v>27443924</v>
      </c>
      <c r="F30" s="9">
        <v>6020493</v>
      </c>
      <c r="G30" s="348"/>
      <c r="H30" s="111">
        <f t="shared" si="25"/>
        <v>6020493</v>
      </c>
      <c r="I30" s="9">
        <f t="shared" si="0"/>
        <v>34828204.54556001</v>
      </c>
      <c r="J30" s="33">
        <f t="shared" si="1"/>
        <v>28733269</v>
      </c>
      <c r="K30" s="9">
        <f t="shared" si="26"/>
        <v>6094936</v>
      </c>
      <c r="L30" s="112">
        <f t="shared" si="27"/>
        <v>74443</v>
      </c>
      <c r="M30" s="458">
        <f>ROUND(100-'Townwide Contributions'!L29,2)</f>
        <v>17.5</v>
      </c>
      <c r="N30" s="9">
        <v>2549</v>
      </c>
      <c r="O30" s="9">
        <f t="shared" si="2"/>
        <v>2579</v>
      </c>
      <c r="P30" s="9">
        <f t="shared" si="3"/>
        <v>1</v>
      </c>
      <c r="Q30" s="28">
        <f t="shared" si="4"/>
        <v>268216</v>
      </c>
      <c r="R30" s="382">
        <f t="shared" si="28"/>
        <v>193773</v>
      </c>
      <c r="S30" s="28">
        <v>6020493</v>
      </c>
      <c r="T30" s="33">
        <f t="shared" si="5"/>
        <v>6097863</v>
      </c>
      <c r="U30" s="9">
        <f t="shared" si="6"/>
        <v>0</v>
      </c>
      <c r="V30" s="33">
        <f t="shared" si="7"/>
        <v>6288709</v>
      </c>
      <c r="W30" s="33">
        <f t="shared" si="8"/>
        <v>0</v>
      </c>
      <c r="X30" s="33">
        <v>0</v>
      </c>
      <c r="Y30" s="113">
        <f t="shared" si="29"/>
        <v>6288709</v>
      </c>
      <c r="Z30" s="155">
        <f t="shared" si="9"/>
        <v>18.056368630124233</v>
      </c>
      <c r="AA30" s="33">
        <f t="shared" si="10"/>
        <v>35021978</v>
      </c>
      <c r="AB30" s="114">
        <f t="shared" si="11"/>
        <v>100.55636934768346</v>
      </c>
      <c r="AC30" s="28">
        <f t="shared" si="12"/>
        <v>1562841.5024400055</v>
      </c>
      <c r="AD30" s="28">
        <f t="shared" si="13"/>
        <v>268216</v>
      </c>
      <c r="AE30" s="28">
        <f t="shared" si="14"/>
        <v>193773.20452699903</v>
      </c>
      <c r="AF30" s="115">
        <f t="shared" si="15"/>
        <v>0.55636863012423277</v>
      </c>
      <c r="AG30" s="28">
        <f t="shared" si="16"/>
        <v>13504.54</v>
      </c>
      <c r="AI30" s="28">
        <f t="shared" si="17"/>
        <v>0</v>
      </c>
      <c r="AJ30" s="28"/>
      <c r="AK30" s="28">
        <f t="shared" si="18"/>
        <v>104</v>
      </c>
      <c r="AL30" s="156"/>
      <c r="AM30" s="6">
        <f t="shared" si="19"/>
        <v>23</v>
      </c>
      <c r="AN30" s="6" t="str">
        <f t="shared" si="20"/>
        <v xml:space="preserve">Bedford                      </v>
      </c>
      <c r="AO30" s="6">
        <f t="shared" si="21"/>
        <v>1</v>
      </c>
      <c r="AP30" s="9">
        <f t="shared" si="30"/>
        <v>2579</v>
      </c>
      <c r="AQ30" s="9">
        <f t="shared" si="22"/>
        <v>34828204.54556001</v>
      </c>
      <c r="AR30" s="33">
        <f t="shared" si="23"/>
        <v>28733269</v>
      </c>
      <c r="AS30" s="33">
        <f t="shared" si="24"/>
        <v>6288709</v>
      </c>
      <c r="AU30" s="28"/>
      <c r="AV30" s="9"/>
      <c r="AW30" s="519"/>
    </row>
    <row r="31" spans="1:49">
      <c r="A31" s="6">
        <v>24</v>
      </c>
      <c r="B31" s="6" t="s">
        <v>1143</v>
      </c>
      <c r="C31" s="7">
        <v>1</v>
      </c>
      <c r="D31" s="9">
        <v>27713334.379999995</v>
      </c>
      <c r="E31" s="9">
        <v>13763232</v>
      </c>
      <c r="F31" s="9">
        <v>14210006</v>
      </c>
      <c r="G31" s="348"/>
      <c r="H31" s="111">
        <f t="shared" si="25"/>
        <v>14210006</v>
      </c>
      <c r="I31" s="9">
        <f t="shared" si="0"/>
        <v>27898291.619999997</v>
      </c>
      <c r="J31" s="33">
        <f t="shared" si="1"/>
        <v>14251380</v>
      </c>
      <c r="K31" s="9">
        <f t="shared" si="26"/>
        <v>13646912</v>
      </c>
      <c r="L31" s="112">
        <f t="shared" si="27"/>
        <v>0</v>
      </c>
      <c r="M31" s="458">
        <f>ROUND(100-'Townwide Contributions'!L30,2)</f>
        <v>45.49</v>
      </c>
      <c r="N31" s="9">
        <v>2152</v>
      </c>
      <c r="O31" s="9">
        <f t="shared" si="2"/>
        <v>2106</v>
      </c>
      <c r="P31" s="9">
        <f t="shared" si="3"/>
        <v>0</v>
      </c>
      <c r="Q31" s="28">
        <f t="shared" si="4"/>
        <v>219024</v>
      </c>
      <c r="R31" s="382">
        <f t="shared" si="28"/>
        <v>219024</v>
      </c>
      <c r="S31" s="28">
        <v>14210006</v>
      </c>
      <c r="T31" s="33">
        <f t="shared" si="5"/>
        <v>14273186</v>
      </c>
      <c r="U31" s="9">
        <f t="shared" si="6"/>
        <v>0</v>
      </c>
      <c r="V31" s="33">
        <f t="shared" si="7"/>
        <v>14429030</v>
      </c>
      <c r="W31" s="33">
        <f t="shared" si="8"/>
        <v>0</v>
      </c>
      <c r="X31" s="33">
        <v>0</v>
      </c>
      <c r="Y31" s="113">
        <f t="shared" si="29"/>
        <v>14429030</v>
      </c>
      <c r="Z31" s="155">
        <f t="shared" si="9"/>
        <v>51.720120344774003</v>
      </c>
      <c r="AA31" s="33">
        <f t="shared" si="10"/>
        <v>28680410</v>
      </c>
      <c r="AB31" s="114">
        <f t="shared" si="11"/>
        <v>102.80346334697896</v>
      </c>
      <c r="AC31" s="28">
        <f t="shared" si="12"/>
        <v>184957.24000000209</v>
      </c>
      <c r="AD31" s="28">
        <f t="shared" si="13"/>
        <v>219024</v>
      </c>
      <c r="AE31" s="28">
        <f t="shared" si="14"/>
        <v>1738097.1420620009</v>
      </c>
      <c r="AF31" s="115">
        <f t="shared" si="15"/>
        <v>6.2301203447740008</v>
      </c>
      <c r="AG31" s="28">
        <f t="shared" si="16"/>
        <v>13247.05</v>
      </c>
      <c r="AI31" s="28">
        <f t="shared" si="17"/>
        <v>0</v>
      </c>
      <c r="AJ31" s="28"/>
      <c r="AK31" s="28">
        <f t="shared" si="18"/>
        <v>104</v>
      </c>
      <c r="AL31" s="156"/>
      <c r="AM31" s="6">
        <f t="shared" si="19"/>
        <v>24</v>
      </c>
      <c r="AN31" s="6" t="str">
        <f t="shared" si="20"/>
        <v xml:space="preserve">Belchertown                  </v>
      </c>
      <c r="AO31" s="6">
        <f t="shared" si="21"/>
        <v>1</v>
      </c>
      <c r="AP31" s="9">
        <f t="shared" si="30"/>
        <v>2106</v>
      </c>
      <c r="AQ31" s="9">
        <f t="shared" si="22"/>
        <v>27898291.619999997</v>
      </c>
      <c r="AR31" s="33">
        <f t="shared" si="23"/>
        <v>14251380</v>
      </c>
      <c r="AS31" s="33">
        <f t="shared" si="24"/>
        <v>14429030</v>
      </c>
      <c r="AU31" s="28"/>
      <c r="AV31" s="9"/>
      <c r="AW31" s="519"/>
    </row>
    <row r="32" spans="1:49">
      <c r="A32" s="6">
        <v>25</v>
      </c>
      <c r="B32" s="6" t="s">
        <v>1144</v>
      </c>
      <c r="C32" s="7">
        <v>1</v>
      </c>
      <c r="D32" s="9">
        <v>29660512.23</v>
      </c>
      <c r="E32" s="9">
        <v>19686080</v>
      </c>
      <c r="F32" s="9">
        <v>9974432</v>
      </c>
      <c r="G32" s="348"/>
      <c r="H32" s="111">
        <f t="shared" si="25"/>
        <v>9974432</v>
      </c>
      <c r="I32" s="9">
        <f t="shared" si="0"/>
        <v>30088447.590000004</v>
      </c>
      <c r="J32" s="33">
        <f t="shared" si="1"/>
        <v>20822076</v>
      </c>
      <c r="K32" s="9">
        <f t="shared" si="26"/>
        <v>9266372</v>
      </c>
      <c r="L32" s="112">
        <f t="shared" si="27"/>
        <v>0</v>
      </c>
      <c r="M32" s="458">
        <f>ROUND(100-'Townwide Contributions'!L31,2)</f>
        <v>25.84</v>
      </c>
      <c r="N32" s="9">
        <v>2175</v>
      </c>
      <c r="O32" s="9">
        <f t="shared" si="2"/>
        <v>2175</v>
      </c>
      <c r="P32" s="9">
        <f t="shared" si="3"/>
        <v>0</v>
      </c>
      <c r="Q32" s="28">
        <f t="shared" si="4"/>
        <v>226200</v>
      </c>
      <c r="R32" s="382">
        <f t="shared" si="28"/>
        <v>226200</v>
      </c>
      <c r="S32" s="28">
        <v>9974432</v>
      </c>
      <c r="T32" s="33">
        <f t="shared" si="5"/>
        <v>10039682</v>
      </c>
      <c r="U32" s="9">
        <f t="shared" si="6"/>
        <v>0</v>
      </c>
      <c r="V32" s="33">
        <f t="shared" si="7"/>
        <v>10200632</v>
      </c>
      <c r="W32" s="33">
        <f t="shared" si="8"/>
        <v>0</v>
      </c>
      <c r="X32" s="33">
        <v>0</v>
      </c>
      <c r="Y32" s="113">
        <f t="shared" si="29"/>
        <v>10200632</v>
      </c>
      <c r="Z32" s="155">
        <f t="shared" si="9"/>
        <v>33.902154537843998</v>
      </c>
      <c r="AA32" s="33">
        <f t="shared" si="10"/>
        <v>31022708</v>
      </c>
      <c r="AB32" s="114">
        <f t="shared" si="11"/>
        <v>103.10504690282028</v>
      </c>
      <c r="AC32" s="28">
        <f t="shared" si="12"/>
        <v>427935.36000000313</v>
      </c>
      <c r="AD32" s="28">
        <f t="shared" si="13"/>
        <v>226200</v>
      </c>
      <c r="AE32" s="28">
        <f t="shared" si="14"/>
        <v>2425777.1427439982</v>
      </c>
      <c r="AF32" s="115">
        <f t="shared" si="15"/>
        <v>8.0621545378439983</v>
      </c>
      <c r="AG32" s="28">
        <f t="shared" si="16"/>
        <v>13833.77</v>
      </c>
      <c r="AI32" s="28">
        <f t="shared" si="17"/>
        <v>0</v>
      </c>
      <c r="AJ32" s="28"/>
      <c r="AK32" s="28">
        <f t="shared" si="18"/>
        <v>104</v>
      </c>
      <c r="AL32" s="156"/>
      <c r="AM32" s="6">
        <f t="shared" si="19"/>
        <v>25</v>
      </c>
      <c r="AN32" s="6" t="str">
        <f t="shared" si="20"/>
        <v xml:space="preserve">Bellingham                   </v>
      </c>
      <c r="AO32" s="6">
        <f t="shared" si="21"/>
        <v>1</v>
      </c>
      <c r="AP32" s="9">
        <f t="shared" si="30"/>
        <v>2175</v>
      </c>
      <c r="AQ32" s="9">
        <f t="shared" si="22"/>
        <v>30088447.590000004</v>
      </c>
      <c r="AR32" s="33">
        <f t="shared" si="23"/>
        <v>20822076</v>
      </c>
      <c r="AS32" s="33">
        <f t="shared" si="24"/>
        <v>10200632</v>
      </c>
      <c r="AU32" s="28"/>
      <c r="AV32" s="9"/>
      <c r="AW32" s="519"/>
    </row>
    <row r="33" spans="1:49">
      <c r="A33" s="6">
        <v>26</v>
      </c>
      <c r="B33" s="6" t="s">
        <v>1145</v>
      </c>
      <c r="C33" s="7">
        <v>1</v>
      </c>
      <c r="D33" s="9">
        <v>57423975.883839987</v>
      </c>
      <c r="E33" s="9">
        <v>45639441</v>
      </c>
      <c r="F33" s="9">
        <v>11784535</v>
      </c>
      <c r="G33" s="348"/>
      <c r="H33" s="111">
        <f t="shared" si="25"/>
        <v>11784535</v>
      </c>
      <c r="I33" s="9">
        <f t="shared" si="0"/>
        <v>59533725.074059986</v>
      </c>
      <c r="J33" s="33">
        <f t="shared" si="1"/>
        <v>47889465</v>
      </c>
      <c r="K33" s="9">
        <f t="shared" si="26"/>
        <v>11644260</v>
      </c>
      <c r="L33" s="112">
        <f t="shared" si="27"/>
        <v>0</v>
      </c>
      <c r="M33" s="458">
        <f>ROUND(100-'Townwide Contributions'!L32,2)</f>
        <v>17.5</v>
      </c>
      <c r="N33" s="9">
        <v>4505</v>
      </c>
      <c r="O33" s="9">
        <f t="shared" si="2"/>
        <v>4521</v>
      </c>
      <c r="P33" s="9">
        <f t="shared" si="3"/>
        <v>0</v>
      </c>
      <c r="Q33" s="28">
        <f t="shared" si="4"/>
        <v>470184</v>
      </c>
      <c r="R33" s="382">
        <f t="shared" si="28"/>
        <v>470184</v>
      </c>
      <c r="S33" s="28">
        <v>11784535</v>
      </c>
      <c r="T33" s="33">
        <f t="shared" si="5"/>
        <v>11920165</v>
      </c>
      <c r="U33" s="9">
        <f t="shared" si="6"/>
        <v>0</v>
      </c>
      <c r="V33" s="33">
        <f t="shared" si="7"/>
        <v>12254719</v>
      </c>
      <c r="W33" s="33">
        <f t="shared" si="8"/>
        <v>0</v>
      </c>
      <c r="X33" s="33">
        <v>0</v>
      </c>
      <c r="Y33" s="113">
        <f t="shared" si="29"/>
        <v>12254719</v>
      </c>
      <c r="Z33" s="155">
        <f t="shared" si="9"/>
        <v>20.584498928557089</v>
      </c>
      <c r="AA33" s="33">
        <f t="shared" si="10"/>
        <v>60144184</v>
      </c>
      <c r="AB33" s="114">
        <f t="shared" si="11"/>
        <v>101.0254001831409</v>
      </c>
      <c r="AC33" s="28">
        <f t="shared" si="12"/>
        <v>2109749.1902199984</v>
      </c>
      <c r="AD33" s="28">
        <f t="shared" si="13"/>
        <v>470184</v>
      </c>
      <c r="AE33" s="28">
        <f t="shared" si="14"/>
        <v>1836317.1120395027</v>
      </c>
      <c r="AF33" s="115">
        <f t="shared" si="15"/>
        <v>3.084498928557089</v>
      </c>
      <c r="AG33" s="28">
        <f t="shared" si="16"/>
        <v>13168.26</v>
      </c>
      <c r="AI33" s="28">
        <f t="shared" si="17"/>
        <v>0</v>
      </c>
      <c r="AJ33" s="28"/>
      <c r="AK33" s="28">
        <f t="shared" si="18"/>
        <v>104</v>
      </c>
      <c r="AL33" s="156"/>
      <c r="AM33" s="6">
        <f t="shared" si="19"/>
        <v>26</v>
      </c>
      <c r="AN33" s="6" t="str">
        <f t="shared" si="20"/>
        <v xml:space="preserve">Belmont                      </v>
      </c>
      <c r="AO33" s="6">
        <f t="shared" si="21"/>
        <v>1</v>
      </c>
      <c r="AP33" s="9">
        <f t="shared" si="30"/>
        <v>4521</v>
      </c>
      <c r="AQ33" s="9">
        <f t="shared" si="22"/>
        <v>59533725.074059986</v>
      </c>
      <c r="AR33" s="33">
        <f t="shared" si="23"/>
        <v>47889465</v>
      </c>
      <c r="AS33" s="33">
        <f t="shared" si="24"/>
        <v>12254719</v>
      </c>
      <c r="AU33" s="28"/>
      <c r="AV33" s="9"/>
      <c r="AW33" s="519"/>
    </row>
    <row r="34" spans="1:49">
      <c r="A34" s="6">
        <v>27</v>
      </c>
      <c r="B34" s="6" t="s">
        <v>1146</v>
      </c>
      <c r="C34" s="7">
        <v>1</v>
      </c>
      <c r="D34" s="9">
        <v>8929788.1399999987</v>
      </c>
      <c r="E34" s="9">
        <v>4777868</v>
      </c>
      <c r="F34" s="9">
        <v>4151920</v>
      </c>
      <c r="G34" s="348"/>
      <c r="H34" s="111">
        <f t="shared" si="25"/>
        <v>4151920</v>
      </c>
      <c r="I34" s="9">
        <f t="shared" si="0"/>
        <v>8895289.5700000003</v>
      </c>
      <c r="J34" s="33">
        <f t="shared" si="1"/>
        <v>5017565</v>
      </c>
      <c r="K34" s="9">
        <f t="shared" si="26"/>
        <v>3877725</v>
      </c>
      <c r="L34" s="112">
        <f t="shared" si="27"/>
        <v>0</v>
      </c>
      <c r="M34" s="458">
        <f>ROUND(100-'Townwide Contributions'!L33,2)</f>
        <v>40.35</v>
      </c>
      <c r="N34" s="9">
        <v>698</v>
      </c>
      <c r="O34" s="9">
        <f t="shared" si="2"/>
        <v>682</v>
      </c>
      <c r="P34" s="9">
        <f t="shared" si="3"/>
        <v>0</v>
      </c>
      <c r="Q34" s="28">
        <f t="shared" si="4"/>
        <v>70928</v>
      </c>
      <c r="R34" s="382">
        <f t="shared" si="28"/>
        <v>70928</v>
      </c>
      <c r="S34" s="28">
        <v>4151920</v>
      </c>
      <c r="T34" s="33">
        <f t="shared" si="5"/>
        <v>4172380</v>
      </c>
      <c r="U34" s="9">
        <f t="shared" si="6"/>
        <v>0</v>
      </c>
      <c r="V34" s="33">
        <f t="shared" si="7"/>
        <v>4222848</v>
      </c>
      <c r="W34" s="33">
        <f t="shared" si="8"/>
        <v>0</v>
      </c>
      <c r="X34" s="33">
        <v>0</v>
      </c>
      <c r="Y34" s="113">
        <f t="shared" si="29"/>
        <v>4222848</v>
      </c>
      <c r="Z34" s="155">
        <f t="shared" si="9"/>
        <v>47.472855906139991</v>
      </c>
      <c r="AA34" s="33">
        <f t="shared" si="10"/>
        <v>9240413</v>
      </c>
      <c r="AB34" s="114">
        <f t="shared" si="11"/>
        <v>103.87984480194949</v>
      </c>
      <c r="AC34" s="28">
        <f t="shared" si="12"/>
        <v>-34498.569999998435</v>
      </c>
      <c r="AD34" s="28">
        <f t="shared" si="13"/>
        <v>70928</v>
      </c>
      <c r="AE34" s="28">
        <f t="shared" si="14"/>
        <v>633598.65850499971</v>
      </c>
      <c r="AF34" s="115">
        <f t="shared" si="15"/>
        <v>7.1228559061399892</v>
      </c>
      <c r="AG34" s="28">
        <f t="shared" si="16"/>
        <v>13042.95</v>
      </c>
      <c r="AI34" s="28">
        <f t="shared" si="17"/>
        <v>0</v>
      </c>
      <c r="AJ34" s="28"/>
      <c r="AK34" s="28">
        <f t="shared" si="18"/>
        <v>104</v>
      </c>
      <c r="AL34" s="156"/>
      <c r="AM34" s="6">
        <f t="shared" si="19"/>
        <v>27</v>
      </c>
      <c r="AN34" s="6" t="str">
        <f t="shared" si="20"/>
        <v xml:space="preserve">Berkley                      </v>
      </c>
      <c r="AO34" s="6">
        <f t="shared" si="21"/>
        <v>1</v>
      </c>
      <c r="AP34" s="9">
        <f t="shared" si="30"/>
        <v>682</v>
      </c>
      <c r="AQ34" s="9">
        <f t="shared" si="22"/>
        <v>8895289.5700000003</v>
      </c>
      <c r="AR34" s="33">
        <f t="shared" si="23"/>
        <v>5017565</v>
      </c>
      <c r="AS34" s="33">
        <f t="shared" si="24"/>
        <v>4222848</v>
      </c>
      <c r="AU34" s="28"/>
      <c r="AV34" s="9"/>
      <c r="AW34" s="519"/>
    </row>
    <row r="35" spans="1:49">
      <c r="A35" s="6">
        <v>28</v>
      </c>
      <c r="B35" s="6" t="s">
        <v>1147</v>
      </c>
      <c r="C35" s="7">
        <v>0</v>
      </c>
      <c r="D35" s="9">
        <v>0</v>
      </c>
      <c r="E35" s="9">
        <v>0</v>
      </c>
      <c r="F35" s="9">
        <v>0</v>
      </c>
      <c r="G35" s="348"/>
      <c r="H35" s="111">
        <f t="shared" si="25"/>
        <v>0</v>
      </c>
      <c r="I35" s="9">
        <f t="shared" si="0"/>
        <v>0</v>
      </c>
      <c r="J35" s="33">
        <f t="shared" si="1"/>
        <v>0</v>
      </c>
      <c r="K35" s="9">
        <f t="shared" si="26"/>
        <v>0</v>
      </c>
      <c r="L35" s="112">
        <f t="shared" si="27"/>
        <v>0</v>
      </c>
      <c r="M35" s="458">
        <f>ROUND(100-'Townwide Contributions'!L34,2)</f>
        <v>17.5</v>
      </c>
      <c r="N35" s="9">
        <v>0</v>
      </c>
      <c r="O35" s="9">
        <f t="shared" si="2"/>
        <v>0</v>
      </c>
      <c r="P35" s="9">
        <f t="shared" si="3"/>
        <v>0</v>
      </c>
      <c r="Q35" s="28">
        <f t="shared" si="4"/>
        <v>0</v>
      </c>
      <c r="R35" s="382">
        <f t="shared" si="28"/>
        <v>0</v>
      </c>
      <c r="S35" s="28">
        <v>0</v>
      </c>
      <c r="T35" s="33">
        <f t="shared" si="5"/>
        <v>0</v>
      </c>
      <c r="U35" s="9">
        <f t="shared" si="6"/>
        <v>0</v>
      </c>
      <c r="V35" s="33">
        <f t="shared" si="7"/>
        <v>0</v>
      </c>
      <c r="W35" s="33">
        <f t="shared" si="8"/>
        <v>0</v>
      </c>
      <c r="X35" s="33">
        <v>0</v>
      </c>
      <c r="Y35" s="113">
        <f t="shared" si="29"/>
        <v>0</v>
      </c>
      <c r="Z35" s="155">
        <f t="shared" si="9"/>
        <v>0</v>
      </c>
      <c r="AA35" s="33">
        <f t="shared" si="10"/>
        <v>0</v>
      </c>
      <c r="AB35" s="114">
        <f t="shared" si="11"/>
        <v>0</v>
      </c>
      <c r="AC35" s="28">
        <f t="shared" si="12"/>
        <v>0</v>
      </c>
      <c r="AD35" s="28">
        <f t="shared" si="13"/>
        <v>0</v>
      </c>
      <c r="AE35" s="28">
        <f t="shared" si="14"/>
        <v>0</v>
      </c>
      <c r="AF35" s="115" t="str">
        <f t="shared" si="15"/>
        <v/>
      </c>
      <c r="AG35" s="28">
        <f t="shared" si="16"/>
        <v>0</v>
      </c>
      <c r="AI35" s="28">
        <f t="shared" si="17"/>
        <v>0</v>
      </c>
      <c r="AJ35" s="28"/>
      <c r="AK35" s="28">
        <f t="shared" si="18"/>
        <v>0</v>
      </c>
      <c r="AL35" s="156"/>
      <c r="AM35" s="6">
        <f t="shared" si="19"/>
        <v>28</v>
      </c>
      <c r="AN35" s="6" t="str">
        <f t="shared" si="20"/>
        <v xml:space="preserve">Berlin                       </v>
      </c>
      <c r="AO35" s="6">
        <f t="shared" si="21"/>
        <v>0</v>
      </c>
      <c r="AP35" s="9">
        <f t="shared" si="30"/>
        <v>0</v>
      </c>
      <c r="AQ35" s="9">
        <f t="shared" si="22"/>
        <v>0</v>
      </c>
      <c r="AR35" s="33">
        <f t="shared" si="23"/>
        <v>0</v>
      </c>
      <c r="AS35" s="33">
        <f t="shared" si="24"/>
        <v>0</v>
      </c>
      <c r="AU35" s="28"/>
      <c r="AW35" s="519"/>
    </row>
    <row r="36" spans="1:49">
      <c r="A36" s="6">
        <v>29</v>
      </c>
      <c r="B36" s="6" t="s">
        <v>1148</v>
      </c>
      <c r="C36" s="7">
        <v>0</v>
      </c>
      <c r="D36" s="9">
        <v>0</v>
      </c>
      <c r="E36" s="9">
        <v>0</v>
      </c>
      <c r="F36" s="9">
        <v>0</v>
      </c>
      <c r="G36" s="348"/>
      <c r="H36" s="111">
        <f t="shared" si="25"/>
        <v>0</v>
      </c>
      <c r="I36" s="9">
        <f t="shared" si="0"/>
        <v>0</v>
      </c>
      <c r="J36" s="33">
        <f t="shared" si="1"/>
        <v>0</v>
      </c>
      <c r="K36" s="9">
        <f t="shared" si="26"/>
        <v>0</v>
      </c>
      <c r="L36" s="112">
        <f t="shared" si="27"/>
        <v>0</v>
      </c>
      <c r="M36" s="458">
        <f>ROUND(100-'Townwide Contributions'!L35,2)</f>
        <v>39.450000000000003</v>
      </c>
      <c r="N36" s="9">
        <v>0</v>
      </c>
      <c r="O36" s="9">
        <f t="shared" si="2"/>
        <v>0</v>
      </c>
      <c r="P36" s="9">
        <f t="shared" si="3"/>
        <v>0</v>
      </c>
      <c r="Q36" s="28">
        <f t="shared" si="4"/>
        <v>0</v>
      </c>
      <c r="R36" s="382">
        <f t="shared" si="28"/>
        <v>0</v>
      </c>
      <c r="S36" s="28">
        <v>0</v>
      </c>
      <c r="T36" s="33">
        <f t="shared" si="5"/>
        <v>0</v>
      </c>
      <c r="U36" s="9">
        <f t="shared" si="6"/>
        <v>0</v>
      </c>
      <c r="V36" s="33">
        <f t="shared" si="7"/>
        <v>0</v>
      </c>
      <c r="W36" s="33">
        <f t="shared" si="8"/>
        <v>0</v>
      </c>
      <c r="X36" s="33">
        <v>0</v>
      </c>
      <c r="Y36" s="113">
        <f t="shared" si="29"/>
        <v>0</v>
      </c>
      <c r="Z36" s="155">
        <f t="shared" si="9"/>
        <v>0</v>
      </c>
      <c r="AA36" s="33">
        <f t="shared" si="10"/>
        <v>0</v>
      </c>
      <c r="AB36" s="114">
        <f t="shared" si="11"/>
        <v>0</v>
      </c>
      <c r="AC36" s="28">
        <f t="shared" si="12"/>
        <v>0</v>
      </c>
      <c r="AD36" s="28">
        <f t="shared" si="13"/>
        <v>0</v>
      </c>
      <c r="AE36" s="28">
        <f t="shared" si="14"/>
        <v>0</v>
      </c>
      <c r="AF36" s="115" t="str">
        <f t="shared" si="15"/>
        <v/>
      </c>
      <c r="AG36" s="28">
        <f t="shared" si="16"/>
        <v>0</v>
      </c>
      <c r="AI36" s="28">
        <f t="shared" si="17"/>
        <v>0</v>
      </c>
      <c r="AJ36" s="28"/>
      <c r="AK36" s="28">
        <f t="shared" si="18"/>
        <v>0</v>
      </c>
      <c r="AL36" s="156"/>
      <c r="AM36" s="6">
        <f t="shared" si="19"/>
        <v>29</v>
      </c>
      <c r="AN36" s="6" t="str">
        <f t="shared" si="20"/>
        <v xml:space="preserve">Bernardston                  </v>
      </c>
      <c r="AO36" s="6">
        <f t="shared" si="21"/>
        <v>0</v>
      </c>
      <c r="AP36" s="9">
        <f t="shared" si="30"/>
        <v>0</v>
      </c>
      <c r="AQ36" s="9">
        <f t="shared" si="22"/>
        <v>0</v>
      </c>
      <c r="AR36" s="33">
        <f t="shared" si="23"/>
        <v>0</v>
      </c>
      <c r="AS36" s="33">
        <f t="shared" si="24"/>
        <v>0</v>
      </c>
      <c r="AU36" s="28"/>
      <c r="AW36" s="519"/>
    </row>
    <row r="37" spans="1:49">
      <c r="A37" s="6">
        <v>30</v>
      </c>
      <c r="B37" s="6" t="s">
        <v>1149</v>
      </c>
      <c r="C37" s="7">
        <v>1</v>
      </c>
      <c r="D37" s="9">
        <v>61798815.259999998</v>
      </c>
      <c r="E37" s="9">
        <v>47254334</v>
      </c>
      <c r="F37" s="9">
        <v>14544481</v>
      </c>
      <c r="G37" s="348"/>
      <c r="H37" s="111">
        <f t="shared" si="25"/>
        <v>14544481</v>
      </c>
      <c r="I37" s="9">
        <f t="shared" si="0"/>
        <v>62707090.120000005</v>
      </c>
      <c r="J37" s="33">
        <f t="shared" si="1"/>
        <v>49168020</v>
      </c>
      <c r="K37" s="9">
        <f t="shared" si="26"/>
        <v>13539070</v>
      </c>
      <c r="L37" s="112">
        <f t="shared" si="27"/>
        <v>0</v>
      </c>
      <c r="M37" s="458">
        <f>ROUND(100-'Townwide Contributions'!L36,2)</f>
        <v>17.5</v>
      </c>
      <c r="N37" s="9">
        <v>4541</v>
      </c>
      <c r="O37" s="9">
        <f t="shared" si="2"/>
        <v>4466</v>
      </c>
      <c r="P37" s="9">
        <f t="shared" si="3"/>
        <v>0</v>
      </c>
      <c r="Q37" s="28">
        <f t="shared" si="4"/>
        <v>464464</v>
      </c>
      <c r="R37" s="382">
        <f t="shared" si="28"/>
        <v>464464</v>
      </c>
      <c r="S37" s="28">
        <v>14544481</v>
      </c>
      <c r="T37" s="33">
        <f t="shared" si="5"/>
        <v>14678461</v>
      </c>
      <c r="U37" s="9">
        <f t="shared" si="6"/>
        <v>0</v>
      </c>
      <c r="V37" s="33">
        <f t="shared" si="7"/>
        <v>15008945</v>
      </c>
      <c r="W37" s="33">
        <f t="shared" si="8"/>
        <v>0</v>
      </c>
      <c r="X37" s="33">
        <v>0</v>
      </c>
      <c r="Y37" s="113">
        <f t="shared" si="29"/>
        <v>15008945</v>
      </c>
      <c r="Z37" s="155">
        <f t="shared" si="9"/>
        <v>23.935004751899655</v>
      </c>
      <c r="AA37" s="33">
        <f t="shared" si="10"/>
        <v>64176965</v>
      </c>
      <c r="AB37" s="114">
        <f t="shared" si="11"/>
        <v>102.34403299082632</v>
      </c>
      <c r="AC37" s="28">
        <f t="shared" si="12"/>
        <v>908274.86000000685</v>
      </c>
      <c r="AD37" s="28">
        <f t="shared" si="13"/>
        <v>464464</v>
      </c>
      <c r="AE37" s="28">
        <f t="shared" si="14"/>
        <v>4035204.2290000003</v>
      </c>
      <c r="AF37" s="115">
        <f t="shared" si="15"/>
        <v>6.4350047518996547</v>
      </c>
      <c r="AG37" s="28">
        <f t="shared" si="16"/>
        <v>14041</v>
      </c>
      <c r="AI37" s="28">
        <f t="shared" si="17"/>
        <v>0</v>
      </c>
      <c r="AJ37" s="28"/>
      <c r="AK37" s="28">
        <f t="shared" si="18"/>
        <v>104</v>
      </c>
      <c r="AL37" s="156"/>
      <c r="AM37" s="6">
        <f t="shared" si="19"/>
        <v>30</v>
      </c>
      <c r="AN37" s="6" t="str">
        <f t="shared" si="20"/>
        <v xml:space="preserve">Beverly                      </v>
      </c>
      <c r="AO37" s="6">
        <f t="shared" si="21"/>
        <v>1</v>
      </c>
      <c r="AP37" s="9">
        <f t="shared" si="30"/>
        <v>4466</v>
      </c>
      <c r="AQ37" s="9">
        <f t="shared" si="22"/>
        <v>62707090.120000005</v>
      </c>
      <c r="AR37" s="33">
        <f t="shared" si="23"/>
        <v>49168020</v>
      </c>
      <c r="AS37" s="33">
        <f t="shared" si="24"/>
        <v>15008945</v>
      </c>
      <c r="AU37" s="28"/>
      <c r="AV37" s="9"/>
      <c r="AW37" s="519"/>
    </row>
    <row r="38" spans="1:49">
      <c r="A38" s="6">
        <v>31</v>
      </c>
      <c r="B38" s="6" t="s">
        <v>1150</v>
      </c>
      <c r="C38" s="7">
        <v>1</v>
      </c>
      <c r="D38" s="9">
        <v>63590856.680000007</v>
      </c>
      <c r="E38" s="9">
        <v>49635324</v>
      </c>
      <c r="F38" s="9">
        <v>20069934</v>
      </c>
      <c r="G38" s="348"/>
      <c r="H38" s="111">
        <f t="shared" si="25"/>
        <v>20069934</v>
      </c>
      <c r="I38" s="9">
        <f t="shared" si="0"/>
        <v>65232366.109999992</v>
      </c>
      <c r="J38" s="33">
        <f t="shared" si="1"/>
        <v>52490595</v>
      </c>
      <c r="K38" s="9">
        <f t="shared" si="26"/>
        <v>12741771</v>
      </c>
      <c r="L38" s="112">
        <f t="shared" si="27"/>
        <v>0</v>
      </c>
      <c r="M38" s="458">
        <f>ROUND(100-'Townwide Contributions'!L37,2)</f>
        <v>17.5</v>
      </c>
      <c r="N38" s="9">
        <v>4879</v>
      </c>
      <c r="O38" s="9">
        <f t="shared" si="2"/>
        <v>4925</v>
      </c>
      <c r="P38" s="9">
        <f t="shared" si="3"/>
        <v>0</v>
      </c>
      <c r="Q38" s="28">
        <f t="shared" si="4"/>
        <v>512200</v>
      </c>
      <c r="R38" s="382">
        <f t="shared" si="28"/>
        <v>512200</v>
      </c>
      <c r="S38" s="28">
        <v>20069934</v>
      </c>
      <c r="T38" s="33">
        <f t="shared" si="5"/>
        <v>20217684</v>
      </c>
      <c r="U38" s="9">
        <f t="shared" si="6"/>
        <v>0</v>
      </c>
      <c r="V38" s="33">
        <f t="shared" si="7"/>
        <v>20582134</v>
      </c>
      <c r="W38" s="33">
        <f t="shared" si="8"/>
        <v>0</v>
      </c>
      <c r="X38" s="33">
        <v>0</v>
      </c>
      <c r="Y38" s="113">
        <f t="shared" si="29"/>
        <v>20582134</v>
      </c>
      <c r="Z38" s="155">
        <f t="shared" si="9"/>
        <v>31.552027356010313</v>
      </c>
      <c r="AA38" s="33">
        <f t="shared" si="10"/>
        <v>73072729</v>
      </c>
      <c r="AB38" s="114">
        <f t="shared" si="11"/>
        <v>112.01913000791504</v>
      </c>
      <c r="AC38" s="28">
        <f t="shared" si="12"/>
        <v>1641509.4299999848</v>
      </c>
      <c r="AD38" s="28">
        <f t="shared" si="13"/>
        <v>512200</v>
      </c>
      <c r="AE38" s="28">
        <f t="shared" si="14"/>
        <v>9166469.9307500012</v>
      </c>
      <c r="AF38" s="115">
        <f t="shared" si="15"/>
        <v>14.052027356010313</v>
      </c>
      <c r="AG38" s="28">
        <f t="shared" si="16"/>
        <v>13245.15</v>
      </c>
      <c r="AI38" s="28">
        <f t="shared" si="17"/>
        <v>0</v>
      </c>
      <c r="AJ38" s="28"/>
      <c r="AK38" s="28">
        <f t="shared" si="18"/>
        <v>104</v>
      </c>
      <c r="AL38" s="156"/>
      <c r="AM38" s="6">
        <f t="shared" si="19"/>
        <v>31</v>
      </c>
      <c r="AN38" s="6" t="str">
        <f t="shared" si="20"/>
        <v xml:space="preserve">Billerica                    </v>
      </c>
      <c r="AO38" s="6">
        <f t="shared" si="21"/>
        <v>1</v>
      </c>
      <c r="AP38" s="9">
        <f t="shared" si="30"/>
        <v>4925</v>
      </c>
      <c r="AQ38" s="9">
        <f t="shared" si="22"/>
        <v>65232366.109999992</v>
      </c>
      <c r="AR38" s="33">
        <f t="shared" si="23"/>
        <v>52490595</v>
      </c>
      <c r="AS38" s="33">
        <f t="shared" si="24"/>
        <v>20582134</v>
      </c>
      <c r="AU38" s="28"/>
      <c r="AV38" s="9"/>
      <c r="AW38" s="519"/>
    </row>
    <row r="39" spans="1:49">
      <c r="A39" s="6">
        <v>32</v>
      </c>
      <c r="B39" s="6" t="s">
        <v>1151</v>
      </c>
      <c r="C39" s="7">
        <v>0</v>
      </c>
      <c r="D39" s="9">
        <v>393567.83999999997</v>
      </c>
      <c r="E39" s="9">
        <v>197879</v>
      </c>
      <c r="F39" s="9">
        <v>234189</v>
      </c>
      <c r="G39" s="348"/>
      <c r="H39" s="111">
        <f t="shared" si="25"/>
        <v>234189</v>
      </c>
      <c r="I39" s="9">
        <f t="shared" si="0"/>
        <v>317959.23</v>
      </c>
      <c r="J39" s="33">
        <f t="shared" si="1"/>
        <v>163461</v>
      </c>
      <c r="K39" s="9">
        <f t="shared" si="26"/>
        <v>154498</v>
      </c>
      <c r="L39" s="112">
        <f t="shared" si="27"/>
        <v>0</v>
      </c>
      <c r="M39" s="458">
        <f>ROUND(100-'Townwide Contributions'!L38,2)</f>
        <v>45</v>
      </c>
      <c r="N39" s="9">
        <v>22</v>
      </c>
      <c r="O39" s="9">
        <f t="shared" si="2"/>
        <v>17</v>
      </c>
      <c r="P39" s="9">
        <f t="shared" si="3"/>
        <v>0</v>
      </c>
      <c r="Q39" s="28">
        <f t="shared" si="4"/>
        <v>0</v>
      </c>
      <c r="R39" s="382">
        <f t="shared" si="28"/>
        <v>0</v>
      </c>
      <c r="S39" s="28">
        <v>234189</v>
      </c>
      <c r="T39" s="33">
        <f t="shared" si="5"/>
        <v>234699</v>
      </c>
      <c r="U39" s="9">
        <f t="shared" si="6"/>
        <v>0</v>
      </c>
      <c r="V39" s="33">
        <f t="shared" si="7"/>
        <v>234189</v>
      </c>
      <c r="W39" s="33">
        <f t="shared" si="8"/>
        <v>0</v>
      </c>
      <c r="X39" s="33">
        <v>0</v>
      </c>
      <c r="Y39" s="113">
        <f t="shared" si="29"/>
        <v>234189</v>
      </c>
      <c r="Z39" s="155">
        <f t="shared" si="9"/>
        <v>0</v>
      </c>
      <c r="AA39" s="33">
        <f t="shared" si="10"/>
        <v>397650</v>
      </c>
      <c r="AB39" s="114">
        <f t="shared" si="11"/>
        <v>125.06320385792858</v>
      </c>
      <c r="AC39" s="28">
        <f t="shared" si="12"/>
        <v>-75608.609999999986</v>
      </c>
      <c r="AD39" s="28">
        <f t="shared" si="13"/>
        <v>0</v>
      </c>
      <c r="AE39" s="28">
        <f t="shared" si="14"/>
        <v>91107.346500000014</v>
      </c>
      <c r="AF39" s="115" t="str">
        <f t="shared" si="15"/>
        <v/>
      </c>
      <c r="AG39" s="28">
        <f t="shared" si="16"/>
        <v>18703.48</v>
      </c>
      <c r="AI39" s="28">
        <f t="shared" si="17"/>
        <v>0</v>
      </c>
      <c r="AJ39" s="28"/>
      <c r="AK39" s="28">
        <f t="shared" si="18"/>
        <v>0</v>
      </c>
      <c r="AL39" s="156"/>
      <c r="AM39" s="6">
        <f t="shared" si="19"/>
        <v>32</v>
      </c>
      <c r="AN39" s="6" t="str">
        <f t="shared" si="20"/>
        <v xml:space="preserve">Blackstone                   </v>
      </c>
      <c r="AO39" s="6">
        <f t="shared" si="21"/>
        <v>0</v>
      </c>
      <c r="AP39" s="9">
        <f t="shared" si="30"/>
        <v>17</v>
      </c>
      <c r="AQ39" s="9">
        <f t="shared" si="22"/>
        <v>317959.23</v>
      </c>
      <c r="AR39" s="33">
        <f t="shared" si="23"/>
        <v>163461</v>
      </c>
      <c r="AS39" s="33">
        <f t="shared" si="24"/>
        <v>234189</v>
      </c>
      <c r="AU39" s="28"/>
      <c r="AV39" s="9"/>
      <c r="AW39" s="519"/>
    </row>
    <row r="40" spans="1:49">
      <c r="A40" s="6">
        <v>33</v>
      </c>
      <c r="B40" s="6" t="s">
        <v>1152</v>
      </c>
      <c r="C40" s="7">
        <v>0</v>
      </c>
      <c r="D40" s="9">
        <v>245151</v>
      </c>
      <c r="E40" s="9">
        <v>186549</v>
      </c>
      <c r="F40" s="9">
        <v>58602</v>
      </c>
      <c r="G40" s="348"/>
      <c r="H40" s="111">
        <f t="shared" si="25"/>
        <v>58602</v>
      </c>
      <c r="I40" s="9">
        <f t="shared" si="0"/>
        <v>250517.91</v>
      </c>
      <c r="J40" s="33">
        <f t="shared" si="1"/>
        <v>172932</v>
      </c>
      <c r="K40" s="9">
        <f t="shared" si="26"/>
        <v>77586</v>
      </c>
      <c r="L40" s="112">
        <f t="shared" si="27"/>
        <v>18984</v>
      </c>
      <c r="M40" s="458">
        <f>ROUND(100-'Townwide Contributions'!L39,2)</f>
        <v>17.5</v>
      </c>
      <c r="N40" s="9">
        <v>13</v>
      </c>
      <c r="O40" s="9">
        <f t="shared" si="2"/>
        <v>13</v>
      </c>
      <c r="P40" s="9">
        <f t="shared" si="3"/>
        <v>0</v>
      </c>
      <c r="Q40" s="28">
        <f t="shared" si="4"/>
        <v>0</v>
      </c>
      <c r="R40" s="382">
        <f t="shared" si="28"/>
        <v>0</v>
      </c>
      <c r="S40" s="28">
        <v>58877</v>
      </c>
      <c r="T40" s="33">
        <f t="shared" si="5"/>
        <v>59267</v>
      </c>
      <c r="U40" s="9">
        <f t="shared" si="6"/>
        <v>0</v>
      </c>
      <c r="V40" s="33">
        <f t="shared" si="7"/>
        <v>77586</v>
      </c>
      <c r="W40" s="33">
        <f t="shared" si="8"/>
        <v>0</v>
      </c>
      <c r="X40" s="33">
        <v>0</v>
      </c>
      <c r="Y40" s="113">
        <f t="shared" si="29"/>
        <v>77586</v>
      </c>
      <c r="Z40" s="155">
        <f t="shared" si="9"/>
        <v>0</v>
      </c>
      <c r="AA40" s="33">
        <f t="shared" si="10"/>
        <v>250518</v>
      </c>
      <c r="AB40" s="114">
        <f t="shared" si="11"/>
        <v>100.00003592557513</v>
      </c>
      <c r="AC40" s="28">
        <f t="shared" si="12"/>
        <v>5366.9100000000035</v>
      </c>
      <c r="AD40" s="28">
        <f t="shared" si="13"/>
        <v>18984</v>
      </c>
      <c r="AE40" s="28">
        <f t="shared" si="14"/>
        <v>33745.365750000004</v>
      </c>
      <c r="AF40" s="115" t="str">
        <f t="shared" si="15"/>
        <v/>
      </c>
      <c r="AG40" s="28">
        <f t="shared" si="16"/>
        <v>19270.61</v>
      </c>
      <c r="AI40" s="28">
        <f t="shared" si="17"/>
        <v>0</v>
      </c>
      <c r="AJ40" s="28"/>
      <c r="AK40" s="28">
        <f t="shared" si="18"/>
        <v>1460.3076923076924</v>
      </c>
      <c r="AL40" s="156"/>
      <c r="AM40" s="6">
        <f t="shared" si="19"/>
        <v>33</v>
      </c>
      <c r="AN40" s="6" t="str">
        <f t="shared" si="20"/>
        <v xml:space="preserve">Blandford                    </v>
      </c>
      <c r="AO40" s="6">
        <f t="shared" si="21"/>
        <v>0</v>
      </c>
      <c r="AP40" s="9">
        <f t="shared" si="30"/>
        <v>13</v>
      </c>
      <c r="AQ40" s="9">
        <f t="shared" si="22"/>
        <v>250517.91</v>
      </c>
      <c r="AR40" s="33">
        <f t="shared" si="23"/>
        <v>172932</v>
      </c>
      <c r="AS40" s="33">
        <f t="shared" si="24"/>
        <v>77586</v>
      </c>
      <c r="AU40" s="28"/>
      <c r="AV40" s="9"/>
      <c r="AW40" s="519"/>
    </row>
    <row r="41" spans="1:49">
      <c r="A41" s="6">
        <v>34</v>
      </c>
      <c r="B41" s="6" t="s">
        <v>1153</v>
      </c>
      <c r="C41" s="7">
        <v>0</v>
      </c>
      <c r="D41" s="9">
        <v>0</v>
      </c>
      <c r="E41" s="9">
        <v>0</v>
      </c>
      <c r="F41" s="9">
        <v>0</v>
      </c>
      <c r="G41" s="348"/>
      <c r="H41" s="111">
        <f t="shared" si="25"/>
        <v>0</v>
      </c>
      <c r="I41" s="9">
        <f t="shared" si="0"/>
        <v>0</v>
      </c>
      <c r="J41" s="33">
        <f t="shared" si="1"/>
        <v>0</v>
      </c>
      <c r="K41" s="9">
        <f t="shared" si="26"/>
        <v>0</v>
      </c>
      <c r="L41" s="112">
        <f t="shared" si="27"/>
        <v>0</v>
      </c>
      <c r="M41" s="458">
        <f>ROUND(100-'Townwide Contributions'!L40,2)</f>
        <v>17.5</v>
      </c>
      <c r="N41" s="9">
        <v>0</v>
      </c>
      <c r="O41" s="9">
        <f t="shared" si="2"/>
        <v>0</v>
      </c>
      <c r="P41" s="9">
        <f t="shared" si="3"/>
        <v>0</v>
      </c>
      <c r="Q41" s="28">
        <f t="shared" si="4"/>
        <v>0</v>
      </c>
      <c r="R41" s="382">
        <f t="shared" si="28"/>
        <v>0</v>
      </c>
      <c r="S41" s="28">
        <v>0</v>
      </c>
      <c r="T41" s="33">
        <f t="shared" si="5"/>
        <v>0</v>
      </c>
      <c r="U41" s="9">
        <f t="shared" si="6"/>
        <v>0</v>
      </c>
      <c r="V41" s="33">
        <f t="shared" si="7"/>
        <v>0</v>
      </c>
      <c r="W41" s="33">
        <f t="shared" si="8"/>
        <v>0</v>
      </c>
      <c r="X41" s="33">
        <v>0</v>
      </c>
      <c r="Y41" s="113">
        <f t="shared" si="29"/>
        <v>0</v>
      </c>
      <c r="Z41" s="155">
        <f t="shared" si="9"/>
        <v>0</v>
      </c>
      <c r="AA41" s="33">
        <f t="shared" si="10"/>
        <v>0</v>
      </c>
      <c r="AB41" s="114">
        <f t="shared" si="11"/>
        <v>0</v>
      </c>
      <c r="AC41" s="28">
        <f t="shared" si="12"/>
        <v>0</v>
      </c>
      <c r="AD41" s="28">
        <f t="shared" si="13"/>
        <v>0</v>
      </c>
      <c r="AE41" s="28">
        <f t="shared" si="14"/>
        <v>0</v>
      </c>
      <c r="AF41" s="115" t="str">
        <f t="shared" si="15"/>
        <v/>
      </c>
      <c r="AG41" s="28">
        <f t="shared" si="16"/>
        <v>0</v>
      </c>
      <c r="AI41" s="28">
        <f t="shared" si="17"/>
        <v>0</v>
      </c>
      <c r="AJ41" s="28"/>
      <c r="AK41" s="28">
        <f t="shared" si="18"/>
        <v>0</v>
      </c>
      <c r="AL41" s="156"/>
      <c r="AM41" s="6">
        <f t="shared" si="19"/>
        <v>34</v>
      </c>
      <c r="AN41" s="6" t="str">
        <f t="shared" si="20"/>
        <v xml:space="preserve">Bolton                       </v>
      </c>
      <c r="AO41" s="6">
        <f t="shared" si="21"/>
        <v>0</v>
      </c>
      <c r="AP41" s="9">
        <f t="shared" si="30"/>
        <v>0</v>
      </c>
      <c r="AQ41" s="9">
        <f t="shared" si="22"/>
        <v>0</v>
      </c>
      <c r="AR41" s="33">
        <f t="shared" si="23"/>
        <v>0</v>
      </c>
      <c r="AS41" s="33">
        <f t="shared" si="24"/>
        <v>0</v>
      </c>
      <c r="AU41" s="28"/>
      <c r="AW41" s="519"/>
    </row>
    <row r="42" spans="1:49">
      <c r="A42" s="6">
        <v>35</v>
      </c>
      <c r="B42" s="6" t="s">
        <v>1154</v>
      </c>
      <c r="C42" s="7">
        <v>1</v>
      </c>
      <c r="D42" s="9">
        <v>1095713386.0691998</v>
      </c>
      <c r="E42" s="9">
        <v>880485066</v>
      </c>
      <c r="F42" s="9">
        <v>230700785</v>
      </c>
      <c r="G42" s="348"/>
      <c r="H42" s="111">
        <f t="shared" si="25"/>
        <v>230700785</v>
      </c>
      <c r="I42" s="9">
        <f t="shared" si="0"/>
        <v>1145949554.1332099</v>
      </c>
      <c r="J42" s="33">
        <f t="shared" si="1"/>
        <v>945408382</v>
      </c>
      <c r="K42" s="9">
        <f t="shared" si="26"/>
        <v>200541172</v>
      </c>
      <c r="L42" s="112">
        <f t="shared" si="27"/>
        <v>0</v>
      </c>
      <c r="M42" s="458">
        <f>ROUND(100-'Townwide Contributions'!L41,2)</f>
        <v>17.5</v>
      </c>
      <c r="N42" s="9">
        <v>57738</v>
      </c>
      <c r="O42" s="9">
        <f t="shared" si="2"/>
        <v>57369</v>
      </c>
      <c r="P42" s="9">
        <f t="shared" si="3"/>
        <v>0</v>
      </c>
      <c r="Q42" s="28">
        <f t="shared" si="4"/>
        <v>5966376</v>
      </c>
      <c r="R42" s="382">
        <f t="shared" si="28"/>
        <v>5966376</v>
      </c>
      <c r="S42" s="28">
        <v>230700785</v>
      </c>
      <c r="T42" s="33">
        <f t="shared" si="5"/>
        <v>232421855</v>
      </c>
      <c r="U42" s="9">
        <f t="shared" si="6"/>
        <v>0</v>
      </c>
      <c r="V42" s="33">
        <f t="shared" si="7"/>
        <v>236667161</v>
      </c>
      <c r="W42" s="33">
        <f t="shared" si="8"/>
        <v>0</v>
      </c>
      <c r="X42" s="33">
        <v>0</v>
      </c>
      <c r="Y42" s="113">
        <f t="shared" si="29"/>
        <v>236667161</v>
      </c>
      <c r="Z42" s="155">
        <f t="shared" si="9"/>
        <v>20.652493833292144</v>
      </c>
      <c r="AA42" s="33">
        <f t="shared" si="10"/>
        <v>1182075543</v>
      </c>
      <c r="AB42" s="114">
        <f t="shared" si="11"/>
        <v>103.1524938193388</v>
      </c>
      <c r="AC42" s="28">
        <f t="shared" si="12"/>
        <v>50236168.064010143</v>
      </c>
      <c r="AD42" s="28">
        <f t="shared" si="13"/>
        <v>5966376</v>
      </c>
      <c r="AE42" s="28">
        <f t="shared" si="14"/>
        <v>36125989.026688278</v>
      </c>
      <c r="AF42" s="115">
        <f t="shared" si="15"/>
        <v>3.1524938332921444</v>
      </c>
      <c r="AG42" s="28">
        <f t="shared" si="16"/>
        <v>19975.07</v>
      </c>
      <c r="AI42" s="28">
        <f t="shared" si="17"/>
        <v>0</v>
      </c>
      <c r="AJ42" s="28"/>
      <c r="AK42" s="28">
        <f t="shared" si="18"/>
        <v>104</v>
      </c>
      <c r="AL42" s="156"/>
      <c r="AM42" s="6">
        <f t="shared" si="19"/>
        <v>35</v>
      </c>
      <c r="AN42" s="6" t="str">
        <f t="shared" si="20"/>
        <v xml:space="preserve">Boston                       </v>
      </c>
      <c r="AO42" s="6">
        <f t="shared" si="21"/>
        <v>1</v>
      </c>
      <c r="AP42" s="9">
        <f t="shared" si="30"/>
        <v>57369</v>
      </c>
      <c r="AQ42" s="9">
        <f t="shared" si="22"/>
        <v>1145949554.1332099</v>
      </c>
      <c r="AR42" s="33">
        <f t="shared" si="23"/>
        <v>945408382</v>
      </c>
      <c r="AS42" s="33">
        <f t="shared" si="24"/>
        <v>236667161</v>
      </c>
      <c r="AU42" s="28"/>
      <c r="AV42" s="9"/>
      <c r="AW42" s="519"/>
    </row>
    <row r="43" spans="1:49">
      <c r="A43" s="6">
        <v>36</v>
      </c>
      <c r="B43" s="6" t="s">
        <v>1155</v>
      </c>
      <c r="C43" s="7">
        <v>1</v>
      </c>
      <c r="D43" s="9">
        <v>22858350.509999994</v>
      </c>
      <c r="E43" s="9">
        <v>18409357</v>
      </c>
      <c r="F43" s="9">
        <v>5472583</v>
      </c>
      <c r="G43" s="348"/>
      <c r="H43" s="111">
        <f t="shared" si="25"/>
        <v>5472583</v>
      </c>
      <c r="I43" s="9">
        <f t="shared" si="0"/>
        <v>24109451.629999992</v>
      </c>
      <c r="J43" s="33">
        <f t="shared" si="1"/>
        <v>19319804</v>
      </c>
      <c r="K43" s="9">
        <f t="shared" si="26"/>
        <v>4789648</v>
      </c>
      <c r="L43" s="112">
        <f t="shared" si="27"/>
        <v>0</v>
      </c>
      <c r="M43" s="458">
        <f>ROUND(100-'Townwide Contributions'!L42,2)</f>
        <v>17.5</v>
      </c>
      <c r="N43" s="9">
        <v>1678</v>
      </c>
      <c r="O43" s="9">
        <f t="shared" si="2"/>
        <v>1698</v>
      </c>
      <c r="P43" s="9">
        <f t="shared" si="3"/>
        <v>0</v>
      </c>
      <c r="Q43" s="28">
        <f t="shared" si="4"/>
        <v>176592</v>
      </c>
      <c r="R43" s="382">
        <f t="shared" si="28"/>
        <v>176592</v>
      </c>
      <c r="S43" s="28">
        <v>5472583</v>
      </c>
      <c r="T43" s="33">
        <f t="shared" si="5"/>
        <v>5523523</v>
      </c>
      <c r="U43" s="9">
        <f t="shared" si="6"/>
        <v>0</v>
      </c>
      <c r="V43" s="33">
        <f t="shared" si="7"/>
        <v>5649175</v>
      </c>
      <c r="W43" s="33">
        <f t="shared" si="8"/>
        <v>0</v>
      </c>
      <c r="X43" s="33">
        <v>0</v>
      </c>
      <c r="Y43" s="113">
        <f t="shared" si="29"/>
        <v>5649175</v>
      </c>
      <c r="Z43" s="155">
        <f t="shared" si="9"/>
        <v>23.431370761542293</v>
      </c>
      <c r="AA43" s="33">
        <f t="shared" si="10"/>
        <v>24968979</v>
      </c>
      <c r="AB43" s="114">
        <f t="shared" si="11"/>
        <v>103.56510543330018</v>
      </c>
      <c r="AC43" s="28">
        <f t="shared" si="12"/>
        <v>1251101.1199999973</v>
      </c>
      <c r="AD43" s="28">
        <f t="shared" si="13"/>
        <v>176592</v>
      </c>
      <c r="AE43" s="28">
        <f t="shared" si="14"/>
        <v>1430020.9647500021</v>
      </c>
      <c r="AF43" s="115">
        <f t="shared" si="15"/>
        <v>5.9313707615422935</v>
      </c>
      <c r="AG43" s="28">
        <f t="shared" si="16"/>
        <v>14198.73</v>
      </c>
      <c r="AI43" s="28">
        <f t="shared" si="17"/>
        <v>0</v>
      </c>
      <c r="AJ43" s="28"/>
      <c r="AK43" s="28">
        <f t="shared" si="18"/>
        <v>104</v>
      </c>
      <c r="AL43" s="156"/>
      <c r="AM43" s="6">
        <f t="shared" si="19"/>
        <v>36</v>
      </c>
      <c r="AN43" s="6" t="str">
        <f t="shared" si="20"/>
        <v xml:space="preserve">Bourne                       </v>
      </c>
      <c r="AO43" s="6">
        <f t="shared" si="21"/>
        <v>1</v>
      </c>
      <c r="AP43" s="9">
        <f t="shared" si="30"/>
        <v>1698</v>
      </c>
      <c r="AQ43" s="9">
        <f t="shared" si="22"/>
        <v>24109451.629999992</v>
      </c>
      <c r="AR43" s="33">
        <f t="shared" si="23"/>
        <v>19319804</v>
      </c>
      <c r="AS43" s="33">
        <f t="shared" si="24"/>
        <v>5649175</v>
      </c>
      <c r="AU43" s="28"/>
      <c r="AV43" s="9"/>
      <c r="AW43" s="519"/>
    </row>
    <row r="44" spans="1:49">
      <c r="A44" s="6">
        <v>37</v>
      </c>
      <c r="B44" s="6" t="s">
        <v>1156</v>
      </c>
      <c r="C44" s="7">
        <v>0</v>
      </c>
      <c r="D44" s="9">
        <v>107478.84312000001</v>
      </c>
      <c r="E44" s="9">
        <v>82107</v>
      </c>
      <c r="F44" s="9">
        <v>32909</v>
      </c>
      <c r="G44" s="348"/>
      <c r="H44" s="111">
        <f t="shared" si="25"/>
        <v>32909</v>
      </c>
      <c r="I44" s="9">
        <f t="shared" si="0"/>
        <v>90908.905050000016</v>
      </c>
      <c r="J44" s="33">
        <f t="shared" si="1"/>
        <v>69316</v>
      </c>
      <c r="K44" s="9">
        <f t="shared" si="26"/>
        <v>21593</v>
      </c>
      <c r="L44" s="112">
        <f t="shared" si="27"/>
        <v>0</v>
      </c>
      <c r="M44" s="458">
        <f>ROUND(100-'Townwide Contributions'!L43,2)</f>
        <v>17.5</v>
      </c>
      <c r="N44" s="9">
        <v>6</v>
      </c>
      <c r="O44" s="9">
        <f t="shared" si="2"/>
        <v>5</v>
      </c>
      <c r="P44" s="9">
        <f t="shared" si="3"/>
        <v>0</v>
      </c>
      <c r="Q44" s="28">
        <f t="shared" si="4"/>
        <v>0</v>
      </c>
      <c r="R44" s="382">
        <f t="shared" si="28"/>
        <v>0</v>
      </c>
      <c r="S44" s="28">
        <v>32909</v>
      </c>
      <c r="T44" s="33">
        <f t="shared" si="5"/>
        <v>33059</v>
      </c>
      <c r="U44" s="9">
        <f t="shared" si="6"/>
        <v>0</v>
      </c>
      <c r="V44" s="33">
        <f t="shared" si="7"/>
        <v>32909</v>
      </c>
      <c r="W44" s="33">
        <f t="shared" si="8"/>
        <v>0</v>
      </c>
      <c r="X44" s="33">
        <v>0</v>
      </c>
      <c r="Y44" s="113">
        <f t="shared" si="29"/>
        <v>32909</v>
      </c>
      <c r="Z44" s="155">
        <f t="shared" si="9"/>
        <v>0</v>
      </c>
      <c r="AA44" s="33">
        <f t="shared" si="10"/>
        <v>102225</v>
      </c>
      <c r="AB44" s="114">
        <f t="shared" si="11"/>
        <v>112.44772989376136</v>
      </c>
      <c r="AC44" s="28">
        <f t="shared" si="12"/>
        <v>-16569.938069999989</v>
      </c>
      <c r="AD44" s="28">
        <f t="shared" si="13"/>
        <v>0</v>
      </c>
      <c r="AE44" s="28">
        <f t="shared" si="14"/>
        <v>16999.941616249998</v>
      </c>
      <c r="AF44" s="115" t="str">
        <f t="shared" si="15"/>
        <v/>
      </c>
      <c r="AG44" s="28">
        <f t="shared" si="16"/>
        <v>18181.78</v>
      </c>
      <c r="AI44" s="28">
        <f t="shared" si="17"/>
        <v>0</v>
      </c>
      <c r="AJ44" s="28"/>
      <c r="AK44" s="28">
        <f t="shared" si="18"/>
        <v>0</v>
      </c>
      <c r="AL44" s="156"/>
      <c r="AM44" s="6">
        <f t="shared" si="19"/>
        <v>37</v>
      </c>
      <c r="AN44" s="6" t="str">
        <f t="shared" si="20"/>
        <v xml:space="preserve">Boxborough                   </v>
      </c>
      <c r="AO44" s="6">
        <f t="shared" si="21"/>
        <v>0</v>
      </c>
      <c r="AP44" s="9">
        <f t="shared" si="30"/>
        <v>5</v>
      </c>
      <c r="AQ44" s="9">
        <f t="shared" si="22"/>
        <v>90908.905050000016</v>
      </c>
      <c r="AR44" s="33">
        <f t="shared" si="23"/>
        <v>69316</v>
      </c>
      <c r="AS44" s="33">
        <f t="shared" si="24"/>
        <v>32909</v>
      </c>
      <c r="AU44" s="28"/>
      <c r="AV44" s="9"/>
      <c r="AW44" s="519"/>
    </row>
    <row r="45" spans="1:49">
      <c r="A45" s="6">
        <v>38</v>
      </c>
      <c r="B45" s="6" t="s">
        <v>1157</v>
      </c>
      <c r="C45" s="7">
        <v>1</v>
      </c>
      <c r="D45" s="9">
        <v>8528050.2678800002</v>
      </c>
      <c r="E45" s="9">
        <v>6718468</v>
      </c>
      <c r="F45" s="9">
        <v>1855093</v>
      </c>
      <c r="G45" s="348"/>
      <c r="H45" s="111">
        <f t="shared" si="25"/>
        <v>1855093</v>
      </c>
      <c r="I45" s="9">
        <f t="shared" si="0"/>
        <v>9024222.1102399994</v>
      </c>
      <c r="J45" s="33">
        <f t="shared" si="1"/>
        <v>7139841</v>
      </c>
      <c r="K45" s="9">
        <f t="shared" si="26"/>
        <v>1884381</v>
      </c>
      <c r="L45" s="112">
        <f t="shared" si="27"/>
        <v>29288</v>
      </c>
      <c r="M45" s="458">
        <f>ROUND(100-'Townwide Contributions'!L44,2)</f>
        <v>17.5</v>
      </c>
      <c r="N45" s="9">
        <v>721</v>
      </c>
      <c r="O45" s="9">
        <f t="shared" si="2"/>
        <v>745</v>
      </c>
      <c r="P45" s="9">
        <f t="shared" si="3"/>
        <v>1</v>
      </c>
      <c r="Q45" s="28">
        <f t="shared" si="4"/>
        <v>77480</v>
      </c>
      <c r="R45" s="382">
        <f t="shared" si="28"/>
        <v>48192</v>
      </c>
      <c r="S45" s="28">
        <v>1855093</v>
      </c>
      <c r="T45" s="33">
        <f t="shared" si="5"/>
        <v>1877443</v>
      </c>
      <c r="U45" s="9">
        <f t="shared" si="6"/>
        <v>0</v>
      </c>
      <c r="V45" s="33">
        <f t="shared" si="7"/>
        <v>1932573</v>
      </c>
      <c r="W45" s="33">
        <f t="shared" si="8"/>
        <v>0</v>
      </c>
      <c r="X45" s="33">
        <v>0</v>
      </c>
      <c r="Y45" s="113">
        <f t="shared" si="29"/>
        <v>1932573</v>
      </c>
      <c r="Z45" s="155">
        <f t="shared" si="9"/>
        <v>21.415397098959517</v>
      </c>
      <c r="AA45" s="33">
        <f t="shared" si="10"/>
        <v>9072414</v>
      </c>
      <c r="AB45" s="114">
        <f t="shared" si="11"/>
        <v>100.53402818737491</v>
      </c>
      <c r="AC45" s="28">
        <f t="shared" si="12"/>
        <v>496171.84235999919</v>
      </c>
      <c r="AD45" s="28">
        <f t="shared" si="13"/>
        <v>77480</v>
      </c>
      <c r="AE45" s="28">
        <f t="shared" si="14"/>
        <v>353334.13070800016</v>
      </c>
      <c r="AF45" s="115">
        <f t="shared" si="15"/>
        <v>3.9153970989595166</v>
      </c>
      <c r="AG45" s="28">
        <f t="shared" si="16"/>
        <v>12113.05</v>
      </c>
      <c r="AI45" s="28">
        <f t="shared" si="17"/>
        <v>0</v>
      </c>
      <c r="AJ45" s="28"/>
      <c r="AK45" s="28">
        <f t="shared" si="18"/>
        <v>104</v>
      </c>
      <c r="AL45" s="156"/>
      <c r="AM45" s="6">
        <f t="shared" si="19"/>
        <v>38</v>
      </c>
      <c r="AN45" s="6" t="str">
        <f t="shared" si="20"/>
        <v xml:space="preserve">Boxford                      </v>
      </c>
      <c r="AO45" s="6">
        <f t="shared" si="21"/>
        <v>1</v>
      </c>
      <c r="AP45" s="9">
        <f t="shared" si="30"/>
        <v>745</v>
      </c>
      <c r="AQ45" s="9">
        <f t="shared" si="22"/>
        <v>9024222.1102399994</v>
      </c>
      <c r="AR45" s="33">
        <f t="shared" si="23"/>
        <v>7139841</v>
      </c>
      <c r="AS45" s="33">
        <f t="shared" si="24"/>
        <v>1932573</v>
      </c>
      <c r="AU45" s="28"/>
      <c r="AV45" s="9"/>
      <c r="AW45" s="519"/>
    </row>
    <row r="46" spans="1:49">
      <c r="A46" s="6">
        <v>39</v>
      </c>
      <c r="B46" s="6" t="s">
        <v>1158</v>
      </c>
      <c r="C46" s="7">
        <v>0</v>
      </c>
      <c r="D46" s="9">
        <v>377077.07999999996</v>
      </c>
      <c r="E46" s="9">
        <v>311089</v>
      </c>
      <c r="F46" s="9">
        <v>113472</v>
      </c>
      <c r="G46" s="348"/>
      <c r="H46" s="111">
        <f t="shared" si="25"/>
        <v>113472</v>
      </c>
      <c r="I46" s="9">
        <f t="shared" si="0"/>
        <v>267378.24</v>
      </c>
      <c r="J46" s="33">
        <f t="shared" si="1"/>
        <v>220587</v>
      </c>
      <c r="K46" s="9">
        <f t="shared" si="26"/>
        <v>46791</v>
      </c>
      <c r="L46" s="112">
        <f t="shared" si="27"/>
        <v>0</v>
      </c>
      <c r="M46" s="458">
        <f>ROUND(100-'Townwide Contributions'!L45,2)</f>
        <v>17.5</v>
      </c>
      <c r="N46" s="9">
        <v>21</v>
      </c>
      <c r="O46" s="9">
        <f t="shared" si="2"/>
        <v>14</v>
      </c>
      <c r="P46" s="9">
        <f t="shared" si="3"/>
        <v>0</v>
      </c>
      <c r="Q46" s="28">
        <f t="shared" si="4"/>
        <v>0</v>
      </c>
      <c r="R46" s="382">
        <f t="shared" si="28"/>
        <v>0</v>
      </c>
      <c r="S46" s="28">
        <v>113472</v>
      </c>
      <c r="T46" s="33">
        <f t="shared" si="5"/>
        <v>113892</v>
      </c>
      <c r="U46" s="9">
        <f t="shared" si="6"/>
        <v>0</v>
      </c>
      <c r="V46" s="33">
        <f t="shared" si="7"/>
        <v>113472</v>
      </c>
      <c r="W46" s="33">
        <f t="shared" si="8"/>
        <v>0</v>
      </c>
      <c r="X46" s="33">
        <v>0</v>
      </c>
      <c r="Y46" s="113">
        <f t="shared" si="29"/>
        <v>113472</v>
      </c>
      <c r="Z46" s="155">
        <f t="shared" si="9"/>
        <v>0</v>
      </c>
      <c r="AA46" s="33">
        <f t="shared" si="10"/>
        <v>334059</v>
      </c>
      <c r="AB46" s="114">
        <f t="shared" si="11"/>
        <v>124.93873847026595</v>
      </c>
      <c r="AC46" s="28">
        <f t="shared" si="12"/>
        <v>-109698.83999999997</v>
      </c>
      <c r="AD46" s="28">
        <f t="shared" si="13"/>
        <v>0</v>
      </c>
      <c r="AE46" s="28">
        <f t="shared" si="14"/>
        <v>66680.808000000005</v>
      </c>
      <c r="AF46" s="115" t="str">
        <f t="shared" si="15"/>
        <v/>
      </c>
      <c r="AG46" s="28">
        <f t="shared" si="16"/>
        <v>19098.45</v>
      </c>
      <c r="AI46" s="28">
        <f t="shared" si="17"/>
        <v>0</v>
      </c>
      <c r="AJ46" s="28"/>
      <c r="AK46" s="28">
        <f t="shared" si="18"/>
        <v>0</v>
      </c>
      <c r="AL46" s="156"/>
      <c r="AM46" s="6">
        <f t="shared" si="19"/>
        <v>39</v>
      </c>
      <c r="AN46" s="6" t="str">
        <f t="shared" si="20"/>
        <v xml:space="preserve">Boylston                     </v>
      </c>
      <c r="AO46" s="6">
        <f t="shared" si="21"/>
        <v>0</v>
      </c>
      <c r="AP46" s="9">
        <f t="shared" si="30"/>
        <v>14</v>
      </c>
      <c r="AQ46" s="9">
        <f t="shared" si="22"/>
        <v>267378.24</v>
      </c>
      <c r="AR46" s="33">
        <f t="shared" si="23"/>
        <v>220587</v>
      </c>
      <c r="AS46" s="33">
        <f t="shared" si="24"/>
        <v>113472</v>
      </c>
      <c r="AU46" s="28"/>
      <c r="AV46" s="9"/>
      <c r="AW46" s="519"/>
    </row>
    <row r="47" spans="1:49">
      <c r="A47" s="6">
        <v>40</v>
      </c>
      <c r="B47" s="6" t="s">
        <v>1159</v>
      </c>
      <c r="C47" s="7">
        <v>1</v>
      </c>
      <c r="D47" s="9">
        <v>72501248.639650002</v>
      </c>
      <c r="E47" s="9">
        <v>51848673</v>
      </c>
      <c r="F47" s="9">
        <v>20652576</v>
      </c>
      <c r="G47" s="348"/>
      <c r="H47" s="111">
        <f t="shared" si="25"/>
        <v>20652576</v>
      </c>
      <c r="I47" s="9">
        <f t="shared" si="0"/>
        <v>73532608.806799993</v>
      </c>
      <c r="J47" s="33">
        <f t="shared" si="1"/>
        <v>55176708</v>
      </c>
      <c r="K47" s="9">
        <f t="shared" si="26"/>
        <v>18355901</v>
      </c>
      <c r="L47" s="112">
        <f t="shared" si="27"/>
        <v>0</v>
      </c>
      <c r="M47" s="458">
        <f>ROUND(100-'Townwide Contributions'!L46,2)</f>
        <v>17.5</v>
      </c>
      <c r="N47" s="9">
        <v>5244</v>
      </c>
      <c r="O47" s="9">
        <f t="shared" si="2"/>
        <v>5181</v>
      </c>
      <c r="P47" s="9">
        <f t="shared" si="3"/>
        <v>0</v>
      </c>
      <c r="Q47" s="28">
        <f t="shared" si="4"/>
        <v>538824</v>
      </c>
      <c r="R47" s="382">
        <f t="shared" si="28"/>
        <v>538824</v>
      </c>
      <c r="S47" s="28">
        <v>20652576</v>
      </c>
      <c r="T47" s="33">
        <f t="shared" si="5"/>
        <v>20808006</v>
      </c>
      <c r="U47" s="9">
        <f t="shared" si="6"/>
        <v>0</v>
      </c>
      <c r="V47" s="33">
        <f t="shared" si="7"/>
        <v>21191400</v>
      </c>
      <c r="W47" s="33">
        <f t="shared" si="8"/>
        <v>0</v>
      </c>
      <c r="X47" s="33">
        <v>0</v>
      </c>
      <c r="Y47" s="113">
        <f t="shared" si="29"/>
        <v>21191400</v>
      </c>
      <c r="Z47" s="155">
        <f t="shared" si="9"/>
        <v>28.819050954221424</v>
      </c>
      <c r="AA47" s="33">
        <f t="shared" si="10"/>
        <v>76368108</v>
      </c>
      <c r="AB47" s="114">
        <f t="shared" si="11"/>
        <v>103.85611123991264</v>
      </c>
      <c r="AC47" s="28">
        <f t="shared" si="12"/>
        <v>1031360.1671499908</v>
      </c>
      <c r="AD47" s="28">
        <f t="shared" si="13"/>
        <v>538824</v>
      </c>
      <c r="AE47" s="28">
        <f t="shared" si="14"/>
        <v>8323193.4588100016</v>
      </c>
      <c r="AF47" s="115">
        <f t="shared" si="15"/>
        <v>11.319050954221424</v>
      </c>
      <c r="AG47" s="28">
        <f t="shared" si="16"/>
        <v>14192.74</v>
      </c>
      <c r="AI47" s="28">
        <f t="shared" si="17"/>
        <v>0</v>
      </c>
      <c r="AJ47" s="28"/>
      <c r="AK47" s="28">
        <f t="shared" si="18"/>
        <v>104</v>
      </c>
      <c r="AL47" s="156"/>
      <c r="AM47" s="6">
        <f t="shared" si="19"/>
        <v>40</v>
      </c>
      <c r="AN47" s="6" t="str">
        <f t="shared" si="20"/>
        <v xml:space="preserve">Braintree                    </v>
      </c>
      <c r="AO47" s="6">
        <f t="shared" si="21"/>
        <v>1</v>
      </c>
      <c r="AP47" s="9">
        <f t="shared" si="30"/>
        <v>5181</v>
      </c>
      <c r="AQ47" s="9">
        <f t="shared" si="22"/>
        <v>73532608.806799993</v>
      </c>
      <c r="AR47" s="33">
        <f t="shared" si="23"/>
        <v>55176708</v>
      </c>
      <c r="AS47" s="33">
        <f t="shared" si="24"/>
        <v>21191400</v>
      </c>
      <c r="AU47" s="28"/>
      <c r="AV47" s="9"/>
      <c r="AW47" s="519"/>
    </row>
    <row r="48" spans="1:49">
      <c r="A48" s="6">
        <v>41</v>
      </c>
      <c r="B48" s="6" t="s">
        <v>1160</v>
      </c>
      <c r="C48" s="7">
        <v>1</v>
      </c>
      <c r="D48" s="9">
        <v>5743102.1100000003</v>
      </c>
      <c r="E48" s="9">
        <v>4394765</v>
      </c>
      <c r="F48" s="9">
        <v>1377451</v>
      </c>
      <c r="G48" s="348"/>
      <c r="H48" s="111">
        <f t="shared" si="25"/>
        <v>1377451</v>
      </c>
      <c r="I48" s="9">
        <f t="shared" si="0"/>
        <v>5984373.9899999993</v>
      </c>
      <c r="J48" s="33">
        <f t="shared" si="1"/>
        <v>4937108</v>
      </c>
      <c r="K48" s="9">
        <f t="shared" si="26"/>
        <v>1047266</v>
      </c>
      <c r="L48" s="112">
        <f t="shared" si="27"/>
        <v>0</v>
      </c>
      <c r="M48" s="458">
        <f>ROUND(100-'Townwide Contributions'!L47,2)</f>
        <v>17.5</v>
      </c>
      <c r="N48" s="9">
        <v>418</v>
      </c>
      <c r="O48" s="9">
        <f t="shared" si="2"/>
        <v>421</v>
      </c>
      <c r="P48" s="9">
        <f t="shared" si="3"/>
        <v>0</v>
      </c>
      <c r="Q48" s="28">
        <f t="shared" si="4"/>
        <v>43784</v>
      </c>
      <c r="R48" s="382">
        <f t="shared" si="28"/>
        <v>43784</v>
      </c>
      <c r="S48" s="28">
        <v>1377451</v>
      </c>
      <c r="T48" s="33">
        <f t="shared" si="5"/>
        <v>1390081</v>
      </c>
      <c r="U48" s="9">
        <f t="shared" si="6"/>
        <v>0</v>
      </c>
      <c r="V48" s="33">
        <f t="shared" si="7"/>
        <v>1421235</v>
      </c>
      <c r="W48" s="33">
        <f t="shared" si="8"/>
        <v>0</v>
      </c>
      <c r="X48" s="33">
        <v>0</v>
      </c>
      <c r="Y48" s="113">
        <f t="shared" si="29"/>
        <v>1421235</v>
      </c>
      <c r="Z48" s="155">
        <f t="shared" si="9"/>
        <v>23.749100613947427</v>
      </c>
      <c r="AA48" s="33">
        <f t="shared" si="10"/>
        <v>6358343</v>
      </c>
      <c r="AB48" s="114">
        <f t="shared" si="11"/>
        <v>106.24909156120439</v>
      </c>
      <c r="AC48" s="28">
        <f t="shared" si="12"/>
        <v>241271.87999999896</v>
      </c>
      <c r="AD48" s="28">
        <f t="shared" si="13"/>
        <v>43784</v>
      </c>
      <c r="AE48" s="28">
        <f t="shared" si="14"/>
        <v>373969.55175000022</v>
      </c>
      <c r="AF48" s="115">
        <f t="shared" si="15"/>
        <v>6.2491006139474266</v>
      </c>
      <c r="AG48" s="28">
        <f t="shared" si="16"/>
        <v>14214.67</v>
      </c>
      <c r="AI48" s="28">
        <f t="shared" si="17"/>
        <v>0</v>
      </c>
      <c r="AJ48" s="28"/>
      <c r="AK48" s="28">
        <f t="shared" si="18"/>
        <v>104</v>
      </c>
      <c r="AL48" s="156"/>
      <c r="AM48" s="6">
        <f t="shared" si="19"/>
        <v>41</v>
      </c>
      <c r="AN48" s="6" t="str">
        <f t="shared" si="20"/>
        <v xml:space="preserve">Brewster                     </v>
      </c>
      <c r="AO48" s="6">
        <f t="shared" si="21"/>
        <v>1</v>
      </c>
      <c r="AP48" s="9">
        <f t="shared" si="30"/>
        <v>421</v>
      </c>
      <c r="AQ48" s="9">
        <f t="shared" si="22"/>
        <v>5984373.9899999993</v>
      </c>
      <c r="AR48" s="33">
        <f t="shared" si="23"/>
        <v>4937108</v>
      </c>
      <c r="AS48" s="33">
        <f t="shared" si="24"/>
        <v>1421235</v>
      </c>
      <c r="AU48" s="28"/>
      <c r="AV48" s="9"/>
      <c r="AW48" s="519"/>
    </row>
    <row r="49" spans="1:49">
      <c r="A49" s="6">
        <v>42</v>
      </c>
      <c r="B49" s="6" t="s">
        <v>1161</v>
      </c>
      <c r="C49" s="7">
        <v>0</v>
      </c>
      <c r="D49" s="9">
        <v>228660.24000000002</v>
      </c>
      <c r="E49" s="9">
        <v>131975</v>
      </c>
      <c r="F49" s="9">
        <v>96685</v>
      </c>
      <c r="G49" s="348"/>
      <c r="H49" s="111">
        <f t="shared" si="25"/>
        <v>96685</v>
      </c>
      <c r="I49" s="9">
        <f t="shared" si="0"/>
        <v>334819.56000000006</v>
      </c>
      <c r="J49" s="33">
        <f t="shared" si="1"/>
        <v>195386</v>
      </c>
      <c r="K49" s="9">
        <f t="shared" si="26"/>
        <v>139434</v>
      </c>
      <c r="L49" s="112">
        <f t="shared" si="27"/>
        <v>42749</v>
      </c>
      <c r="M49" s="458">
        <f>ROUND(100-'Townwide Contributions'!L48,2)</f>
        <v>35.950000000000003</v>
      </c>
      <c r="N49" s="9">
        <v>12</v>
      </c>
      <c r="O49" s="9">
        <f t="shared" si="2"/>
        <v>18</v>
      </c>
      <c r="P49" s="9">
        <f t="shared" si="3"/>
        <v>0</v>
      </c>
      <c r="Q49" s="28">
        <f t="shared" si="4"/>
        <v>0</v>
      </c>
      <c r="R49" s="382">
        <f t="shared" si="28"/>
        <v>0</v>
      </c>
      <c r="S49" s="28">
        <v>132012</v>
      </c>
      <c r="T49" s="33">
        <f t="shared" si="5"/>
        <v>132552</v>
      </c>
      <c r="U49" s="9">
        <f t="shared" si="6"/>
        <v>0</v>
      </c>
      <c r="V49" s="33">
        <f t="shared" si="7"/>
        <v>139434</v>
      </c>
      <c r="W49" s="33">
        <f t="shared" si="8"/>
        <v>0</v>
      </c>
      <c r="X49" s="33">
        <v>0</v>
      </c>
      <c r="Y49" s="113">
        <f t="shared" si="29"/>
        <v>139434</v>
      </c>
      <c r="Z49" s="155">
        <f t="shared" si="9"/>
        <v>0</v>
      </c>
      <c r="AA49" s="33">
        <f t="shared" si="10"/>
        <v>334820</v>
      </c>
      <c r="AB49" s="114">
        <f t="shared" si="11"/>
        <v>100.00013141406671</v>
      </c>
      <c r="AC49" s="28">
        <f t="shared" si="12"/>
        <v>106159.32000000004</v>
      </c>
      <c r="AD49" s="28">
        <f t="shared" si="13"/>
        <v>42749</v>
      </c>
      <c r="AE49" s="28">
        <f t="shared" si="14"/>
        <v>19066.368179999961</v>
      </c>
      <c r="AF49" s="115" t="str">
        <f t="shared" si="15"/>
        <v/>
      </c>
      <c r="AG49" s="28">
        <f t="shared" si="16"/>
        <v>18601.09</v>
      </c>
      <c r="AI49" s="28">
        <f t="shared" si="17"/>
        <v>0</v>
      </c>
      <c r="AJ49" s="28"/>
      <c r="AK49" s="28">
        <f t="shared" si="18"/>
        <v>2374.9444444444443</v>
      </c>
      <c r="AL49" s="156"/>
      <c r="AM49" s="6">
        <f t="shared" si="19"/>
        <v>42</v>
      </c>
      <c r="AN49" s="6" t="str">
        <f t="shared" si="20"/>
        <v xml:space="preserve">Bridgewater                  </v>
      </c>
      <c r="AO49" s="6">
        <f t="shared" si="21"/>
        <v>0</v>
      </c>
      <c r="AP49" s="9">
        <f t="shared" si="30"/>
        <v>18</v>
      </c>
      <c r="AQ49" s="9">
        <f t="shared" si="22"/>
        <v>334819.56000000006</v>
      </c>
      <c r="AR49" s="33">
        <f t="shared" si="23"/>
        <v>195386</v>
      </c>
      <c r="AS49" s="33">
        <f t="shared" si="24"/>
        <v>139434</v>
      </c>
      <c r="AU49" s="28"/>
      <c r="AV49" s="9"/>
      <c r="AW49" s="519"/>
    </row>
    <row r="50" spans="1:49">
      <c r="A50" s="6">
        <v>43</v>
      </c>
      <c r="B50" s="6" t="s">
        <v>1162</v>
      </c>
      <c r="C50" s="7">
        <v>1</v>
      </c>
      <c r="D50" s="9">
        <v>3511281.75</v>
      </c>
      <c r="E50" s="9">
        <v>1913482</v>
      </c>
      <c r="F50" s="9">
        <v>1597800</v>
      </c>
      <c r="G50" s="348"/>
      <c r="H50" s="111">
        <f t="shared" si="25"/>
        <v>1597800</v>
      </c>
      <c r="I50" s="9">
        <f t="shared" si="0"/>
        <v>3675840.4599999995</v>
      </c>
      <c r="J50" s="33">
        <f t="shared" si="1"/>
        <v>1922423</v>
      </c>
      <c r="K50" s="9">
        <f t="shared" si="26"/>
        <v>1753417</v>
      </c>
      <c r="L50" s="112">
        <f t="shared" si="27"/>
        <v>155617</v>
      </c>
      <c r="M50" s="458">
        <f>ROUND(100-'Townwide Contributions'!L49,2)</f>
        <v>42.94</v>
      </c>
      <c r="N50" s="9">
        <v>264</v>
      </c>
      <c r="O50" s="9">
        <f t="shared" si="2"/>
        <v>270</v>
      </c>
      <c r="P50" s="9">
        <f t="shared" si="3"/>
        <v>1</v>
      </c>
      <c r="Q50" s="28">
        <f t="shared" si="4"/>
        <v>28080</v>
      </c>
      <c r="R50" s="382">
        <f t="shared" si="28"/>
        <v>0</v>
      </c>
      <c r="S50" s="28">
        <v>1597800</v>
      </c>
      <c r="T50" s="33">
        <f t="shared" si="5"/>
        <v>1605900</v>
      </c>
      <c r="U50" s="9">
        <f t="shared" si="6"/>
        <v>0</v>
      </c>
      <c r="V50" s="33">
        <f t="shared" si="7"/>
        <v>1753417</v>
      </c>
      <c r="W50" s="33">
        <f t="shared" si="8"/>
        <v>0</v>
      </c>
      <c r="X50" s="33">
        <v>0</v>
      </c>
      <c r="Y50" s="113">
        <f t="shared" si="29"/>
        <v>1753417</v>
      </c>
      <c r="Z50" s="155">
        <f t="shared" si="9"/>
        <v>47.701118127417317</v>
      </c>
      <c r="AA50" s="33">
        <f t="shared" si="10"/>
        <v>3675840</v>
      </c>
      <c r="AB50" s="114">
        <f t="shared" si="11"/>
        <v>99.999987485855158</v>
      </c>
      <c r="AC50" s="28">
        <f t="shared" si="12"/>
        <v>164558.7099999995</v>
      </c>
      <c r="AD50" s="28">
        <f t="shared" si="13"/>
        <v>155617</v>
      </c>
      <c r="AE50" s="28">
        <f t="shared" si="14"/>
        <v>175011.10647600028</v>
      </c>
      <c r="AF50" s="115">
        <f t="shared" si="15"/>
        <v>4.7611181274173191</v>
      </c>
      <c r="AG50" s="28">
        <f t="shared" si="16"/>
        <v>13614.22</v>
      </c>
      <c r="AI50" s="28">
        <f t="shared" si="17"/>
        <v>0</v>
      </c>
      <c r="AJ50" s="28"/>
      <c r="AK50" s="28">
        <f t="shared" si="18"/>
        <v>576.35925925925926</v>
      </c>
      <c r="AL50" s="156"/>
      <c r="AM50" s="6">
        <f t="shared" si="19"/>
        <v>43</v>
      </c>
      <c r="AN50" s="6" t="str">
        <f t="shared" si="20"/>
        <v xml:space="preserve">Brimfield                    </v>
      </c>
      <c r="AO50" s="6">
        <f t="shared" si="21"/>
        <v>1</v>
      </c>
      <c r="AP50" s="9">
        <f t="shared" si="30"/>
        <v>270</v>
      </c>
      <c r="AQ50" s="9">
        <f t="shared" si="22"/>
        <v>3675840.4599999995</v>
      </c>
      <c r="AR50" s="33">
        <f t="shared" si="23"/>
        <v>1922423</v>
      </c>
      <c r="AS50" s="33">
        <f t="shared" si="24"/>
        <v>1753417</v>
      </c>
      <c r="AU50" s="28"/>
      <c r="AV50" s="9"/>
      <c r="AW50" s="519"/>
    </row>
    <row r="51" spans="1:49">
      <c r="A51" s="6">
        <v>44</v>
      </c>
      <c r="B51" s="6" t="s">
        <v>1163</v>
      </c>
      <c r="C51" s="7">
        <v>1</v>
      </c>
      <c r="D51" s="9">
        <v>295646847.72000003</v>
      </c>
      <c r="E51" s="9">
        <v>54579267</v>
      </c>
      <c r="F51" s="9">
        <v>241067581</v>
      </c>
      <c r="G51" s="348"/>
      <c r="H51" s="111">
        <f t="shared" si="25"/>
        <v>241067581</v>
      </c>
      <c r="I51" s="9">
        <f t="shared" si="0"/>
        <v>314919037.44</v>
      </c>
      <c r="J51" s="33">
        <f t="shared" si="1"/>
        <v>58428285</v>
      </c>
      <c r="K51" s="9">
        <f t="shared" si="26"/>
        <v>256490752</v>
      </c>
      <c r="L51" s="112">
        <f t="shared" si="27"/>
        <v>15423171</v>
      </c>
      <c r="M51" s="458">
        <f>ROUND(100-'Townwide Contributions'!L50,2)</f>
        <v>76.77</v>
      </c>
      <c r="N51" s="9">
        <v>16619</v>
      </c>
      <c r="O51" s="9">
        <f t="shared" si="2"/>
        <v>16775</v>
      </c>
      <c r="P51" s="9">
        <f t="shared" si="3"/>
        <v>1</v>
      </c>
      <c r="Q51" s="28">
        <f t="shared" si="4"/>
        <v>1744600</v>
      </c>
      <c r="R51" s="382">
        <f t="shared" si="28"/>
        <v>0</v>
      </c>
      <c r="S51" s="28">
        <v>241067581</v>
      </c>
      <c r="T51" s="33">
        <f t="shared" si="5"/>
        <v>241570831</v>
      </c>
      <c r="U51" s="9">
        <f t="shared" si="6"/>
        <v>0</v>
      </c>
      <c r="V51" s="33">
        <f t="shared" si="7"/>
        <v>256490752</v>
      </c>
      <c r="W51" s="33">
        <f t="shared" si="8"/>
        <v>0</v>
      </c>
      <c r="X51" s="33">
        <v>0</v>
      </c>
      <c r="Y51" s="113">
        <f t="shared" si="29"/>
        <v>256490752</v>
      </c>
      <c r="Z51" s="155">
        <f t="shared" si="9"/>
        <v>81.446569278577812</v>
      </c>
      <c r="AA51" s="33">
        <f t="shared" si="10"/>
        <v>314919037</v>
      </c>
      <c r="AB51" s="114">
        <f t="shared" si="11"/>
        <v>99.999999860281548</v>
      </c>
      <c r="AC51" s="28">
        <f t="shared" si="12"/>
        <v>19272189.719999969</v>
      </c>
      <c r="AD51" s="28">
        <f t="shared" si="13"/>
        <v>15423171</v>
      </c>
      <c r="AE51" s="28">
        <f t="shared" si="14"/>
        <v>14727406.957312018</v>
      </c>
      <c r="AF51" s="115">
        <f t="shared" si="15"/>
        <v>4.6765692785778157</v>
      </c>
      <c r="AG51" s="28">
        <f t="shared" si="16"/>
        <v>18773.12</v>
      </c>
      <c r="AI51" s="28">
        <f t="shared" si="17"/>
        <v>0</v>
      </c>
      <c r="AJ51" s="28"/>
      <c r="AK51" s="28">
        <f t="shared" si="18"/>
        <v>919.41406855439641</v>
      </c>
      <c r="AL51" s="156"/>
      <c r="AM51" s="6">
        <f t="shared" si="19"/>
        <v>44</v>
      </c>
      <c r="AN51" s="6" t="str">
        <f t="shared" si="20"/>
        <v xml:space="preserve">Brockton                     </v>
      </c>
      <c r="AO51" s="6">
        <f t="shared" si="21"/>
        <v>1</v>
      </c>
      <c r="AP51" s="9">
        <f t="shared" si="30"/>
        <v>16775</v>
      </c>
      <c r="AQ51" s="9">
        <f t="shared" si="22"/>
        <v>314919037.44</v>
      </c>
      <c r="AR51" s="33">
        <f t="shared" si="23"/>
        <v>58428285</v>
      </c>
      <c r="AS51" s="33">
        <f t="shared" si="24"/>
        <v>256490752</v>
      </c>
      <c r="AU51" s="28"/>
      <c r="AV51" s="9"/>
      <c r="AW51" s="519"/>
    </row>
    <row r="52" spans="1:49">
      <c r="A52" s="6">
        <v>45</v>
      </c>
      <c r="B52" s="6" t="s">
        <v>1164</v>
      </c>
      <c r="C52" s="7">
        <v>1</v>
      </c>
      <c r="D52" s="9">
        <v>3240938.5500000003</v>
      </c>
      <c r="E52" s="9">
        <v>1329203</v>
      </c>
      <c r="F52" s="9">
        <v>1911736</v>
      </c>
      <c r="G52" s="348"/>
      <c r="H52" s="111">
        <f t="shared" si="25"/>
        <v>1911736</v>
      </c>
      <c r="I52" s="9">
        <f t="shared" si="0"/>
        <v>3232462.2</v>
      </c>
      <c r="J52" s="33">
        <f t="shared" si="1"/>
        <v>1406803</v>
      </c>
      <c r="K52" s="9">
        <f t="shared" si="26"/>
        <v>1825659</v>
      </c>
      <c r="L52" s="112">
        <f t="shared" si="27"/>
        <v>0</v>
      </c>
      <c r="M52" s="458">
        <f>ROUND(100-'Townwide Contributions'!L51,2)</f>
        <v>51.43</v>
      </c>
      <c r="N52" s="9">
        <v>223</v>
      </c>
      <c r="O52" s="9">
        <f t="shared" si="2"/>
        <v>225</v>
      </c>
      <c r="P52" s="9">
        <f t="shared" si="3"/>
        <v>0</v>
      </c>
      <c r="Q52" s="28">
        <f t="shared" si="4"/>
        <v>23400</v>
      </c>
      <c r="R52" s="382">
        <f t="shared" si="28"/>
        <v>23400</v>
      </c>
      <c r="S52" s="28">
        <v>1911736</v>
      </c>
      <c r="T52" s="33">
        <f t="shared" si="5"/>
        <v>1918486</v>
      </c>
      <c r="U52" s="9">
        <f t="shared" si="6"/>
        <v>0</v>
      </c>
      <c r="V52" s="33">
        <f t="shared" si="7"/>
        <v>1935136</v>
      </c>
      <c r="W52" s="33">
        <f t="shared" si="8"/>
        <v>0</v>
      </c>
      <c r="X52" s="33">
        <v>0</v>
      </c>
      <c r="Y52" s="113">
        <f t="shared" si="29"/>
        <v>1935136</v>
      </c>
      <c r="Z52" s="155">
        <f t="shared" si="9"/>
        <v>59.865696186640626</v>
      </c>
      <c r="AA52" s="33">
        <f t="shared" si="10"/>
        <v>3341939</v>
      </c>
      <c r="AB52" s="114">
        <f t="shared" si="11"/>
        <v>103.38679289118987</v>
      </c>
      <c r="AC52" s="28">
        <f t="shared" si="12"/>
        <v>-8476.3500000000931</v>
      </c>
      <c r="AD52" s="28">
        <f t="shared" si="13"/>
        <v>23400</v>
      </c>
      <c r="AE52" s="28">
        <f t="shared" si="14"/>
        <v>272680.69053999986</v>
      </c>
      <c r="AF52" s="115">
        <f t="shared" si="15"/>
        <v>8.4356961866406266</v>
      </c>
      <c r="AG52" s="28">
        <f t="shared" si="16"/>
        <v>14366.5</v>
      </c>
      <c r="AI52" s="28">
        <f t="shared" si="17"/>
        <v>0</v>
      </c>
      <c r="AJ52" s="28"/>
      <c r="AK52" s="28">
        <f t="shared" si="18"/>
        <v>104</v>
      </c>
      <c r="AL52" s="156"/>
      <c r="AM52" s="6">
        <f t="shared" si="19"/>
        <v>45</v>
      </c>
      <c r="AN52" s="6" t="str">
        <f t="shared" si="20"/>
        <v xml:space="preserve">Brookfield                   </v>
      </c>
      <c r="AO52" s="6">
        <f t="shared" si="21"/>
        <v>1</v>
      </c>
      <c r="AP52" s="9">
        <f t="shared" si="30"/>
        <v>225</v>
      </c>
      <c r="AQ52" s="9">
        <f t="shared" si="22"/>
        <v>3232462.2</v>
      </c>
      <c r="AR52" s="33">
        <f t="shared" si="23"/>
        <v>1406803</v>
      </c>
      <c r="AS52" s="33">
        <f t="shared" si="24"/>
        <v>1935136</v>
      </c>
      <c r="AU52" s="28"/>
      <c r="AV52" s="9"/>
      <c r="AW52" s="519"/>
    </row>
    <row r="53" spans="1:49">
      <c r="A53" s="6">
        <v>46</v>
      </c>
      <c r="B53" s="6" t="s">
        <v>1165</v>
      </c>
      <c r="C53" s="7">
        <v>1</v>
      </c>
      <c r="D53" s="9">
        <v>89394640.063260004</v>
      </c>
      <c r="E53" s="9">
        <v>73750578</v>
      </c>
      <c r="F53" s="9">
        <v>16035247</v>
      </c>
      <c r="G53" s="348"/>
      <c r="H53" s="111">
        <f t="shared" si="25"/>
        <v>16035247</v>
      </c>
      <c r="I53" s="9">
        <f t="shared" si="0"/>
        <v>91993751.557960004</v>
      </c>
      <c r="J53" s="33">
        <f t="shared" si="1"/>
        <v>75894845</v>
      </c>
      <c r="K53" s="9">
        <f t="shared" si="26"/>
        <v>16098907</v>
      </c>
      <c r="L53" s="112">
        <f t="shared" si="27"/>
        <v>63660</v>
      </c>
      <c r="M53" s="458">
        <f>ROUND(100-'Townwide Contributions'!L52,2)</f>
        <v>17.5</v>
      </c>
      <c r="N53" s="9">
        <v>6913</v>
      </c>
      <c r="O53" s="9">
        <f t="shared" si="2"/>
        <v>6899</v>
      </c>
      <c r="P53" s="9">
        <f t="shared" si="3"/>
        <v>1</v>
      </c>
      <c r="Q53" s="28">
        <f t="shared" si="4"/>
        <v>717496</v>
      </c>
      <c r="R53" s="382">
        <f t="shared" si="28"/>
        <v>653836</v>
      </c>
      <c r="S53" s="28">
        <v>16035247</v>
      </c>
      <c r="T53" s="33">
        <f t="shared" si="5"/>
        <v>16242217</v>
      </c>
      <c r="U53" s="9">
        <f t="shared" si="6"/>
        <v>0</v>
      </c>
      <c r="V53" s="33">
        <f t="shared" si="7"/>
        <v>16752743</v>
      </c>
      <c r="W53" s="33">
        <f t="shared" si="8"/>
        <v>0</v>
      </c>
      <c r="X53" s="33">
        <v>0</v>
      </c>
      <c r="Y53" s="113">
        <f t="shared" si="29"/>
        <v>16752743</v>
      </c>
      <c r="Z53" s="155">
        <f t="shared" si="9"/>
        <v>18.210740095152065</v>
      </c>
      <c r="AA53" s="33">
        <f t="shared" si="10"/>
        <v>92647588</v>
      </c>
      <c r="AB53" s="114">
        <f t="shared" si="11"/>
        <v>100.71074005676141</v>
      </c>
      <c r="AC53" s="28">
        <f t="shared" si="12"/>
        <v>2599111.4946999997</v>
      </c>
      <c r="AD53" s="28">
        <f t="shared" si="13"/>
        <v>717496</v>
      </c>
      <c r="AE53" s="28">
        <f t="shared" si="14"/>
        <v>653836.47735700011</v>
      </c>
      <c r="AF53" s="115">
        <f t="shared" si="15"/>
        <v>0.71074009515206527</v>
      </c>
      <c r="AG53" s="28">
        <f t="shared" si="16"/>
        <v>13334.36</v>
      </c>
      <c r="AI53" s="28">
        <f t="shared" si="17"/>
        <v>0</v>
      </c>
      <c r="AJ53" s="28"/>
      <c r="AK53" s="28">
        <f t="shared" si="18"/>
        <v>104</v>
      </c>
      <c r="AL53" s="156"/>
      <c r="AM53" s="6">
        <f t="shared" si="19"/>
        <v>46</v>
      </c>
      <c r="AN53" s="6" t="str">
        <f t="shared" si="20"/>
        <v xml:space="preserve">Brookline                    </v>
      </c>
      <c r="AO53" s="6">
        <f t="shared" si="21"/>
        <v>1</v>
      </c>
      <c r="AP53" s="9">
        <f t="shared" si="30"/>
        <v>6899</v>
      </c>
      <c r="AQ53" s="9">
        <f t="shared" si="22"/>
        <v>91993751.557960004</v>
      </c>
      <c r="AR53" s="33">
        <f t="shared" si="23"/>
        <v>75894845</v>
      </c>
      <c r="AS53" s="33">
        <f t="shared" si="24"/>
        <v>16752743</v>
      </c>
      <c r="AU53" s="28"/>
      <c r="AV53" s="9"/>
      <c r="AW53" s="519"/>
    </row>
    <row r="54" spans="1:49">
      <c r="A54" s="6">
        <v>47</v>
      </c>
      <c r="B54" s="6" t="s">
        <v>1166</v>
      </c>
      <c r="C54" s="7">
        <v>0</v>
      </c>
      <c r="D54" s="9">
        <v>16490.760000000002</v>
      </c>
      <c r="E54" s="9">
        <v>8510</v>
      </c>
      <c r="F54" s="9">
        <v>13134</v>
      </c>
      <c r="G54" s="348"/>
      <c r="H54" s="111">
        <f t="shared" si="25"/>
        <v>13134</v>
      </c>
      <c r="I54" s="9">
        <f t="shared" si="0"/>
        <v>16860.330000000002</v>
      </c>
      <c r="J54" s="33">
        <f t="shared" si="1"/>
        <v>8952</v>
      </c>
      <c r="K54" s="9">
        <f t="shared" si="26"/>
        <v>7908</v>
      </c>
      <c r="L54" s="112">
        <f t="shared" si="27"/>
        <v>0</v>
      </c>
      <c r="M54" s="458">
        <f>ROUND(100-'Townwide Contributions'!L53,2)</f>
        <v>42.56</v>
      </c>
      <c r="N54" s="9">
        <v>1</v>
      </c>
      <c r="O54" s="9">
        <f t="shared" si="2"/>
        <v>1</v>
      </c>
      <c r="P54" s="9">
        <f t="shared" si="3"/>
        <v>0</v>
      </c>
      <c r="Q54" s="28">
        <f t="shared" si="4"/>
        <v>0</v>
      </c>
      <c r="R54" s="382">
        <f t="shared" si="28"/>
        <v>0</v>
      </c>
      <c r="S54" s="28">
        <v>13134</v>
      </c>
      <c r="T54" s="33">
        <f t="shared" si="5"/>
        <v>13164</v>
      </c>
      <c r="U54" s="9">
        <f t="shared" si="6"/>
        <v>0</v>
      </c>
      <c r="V54" s="33">
        <f t="shared" si="7"/>
        <v>13134</v>
      </c>
      <c r="W54" s="33">
        <f t="shared" si="8"/>
        <v>0</v>
      </c>
      <c r="X54" s="33">
        <v>0</v>
      </c>
      <c r="Y54" s="113">
        <f t="shared" si="29"/>
        <v>13134</v>
      </c>
      <c r="Z54" s="155">
        <f t="shared" si="9"/>
        <v>0</v>
      </c>
      <c r="AA54" s="33">
        <f t="shared" si="10"/>
        <v>22086</v>
      </c>
      <c r="AB54" s="114">
        <f t="shared" si="11"/>
        <v>130.99387734403774</v>
      </c>
      <c r="AC54" s="28">
        <f t="shared" si="12"/>
        <v>369.56999999999971</v>
      </c>
      <c r="AD54" s="28">
        <f t="shared" si="13"/>
        <v>0</v>
      </c>
      <c r="AE54" s="28">
        <f t="shared" si="14"/>
        <v>5958.243551999999</v>
      </c>
      <c r="AF54" s="115" t="str">
        <f t="shared" si="15"/>
        <v/>
      </c>
      <c r="AG54" s="28">
        <f t="shared" si="16"/>
        <v>16860.330000000002</v>
      </c>
      <c r="AI54" s="28">
        <f t="shared" si="17"/>
        <v>0</v>
      </c>
      <c r="AJ54" s="28"/>
      <c r="AK54" s="28">
        <f t="shared" si="18"/>
        <v>0</v>
      </c>
      <c r="AL54" s="156"/>
      <c r="AM54" s="6">
        <f t="shared" si="19"/>
        <v>47</v>
      </c>
      <c r="AN54" s="6" t="str">
        <f t="shared" si="20"/>
        <v xml:space="preserve">Buckland                     </v>
      </c>
      <c r="AO54" s="6">
        <f t="shared" si="21"/>
        <v>0</v>
      </c>
      <c r="AP54" s="9">
        <f t="shared" si="30"/>
        <v>1</v>
      </c>
      <c r="AQ54" s="9">
        <f t="shared" si="22"/>
        <v>16860.330000000002</v>
      </c>
      <c r="AR54" s="33">
        <f t="shared" si="23"/>
        <v>8952</v>
      </c>
      <c r="AS54" s="33">
        <f t="shared" si="24"/>
        <v>13134</v>
      </c>
      <c r="AU54" s="28"/>
      <c r="AV54" s="9"/>
      <c r="AW54" s="519"/>
    </row>
    <row r="55" spans="1:49">
      <c r="A55" s="6">
        <v>48</v>
      </c>
      <c r="B55" s="6" t="s">
        <v>1167</v>
      </c>
      <c r="C55" s="7">
        <v>1</v>
      </c>
      <c r="D55" s="9">
        <v>46103747.98904001</v>
      </c>
      <c r="E55" s="9">
        <v>36818680</v>
      </c>
      <c r="F55" s="9">
        <v>9355284</v>
      </c>
      <c r="G55" s="348"/>
      <c r="H55" s="111">
        <f t="shared" si="25"/>
        <v>9355284</v>
      </c>
      <c r="I55" s="9">
        <f t="shared" si="0"/>
        <v>49033422.446800001</v>
      </c>
      <c r="J55" s="33">
        <f t="shared" si="1"/>
        <v>39058316</v>
      </c>
      <c r="K55" s="9">
        <f t="shared" si="26"/>
        <v>9975106</v>
      </c>
      <c r="L55" s="112">
        <f t="shared" si="27"/>
        <v>619822</v>
      </c>
      <c r="M55" s="458">
        <f>ROUND(100-'Townwide Contributions'!L54,2)</f>
        <v>17.5</v>
      </c>
      <c r="N55" s="9">
        <v>3424</v>
      </c>
      <c r="O55" s="9">
        <f t="shared" si="2"/>
        <v>3523</v>
      </c>
      <c r="P55" s="9">
        <f t="shared" si="3"/>
        <v>1</v>
      </c>
      <c r="Q55" s="28">
        <f t="shared" si="4"/>
        <v>366392</v>
      </c>
      <c r="R55" s="382">
        <f t="shared" si="28"/>
        <v>0</v>
      </c>
      <c r="S55" s="28">
        <v>9355284</v>
      </c>
      <c r="T55" s="33">
        <f t="shared" si="5"/>
        <v>9460974</v>
      </c>
      <c r="U55" s="9">
        <f t="shared" si="6"/>
        <v>0</v>
      </c>
      <c r="V55" s="33">
        <f t="shared" si="7"/>
        <v>9975106</v>
      </c>
      <c r="W55" s="33">
        <f t="shared" si="8"/>
        <v>0</v>
      </c>
      <c r="X55" s="33">
        <v>0</v>
      </c>
      <c r="Y55" s="113">
        <f t="shared" si="29"/>
        <v>9975106</v>
      </c>
      <c r="Z55" s="155">
        <f t="shared" si="9"/>
        <v>20.343483082019684</v>
      </c>
      <c r="AA55" s="33">
        <f t="shared" si="10"/>
        <v>49033422</v>
      </c>
      <c r="AB55" s="114">
        <f t="shared" si="11"/>
        <v>99.99999908878479</v>
      </c>
      <c r="AC55" s="28">
        <f t="shared" si="12"/>
        <v>2929674.4577599913</v>
      </c>
      <c r="AD55" s="28">
        <f t="shared" si="13"/>
        <v>619822</v>
      </c>
      <c r="AE55" s="28">
        <f t="shared" si="14"/>
        <v>1394257.0718099996</v>
      </c>
      <c r="AF55" s="115">
        <f t="shared" si="15"/>
        <v>2.8434830820196844</v>
      </c>
      <c r="AG55" s="28">
        <f t="shared" si="16"/>
        <v>13918.09</v>
      </c>
      <c r="AI55" s="28">
        <f t="shared" si="17"/>
        <v>0</v>
      </c>
      <c r="AJ55" s="28"/>
      <c r="AK55" s="28">
        <f t="shared" si="18"/>
        <v>175.93585012773204</v>
      </c>
      <c r="AL55" s="156"/>
      <c r="AM55" s="6">
        <f t="shared" si="19"/>
        <v>48</v>
      </c>
      <c r="AN55" s="6" t="str">
        <f t="shared" si="20"/>
        <v xml:space="preserve">Burlington                   </v>
      </c>
      <c r="AO55" s="6">
        <f t="shared" si="21"/>
        <v>1</v>
      </c>
      <c r="AP55" s="9">
        <f t="shared" si="30"/>
        <v>3523</v>
      </c>
      <c r="AQ55" s="9">
        <f t="shared" si="22"/>
        <v>49033422.446800001</v>
      </c>
      <c r="AR55" s="33">
        <f t="shared" si="23"/>
        <v>39058316</v>
      </c>
      <c r="AS55" s="33">
        <f t="shared" si="24"/>
        <v>9975106</v>
      </c>
      <c r="AU55" s="28"/>
      <c r="AV55" s="9"/>
      <c r="AW55" s="519"/>
    </row>
    <row r="56" spans="1:49">
      <c r="A56" s="6">
        <v>49</v>
      </c>
      <c r="B56" s="6" t="s">
        <v>1168</v>
      </c>
      <c r="C56" s="7">
        <v>1</v>
      </c>
      <c r="D56" s="9">
        <v>112732473.50964999</v>
      </c>
      <c r="E56" s="9">
        <v>93004291</v>
      </c>
      <c r="F56" s="9">
        <v>19728183</v>
      </c>
      <c r="G56" s="348"/>
      <c r="H56" s="111">
        <f t="shared" si="25"/>
        <v>19728183</v>
      </c>
      <c r="I56" s="9">
        <f t="shared" si="0"/>
        <v>118963463.14608002</v>
      </c>
      <c r="J56" s="33">
        <f t="shared" si="1"/>
        <v>98144857</v>
      </c>
      <c r="K56" s="9">
        <f t="shared" si="26"/>
        <v>20818606</v>
      </c>
      <c r="L56" s="112">
        <f t="shared" si="27"/>
        <v>1090423</v>
      </c>
      <c r="M56" s="458">
        <f>ROUND(100-'Townwide Contributions'!L55,2)</f>
        <v>17.5</v>
      </c>
      <c r="N56" s="9">
        <v>7030</v>
      </c>
      <c r="O56" s="9">
        <f t="shared" si="2"/>
        <v>7297</v>
      </c>
      <c r="P56" s="9">
        <f t="shared" si="3"/>
        <v>1</v>
      </c>
      <c r="Q56" s="28">
        <f t="shared" si="4"/>
        <v>758888</v>
      </c>
      <c r="R56" s="382">
        <f t="shared" si="28"/>
        <v>0</v>
      </c>
      <c r="S56" s="28">
        <v>19728183</v>
      </c>
      <c r="T56" s="33">
        <f t="shared" si="5"/>
        <v>19947093</v>
      </c>
      <c r="U56" s="9">
        <f t="shared" si="6"/>
        <v>0</v>
      </c>
      <c r="V56" s="33">
        <f t="shared" si="7"/>
        <v>20818606</v>
      </c>
      <c r="W56" s="33">
        <f t="shared" si="8"/>
        <v>0</v>
      </c>
      <c r="X56" s="33">
        <v>0</v>
      </c>
      <c r="Y56" s="113">
        <f t="shared" si="29"/>
        <v>20818606</v>
      </c>
      <c r="Z56" s="155">
        <f t="shared" si="9"/>
        <v>17.49999995749619</v>
      </c>
      <c r="AA56" s="33">
        <f t="shared" si="10"/>
        <v>118963463</v>
      </c>
      <c r="AB56" s="114">
        <f t="shared" si="11"/>
        <v>99.99999987720598</v>
      </c>
      <c r="AC56" s="28">
        <f t="shared" si="12"/>
        <v>6230989.6364300251</v>
      </c>
      <c r="AD56" s="28">
        <f t="shared" si="13"/>
        <v>1090423</v>
      </c>
      <c r="AE56" s="28">
        <f t="shared" si="14"/>
        <v>-5.0564002245664597E-2</v>
      </c>
      <c r="AF56" s="115">
        <f t="shared" si="15"/>
        <v>-4.2503810249172602E-8</v>
      </c>
      <c r="AG56" s="28">
        <f t="shared" si="16"/>
        <v>16303.06</v>
      </c>
      <c r="AI56" s="28">
        <f t="shared" si="17"/>
        <v>0</v>
      </c>
      <c r="AJ56" s="28"/>
      <c r="AK56" s="28">
        <f t="shared" si="18"/>
        <v>149.43442510620804</v>
      </c>
      <c r="AL56" s="156"/>
      <c r="AM56" s="6">
        <f t="shared" si="19"/>
        <v>49</v>
      </c>
      <c r="AN56" s="6" t="str">
        <f t="shared" si="20"/>
        <v xml:space="preserve">Cambridge                    </v>
      </c>
      <c r="AO56" s="6">
        <f t="shared" si="21"/>
        <v>1</v>
      </c>
      <c r="AP56" s="9">
        <f t="shared" si="30"/>
        <v>7297</v>
      </c>
      <c r="AQ56" s="9">
        <f t="shared" si="22"/>
        <v>118963463.14608002</v>
      </c>
      <c r="AR56" s="33">
        <f t="shared" si="23"/>
        <v>98144857</v>
      </c>
      <c r="AS56" s="33">
        <f t="shared" si="24"/>
        <v>20818606</v>
      </c>
      <c r="AU56" s="28"/>
      <c r="AV56" s="9"/>
      <c r="AW56" s="519"/>
    </row>
    <row r="57" spans="1:49">
      <c r="A57" s="6">
        <v>50</v>
      </c>
      <c r="B57" s="6" t="s">
        <v>1169</v>
      </c>
      <c r="C57" s="7">
        <v>1</v>
      </c>
      <c r="D57" s="9">
        <v>43350134.769279994</v>
      </c>
      <c r="E57" s="9">
        <v>34684949</v>
      </c>
      <c r="F57" s="9">
        <v>8665186</v>
      </c>
      <c r="G57" s="348"/>
      <c r="H57" s="111">
        <f t="shared" si="25"/>
        <v>8665186</v>
      </c>
      <c r="I57" s="9">
        <f t="shared" si="0"/>
        <v>44999693.302450001</v>
      </c>
      <c r="J57" s="33">
        <f t="shared" si="1"/>
        <v>36588682</v>
      </c>
      <c r="K57" s="9">
        <f t="shared" si="26"/>
        <v>8411011</v>
      </c>
      <c r="L57" s="112">
        <f t="shared" si="27"/>
        <v>0</v>
      </c>
      <c r="M57" s="458">
        <f>ROUND(100-'Townwide Contributions'!L56,2)</f>
        <v>17.5</v>
      </c>
      <c r="N57" s="9">
        <v>3260</v>
      </c>
      <c r="O57" s="9">
        <f t="shared" si="2"/>
        <v>3291</v>
      </c>
      <c r="P57" s="9">
        <f t="shared" si="3"/>
        <v>0</v>
      </c>
      <c r="Q57" s="28">
        <f t="shared" si="4"/>
        <v>342264</v>
      </c>
      <c r="R57" s="382">
        <f t="shared" si="28"/>
        <v>342264</v>
      </c>
      <c r="S57" s="28">
        <v>8665186</v>
      </c>
      <c r="T57" s="33">
        <f t="shared" si="5"/>
        <v>8763916</v>
      </c>
      <c r="U57" s="9">
        <f t="shared" si="6"/>
        <v>0</v>
      </c>
      <c r="V57" s="33">
        <f t="shared" si="7"/>
        <v>9007450</v>
      </c>
      <c r="W57" s="33">
        <f t="shared" si="8"/>
        <v>0</v>
      </c>
      <c r="X57" s="33">
        <v>0</v>
      </c>
      <c r="Y57" s="113">
        <f t="shared" si="29"/>
        <v>9007450</v>
      </c>
      <c r="Z57" s="155">
        <f t="shared" si="9"/>
        <v>20.016691979341982</v>
      </c>
      <c r="AA57" s="33">
        <f t="shared" si="10"/>
        <v>45596132</v>
      </c>
      <c r="AB57" s="114">
        <f t="shared" si="11"/>
        <v>101.32542836134735</v>
      </c>
      <c r="AC57" s="28">
        <f t="shared" si="12"/>
        <v>1649558.5331700072</v>
      </c>
      <c r="AD57" s="28">
        <f t="shared" si="13"/>
        <v>342264</v>
      </c>
      <c r="AE57" s="28">
        <f t="shared" si="14"/>
        <v>1132503.6720712502</v>
      </c>
      <c r="AF57" s="115">
        <f t="shared" si="15"/>
        <v>2.5166919793419815</v>
      </c>
      <c r="AG57" s="28">
        <f t="shared" si="16"/>
        <v>13673.56</v>
      </c>
      <c r="AI57" s="28">
        <f t="shared" si="17"/>
        <v>0</v>
      </c>
      <c r="AJ57" s="28"/>
      <c r="AK57" s="28">
        <f t="shared" si="18"/>
        <v>104</v>
      </c>
      <c r="AL57" s="156"/>
      <c r="AM57" s="6">
        <f t="shared" si="19"/>
        <v>50</v>
      </c>
      <c r="AN57" s="6" t="str">
        <f t="shared" si="20"/>
        <v xml:space="preserve">Canton                       </v>
      </c>
      <c r="AO57" s="6">
        <f t="shared" si="21"/>
        <v>1</v>
      </c>
      <c r="AP57" s="9">
        <f t="shared" si="30"/>
        <v>3291</v>
      </c>
      <c r="AQ57" s="9">
        <f t="shared" si="22"/>
        <v>44999693.302450001</v>
      </c>
      <c r="AR57" s="33">
        <f t="shared" si="23"/>
        <v>36588682</v>
      </c>
      <c r="AS57" s="33">
        <f t="shared" si="24"/>
        <v>9007450</v>
      </c>
      <c r="AU57" s="28"/>
      <c r="AV57" s="9"/>
      <c r="AW57" s="519"/>
    </row>
    <row r="58" spans="1:49">
      <c r="A58" s="6">
        <v>51</v>
      </c>
      <c r="B58" s="6" t="s">
        <v>1170</v>
      </c>
      <c r="C58" s="7">
        <v>1</v>
      </c>
      <c r="D58" s="9">
        <v>6639945.1630799994</v>
      </c>
      <c r="E58" s="9">
        <v>5477955</v>
      </c>
      <c r="F58" s="9">
        <v>1387990</v>
      </c>
      <c r="G58" s="348"/>
      <c r="H58" s="111">
        <f t="shared" si="25"/>
        <v>1387990</v>
      </c>
      <c r="I58" s="9">
        <f t="shared" si="0"/>
        <v>6853478.0810400005</v>
      </c>
      <c r="J58" s="33">
        <f t="shared" si="1"/>
        <v>5654120</v>
      </c>
      <c r="K58" s="9">
        <f t="shared" si="26"/>
        <v>1199358</v>
      </c>
      <c r="L58" s="112">
        <f t="shared" si="27"/>
        <v>0</v>
      </c>
      <c r="M58" s="458">
        <f>ROUND(100-'Townwide Contributions'!L57,2)</f>
        <v>17.5</v>
      </c>
      <c r="N58" s="9">
        <v>567</v>
      </c>
      <c r="O58" s="9">
        <f t="shared" si="2"/>
        <v>571</v>
      </c>
      <c r="P58" s="9">
        <f t="shared" si="3"/>
        <v>0</v>
      </c>
      <c r="Q58" s="28">
        <f t="shared" si="4"/>
        <v>59384</v>
      </c>
      <c r="R58" s="382">
        <f t="shared" si="28"/>
        <v>59384</v>
      </c>
      <c r="S58" s="28">
        <v>1387990</v>
      </c>
      <c r="T58" s="33">
        <f t="shared" si="5"/>
        <v>1405120</v>
      </c>
      <c r="U58" s="9">
        <f t="shared" si="6"/>
        <v>0</v>
      </c>
      <c r="V58" s="33">
        <f t="shared" si="7"/>
        <v>1447374</v>
      </c>
      <c r="W58" s="33">
        <f t="shared" si="8"/>
        <v>0</v>
      </c>
      <c r="X58" s="33">
        <v>0</v>
      </c>
      <c r="Y58" s="113">
        <f t="shared" si="29"/>
        <v>1447374</v>
      </c>
      <c r="Z58" s="155">
        <f t="shared" si="9"/>
        <v>21.118824382091905</v>
      </c>
      <c r="AA58" s="33">
        <f t="shared" si="10"/>
        <v>7101494</v>
      </c>
      <c r="AB58" s="114">
        <f t="shared" si="11"/>
        <v>103.61883289079351</v>
      </c>
      <c r="AC58" s="28">
        <f t="shared" si="12"/>
        <v>213532.91796000116</v>
      </c>
      <c r="AD58" s="28">
        <f t="shared" si="13"/>
        <v>59384</v>
      </c>
      <c r="AE58" s="28">
        <f t="shared" si="14"/>
        <v>248015.3358179999</v>
      </c>
      <c r="AF58" s="115">
        <f t="shared" si="15"/>
        <v>3.6188243820919048</v>
      </c>
      <c r="AG58" s="28">
        <f t="shared" si="16"/>
        <v>12002.59</v>
      </c>
      <c r="AI58" s="28">
        <f t="shared" si="17"/>
        <v>0</v>
      </c>
      <c r="AJ58" s="28"/>
      <c r="AK58" s="28">
        <f t="shared" si="18"/>
        <v>104</v>
      </c>
      <c r="AL58" s="156"/>
      <c r="AM58" s="6">
        <f t="shared" si="19"/>
        <v>51</v>
      </c>
      <c r="AN58" s="6" t="str">
        <f t="shared" si="20"/>
        <v xml:space="preserve">Carlisle                     </v>
      </c>
      <c r="AO58" s="6">
        <f t="shared" si="21"/>
        <v>1</v>
      </c>
      <c r="AP58" s="9">
        <f t="shared" si="30"/>
        <v>571</v>
      </c>
      <c r="AQ58" s="9">
        <f t="shared" si="22"/>
        <v>6853478.0810400005</v>
      </c>
      <c r="AR58" s="33">
        <f t="shared" si="23"/>
        <v>5654120</v>
      </c>
      <c r="AS58" s="33">
        <f t="shared" si="24"/>
        <v>1447374</v>
      </c>
      <c r="AU58" s="28"/>
      <c r="AV58" s="9"/>
      <c r="AW58" s="519"/>
    </row>
    <row r="59" spans="1:49">
      <c r="A59" s="6">
        <v>52</v>
      </c>
      <c r="B59" s="6" t="s">
        <v>1171</v>
      </c>
      <c r="C59" s="7">
        <v>1</v>
      </c>
      <c r="D59" s="9">
        <v>21283331.499319997</v>
      </c>
      <c r="E59" s="9">
        <v>10820042</v>
      </c>
      <c r="F59" s="9">
        <v>10463289</v>
      </c>
      <c r="G59" s="348"/>
      <c r="H59" s="111">
        <f t="shared" si="25"/>
        <v>10463289</v>
      </c>
      <c r="I59" s="9">
        <f t="shared" si="0"/>
        <v>20958681.776560001</v>
      </c>
      <c r="J59" s="33">
        <f t="shared" si="1"/>
        <v>11414545</v>
      </c>
      <c r="K59" s="9">
        <f t="shared" si="26"/>
        <v>9544137</v>
      </c>
      <c r="L59" s="112">
        <f t="shared" si="27"/>
        <v>0</v>
      </c>
      <c r="M59" s="458">
        <f>ROUND(100-'Townwide Contributions'!L58,2)</f>
        <v>41.6</v>
      </c>
      <c r="N59" s="9">
        <v>1535</v>
      </c>
      <c r="O59" s="9">
        <f t="shared" si="2"/>
        <v>1501</v>
      </c>
      <c r="P59" s="9">
        <f t="shared" si="3"/>
        <v>0</v>
      </c>
      <c r="Q59" s="28">
        <f t="shared" si="4"/>
        <v>156104</v>
      </c>
      <c r="R59" s="382">
        <f t="shared" si="28"/>
        <v>156104</v>
      </c>
      <c r="S59" s="28">
        <v>10463289</v>
      </c>
      <c r="T59" s="33">
        <f t="shared" si="5"/>
        <v>10508319</v>
      </c>
      <c r="U59" s="9">
        <f t="shared" si="6"/>
        <v>0</v>
      </c>
      <c r="V59" s="33">
        <f t="shared" si="7"/>
        <v>10619393</v>
      </c>
      <c r="W59" s="33">
        <f t="shared" si="8"/>
        <v>0</v>
      </c>
      <c r="X59" s="33">
        <v>0</v>
      </c>
      <c r="Y59" s="113">
        <f t="shared" si="29"/>
        <v>10619393</v>
      </c>
      <c r="Z59" s="155">
        <f t="shared" si="9"/>
        <v>50.668229582437917</v>
      </c>
      <c r="AA59" s="33">
        <f t="shared" si="10"/>
        <v>22033938</v>
      </c>
      <c r="AB59" s="114">
        <f t="shared" si="11"/>
        <v>105.13036189443248</v>
      </c>
      <c r="AC59" s="28">
        <f t="shared" si="12"/>
        <v>-324649.72275999561</v>
      </c>
      <c r="AD59" s="28">
        <f t="shared" si="13"/>
        <v>156104</v>
      </c>
      <c r="AE59" s="28">
        <f t="shared" si="14"/>
        <v>1900581.3809510395</v>
      </c>
      <c r="AF59" s="115">
        <f t="shared" si="15"/>
        <v>9.0682295824379153</v>
      </c>
      <c r="AG59" s="28">
        <f t="shared" si="16"/>
        <v>13963.15</v>
      </c>
      <c r="AI59" s="28">
        <f t="shared" si="17"/>
        <v>0</v>
      </c>
      <c r="AJ59" s="28"/>
      <c r="AK59" s="28">
        <f t="shared" si="18"/>
        <v>104</v>
      </c>
      <c r="AL59" s="156"/>
      <c r="AM59" s="6">
        <f t="shared" si="19"/>
        <v>52</v>
      </c>
      <c r="AN59" s="6" t="str">
        <f t="shared" si="20"/>
        <v xml:space="preserve">Carver                       </v>
      </c>
      <c r="AO59" s="6">
        <f t="shared" si="21"/>
        <v>1</v>
      </c>
      <c r="AP59" s="9">
        <f t="shared" si="30"/>
        <v>1501</v>
      </c>
      <c r="AQ59" s="9">
        <f t="shared" si="22"/>
        <v>20958681.776560001</v>
      </c>
      <c r="AR59" s="33">
        <f t="shared" si="23"/>
        <v>11414545</v>
      </c>
      <c r="AS59" s="33">
        <f t="shared" si="24"/>
        <v>10619393</v>
      </c>
      <c r="AU59" s="28"/>
      <c r="AV59" s="9"/>
      <c r="AW59" s="519"/>
    </row>
    <row r="60" spans="1:49">
      <c r="A60" s="6">
        <v>53</v>
      </c>
      <c r="B60" s="6" t="s">
        <v>1172</v>
      </c>
      <c r="C60" s="7">
        <v>0</v>
      </c>
      <c r="D60" s="9">
        <v>131926.08000000002</v>
      </c>
      <c r="E60" s="9">
        <v>67011</v>
      </c>
      <c r="F60" s="9">
        <v>102815</v>
      </c>
      <c r="G60" s="348"/>
      <c r="H60" s="111">
        <f t="shared" si="25"/>
        <v>102815</v>
      </c>
      <c r="I60" s="9">
        <f t="shared" si="0"/>
        <v>216797.25000000006</v>
      </c>
      <c r="J60" s="33">
        <f t="shared" si="1"/>
        <v>121733</v>
      </c>
      <c r="K60" s="9">
        <f t="shared" si="26"/>
        <v>95064</v>
      </c>
      <c r="L60" s="112">
        <f t="shared" si="27"/>
        <v>0</v>
      </c>
      <c r="M60" s="458">
        <f>ROUND(100-'Townwide Contributions'!L59,2)</f>
        <v>40.299999999999997</v>
      </c>
      <c r="N60" s="9">
        <v>8</v>
      </c>
      <c r="O60" s="9">
        <f t="shared" si="2"/>
        <v>11</v>
      </c>
      <c r="P60" s="9">
        <f t="shared" si="3"/>
        <v>0</v>
      </c>
      <c r="Q60" s="28">
        <f t="shared" si="4"/>
        <v>0</v>
      </c>
      <c r="R60" s="382">
        <f t="shared" si="28"/>
        <v>0</v>
      </c>
      <c r="S60" s="28">
        <v>102815</v>
      </c>
      <c r="T60" s="33">
        <f t="shared" si="5"/>
        <v>103145</v>
      </c>
      <c r="U60" s="9">
        <f t="shared" si="6"/>
        <v>0</v>
      </c>
      <c r="V60" s="33">
        <f t="shared" si="7"/>
        <v>102815</v>
      </c>
      <c r="W60" s="33">
        <f t="shared" si="8"/>
        <v>0</v>
      </c>
      <c r="X60" s="33">
        <v>0</v>
      </c>
      <c r="Y60" s="113">
        <f t="shared" si="29"/>
        <v>102815</v>
      </c>
      <c r="Z60" s="155">
        <f t="shared" si="9"/>
        <v>0</v>
      </c>
      <c r="AA60" s="33">
        <f t="shared" si="10"/>
        <v>224548</v>
      </c>
      <c r="AB60" s="114">
        <f t="shared" si="11"/>
        <v>103.57511453673879</v>
      </c>
      <c r="AC60" s="28">
        <f t="shared" si="12"/>
        <v>84871.170000000042</v>
      </c>
      <c r="AD60" s="28">
        <f t="shared" si="13"/>
        <v>0</v>
      </c>
      <c r="AE60" s="28">
        <f t="shared" si="14"/>
        <v>15445.708249999981</v>
      </c>
      <c r="AF60" s="115" t="str">
        <f t="shared" si="15"/>
        <v/>
      </c>
      <c r="AG60" s="28">
        <f t="shared" si="16"/>
        <v>19708.84</v>
      </c>
      <c r="AI60" s="28">
        <f t="shared" si="17"/>
        <v>0</v>
      </c>
      <c r="AJ60" s="28"/>
      <c r="AK60" s="28">
        <f t="shared" si="18"/>
        <v>0</v>
      </c>
      <c r="AL60" s="156"/>
      <c r="AM60" s="6">
        <f t="shared" si="19"/>
        <v>53</v>
      </c>
      <c r="AN60" s="6" t="str">
        <f t="shared" si="20"/>
        <v xml:space="preserve">Charlemont                   </v>
      </c>
      <c r="AO60" s="6">
        <f t="shared" si="21"/>
        <v>0</v>
      </c>
      <c r="AP60" s="9">
        <f t="shared" si="30"/>
        <v>11</v>
      </c>
      <c r="AQ60" s="9">
        <f t="shared" si="22"/>
        <v>216797.25000000006</v>
      </c>
      <c r="AR60" s="33">
        <f t="shared" si="23"/>
        <v>121733</v>
      </c>
      <c r="AS60" s="33">
        <f t="shared" si="24"/>
        <v>102815</v>
      </c>
      <c r="AU60" s="28"/>
      <c r="AV60" s="9"/>
      <c r="AW60" s="519"/>
    </row>
    <row r="61" spans="1:49">
      <c r="A61" s="6">
        <v>54</v>
      </c>
      <c r="B61" s="6" t="s">
        <v>1173</v>
      </c>
      <c r="C61" s="7">
        <v>0</v>
      </c>
      <c r="D61" s="9">
        <v>0</v>
      </c>
      <c r="E61" s="9">
        <v>0</v>
      </c>
      <c r="F61" s="9">
        <v>0</v>
      </c>
      <c r="G61" s="348"/>
      <c r="H61" s="111">
        <f t="shared" si="25"/>
        <v>0</v>
      </c>
      <c r="I61" s="9">
        <f t="shared" si="0"/>
        <v>0</v>
      </c>
      <c r="J61" s="33">
        <f t="shared" si="1"/>
        <v>0</v>
      </c>
      <c r="K61" s="9">
        <f t="shared" si="26"/>
        <v>0</v>
      </c>
      <c r="L61" s="112">
        <f t="shared" si="27"/>
        <v>0</v>
      </c>
      <c r="M61" s="458">
        <f>ROUND(100-'Townwide Contributions'!L60,2)</f>
        <v>39</v>
      </c>
      <c r="N61" s="9">
        <v>0</v>
      </c>
      <c r="O61" s="9">
        <f t="shared" si="2"/>
        <v>0</v>
      </c>
      <c r="P61" s="9">
        <f t="shared" si="3"/>
        <v>0</v>
      </c>
      <c r="Q61" s="28">
        <f t="shared" si="4"/>
        <v>0</v>
      </c>
      <c r="R61" s="382">
        <f t="shared" si="28"/>
        <v>0</v>
      </c>
      <c r="S61" s="28">
        <v>0</v>
      </c>
      <c r="T61" s="33">
        <f t="shared" si="5"/>
        <v>0</v>
      </c>
      <c r="U61" s="9">
        <f t="shared" si="6"/>
        <v>0</v>
      </c>
      <c r="V61" s="33">
        <f t="shared" si="7"/>
        <v>0</v>
      </c>
      <c r="W61" s="33">
        <f t="shared" si="8"/>
        <v>0</v>
      </c>
      <c r="X61" s="33">
        <v>0</v>
      </c>
      <c r="Y61" s="113">
        <f t="shared" si="29"/>
        <v>0</v>
      </c>
      <c r="Z61" s="155">
        <f t="shared" si="9"/>
        <v>0</v>
      </c>
      <c r="AA61" s="33">
        <f t="shared" si="10"/>
        <v>0</v>
      </c>
      <c r="AB61" s="114">
        <f t="shared" si="11"/>
        <v>0</v>
      </c>
      <c r="AC61" s="28">
        <f t="shared" si="12"/>
        <v>0</v>
      </c>
      <c r="AD61" s="28">
        <f t="shared" si="13"/>
        <v>0</v>
      </c>
      <c r="AE61" s="28">
        <f t="shared" si="14"/>
        <v>0</v>
      </c>
      <c r="AF61" s="115" t="str">
        <f t="shared" si="15"/>
        <v/>
      </c>
      <c r="AG61" s="28">
        <f t="shared" si="16"/>
        <v>0</v>
      </c>
      <c r="AI61" s="28">
        <f t="shared" si="17"/>
        <v>0</v>
      </c>
      <c r="AJ61" s="28"/>
      <c r="AK61" s="28">
        <f t="shared" si="18"/>
        <v>0</v>
      </c>
      <c r="AL61" s="156"/>
      <c r="AM61" s="6">
        <f t="shared" si="19"/>
        <v>54</v>
      </c>
      <c r="AN61" s="6" t="str">
        <f t="shared" si="20"/>
        <v xml:space="preserve">Charlton                     </v>
      </c>
      <c r="AO61" s="6">
        <f t="shared" si="21"/>
        <v>0</v>
      </c>
      <c r="AP61" s="9">
        <f t="shared" si="30"/>
        <v>0</v>
      </c>
      <c r="AQ61" s="9">
        <f t="shared" si="22"/>
        <v>0</v>
      </c>
      <c r="AR61" s="33">
        <f t="shared" si="23"/>
        <v>0</v>
      </c>
      <c r="AS61" s="33">
        <f t="shared" si="24"/>
        <v>0</v>
      </c>
      <c r="AU61" s="28"/>
      <c r="AW61" s="519"/>
    </row>
    <row r="62" spans="1:49">
      <c r="A62" s="6">
        <v>55</v>
      </c>
      <c r="B62" s="6" t="s">
        <v>1174</v>
      </c>
      <c r="C62" s="7">
        <v>0</v>
      </c>
      <c r="D62" s="9">
        <v>0</v>
      </c>
      <c r="E62" s="9">
        <v>0</v>
      </c>
      <c r="F62" s="9">
        <v>0</v>
      </c>
      <c r="G62" s="348"/>
      <c r="H62" s="111">
        <f t="shared" si="25"/>
        <v>0</v>
      </c>
      <c r="I62" s="9">
        <f t="shared" si="0"/>
        <v>0</v>
      </c>
      <c r="J62" s="33">
        <f t="shared" si="1"/>
        <v>0</v>
      </c>
      <c r="K62" s="9">
        <f t="shared" si="26"/>
        <v>0</v>
      </c>
      <c r="L62" s="112">
        <f t="shared" si="27"/>
        <v>0</v>
      </c>
      <c r="M62" s="458">
        <f>ROUND(100-'Townwide Contributions'!L61,2)</f>
        <v>17.5</v>
      </c>
      <c r="N62" s="9">
        <v>0</v>
      </c>
      <c r="O62" s="9">
        <f t="shared" si="2"/>
        <v>0</v>
      </c>
      <c r="P62" s="9">
        <f t="shared" si="3"/>
        <v>0</v>
      </c>
      <c r="Q62" s="28">
        <f t="shared" si="4"/>
        <v>0</v>
      </c>
      <c r="R62" s="382">
        <f t="shared" si="28"/>
        <v>0</v>
      </c>
      <c r="S62" s="28">
        <v>0</v>
      </c>
      <c r="T62" s="33">
        <f t="shared" si="5"/>
        <v>0</v>
      </c>
      <c r="U62" s="9">
        <f t="shared" si="6"/>
        <v>0</v>
      </c>
      <c r="V62" s="33">
        <f t="shared" si="7"/>
        <v>0</v>
      </c>
      <c r="W62" s="33">
        <f t="shared" si="8"/>
        <v>0</v>
      </c>
      <c r="X62" s="33">
        <v>0</v>
      </c>
      <c r="Y62" s="113">
        <f t="shared" si="29"/>
        <v>0</v>
      </c>
      <c r="Z62" s="155">
        <f t="shared" si="9"/>
        <v>0</v>
      </c>
      <c r="AA62" s="33">
        <f t="shared" si="10"/>
        <v>0</v>
      </c>
      <c r="AB62" s="114">
        <f t="shared" si="11"/>
        <v>0</v>
      </c>
      <c r="AC62" s="28">
        <f t="shared" si="12"/>
        <v>0</v>
      </c>
      <c r="AD62" s="28">
        <f t="shared" si="13"/>
        <v>0</v>
      </c>
      <c r="AE62" s="28">
        <f t="shared" si="14"/>
        <v>0</v>
      </c>
      <c r="AF62" s="115" t="str">
        <f t="shared" si="15"/>
        <v/>
      </c>
      <c r="AG62" s="28">
        <f t="shared" si="16"/>
        <v>0</v>
      </c>
      <c r="AI62" s="28">
        <f t="shared" si="17"/>
        <v>0</v>
      </c>
      <c r="AJ62" s="28"/>
      <c r="AK62" s="28">
        <f t="shared" si="18"/>
        <v>0</v>
      </c>
      <c r="AL62" s="156"/>
      <c r="AM62" s="6">
        <f t="shared" si="19"/>
        <v>55</v>
      </c>
      <c r="AN62" s="6" t="str">
        <f t="shared" si="20"/>
        <v xml:space="preserve">Chatham                      </v>
      </c>
      <c r="AO62" s="6">
        <f t="shared" si="21"/>
        <v>0</v>
      </c>
      <c r="AP62" s="9">
        <f t="shared" si="30"/>
        <v>0</v>
      </c>
      <c r="AQ62" s="9">
        <f t="shared" si="22"/>
        <v>0</v>
      </c>
      <c r="AR62" s="33">
        <f t="shared" si="23"/>
        <v>0</v>
      </c>
      <c r="AS62" s="33">
        <f t="shared" si="24"/>
        <v>0</v>
      </c>
      <c r="AU62" s="28"/>
      <c r="AW62" s="519"/>
    </row>
    <row r="63" spans="1:49">
      <c r="A63" s="6">
        <v>56</v>
      </c>
      <c r="B63" s="6" t="s">
        <v>1175</v>
      </c>
      <c r="C63" s="7">
        <v>1</v>
      </c>
      <c r="D63" s="9">
        <v>63812307.760000005</v>
      </c>
      <c r="E63" s="9">
        <v>49670508</v>
      </c>
      <c r="F63" s="9">
        <v>14141800</v>
      </c>
      <c r="G63" s="348"/>
      <c r="H63" s="111">
        <f t="shared" si="25"/>
        <v>14141800</v>
      </c>
      <c r="I63" s="9">
        <f t="shared" si="0"/>
        <v>66887500.860000007</v>
      </c>
      <c r="J63" s="33">
        <f t="shared" si="1"/>
        <v>52463272</v>
      </c>
      <c r="K63" s="9">
        <f t="shared" si="26"/>
        <v>14424229</v>
      </c>
      <c r="L63" s="112">
        <f t="shared" si="27"/>
        <v>282429</v>
      </c>
      <c r="M63" s="458">
        <f>ROUND(100-'Townwide Contributions'!L62,2)</f>
        <v>17.5</v>
      </c>
      <c r="N63" s="9">
        <v>5108</v>
      </c>
      <c r="O63" s="9">
        <f t="shared" si="2"/>
        <v>5181</v>
      </c>
      <c r="P63" s="9">
        <f t="shared" si="3"/>
        <v>1</v>
      </c>
      <c r="Q63" s="28">
        <f t="shared" si="4"/>
        <v>538824</v>
      </c>
      <c r="R63" s="382">
        <f t="shared" si="28"/>
        <v>256395</v>
      </c>
      <c r="S63" s="28">
        <v>14141800</v>
      </c>
      <c r="T63" s="33">
        <f t="shared" si="5"/>
        <v>14297230</v>
      </c>
      <c r="U63" s="9">
        <f t="shared" si="6"/>
        <v>0</v>
      </c>
      <c r="V63" s="33">
        <f t="shared" si="7"/>
        <v>14680624</v>
      </c>
      <c r="W63" s="33">
        <f t="shared" si="8"/>
        <v>0</v>
      </c>
      <c r="X63" s="33">
        <v>0</v>
      </c>
      <c r="Y63" s="113">
        <f t="shared" si="29"/>
        <v>14680624</v>
      </c>
      <c r="Z63" s="155">
        <f t="shared" si="9"/>
        <v>21.948232197712876</v>
      </c>
      <c r="AA63" s="33">
        <f t="shared" si="10"/>
        <v>67143896</v>
      </c>
      <c r="AB63" s="114">
        <f t="shared" si="11"/>
        <v>100.38332294779056</v>
      </c>
      <c r="AC63" s="28">
        <f t="shared" si="12"/>
        <v>3075193.1000000015</v>
      </c>
      <c r="AD63" s="28">
        <f t="shared" si="13"/>
        <v>538824</v>
      </c>
      <c r="AE63" s="28">
        <f t="shared" si="14"/>
        <v>2975311.3494999986</v>
      </c>
      <c r="AF63" s="115">
        <f t="shared" si="15"/>
        <v>4.4482321977128763</v>
      </c>
      <c r="AG63" s="28">
        <f t="shared" si="16"/>
        <v>12910.15</v>
      </c>
      <c r="AI63" s="28">
        <f t="shared" si="17"/>
        <v>0</v>
      </c>
      <c r="AJ63" s="28"/>
      <c r="AK63" s="28">
        <f t="shared" si="18"/>
        <v>104</v>
      </c>
      <c r="AL63" s="156"/>
      <c r="AM63" s="6">
        <f t="shared" si="19"/>
        <v>56</v>
      </c>
      <c r="AN63" s="6" t="str">
        <f t="shared" si="20"/>
        <v xml:space="preserve">Chelmsford                   </v>
      </c>
      <c r="AO63" s="6">
        <f t="shared" si="21"/>
        <v>1</v>
      </c>
      <c r="AP63" s="9">
        <f t="shared" si="30"/>
        <v>5181</v>
      </c>
      <c r="AQ63" s="9">
        <f t="shared" si="22"/>
        <v>66887500.860000007</v>
      </c>
      <c r="AR63" s="33">
        <f t="shared" si="23"/>
        <v>52463272</v>
      </c>
      <c r="AS63" s="33">
        <f t="shared" si="24"/>
        <v>14680624</v>
      </c>
      <c r="AU63" s="28"/>
      <c r="AV63" s="9"/>
      <c r="AW63" s="519"/>
    </row>
    <row r="64" spans="1:49">
      <c r="A64" s="6">
        <v>57</v>
      </c>
      <c r="B64" s="6" t="s">
        <v>1176</v>
      </c>
      <c r="C64" s="7">
        <v>1</v>
      </c>
      <c r="D64" s="9">
        <v>138863180.45907998</v>
      </c>
      <c r="E64" s="9">
        <v>22081668</v>
      </c>
      <c r="F64" s="9">
        <v>116781512</v>
      </c>
      <c r="G64" s="348"/>
      <c r="H64" s="111">
        <f t="shared" si="25"/>
        <v>116781512</v>
      </c>
      <c r="I64" s="9">
        <f t="shared" si="0"/>
        <v>146924932.87000003</v>
      </c>
      <c r="J64" s="33">
        <f t="shared" si="1"/>
        <v>23727035</v>
      </c>
      <c r="K64" s="9">
        <f t="shared" si="26"/>
        <v>123197898</v>
      </c>
      <c r="L64" s="112">
        <f t="shared" si="27"/>
        <v>6416386</v>
      </c>
      <c r="M64" s="458">
        <f>ROUND(100-'Townwide Contributions'!L63,2)</f>
        <v>77.95</v>
      </c>
      <c r="N64" s="9">
        <v>7110</v>
      </c>
      <c r="O64" s="9">
        <f t="shared" si="2"/>
        <v>7095</v>
      </c>
      <c r="P64" s="9">
        <f t="shared" si="3"/>
        <v>1</v>
      </c>
      <c r="Q64" s="28">
        <f t="shared" si="4"/>
        <v>737880</v>
      </c>
      <c r="R64" s="382">
        <f t="shared" si="28"/>
        <v>0</v>
      </c>
      <c r="S64" s="28">
        <v>116781512</v>
      </c>
      <c r="T64" s="33">
        <f t="shared" si="5"/>
        <v>116994362</v>
      </c>
      <c r="U64" s="9">
        <f t="shared" si="6"/>
        <v>0</v>
      </c>
      <c r="V64" s="33">
        <f t="shared" si="7"/>
        <v>123197898</v>
      </c>
      <c r="W64" s="33">
        <f t="shared" si="8"/>
        <v>0</v>
      </c>
      <c r="X64" s="33">
        <v>0</v>
      </c>
      <c r="Y64" s="113">
        <f t="shared" si="29"/>
        <v>123197898</v>
      </c>
      <c r="Z64" s="155">
        <f t="shared" si="9"/>
        <v>83.85091324765564</v>
      </c>
      <c r="AA64" s="33">
        <f t="shared" si="10"/>
        <v>146924933</v>
      </c>
      <c r="AB64" s="114">
        <f t="shared" si="11"/>
        <v>100.00000008848053</v>
      </c>
      <c r="AC64" s="28">
        <f t="shared" si="12"/>
        <v>8061752.4109200537</v>
      </c>
      <c r="AD64" s="28">
        <f t="shared" si="13"/>
        <v>6416386</v>
      </c>
      <c r="AE64" s="28">
        <f t="shared" si="14"/>
        <v>8669912.8278349638</v>
      </c>
      <c r="AF64" s="115">
        <f t="shared" si="15"/>
        <v>5.9009132476556374</v>
      </c>
      <c r="AG64" s="28">
        <f t="shared" si="16"/>
        <v>20708.240000000002</v>
      </c>
      <c r="AI64" s="28">
        <f t="shared" si="17"/>
        <v>0</v>
      </c>
      <c r="AJ64" s="28"/>
      <c r="AK64" s="28">
        <f t="shared" si="18"/>
        <v>904.35320648343907</v>
      </c>
      <c r="AL64" s="156"/>
      <c r="AM64" s="6">
        <f t="shared" si="19"/>
        <v>57</v>
      </c>
      <c r="AN64" s="6" t="str">
        <f t="shared" si="20"/>
        <v xml:space="preserve">Chelsea                      </v>
      </c>
      <c r="AO64" s="6">
        <f t="shared" si="21"/>
        <v>1</v>
      </c>
      <c r="AP64" s="9">
        <f t="shared" si="30"/>
        <v>7095</v>
      </c>
      <c r="AQ64" s="9">
        <f t="shared" si="22"/>
        <v>146924932.87000003</v>
      </c>
      <c r="AR64" s="33">
        <f t="shared" si="23"/>
        <v>23727035</v>
      </c>
      <c r="AS64" s="33">
        <f t="shared" si="24"/>
        <v>123197898</v>
      </c>
      <c r="AU64" s="28"/>
      <c r="AV64" s="9"/>
      <c r="AW64" s="519"/>
    </row>
    <row r="65" spans="1:49">
      <c r="A65" s="6">
        <v>58</v>
      </c>
      <c r="B65" s="6" t="s">
        <v>1177</v>
      </c>
      <c r="C65" s="7">
        <v>0</v>
      </c>
      <c r="D65" s="9">
        <v>32981.520000000004</v>
      </c>
      <c r="E65" s="9">
        <v>16631</v>
      </c>
      <c r="F65" s="9">
        <v>16351</v>
      </c>
      <c r="G65" s="348"/>
      <c r="H65" s="111">
        <f t="shared" si="25"/>
        <v>16351</v>
      </c>
      <c r="I65" s="9">
        <f t="shared" si="0"/>
        <v>16860.330000000002</v>
      </c>
      <c r="J65" s="33">
        <f t="shared" si="1"/>
        <v>8468</v>
      </c>
      <c r="K65" s="9">
        <f t="shared" si="26"/>
        <v>8392</v>
      </c>
      <c r="L65" s="112">
        <f t="shared" si="27"/>
        <v>0</v>
      </c>
      <c r="M65" s="458">
        <f>ROUND(100-'Townwide Contributions'!L64,2)</f>
        <v>44.78</v>
      </c>
      <c r="N65" s="9">
        <v>2</v>
      </c>
      <c r="O65" s="9">
        <f t="shared" si="2"/>
        <v>1</v>
      </c>
      <c r="P65" s="9">
        <f t="shared" si="3"/>
        <v>0</v>
      </c>
      <c r="Q65" s="28">
        <f t="shared" si="4"/>
        <v>0</v>
      </c>
      <c r="R65" s="382">
        <f t="shared" si="28"/>
        <v>0</v>
      </c>
      <c r="S65" s="28">
        <v>16351</v>
      </c>
      <c r="T65" s="33">
        <f t="shared" si="5"/>
        <v>16381</v>
      </c>
      <c r="U65" s="9">
        <f t="shared" si="6"/>
        <v>0</v>
      </c>
      <c r="V65" s="33">
        <f t="shared" si="7"/>
        <v>16351</v>
      </c>
      <c r="W65" s="33">
        <f t="shared" si="8"/>
        <v>0</v>
      </c>
      <c r="X65" s="33">
        <v>0</v>
      </c>
      <c r="Y65" s="113">
        <f t="shared" si="29"/>
        <v>16351</v>
      </c>
      <c r="Z65" s="155">
        <f t="shared" si="9"/>
        <v>0</v>
      </c>
      <c r="AA65" s="33">
        <f t="shared" si="10"/>
        <v>24819</v>
      </c>
      <c r="AB65" s="114">
        <f t="shared" si="11"/>
        <v>147.20352448617552</v>
      </c>
      <c r="AC65" s="28">
        <f t="shared" si="12"/>
        <v>-16121.190000000002</v>
      </c>
      <c r="AD65" s="28">
        <f t="shared" si="13"/>
        <v>0</v>
      </c>
      <c r="AE65" s="28">
        <f t="shared" si="14"/>
        <v>8800.9442259999996</v>
      </c>
      <c r="AF65" s="115" t="str">
        <f t="shared" si="15"/>
        <v/>
      </c>
      <c r="AG65" s="28">
        <f t="shared" si="16"/>
        <v>16860.330000000002</v>
      </c>
      <c r="AI65" s="28">
        <f t="shared" si="17"/>
        <v>0</v>
      </c>
      <c r="AJ65" s="28"/>
      <c r="AK65" s="28">
        <f t="shared" si="18"/>
        <v>0</v>
      </c>
      <c r="AL65" s="156"/>
      <c r="AM65" s="6">
        <f t="shared" si="19"/>
        <v>58</v>
      </c>
      <c r="AN65" s="6" t="str">
        <f t="shared" si="20"/>
        <v xml:space="preserve">Cheshire                     </v>
      </c>
      <c r="AO65" s="6">
        <f t="shared" si="21"/>
        <v>0</v>
      </c>
      <c r="AP65" s="9">
        <f t="shared" si="30"/>
        <v>1</v>
      </c>
      <c r="AQ65" s="9">
        <f t="shared" si="22"/>
        <v>16860.330000000002</v>
      </c>
      <c r="AR65" s="33">
        <f t="shared" si="23"/>
        <v>8468</v>
      </c>
      <c r="AS65" s="33">
        <f t="shared" si="24"/>
        <v>16351</v>
      </c>
      <c r="AU65" s="28"/>
      <c r="AV65" s="9"/>
      <c r="AW65" s="519"/>
    </row>
    <row r="66" spans="1:49">
      <c r="A66" s="6">
        <v>59</v>
      </c>
      <c r="B66" s="6" t="s">
        <v>1178</v>
      </c>
      <c r="C66" s="7">
        <v>0</v>
      </c>
      <c r="D66" s="9">
        <v>98944.56</v>
      </c>
      <c r="E66" s="9">
        <v>48005</v>
      </c>
      <c r="F66" s="9">
        <v>72014</v>
      </c>
      <c r="G66" s="348"/>
      <c r="H66" s="111">
        <f t="shared" si="25"/>
        <v>72014</v>
      </c>
      <c r="I66" s="9">
        <f t="shared" si="0"/>
        <v>118022.31000000001</v>
      </c>
      <c r="J66" s="33">
        <f t="shared" si="1"/>
        <v>59715</v>
      </c>
      <c r="K66" s="9">
        <f t="shared" si="26"/>
        <v>58307</v>
      </c>
      <c r="L66" s="112">
        <f t="shared" si="27"/>
        <v>0</v>
      </c>
      <c r="M66" s="458">
        <f>ROUND(100-'Townwide Contributions'!L65,2)</f>
        <v>43.62</v>
      </c>
      <c r="N66" s="9">
        <v>6</v>
      </c>
      <c r="O66" s="9">
        <f t="shared" si="2"/>
        <v>7</v>
      </c>
      <c r="P66" s="9">
        <f t="shared" si="3"/>
        <v>0</v>
      </c>
      <c r="Q66" s="28">
        <f t="shared" si="4"/>
        <v>0</v>
      </c>
      <c r="R66" s="382">
        <f t="shared" si="28"/>
        <v>0</v>
      </c>
      <c r="S66" s="28">
        <v>72014</v>
      </c>
      <c r="T66" s="33">
        <f t="shared" si="5"/>
        <v>72224</v>
      </c>
      <c r="U66" s="9">
        <f t="shared" si="6"/>
        <v>0</v>
      </c>
      <c r="V66" s="33">
        <f t="shared" si="7"/>
        <v>72014</v>
      </c>
      <c r="W66" s="33">
        <f t="shared" si="8"/>
        <v>0</v>
      </c>
      <c r="X66" s="33">
        <v>0</v>
      </c>
      <c r="Y66" s="113">
        <f t="shared" si="29"/>
        <v>72014</v>
      </c>
      <c r="Z66" s="155">
        <f t="shared" si="9"/>
        <v>0</v>
      </c>
      <c r="AA66" s="33">
        <f t="shared" si="10"/>
        <v>131729</v>
      </c>
      <c r="AB66" s="114">
        <f t="shared" si="11"/>
        <v>111.61364321711716</v>
      </c>
      <c r="AC66" s="28">
        <f t="shared" si="12"/>
        <v>19077.750000000015</v>
      </c>
      <c r="AD66" s="28">
        <f t="shared" si="13"/>
        <v>0</v>
      </c>
      <c r="AE66" s="28">
        <f t="shared" si="14"/>
        <v>20532.668377999995</v>
      </c>
      <c r="AF66" s="115" t="str">
        <f t="shared" si="15"/>
        <v/>
      </c>
      <c r="AG66" s="28">
        <f t="shared" si="16"/>
        <v>16860.330000000002</v>
      </c>
      <c r="AI66" s="28">
        <f t="shared" si="17"/>
        <v>0</v>
      </c>
      <c r="AJ66" s="28"/>
      <c r="AK66" s="28">
        <f t="shared" si="18"/>
        <v>0</v>
      </c>
      <c r="AL66" s="156"/>
      <c r="AM66" s="6">
        <f t="shared" si="19"/>
        <v>59</v>
      </c>
      <c r="AN66" s="6" t="str">
        <f t="shared" si="20"/>
        <v xml:space="preserve">Chester                      </v>
      </c>
      <c r="AO66" s="6">
        <f t="shared" si="21"/>
        <v>0</v>
      </c>
      <c r="AP66" s="9">
        <f t="shared" si="30"/>
        <v>7</v>
      </c>
      <c r="AQ66" s="9">
        <f t="shared" si="22"/>
        <v>118022.31000000001</v>
      </c>
      <c r="AR66" s="33">
        <f t="shared" si="23"/>
        <v>59715</v>
      </c>
      <c r="AS66" s="33">
        <f t="shared" si="24"/>
        <v>72014</v>
      </c>
      <c r="AU66" s="28"/>
      <c r="AV66" s="9"/>
      <c r="AW66" s="519"/>
    </row>
    <row r="67" spans="1:49">
      <c r="A67" s="6">
        <v>60</v>
      </c>
      <c r="B67" s="6" t="s">
        <v>1179</v>
      </c>
      <c r="C67" s="7">
        <v>0</v>
      </c>
      <c r="D67" s="9">
        <v>294623.28000000003</v>
      </c>
      <c r="E67" s="9">
        <v>216744</v>
      </c>
      <c r="F67" s="9">
        <v>133594</v>
      </c>
      <c r="G67" s="348"/>
      <c r="H67" s="111">
        <f t="shared" si="25"/>
        <v>133594</v>
      </c>
      <c r="I67" s="9">
        <f t="shared" si="0"/>
        <v>267378.24</v>
      </c>
      <c r="J67" s="33">
        <f t="shared" si="1"/>
        <v>204860</v>
      </c>
      <c r="K67" s="9">
        <f t="shared" si="26"/>
        <v>62518</v>
      </c>
      <c r="L67" s="112">
        <f t="shared" si="27"/>
        <v>0</v>
      </c>
      <c r="M67" s="458">
        <f>ROUND(100-'Townwide Contributions'!L66,2)</f>
        <v>18.25</v>
      </c>
      <c r="N67" s="9">
        <v>16</v>
      </c>
      <c r="O67" s="9">
        <f t="shared" si="2"/>
        <v>14</v>
      </c>
      <c r="P67" s="9">
        <f t="shared" si="3"/>
        <v>0</v>
      </c>
      <c r="Q67" s="28">
        <f t="shared" si="4"/>
        <v>0</v>
      </c>
      <c r="R67" s="382">
        <f t="shared" si="28"/>
        <v>0</v>
      </c>
      <c r="S67" s="28">
        <v>133594</v>
      </c>
      <c r="T67" s="33">
        <f t="shared" si="5"/>
        <v>134014</v>
      </c>
      <c r="U67" s="9">
        <f t="shared" si="6"/>
        <v>0</v>
      </c>
      <c r="V67" s="33">
        <f t="shared" si="7"/>
        <v>133594</v>
      </c>
      <c r="W67" s="33">
        <f t="shared" si="8"/>
        <v>0</v>
      </c>
      <c r="X67" s="33">
        <v>0</v>
      </c>
      <c r="Y67" s="113">
        <f t="shared" si="29"/>
        <v>133594</v>
      </c>
      <c r="Z67" s="155">
        <f t="shared" si="9"/>
        <v>0</v>
      </c>
      <c r="AA67" s="33">
        <f t="shared" si="10"/>
        <v>338454</v>
      </c>
      <c r="AB67" s="114">
        <f t="shared" si="11"/>
        <v>126.58247731752591</v>
      </c>
      <c r="AC67" s="28">
        <f t="shared" si="12"/>
        <v>-27245.040000000037</v>
      </c>
      <c r="AD67" s="28">
        <f t="shared" si="13"/>
        <v>0</v>
      </c>
      <c r="AE67" s="28">
        <f t="shared" si="14"/>
        <v>84797.4712</v>
      </c>
      <c r="AF67" s="115" t="str">
        <f t="shared" si="15"/>
        <v/>
      </c>
      <c r="AG67" s="28">
        <f t="shared" si="16"/>
        <v>19098.45</v>
      </c>
      <c r="AI67" s="28">
        <f t="shared" si="17"/>
        <v>0</v>
      </c>
      <c r="AJ67" s="28"/>
      <c r="AK67" s="28">
        <f t="shared" si="18"/>
        <v>0</v>
      </c>
      <c r="AL67" s="156"/>
      <c r="AM67" s="6">
        <f t="shared" si="19"/>
        <v>60</v>
      </c>
      <c r="AN67" s="6" t="str">
        <f t="shared" si="20"/>
        <v xml:space="preserve">Chesterfield                 </v>
      </c>
      <c r="AO67" s="6">
        <f t="shared" si="21"/>
        <v>0</v>
      </c>
      <c r="AP67" s="9">
        <f t="shared" si="30"/>
        <v>14</v>
      </c>
      <c r="AQ67" s="9">
        <f t="shared" si="22"/>
        <v>267378.24</v>
      </c>
      <c r="AR67" s="33">
        <f t="shared" si="23"/>
        <v>204860</v>
      </c>
      <c r="AS67" s="33">
        <f t="shared" si="24"/>
        <v>133594</v>
      </c>
      <c r="AU67" s="28"/>
      <c r="AV67" s="9"/>
      <c r="AW67" s="519"/>
    </row>
    <row r="68" spans="1:49">
      <c r="A68" s="6">
        <v>61</v>
      </c>
      <c r="B68" s="6" t="s">
        <v>1180</v>
      </c>
      <c r="C68" s="7">
        <v>1</v>
      </c>
      <c r="D68" s="9">
        <v>122693363.2</v>
      </c>
      <c r="E68" s="9">
        <v>33865812</v>
      </c>
      <c r="F68" s="9">
        <v>88827551</v>
      </c>
      <c r="G68" s="348"/>
      <c r="H68" s="111">
        <f t="shared" si="25"/>
        <v>88827551</v>
      </c>
      <c r="I68" s="9">
        <f t="shared" si="0"/>
        <v>129158251.12</v>
      </c>
      <c r="J68" s="33">
        <f t="shared" si="1"/>
        <v>35132393</v>
      </c>
      <c r="K68" s="9">
        <f t="shared" si="26"/>
        <v>94025858</v>
      </c>
      <c r="L68" s="112">
        <f t="shared" si="27"/>
        <v>5198307</v>
      </c>
      <c r="M68" s="458">
        <f>ROUND(100-'Townwide Contributions'!L67,2)</f>
        <v>70.94</v>
      </c>
      <c r="N68" s="9">
        <v>7166</v>
      </c>
      <c r="O68" s="9">
        <f t="shared" si="2"/>
        <v>7202</v>
      </c>
      <c r="P68" s="9">
        <f t="shared" si="3"/>
        <v>1</v>
      </c>
      <c r="Q68" s="28">
        <f t="shared" si="4"/>
        <v>749008</v>
      </c>
      <c r="R68" s="382">
        <f t="shared" si="28"/>
        <v>0</v>
      </c>
      <c r="S68" s="28">
        <v>88827551</v>
      </c>
      <c r="T68" s="33">
        <f t="shared" si="5"/>
        <v>89043611</v>
      </c>
      <c r="U68" s="9">
        <f t="shared" si="6"/>
        <v>0</v>
      </c>
      <c r="V68" s="33">
        <f t="shared" si="7"/>
        <v>94025858</v>
      </c>
      <c r="W68" s="33">
        <f t="shared" si="8"/>
        <v>0</v>
      </c>
      <c r="X68" s="33">
        <v>0</v>
      </c>
      <c r="Y68" s="113">
        <f t="shared" si="29"/>
        <v>94025858</v>
      </c>
      <c r="Z68" s="155">
        <f t="shared" si="9"/>
        <v>72.798955687810647</v>
      </c>
      <c r="AA68" s="33">
        <f t="shared" si="10"/>
        <v>129158251</v>
      </c>
      <c r="AB68" s="114">
        <f t="shared" si="11"/>
        <v>99.999999907090711</v>
      </c>
      <c r="AC68" s="28">
        <f t="shared" si="12"/>
        <v>6464887.9200000018</v>
      </c>
      <c r="AD68" s="28">
        <f t="shared" si="13"/>
        <v>5198307</v>
      </c>
      <c r="AE68" s="28">
        <f t="shared" si="14"/>
        <v>2400994.6554719955</v>
      </c>
      <c r="AF68" s="115">
        <f t="shared" si="15"/>
        <v>1.8589556878106492</v>
      </c>
      <c r="AG68" s="28">
        <f t="shared" si="16"/>
        <v>17933.66</v>
      </c>
      <c r="AI68" s="28">
        <f t="shared" si="17"/>
        <v>0</v>
      </c>
      <c r="AJ68" s="28"/>
      <c r="AK68" s="28">
        <f t="shared" si="18"/>
        <v>721.78658705915029</v>
      </c>
      <c r="AL68" s="156"/>
      <c r="AM68" s="6">
        <f t="shared" si="19"/>
        <v>61</v>
      </c>
      <c r="AN68" s="6" t="str">
        <f t="shared" si="20"/>
        <v xml:space="preserve">Chicopee                     </v>
      </c>
      <c r="AO68" s="6">
        <f t="shared" si="21"/>
        <v>1</v>
      </c>
      <c r="AP68" s="9">
        <f t="shared" si="30"/>
        <v>7202</v>
      </c>
      <c r="AQ68" s="9">
        <f t="shared" si="22"/>
        <v>129158251.12</v>
      </c>
      <c r="AR68" s="33">
        <f t="shared" si="23"/>
        <v>35132393</v>
      </c>
      <c r="AS68" s="33">
        <f t="shared" si="24"/>
        <v>94025858</v>
      </c>
      <c r="AU68" s="28"/>
      <c r="AV68" s="9"/>
      <c r="AW68" s="519"/>
    </row>
    <row r="69" spans="1:49">
      <c r="A69" s="6">
        <v>62</v>
      </c>
      <c r="B69" s="6" t="s">
        <v>1181</v>
      </c>
      <c r="C69" s="7">
        <v>0</v>
      </c>
      <c r="D69" s="9">
        <v>0</v>
      </c>
      <c r="E69" s="9">
        <v>0</v>
      </c>
      <c r="F69" s="9">
        <v>0</v>
      </c>
      <c r="G69" s="348"/>
      <c r="H69" s="111">
        <f t="shared" si="25"/>
        <v>0</v>
      </c>
      <c r="I69" s="9">
        <f t="shared" si="0"/>
        <v>0</v>
      </c>
      <c r="J69" s="33">
        <f t="shared" si="1"/>
        <v>0</v>
      </c>
      <c r="K69" s="9">
        <f t="shared" si="26"/>
        <v>0</v>
      </c>
      <c r="L69" s="112">
        <f t="shared" si="27"/>
        <v>0</v>
      </c>
      <c r="M69" s="458">
        <f>ROUND(100-'Townwide Contributions'!L68,2)</f>
        <v>17.5</v>
      </c>
      <c r="N69" s="9">
        <v>0</v>
      </c>
      <c r="O69" s="9">
        <f t="shared" si="2"/>
        <v>0</v>
      </c>
      <c r="P69" s="9">
        <f t="shared" si="3"/>
        <v>0</v>
      </c>
      <c r="Q69" s="28">
        <f t="shared" si="4"/>
        <v>0</v>
      </c>
      <c r="R69" s="382">
        <f t="shared" si="28"/>
        <v>0</v>
      </c>
      <c r="S69" s="28">
        <v>0</v>
      </c>
      <c r="T69" s="33">
        <f t="shared" si="5"/>
        <v>0</v>
      </c>
      <c r="U69" s="9">
        <f t="shared" si="6"/>
        <v>0</v>
      </c>
      <c r="V69" s="33">
        <f t="shared" si="7"/>
        <v>0</v>
      </c>
      <c r="W69" s="33">
        <f t="shared" si="8"/>
        <v>0</v>
      </c>
      <c r="X69" s="33">
        <v>0</v>
      </c>
      <c r="Y69" s="113">
        <f t="shared" si="29"/>
        <v>0</v>
      </c>
      <c r="Z69" s="155">
        <f t="shared" si="9"/>
        <v>0</v>
      </c>
      <c r="AA69" s="33">
        <f t="shared" si="10"/>
        <v>0</v>
      </c>
      <c r="AB69" s="114">
        <f t="shared" si="11"/>
        <v>0</v>
      </c>
      <c r="AC69" s="28">
        <f t="shared" si="12"/>
        <v>0</v>
      </c>
      <c r="AD69" s="28">
        <f t="shared" si="13"/>
        <v>0</v>
      </c>
      <c r="AE69" s="28">
        <f t="shared" si="14"/>
        <v>0</v>
      </c>
      <c r="AF69" s="115" t="str">
        <f t="shared" si="15"/>
        <v/>
      </c>
      <c r="AG69" s="28">
        <f t="shared" si="16"/>
        <v>0</v>
      </c>
      <c r="AI69" s="28">
        <f t="shared" si="17"/>
        <v>0</v>
      </c>
      <c r="AJ69" s="28"/>
      <c r="AK69" s="28">
        <f t="shared" si="18"/>
        <v>0</v>
      </c>
      <c r="AL69" s="156"/>
      <c r="AM69" s="6">
        <f t="shared" si="19"/>
        <v>62</v>
      </c>
      <c r="AN69" s="6" t="str">
        <f t="shared" si="20"/>
        <v xml:space="preserve">Chilmark                     </v>
      </c>
      <c r="AO69" s="6">
        <f t="shared" si="21"/>
        <v>0</v>
      </c>
      <c r="AP69" s="9">
        <f t="shared" si="30"/>
        <v>0</v>
      </c>
      <c r="AQ69" s="9">
        <f t="shared" si="22"/>
        <v>0</v>
      </c>
      <c r="AR69" s="33">
        <f t="shared" si="23"/>
        <v>0</v>
      </c>
      <c r="AS69" s="33">
        <f t="shared" si="24"/>
        <v>0</v>
      </c>
      <c r="AU69" s="28"/>
      <c r="AW69" s="519"/>
    </row>
    <row r="70" spans="1:49">
      <c r="A70" s="6">
        <v>63</v>
      </c>
      <c r="B70" s="6" t="s">
        <v>1182</v>
      </c>
      <c r="C70" s="7">
        <v>1</v>
      </c>
      <c r="D70" s="9">
        <v>2395286.75</v>
      </c>
      <c r="E70" s="9">
        <v>736864</v>
      </c>
      <c r="F70" s="9">
        <v>1827355</v>
      </c>
      <c r="G70" s="348"/>
      <c r="H70" s="111">
        <f t="shared" si="25"/>
        <v>1827355</v>
      </c>
      <c r="I70" s="9">
        <f t="shared" si="0"/>
        <v>2889718.2099999995</v>
      </c>
      <c r="J70" s="33">
        <f t="shared" si="1"/>
        <v>806811</v>
      </c>
      <c r="K70" s="9">
        <f t="shared" si="26"/>
        <v>2082907</v>
      </c>
      <c r="L70" s="112">
        <f t="shared" si="27"/>
        <v>255552</v>
      </c>
      <c r="M70" s="458">
        <f>ROUND(100-'Townwide Contributions'!L69,2)</f>
        <v>68.3</v>
      </c>
      <c r="N70" s="9">
        <v>171</v>
      </c>
      <c r="O70" s="9">
        <f t="shared" si="2"/>
        <v>204</v>
      </c>
      <c r="P70" s="9">
        <f t="shared" si="3"/>
        <v>1</v>
      </c>
      <c r="Q70" s="28">
        <f t="shared" si="4"/>
        <v>21216</v>
      </c>
      <c r="R70" s="382">
        <f t="shared" si="28"/>
        <v>0</v>
      </c>
      <c r="S70" s="28">
        <v>1860774</v>
      </c>
      <c r="T70" s="33">
        <f t="shared" si="5"/>
        <v>1866894</v>
      </c>
      <c r="U70" s="9">
        <f t="shared" si="6"/>
        <v>0</v>
      </c>
      <c r="V70" s="33">
        <f t="shared" si="7"/>
        <v>2082907</v>
      </c>
      <c r="W70" s="33">
        <f t="shared" si="8"/>
        <v>0</v>
      </c>
      <c r="X70" s="33">
        <v>0</v>
      </c>
      <c r="Y70" s="113">
        <f t="shared" si="29"/>
        <v>2082907</v>
      </c>
      <c r="Z70" s="155">
        <f t="shared" si="9"/>
        <v>72.079934742149149</v>
      </c>
      <c r="AA70" s="33">
        <f t="shared" si="10"/>
        <v>2889718</v>
      </c>
      <c r="AB70" s="114">
        <f t="shared" si="11"/>
        <v>99.999992732855446</v>
      </c>
      <c r="AC70" s="28">
        <f t="shared" si="12"/>
        <v>494431.4599999995</v>
      </c>
      <c r="AD70" s="28">
        <f t="shared" si="13"/>
        <v>255552</v>
      </c>
      <c r="AE70" s="28">
        <f t="shared" si="14"/>
        <v>109229.46257000044</v>
      </c>
      <c r="AF70" s="115">
        <f t="shared" si="15"/>
        <v>3.7799347421491518</v>
      </c>
      <c r="AG70" s="28">
        <f t="shared" si="16"/>
        <v>14165.29</v>
      </c>
      <c r="AI70" s="28">
        <f t="shared" si="17"/>
        <v>0</v>
      </c>
      <c r="AJ70" s="28"/>
      <c r="AK70" s="28">
        <f t="shared" si="18"/>
        <v>1252.7058823529412</v>
      </c>
      <c r="AL70" s="156"/>
      <c r="AM70" s="6">
        <f t="shared" si="19"/>
        <v>63</v>
      </c>
      <c r="AN70" s="6" t="str">
        <f t="shared" si="20"/>
        <v xml:space="preserve">Clarksburg                   </v>
      </c>
      <c r="AO70" s="6">
        <f t="shared" si="21"/>
        <v>1</v>
      </c>
      <c r="AP70" s="9">
        <f t="shared" si="30"/>
        <v>204</v>
      </c>
      <c r="AQ70" s="9">
        <f t="shared" si="22"/>
        <v>2889718.2099999995</v>
      </c>
      <c r="AR70" s="33">
        <f t="shared" si="23"/>
        <v>806811</v>
      </c>
      <c r="AS70" s="33">
        <f t="shared" si="24"/>
        <v>2082907</v>
      </c>
      <c r="AU70" s="28"/>
      <c r="AV70" s="9"/>
      <c r="AW70" s="519"/>
    </row>
    <row r="71" spans="1:49">
      <c r="A71" s="6">
        <v>64</v>
      </c>
      <c r="B71" s="6" t="s">
        <v>1183</v>
      </c>
      <c r="C71" s="7">
        <v>1</v>
      </c>
      <c r="D71" s="9">
        <v>32534279.410000004</v>
      </c>
      <c r="E71" s="9">
        <v>13217258</v>
      </c>
      <c r="F71" s="9">
        <v>19317021</v>
      </c>
      <c r="G71" s="348"/>
      <c r="H71" s="111">
        <f t="shared" si="25"/>
        <v>19317021</v>
      </c>
      <c r="I71" s="9">
        <f t="shared" si="0"/>
        <v>34438020.57</v>
      </c>
      <c r="J71" s="33">
        <f t="shared" si="1"/>
        <v>14024833</v>
      </c>
      <c r="K71" s="9">
        <f t="shared" si="26"/>
        <v>20413188</v>
      </c>
      <c r="L71" s="112">
        <f t="shared" si="27"/>
        <v>1096167</v>
      </c>
      <c r="M71" s="458">
        <f>ROUND(100-'Townwide Contributions'!L70,2)</f>
        <v>56.47</v>
      </c>
      <c r="N71" s="9">
        <v>2062</v>
      </c>
      <c r="O71" s="9">
        <f t="shared" si="2"/>
        <v>2095</v>
      </c>
      <c r="P71" s="9">
        <f t="shared" si="3"/>
        <v>1</v>
      </c>
      <c r="Q71" s="28">
        <f t="shared" si="4"/>
        <v>217880</v>
      </c>
      <c r="R71" s="382">
        <f t="shared" si="28"/>
        <v>0</v>
      </c>
      <c r="S71" s="28">
        <v>19317021</v>
      </c>
      <c r="T71" s="33">
        <f t="shared" si="5"/>
        <v>19379871</v>
      </c>
      <c r="U71" s="9">
        <f t="shared" si="6"/>
        <v>0</v>
      </c>
      <c r="V71" s="33">
        <f t="shared" si="7"/>
        <v>20413188</v>
      </c>
      <c r="W71" s="33">
        <f t="shared" si="8"/>
        <v>0</v>
      </c>
      <c r="X71" s="33">
        <v>0</v>
      </c>
      <c r="Y71" s="113">
        <f t="shared" si="29"/>
        <v>20413188</v>
      </c>
      <c r="Z71" s="155">
        <f t="shared" si="9"/>
        <v>59.275148983976578</v>
      </c>
      <c r="AA71" s="33">
        <f t="shared" si="10"/>
        <v>34438021</v>
      </c>
      <c r="AB71" s="114">
        <f t="shared" si="11"/>
        <v>100.00000124861997</v>
      </c>
      <c r="AC71" s="28">
        <f t="shared" si="12"/>
        <v>1903741.1599999964</v>
      </c>
      <c r="AD71" s="28">
        <f t="shared" si="13"/>
        <v>1096167</v>
      </c>
      <c r="AE71" s="28">
        <f t="shared" si="14"/>
        <v>966037.78412099928</v>
      </c>
      <c r="AF71" s="115">
        <f t="shared" si="15"/>
        <v>2.8051489839765793</v>
      </c>
      <c r="AG71" s="28">
        <f t="shared" si="16"/>
        <v>16438.2</v>
      </c>
      <c r="AI71" s="28">
        <f t="shared" si="17"/>
        <v>0</v>
      </c>
      <c r="AJ71" s="28"/>
      <c r="AK71" s="28">
        <f t="shared" si="18"/>
        <v>523.23007159904535</v>
      </c>
      <c r="AL71" s="156"/>
      <c r="AM71" s="6">
        <f t="shared" si="19"/>
        <v>64</v>
      </c>
      <c r="AN71" s="6" t="str">
        <f t="shared" si="20"/>
        <v xml:space="preserve">Clinton                      </v>
      </c>
      <c r="AO71" s="6">
        <f t="shared" si="21"/>
        <v>1</v>
      </c>
      <c r="AP71" s="9">
        <f t="shared" si="30"/>
        <v>2095</v>
      </c>
      <c r="AQ71" s="9">
        <f t="shared" si="22"/>
        <v>34438020.57</v>
      </c>
      <c r="AR71" s="33">
        <f t="shared" si="23"/>
        <v>14024833</v>
      </c>
      <c r="AS71" s="33">
        <f t="shared" si="24"/>
        <v>20413188</v>
      </c>
      <c r="AU71" s="28"/>
      <c r="AV71" s="9"/>
      <c r="AW71" s="519"/>
    </row>
    <row r="72" spans="1:49">
      <c r="A72" s="6">
        <v>65</v>
      </c>
      <c r="B72" s="6" t="s">
        <v>1184</v>
      </c>
      <c r="C72" s="7">
        <v>1</v>
      </c>
      <c r="D72" s="9">
        <v>16687439.717179999</v>
      </c>
      <c r="E72" s="9">
        <v>13767138</v>
      </c>
      <c r="F72" s="9">
        <v>2955742</v>
      </c>
      <c r="G72" s="348"/>
      <c r="H72" s="111">
        <f t="shared" si="25"/>
        <v>2955742</v>
      </c>
      <c r="I72" s="9">
        <f t="shared" ref="I72:I135" si="31">SUMIF(dist1755,A72,found1755)</f>
        <v>17839057.451559998</v>
      </c>
      <c r="J72" s="33">
        <f t="shared" ref="J72:J135" si="32">SUMIF(dist1755,A72,prelcont1755)</f>
        <v>14717222</v>
      </c>
      <c r="K72" s="9">
        <f t="shared" ref="K72:K135" si="33">ROUND(MAX(found-prelcont436,0),0)</f>
        <v>3121835</v>
      </c>
      <c r="L72" s="112">
        <f t="shared" ref="L72:L135" si="34">IF(foundaid&gt;priorc70,foundaid-priorc70,0)</f>
        <v>166093</v>
      </c>
      <c r="M72" s="458">
        <f>ROUND(100-'Townwide Contributions'!L71,2)</f>
        <v>17.5</v>
      </c>
      <c r="N72" s="9">
        <v>1367</v>
      </c>
      <c r="O72" s="9">
        <f t="shared" ref="O72:O135" si="35">SUMIF(dist1755,A72,enro1755)</f>
        <v>1433</v>
      </c>
      <c r="P72" s="9">
        <f t="shared" ref="P72:P135" si="36">IF(AND(C72=1,L72&gt;0),1,0)</f>
        <v>1</v>
      </c>
      <c r="Q72" s="28">
        <f t="shared" ref="Q72:Q135" si="37">IF(nonop=1,enro*$Q$6,0)</f>
        <v>149032</v>
      </c>
      <c r="R72" s="382">
        <f t="shared" ref="R72:R135" si="38">IF((foundinc)&lt;Q72,Q72-(foundinc),0)</f>
        <v>0</v>
      </c>
      <c r="S72" s="28">
        <v>2977384</v>
      </c>
      <c r="T72" s="33">
        <f t="shared" ref="T72:T135" si="39">S72+30*enro</f>
        <v>3020374</v>
      </c>
      <c r="U72" s="9">
        <f t="shared" ref="U72:U135" si="40">IF(AND(T72-priorc70-foundinc-minaid&gt;0,nonop=1), T72-priorc70-foundinc-minaid,0)</f>
        <v>0</v>
      </c>
      <c r="V72" s="33">
        <f t="shared" ref="V72:V135" si="41">priorc70+ foundinc+minaidadjincrement+minaid</f>
        <v>3121835</v>
      </c>
      <c r="W72" s="33">
        <f t="shared" ref="W72:W135" si="42">IF(AND(C72=0,V72&gt;found),V72-found,0)</f>
        <v>0</v>
      </c>
      <c r="X72" s="33">
        <v>0</v>
      </c>
      <c r="Y72" s="113">
        <f t="shared" ref="Y72:Y135" si="43">priorc70+foundinc+minaidadjincrement+minaid-rednonop+holdharmlessaid</f>
        <v>3121835</v>
      </c>
      <c r="Z72" s="155">
        <f t="shared" ref="Z72:Z135" si="44">IF(C72=1, Y72/I72*100, 0)</f>
        <v>17.499999697164494</v>
      </c>
      <c r="AA72" s="33">
        <f t="shared" ref="AA72:AA135" si="45">prelcont436+chapter70</f>
        <v>17839057</v>
      </c>
      <c r="AB72" s="114">
        <f t="shared" ref="AB72:AB135" si="46">IF(found&gt;0,AA72*100/found,0)</f>
        <v>99.999997468700357</v>
      </c>
      <c r="AC72" s="28">
        <f t="shared" ref="AC72:AC135" si="47">I72-D72</f>
        <v>1151617.7343799993</v>
      </c>
      <c r="AD72" s="28">
        <f t="shared" ref="AD72:AD135" si="48">Y72-F72</f>
        <v>166093</v>
      </c>
      <c r="AE72" s="28">
        <f t="shared" ref="AE72:AE135" si="49">Y72-((M72/100)*I72)</f>
        <v>-5.4022999480366707E-2</v>
      </c>
      <c r="AF72" s="115">
        <f t="shared" ref="AF72:AF135" si="50">IF(C72=1, (Y72/I72*100)-M72, "")</f>
        <v>-3.0283550600529452E-7</v>
      </c>
      <c r="AG72" s="28">
        <f t="shared" ref="AG72:AG135" si="51">IFERROR(ROUND(I72/O72, 2), 0)</f>
        <v>12448.75</v>
      </c>
      <c r="AI72" s="28">
        <f t="shared" ref="AI72:AI135" si="52">VLOOKUP(A72, disthist, 37, FALSE)*$H$6</f>
        <v>0</v>
      </c>
      <c r="AJ72" s="28"/>
      <c r="AK72" s="28">
        <f t="shared" ref="AK72:AK135" si="53">IFERROR(AD72/O72, 0)</f>
        <v>115.90579204466155</v>
      </c>
      <c r="AL72" s="156"/>
      <c r="AM72" s="6">
        <f t="shared" ref="AM72:AM135" si="54">A72</f>
        <v>65</v>
      </c>
      <c r="AN72" s="6" t="str">
        <f t="shared" ref="AN72:AN135" si="55">B72</f>
        <v xml:space="preserve">Cohasset                     </v>
      </c>
      <c r="AO72" s="6">
        <f t="shared" ref="AO72:AO135" si="56">C72</f>
        <v>1</v>
      </c>
      <c r="AP72" s="9">
        <f t="shared" si="30"/>
        <v>1433</v>
      </c>
      <c r="AQ72" s="9">
        <f t="shared" ref="AQ72:AQ135" si="57">I72</f>
        <v>17839057.451559998</v>
      </c>
      <c r="AR72" s="33">
        <f t="shared" ref="AR72:AR135" si="58">J72</f>
        <v>14717222</v>
      </c>
      <c r="AS72" s="33">
        <f t="shared" ref="AS72:AS135" si="59">Y72</f>
        <v>3121835</v>
      </c>
      <c r="AU72" s="28"/>
      <c r="AV72" s="9"/>
      <c r="AW72" s="519"/>
    </row>
    <row r="73" spans="1:49">
      <c r="A73" s="6">
        <v>66</v>
      </c>
      <c r="B73" s="6" t="s">
        <v>1185</v>
      </c>
      <c r="C73" s="7">
        <v>0</v>
      </c>
      <c r="D73" s="9">
        <v>0</v>
      </c>
      <c r="E73" s="9">
        <v>0</v>
      </c>
      <c r="F73" s="9">
        <v>0</v>
      </c>
      <c r="G73" s="348"/>
      <c r="H73" s="111">
        <f t="shared" ref="H73:H136" si="60">F73</f>
        <v>0</v>
      </c>
      <c r="I73" s="9">
        <f t="shared" si="31"/>
        <v>0</v>
      </c>
      <c r="J73" s="33">
        <f t="shared" si="32"/>
        <v>0</v>
      </c>
      <c r="K73" s="9">
        <f t="shared" si="33"/>
        <v>0</v>
      </c>
      <c r="L73" s="112">
        <f t="shared" si="34"/>
        <v>0</v>
      </c>
      <c r="M73" s="458">
        <f>ROUND(100-'Townwide Contributions'!L72,2)</f>
        <v>39.78</v>
      </c>
      <c r="N73" s="9">
        <v>0</v>
      </c>
      <c r="O73" s="9">
        <f t="shared" si="35"/>
        <v>0</v>
      </c>
      <c r="P73" s="9">
        <f t="shared" si="36"/>
        <v>0</v>
      </c>
      <c r="Q73" s="28">
        <f t="shared" si="37"/>
        <v>0</v>
      </c>
      <c r="R73" s="382">
        <f t="shared" si="38"/>
        <v>0</v>
      </c>
      <c r="S73" s="28">
        <v>0</v>
      </c>
      <c r="T73" s="33">
        <f t="shared" si="39"/>
        <v>0</v>
      </c>
      <c r="U73" s="9">
        <f t="shared" si="40"/>
        <v>0</v>
      </c>
      <c r="V73" s="33">
        <f t="shared" si="41"/>
        <v>0</v>
      </c>
      <c r="W73" s="33">
        <f t="shared" si="42"/>
        <v>0</v>
      </c>
      <c r="X73" s="33">
        <v>0</v>
      </c>
      <c r="Y73" s="113">
        <f t="shared" si="43"/>
        <v>0</v>
      </c>
      <c r="Z73" s="155">
        <f t="shared" si="44"/>
        <v>0</v>
      </c>
      <c r="AA73" s="33">
        <f t="shared" si="45"/>
        <v>0</v>
      </c>
      <c r="AB73" s="114">
        <f t="shared" si="46"/>
        <v>0</v>
      </c>
      <c r="AC73" s="28">
        <f t="shared" si="47"/>
        <v>0</v>
      </c>
      <c r="AD73" s="28">
        <f t="shared" si="48"/>
        <v>0</v>
      </c>
      <c r="AE73" s="28">
        <f t="shared" si="49"/>
        <v>0</v>
      </c>
      <c r="AF73" s="115" t="str">
        <f t="shared" si="50"/>
        <v/>
      </c>
      <c r="AG73" s="28">
        <f t="shared" si="51"/>
        <v>0</v>
      </c>
      <c r="AI73" s="28">
        <f t="shared" si="52"/>
        <v>0</v>
      </c>
      <c r="AJ73" s="28"/>
      <c r="AK73" s="28">
        <f t="shared" si="53"/>
        <v>0</v>
      </c>
      <c r="AL73" s="156"/>
      <c r="AM73" s="6">
        <f t="shared" si="54"/>
        <v>66</v>
      </c>
      <c r="AN73" s="6" t="str">
        <f t="shared" si="55"/>
        <v xml:space="preserve">Colrain                      </v>
      </c>
      <c r="AO73" s="6">
        <f t="shared" si="56"/>
        <v>0</v>
      </c>
      <c r="AP73" s="9">
        <f t="shared" ref="AP73:AP136" si="61">O73</f>
        <v>0</v>
      </c>
      <c r="AQ73" s="9">
        <f t="shared" si="57"/>
        <v>0</v>
      </c>
      <c r="AR73" s="33">
        <f t="shared" si="58"/>
        <v>0</v>
      </c>
      <c r="AS73" s="33">
        <f t="shared" si="59"/>
        <v>0</v>
      </c>
      <c r="AU73" s="28"/>
      <c r="AW73" s="519"/>
    </row>
    <row r="74" spans="1:49">
      <c r="A74" s="6">
        <v>67</v>
      </c>
      <c r="B74" s="6" t="s">
        <v>1186</v>
      </c>
      <c r="C74" s="7">
        <v>1</v>
      </c>
      <c r="D74" s="9">
        <v>23075622.333200004</v>
      </c>
      <c r="E74" s="9">
        <v>19037389</v>
      </c>
      <c r="F74" s="9">
        <v>4038233</v>
      </c>
      <c r="G74" s="348"/>
      <c r="H74" s="111">
        <f t="shared" si="60"/>
        <v>4038233</v>
      </c>
      <c r="I74" s="9">
        <f t="shared" si="31"/>
        <v>24161392.54073</v>
      </c>
      <c r="J74" s="33">
        <f t="shared" si="32"/>
        <v>19933149</v>
      </c>
      <c r="K74" s="9">
        <f t="shared" si="33"/>
        <v>4228244</v>
      </c>
      <c r="L74" s="112">
        <f t="shared" si="34"/>
        <v>190011</v>
      </c>
      <c r="M74" s="458">
        <f>ROUND(100-'Townwide Contributions'!L73,2)</f>
        <v>17.5</v>
      </c>
      <c r="N74" s="9">
        <v>1925</v>
      </c>
      <c r="O74" s="9">
        <f t="shared" si="35"/>
        <v>1943</v>
      </c>
      <c r="P74" s="9">
        <f t="shared" si="36"/>
        <v>1</v>
      </c>
      <c r="Q74" s="28">
        <f t="shared" si="37"/>
        <v>202072</v>
      </c>
      <c r="R74" s="382">
        <f t="shared" si="38"/>
        <v>12061</v>
      </c>
      <c r="S74" s="28">
        <v>4038233</v>
      </c>
      <c r="T74" s="33">
        <f t="shared" si="39"/>
        <v>4096523</v>
      </c>
      <c r="U74" s="9">
        <f t="shared" si="40"/>
        <v>0</v>
      </c>
      <c r="V74" s="33">
        <f t="shared" si="41"/>
        <v>4240305</v>
      </c>
      <c r="W74" s="33">
        <f t="shared" si="42"/>
        <v>0</v>
      </c>
      <c r="X74" s="33">
        <v>0</v>
      </c>
      <c r="Y74" s="113">
        <f t="shared" si="43"/>
        <v>4240305</v>
      </c>
      <c r="Z74" s="155">
        <f t="shared" si="44"/>
        <v>17.549919744285923</v>
      </c>
      <c r="AA74" s="33">
        <f t="shared" si="45"/>
        <v>24173454</v>
      </c>
      <c r="AB74" s="114">
        <f t="shared" si="46"/>
        <v>100.04992038124321</v>
      </c>
      <c r="AC74" s="28">
        <f t="shared" si="47"/>
        <v>1085770.2075299956</v>
      </c>
      <c r="AD74" s="28">
        <f t="shared" si="48"/>
        <v>202072</v>
      </c>
      <c r="AE74" s="28">
        <f t="shared" si="49"/>
        <v>12061.305372250266</v>
      </c>
      <c r="AF74" s="115">
        <f t="shared" si="50"/>
        <v>4.9919744285922718E-2</v>
      </c>
      <c r="AG74" s="28">
        <f t="shared" si="51"/>
        <v>12435.1</v>
      </c>
      <c r="AI74" s="28">
        <f t="shared" si="52"/>
        <v>0</v>
      </c>
      <c r="AJ74" s="28"/>
      <c r="AK74" s="28">
        <f t="shared" si="53"/>
        <v>104</v>
      </c>
      <c r="AL74" s="156"/>
      <c r="AM74" s="6">
        <f t="shared" si="54"/>
        <v>67</v>
      </c>
      <c r="AN74" s="6" t="str">
        <f t="shared" si="55"/>
        <v xml:space="preserve">Concord                      </v>
      </c>
      <c r="AO74" s="6">
        <f t="shared" si="56"/>
        <v>1</v>
      </c>
      <c r="AP74" s="9">
        <f t="shared" si="61"/>
        <v>1943</v>
      </c>
      <c r="AQ74" s="9">
        <f t="shared" si="57"/>
        <v>24161392.54073</v>
      </c>
      <c r="AR74" s="33">
        <f t="shared" si="58"/>
        <v>19933149</v>
      </c>
      <c r="AS74" s="33">
        <f t="shared" si="59"/>
        <v>4240305</v>
      </c>
      <c r="AU74" s="28"/>
      <c r="AV74" s="9"/>
      <c r="AW74" s="519"/>
    </row>
    <row r="75" spans="1:49">
      <c r="A75" s="6">
        <v>68</v>
      </c>
      <c r="B75" s="6" t="s">
        <v>1187</v>
      </c>
      <c r="C75" s="7">
        <v>1</v>
      </c>
      <c r="D75" s="9">
        <v>941811.15000000014</v>
      </c>
      <c r="E75" s="9">
        <v>776994</v>
      </c>
      <c r="F75" s="9">
        <v>637444</v>
      </c>
      <c r="G75" s="348"/>
      <c r="H75" s="111">
        <f t="shared" si="60"/>
        <v>637444</v>
      </c>
      <c r="I75" s="9">
        <f t="shared" si="31"/>
        <v>969244.91999999993</v>
      </c>
      <c r="J75" s="33">
        <f t="shared" si="32"/>
        <v>799627</v>
      </c>
      <c r="K75" s="9">
        <f t="shared" si="33"/>
        <v>169618</v>
      </c>
      <c r="L75" s="112">
        <f t="shared" si="34"/>
        <v>0</v>
      </c>
      <c r="M75" s="458">
        <f>ROUND(100-'Townwide Contributions'!L74,2)</f>
        <v>17.5</v>
      </c>
      <c r="N75" s="9">
        <v>66</v>
      </c>
      <c r="O75" s="9">
        <f t="shared" si="35"/>
        <v>68</v>
      </c>
      <c r="P75" s="9">
        <f t="shared" si="36"/>
        <v>0</v>
      </c>
      <c r="Q75" s="28">
        <f t="shared" si="37"/>
        <v>7072</v>
      </c>
      <c r="R75" s="382">
        <f t="shared" si="38"/>
        <v>7072</v>
      </c>
      <c r="S75" s="28">
        <v>637444</v>
      </c>
      <c r="T75" s="33">
        <f t="shared" si="39"/>
        <v>639484</v>
      </c>
      <c r="U75" s="9">
        <f t="shared" si="40"/>
        <v>0</v>
      </c>
      <c r="V75" s="33">
        <f t="shared" si="41"/>
        <v>644516</v>
      </c>
      <c r="W75" s="33">
        <f t="shared" si="42"/>
        <v>0</v>
      </c>
      <c r="X75" s="33">
        <v>0</v>
      </c>
      <c r="Y75" s="113">
        <f t="shared" si="43"/>
        <v>644516</v>
      </c>
      <c r="Z75" s="155">
        <f t="shared" si="44"/>
        <v>66.496711687691899</v>
      </c>
      <c r="AA75" s="33">
        <f t="shared" si="45"/>
        <v>1444143</v>
      </c>
      <c r="AB75" s="114">
        <f t="shared" si="46"/>
        <v>148.9967056004792</v>
      </c>
      <c r="AC75" s="28">
        <f t="shared" si="47"/>
        <v>27433.769999999786</v>
      </c>
      <c r="AD75" s="28">
        <f t="shared" si="48"/>
        <v>7072</v>
      </c>
      <c r="AE75" s="28">
        <f t="shared" si="49"/>
        <v>474898.13900000002</v>
      </c>
      <c r="AF75" s="115">
        <f t="shared" si="50"/>
        <v>48.996711687691899</v>
      </c>
      <c r="AG75" s="28">
        <f t="shared" si="51"/>
        <v>14253.6</v>
      </c>
      <c r="AI75" s="28">
        <f t="shared" si="52"/>
        <v>0</v>
      </c>
      <c r="AJ75" s="28"/>
      <c r="AK75" s="28">
        <f t="shared" si="53"/>
        <v>104</v>
      </c>
      <c r="AL75" s="156"/>
      <c r="AM75" s="6">
        <f t="shared" si="54"/>
        <v>68</v>
      </c>
      <c r="AN75" s="6" t="str">
        <f t="shared" si="55"/>
        <v xml:space="preserve">Conway                       </v>
      </c>
      <c r="AO75" s="6">
        <f t="shared" si="56"/>
        <v>1</v>
      </c>
      <c r="AP75" s="9">
        <f t="shared" si="61"/>
        <v>68</v>
      </c>
      <c r="AQ75" s="9">
        <f t="shared" si="57"/>
        <v>969244.91999999993</v>
      </c>
      <c r="AR75" s="33">
        <f t="shared" si="58"/>
        <v>799627</v>
      </c>
      <c r="AS75" s="33">
        <f t="shared" si="59"/>
        <v>644516</v>
      </c>
      <c r="AU75" s="28"/>
      <c r="AV75" s="9"/>
      <c r="AW75" s="519"/>
    </row>
    <row r="76" spans="1:49">
      <c r="A76" s="6">
        <v>69</v>
      </c>
      <c r="B76" s="6" t="s">
        <v>1188</v>
      </c>
      <c r="C76" s="7">
        <v>0</v>
      </c>
      <c r="D76" s="9">
        <v>98944.56</v>
      </c>
      <c r="E76" s="9">
        <v>81629</v>
      </c>
      <c r="F76" s="9">
        <v>59811.12</v>
      </c>
      <c r="G76" s="348"/>
      <c r="H76" s="111">
        <f t="shared" si="60"/>
        <v>59811.12</v>
      </c>
      <c r="I76" s="9">
        <f t="shared" si="31"/>
        <v>84301.650000000009</v>
      </c>
      <c r="J76" s="33">
        <f t="shared" si="32"/>
        <v>69549</v>
      </c>
      <c r="K76" s="9">
        <f t="shared" si="33"/>
        <v>14753</v>
      </c>
      <c r="L76" s="112">
        <f t="shared" si="34"/>
        <v>0</v>
      </c>
      <c r="M76" s="458">
        <f>ROUND(100-'Townwide Contributions'!L75,2)</f>
        <v>17.5</v>
      </c>
      <c r="N76" s="9">
        <v>6</v>
      </c>
      <c r="O76" s="9">
        <f t="shared" si="35"/>
        <v>5</v>
      </c>
      <c r="P76" s="9">
        <f t="shared" si="36"/>
        <v>0</v>
      </c>
      <c r="Q76" s="28">
        <f t="shared" si="37"/>
        <v>0</v>
      </c>
      <c r="R76" s="382">
        <f t="shared" si="38"/>
        <v>0</v>
      </c>
      <c r="S76" s="28">
        <v>59811.12</v>
      </c>
      <c r="T76" s="33">
        <f t="shared" si="39"/>
        <v>59961.120000000003</v>
      </c>
      <c r="U76" s="9">
        <f t="shared" si="40"/>
        <v>0</v>
      </c>
      <c r="V76" s="33">
        <f t="shared" si="41"/>
        <v>59811.12</v>
      </c>
      <c r="W76" s="33">
        <f t="shared" si="42"/>
        <v>0</v>
      </c>
      <c r="X76" s="33">
        <v>0</v>
      </c>
      <c r="Y76" s="113">
        <f t="shared" si="43"/>
        <v>59811.12</v>
      </c>
      <c r="Z76" s="155">
        <f t="shared" si="44"/>
        <v>0</v>
      </c>
      <c r="AA76" s="33">
        <f t="shared" si="45"/>
        <v>129360.12</v>
      </c>
      <c r="AB76" s="114">
        <f t="shared" si="46"/>
        <v>153.4490961920674</v>
      </c>
      <c r="AC76" s="28">
        <f t="shared" si="47"/>
        <v>-14642.909999999989</v>
      </c>
      <c r="AD76" s="28">
        <f t="shared" si="48"/>
        <v>0</v>
      </c>
      <c r="AE76" s="28">
        <f t="shared" si="49"/>
        <v>45058.331250000003</v>
      </c>
      <c r="AF76" s="115" t="str">
        <f t="shared" si="50"/>
        <v/>
      </c>
      <c r="AG76" s="28">
        <f t="shared" si="51"/>
        <v>16860.330000000002</v>
      </c>
      <c r="AI76" s="28">
        <f t="shared" si="52"/>
        <v>0</v>
      </c>
      <c r="AJ76" s="28"/>
      <c r="AK76" s="28">
        <f t="shared" si="53"/>
        <v>0</v>
      </c>
      <c r="AL76" s="156"/>
      <c r="AM76" s="6">
        <f t="shared" si="54"/>
        <v>69</v>
      </c>
      <c r="AN76" s="6" t="str">
        <f t="shared" si="55"/>
        <v xml:space="preserve">Cummington                   </v>
      </c>
      <c r="AO76" s="6">
        <f t="shared" si="56"/>
        <v>0</v>
      </c>
      <c r="AP76" s="9">
        <f t="shared" si="61"/>
        <v>5</v>
      </c>
      <c r="AQ76" s="9">
        <f t="shared" si="57"/>
        <v>84301.650000000009</v>
      </c>
      <c r="AR76" s="33">
        <f t="shared" si="58"/>
        <v>69549</v>
      </c>
      <c r="AS76" s="33">
        <f t="shared" si="59"/>
        <v>59811.12</v>
      </c>
      <c r="AU76" s="28"/>
      <c r="AV76" s="9"/>
      <c r="AW76" s="519"/>
    </row>
    <row r="77" spans="1:49">
      <c r="A77" s="6">
        <v>70</v>
      </c>
      <c r="B77" s="6" t="s">
        <v>1189</v>
      </c>
      <c r="C77" s="7">
        <v>0</v>
      </c>
      <c r="D77" s="9">
        <v>212169.47999999998</v>
      </c>
      <c r="E77" s="9">
        <v>97790</v>
      </c>
      <c r="F77" s="9">
        <v>212169.47999999998</v>
      </c>
      <c r="G77" s="348"/>
      <c r="H77" s="111">
        <f t="shared" si="60"/>
        <v>212169.47999999998</v>
      </c>
      <c r="I77" s="9">
        <f t="shared" si="31"/>
        <v>267378.24</v>
      </c>
      <c r="J77" s="33">
        <f t="shared" si="32"/>
        <v>121597</v>
      </c>
      <c r="K77" s="9">
        <f t="shared" si="33"/>
        <v>145781</v>
      </c>
      <c r="L77" s="112">
        <f t="shared" si="34"/>
        <v>0</v>
      </c>
      <c r="M77" s="458">
        <f>ROUND(100-'Townwide Contributions'!L76,2)</f>
        <v>52.17</v>
      </c>
      <c r="N77" s="9">
        <v>11</v>
      </c>
      <c r="O77" s="9">
        <f t="shared" si="35"/>
        <v>14</v>
      </c>
      <c r="P77" s="9">
        <f t="shared" si="36"/>
        <v>0</v>
      </c>
      <c r="Q77" s="28">
        <f t="shared" si="37"/>
        <v>0</v>
      </c>
      <c r="R77" s="382">
        <f t="shared" si="38"/>
        <v>0</v>
      </c>
      <c r="S77" s="28">
        <v>212169.47999999998</v>
      </c>
      <c r="T77" s="33">
        <f t="shared" si="39"/>
        <v>212589.47999999998</v>
      </c>
      <c r="U77" s="9">
        <f t="shared" si="40"/>
        <v>0</v>
      </c>
      <c r="V77" s="33">
        <f t="shared" si="41"/>
        <v>212169.47999999998</v>
      </c>
      <c r="W77" s="33">
        <f t="shared" si="42"/>
        <v>0</v>
      </c>
      <c r="X77" s="33">
        <v>0</v>
      </c>
      <c r="Y77" s="113">
        <f t="shared" si="43"/>
        <v>212169.47999999998</v>
      </c>
      <c r="Z77" s="155">
        <f t="shared" si="44"/>
        <v>0</v>
      </c>
      <c r="AA77" s="33">
        <f t="shared" si="45"/>
        <v>333766.48</v>
      </c>
      <c r="AB77" s="114">
        <f t="shared" si="46"/>
        <v>124.82933540141487</v>
      </c>
      <c r="AC77" s="28">
        <f t="shared" si="47"/>
        <v>55208.760000000009</v>
      </c>
      <c r="AD77" s="28">
        <f t="shared" si="48"/>
        <v>0</v>
      </c>
      <c r="AE77" s="28">
        <f t="shared" si="49"/>
        <v>72678.252191999985</v>
      </c>
      <c r="AF77" s="115" t="str">
        <f t="shared" si="50"/>
        <v/>
      </c>
      <c r="AG77" s="28">
        <f t="shared" si="51"/>
        <v>19098.45</v>
      </c>
      <c r="AI77" s="28">
        <f t="shared" si="52"/>
        <v>0</v>
      </c>
      <c r="AJ77" s="28"/>
      <c r="AK77" s="28">
        <f t="shared" si="53"/>
        <v>0</v>
      </c>
      <c r="AL77" s="156"/>
      <c r="AM77" s="6">
        <f t="shared" si="54"/>
        <v>70</v>
      </c>
      <c r="AN77" s="6" t="str">
        <f t="shared" si="55"/>
        <v xml:space="preserve">Dalton                       </v>
      </c>
      <c r="AO77" s="6">
        <f t="shared" si="56"/>
        <v>0</v>
      </c>
      <c r="AP77" s="9">
        <f t="shared" si="61"/>
        <v>14</v>
      </c>
      <c r="AQ77" s="9">
        <f t="shared" si="57"/>
        <v>267378.24</v>
      </c>
      <c r="AR77" s="33">
        <f t="shared" si="58"/>
        <v>121597</v>
      </c>
      <c r="AS77" s="33">
        <f t="shared" si="59"/>
        <v>212169.47999999998</v>
      </c>
      <c r="AU77" s="28"/>
      <c r="AV77" s="9"/>
      <c r="AW77" s="519"/>
    </row>
    <row r="78" spans="1:49">
      <c r="A78" s="6">
        <v>71</v>
      </c>
      <c r="B78" s="6" t="s">
        <v>1190</v>
      </c>
      <c r="C78" s="7">
        <v>1</v>
      </c>
      <c r="D78" s="9">
        <v>42331707.480000004</v>
      </c>
      <c r="E78" s="9">
        <v>33039603</v>
      </c>
      <c r="F78" s="9">
        <v>9292104</v>
      </c>
      <c r="G78" s="348"/>
      <c r="H78" s="111">
        <f t="shared" si="60"/>
        <v>9292104</v>
      </c>
      <c r="I78" s="9">
        <f t="shared" si="31"/>
        <v>44328380.18</v>
      </c>
      <c r="J78" s="33">
        <f t="shared" si="32"/>
        <v>34918958</v>
      </c>
      <c r="K78" s="9">
        <f t="shared" si="33"/>
        <v>9409422</v>
      </c>
      <c r="L78" s="112">
        <f t="shared" si="34"/>
        <v>117318</v>
      </c>
      <c r="M78" s="458">
        <f>ROUND(100-'Townwide Contributions'!L77,2)</f>
        <v>17.5</v>
      </c>
      <c r="N78" s="9">
        <v>3315</v>
      </c>
      <c r="O78" s="9">
        <f t="shared" si="35"/>
        <v>3349</v>
      </c>
      <c r="P78" s="9">
        <f t="shared" si="36"/>
        <v>1</v>
      </c>
      <c r="Q78" s="28">
        <f t="shared" si="37"/>
        <v>348296</v>
      </c>
      <c r="R78" s="382">
        <f t="shared" si="38"/>
        <v>230978</v>
      </c>
      <c r="S78" s="28">
        <v>9292104</v>
      </c>
      <c r="T78" s="33">
        <f t="shared" si="39"/>
        <v>9392574</v>
      </c>
      <c r="U78" s="9">
        <f t="shared" si="40"/>
        <v>0</v>
      </c>
      <c r="V78" s="33">
        <f t="shared" si="41"/>
        <v>9640400</v>
      </c>
      <c r="W78" s="33">
        <f t="shared" si="42"/>
        <v>0</v>
      </c>
      <c r="X78" s="33">
        <v>0</v>
      </c>
      <c r="Y78" s="113">
        <f t="shared" si="43"/>
        <v>9640400</v>
      </c>
      <c r="Z78" s="155">
        <f t="shared" si="44"/>
        <v>21.747692924609815</v>
      </c>
      <c r="AA78" s="33">
        <f t="shared" si="45"/>
        <v>44559358</v>
      </c>
      <c r="AB78" s="114">
        <f t="shared" si="46"/>
        <v>100.52106081716067</v>
      </c>
      <c r="AC78" s="28">
        <f t="shared" si="47"/>
        <v>1996672.6999999955</v>
      </c>
      <c r="AD78" s="28">
        <f t="shared" si="48"/>
        <v>348296</v>
      </c>
      <c r="AE78" s="28">
        <f t="shared" si="49"/>
        <v>1882933.4685000004</v>
      </c>
      <c r="AF78" s="115">
        <f t="shared" si="50"/>
        <v>4.2476929246098152</v>
      </c>
      <c r="AG78" s="28">
        <f t="shared" si="51"/>
        <v>13236.3</v>
      </c>
      <c r="AI78" s="28">
        <f t="shared" si="52"/>
        <v>0</v>
      </c>
      <c r="AJ78" s="28"/>
      <c r="AK78" s="28">
        <f t="shared" si="53"/>
        <v>104</v>
      </c>
      <c r="AL78" s="156"/>
      <c r="AM78" s="6">
        <f t="shared" si="54"/>
        <v>71</v>
      </c>
      <c r="AN78" s="6" t="str">
        <f t="shared" si="55"/>
        <v xml:space="preserve">Danvers                      </v>
      </c>
      <c r="AO78" s="6">
        <f t="shared" si="56"/>
        <v>1</v>
      </c>
      <c r="AP78" s="9">
        <f t="shared" si="61"/>
        <v>3349</v>
      </c>
      <c r="AQ78" s="9">
        <f t="shared" si="57"/>
        <v>44328380.18</v>
      </c>
      <c r="AR78" s="33">
        <f t="shared" si="58"/>
        <v>34918958</v>
      </c>
      <c r="AS78" s="33">
        <f t="shared" si="59"/>
        <v>9640400</v>
      </c>
      <c r="AU78" s="28"/>
      <c r="AV78" s="9"/>
      <c r="AW78" s="519"/>
    </row>
    <row r="79" spans="1:49">
      <c r="A79" s="6">
        <v>72</v>
      </c>
      <c r="B79" s="6" t="s">
        <v>1191</v>
      </c>
      <c r="C79" s="7">
        <v>1</v>
      </c>
      <c r="D79" s="9">
        <v>43916766.759999998</v>
      </c>
      <c r="E79" s="9">
        <v>34831363</v>
      </c>
      <c r="F79" s="9">
        <v>10449331</v>
      </c>
      <c r="G79" s="348"/>
      <c r="H79" s="111">
        <f t="shared" si="60"/>
        <v>10449331</v>
      </c>
      <c r="I79" s="9">
        <f t="shared" si="31"/>
        <v>44678547.479999989</v>
      </c>
      <c r="J79" s="33">
        <f t="shared" si="32"/>
        <v>36166183</v>
      </c>
      <c r="K79" s="9">
        <f t="shared" si="33"/>
        <v>8512364</v>
      </c>
      <c r="L79" s="112">
        <f t="shared" si="34"/>
        <v>0</v>
      </c>
      <c r="M79" s="458">
        <f>ROUND(100-'Townwide Contributions'!L78,2)</f>
        <v>17.5</v>
      </c>
      <c r="N79" s="9">
        <v>3303</v>
      </c>
      <c r="O79" s="9">
        <f t="shared" si="35"/>
        <v>3284</v>
      </c>
      <c r="P79" s="9">
        <f t="shared" si="36"/>
        <v>0</v>
      </c>
      <c r="Q79" s="28">
        <f t="shared" si="37"/>
        <v>341536</v>
      </c>
      <c r="R79" s="382">
        <f t="shared" si="38"/>
        <v>341536</v>
      </c>
      <c r="S79" s="28">
        <v>10449331</v>
      </c>
      <c r="T79" s="33">
        <f t="shared" si="39"/>
        <v>10547851</v>
      </c>
      <c r="U79" s="9">
        <f t="shared" si="40"/>
        <v>0</v>
      </c>
      <c r="V79" s="33">
        <f t="shared" si="41"/>
        <v>10790867</v>
      </c>
      <c r="W79" s="33">
        <f t="shared" si="42"/>
        <v>0</v>
      </c>
      <c r="X79" s="33">
        <v>0</v>
      </c>
      <c r="Y79" s="113">
        <f t="shared" si="43"/>
        <v>10790867</v>
      </c>
      <c r="Z79" s="155">
        <f t="shared" si="44"/>
        <v>24.152233249817375</v>
      </c>
      <c r="AA79" s="33">
        <f t="shared" si="45"/>
        <v>46957050</v>
      </c>
      <c r="AB79" s="114">
        <f t="shared" si="46"/>
        <v>105.0997685657081</v>
      </c>
      <c r="AC79" s="28">
        <f t="shared" si="47"/>
        <v>761780.71999999136</v>
      </c>
      <c r="AD79" s="28">
        <f t="shared" si="48"/>
        <v>341536</v>
      </c>
      <c r="AE79" s="28">
        <f t="shared" si="49"/>
        <v>2972121.1910000024</v>
      </c>
      <c r="AF79" s="115">
        <f t="shared" si="50"/>
        <v>6.6522332498173746</v>
      </c>
      <c r="AG79" s="28">
        <f t="shared" si="51"/>
        <v>13604.92</v>
      </c>
      <c r="AI79" s="28">
        <f t="shared" si="52"/>
        <v>0</v>
      </c>
      <c r="AJ79" s="28"/>
      <c r="AK79" s="28">
        <f t="shared" si="53"/>
        <v>104</v>
      </c>
      <c r="AL79" s="156"/>
      <c r="AM79" s="6">
        <f t="shared" si="54"/>
        <v>72</v>
      </c>
      <c r="AN79" s="6" t="str">
        <f t="shared" si="55"/>
        <v xml:space="preserve">Dartmouth                    </v>
      </c>
      <c r="AO79" s="6">
        <f t="shared" si="56"/>
        <v>1</v>
      </c>
      <c r="AP79" s="9">
        <f t="shared" si="61"/>
        <v>3284</v>
      </c>
      <c r="AQ79" s="9">
        <f t="shared" si="57"/>
        <v>44678547.479999989</v>
      </c>
      <c r="AR79" s="33">
        <f t="shared" si="58"/>
        <v>36166183</v>
      </c>
      <c r="AS79" s="33">
        <f t="shared" si="59"/>
        <v>10790867</v>
      </c>
      <c r="AU79" s="28"/>
      <c r="AV79" s="9"/>
      <c r="AW79" s="519"/>
    </row>
    <row r="80" spans="1:49">
      <c r="A80" s="6">
        <v>73</v>
      </c>
      <c r="B80" s="6" t="s">
        <v>1192</v>
      </c>
      <c r="C80" s="7">
        <v>1</v>
      </c>
      <c r="D80" s="9">
        <v>34648058.12985</v>
      </c>
      <c r="E80" s="9">
        <v>27655361</v>
      </c>
      <c r="F80" s="9">
        <v>6992697</v>
      </c>
      <c r="G80" s="348"/>
      <c r="H80" s="111">
        <f t="shared" si="60"/>
        <v>6992697</v>
      </c>
      <c r="I80" s="9">
        <f t="shared" si="31"/>
        <v>39060888.148359999</v>
      </c>
      <c r="J80" s="33">
        <f t="shared" si="32"/>
        <v>29321375</v>
      </c>
      <c r="K80" s="9">
        <f t="shared" si="33"/>
        <v>9739513</v>
      </c>
      <c r="L80" s="112">
        <f t="shared" si="34"/>
        <v>2746816</v>
      </c>
      <c r="M80" s="458">
        <f>ROUND(100-'Townwide Contributions'!L79,2)</f>
        <v>17.5</v>
      </c>
      <c r="N80" s="9">
        <v>2529</v>
      </c>
      <c r="O80" s="9">
        <f t="shared" si="35"/>
        <v>2748</v>
      </c>
      <c r="P80" s="9">
        <f t="shared" si="36"/>
        <v>1</v>
      </c>
      <c r="Q80" s="28">
        <f t="shared" si="37"/>
        <v>285792</v>
      </c>
      <c r="R80" s="382">
        <f t="shared" si="38"/>
        <v>0</v>
      </c>
      <c r="S80" s="28">
        <v>7530581</v>
      </c>
      <c r="T80" s="33">
        <f t="shared" si="39"/>
        <v>7613021</v>
      </c>
      <c r="U80" s="9">
        <f t="shared" si="40"/>
        <v>0</v>
      </c>
      <c r="V80" s="33">
        <f t="shared" si="41"/>
        <v>9739513</v>
      </c>
      <c r="W80" s="33">
        <f t="shared" si="42"/>
        <v>0</v>
      </c>
      <c r="X80" s="33">
        <v>0</v>
      </c>
      <c r="Y80" s="113">
        <f t="shared" si="43"/>
        <v>9739513</v>
      </c>
      <c r="Z80" s="155">
        <f t="shared" si="44"/>
        <v>24.934182149181165</v>
      </c>
      <c r="AA80" s="33">
        <f t="shared" si="45"/>
        <v>39060888</v>
      </c>
      <c r="AB80" s="114">
        <f t="shared" si="46"/>
        <v>99.999999620182734</v>
      </c>
      <c r="AC80" s="28">
        <f t="shared" si="47"/>
        <v>4412830.0185099989</v>
      </c>
      <c r="AD80" s="28">
        <f t="shared" si="48"/>
        <v>2746816</v>
      </c>
      <c r="AE80" s="28">
        <f t="shared" si="49"/>
        <v>2903857.5740370005</v>
      </c>
      <c r="AF80" s="115">
        <f t="shared" si="50"/>
        <v>7.434182149181165</v>
      </c>
      <c r="AG80" s="28">
        <f t="shared" si="51"/>
        <v>14214.3</v>
      </c>
      <c r="AI80" s="28">
        <f t="shared" si="52"/>
        <v>0</v>
      </c>
      <c r="AJ80" s="28"/>
      <c r="AK80" s="28">
        <f t="shared" si="53"/>
        <v>999.56914119359533</v>
      </c>
      <c r="AL80" s="156"/>
      <c r="AM80" s="6">
        <f t="shared" si="54"/>
        <v>73</v>
      </c>
      <c r="AN80" s="6" t="str">
        <f t="shared" si="55"/>
        <v xml:space="preserve">Dedham                       </v>
      </c>
      <c r="AO80" s="6">
        <f t="shared" si="56"/>
        <v>1</v>
      </c>
      <c r="AP80" s="9">
        <f t="shared" si="61"/>
        <v>2748</v>
      </c>
      <c r="AQ80" s="9">
        <f t="shared" si="57"/>
        <v>39060888.148359999</v>
      </c>
      <c r="AR80" s="33">
        <f t="shared" si="58"/>
        <v>29321375</v>
      </c>
      <c r="AS80" s="33">
        <f t="shared" si="59"/>
        <v>9739513</v>
      </c>
      <c r="AU80" s="28"/>
      <c r="AV80" s="9"/>
      <c r="AW80" s="519"/>
    </row>
    <row r="81" spans="1:49">
      <c r="A81" s="6">
        <v>74</v>
      </c>
      <c r="B81" s="6" t="s">
        <v>1193</v>
      </c>
      <c r="C81" s="7">
        <v>1</v>
      </c>
      <c r="D81" s="9">
        <v>3505682.31</v>
      </c>
      <c r="E81" s="9">
        <v>2863682</v>
      </c>
      <c r="F81" s="9">
        <v>1157053</v>
      </c>
      <c r="G81" s="348"/>
      <c r="H81" s="111">
        <f t="shared" si="60"/>
        <v>1157053</v>
      </c>
      <c r="I81" s="9">
        <f t="shared" si="31"/>
        <v>3547455.8600000003</v>
      </c>
      <c r="J81" s="33">
        <f t="shared" si="32"/>
        <v>2926651</v>
      </c>
      <c r="K81" s="9">
        <f t="shared" si="33"/>
        <v>620805</v>
      </c>
      <c r="L81" s="112">
        <f t="shared" si="34"/>
        <v>0</v>
      </c>
      <c r="M81" s="458">
        <f>ROUND(100-'Townwide Contributions'!L80,2)</f>
        <v>17.5</v>
      </c>
      <c r="N81" s="9">
        <v>281</v>
      </c>
      <c r="O81" s="9">
        <f t="shared" si="35"/>
        <v>279</v>
      </c>
      <c r="P81" s="9">
        <f t="shared" si="36"/>
        <v>0</v>
      </c>
      <c r="Q81" s="28">
        <f t="shared" si="37"/>
        <v>29016</v>
      </c>
      <c r="R81" s="382">
        <f t="shared" si="38"/>
        <v>29016</v>
      </c>
      <c r="S81" s="28">
        <v>1157053</v>
      </c>
      <c r="T81" s="33">
        <f t="shared" si="39"/>
        <v>1165423</v>
      </c>
      <c r="U81" s="9">
        <f t="shared" si="40"/>
        <v>0</v>
      </c>
      <c r="V81" s="33">
        <f t="shared" si="41"/>
        <v>1186069</v>
      </c>
      <c r="W81" s="33">
        <f t="shared" si="42"/>
        <v>0</v>
      </c>
      <c r="X81" s="33">
        <v>0</v>
      </c>
      <c r="Y81" s="113">
        <f t="shared" si="43"/>
        <v>1186069</v>
      </c>
      <c r="Z81" s="155">
        <f t="shared" si="44"/>
        <v>33.434355403085966</v>
      </c>
      <c r="AA81" s="33">
        <f t="shared" si="45"/>
        <v>4112720</v>
      </c>
      <c r="AB81" s="114">
        <f t="shared" si="46"/>
        <v>115.93435302109719</v>
      </c>
      <c r="AC81" s="28">
        <f t="shared" si="47"/>
        <v>41773.550000000279</v>
      </c>
      <c r="AD81" s="28">
        <f t="shared" si="48"/>
        <v>29016</v>
      </c>
      <c r="AE81" s="28">
        <f t="shared" si="49"/>
        <v>565264.22450000001</v>
      </c>
      <c r="AF81" s="115">
        <f t="shared" si="50"/>
        <v>15.934355403085966</v>
      </c>
      <c r="AG81" s="28">
        <f t="shared" si="51"/>
        <v>12714.9</v>
      </c>
      <c r="AI81" s="28">
        <f t="shared" si="52"/>
        <v>0</v>
      </c>
      <c r="AJ81" s="28"/>
      <c r="AK81" s="28">
        <f t="shared" si="53"/>
        <v>104</v>
      </c>
      <c r="AL81" s="156"/>
      <c r="AM81" s="6">
        <f t="shared" si="54"/>
        <v>74</v>
      </c>
      <c r="AN81" s="6" t="str">
        <f t="shared" si="55"/>
        <v xml:space="preserve">Deerfield                    </v>
      </c>
      <c r="AO81" s="6">
        <f t="shared" si="56"/>
        <v>1</v>
      </c>
      <c r="AP81" s="9">
        <f t="shared" si="61"/>
        <v>279</v>
      </c>
      <c r="AQ81" s="9">
        <f t="shared" si="57"/>
        <v>3547455.8600000003</v>
      </c>
      <c r="AR81" s="33">
        <f t="shared" si="58"/>
        <v>2926651</v>
      </c>
      <c r="AS81" s="33">
        <f t="shared" si="59"/>
        <v>1186069</v>
      </c>
      <c r="AU81" s="28"/>
      <c r="AV81" s="9"/>
      <c r="AW81" s="519"/>
    </row>
    <row r="82" spans="1:49">
      <c r="A82" s="6">
        <v>75</v>
      </c>
      <c r="B82" s="6" t="s">
        <v>1194</v>
      </c>
      <c r="C82" s="7">
        <v>0</v>
      </c>
      <c r="D82" s="9">
        <v>0</v>
      </c>
      <c r="E82" s="9">
        <v>0</v>
      </c>
      <c r="F82" s="9">
        <v>0</v>
      </c>
      <c r="G82" s="348"/>
      <c r="H82" s="111">
        <f t="shared" si="60"/>
        <v>0</v>
      </c>
      <c r="I82" s="9">
        <f t="shared" si="31"/>
        <v>0</v>
      </c>
      <c r="J82" s="33">
        <f t="shared" si="32"/>
        <v>0</v>
      </c>
      <c r="K82" s="9">
        <f t="shared" si="33"/>
        <v>0</v>
      </c>
      <c r="L82" s="112">
        <f t="shared" si="34"/>
        <v>0</v>
      </c>
      <c r="M82" s="458">
        <f>ROUND(100-'Townwide Contributions'!L81,2)</f>
        <v>17.5</v>
      </c>
      <c r="N82" s="9">
        <v>0</v>
      </c>
      <c r="O82" s="9">
        <f t="shared" si="35"/>
        <v>0</v>
      </c>
      <c r="P82" s="9">
        <f t="shared" si="36"/>
        <v>0</v>
      </c>
      <c r="Q82" s="28">
        <f t="shared" si="37"/>
        <v>0</v>
      </c>
      <c r="R82" s="382">
        <f t="shared" si="38"/>
        <v>0</v>
      </c>
      <c r="S82" s="28">
        <v>0</v>
      </c>
      <c r="T82" s="33">
        <f t="shared" si="39"/>
        <v>0</v>
      </c>
      <c r="U82" s="9">
        <f t="shared" si="40"/>
        <v>0</v>
      </c>
      <c r="V82" s="33">
        <f t="shared" si="41"/>
        <v>0</v>
      </c>
      <c r="W82" s="33">
        <f t="shared" si="42"/>
        <v>0</v>
      </c>
      <c r="X82" s="33">
        <v>0</v>
      </c>
      <c r="Y82" s="113">
        <f t="shared" si="43"/>
        <v>0</v>
      </c>
      <c r="Z82" s="155">
        <f t="shared" si="44"/>
        <v>0</v>
      </c>
      <c r="AA82" s="33">
        <f t="shared" si="45"/>
        <v>0</v>
      </c>
      <c r="AB82" s="114">
        <f t="shared" si="46"/>
        <v>0</v>
      </c>
      <c r="AC82" s="28">
        <f t="shared" si="47"/>
        <v>0</v>
      </c>
      <c r="AD82" s="28">
        <f t="shared" si="48"/>
        <v>0</v>
      </c>
      <c r="AE82" s="28">
        <f t="shared" si="49"/>
        <v>0</v>
      </c>
      <c r="AF82" s="115" t="str">
        <f t="shared" si="50"/>
        <v/>
      </c>
      <c r="AG82" s="28">
        <f t="shared" si="51"/>
        <v>0</v>
      </c>
      <c r="AI82" s="28">
        <f t="shared" si="52"/>
        <v>0</v>
      </c>
      <c r="AJ82" s="28"/>
      <c r="AK82" s="28">
        <f t="shared" si="53"/>
        <v>0</v>
      </c>
      <c r="AL82" s="156"/>
      <c r="AM82" s="6">
        <f t="shared" si="54"/>
        <v>75</v>
      </c>
      <c r="AN82" s="6" t="str">
        <f t="shared" si="55"/>
        <v xml:space="preserve">Dennis                       </v>
      </c>
      <c r="AO82" s="6">
        <f t="shared" si="56"/>
        <v>0</v>
      </c>
      <c r="AP82" s="9">
        <f t="shared" si="61"/>
        <v>0</v>
      </c>
      <c r="AQ82" s="9">
        <f t="shared" si="57"/>
        <v>0</v>
      </c>
      <c r="AR82" s="33">
        <f t="shared" si="58"/>
        <v>0</v>
      </c>
      <c r="AS82" s="33">
        <f t="shared" si="59"/>
        <v>0</v>
      </c>
      <c r="AU82" s="28"/>
      <c r="AW82" s="519"/>
    </row>
    <row r="83" spans="1:49">
      <c r="A83" s="6">
        <v>76</v>
      </c>
      <c r="B83" s="6" t="s">
        <v>1195</v>
      </c>
      <c r="C83" s="7">
        <v>0</v>
      </c>
      <c r="D83" s="9">
        <v>0</v>
      </c>
      <c r="E83" s="9">
        <v>0</v>
      </c>
      <c r="F83" s="9">
        <v>0</v>
      </c>
      <c r="G83" s="348"/>
      <c r="H83" s="111">
        <f t="shared" si="60"/>
        <v>0</v>
      </c>
      <c r="I83" s="9">
        <f t="shared" si="31"/>
        <v>16860.330000000002</v>
      </c>
      <c r="J83" s="33">
        <f t="shared" si="32"/>
        <v>8607</v>
      </c>
      <c r="K83" s="9">
        <f t="shared" si="33"/>
        <v>8253</v>
      </c>
      <c r="L83" s="112">
        <f t="shared" si="34"/>
        <v>8253</v>
      </c>
      <c r="M83" s="458">
        <f>ROUND(100-'Townwide Contributions'!L82,2)</f>
        <v>43.88</v>
      </c>
      <c r="N83" s="9">
        <v>0</v>
      </c>
      <c r="O83" s="9">
        <f t="shared" si="35"/>
        <v>1</v>
      </c>
      <c r="P83" s="9">
        <f t="shared" si="36"/>
        <v>0</v>
      </c>
      <c r="Q83" s="28">
        <f t="shared" si="37"/>
        <v>0</v>
      </c>
      <c r="R83" s="382">
        <f t="shared" si="38"/>
        <v>0</v>
      </c>
      <c r="S83" s="28">
        <v>7967</v>
      </c>
      <c r="T83" s="33">
        <f t="shared" si="39"/>
        <v>7997</v>
      </c>
      <c r="U83" s="9">
        <f t="shared" si="40"/>
        <v>0</v>
      </c>
      <c r="V83" s="33">
        <f t="shared" si="41"/>
        <v>8253</v>
      </c>
      <c r="W83" s="33">
        <f t="shared" si="42"/>
        <v>0</v>
      </c>
      <c r="X83" s="33">
        <v>0</v>
      </c>
      <c r="Y83" s="113">
        <f t="shared" si="43"/>
        <v>8253</v>
      </c>
      <c r="Z83" s="155">
        <f t="shared" si="44"/>
        <v>0</v>
      </c>
      <c r="AA83" s="33">
        <f t="shared" si="45"/>
        <v>16860</v>
      </c>
      <c r="AB83" s="114">
        <f t="shared" si="46"/>
        <v>99.998042742935624</v>
      </c>
      <c r="AC83" s="28">
        <f t="shared" si="47"/>
        <v>16860.330000000002</v>
      </c>
      <c r="AD83" s="28">
        <f t="shared" si="48"/>
        <v>8253</v>
      </c>
      <c r="AE83" s="28">
        <f t="shared" si="49"/>
        <v>854.68719599999895</v>
      </c>
      <c r="AF83" s="115" t="str">
        <f t="shared" si="50"/>
        <v/>
      </c>
      <c r="AG83" s="28">
        <f t="shared" si="51"/>
        <v>16860.330000000002</v>
      </c>
      <c r="AI83" s="28">
        <f t="shared" si="52"/>
        <v>0</v>
      </c>
      <c r="AJ83" s="28"/>
      <c r="AK83" s="28">
        <f t="shared" si="53"/>
        <v>8253</v>
      </c>
      <c r="AL83" s="156"/>
      <c r="AM83" s="6">
        <f t="shared" si="54"/>
        <v>76</v>
      </c>
      <c r="AN83" s="6" t="str">
        <f t="shared" si="55"/>
        <v xml:space="preserve">Dighton                      </v>
      </c>
      <c r="AO83" s="6">
        <f t="shared" si="56"/>
        <v>0</v>
      </c>
      <c r="AP83" s="9">
        <f t="shared" si="61"/>
        <v>1</v>
      </c>
      <c r="AQ83" s="9">
        <f t="shared" si="57"/>
        <v>16860.330000000002</v>
      </c>
      <c r="AR83" s="33">
        <f t="shared" si="58"/>
        <v>8607</v>
      </c>
      <c r="AS83" s="33">
        <f t="shared" si="59"/>
        <v>8253</v>
      </c>
      <c r="AU83" s="28"/>
      <c r="AV83" s="9"/>
      <c r="AW83" s="519"/>
    </row>
    <row r="84" spans="1:49">
      <c r="A84" s="6">
        <v>77</v>
      </c>
      <c r="B84" s="6" t="s">
        <v>1196</v>
      </c>
      <c r="C84" s="7">
        <v>1</v>
      </c>
      <c r="D84" s="9">
        <v>14574247.939999998</v>
      </c>
      <c r="E84" s="9">
        <v>8454786</v>
      </c>
      <c r="F84" s="9">
        <v>8927525</v>
      </c>
      <c r="G84" s="348"/>
      <c r="H84" s="111">
        <f t="shared" si="60"/>
        <v>8927525</v>
      </c>
      <c r="I84" s="9">
        <f t="shared" si="31"/>
        <v>14237865.390000002</v>
      </c>
      <c r="J84" s="33">
        <f t="shared" si="32"/>
        <v>8850986</v>
      </c>
      <c r="K84" s="9">
        <f t="shared" si="33"/>
        <v>5386879</v>
      </c>
      <c r="L84" s="112">
        <f t="shared" si="34"/>
        <v>0</v>
      </c>
      <c r="M84" s="458">
        <f>ROUND(100-'Townwide Contributions'!L83,2)</f>
        <v>31.85</v>
      </c>
      <c r="N84" s="9">
        <v>1132</v>
      </c>
      <c r="O84" s="9">
        <f t="shared" si="35"/>
        <v>1072</v>
      </c>
      <c r="P84" s="9">
        <f t="shared" si="36"/>
        <v>0</v>
      </c>
      <c r="Q84" s="28">
        <f t="shared" si="37"/>
        <v>111488</v>
      </c>
      <c r="R84" s="382">
        <f t="shared" si="38"/>
        <v>111488</v>
      </c>
      <c r="S84" s="28">
        <v>8927525</v>
      </c>
      <c r="T84" s="33">
        <f t="shared" si="39"/>
        <v>8959685</v>
      </c>
      <c r="U84" s="9">
        <f t="shared" si="40"/>
        <v>0</v>
      </c>
      <c r="V84" s="33">
        <f t="shared" si="41"/>
        <v>9039013</v>
      </c>
      <c r="W84" s="33">
        <f t="shared" si="42"/>
        <v>0</v>
      </c>
      <c r="X84" s="33">
        <v>0</v>
      </c>
      <c r="Y84" s="113">
        <f t="shared" si="43"/>
        <v>9039013</v>
      </c>
      <c r="Z84" s="155">
        <f t="shared" si="44"/>
        <v>63.48573155038094</v>
      </c>
      <c r="AA84" s="33">
        <f t="shared" si="45"/>
        <v>17889999</v>
      </c>
      <c r="AB84" s="114">
        <f t="shared" si="46"/>
        <v>125.65085081198396</v>
      </c>
      <c r="AC84" s="28">
        <f t="shared" si="47"/>
        <v>-336382.54999999516</v>
      </c>
      <c r="AD84" s="28">
        <f t="shared" si="48"/>
        <v>111488</v>
      </c>
      <c r="AE84" s="28">
        <f t="shared" si="49"/>
        <v>4504252.8732849993</v>
      </c>
      <c r="AF84" s="115">
        <f t="shared" si="50"/>
        <v>31.635731550380939</v>
      </c>
      <c r="AG84" s="28">
        <f t="shared" si="51"/>
        <v>13281.59</v>
      </c>
      <c r="AI84" s="28">
        <f t="shared" si="52"/>
        <v>0</v>
      </c>
      <c r="AJ84" s="28"/>
      <c r="AK84" s="28">
        <f t="shared" si="53"/>
        <v>104</v>
      </c>
      <c r="AL84" s="156"/>
      <c r="AM84" s="6">
        <f t="shared" si="54"/>
        <v>77</v>
      </c>
      <c r="AN84" s="6" t="str">
        <f t="shared" si="55"/>
        <v xml:space="preserve">Douglas                      </v>
      </c>
      <c r="AO84" s="6">
        <f t="shared" si="56"/>
        <v>1</v>
      </c>
      <c r="AP84" s="9">
        <f t="shared" si="61"/>
        <v>1072</v>
      </c>
      <c r="AQ84" s="9">
        <f t="shared" si="57"/>
        <v>14237865.390000002</v>
      </c>
      <c r="AR84" s="33">
        <f t="shared" si="58"/>
        <v>8850986</v>
      </c>
      <c r="AS84" s="33">
        <f t="shared" si="59"/>
        <v>9039013</v>
      </c>
      <c r="AU84" s="28"/>
      <c r="AV84" s="9"/>
      <c r="AW84" s="519"/>
    </row>
    <row r="85" spans="1:49">
      <c r="A85" s="6">
        <v>78</v>
      </c>
      <c r="B85" s="6" t="s">
        <v>1197</v>
      </c>
      <c r="C85" s="7">
        <v>1</v>
      </c>
      <c r="D85" s="9">
        <v>5901407.9242000002</v>
      </c>
      <c r="E85" s="9">
        <v>4868661</v>
      </c>
      <c r="F85" s="9">
        <v>1032747</v>
      </c>
      <c r="G85" s="348"/>
      <c r="H85" s="111">
        <f t="shared" si="60"/>
        <v>1032747</v>
      </c>
      <c r="I85" s="9">
        <f t="shared" si="31"/>
        <v>5959421.4737200011</v>
      </c>
      <c r="J85" s="33">
        <f t="shared" si="32"/>
        <v>4916523</v>
      </c>
      <c r="K85" s="9">
        <f t="shared" si="33"/>
        <v>1042898</v>
      </c>
      <c r="L85" s="112">
        <f t="shared" si="34"/>
        <v>10151</v>
      </c>
      <c r="M85" s="458">
        <f>ROUND(100-'Townwide Contributions'!L84,2)</f>
        <v>17.5</v>
      </c>
      <c r="N85" s="9">
        <v>500</v>
      </c>
      <c r="O85" s="9">
        <f t="shared" si="35"/>
        <v>491</v>
      </c>
      <c r="P85" s="9">
        <f t="shared" si="36"/>
        <v>1</v>
      </c>
      <c r="Q85" s="28">
        <f t="shared" si="37"/>
        <v>51064</v>
      </c>
      <c r="R85" s="382">
        <f t="shared" si="38"/>
        <v>40913</v>
      </c>
      <c r="S85" s="28">
        <v>1032747</v>
      </c>
      <c r="T85" s="33">
        <f t="shared" si="39"/>
        <v>1047477</v>
      </c>
      <c r="U85" s="9">
        <f t="shared" si="40"/>
        <v>0</v>
      </c>
      <c r="V85" s="33">
        <f t="shared" si="41"/>
        <v>1083811</v>
      </c>
      <c r="W85" s="33">
        <f t="shared" si="42"/>
        <v>0</v>
      </c>
      <c r="X85" s="33">
        <v>0</v>
      </c>
      <c r="Y85" s="113">
        <f t="shared" si="43"/>
        <v>1083811</v>
      </c>
      <c r="Z85" s="155">
        <f t="shared" si="44"/>
        <v>18.186513653706417</v>
      </c>
      <c r="AA85" s="33">
        <f t="shared" si="45"/>
        <v>6000334</v>
      </c>
      <c r="AB85" s="114">
        <f t="shared" si="46"/>
        <v>100.68651842230686</v>
      </c>
      <c r="AC85" s="28">
        <f t="shared" si="47"/>
        <v>58013.549520000815</v>
      </c>
      <c r="AD85" s="28">
        <f t="shared" si="48"/>
        <v>51064</v>
      </c>
      <c r="AE85" s="28">
        <f t="shared" si="49"/>
        <v>40912.242098999908</v>
      </c>
      <c r="AF85" s="115">
        <f t="shared" si="50"/>
        <v>0.6865136537064167</v>
      </c>
      <c r="AG85" s="28">
        <f t="shared" si="51"/>
        <v>12137.31</v>
      </c>
      <c r="AI85" s="28">
        <f t="shared" si="52"/>
        <v>0</v>
      </c>
      <c r="AJ85" s="28"/>
      <c r="AK85" s="28">
        <f t="shared" si="53"/>
        <v>104</v>
      </c>
      <c r="AL85" s="156"/>
      <c r="AM85" s="6">
        <f t="shared" si="54"/>
        <v>78</v>
      </c>
      <c r="AN85" s="6" t="str">
        <f t="shared" si="55"/>
        <v xml:space="preserve">Dover                        </v>
      </c>
      <c r="AO85" s="6">
        <f t="shared" si="56"/>
        <v>1</v>
      </c>
      <c r="AP85" s="9">
        <f t="shared" si="61"/>
        <v>491</v>
      </c>
      <c r="AQ85" s="9">
        <f t="shared" si="57"/>
        <v>5959421.4737200011</v>
      </c>
      <c r="AR85" s="33">
        <f t="shared" si="58"/>
        <v>4916523</v>
      </c>
      <c r="AS85" s="33">
        <f t="shared" si="59"/>
        <v>1083811</v>
      </c>
      <c r="AU85" s="28"/>
      <c r="AV85" s="9"/>
      <c r="AW85" s="519"/>
    </row>
    <row r="86" spans="1:49">
      <c r="A86" s="6">
        <v>79</v>
      </c>
      <c r="B86" s="6" t="s">
        <v>1198</v>
      </c>
      <c r="C86" s="7">
        <v>1</v>
      </c>
      <c r="D86" s="9">
        <v>54539267.460000008</v>
      </c>
      <c r="E86" s="9">
        <v>27369124</v>
      </c>
      <c r="F86" s="9">
        <v>27170143</v>
      </c>
      <c r="G86" s="348"/>
      <c r="H86" s="111">
        <f t="shared" si="60"/>
        <v>27170143</v>
      </c>
      <c r="I86" s="9">
        <f t="shared" si="31"/>
        <v>54583406.889999993</v>
      </c>
      <c r="J86" s="33">
        <f t="shared" si="32"/>
        <v>27974680</v>
      </c>
      <c r="K86" s="9">
        <f t="shared" si="33"/>
        <v>26608727</v>
      </c>
      <c r="L86" s="112">
        <f t="shared" si="34"/>
        <v>0</v>
      </c>
      <c r="M86" s="458">
        <f>ROUND(100-'Townwide Contributions'!L85,2)</f>
        <v>41.98</v>
      </c>
      <c r="N86" s="9">
        <v>3900</v>
      </c>
      <c r="O86" s="9">
        <f t="shared" si="35"/>
        <v>3837</v>
      </c>
      <c r="P86" s="9">
        <f t="shared" si="36"/>
        <v>0</v>
      </c>
      <c r="Q86" s="28">
        <f t="shared" si="37"/>
        <v>399048</v>
      </c>
      <c r="R86" s="382">
        <f t="shared" si="38"/>
        <v>399048</v>
      </c>
      <c r="S86" s="28">
        <v>27170143</v>
      </c>
      <c r="T86" s="33">
        <f t="shared" si="39"/>
        <v>27285253</v>
      </c>
      <c r="U86" s="9">
        <f t="shared" si="40"/>
        <v>0</v>
      </c>
      <c r="V86" s="33">
        <f t="shared" si="41"/>
        <v>27569191</v>
      </c>
      <c r="W86" s="33">
        <f t="shared" si="42"/>
        <v>0</v>
      </c>
      <c r="X86" s="33">
        <v>1248</v>
      </c>
      <c r="Y86" s="113">
        <f t="shared" si="43"/>
        <v>27570439</v>
      </c>
      <c r="Z86" s="155">
        <f t="shared" si="44"/>
        <v>50.510659870611832</v>
      </c>
      <c r="AA86" s="33">
        <f t="shared" si="45"/>
        <v>55545119</v>
      </c>
      <c r="AB86" s="114">
        <f t="shared" si="46"/>
        <v>101.76191294167128</v>
      </c>
      <c r="AC86" s="28">
        <f t="shared" si="47"/>
        <v>44139.429999984801</v>
      </c>
      <c r="AD86" s="28">
        <f t="shared" si="48"/>
        <v>400296</v>
      </c>
      <c r="AE86" s="28">
        <f t="shared" si="49"/>
        <v>4656324.7875780053</v>
      </c>
      <c r="AF86" s="115">
        <f t="shared" si="50"/>
        <v>8.5306598706118351</v>
      </c>
      <c r="AG86" s="28">
        <f t="shared" si="51"/>
        <v>14225.54</v>
      </c>
      <c r="AI86" s="28">
        <f t="shared" si="52"/>
        <v>0</v>
      </c>
      <c r="AJ86" s="28"/>
      <c r="AK86" s="28">
        <f t="shared" si="53"/>
        <v>104.32525410476936</v>
      </c>
      <c r="AL86" s="156"/>
      <c r="AM86" s="6">
        <f t="shared" si="54"/>
        <v>79</v>
      </c>
      <c r="AN86" s="6" t="str">
        <f t="shared" si="55"/>
        <v xml:space="preserve">Dracut                       </v>
      </c>
      <c r="AO86" s="6">
        <f t="shared" si="56"/>
        <v>1</v>
      </c>
      <c r="AP86" s="9">
        <f t="shared" si="61"/>
        <v>3837</v>
      </c>
      <c r="AQ86" s="9">
        <f t="shared" si="57"/>
        <v>54583406.889999993</v>
      </c>
      <c r="AR86" s="33">
        <f t="shared" si="58"/>
        <v>27974680</v>
      </c>
      <c r="AS86" s="33">
        <f t="shared" si="59"/>
        <v>27570439</v>
      </c>
      <c r="AU86" s="28"/>
      <c r="AV86" s="9"/>
      <c r="AW86" s="519"/>
    </row>
    <row r="87" spans="1:49">
      <c r="A87" s="6">
        <v>80</v>
      </c>
      <c r="B87" s="6" t="s">
        <v>1199</v>
      </c>
      <c r="C87" s="7">
        <v>0</v>
      </c>
      <c r="D87" s="9">
        <v>16490.760000000002</v>
      </c>
      <c r="E87" s="9">
        <v>5890</v>
      </c>
      <c r="F87" s="9">
        <v>10601</v>
      </c>
      <c r="G87" s="348"/>
      <c r="H87" s="111">
        <f t="shared" si="60"/>
        <v>10601</v>
      </c>
      <c r="I87" s="9">
        <f t="shared" si="31"/>
        <v>0</v>
      </c>
      <c r="J87" s="33">
        <f t="shared" si="32"/>
        <v>0</v>
      </c>
      <c r="K87" s="9">
        <f t="shared" si="33"/>
        <v>0</v>
      </c>
      <c r="L87" s="112">
        <f t="shared" si="34"/>
        <v>0</v>
      </c>
      <c r="M87" s="458">
        <f>ROUND(100-'Townwide Contributions'!L86,2)</f>
        <v>55.31</v>
      </c>
      <c r="N87" s="9">
        <v>1</v>
      </c>
      <c r="O87" s="9">
        <f t="shared" si="35"/>
        <v>0</v>
      </c>
      <c r="P87" s="9">
        <f t="shared" si="36"/>
        <v>0</v>
      </c>
      <c r="Q87" s="28">
        <f t="shared" si="37"/>
        <v>0</v>
      </c>
      <c r="R87" s="382">
        <f t="shared" si="38"/>
        <v>0</v>
      </c>
      <c r="S87" s="28">
        <v>0</v>
      </c>
      <c r="T87" s="33">
        <f t="shared" si="39"/>
        <v>0</v>
      </c>
      <c r="U87" s="9">
        <f t="shared" si="40"/>
        <v>0</v>
      </c>
      <c r="V87" s="33">
        <f t="shared" si="41"/>
        <v>10601</v>
      </c>
      <c r="W87" s="33">
        <f t="shared" si="42"/>
        <v>10601</v>
      </c>
      <c r="X87" s="33">
        <v>0</v>
      </c>
      <c r="Y87" s="113">
        <f t="shared" si="43"/>
        <v>0</v>
      </c>
      <c r="Z87" s="155">
        <f t="shared" si="44"/>
        <v>0</v>
      </c>
      <c r="AA87" s="33">
        <f t="shared" si="45"/>
        <v>0</v>
      </c>
      <c r="AB87" s="114">
        <f t="shared" si="46"/>
        <v>0</v>
      </c>
      <c r="AC87" s="28">
        <f t="shared" si="47"/>
        <v>-16490.760000000002</v>
      </c>
      <c r="AD87" s="28">
        <f t="shared" si="48"/>
        <v>-10601</v>
      </c>
      <c r="AE87" s="28">
        <f t="shared" si="49"/>
        <v>0</v>
      </c>
      <c r="AF87" s="115" t="str">
        <f t="shared" si="50"/>
        <v/>
      </c>
      <c r="AG87" s="28">
        <f t="shared" si="51"/>
        <v>0</v>
      </c>
      <c r="AI87" s="28">
        <f t="shared" si="52"/>
        <v>0</v>
      </c>
      <c r="AJ87" s="28"/>
      <c r="AK87" s="28">
        <f t="shared" si="53"/>
        <v>0</v>
      </c>
      <c r="AL87" s="156"/>
      <c r="AM87" s="6">
        <f t="shared" si="54"/>
        <v>80</v>
      </c>
      <c r="AN87" s="6" t="str">
        <f t="shared" si="55"/>
        <v xml:space="preserve">Dudley                       </v>
      </c>
      <c r="AO87" s="6">
        <f t="shared" si="56"/>
        <v>0</v>
      </c>
      <c r="AP87" s="9">
        <f t="shared" si="61"/>
        <v>0</v>
      </c>
      <c r="AQ87" s="9">
        <f t="shared" si="57"/>
        <v>0</v>
      </c>
      <c r="AR87" s="33">
        <f t="shared" si="58"/>
        <v>0</v>
      </c>
      <c r="AS87" s="33">
        <f t="shared" si="59"/>
        <v>0</v>
      </c>
      <c r="AU87" s="28"/>
      <c r="AW87" s="519"/>
    </row>
    <row r="88" spans="1:49">
      <c r="A88" s="6">
        <v>81</v>
      </c>
      <c r="B88" s="6" t="s">
        <v>1200</v>
      </c>
      <c r="C88" s="7">
        <v>0</v>
      </c>
      <c r="D88" s="9">
        <v>0</v>
      </c>
      <c r="E88" s="9">
        <v>0</v>
      </c>
      <c r="F88" s="9">
        <v>0</v>
      </c>
      <c r="G88" s="348"/>
      <c r="H88" s="111">
        <f t="shared" si="60"/>
        <v>0</v>
      </c>
      <c r="I88" s="9">
        <f t="shared" si="31"/>
        <v>0</v>
      </c>
      <c r="J88" s="33">
        <f t="shared" si="32"/>
        <v>0</v>
      </c>
      <c r="K88" s="9">
        <f t="shared" si="33"/>
        <v>0</v>
      </c>
      <c r="L88" s="112">
        <f t="shared" si="34"/>
        <v>0</v>
      </c>
      <c r="M88" s="458">
        <f>ROUND(100-'Townwide Contributions'!L87,2)</f>
        <v>17.5</v>
      </c>
      <c r="N88" s="9">
        <v>0</v>
      </c>
      <c r="O88" s="9">
        <f t="shared" si="35"/>
        <v>0</v>
      </c>
      <c r="P88" s="9">
        <f t="shared" si="36"/>
        <v>0</v>
      </c>
      <c r="Q88" s="28">
        <f t="shared" si="37"/>
        <v>0</v>
      </c>
      <c r="R88" s="382">
        <f t="shared" si="38"/>
        <v>0</v>
      </c>
      <c r="S88" s="28">
        <v>0</v>
      </c>
      <c r="T88" s="33">
        <f t="shared" si="39"/>
        <v>0</v>
      </c>
      <c r="U88" s="9">
        <f t="shared" si="40"/>
        <v>0</v>
      </c>
      <c r="V88" s="33">
        <f t="shared" si="41"/>
        <v>0</v>
      </c>
      <c r="W88" s="33">
        <f t="shared" si="42"/>
        <v>0</v>
      </c>
      <c r="X88" s="33">
        <v>0</v>
      </c>
      <c r="Y88" s="113">
        <f t="shared" si="43"/>
        <v>0</v>
      </c>
      <c r="Z88" s="155">
        <f t="shared" si="44"/>
        <v>0</v>
      </c>
      <c r="AA88" s="33">
        <f t="shared" si="45"/>
        <v>0</v>
      </c>
      <c r="AB88" s="114">
        <f t="shared" si="46"/>
        <v>0</v>
      </c>
      <c r="AC88" s="28">
        <f t="shared" si="47"/>
        <v>0</v>
      </c>
      <c r="AD88" s="28">
        <f t="shared" si="48"/>
        <v>0</v>
      </c>
      <c r="AE88" s="28">
        <f t="shared" si="49"/>
        <v>0</v>
      </c>
      <c r="AF88" s="115" t="str">
        <f t="shared" si="50"/>
        <v/>
      </c>
      <c r="AG88" s="28">
        <f t="shared" si="51"/>
        <v>0</v>
      </c>
      <c r="AI88" s="28">
        <f t="shared" si="52"/>
        <v>0</v>
      </c>
      <c r="AJ88" s="28"/>
      <c r="AK88" s="28">
        <f t="shared" si="53"/>
        <v>0</v>
      </c>
      <c r="AL88" s="156"/>
      <c r="AM88" s="6">
        <f t="shared" si="54"/>
        <v>81</v>
      </c>
      <c r="AN88" s="6" t="str">
        <f t="shared" si="55"/>
        <v xml:space="preserve">Dunstable                    </v>
      </c>
      <c r="AO88" s="6">
        <f t="shared" si="56"/>
        <v>0</v>
      </c>
      <c r="AP88" s="9">
        <f t="shared" si="61"/>
        <v>0</v>
      </c>
      <c r="AQ88" s="9">
        <f t="shared" si="57"/>
        <v>0</v>
      </c>
      <c r="AR88" s="33">
        <f t="shared" si="58"/>
        <v>0</v>
      </c>
      <c r="AS88" s="33">
        <f t="shared" si="59"/>
        <v>0</v>
      </c>
      <c r="AU88" s="28"/>
      <c r="AW88" s="519"/>
    </row>
    <row r="89" spans="1:49">
      <c r="A89" s="6">
        <v>82</v>
      </c>
      <c r="B89" s="6" t="s">
        <v>1201</v>
      </c>
      <c r="C89" s="7">
        <v>1</v>
      </c>
      <c r="D89" s="9">
        <v>33659011.201460004</v>
      </c>
      <c r="E89" s="9">
        <v>26987503</v>
      </c>
      <c r="F89" s="9">
        <v>6671508</v>
      </c>
      <c r="G89" s="348"/>
      <c r="H89" s="111">
        <f t="shared" si="60"/>
        <v>6671508</v>
      </c>
      <c r="I89" s="9">
        <f t="shared" si="31"/>
        <v>33652713.458800003</v>
      </c>
      <c r="J89" s="33">
        <f t="shared" si="32"/>
        <v>27763489</v>
      </c>
      <c r="K89" s="9">
        <f t="shared" si="33"/>
        <v>5889224</v>
      </c>
      <c r="L89" s="112">
        <f t="shared" si="34"/>
        <v>0</v>
      </c>
      <c r="M89" s="458">
        <f>ROUND(100-'Townwide Contributions'!L88,2)</f>
        <v>17.5</v>
      </c>
      <c r="N89" s="9">
        <v>2729</v>
      </c>
      <c r="O89" s="9">
        <f t="shared" si="35"/>
        <v>2658</v>
      </c>
      <c r="P89" s="9">
        <f t="shared" si="36"/>
        <v>0</v>
      </c>
      <c r="Q89" s="28">
        <f t="shared" si="37"/>
        <v>276432</v>
      </c>
      <c r="R89" s="382">
        <f t="shared" si="38"/>
        <v>276432</v>
      </c>
      <c r="S89" s="28">
        <v>6671508</v>
      </c>
      <c r="T89" s="33">
        <f t="shared" si="39"/>
        <v>6751248</v>
      </c>
      <c r="U89" s="9">
        <f t="shared" si="40"/>
        <v>0</v>
      </c>
      <c r="V89" s="33">
        <f t="shared" si="41"/>
        <v>6947940</v>
      </c>
      <c r="W89" s="33">
        <f t="shared" si="42"/>
        <v>0</v>
      </c>
      <c r="X89" s="33">
        <v>0</v>
      </c>
      <c r="Y89" s="113">
        <f t="shared" si="43"/>
        <v>6947940</v>
      </c>
      <c r="Z89" s="155">
        <f t="shared" si="44"/>
        <v>20.646002315700791</v>
      </c>
      <c r="AA89" s="33">
        <f t="shared" si="45"/>
        <v>34711429</v>
      </c>
      <c r="AB89" s="114">
        <f t="shared" si="46"/>
        <v>103.14600349388215</v>
      </c>
      <c r="AC89" s="28">
        <f t="shared" si="47"/>
        <v>-6297.7426600009203</v>
      </c>
      <c r="AD89" s="28">
        <f t="shared" si="48"/>
        <v>276432</v>
      </c>
      <c r="AE89" s="28">
        <f t="shared" si="49"/>
        <v>1058715.1447099997</v>
      </c>
      <c r="AF89" s="115">
        <f t="shared" si="50"/>
        <v>3.146002315700791</v>
      </c>
      <c r="AG89" s="28">
        <f t="shared" si="51"/>
        <v>12660.92</v>
      </c>
      <c r="AI89" s="28">
        <f t="shared" si="52"/>
        <v>0</v>
      </c>
      <c r="AJ89" s="28"/>
      <c r="AK89" s="28">
        <f t="shared" si="53"/>
        <v>104</v>
      </c>
      <c r="AL89" s="156"/>
      <c r="AM89" s="6">
        <f t="shared" si="54"/>
        <v>82</v>
      </c>
      <c r="AN89" s="6" t="str">
        <f t="shared" si="55"/>
        <v xml:space="preserve">Duxbury                      </v>
      </c>
      <c r="AO89" s="6">
        <f t="shared" si="56"/>
        <v>1</v>
      </c>
      <c r="AP89" s="9">
        <f t="shared" si="61"/>
        <v>2658</v>
      </c>
      <c r="AQ89" s="9">
        <f t="shared" si="57"/>
        <v>33652713.458800003</v>
      </c>
      <c r="AR89" s="33">
        <f t="shared" si="58"/>
        <v>27763489</v>
      </c>
      <c r="AS89" s="33">
        <f t="shared" si="59"/>
        <v>6947940</v>
      </c>
      <c r="AU89" s="28"/>
      <c r="AV89" s="9"/>
      <c r="AW89" s="519"/>
    </row>
    <row r="90" spans="1:49">
      <c r="A90" s="6">
        <v>83</v>
      </c>
      <c r="B90" s="6" t="s">
        <v>1202</v>
      </c>
      <c r="C90" s="7">
        <v>1</v>
      </c>
      <c r="D90" s="9">
        <v>26867274.059999999</v>
      </c>
      <c r="E90" s="9">
        <v>13993957</v>
      </c>
      <c r="F90" s="9">
        <v>12873317</v>
      </c>
      <c r="G90" s="348"/>
      <c r="H90" s="111">
        <f t="shared" si="60"/>
        <v>12873317</v>
      </c>
      <c r="I90" s="9">
        <f t="shared" si="31"/>
        <v>26713492.300000004</v>
      </c>
      <c r="J90" s="33">
        <f t="shared" si="32"/>
        <v>14744525</v>
      </c>
      <c r="K90" s="9">
        <f t="shared" si="33"/>
        <v>11968967</v>
      </c>
      <c r="L90" s="112">
        <f t="shared" si="34"/>
        <v>0</v>
      </c>
      <c r="M90" s="458">
        <f>ROUND(100-'Townwide Contributions'!L89,2)</f>
        <v>39.770000000000003</v>
      </c>
      <c r="N90" s="9">
        <v>2022</v>
      </c>
      <c r="O90" s="9">
        <f t="shared" si="35"/>
        <v>1963</v>
      </c>
      <c r="P90" s="9">
        <f t="shared" si="36"/>
        <v>0</v>
      </c>
      <c r="Q90" s="28">
        <f t="shared" si="37"/>
        <v>204152</v>
      </c>
      <c r="R90" s="382">
        <f t="shared" si="38"/>
        <v>204152</v>
      </c>
      <c r="S90" s="28">
        <v>12873317</v>
      </c>
      <c r="T90" s="33">
        <f t="shared" si="39"/>
        <v>12932207</v>
      </c>
      <c r="U90" s="9">
        <f t="shared" si="40"/>
        <v>0</v>
      </c>
      <c r="V90" s="33">
        <f t="shared" si="41"/>
        <v>13077469</v>
      </c>
      <c r="W90" s="33">
        <f t="shared" si="42"/>
        <v>0</v>
      </c>
      <c r="X90" s="33">
        <v>0</v>
      </c>
      <c r="Y90" s="113">
        <f t="shared" si="43"/>
        <v>13077469</v>
      </c>
      <c r="Z90" s="155">
        <f t="shared" si="44"/>
        <v>48.954546463398941</v>
      </c>
      <c r="AA90" s="33">
        <f t="shared" si="45"/>
        <v>27821994</v>
      </c>
      <c r="AB90" s="114">
        <f t="shared" si="46"/>
        <v>104.14959484724503</v>
      </c>
      <c r="AC90" s="28">
        <f t="shared" si="47"/>
        <v>-153781.75999999419</v>
      </c>
      <c r="AD90" s="28">
        <f t="shared" si="48"/>
        <v>204152</v>
      </c>
      <c r="AE90" s="28">
        <f t="shared" si="49"/>
        <v>2453513.1122899968</v>
      </c>
      <c r="AF90" s="115">
        <f t="shared" si="50"/>
        <v>9.184546463398938</v>
      </c>
      <c r="AG90" s="28">
        <f t="shared" si="51"/>
        <v>13608.5</v>
      </c>
      <c r="AI90" s="28">
        <f t="shared" si="52"/>
        <v>0</v>
      </c>
      <c r="AJ90" s="28"/>
      <c r="AK90" s="28">
        <f t="shared" si="53"/>
        <v>104</v>
      </c>
      <c r="AL90" s="156"/>
      <c r="AM90" s="6">
        <f t="shared" si="54"/>
        <v>83</v>
      </c>
      <c r="AN90" s="6" t="str">
        <f t="shared" si="55"/>
        <v xml:space="preserve">East Bridgewater             </v>
      </c>
      <c r="AO90" s="6">
        <f t="shared" si="56"/>
        <v>1</v>
      </c>
      <c r="AP90" s="9">
        <f t="shared" si="61"/>
        <v>1963</v>
      </c>
      <c r="AQ90" s="9">
        <f t="shared" si="57"/>
        <v>26713492.300000004</v>
      </c>
      <c r="AR90" s="33">
        <f t="shared" si="58"/>
        <v>14744525</v>
      </c>
      <c r="AS90" s="33">
        <f t="shared" si="59"/>
        <v>13077469</v>
      </c>
      <c r="AU90" s="28"/>
      <c r="AV90" s="9"/>
      <c r="AW90" s="519"/>
    </row>
    <row r="91" spans="1:49">
      <c r="A91" s="6">
        <v>84</v>
      </c>
      <c r="B91" s="6" t="s">
        <v>1203</v>
      </c>
      <c r="C91" s="7">
        <v>0</v>
      </c>
      <c r="D91" s="9">
        <v>278132.51999999996</v>
      </c>
      <c r="E91" s="9">
        <v>144480</v>
      </c>
      <c r="F91" s="9">
        <v>186676</v>
      </c>
      <c r="G91" s="348"/>
      <c r="H91" s="111">
        <f t="shared" si="60"/>
        <v>186676</v>
      </c>
      <c r="I91" s="9">
        <f t="shared" si="31"/>
        <v>267378.24</v>
      </c>
      <c r="J91" s="33">
        <f t="shared" si="32"/>
        <v>141860</v>
      </c>
      <c r="K91" s="9">
        <f t="shared" si="33"/>
        <v>125518</v>
      </c>
      <c r="L91" s="112">
        <f t="shared" si="34"/>
        <v>0</v>
      </c>
      <c r="M91" s="458">
        <f>ROUND(100-'Townwide Contributions'!L90,2)</f>
        <v>41.68</v>
      </c>
      <c r="N91" s="9">
        <v>15</v>
      </c>
      <c r="O91" s="9">
        <f t="shared" si="35"/>
        <v>14</v>
      </c>
      <c r="P91" s="9">
        <f t="shared" si="36"/>
        <v>0</v>
      </c>
      <c r="Q91" s="28">
        <f t="shared" si="37"/>
        <v>0</v>
      </c>
      <c r="R91" s="382">
        <f t="shared" si="38"/>
        <v>0</v>
      </c>
      <c r="S91" s="28">
        <v>186676</v>
      </c>
      <c r="T91" s="33">
        <f t="shared" si="39"/>
        <v>187096</v>
      </c>
      <c r="U91" s="9">
        <f t="shared" si="40"/>
        <v>0</v>
      </c>
      <c r="V91" s="33">
        <f t="shared" si="41"/>
        <v>186676</v>
      </c>
      <c r="W91" s="33">
        <f t="shared" si="42"/>
        <v>0</v>
      </c>
      <c r="X91" s="33">
        <v>0</v>
      </c>
      <c r="Y91" s="113">
        <f t="shared" si="43"/>
        <v>186676</v>
      </c>
      <c r="Z91" s="155">
        <f t="shared" si="44"/>
        <v>0</v>
      </c>
      <c r="AA91" s="33">
        <f t="shared" si="45"/>
        <v>328536</v>
      </c>
      <c r="AB91" s="114">
        <f t="shared" si="46"/>
        <v>122.8731253523099</v>
      </c>
      <c r="AC91" s="28">
        <f t="shared" si="47"/>
        <v>-10754.27999999997</v>
      </c>
      <c r="AD91" s="28">
        <f t="shared" si="48"/>
        <v>0</v>
      </c>
      <c r="AE91" s="28">
        <f t="shared" si="49"/>
        <v>75232.749567999999</v>
      </c>
      <c r="AF91" s="115" t="str">
        <f t="shared" si="50"/>
        <v/>
      </c>
      <c r="AG91" s="28">
        <f t="shared" si="51"/>
        <v>19098.45</v>
      </c>
      <c r="AI91" s="28">
        <f t="shared" si="52"/>
        <v>0</v>
      </c>
      <c r="AJ91" s="28"/>
      <c r="AK91" s="28">
        <f t="shared" si="53"/>
        <v>0</v>
      </c>
      <c r="AL91" s="156"/>
      <c r="AM91" s="6">
        <f t="shared" si="54"/>
        <v>84</v>
      </c>
      <c r="AN91" s="6" t="str">
        <f t="shared" si="55"/>
        <v xml:space="preserve">East Brookfield              </v>
      </c>
      <c r="AO91" s="6">
        <f t="shared" si="56"/>
        <v>0</v>
      </c>
      <c r="AP91" s="9">
        <f t="shared" si="61"/>
        <v>14</v>
      </c>
      <c r="AQ91" s="9">
        <f t="shared" si="57"/>
        <v>267378.24</v>
      </c>
      <c r="AR91" s="33">
        <f t="shared" si="58"/>
        <v>141860</v>
      </c>
      <c r="AS91" s="33">
        <f t="shared" si="59"/>
        <v>186676</v>
      </c>
      <c r="AU91" s="28"/>
      <c r="AV91" s="9"/>
      <c r="AW91" s="519"/>
    </row>
    <row r="92" spans="1:49">
      <c r="A92" s="6">
        <v>85</v>
      </c>
      <c r="B92" s="6" t="s">
        <v>1204</v>
      </c>
      <c r="C92" s="7">
        <v>1</v>
      </c>
      <c r="D92" s="9">
        <v>2896212.01</v>
      </c>
      <c r="E92" s="9">
        <v>2389375</v>
      </c>
      <c r="F92" s="9">
        <v>506837</v>
      </c>
      <c r="G92" s="348"/>
      <c r="H92" s="111">
        <f t="shared" si="60"/>
        <v>506837</v>
      </c>
      <c r="I92" s="9">
        <f t="shared" si="31"/>
        <v>2893667.62</v>
      </c>
      <c r="J92" s="33">
        <f t="shared" si="32"/>
        <v>2387276</v>
      </c>
      <c r="K92" s="9">
        <f t="shared" si="33"/>
        <v>506392</v>
      </c>
      <c r="L92" s="112">
        <f t="shared" si="34"/>
        <v>0</v>
      </c>
      <c r="M92" s="458">
        <f>ROUND(100-'Townwide Contributions'!L91,2)</f>
        <v>17.5</v>
      </c>
      <c r="N92" s="9">
        <v>197</v>
      </c>
      <c r="O92" s="9">
        <f t="shared" si="35"/>
        <v>198</v>
      </c>
      <c r="P92" s="9">
        <f t="shared" si="36"/>
        <v>0</v>
      </c>
      <c r="Q92" s="28">
        <f t="shared" si="37"/>
        <v>20592</v>
      </c>
      <c r="R92" s="382">
        <f t="shared" si="38"/>
        <v>20592</v>
      </c>
      <c r="S92" s="28">
        <v>506837</v>
      </c>
      <c r="T92" s="33">
        <f t="shared" si="39"/>
        <v>512777</v>
      </c>
      <c r="U92" s="9">
        <f t="shared" si="40"/>
        <v>0</v>
      </c>
      <c r="V92" s="33">
        <f t="shared" si="41"/>
        <v>527429</v>
      </c>
      <c r="W92" s="33">
        <f t="shared" si="42"/>
        <v>0</v>
      </c>
      <c r="X92" s="33">
        <v>0</v>
      </c>
      <c r="Y92" s="113">
        <f t="shared" si="43"/>
        <v>527429</v>
      </c>
      <c r="Z92" s="155">
        <f t="shared" si="44"/>
        <v>18.227007011952534</v>
      </c>
      <c r="AA92" s="33">
        <f t="shared" si="45"/>
        <v>2914705</v>
      </c>
      <c r="AB92" s="114">
        <f t="shared" si="46"/>
        <v>100.72701439013234</v>
      </c>
      <c r="AC92" s="28">
        <f t="shared" si="47"/>
        <v>-2544.3899999996647</v>
      </c>
      <c r="AD92" s="28">
        <f t="shared" si="48"/>
        <v>20592</v>
      </c>
      <c r="AE92" s="28">
        <f t="shared" si="49"/>
        <v>21037.166499999992</v>
      </c>
      <c r="AF92" s="115">
        <f t="shared" si="50"/>
        <v>0.72700701195253359</v>
      </c>
      <c r="AG92" s="28">
        <f t="shared" si="51"/>
        <v>14614.48</v>
      </c>
      <c r="AI92" s="28">
        <f t="shared" si="52"/>
        <v>0</v>
      </c>
      <c r="AJ92" s="28"/>
      <c r="AK92" s="28">
        <f t="shared" si="53"/>
        <v>104</v>
      </c>
      <c r="AL92" s="156"/>
      <c r="AM92" s="6">
        <f t="shared" si="54"/>
        <v>85</v>
      </c>
      <c r="AN92" s="6" t="str">
        <f t="shared" si="55"/>
        <v xml:space="preserve">Eastham                      </v>
      </c>
      <c r="AO92" s="6">
        <f t="shared" si="56"/>
        <v>1</v>
      </c>
      <c r="AP92" s="9">
        <f t="shared" si="61"/>
        <v>198</v>
      </c>
      <c r="AQ92" s="9">
        <f t="shared" si="57"/>
        <v>2893667.62</v>
      </c>
      <c r="AR92" s="33">
        <f t="shared" si="58"/>
        <v>2387276</v>
      </c>
      <c r="AS92" s="33">
        <f t="shared" si="59"/>
        <v>527429</v>
      </c>
      <c r="AU92" s="28"/>
      <c r="AV92" s="9"/>
      <c r="AW92" s="519"/>
    </row>
    <row r="93" spans="1:49">
      <c r="A93" s="6">
        <v>86</v>
      </c>
      <c r="B93" s="6" t="s">
        <v>1205</v>
      </c>
      <c r="C93" s="7">
        <v>1</v>
      </c>
      <c r="D93" s="9">
        <v>22559015.459999997</v>
      </c>
      <c r="E93" s="9">
        <v>13894543</v>
      </c>
      <c r="F93" s="9">
        <v>8664472</v>
      </c>
      <c r="G93" s="348"/>
      <c r="H93" s="111">
        <f t="shared" si="60"/>
        <v>8664472</v>
      </c>
      <c r="I93" s="9">
        <f t="shared" si="31"/>
        <v>23097746.730000004</v>
      </c>
      <c r="J93" s="33">
        <f t="shared" si="32"/>
        <v>14936633</v>
      </c>
      <c r="K93" s="9">
        <f t="shared" si="33"/>
        <v>8161114</v>
      </c>
      <c r="L93" s="112">
        <f t="shared" si="34"/>
        <v>0</v>
      </c>
      <c r="M93" s="458">
        <f>ROUND(100-'Townwide Contributions'!L92,2)</f>
        <v>31.7</v>
      </c>
      <c r="N93" s="9">
        <v>1591</v>
      </c>
      <c r="O93" s="9">
        <f t="shared" si="35"/>
        <v>1580</v>
      </c>
      <c r="P93" s="9">
        <f t="shared" si="36"/>
        <v>0</v>
      </c>
      <c r="Q93" s="28">
        <f t="shared" si="37"/>
        <v>164320</v>
      </c>
      <c r="R93" s="382">
        <f t="shared" si="38"/>
        <v>164320</v>
      </c>
      <c r="S93" s="28">
        <v>8664472</v>
      </c>
      <c r="T93" s="33">
        <f t="shared" si="39"/>
        <v>8711872</v>
      </c>
      <c r="U93" s="9">
        <f t="shared" si="40"/>
        <v>0</v>
      </c>
      <c r="V93" s="33">
        <f t="shared" si="41"/>
        <v>8828792</v>
      </c>
      <c r="W93" s="33">
        <f t="shared" si="42"/>
        <v>0</v>
      </c>
      <c r="X93" s="33">
        <v>0</v>
      </c>
      <c r="Y93" s="113">
        <f t="shared" si="43"/>
        <v>8828792</v>
      </c>
      <c r="Z93" s="155">
        <f t="shared" si="44"/>
        <v>38.223607277383969</v>
      </c>
      <c r="AA93" s="33">
        <f t="shared" si="45"/>
        <v>23765425</v>
      </c>
      <c r="AB93" s="114">
        <f t="shared" si="46"/>
        <v>102.89066408860046</v>
      </c>
      <c r="AC93" s="28">
        <f t="shared" si="47"/>
        <v>538731.270000007</v>
      </c>
      <c r="AD93" s="28">
        <f t="shared" si="48"/>
        <v>164320</v>
      </c>
      <c r="AE93" s="28">
        <f t="shared" si="49"/>
        <v>1506806.2865899988</v>
      </c>
      <c r="AF93" s="115">
        <f t="shared" si="50"/>
        <v>6.5236072773839702</v>
      </c>
      <c r="AG93" s="28">
        <f t="shared" si="51"/>
        <v>14618.83</v>
      </c>
      <c r="AI93" s="28">
        <f t="shared" si="52"/>
        <v>0</v>
      </c>
      <c r="AJ93" s="28"/>
      <c r="AK93" s="28">
        <f t="shared" si="53"/>
        <v>104</v>
      </c>
      <c r="AL93" s="156"/>
      <c r="AM93" s="6">
        <f t="shared" si="54"/>
        <v>86</v>
      </c>
      <c r="AN93" s="6" t="str">
        <f t="shared" si="55"/>
        <v xml:space="preserve">Easthampton                  </v>
      </c>
      <c r="AO93" s="6">
        <f t="shared" si="56"/>
        <v>1</v>
      </c>
      <c r="AP93" s="9">
        <f t="shared" si="61"/>
        <v>1580</v>
      </c>
      <c r="AQ93" s="9">
        <f t="shared" si="57"/>
        <v>23097746.730000004</v>
      </c>
      <c r="AR93" s="33">
        <f t="shared" si="58"/>
        <v>14936633</v>
      </c>
      <c r="AS93" s="33">
        <f t="shared" si="59"/>
        <v>8828792</v>
      </c>
      <c r="AU93" s="28"/>
      <c r="AV93" s="9"/>
      <c r="AW93" s="519"/>
    </row>
    <row r="94" spans="1:49">
      <c r="A94" s="6">
        <v>87</v>
      </c>
      <c r="B94" s="6" t="s">
        <v>1206</v>
      </c>
      <c r="C94" s="7">
        <v>1</v>
      </c>
      <c r="D94" s="9">
        <v>33881345.879999995</v>
      </c>
      <c r="E94" s="9">
        <v>18843898</v>
      </c>
      <c r="F94" s="9">
        <v>15037448</v>
      </c>
      <c r="G94" s="348"/>
      <c r="H94" s="111">
        <f t="shared" si="60"/>
        <v>15037448</v>
      </c>
      <c r="I94" s="9">
        <f t="shared" si="31"/>
        <v>34416160.82</v>
      </c>
      <c r="J94" s="33">
        <f t="shared" si="32"/>
        <v>19663608</v>
      </c>
      <c r="K94" s="9">
        <f t="shared" si="33"/>
        <v>14752553</v>
      </c>
      <c r="L94" s="112">
        <f t="shared" si="34"/>
        <v>0</v>
      </c>
      <c r="M94" s="458">
        <f>ROUND(100-'Townwide Contributions'!L93,2)</f>
        <v>38.26</v>
      </c>
      <c r="N94" s="9">
        <v>2552</v>
      </c>
      <c r="O94" s="9">
        <f t="shared" si="35"/>
        <v>2522</v>
      </c>
      <c r="P94" s="9">
        <f t="shared" si="36"/>
        <v>0</v>
      </c>
      <c r="Q94" s="28">
        <f t="shared" si="37"/>
        <v>262288</v>
      </c>
      <c r="R94" s="382">
        <f t="shared" si="38"/>
        <v>262288</v>
      </c>
      <c r="S94" s="28">
        <v>15037448</v>
      </c>
      <c r="T94" s="33">
        <f t="shared" si="39"/>
        <v>15113108</v>
      </c>
      <c r="U94" s="9">
        <f t="shared" si="40"/>
        <v>0</v>
      </c>
      <c r="V94" s="33">
        <f t="shared" si="41"/>
        <v>15299736</v>
      </c>
      <c r="W94" s="33">
        <f t="shared" si="42"/>
        <v>0</v>
      </c>
      <c r="X94" s="33">
        <v>0</v>
      </c>
      <c r="Y94" s="113">
        <f t="shared" si="43"/>
        <v>15299736</v>
      </c>
      <c r="Z94" s="155">
        <f t="shared" si="44"/>
        <v>44.455092129593318</v>
      </c>
      <c r="AA94" s="33">
        <f t="shared" si="45"/>
        <v>34963344</v>
      </c>
      <c r="AB94" s="114">
        <f t="shared" si="46"/>
        <v>101.58990185704275</v>
      </c>
      <c r="AC94" s="28">
        <f t="shared" si="47"/>
        <v>534814.94000000507</v>
      </c>
      <c r="AD94" s="28">
        <f t="shared" si="48"/>
        <v>262288</v>
      </c>
      <c r="AE94" s="28">
        <f t="shared" si="49"/>
        <v>2132112.8702680003</v>
      </c>
      <c r="AF94" s="115">
        <f t="shared" si="50"/>
        <v>6.1950921295933199</v>
      </c>
      <c r="AG94" s="28">
        <f t="shared" si="51"/>
        <v>13646.38</v>
      </c>
      <c r="AI94" s="28">
        <f t="shared" si="52"/>
        <v>0</v>
      </c>
      <c r="AJ94" s="28"/>
      <c r="AK94" s="28">
        <f t="shared" si="53"/>
        <v>104</v>
      </c>
      <c r="AL94" s="156"/>
      <c r="AM94" s="6">
        <f t="shared" si="54"/>
        <v>87</v>
      </c>
      <c r="AN94" s="6" t="str">
        <f t="shared" si="55"/>
        <v xml:space="preserve">East Longmeadow              </v>
      </c>
      <c r="AO94" s="6">
        <f t="shared" si="56"/>
        <v>1</v>
      </c>
      <c r="AP94" s="9">
        <f t="shared" si="61"/>
        <v>2522</v>
      </c>
      <c r="AQ94" s="9">
        <f t="shared" si="57"/>
        <v>34416160.82</v>
      </c>
      <c r="AR94" s="33">
        <f t="shared" si="58"/>
        <v>19663608</v>
      </c>
      <c r="AS94" s="33">
        <f t="shared" si="59"/>
        <v>15299736</v>
      </c>
      <c r="AU94" s="28"/>
      <c r="AV94" s="9"/>
      <c r="AW94" s="519"/>
    </row>
    <row r="95" spans="1:49">
      <c r="A95" s="6">
        <v>88</v>
      </c>
      <c r="B95" s="6" t="s">
        <v>1207</v>
      </c>
      <c r="C95" s="7">
        <v>1</v>
      </c>
      <c r="D95" s="9">
        <v>43192301.489999995</v>
      </c>
      <c r="E95" s="9">
        <v>33376275</v>
      </c>
      <c r="F95" s="9">
        <v>10655421</v>
      </c>
      <c r="G95" s="348"/>
      <c r="H95" s="111">
        <f t="shared" si="60"/>
        <v>10655421</v>
      </c>
      <c r="I95" s="9">
        <f t="shared" si="31"/>
        <v>44308894.519999996</v>
      </c>
      <c r="J95" s="33">
        <f t="shared" si="32"/>
        <v>34692019</v>
      </c>
      <c r="K95" s="9">
        <f t="shared" si="33"/>
        <v>9616876</v>
      </c>
      <c r="L95" s="112">
        <f t="shared" si="34"/>
        <v>0</v>
      </c>
      <c r="M95" s="458">
        <f>ROUND(100-'Townwide Contributions'!L94,2)</f>
        <v>17.5</v>
      </c>
      <c r="N95" s="9">
        <v>3418</v>
      </c>
      <c r="O95" s="9">
        <f t="shared" si="35"/>
        <v>3404</v>
      </c>
      <c r="P95" s="9">
        <f t="shared" si="36"/>
        <v>0</v>
      </c>
      <c r="Q95" s="28">
        <f t="shared" si="37"/>
        <v>354016</v>
      </c>
      <c r="R95" s="382">
        <f t="shared" si="38"/>
        <v>354016</v>
      </c>
      <c r="S95" s="28">
        <v>10655421</v>
      </c>
      <c r="T95" s="33">
        <f t="shared" si="39"/>
        <v>10757541</v>
      </c>
      <c r="U95" s="9">
        <f t="shared" si="40"/>
        <v>0</v>
      </c>
      <c r="V95" s="33">
        <f t="shared" si="41"/>
        <v>11009437</v>
      </c>
      <c r="W95" s="33">
        <f t="shared" si="42"/>
        <v>0</v>
      </c>
      <c r="X95" s="33">
        <v>0</v>
      </c>
      <c r="Y95" s="113">
        <f t="shared" si="43"/>
        <v>11009437</v>
      </c>
      <c r="Z95" s="155">
        <f t="shared" si="44"/>
        <v>24.847013493037156</v>
      </c>
      <c r="AA95" s="33">
        <f t="shared" si="45"/>
        <v>45701456</v>
      </c>
      <c r="AB95" s="114">
        <f t="shared" si="46"/>
        <v>103.14284862009237</v>
      </c>
      <c r="AC95" s="28">
        <f t="shared" si="47"/>
        <v>1116593.0300000012</v>
      </c>
      <c r="AD95" s="28">
        <f t="shared" si="48"/>
        <v>354016</v>
      </c>
      <c r="AE95" s="28">
        <f t="shared" si="49"/>
        <v>3255380.4590000017</v>
      </c>
      <c r="AF95" s="115">
        <f t="shared" si="50"/>
        <v>7.3470134930371565</v>
      </c>
      <c r="AG95" s="28">
        <f t="shared" si="51"/>
        <v>13016.71</v>
      </c>
      <c r="AI95" s="28">
        <f t="shared" si="52"/>
        <v>0</v>
      </c>
      <c r="AJ95" s="28"/>
      <c r="AK95" s="28">
        <f t="shared" si="53"/>
        <v>104</v>
      </c>
      <c r="AL95" s="156"/>
      <c r="AM95" s="6">
        <f t="shared" si="54"/>
        <v>88</v>
      </c>
      <c r="AN95" s="6" t="str">
        <f t="shared" si="55"/>
        <v xml:space="preserve">Easton                       </v>
      </c>
      <c r="AO95" s="6">
        <f t="shared" si="56"/>
        <v>1</v>
      </c>
      <c r="AP95" s="9">
        <f t="shared" si="61"/>
        <v>3404</v>
      </c>
      <c r="AQ95" s="9">
        <f t="shared" si="57"/>
        <v>44308894.519999996</v>
      </c>
      <c r="AR95" s="33">
        <f t="shared" si="58"/>
        <v>34692019</v>
      </c>
      <c r="AS95" s="33">
        <f t="shared" si="59"/>
        <v>11009437</v>
      </c>
      <c r="AU95" s="28"/>
      <c r="AV95" s="9"/>
      <c r="AW95" s="519"/>
    </row>
    <row r="96" spans="1:49">
      <c r="A96" s="6">
        <v>89</v>
      </c>
      <c r="B96" s="6" t="s">
        <v>1208</v>
      </c>
      <c r="C96" s="7">
        <v>1</v>
      </c>
      <c r="D96" s="9">
        <v>6660865.3400000008</v>
      </c>
      <c r="E96" s="9">
        <v>5495214</v>
      </c>
      <c r="F96" s="9">
        <v>1165651</v>
      </c>
      <c r="G96" s="348"/>
      <c r="H96" s="111">
        <f t="shared" si="60"/>
        <v>1165651</v>
      </c>
      <c r="I96" s="9">
        <f t="shared" si="31"/>
        <v>6714943.7300000014</v>
      </c>
      <c r="J96" s="33">
        <f t="shared" si="32"/>
        <v>5539828</v>
      </c>
      <c r="K96" s="9">
        <f t="shared" si="33"/>
        <v>1175116</v>
      </c>
      <c r="L96" s="112">
        <f t="shared" si="34"/>
        <v>9465</v>
      </c>
      <c r="M96" s="458">
        <f>ROUND(100-'Townwide Contributions'!L95,2)</f>
        <v>17.5</v>
      </c>
      <c r="N96" s="9">
        <v>438</v>
      </c>
      <c r="O96" s="9">
        <f t="shared" si="35"/>
        <v>434</v>
      </c>
      <c r="P96" s="9">
        <f t="shared" si="36"/>
        <v>1</v>
      </c>
      <c r="Q96" s="28">
        <f t="shared" si="37"/>
        <v>45136</v>
      </c>
      <c r="R96" s="382">
        <f t="shared" si="38"/>
        <v>35671</v>
      </c>
      <c r="S96" s="28">
        <v>1165651</v>
      </c>
      <c r="T96" s="33">
        <f t="shared" si="39"/>
        <v>1178671</v>
      </c>
      <c r="U96" s="9">
        <f t="shared" si="40"/>
        <v>0</v>
      </c>
      <c r="V96" s="33">
        <f t="shared" si="41"/>
        <v>1210787</v>
      </c>
      <c r="W96" s="33">
        <f t="shared" si="42"/>
        <v>0</v>
      </c>
      <c r="X96" s="33">
        <v>0</v>
      </c>
      <c r="Y96" s="113">
        <f t="shared" si="43"/>
        <v>1210787</v>
      </c>
      <c r="Z96" s="155">
        <f t="shared" si="44"/>
        <v>18.031230769524257</v>
      </c>
      <c r="AA96" s="33">
        <f t="shared" si="45"/>
        <v>6750615</v>
      </c>
      <c r="AB96" s="114">
        <f t="shared" si="46"/>
        <v>100.53122217302629</v>
      </c>
      <c r="AC96" s="28">
        <f t="shared" si="47"/>
        <v>54078.390000000596</v>
      </c>
      <c r="AD96" s="28">
        <f t="shared" si="48"/>
        <v>45136</v>
      </c>
      <c r="AE96" s="28">
        <f t="shared" si="49"/>
        <v>35671.847249999875</v>
      </c>
      <c r="AF96" s="115">
        <f t="shared" si="50"/>
        <v>0.53123076952425663</v>
      </c>
      <c r="AG96" s="28">
        <f t="shared" si="51"/>
        <v>15472.22</v>
      </c>
      <c r="AI96" s="28">
        <f t="shared" si="52"/>
        <v>0</v>
      </c>
      <c r="AJ96" s="28"/>
      <c r="AK96" s="28">
        <f t="shared" si="53"/>
        <v>104</v>
      </c>
      <c r="AL96" s="156"/>
      <c r="AM96" s="6">
        <f t="shared" si="54"/>
        <v>89</v>
      </c>
      <c r="AN96" s="6" t="str">
        <f t="shared" si="55"/>
        <v xml:space="preserve">Edgartown                    </v>
      </c>
      <c r="AO96" s="6">
        <f t="shared" si="56"/>
        <v>1</v>
      </c>
      <c r="AP96" s="9">
        <f t="shared" si="61"/>
        <v>434</v>
      </c>
      <c r="AQ96" s="9">
        <f t="shared" si="57"/>
        <v>6714943.7300000014</v>
      </c>
      <c r="AR96" s="33">
        <f t="shared" si="58"/>
        <v>5539828</v>
      </c>
      <c r="AS96" s="33">
        <f t="shared" si="59"/>
        <v>1210787</v>
      </c>
      <c r="AU96" s="28"/>
      <c r="AV96" s="9"/>
      <c r="AW96" s="519"/>
    </row>
    <row r="97" spans="1:49">
      <c r="A97" s="6">
        <v>90</v>
      </c>
      <c r="B97" s="6" t="s">
        <v>1209</v>
      </c>
      <c r="C97" s="7">
        <v>0</v>
      </c>
      <c r="D97" s="9">
        <v>0</v>
      </c>
      <c r="E97" s="9">
        <v>0</v>
      </c>
      <c r="F97" s="9">
        <v>0</v>
      </c>
      <c r="G97" s="348"/>
      <c r="H97" s="111">
        <f t="shared" si="60"/>
        <v>0</v>
      </c>
      <c r="I97" s="9">
        <f t="shared" si="31"/>
        <v>0</v>
      </c>
      <c r="J97" s="33">
        <f t="shared" si="32"/>
        <v>0</v>
      </c>
      <c r="K97" s="9">
        <f t="shared" si="33"/>
        <v>0</v>
      </c>
      <c r="L97" s="112">
        <f t="shared" si="34"/>
        <v>0</v>
      </c>
      <c r="M97" s="458">
        <f>ROUND(100-'Townwide Contributions'!L96,2)</f>
        <v>17.5</v>
      </c>
      <c r="N97" s="9">
        <v>0</v>
      </c>
      <c r="O97" s="9">
        <f t="shared" si="35"/>
        <v>0</v>
      </c>
      <c r="P97" s="9">
        <f t="shared" si="36"/>
        <v>0</v>
      </c>
      <c r="Q97" s="28">
        <f t="shared" si="37"/>
        <v>0</v>
      </c>
      <c r="R97" s="382">
        <f t="shared" si="38"/>
        <v>0</v>
      </c>
      <c r="S97" s="28">
        <v>0</v>
      </c>
      <c r="T97" s="33">
        <f t="shared" si="39"/>
        <v>0</v>
      </c>
      <c r="U97" s="9">
        <f t="shared" si="40"/>
        <v>0</v>
      </c>
      <c r="V97" s="33">
        <f t="shared" si="41"/>
        <v>0</v>
      </c>
      <c r="W97" s="33">
        <f t="shared" si="42"/>
        <v>0</v>
      </c>
      <c r="X97" s="33">
        <v>0</v>
      </c>
      <c r="Y97" s="113">
        <f t="shared" si="43"/>
        <v>0</v>
      </c>
      <c r="Z97" s="155">
        <f t="shared" si="44"/>
        <v>0</v>
      </c>
      <c r="AA97" s="33">
        <f t="shared" si="45"/>
        <v>0</v>
      </c>
      <c r="AB97" s="114">
        <f t="shared" si="46"/>
        <v>0</v>
      </c>
      <c r="AC97" s="28">
        <f t="shared" si="47"/>
        <v>0</v>
      </c>
      <c r="AD97" s="28">
        <f t="shared" si="48"/>
        <v>0</v>
      </c>
      <c r="AE97" s="28">
        <f t="shared" si="49"/>
        <v>0</v>
      </c>
      <c r="AF97" s="115" t="str">
        <f t="shared" si="50"/>
        <v/>
      </c>
      <c r="AG97" s="28">
        <f t="shared" si="51"/>
        <v>0</v>
      </c>
      <c r="AI97" s="28">
        <f t="shared" si="52"/>
        <v>0</v>
      </c>
      <c r="AJ97" s="28"/>
      <c r="AK97" s="28">
        <f t="shared" si="53"/>
        <v>0</v>
      </c>
      <c r="AL97" s="156"/>
      <c r="AM97" s="6">
        <f t="shared" si="54"/>
        <v>90</v>
      </c>
      <c r="AN97" s="6" t="str">
        <f t="shared" si="55"/>
        <v xml:space="preserve">Egremont                     </v>
      </c>
      <c r="AO97" s="6">
        <f t="shared" si="56"/>
        <v>0</v>
      </c>
      <c r="AP97" s="9">
        <f t="shared" si="61"/>
        <v>0</v>
      </c>
      <c r="AQ97" s="9">
        <f t="shared" si="57"/>
        <v>0</v>
      </c>
      <c r="AR97" s="33">
        <f t="shared" si="58"/>
        <v>0</v>
      </c>
      <c r="AS97" s="33">
        <f t="shared" si="59"/>
        <v>0</v>
      </c>
      <c r="AU97" s="28"/>
      <c r="AW97" s="519"/>
    </row>
    <row r="98" spans="1:49">
      <c r="A98" s="6">
        <v>91</v>
      </c>
      <c r="B98" s="6" t="s">
        <v>1210</v>
      </c>
      <c r="C98" s="7">
        <v>1</v>
      </c>
      <c r="D98" s="9">
        <v>2671388.7799999998</v>
      </c>
      <c r="E98" s="9">
        <v>2115389</v>
      </c>
      <c r="F98" s="9">
        <v>556000</v>
      </c>
      <c r="G98" s="348"/>
      <c r="H98" s="111">
        <f t="shared" si="60"/>
        <v>556000</v>
      </c>
      <c r="I98" s="9">
        <f t="shared" si="31"/>
        <v>2756151.77</v>
      </c>
      <c r="J98" s="33">
        <f t="shared" si="32"/>
        <v>2220663</v>
      </c>
      <c r="K98" s="9">
        <f t="shared" si="33"/>
        <v>535489</v>
      </c>
      <c r="L98" s="112">
        <f t="shared" si="34"/>
        <v>0</v>
      </c>
      <c r="M98" s="458">
        <f>ROUND(100-'Townwide Contributions'!L97,2)</f>
        <v>17.5</v>
      </c>
      <c r="N98" s="9">
        <v>203</v>
      </c>
      <c r="O98" s="9">
        <f t="shared" si="35"/>
        <v>204</v>
      </c>
      <c r="P98" s="9">
        <f t="shared" si="36"/>
        <v>0</v>
      </c>
      <c r="Q98" s="28">
        <f t="shared" si="37"/>
        <v>21216</v>
      </c>
      <c r="R98" s="382">
        <f t="shared" si="38"/>
        <v>21216</v>
      </c>
      <c r="S98" s="28">
        <v>556000</v>
      </c>
      <c r="T98" s="33">
        <f t="shared" si="39"/>
        <v>562120</v>
      </c>
      <c r="U98" s="9">
        <f t="shared" si="40"/>
        <v>0</v>
      </c>
      <c r="V98" s="33">
        <f t="shared" si="41"/>
        <v>577216</v>
      </c>
      <c r="W98" s="33">
        <f t="shared" si="42"/>
        <v>0</v>
      </c>
      <c r="X98" s="33">
        <v>0</v>
      </c>
      <c r="Y98" s="113">
        <f t="shared" si="43"/>
        <v>577216</v>
      </c>
      <c r="Z98" s="155">
        <f t="shared" si="44"/>
        <v>20.94282347883912</v>
      </c>
      <c r="AA98" s="33">
        <f t="shared" si="45"/>
        <v>2797879</v>
      </c>
      <c r="AB98" s="114">
        <f t="shared" si="46"/>
        <v>101.51396706285155</v>
      </c>
      <c r="AC98" s="28">
        <f t="shared" si="47"/>
        <v>84762.990000000224</v>
      </c>
      <c r="AD98" s="28">
        <f t="shared" si="48"/>
        <v>21216</v>
      </c>
      <c r="AE98" s="28">
        <f t="shared" si="49"/>
        <v>94889.440250000043</v>
      </c>
      <c r="AF98" s="115">
        <f t="shared" si="50"/>
        <v>3.4428234788391201</v>
      </c>
      <c r="AG98" s="28">
        <f t="shared" si="51"/>
        <v>13510.55</v>
      </c>
      <c r="AI98" s="28">
        <f t="shared" si="52"/>
        <v>0</v>
      </c>
      <c r="AJ98" s="28"/>
      <c r="AK98" s="28">
        <f t="shared" si="53"/>
        <v>104</v>
      </c>
      <c r="AL98" s="156"/>
      <c r="AM98" s="6">
        <f t="shared" si="54"/>
        <v>91</v>
      </c>
      <c r="AN98" s="6" t="str">
        <f t="shared" si="55"/>
        <v xml:space="preserve">Erving                       </v>
      </c>
      <c r="AO98" s="6">
        <f t="shared" si="56"/>
        <v>1</v>
      </c>
      <c r="AP98" s="9">
        <f t="shared" si="61"/>
        <v>204</v>
      </c>
      <c r="AQ98" s="9">
        <f t="shared" si="57"/>
        <v>2756151.77</v>
      </c>
      <c r="AR98" s="33">
        <f t="shared" si="58"/>
        <v>2220663</v>
      </c>
      <c r="AS98" s="33">
        <f t="shared" si="59"/>
        <v>577216</v>
      </c>
      <c r="AU98" s="28"/>
      <c r="AV98" s="9"/>
      <c r="AW98" s="519"/>
    </row>
    <row r="99" spans="1:49">
      <c r="A99" s="6">
        <v>92</v>
      </c>
      <c r="B99" s="6" t="s">
        <v>1211</v>
      </c>
      <c r="C99" s="7">
        <v>0</v>
      </c>
      <c r="D99" s="9">
        <v>0</v>
      </c>
      <c r="E99" s="9">
        <v>0</v>
      </c>
      <c r="F99" s="9">
        <v>0</v>
      </c>
      <c r="G99" s="348"/>
      <c r="H99" s="111">
        <f t="shared" si="60"/>
        <v>0</v>
      </c>
      <c r="I99" s="9">
        <f t="shared" si="31"/>
        <v>0</v>
      </c>
      <c r="J99" s="33">
        <f t="shared" si="32"/>
        <v>0</v>
      </c>
      <c r="K99" s="9">
        <f t="shared" si="33"/>
        <v>0</v>
      </c>
      <c r="L99" s="112">
        <f t="shared" si="34"/>
        <v>0</v>
      </c>
      <c r="M99" s="458">
        <f>ROUND(100-'Townwide Contributions'!L98,2)</f>
        <v>17.5</v>
      </c>
      <c r="N99" s="9">
        <v>0</v>
      </c>
      <c r="O99" s="9">
        <f t="shared" si="35"/>
        <v>0</v>
      </c>
      <c r="P99" s="9">
        <f t="shared" si="36"/>
        <v>0</v>
      </c>
      <c r="Q99" s="28">
        <f t="shared" si="37"/>
        <v>0</v>
      </c>
      <c r="R99" s="382">
        <f t="shared" si="38"/>
        <v>0</v>
      </c>
      <c r="S99" s="28">
        <v>0</v>
      </c>
      <c r="T99" s="33">
        <f t="shared" si="39"/>
        <v>0</v>
      </c>
      <c r="U99" s="9">
        <f t="shared" si="40"/>
        <v>0</v>
      </c>
      <c r="V99" s="33">
        <f t="shared" si="41"/>
        <v>0</v>
      </c>
      <c r="W99" s="33">
        <f t="shared" si="42"/>
        <v>0</v>
      </c>
      <c r="X99" s="33">
        <v>0</v>
      </c>
      <c r="Y99" s="113">
        <f t="shared" si="43"/>
        <v>0</v>
      </c>
      <c r="Z99" s="155">
        <f t="shared" si="44"/>
        <v>0</v>
      </c>
      <c r="AA99" s="33">
        <f t="shared" si="45"/>
        <v>0</v>
      </c>
      <c r="AB99" s="114">
        <f t="shared" si="46"/>
        <v>0</v>
      </c>
      <c r="AC99" s="28">
        <f t="shared" si="47"/>
        <v>0</v>
      </c>
      <c r="AD99" s="28">
        <f t="shared" si="48"/>
        <v>0</v>
      </c>
      <c r="AE99" s="28">
        <f t="shared" si="49"/>
        <v>0</v>
      </c>
      <c r="AF99" s="115" t="str">
        <f t="shared" si="50"/>
        <v/>
      </c>
      <c r="AG99" s="28">
        <f t="shared" si="51"/>
        <v>0</v>
      </c>
      <c r="AI99" s="28">
        <f t="shared" si="52"/>
        <v>0</v>
      </c>
      <c r="AJ99" s="28"/>
      <c r="AK99" s="28">
        <f t="shared" si="53"/>
        <v>0</v>
      </c>
      <c r="AL99" s="156"/>
      <c r="AM99" s="6">
        <f t="shared" si="54"/>
        <v>92</v>
      </c>
      <c r="AN99" s="6" t="str">
        <f t="shared" si="55"/>
        <v xml:space="preserve">Essex                        </v>
      </c>
      <c r="AO99" s="6">
        <f t="shared" si="56"/>
        <v>0</v>
      </c>
      <c r="AP99" s="9">
        <f t="shared" si="61"/>
        <v>0</v>
      </c>
      <c r="AQ99" s="9">
        <f t="shared" si="57"/>
        <v>0</v>
      </c>
      <c r="AR99" s="33">
        <f t="shared" si="58"/>
        <v>0</v>
      </c>
      <c r="AS99" s="33">
        <f t="shared" si="59"/>
        <v>0</v>
      </c>
      <c r="AU99" s="28"/>
      <c r="AW99" s="519"/>
    </row>
    <row r="100" spans="1:49">
      <c r="A100" s="6">
        <v>93</v>
      </c>
      <c r="B100" s="6" t="s">
        <v>1212</v>
      </c>
      <c r="C100" s="7">
        <v>1</v>
      </c>
      <c r="D100" s="9">
        <v>152643280.48403001</v>
      </c>
      <c r="E100" s="9">
        <v>40961068</v>
      </c>
      <c r="F100" s="9">
        <v>111682212</v>
      </c>
      <c r="G100" s="348"/>
      <c r="H100" s="111">
        <f t="shared" si="60"/>
        <v>111682212</v>
      </c>
      <c r="I100" s="9">
        <f t="shared" si="31"/>
        <v>161811104.85304004</v>
      </c>
      <c r="J100" s="33">
        <f t="shared" si="32"/>
        <v>43738229</v>
      </c>
      <c r="K100" s="9">
        <f t="shared" si="33"/>
        <v>118072876</v>
      </c>
      <c r="L100" s="112">
        <f t="shared" si="34"/>
        <v>6390664</v>
      </c>
      <c r="M100" s="458">
        <f>ROUND(100-'Townwide Contributions'!L99,2)</f>
        <v>65.92</v>
      </c>
      <c r="N100" s="9">
        <v>7937</v>
      </c>
      <c r="O100" s="9">
        <f t="shared" si="35"/>
        <v>8020</v>
      </c>
      <c r="P100" s="9">
        <f t="shared" si="36"/>
        <v>1</v>
      </c>
      <c r="Q100" s="28">
        <f t="shared" si="37"/>
        <v>834080</v>
      </c>
      <c r="R100" s="382">
        <f t="shared" si="38"/>
        <v>0</v>
      </c>
      <c r="S100" s="28">
        <v>111682212</v>
      </c>
      <c r="T100" s="33">
        <f t="shared" si="39"/>
        <v>111922812</v>
      </c>
      <c r="U100" s="9">
        <f t="shared" si="40"/>
        <v>0</v>
      </c>
      <c r="V100" s="33">
        <f t="shared" si="41"/>
        <v>118072876</v>
      </c>
      <c r="W100" s="33">
        <f t="shared" si="42"/>
        <v>0</v>
      </c>
      <c r="X100" s="33">
        <v>0</v>
      </c>
      <c r="Y100" s="113">
        <f t="shared" si="43"/>
        <v>118072876</v>
      </c>
      <c r="Z100" s="155">
        <f t="shared" si="44"/>
        <v>72.969575300308378</v>
      </c>
      <c r="AA100" s="33">
        <f t="shared" si="45"/>
        <v>161811105</v>
      </c>
      <c r="AB100" s="114">
        <f t="shared" si="46"/>
        <v>100.00000009082193</v>
      </c>
      <c r="AC100" s="28">
        <f t="shared" si="47"/>
        <v>9167824.3690100312</v>
      </c>
      <c r="AD100" s="28">
        <f t="shared" si="48"/>
        <v>6390664</v>
      </c>
      <c r="AE100" s="28">
        <f t="shared" si="49"/>
        <v>11406995.680876002</v>
      </c>
      <c r="AF100" s="115">
        <f t="shared" si="50"/>
        <v>7.0495753003083763</v>
      </c>
      <c r="AG100" s="28">
        <f t="shared" si="51"/>
        <v>20175.95</v>
      </c>
      <c r="AI100" s="28">
        <f t="shared" si="52"/>
        <v>0</v>
      </c>
      <c r="AJ100" s="28"/>
      <c r="AK100" s="28">
        <f t="shared" si="53"/>
        <v>796.84089775561097</v>
      </c>
      <c r="AL100" s="156"/>
      <c r="AM100" s="6">
        <f t="shared" si="54"/>
        <v>93</v>
      </c>
      <c r="AN100" s="6" t="str">
        <f t="shared" si="55"/>
        <v xml:space="preserve">Everett                      </v>
      </c>
      <c r="AO100" s="6">
        <f t="shared" si="56"/>
        <v>1</v>
      </c>
      <c r="AP100" s="9">
        <f t="shared" si="61"/>
        <v>8020</v>
      </c>
      <c r="AQ100" s="9">
        <f t="shared" si="57"/>
        <v>161811104.85304004</v>
      </c>
      <c r="AR100" s="33">
        <f t="shared" si="58"/>
        <v>43738229</v>
      </c>
      <c r="AS100" s="33">
        <f t="shared" si="59"/>
        <v>118072876</v>
      </c>
      <c r="AU100" s="28"/>
      <c r="AV100" s="9"/>
      <c r="AW100" s="519"/>
    </row>
    <row r="101" spans="1:49">
      <c r="A101" s="6">
        <v>94</v>
      </c>
      <c r="B101" s="6" t="s">
        <v>1213</v>
      </c>
      <c r="C101" s="7">
        <v>1</v>
      </c>
      <c r="D101" s="9">
        <v>23768492.649999999</v>
      </c>
      <c r="E101" s="9">
        <v>14136790</v>
      </c>
      <c r="F101" s="9">
        <v>9631703</v>
      </c>
      <c r="G101" s="348"/>
      <c r="H101" s="111">
        <f t="shared" si="60"/>
        <v>9631703</v>
      </c>
      <c r="I101" s="9">
        <f t="shared" si="31"/>
        <v>23598054.430000003</v>
      </c>
      <c r="J101" s="33">
        <f t="shared" si="32"/>
        <v>14889430</v>
      </c>
      <c r="K101" s="9">
        <f t="shared" si="33"/>
        <v>8708624</v>
      </c>
      <c r="L101" s="112">
        <f t="shared" si="34"/>
        <v>0</v>
      </c>
      <c r="M101" s="458">
        <f>ROUND(100-'Townwide Contributions'!L100,2)</f>
        <v>26.52</v>
      </c>
      <c r="N101" s="9">
        <v>1659</v>
      </c>
      <c r="O101" s="9">
        <f t="shared" si="35"/>
        <v>1595</v>
      </c>
      <c r="P101" s="9">
        <f t="shared" si="36"/>
        <v>0</v>
      </c>
      <c r="Q101" s="28">
        <f t="shared" si="37"/>
        <v>165880</v>
      </c>
      <c r="R101" s="382">
        <f t="shared" si="38"/>
        <v>165880</v>
      </c>
      <c r="S101" s="28">
        <v>9631703</v>
      </c>
      <c r="T101" s="33">
        <f t="shared" si="39"/>
        <v>9679553</v>
      </c>
      <c r="U101" s="9">
        <f t="shared" si="40"/>
        <v>0</v>
      </c>
      <c r="V101" s="33">
        <f t="shared" si="41"/>
        <v>9797583</v>
      </c>
      <c r="W101" s="33">
        <f t="shared" si="42"/>
        <v>0</v>
      </c>
      <c r="X101" s="33">
        <v>0</v>
      </c>
      <c r="Y101" s="113">
        <f t="shared" si="43"/>
        <v>9797583</v>
      </c>
      <c r="Z101" s="155">
        <f t="shared" si="44"/>
        <v>41.51860497255408</v>
      </c>
      <c r="AA101" s="33">
        <f t="shared" si="45"/>
        <v>24687013</v>
      </c>
      <c r="AB101" s="114">
        <f t="shared" si="46"/>
        <v>104.61461165466088</v>
      </c>
      <c r="AC101" s="28">
        <f t="shared" si="47"/>
        <v>-170438.21999999508</v>
      </c>
      <c r="AD101" s="28">
        <f t="shared" si="48"/>
        <v>165880</v>
      </c>
      <c r="AE101" s="28">
        <f t="shared" si="49"/>
        <v>3539378.9651639992</v>
      </c>
      <c r="AF101" s="115">
        <f t="shared" si="50"/>
        <v>14.99860497255408</v>
      </c>
      <c r="AG101" s="28">
        <f t="shared" si="51"/>
        <v>14795.02</v>
      </c>
      <c r="AI101" s="28">
        <f t="shared" si="52"/>
        <v>0</v>
      </c>
      <c r="AJ101" s="28"/>
      <c r="AK101" s="28">
        <f t="shared" si="53"/>
        <v>104</v>
      </c>
      <c r="AL101" s="156"/>
      <c r="AM101" s="6">
        <f t="shared" si="54"/>
        <v>94</v>
      </c>
      <c r="AN101" s="6" t="str">
        <f t="shared" si="55"/>
        <v xml:space="preserve">Fairhaven                    </v>
      </c>
      <c r="AO101" s="6">
        <f t="shared" si="56"/>
        <v>1</v>
      </c>
      <c r="AP101" s="9">
        <f t="shared" si="61"/>
        <v>1595</v>
      </c>
      <c r="AQ101" s="9">
        <f t="shared" si="57"/>
        <v>23598054.430000003</v>
      </c>
      <c r="AR101" s="33">
        <f t="shared" si="58"/>
        <v>14889430</v>
      </c>
      <c r="AS101" s="33">
        <f t="shared" si="59"/>
        <v>9797583</v>
      </c>
      <c r="AU101" s="28"/>
      <c r="AV101" s="9"/>
      <c r="AW101" s="519"/>
    </row>
    <row r="102" spans="1:49">
      <c r="A102" s="6">
        <v>95</v>
      </c>
      <c r="B102" s="6" t="s">
        <v>1214</v>
      </c>
      <c r="C102" s="7">
        <v>1</v>
      </c>
      <c r="D102" s="9">
        <v>226544925.61000004</v>
      </c>
      <c r="E102" s="9">
        <v>38520449</v>
      </c>
      <c r="F102" s="9">
        <v>188024477</v>
      </c>
      <c r="G102" s="348"/>
      <c r="H102" s="111">
        <f t="shared" si="60"/>
        <v>188024477</v>
      </c>
      <c r="I102" s="9">
        <f t="shared" si="31"/>
        <v>243053149.76999998</v>
      </c>
      <c r="J102" s="33">
        <f t="shared" si="32"/>
        <v>40721548</v>
      </c>
      <c r="K102" s="9">
        <f t="shared" si="33"/>
        <v>202331602</v>
      </c>
      <c r="L102" s="112">
        <f t="shared" si="34"/>
        <v>14307125</v>
      </c>
      <c r="M102" s="458">
        <f>ROUND(100-'Townwide Contributions'!L101,2)</f>
        <v>77.72</v>
      </c>
      <c r="N102" s="9">
        <v>12238</v>
      </c>
      <c r="O102" s="9">
        <f t="shared" si="35"/>
        <v>12433</v>
      </c>
      <c r="P102" s="9">
        <f t="shared" si="36"/>
        <v>1</v>
      </c>
      <c r="Q102" s="28">
        <f t="shared" si="37"/>
        <v>1293032</v>
      </c>
      <c r="R102" s="382">
        <f t="shared" si="38"/>
        <v>0</v>
      </c>
      <c r="S102" s="28">
        <v>188024477</v>
      </c>
      <c r="T102" s="33">
        <f t="shared" si="39"/>
        <v>188397467</v>
      </c>
      <c r="U102" s="9">
        <f t="shared" si="40"/>
        <v>0</v>
      </c>
      <c r="V102" s="33">
        <f t="shared" si="41"/>
        <v>202331602</v>
      </c>
      <c r="W102" s="33">
        <f t="shared" si="42"/>
        <v>0</v>
      </c>
      <c r="X102" s="33">
        <v>0</v>
      </c>
      <c r="Y102" s="113">
        <f t="shared" si="43"/>
        <v>202331602</v>
      </c>
      <c r="Z102" s="155">
        <f t="shared" si="44"/>
        <v>83.245825940320216</v>
      </c>
      <c r="AA102" s="33">
        <f t="shared" si="45"/>
        <v>243053150</v>
      </c>
      <c r="AB102" s="114">
        <f t="shared" si="46"/>
        <v>100.00000009462951</v>
      </c>
      <c r="AC102" s="28">
        <f t="shared" si="47"/>
        <v>16508224.159999937</v>
      </c>
      <c r="AD102" s="28">
        <f t="shared" si="48"/>
        <v>14307125</v>
      </c>
      <c r="AE102" s="28">
        <f t="shared" si="49"/>
        <v>13430693.998756021</v>
      </c>
      <c r="AF102" s="115">
        <f t="shared" si="50"/>
        <v>5.5258259403202175</v>
      </c>
      <c r="AG102" s="28">
        <f t="shared" si="51"/>
        <v>19549.03</v>
      </c>
      <c r="AI102" s="28">
        <f t="shared" si="52"/>
        <v>0</v>
      </c>
      <c r="AJ102" s="28"/>
      <c r="AK102" s="28">
        <f t="shared" si="53"/>
        <v>1150.7379554411646</v>
      </c>
      <c r="AL102" s="156"/>
      <c r="AM102" s="6">
        <f t="shared" si="54"/>
        <v>95</v>
      </c>
      <c r="AN102" s="6" t="str">
        <f t="shared" si="55"/>
        <v xml:space="preserve">Fall River                   </v>
      </c>
      <c r="AO102" s="6">
        <f t="shared" si="56"/>
        <v>1</v>
      </c>
      <c r="AP102" s="9">
        <f t="shared" si="61"/>
        <v>12433</v>
      </c>
      <c r="AQ102" s="9">
        <f t="shared" si="57"/>
        <v>243053149.76999998</v>
      </c>
      <c r="AR102" s="33">
        <f t="shared" si="58"/>
        <v>40721548</v>
      </c>
      <c r="AS102" s="33">
        <f t="shared" si="59"/>
        <v>202331602</v>
      </c>
      <c r="AU102" s="28"/>
      <c r="AV102" s="9"/>
      <c r="AW102" s="519"/>
    </row>
    <row r="103" spans="1:49">
      <c r="A103" s="6">
        <v>96</v>
      </c>
      <c r="B103" s="6" t="s">
        <v>1215</v>
      </c>
      <c r="C103" s="7">
        <v>1</v>
      </c>
      <c r="D103" s="9">
        <v>42847018.859999999</v>
      </c>
      <c r="E103" s="9">
        <v>33524110</v>
      </c>
      <c r="F103" s="9">
        <v>9322909</v>
      </c>
      <c r="G103" s="348"/>
      <c r="H103" s="111">
        <f t="shared" si="60"/>
        <v>9322909</v>
      </c>
      <c r="I103" s="9">
        <f t="shared" si="31"/>
        <v>43218462.880000003</v>
      </c>
      <c r="J103" s="33">
        <f t="shared" si="32"/>
        <v>35655232</v>
      </c>
      <c r="K103" s="9">
        <f t="shared" si="33"/>
        <v>7563231</v>
      </c>
      <c r="L103" s="112">
        <f t="shared" si="34"/>
        <v>0</v>
      </c>
      <c r="M103" s="458">
        <f>ROUND(100-'Townwide Contributions'!L102,2)</f>
        <v>17.5</v>
      </c>
      <c r="N103" s="9">
        <v>2959</v>
      </c>
      <c r="O103" s="9">
        <f t="shared" si="35"/>
        <v>2870</v>
      </c>
      <c r="P103" s="9">
        <f t="shared" si="36"/>
        <v>0</v>
      </c>
      <c r="Q103" s="28">
        <f t="shared" si="37"/>
        <v>298480</v>
      </c>
      <c r="R103" s="382">
        <f t="shared" si="38"/>
        <v>298480</v>
      </c>
      <c r="S103" s="28">
        <v>9322909</v>
      </c>
      <c r="T103" s="33">
        <f t="shared" si="39"/>
        <v>9409009</v>
      </c>
      <c r="U103" s="9">
        <f t="shared" si="40"/>
        <v>0</v>
      </c>
      <c r="V103" s="33">
        <f t="shared" si="41"/>
        <v>9621389</v>
      </c>
      <c r="W103" s="33">
        <f t="shared" si="42"/>
        <v>0</v>
      </c>
      <c r="X103" s="33">
        <v>0</v>
      </c>
      <c r="Y103" s="113">
        <f t="shared" si="43"/>
        <v>9621389</v>
      </c>
      <c r="Z103" s="155">
        <f t="shared" si="44"/>
        <v>22.262219336015406</v>
      </c>
      <c r="AA103" s="33">
        <f t="shared" si="45"/>
        <v>45276621</v>
      </c>
      <c r="AB103" s="114">
        <f t="shared" si="46"/>
        <v>104.76221962292982</v>
      </c>
      <c r="AC103" s="28">
        <f t="shared" si="47"/>
        <v>371444.02000000328</v>
      </c>
      <c r="AD103" s="28">
        <f t="shared" si="48"/>
        <v>298480</v>
      </c>
      <c r="AE103" s="28">
        <f t="shared" si="49"/>
        <v>2058157.9960000003</v>
      </c>
      <c r="AF103" s="115">
        <f t="shared" si="50"/>
        <v>4.7622193360154057</v>
      </c>
      <c r="AG103" s="28">
        <f t="shared" si="51"/>
        <v>15058.7</v>
      </c>
      <c r="AI103" s="28">
        <f t="shared" si="52"/>
        <v>0</v>
      </c>
      <c r="AJ103" s="28"/>
      <c r="AK103" s="28">
        <f t="shared" si="53"/>
        <v>104</v>
      </c>
      <c r="AL103" s="156"/>
      <c r="AM103" s="6">
        <f t="shared" si="54"/>
        <v>96</v>
      </c>
      <c r="AN103" s="6" t="str">
        <f t="shared" si="55"/>
        <v xml:space="preserve">Falmouth                     </v>
      </c>
      <c r="AO103" s="6">
        <f t="shared" si="56"/>
        <v>1</v>
      </c>
      <c r="AP103" s="9">
        <f t="shared" si="61"/>
        <v>2870</v>
      </c>
      <c r="AQ103" s="9">
        <f t="shared" si="57"/>
        <v>43218462.880000003</v>
      </c>
      <c r="AR103" s="33">
        <f t="shared" si="58"/>
        <v>35655232</v>
      </c>
      <c r="AS103" s="33">
        <f t="shared" si="59"/>
        <v>9621389</v>
      </c>
      <c r="AU103" s="28"/>
      <c r="AV103" s="9"/>
      <c r="AW103" s="519"/>
    </row>
    <row r="104" spans="1:49">
      <c r="A104" s="6">
        <v>97</v>
      </c>
      <c r="B104" s="6" t="s">
        <v>1216</v>
      </c>
      <c r="C104" s="7">
        <v>1</v>
      </c>
      <c r="D104" s="9">
        <v>96678430.429999992</v>
      </c>
      <c r="E104" s="9">
        <v>21950317</v>
      </c>
      <c r="F104" s="9">
        <v>74728113</v>
      </c>
      <c r="G104" s="348"/>
      <c r="H104" s="111">
        <f t="shared" si="60"/>
        <v>74728113</v>
      </c>
      <c r="I104" s="9">
        <f t="shared" si="31"/>
        <v>101071841.39</v>
      </c>
      <c r="J104" s="33">
        <f t="shared" si="32"/>
        <v>23118748</v>
      </c>
      <c r="K104" s="9">
        <f t="shared" si="33"/>
        <v>77953093</v>
      </c>
      <c r="L104" s="112">
        <f t="shared" si="34"/>
        <v>3224980</v>
      </c>
      <c r="M104" s="458">
        <f>ROUND(100-'Townwide Contributions'!L103,2)</f>
        <v>72.91</v>
      </c>
      <c r="N104" s="9">
        <v>5661</v>
      </c>
      <c r="O104" s="9">
        <f t="shared" si="35"/>
        <v>5623</v>
      </c>
      <c r="P104" s="9">
        <f t="shared" si="36"/>
        <v>1</v>
      </c>
      <c r="Q104" s="28">
        <f t="shared" si="37"/>
        <v>584792</v>
      </c>
      <c r="R104" s="382">
        <f t="shared" si="38"/>
        <v>0</v>
      </c>
      <c r="S104" s="28">
        <v>74728113</v>
      </c>
      <c r="T104" s="33">
        <f t="shared" si="39"/>
        <v>74896803</v>
      </c>
      <c r="U104" s="9">
        <f t="shared" si="40"/>
        <v>0</v>
      </c>
      <c r="V104" s="33">
        <f t="shared" si="41"/>
        <v>77953093</v>
      </c>
      <c r="W104" s="33">
        <f t="shared" si="42"/>
        <v>0</v>
      </c>
      <c r="X104" s="33">
        <v>0</v>
      </c>
      <c r="Y104" s="113">
        <f t="shared" si="43"/>
        <v>77953093</v>
      </c>
      <c r="Z104" s="155">
        <f t="shared" si="44"/>
        <v>77.126420106671418</v>
      </c>
      <c r="AA104" s="33">
        <f t="shared" si="45"/>
        <v>101071841</v>
      </c>
      <c r="AB104" s="114">
        <f t="shared" si="46"/>
        <v>99.999999614135845</v>
      </c>
      <c r="AC104" s="28">
        <f t="shared" si="47"/>
        <v>4393410.9600000083</v>
      </c>
      <c r="AD104" s="28">
        <f t="shared" si="48"/>
        <v>3224980</v>
      </c>
      <c r="AE104" s="28">
        <f t="shared" si="49"/>
        <v>4261613.4425510019</v>
      </c>
      <c r="AF104" s="115">
        <f t="shared" si="50"/>
        <v>4.2164201066714213</v>
      </c>
      <c r="AG104" s="28">
        <f t="shared" si="51"/>
        <v>17974.72</v>
      </c>
      <c r="AI104" s="28">
        <f t="shared" si="52"/>
        <v>0</v>
      </c>
      <c r="AJ104" s="28"/>
      <c r="AK104" s="28">
        <f t="shared" si="53"/>
        <v>573.53370087142093</v>
      </c>
      <c r="AL104" s="156"/>
      <c r="AM104" s="6">
        <f t="shared" si="54"/>
        <v>97</v>
      </c>
      <c r="AN104" s="6" t="str">
        <f t="shared" si="55"/>
        <v xml:space="preserve">Fitchburg                    </v>
      </c>
      <c r="AO104" s="6">
        <f t="shared" si="56"/>
        <v>1</v>
      </c>
      <c r="AP104" s="9">
        <f t="shared" si="61"/>
        <v>5623</v>
      </c>
      <c r="AQ104" s="9">
        <f t="shared" si="57"/>
        <v>101071841.39</v>
      </c>
      <c r="AR104" s="33">
        <f t="shared" si="58"/>
        <v>23118748</v>
      </c>
      <c r="AS104" s="33">
        <f t="shared" si="59"/>
        <v>77953093</v>
      </c>
      <c r="AU104" s="28"/>
      <c r="AV104" s="9"/>
      <c r="AW104" s="519"/>
    </row>
    <row r="105" spans="1:49">
      <c r="A105" s="6">
        <v>98</v>
      </c>
      <c r="B105" s="6" t="s">
        <v>1217</v>
      </c>
      <c r="C105" s="7">
        <v>1</v>
      </c>
      <c r="D105" s="9">
        <v>917915.93000000017</v>
      </c>
      <c r="E105" s="9">
        <v>425391</v>
      </c>
      <c r="F105" s="9">
        <v>559717</v>
      </c>
      <c r="G105" s="348"/>
      <c r="H105" s="111">
        <f t="shared" si="60"/>
        <v>559717</v>
      </c>
      <c r="I105" s="9">
        <f t="shared" si="31"/>
        <v>865066.34</v>
      </c>
      <c r="J105" s="33">
        <f t="shared" si="32"/>
        <v>439942</v>
      </c>
      <c r="K105" s="9">
        <f t="shared" si="33"/>
        <v>425124</v>
      </c>
      <c r="L105" s="112">
        <f t="shared" si="34"/>
        <v>0</v>
      </c>
      <c r="M105" s="458">
        <f>ROUND(100-'Townwide Contributions'!L104,2)</f>
        <v>38.58</v>
      </c>
      <c r="N105" s="9">
        <v>57</v>
      </c>
      <c r="O105" s="9">
        <f t="shared" si="35"/>
        <v>55</v>
      </c>
      <c r="P105" s="9">
        <f t="shared" si="36"/>
        <v>0</v>
      </c>
      <c r="Q105" s="28">
        <f t="shared" si="37"/>
        <v>5720</v>
      </c>
      <c r="R105" s="382">
        <f t="shared" si="38"/>
        <v>5720</v>
      </c>
      <c r="S105" s="28">
        <v>559717</v>
      </c>
      <c r="T105" s="33">
        <f t="shared" si="39"/>
        <v>561367</v>
      </c>
      <c r="U105" s="9">
        <f t="shared" si="40"/>
        <v>0</v>
      </c>
      <c r="V105" s="33">
        <f t="shared" si="41"/>
        <v>565437</v>
      </c>
      <c r="W105" s="33">
        <f t="shared" si="42"/>
        <v>0</v>
      </c>
      <c r="X105" s="33">
        <v>0</v>
      </c>
      <c r="Y105" s="113">
        <f t="shared" si="43"/>
        <v>565437</v>
      </c>
      <c r="Z105" s="155">
        <f t="shared" si="44"/>
        <v>65.363426347163156</v>
      </c>
      <c r="AA105" s="33">
        <f t="shared" si="45"/>
        <v>1005379</v>
      </c>
      <c r="AB105" s="114">
        <f t="shared" si="46"/>
        <v>116.21987280189401</v>
      </c>
      <c r="AC105" s="28">
        <f t="shared" si="47"/>
        <v>-52849.5900000002</v>
      </c>
      <c r="AD105" s="28">
        <f t="shared" si="48"/>
        <v>5720</v>
      </c>
      <c r="AE105" s="28">
        <f t="shared" si="49"/>
        <v>231694.40602800006</v>
      </c>
      <c r="AF105" s="115">
        <f t="shared" si="50"/>
        <v>26.783426347163157</v>
      </c>
      <c r="AG105" s="28">
        <f t="shared" si="51"/>
        <v>15728.48</v>
      </c>
      <c r="AI105" s="28">
        <f t="shared" si="52"/>
        <v>0</v>
      </c>
      <c r="AJ105" s="28"/>
      <c r="AK105" s="28">
        <f t="shared" si="53"/>
        <v>104</v>
      </c>
      <c r="AL105" s="156"/>
      <c r="AM105" s="6">
        <f t="shared" si="54"/>
        <v>98</v>
      </c>
      <c r="AN105" s="6" t="str">
        <f t="shared" si="55"/>
        <v xml:space="preserve">Florida                      </v>
      </c>
      <c r="AO105" s="6">
        <f t="shared" si="56"/>
        <v>1</v>
      </c>
      <c r="AP105" s="9">
        <f t="shared" si="61"/>
        <v>55</v>
      </c>
      <c r="AQ105" s="9">
        <f t="shared" si="57"/>
        <v>865066.34</v>
      </c>
      <c r="AR105" s="33">
        <f t="shared" si="58"/>
        <v>439942</v>
      </c>
      <c r="AS105" s="33">
        <f t="shared" si="59"/>
        <v>565437</v>
      </c>
      <c r="AU105" s="28"/>
      <c r="AV105" s="9"/>
      <c r="AW105" s="519"/>
    </row>
    <row r="106" spans="1:49">
      <c r="A106" s="6">
        <v>99</v>
      </c>
      <c r="B106" s="6" t="s">
        <v>1218</v>
      </c>
      <c r="C106" s="7">
        <v>1</v>
      </c>
      <c r="D106" s="9">
        <v>34005786.001159996</v>
      </c>
      <c r="E106" s="9">
        <v>27296530</v>
      </c>
      <c r="F106" s="9">
        <v>9428040</v>
      </c>
      <c r="G106" s="348"/>
      <c r="H106" s="111">
        <f t="shared" si="60"/>
        <v>9428040</v>
      </c>
      <c r="I106" s="9">
        <f t="shared" si="31"/>
        <v>35604499.836640008</v>
      </c>
      <c r="J106" s="33">
        <f t="shared" si="32"/>
        <v>28583943</v>
      </c>
      <c r="K106" s="9">
        <f t="shared" si="33"/>
        <v>7020557</v>
      </c>
      <c r="L106" s="112">
        <f t="shared" si="34"/>
        <v>0</v>
      </c>
      <c r="M106" s="458">
        <f>ROUND(100-'Townwide Contributions'!L105,2)</f>
        <v>17.5</v>
      </c>
      <c r="N106" s="9">
        <v>2537</v>
      </c>
      <c r="O106" s="9">
        <f t="shared" si="35"/>
        <v>2573</v>
      </c>
      <c r="P106" s="9">
        <f t="shared" si="36"/>
        <v>0</v>
      </c>
      <c r="Q106" s="28">
        <f t="shared" si="37"/>
        <v>267592</v>
      </c>
      <c r="R106" s="382">
        <f t="shared" si="38"/>
        <v>267592</v>
      </c>
      <c r="S106" s="28">
        <v>9428040</v>
      </c>
      <c r="T106" s="33">
        <f t="shared" si="39"/>
        <v>9505230</v>
      </c>
      <c r="U106" s="9">
        <f t="shared" si="40"/>
        <v>0</v>
      </c>
      <c r="V106" s="33">
        <f t="shared" si="41"/>
        <v>9695632</v>
      </c>
      <c r="W106" s="33">
        <f t="shared" si="42"/>
        <v>0</v>
      </c>
      <c r="X106" s="33">
        <v>0</v>
      </c>
      <c r="Y106" s="113">
        <f t="shared" si="43"/>
        <v>9695632</v>
      </c>
      <c r="Z106" s="155">
        <f t="shared" si="44"/>
        <v>27.231479291902268</v>
      </c>
      <c r="AA106" s="33">
        <f t="shared" si="45"/>
        <v>38279575</v>
      </c>
      <c r="AB106" s="114">
        <f t="shared" si="46"/>
        <v>107.51330639563461</v>
      </c>
      <c r="AC106" s="28">
        <f t="shared" si="47"/>
        <v>1598713.835480012</v>
      </c>
      <c r="AD106" s="28">
        <f t="shared" si="48"/>
        <v>267592</v>
      </c>
      <c r="AE106" s="28">
        <f t="shared" si="49"/>
        <v>3464844.5285879988</v>
      </c>
      <c r="AF106" s="115">
        <f t="shared" si="50"/>
        <v>9.7314792919022679</v>
      </c>
      <c r="AG106" s="28">
        <f t="shared" si="51"/>
        <v>13837.74</v>
      </c>
      <c r="AI106" s="28">
        <f t="shared" si="52"/>
        <v>0</v>
      </c>
      <c r="AJ106" s="28"/>
      <c r="AK106" s="28">
        <f t="shared" si="53"/>
        <v>104</v>
      </c>
      <c r="AL106" s="156"/>
      <c r="AM106" s="6">
        <f t="shared" si="54"/>
        <v>99</v>
      </c>
      <c r="AN106" s="6" t="str">
        <f t="shared" si="55"/>
        <v xml:space="preserve">Foxborough                   </v>
      </c>
      <c r="AO106" s="6">
        <f t="shared" si="56"/>
        <v>1</v>
      </c>
      <c r="AP106" s="9">
        <f t="shared" si="61"/>
        <v>2573</v>
      </c>
      <c r="AQ106" s="9">
        <f t="shared" si="57"/>
        <v>35604499.836640008</v>
      </c>
      <c r="AR106" s="33">
        <f t="shared" si="58"/>
        <v>28583943</v>
      </c>
      <c r="AS106" s="33">
        <f t="shared" si="59"/>
        <v>9695632</v>
      </c>
      <c r="AU106" s="28"/>
      <c r="AV106" s="9"/>
      <c r="AW106" s="519"/>
    </row>
    <row r="107" spans="1:49">
      <c r="A107" s="6">
        <v>100</v>
      </c>
      <c r="B107" s="6" t="s">
        <v>1219</v>
      </c>
      <c r="C107" s="7">
        <v>1</v>
      </c>
      <c r="D107" s="9">
        <v>159351946.7809</v>
      </c>
      <c r="E107" s="9">
        <v>74355413</v>
      </c>
      <c r="F107" s="9">
        <v>84996534</v>
      </c>
      <c r="G107" s="348"/>
      <c r="H107" s="111">
        <f t="shared" si="60"/>
        <v>84996534</v>
      </c>
      <c r="I107" s="9">
        <f t="shared" si="31"/>
        <v>164084535.65007001</v>
      </c>
      <c r="J107" s="33">
        <f t="shared" si="32"/>
        <v>78033062</v>
      </c>
      <c r="K107" s="9">
        <f t="shared" si="33"/>
        <v>86051474</v>
      </c>
      <c r="L107" s="112">
        <f t="shared" si="34"/>
        <v>1054940</v>
      </c>
      <c r="M107" s="458">
        <f>ROUND(100-'Townwide Contributions'!L106,2)</f>
        <v>45.4</v>
      </c>
      <c r="N107" s="9">
        <v>9759</v>
      </c>
      <c r="O107" s="9">
        <f t="shared" si="35"/>
        <v>9521</v>
      </c>
      <c r="P107" s="9">
        <f t="shared" si="36"/>
        <v>1</v>
      </c>
      <c r="Q107" s="28">
        <f t="shared" si="37"/>
        <v>990184</v>
      </c>
      <c r="R107" s="382">
        <f t="shared" si="38"/>
        <v>0</v>
      </c>
      <c r="S107" s="28">
        <v>84996534</v>
      </c>
      <c r="T107" s="33">
        <f t="shared" si="39"/>
        <v>85282164</v>
      </c>
      <c r="U107" s="9">
        <f t="shared" si="40"/>
        <v>0</v>
      </c>
      <c r="V107" s="33">
        <f t="shared" si="41"/>
        <v>86051474</v>
      </c>
      <c r="W107" s="33">
        <f t="shared" si="42"/>
        <v>0</v>
      </c>
      <c r="X107" s="33">
        <v>-64756</v>
      </c>
      <c r="Y107" s="113">
        <f t="shared" si="43"/>
        <v>85986718</v>
      </c>
      <c r="Z107" s="155">
        <f t="shared" si="44"/>
        <v>52.403913421418949</v>
      </c>
      <c r="AA107" s="33">
        <f t="shared" si="45"/>
        <v>164019780</v>
      </c>
      <c r="AB107" s="114">
        <f t="shared" si="46"/>
        <v>99.960535190099748</v>
      </c>
      <c r="AC107" s="28">
        <f t="shared" si="47"/>
        <v>4732588.8691700101</v>
      </c>
      <c r="AD107" s="28">
        <f t="shared" si="48"/>
        <v>990184</v>
      </c>
      <c r="AE107" s="28">
        <f t="shared" si="49"/>
        <v>11492338.814868227</v>
      </c>
      <c r="AF107" s="115">
        <f t="shared" si="50"/>
        <v>7.0039134214189502</v>
      </c>
      <c r="AG107" s="28">
        <f t="shared" si="51"/>
        <v>17233.96</v>
      </c>
      <c r="AI107" s="28">
        <f t="shared" si="52"/>
        <v>0</v>
      </c>
      <c r="AJ107" s="28"/>
      <c r="AK107" s="28">
        <f t="shared" si="53"/>
        <v>104</v>
      </c>
      <c r="AL107" s="156"/>
      <c r="AM107" s="6">
        <f t="shared" si="54"/>
        <v>100</v>
      </c>
      <c r="AN107" s="6" t="str">
        <f t="shared" si="55"/>
        <v xml:space="preserve">Framingham                   </v>
      </c>
      <c r="AO107" s="6">
        <f t="shared" si="56"/>
        <v>1</v>
      </c>
      <c r="AP107" s="9">
        <f t="shared" si="61"/>
        <v>9521</v>
      </c>
      <c r="AQ107" s="9">
        <f t="shared" si="57"/>
        <v>164084535.65007001</v>
      </c>
      <c r="AR107" s="33">
        <f t="shared" si="58"/>
        <v>78033062</v>
      </c>
      <c r="AS107" s="33">
        <f t="shared" si="59"/>
        <v>85986718</v>
      </c>
      <c r="AU107" s="28"/>
      <c r="AV107" s="9"/>
      <c r="AW107" s="519"/>
    </row>
    <row r="108" spans="1:49">
      <c r="A108" s="6">
        <v>101</v>
      </c>
      <c r="B108" s="6" t="s">
        <v>1220</v>
      </c>
      <c r="C108" s="7">
        <v>1</v>
      </c>
      <c r="D108" s="9">
        <v>65275976.234380007</v>
      </c>
      <c r="E108" s="9">
        <v>47235495</v>
      </c>
      <c r="F108" s="9">
        <v>29191961</v>
      </c>
      <c r="G108" s="348"/>
      <c r="H108" s="111">
        <f t="shared" si="60"/>
        <v>29191961</v>
      </c>
      <c r="I108" s="9">
        <f t="shared" si="31"/>
        <v>66584573.909320004</v>
      </c>
      <c r="J108" s="33">
        <f t="shared" si="32"/>
        <v>49904466</v>
      </c>
      <c r="K108" s="9">
        <f t="shared" si="33"/>
        <v>16680108</v>
      </c>
      <c r="L108" s="112">
        <f t="shared" si="34"/>
        <v>0</v>
      </c>
      <c r="M108" s="458">
        <f>ROUND(100-'Townwide Contributions'!L107,2)</f>
        <v>18.850000000000001</v>
      </c>
      <c r="N108" s="9">
        <v>5104</v>
      </c>
      <c r="O108" s="9">
        <f t="shared" si="35"/>
        <v>5058</v>
      </c>
      <c r="P108" s="9">
        <f t="shared" si="36"/>
        <v>0</v>
      </c>
      <c r="Q108" s="28">
        <f t="shared" si="37"/>
        <v>526032</v>
      </c>
      <c r="R108" s="382">
        <f t="shared" si="38"/>
        <v>526032</v>
      </c>
      <c r="S108" s="28">
        <v>29191961</v>
      </c>
      <c r="T108" s="33">
        <f t="shared" si="39"/>
        <v>29343701</v>
      </c>
      <c r="U108" s="9">
        <f t="shared" si="40"/>
        <v>0</v>
      </c>
      <c r="V108" s="33">
        <f t="shared" si="41"/>
        <v>29717993</v>
      </c>
      <c r="W108" s="33">
        <f t="shared" si="42"/>
        <v>0</v>
      </c>
      <c r="X108" s="33">
        <v>0</v>
      </c>
      <c r="Y108" s="113">
        <f t="shared" si="43"/>
        <v>29717993</v>
      </c>
      <c r="Z108" s="155">
        <f t="shared" si="44"/>
        <v>44.631948896259736</v>
      </c>
      <c r="AA108" s="33">
        <f t="shared" si="45"/>
        <v>79622459</v>
      </c>
      <c r="AB108" s="114">
        <f t="shared" si="46"/>
        <v>119.58093943566567</v>
      </c>
      <c r="AC108" s="28">
        <f t="shared" si="47"/>
        <v>1308597.6749399975</v>
      </c>
      <c r="AD108" s="28">
        <f t="shared" si="48"/>
        <v>526032</v>
      </c>
      <c r="AE108" s="28">
        <f t="shared" si="49"/>
        <v>17166800.818093181</v>
      </c>
      <c r="AF108" s="115">
        <f t="shared" si="50"/>
        <v>25.781948896259735</v>
      </c>
      <c r="AG108" s="28">
        <f t="shared" si="51"/>
        <v>13164.21</v>
      </c>
      <c r="AI108" s="28">
        <f t="shared" si="52"/>
        <v>0</v>
      </c>
      <c r="AJ108" s="28"/>
      <c r="AK108" s="28">
        <f t="shared" si="53"/>
        <v>104</v>
      </c>
      <c r="AL108" s="156"/>
      <c r="AM108" s="6">
        <f t="shared" si="54"/>
        <v>101</v>
      </c>
      <c r="AN108" s="6" t="str">
        <f t="shared" si="55"/>
        <v xml:space="preserve">Franklin                     </v>
      </c>
      <c r="AO108" s="6">
        <f t="shared" si="56"/>
        <v>1</v>
      </c>
      <c r="AP108" s="9">
        <f t="shared" si="61"/>
        <v>5058</v>
      </c>
      <c r="AQ108" s="9">
        <f t="shared" si="57"/>
        <v>66584573.909320004</v>
      </c>
      <c r="AR108" s="33">
        <f t="shared" si="58"/>
        <v>49904466</v>
      </c>
      <c r="AS108" s="33">
        <f t="shared" si="59"/>
        <v>29717993</v>
      </c>
      <c r="AU108" s="28"/>
      <c r="AV108" s="9"/>
      <c r="AW108" s="519"/>
    </row>
    <row r="109" spans="1:49">
      <c r="A109" s="6">
        <v>102</v>
      </c>
      <c r="B109" s="6" t="s">
        <v>1221</v>
      </c>
      <c r="C109" s="7">
        <v>0</v>
      </c>
      <c r="D109" s="9">
        <v>966323.64</v>
      </c>
      <c r="E109" s="9">
        <v>674176</v>
      </c>
      <c r="F109" s="9">
        <v>461524</v>
      </c>
      <c r="G109" s="348"/>
      <c r="H109" s="111">
        <f>F109-123910</f>
        <v>337614</v>
      </c>
      <c r="I109" s="9">
        <f t="shared" si="31"/>
        <v>16860.330000000002</v>
      </c>
      <c r="J109" s="33">
        <f t="shared" si="32"/>
        <v>12290</v>
      </c>
      <c r="K109" s="9">
        <f t="shared" si="33"/>
        <v>4570</v>
      </c>
      <c r="L109" s="112">
        <f t="shared" si="34"/>
        <v>0</v>
      </c>
      <c r="M109" s="458">
        <f>ROUND(100-'Townwide Contributions'!L108,2)</f>
        <v>21.32</v>
      </c>
      <c r="N109" s="9">
        <v>53</v>
      </c>
      <c r="O109" s="9">
        <f t="shared" si="35"/>
        <v>1</v>
      </c>
      <c r="P109" s="9">
        <f t="shared" si="36"/>
        <v>0</v>
      </c>
      <c r="Q109" s="28">
        <f t="shared" si="37"/>
        <v>0</v>
      </c>
      <c r="R109" s="382">
        <f t="shared" si="38"/>
        <v>0</v>
      </c>
      <c r="S109" s="28">
        <v>16451.539999999979</v>
      </c>
      <c r="T109" s="33">
        <f t="shared" si="39"/>
        <v>16481.539999999979</v>
      </c>
      <c r="U109" s="9">
        <f t="shared" si="40"/>
        <v>0</v>
      </c>
      <c r="V109" s="33">
        <f t="shared" si="41"/>
        <v>337614</v>
      </c>
      <c r="W109" s="33">
        <f t="shared" si="42"/>
        <v>320753.67</v>
      </c>
      <c r="X109" s="33">
        <v>0</v>
      </c>
      <c r="Y109" s="113">
        <f t="shared" si="43"/>
        <v>16860.330000000016</v>
      </c>
      <c r="Z109" s="155">
        <f t="shared" si="44"/>
        <v>0</v>
      </c>
      <c r="AA109" s="33">
        <f t="shared" si="45"/>
        <v>29150.330000000016</v>
      </c>
      <c r="AB109" s="114">
        <f t="shared" si="46"/>
        <v>172.89299794250775</v>
      </c>
      <c r="AC109" s="28">
        <f t="shared" si="47"/>
        <v>-949463.31</v>
      </c>
      <c r="AD109" s="28">
        <f t="shared" si="48"/>
        <v>-444663.67</v>
      </c>
      <c r="AE109" s="28">
        <f t="shared" si="49"/>
        <v>13265.707644000016</v>
      </c>
      <c r="AF109" s="115" t="str">
        <f t="shared" si="50"/>
        <v/>
      </c>
      <c r="AG109" s="28">
        <f t="shared" si="51"/>
        <v>16860.330000000002</v>
      </c>
      <c r="AI109" s="28">
        <f t="shared" si="52"/>
        <v>0</v>
      </c>
      <c r="AJ109" s="28"/>
      <c r="AK109" s="28">
        <f t="shared" si="53"/>
        <v>-444663.67</v>
      </c>
      <c r="AL109" s="156"/>
      <c r="AM109" s="6">
        <f t="shared" si="54"/>
        <v>102</v>
      </c>
      <c r="AN109" s="6" t="str">
        <f t="shared" si="55"/>
        <v xml:space="preserve">Freetown                     </v>
      </c>
      <c r="AO109" s="6">
        <f t="shared" si="56"/>
        <v>0</v>
      </c>
      <c r="AP109" s="9">
        <f t="shared" si="61"/>
        <v>1</v>
      </c>
      <c r="AQ109" s="9">
        <f t="shared" si="57"/>
        <v>16860.330000000002</v>
      </c>
      <c r="AR109" s="33">
        <f t="shared" si="58"/>
        <v>12290</v>
      </c>
      <c r="AS109" s="33">
        <f t="shared" si="59"/>
        <v>16860.330000000016</v>
      </c>
      <c r="AU109" s="28"/>
      <c r="AV109" s="9"/>
      <c r="AW109" s="519"/>
    </row>
    <row r="110" spans="1:49">
      <c r="A110" s="6">
        <v>103</v>
      </c>
      <c r="B110" s="6" t="s">
        <v>1222</v>
      </c>
      <c r="C110" s="7">
        <v>1</v>
      </c>
      <c r="D110" s="9">
        <v>38690363.829999998</v>
      </c>
      <c r="E110" s="9">
        <v>11262118</v>
      </c>
      <c r="F110" s="9">
        <v>27428246</v>
      </c>
      <c r="G110" s="348"/>
      <c r="H110" s="111">
        <f t="shared" si="60"/>
        <v>27428246</v>
      </c>
      <c r="I110" s="9">
        <f t="shared" si="31"/>
        <v>41586508.200000003</v>
      </c>
      <c r="J110" s="33">
        <f t="shared" si="32"/>
        <v>11909298</v>
      </c>
      <c r="K110" s="9">
        <f t="shared" si="33"/>
        <v>29677210</v>
      </c>
      <c r="L110" s="112">
        <f t="shared" si="34"/>
        <v>2248964</v>
      </c>
      <c r="M110" s="458">
        <f>ROUND(100-'Townwide Contributions'!L109,2)</f>
        <v>67.88</v>
      </c>
      <c r="N110" s="9">
        <v>2397</v>
      </c>
      <c r="O110" s="9">
        <f t="shared" si="35"/>
        <v>2453</v>
      </c>
      <c r="P110" s="9">
        <f t="shared" si="36"/>
        <v>1</v>
      </c>
      <c r="Q110" s="28">
        <f t="shared" si="37"/>
        <v>255112</v>
      </c>
      <c r="R110" s="382">
        <f t="shared" si="38"/>
        <v>0</v>
      </c>
      <c r="S110" s="28">
        <v>27428246</v>
      </c>
      <c r="T110" s="33">
        <f t="shared" si="39"/>
        <v>27501836</v>
      </c>
      <c r="U110" s="9">
        <f t="shared" si="40"/>
        <v>0</v>
      </c>
      <c r="V110" s="33">
        <f t="shared" si="41"/>
        <v>29677210</v>
      </c>
      <c r="W110" s="33">
        <f t="shared" si="42"/>
        <v>0</v>
      </c>
      <c r="X110" s="33">
        <v>0</v>
      </c>
      <c r="Y110" s="113">
        <f t="shared" si="43"/>
        <v>29677210</v>
      </c>
      <c r="Z110" s="155">
        <f t="shared" si="44"/>
        <v>71.362591582045837</v>
      </c>
      <c r="AA110" s="33">
        <f t="shared" si="45"/>
        <v>41586508</v>
      </c>
      <c r="AB110" s="114">
        <f t="shared" si="46"/>
        <v>99.999999519074791</v>
      </c>
      <c r="AC110" s="28">
        <f t="shared" si="47"/>
        <v>2896144.3700000048</v>
      </c>
      <c r="AD110" s="28">
        <f t="shared" si="48"/>
        <v>2248964</v>
      </c>
      <c r="AE110" s="28">
        <f t="shared" si="49"/>
        <v>1448288.2338399999</v>
      </c>
      <c r="AF110" s="115">
        <f t="shared" si="50"/>
        <v>3.482591582045842</v>
      </c>
      <c r="AG110" s="28">
        <f t="shared" si="51"/>
        <v>16953.330000000002</v>
      </c>
      <c r="AI110" s="28">
        <f t="shared" si="52"/>
        <v>0</v>
      </c>
      <c r="AJ110" s="28"/>
      <c r="AK110" s="28">
        <f t="shared" si="53"/>
        <v>916.82185079494502</v>
      </c>
      <c r="AL110" s="156"/>
      <c r="AM110" s="6">
        <f t="shared" si="54"/>
        <v>103</v>
      </c>
      <c r="AN110" s="6" t="str">
        <f t="shared" si="55"/>
        <v xml:space="preserve">Gardner                      </v>
      </c>
      <c r="AO110" s="6">
        <f t="shared" si="56"/>
        <v>1</v>
      </c>
      <c r="AP110" s="9">
        <f t="shared" si="61"/>
        <v>2453</v>
      </c>
      <c r="AQ110" s="9">
        <f t="shared" si="57"/>
        <v>41586508.200000003</v>
      </c>
      <c r="AR110" s="33">
        <f t="shared" si="58"/>
        <v>11909298</v>
      </c>
      <c r="AS110" s="33">
        <f t="shared" si="59"/>
        <v>29677210</v>
      </c>
      <c r="AU110" s="28"/>
      <c r="AV110" s="9"/>
      <c r="AW110" s="519"/>
    </row>
    <row r="111" spans="1:49">
      <c r="A111" s="6">
        <v>104</v>
      </c>
      <c r="B111" s="6" t="s">
        <v>785</v>
      </c>
      <c r="C111" s="7">
        <v>0</v>
      </c>
      <c r="D111" s="9">
        <v>0</v>
      </c>
      <c r="E111" s="9">
        <v>0</v>
      </c>
      <c r="F111" s="9">
        <v>0</v>
      </c>
      <c r="G111" s="348"/>
      <c r="H111" s="111">
        <f t="shared" si="60"/>
        <v>0</v>
      </c>
      <c r="I111" s="9">
        <f t="shared" si="31"/>
        <v>0</v>
      </c>
      <c r="J111" s="33">
        <f t="shared" si="32"/>
        <v>0</v>
      </c>
      <c r="K111" s="9">
        <f t="shared" si="33"/>
        <v>0</v>
      </c>
      <c r="L111" s="112">
        <f t="shared" si="34"/>
        <v>0</v>
      </c>
      <c r="M111" s="458">
        <f>ROUND(100-'Townwide Contributions'!L110,2)</f>
        <v>17.5</v>
      </c>
      <c r="N111" s="9">
        <v>0</v>
      </c>
      <c r="O111" s="9">
        <f t="shared" si="35"/>
        <v>0</v>
      </c>
      <c r="P111" s="9">
        <f t="shared" si="36"/>
        <v>0</v>
      </c>
      <c r="Q111" s="28">
        <f t="shared" si="37"/>
        <v>0</v>
      </c>
      <c r="R111" s="382">
        <f t="shared" si="38"/>
        <v>0</v>
      </c>
      <c r="S111" s="28">
        <v>0</v>
      </c>
      <c r="T111" s="33">
        <f t="shared" si="39"/>
        <v>0</v>
      </c>
      <c r="U111" s="9">
        <f t="shared" si="40"/>
        <v>0</v>
      </c>
      <c r="V111" s="33">
        <f t="shared" si="41"/>
        <v>0</v>
      </c>
      <c r="W111" s="33">
        <f t="shared" si="42"/>
        <v>0</v>
      </c>
      <c r="X111" s="33">
        <v>0</v>
      </c>
      <c r="Y111" s="113">
        <f t="shared" si="43"/>
        <v>0</v>
      </c>
      <c r="Z111" s="155">
        <f t="shared" si="44"/>
        <v>0</v>
      </c>
      <c r="AA111" s="33">
        <f t="shared" si="45"/>
        <v>0</v>
      </c>
      <c r="AB111" s="114">
        <f t="shared" si="46"/>
        <v>0</v>
      </c>
      <c r="AC111" s="28">
        <f t="shared" si="47"/>
        <v>0</v>
      </c>
      <c r="AD111" s="28">
        <f t="shared" si="48"/>
        <v>0</v>
      </c>
      <c r="AE111" s="28">
        <f t="shared" si="49"/>
        <v>0</v>
      </c>
      <c r="AF111" s="115" t="str">
        <f t="shared" si="50"/>
        <v/>
      </c>
      <c r="AG111" s="28">
        <f t="shared" si="51"/>
        <v>0</v>
      </c>
      <c r="AI111" s="28">
        <f t="shared" si="52"/>
        <v>0</v>
      </c>
      <c r="AJ111" s="28"/>
      <c r="AK111" s="28">
        <f t="shared" si="53"/>
        <v>0</v>
      </c>
      <c r="AL111" s="156"/>
      <c r="AM111" s="6">
        <f t="shared" si="54"/>
        <v>104</v>
      </c>
      <c r="AN111" s="6" t="str">
        <f t="shared" si="55"/>
        <v>Aquinnah</v>
      </c>
      <c r="AO111" s="6">
        <f t="shared" si="56"/>
        <v>0</v>
      </c>
      <c r="AP111" s="9">
        <f t="shared" si="61"/>
        <v>0</v>
      </c>
      <c r="AQ111" s="9">
        <f t="shared" si="57"/>
        <v>0</v>
      </c>
      <c r="AR111" s="33">
        <f t="shared" si="58"/>
        <v>0</v>
      </c>
      <c r="AS111" s="33">
        <f t="shared" si="59"/>
        <v>0</v>
      </c>
      <c r="AU111" s="28"/>
      <c r="AW111" s="519"/>
    </row>
    <row r="112" spans="1:49">
      <c r="A112" s="6">
        <v>105</v>
      </c>
      <c r="B112" s="6" t="s">
        <v>1223</v>
      </c>
      <c r="C112" s="7">
        <v>1</v>
      </c>
      <c r="D112" s="9">
        <v>15011687.49</v>
      </c>
      <c r="E112" s="9">
        <v>11377637</v>
      </c>
      <c r="F112" s="9">
        <v>5713498</v>
      </c>
      <c r="G112" s="348"/>
      <c r="H112" s="111">
        <f t="shared" si="60"/>
        <v>5713498</v>
      </c>
      <c r="I112" s="9">
        <f t="shared" si="31"/>
        <v>15097839.610000001</v>
      </c>
      <c r="J112" s="33">
        <f t="shared" si="32"/>
        <v>11942079</v>
      </c>
      <c r="K112" s="9">
        <f t="shared" si="33"/>
        <v>3155761</v>
      </c>
      <c r="L112" s="112">
        <f t="shared" si="34"/>
        <v>0</v>
      </c>
      <c r="M112" s="458">
        <f>ROUND(100-'Townwide Contributions'!L111,2)</f>
        <v>17.5</v>
      </c>
      <c r="N112" s="9">
        <v>1229</v>
      </c>
      <c r="O112" s="9">
        <f t="shared" si="35"/>
        <v>1196</v>
      </c>
      <c r="P112" s="9">
        <f t="shared" si="36"/>
        <v>0</v>
      </c>
      <c r="Q112" s="28">
        <f t="shared" si="37"/>
        <v>124384</v>
      </c>
      <c r="R112" s="382">
        <f t="shared" si="38"/>
        <v>124384</v>
      </c>
      <c r="S112" s="28">
        <v>5713498</v>
      </c>
      <c r="T112" s="33">
        <f t="shared" si="39"/>
        <v>5749378</v>
      </c>
      <c r="U112" s="9">
        <f t="shared" si="40"/>
        <v>0</v>
      </c>
      <c r="V112" s="33">
        <f t="shared" si="41"/>
        <v>5837882</v>
      </c>
      <c r="W112" s="33">
        <f t="shared" si="42"/>
        <v>0</v>
      </c>
      <c r="X112" s="33">
        <v>0</v>
      </c>
      <c r="Y112" s="113">
        <f t="shared" si="43"/>
        <v>5837882</v>
      </c>
      <c r="Z112" s="155">
        <f t="shared" si="44"/>
        <v>38.667002371208788</v>
      </c>
      <c r="AA112" s="33">
        <f t="shared" si="45"/>
        <v>17779961</v>
      </c>
      <c r="AB112" s="114">
        <f t="shared" si="46"/>
        <v>117.76493497932979</v>
      </c>
      <c r="AC112" s="28">
        <f t="shared" si="47"/>
        <v>86152.120000001043</v>
      </c>
      <c r="AD112" s="28">
        <f t="shared" si="48"/>
        <v>124384</v>
      </c>
      <c r="AE112" s="28">
        <f t="shared" si="49"/>
        <v>3195760.06825</v>
      </c>
      <c r="AF112" s="115">
        <f t="shared" si="50"/>
        <v>21.167002371208788</v>
      </c>
      <c r="AG112" s="28">
        <f t="shared" si="51"/>
        <v>12623.61</v>
      </c>
      <c r="AI112" s="28">
        <f t="shared" si="52"/>
        <v>0</v>
      </c>
      <c r="AJ112" s="28"/>
      <c r="AK112" s="28">
        <f t="shared" si="53"/>
        <v>104</v>
      </c>
      <c r="AL112" s="156"/>
      <c r="AM112" s="6">
        <f t="shared" si="54"/>
        <v>105</v>
      </c>
      <c r="AN112" s="6" t="str">
        <f t="shared" si="55"/>
        <v xml:space="preserve">Georgetown                   </v>
      </c>
      <c r="AO112" s="6">
        <f t="shared" si="56"/>
        <v>1</v>
      </c>
      <c r="AP112" s="9">
        <f t="shared" si="61"/>
        <v>1196</v>
      </c>
      <c r="AQ112" s="9">
        <f t="shared" si="57"/>
        <v>15097839.610000001</v>
      </c>
      <c r="AR112" s="33">
        <f t="shared" si="58"/>
        <v>11942079</v>
      </c>
      <c r="AS112" s="33">
        <f t="shared" si="59"/>
        <v>5837882</v>
      </c>
      <c r="AU112" s="28"/>
      <c r="AV112" s="9"/>
      <c r="AW112" s="519"/>
    </row>
    <row r="113" spans="1:49">
      <c r="A113" s="6">
        <v>106</v>
      </c>
      <c r="B113" s="6" t="s">
        <v>1224</v>
      </c>
      <c r="C113" s="7">
        <v>0</v>
      </c>
      <c r="D113" s="9">
        <v>0</v>
      </c>
      <c r="E113" s="9">
        <v>0</v>
      </c>
      <c r="F113" s="9">
        <v>0</v>
      </c>
      <c r="G113" s="348"/>
      <c r="H113" s="111">
        <f t="shared" si="60"/>
        <v>0</v>
      </c>
      <c r="I113" s="9">
        <f t="shared" si="31"/>
        <v>0</v>
      </c>
      <c r="J113" s="33">
        <f t="shared" si="32"/>
        <v>0</v>
      </c>
      <c r="K113" s="9">
        <f t="shared" si="33"/>
        <v>0</v>
      </c>
      <c r="L113" s="112">
        <f t="shared" si="34"/>
        <v>0</v>
      </c>
      <c r="M113" s="458">
        <f>ROUND(100-'Townwide Contributions'!L112,2)</f>
        <v>29.16</v>
      </c>
      <c r="N113" s="9">
        <v>0</v>
      </c>
      <c r="O113" s="9">
        <f t="shared" si="35"/>
        <v>0</v>
      </c>
      <c r="P113" s="9">
        <f t="shared" si="36"/>
        <v>0</v>
      </c>
      <c r="Q113" s="28">
        <f t="shared" si="37"/>
        <v>0</v>
      </c>
      <c r="R113" s="382">
        <f t="shared" si="38"/>
        <v>0</v>
      </c>
      <c r="S113" s="28">
        <v>0</v>
      </c>
      <c r="T113" s="33">
        <f t="shared" si="39"/>
        <v>0</v>
      </c>
      <c r="U113" s="9">
        <f t="shared" si="40"/>
        <v>0</v>
      </c>
      <c r="V113" s="33">
        <f t="shared" si="41"/>
        <v>0</v>
      </c>
      <c r="W113" s="33">
        <f t="shared" si="42"/>
        <v>0</v>
      </c>
      <c r="X113" s="33">
        <v>0</v>
      </c>
      <c r="Y113" s="113">
        <f t="shared" si="43"/>
        <v>0</v>
      </c>
      <c r="Z113" s="155">
        <f t="shared" si="44"/>
        <v>0</v>
      </c>
      <c r="AA113" s="33">
        <f t="shared" si="45"/>
        <v>0</v>
      </c>
      <c r="AB113" s="114">
        <f t="shared" si="46"/>
        <v>0</v>
      </c>
      <c r="AC113" s="28">
        <f t="shared" si="47"/>
        <v>0</v>
      </c>
      <c r="AD113" s="28">
        <f t="shared" si="48"/>
        <v>0</v>
      </c>
      <c r="AE113" s="28">
        <f t="shared" si="49"/>
        <v>0</v>
      </c>
      <c r="AF113" s="115" t="str">
        <f t="shared" si="50"/>
        <v/>
      </c>
      <c r="AG113" s="28">
        <f t="shared" si="51"/>
        <v>0</v>
      </c>
      <c r="AI113" s="28">
        <f t="shared" si="52"/>
        <v>0</v>
      </c>
      <c r="AJ113" s="28"/>
      <c r="AK113" s="28">
        <f t="shared" si="53"/>
        <v>0</v>
      </c>
      <c r="AL113" s="156"/>
      <c r="AM113" s="6">
        <f t="shared" si="54"/>
        <v>106</v>
      </c>
      <c r="AN113" s="6" t="str">
        <f t="shared" si="55"/>
        <v xml:space="preserve">Gill                         </v>
      </c>
      <c r="AO113" s="6">
        <f t="shared" si="56"/>
        <v>0</v>
      </c>
      <c r="AP113" s="9">
        <f t="shared" si="61"/>
        <v>0</v>
      </c>
      <c r="AQ113" s="9">
        <f t="shared" si="57"/>
        <v>0</v>
      </c>
      <c r="AR113" s="33">
        <f t="shared" si="58"/>
        <v>0</v>
      </c>
      <c r="AS113" s="33">
        <f t="shared" si="59"/>
        <v>0</v>
      </c>
      <c r="AU113" s="28"/>
      <c r="AW113" s="519"/>
    </row>
    <row r="114" spans="1:49">
      <c r="A114" s="6">
        <v>107</v>
      </c>
      <c r="B114" s="6" t="s">
        <v>1225</v>
      </c>
      <c r="C114" s="7">
        <v>1</v>
      </c>
      <c r="D114" s="9">
        <v>47045109.888499998</v>
      </c>
      <c r="E114" s="9">
        <v>35714197</v>
      </c>
      <c r="F114" s="9">
        <v>11330913</v>
      </c>
      <c r="G114" s="348"/>
      <c r="H114" s="111">
        <f t="shared" si="60"/>
        <v>11330913</v>
      </c>
      <c r="I114" s="9">
        <f t="shared" si="31"/>
        <v>49375946.820559993</v>
      </c>
      <c r="J114" s="33">
        <f t="shared" si="32"/>
        <v>37665556</v>
      </c>
      <c r="K114" s="9">
        <f t="shared" si="33"/>
        <v>11710391</v>
      </c>
      <c r="L114" s="112">
        <f t="shared" si="34"/>
        <v>379478</v>
      </c>
      <c r="M114" s="458">
        <f>ROUND(100-'Townwide Contributions'!L113,2)</f>
        <v>17.5</v>
      </c>
      <c r="N114" s="9">
        <v>3035</v>
      </c>
      <c r="O114" s="9">
        <f t="shared" si="35"/>
        <v>3064</v>
      </c>
      <c r="P114" s="9">
        <f t="shared" si="36"/>
        <v>1</v>
      </c>
      <c r="Q114" s="28">
        <f t="shared" si="37"/>
        <v>318656</v>
      </c>
      <c r="R114" s="382">
        <f t="shared" si="38"/>
        <v>0</v>
      </c>
      <c r="S114" s="28">
        <v>11330913</v>
      </c>
      <c r="T114" s="33">
        <f t="shared" si="39"/>
        <v>11422833</v>
      </c>
      <c r="U114" s="9">
        <f t="shared" si="40"/>
        <v>0</v>
      </c>
      <c r="V114" s="33">
        <f t="shared" si="41"/>
        <v>11710391</v>
      </c>
      <c r="W114" s="33">
        <f t="shared" si="42"/>
        <v>0</v>
      </c>
      <c r="X114" s="33">
        <v>0</v>
      </c>
      <c r="Y114" s="113">
        <f t="shared" si="43"/>
        <v>11710391</v>
      </c>
      <c r="Z114" s="155">
        <f t="shared" si="44"/>
        <v>23.716792799047308</v>
      </c>
      <c r="AA114" s="33">
        <f t="shared" si="45"/>
        <v>49375947</v>
      </c>
      <c r="AB114" s="114">
        <f t="shared" si="46"/>
        <v>100.00000036341584</v>
      </c>
      <c r="AC114" s="28">
        <f t="shared" si="47"/>
        <v>2330836.9320599958</v>
      </c>
      <c r="AD114" s="28">
        <f t="shared" si="48"/>
        <v>379478</v>
      </c>
      <c r="AE114" s="28">
        <f t="shared" si="49"/>
        <v>3069600.3064020015</v>
      </c>
      <c r="AF114" s="115">
        <f t="shared" si="50"/>
        <v>6.2167927990473082</v>
      </c>
      <c r="AG114" s="28">
        <f t="shared" si="51"/>
        <v>16114.87</v>
      </c>
      <c r="AI114" s="28">
        <f t="shared" si="52"/>
        <v>0</v>
      </c>
      <c r="AJ114" s="28"/>
      <c r="AK114" s="28">
        <f t="shared" si="53"/>
        <v>123.85052219321149</v>
      </c>
      <c r="AL114" s="156"/>
      <c r="AM114" s="6">
        <f t="shared" si="54"/>
        <v>107</v>
      </c>
      <c r="AN114" s="6" t="str">
        <f t="shared" si="55"/>
        <v xml:space="preserve">Gloucester                   </v>
      </c>
      <c r="AO114" s="6">
        <f t="shared" si="56"/>
        <v>1</v>
      </c>
      <c r="AP114" s="9">
        <f t="shared" si="61"/>
        <v>3064</v>
      </c>
      <c r="AQ114" s="9">
        <f t="shared" si="57"/>
        <v>49375946.820559993</v>
      </c>
      <c r="AR114" s="33">
        <f t="shared" si="58"/>
        <v>37665556</v>
      </c>
      <c r="AS114" s="33">
        <f t="shared" si="59"/>
        <v>11710391</v>
      </c>
      <c r="AU114" s="28"/>
      <c r="AV114" s="9"/>
      <c r="AW114" s="519"/>
    </row>
    <row r="115" spans="1:49">
      <c r="A115" s="6">
        <v>108</v>
      </c>
      <c r="B115" s="6" t="s">
        <v>1226</v>
      </c>
      <c r="C115" s="7">
        <v>0</v>
      </c>
      <c r="D115" s="9">
        <v>148416.84</v>
      </c>
      <c r="E115" s="9">
        <v>89000</v>
      </c>
      <c r="F115" s="9">
        <v>96381</v>
      </c>
      <c r="G115" s="348"/>
      <c r="H115" s="111">
        <f t="shared" si="60"/>
        <v>96381</v>
      </c>
      <c r="I115" s="9">
        <f t="shared" si="31"/>
        <v>151742.96999999997</v>
      </c>
      <c r="J115" s="33">
        <f t="shared" si="32"/>
        <v>99954</v>
      </c>
      <c r="K115" s="9">
        <f t="shared" si="33"/>
        <v>51789</v>
      </c>
      <c r="L115" s="112">
        <f t="shared" si="34"/>
        <v>0</v>
      </c>
      <c r="M115" s="458">
        <f>ROUND(100-'Townwide Contributions'!L114,2)</f>
        <v>30.5</v>
      </c>
      <c r="N115" s="9">
        <v>9</v>
      </c>
      <c r="O115" s="9">
        <f t="shared" si="35"/>
        <v>9</v>
      </c>
      <c r="P115" s="9">
        <f t="shared" si="36"/>
        <v>0</v>
      </c>
      <c r="Q115" s="28">
        <f t="shared" si="37"/>
        <v>0</v>
      </c>
      <c r="R115" s="382">
        <f t="shared" si="38"/>
        <v>0</v>
      </c>
      <c r="S115" s="28">
        <v>96381</v>
      </c>
      <c r="T115" s="33">
        <f t="shared" si="39"/>
        <v>96651</v>
      </c>
      <c r="U115" s="9">
        <f t="shared" si="40"/>
        <v>0</v>
      </c>
      <c r="V115" s="33">
        <f t="shared" si="41"/>
        <v>96381</v>
      </c>
      <c r="W115" s="33">
        <f t="shared" si="42"/>
        <v>0</v>
      </c>
      <c r="X115" s="33">
        <v>0</v>
      </c>
      <c r="Y115" s="113">
        <f t="shared" si="43"/>
        <v>96381</v>
      </c>
      <c r="Z115" s="155">
        <f t="shared" si="44"/>
        <v>0</v>
      </c>
      <c r="AA115" s="33">
        <f t="shared" si="45"/>
        <v>196335</v>
      </c>
      <c r="AB115" s="114">
        <f t="shared" si="46"/>
        <v>129.3865541184544</v>
      </c>
      <c r="AC115" s="28">
        <f t="shared" si="47"/>
        <v>3326.1299999999756</v>
      </c>
      <c r="AD115" s="28">
        <f t="shared" si="48"/>
        <v>0</v>
      </c>
      <c r="AE115" s="28">
        <f t="shared" si="49"/>
        <v>50099.394150000007</v>
      </c>
      <c r="AF115" s="115" t="str">
        <f t="shared" si="50"/>
        <v/>
      </c>
      <c r="AG115" s="28">
        <f t="shared" si="51"/>
        <v>16860.330000000002</v>
      </c>
      <c r="AI115" s="28">
        <f t="shared" si="52"/>
        <v>0</v>
      </c>
      <c r="AJ115" s="28"/>
      <c r="AK115" s="28">
        <f t="shared" si="53"/>
        <v>0</v>
      </c>
      <c r="AL115" s="156"/>
      <c r="AM115" s="6">
        <f t="shared" si="54"/>
        <v>108</v>
      </c>
      <c r="AN115" s="6" t="str">
        <f t="shared" si="55"/>
        <v xml:space="preserve">Goshen                       </v>
      </c>
      <c r="AO115" s="6">
        <f t="shared" si="56"/>
        <v>0</v>
      </c>
      <c r="AP115" s="9">
        <f t="shared" si="61"/>
        <v>9</v>
      </c>
      <c r="AQ115" s="9">
        <f t="shared" si="57"/>
        <v>151742.96999999997</v>
      </c>
      <c r="AR115" s="33">
        <f t="shared" si="58"/>
        <v>99954</v>
      </c>
      <c r="AS115" s="33">
        <f t="shared" si="59"/>
        <v>96381</v>
      </c>
      <c r="AU115" s="28"/>
      <c r="AV115" s="9"/>
      <c r="AW115" s="519"/>
    </row>
    <row r="116" spans="1:49">
      <c r="A116" s="6">
        <v>109</v>
      </c>
      <c r="B116" s="6" t="s">
        <v>1227</v>
      </c>
      <c r="C116" s="7">
        <v>0</v>
      </c>
      <c r="D116" s="9">
        <v>0</v>
      </c>
      <c r="E116" s="9">
        <v>0</v>
      </c>
      <c r="F116" s="9">
        <v>0</v>
      </c>
      <c r="G116" s="348"/>
      <c r="H116" s="111">
        <f t="shared" si="60"/>
        <v>0</v>
      </c>
      <c r="I116" s="9">
        <f t="shared" si="31"/>
        <v>0</v>
      </c>
      <c r="J116" s="33">
        <f t="shared" si="32"/>
        <v>0</v>
      </c>
      <c r="K116" s="9">
        <f t="shared" si="33"/>
        <v>0</v>
      </c>
      <c r="L116" s="112">
        <f t="shared" si="34"/>
        <v>0</v>
      </c>
      <c r="M116" s="458">
        <f>ROUND(100-'Townwide Contributions'!L115,2)</f>
        <v>100</v>
      </c>
      <c r="N116" s="9">
        <v>0</v>
      </c>
      <c r="O116" s="9">
        <f t="shared" si="35"/>
        <v>0</v>
      </c>
      <c r="P116" s="9">
        <f t="shared" si="36"/>
        <v>0</v>
      </c>
      <c r="Q116" s="28">
        <f t="shared" si="37"/>
        <v>0</v>
      </c>
      <c r="R116" s="382">
        <f t="shared" si="38"/>
        <v>0</v>
      </c>
      <c r="S116" s="28">
        <v>0</v>
      </c>
      <c r="T116" s="33">
        <f t="shared" si="39"/>
        <v>0</v>
      </c>
      <c r="U116" s="9">
        <f t="shared" si="40"/>
        <v>0</v>
      </c>
      <c r="V116" s="33">
        <f t="shared" si="41"/>
        <v>0</v>
      </c>
      <c r="W116" s="33">
        <f t="shared" si="42"/>
        <v>0</v>
      </c>
      <c r="X116" s="33">
        <v>0</v>
      </c>
      <c r="Y116" s="113">
        <f t="shared" si="43"/>
        <v>0</v>
      </c>
      <c r="Z116" s="155">
        <f t="shared" si="44"/>
        <v>0</v>
      </c>
      <c r="AA116" s="33">
        <f t="shared" si="45"/>
        <v>0</v>
      </c>
      <c r="AB116" s="114">
        <f t="shared" si="46"/>
        <v>0</v>
      </c>
      <c r="AC116" s="28">
        <f t="shared" si="47"/>
        <v>0</v>
      </c>
      <c r="AD116" s="28">
        <f t="shared" si="48"/>
        <v>0</v>
      </c>
      <c r="AE116" s="28">
        <f t="shared" si="49"/>
        <v>0</v>
      </c>
      <c r="AF116" s="115" t="str">
        <f t="shared" si="50"/>
        <v/>
      </c>
      <c r="AG116" s="28">
        <f t="shared" si="51"/>
        <v>0</v>
      </c>
      <c r="AI116" s="28">
        <f t="shared" si="52"/>
        <v>0</v>
      </c>
      <c r="AJ116" s="28"/>
      <c r="AK116" s="28">
        <f t="shared" si="53"/>
        <v>0</v>
      </c>
      <c r="AL116" s="156"/>
      <c r="AM116" s="6">
        <f t="shared" si="54"/>
        <v>109</v>
      </c>
      <c r="AN116" s="6" t="str">
        <f t="shared" si="55"/>
        <v xml:space="preserve">Gosnold                      </v>
      </c>
      <c r="AO116" s="6">
        <f t="shared" si="56"/>
        <v>0</v>
      </c>
      <c r="AP116" s="9">
        <f t="shared" si="61"/>
        <v>0</v>
      </c>
      <c r="AQ116" s="9">
        <f t="shared" si="57"/>
        <v>0</v>
      </c>
      <c r="AR116" s="33">
        <f t="shared" si="58"/>
        <v>0</v>
      </c>
      <c r="AS116" s="33">
        <f t="shared" si="59"/>
        <v>0</v>
      </c>
      <c r="AU116" s="28"/>
      <c r="AW116" s="519"/>
    </row>
    <row r="117" spans="1:49">
      <c r="A117" s="6">
        <v>110</v>
      </c>
      <c r="B117" s="6" t="s">
        <v>1228</v>
      </c>
      <c r="C117" s="7">
        <v>1</v>
      </c>
      <c r="D117" s="9">
        <v>36858149.159999996</v>
      </c>
      <c r="E117" s="9">
        <v>24436656</v>
      </c>
      <c r="F117" s="9">
        <v>12794520</v>
      </c>
      <c r="G117" s="348"/>
      <c r="H117" s="111">
        <f t="shared" si="60"/>
        <v>12794520</v>
      </c>
      <c r="I117" s="9">
        <f t="shared" si="31"/>
        <v>37107723.809999995</v>
      </c>
      <c r="J117" s="33">
        <f t="shared" si="32"/>
        <v>25816666</v>
      </c>
      <c r="K117" s="9">
        <f t="shared" si="33"/>
        <v>11291058</v>
      </c>
      <c r="L117" s="112">
        <f t="shared" si="34"/>
        <v>0</v>
      </c>
      <c r="M117" s="458">
        <f>ROUND(100-'Townwide Contributions'!L116,2)</f>
        <v>23.25</v>
      </c>
      <c r="N117" s="9">
        <v>2950</v>
      </c>
      <c r="O117" s="9">
        <f t="shared" si="35"/>
        <v>2902</v>
      </c>
      <c r="P117" s="9">
        <f t="shared" si="36"/>
        <v>0</v>
      </c>
      <c r="Q117" s="28">
        <f t="shared" si="37"/>
        <v>301808</v>
      </c>
      <c r="R117" s="382">
        <f t="shared" si="38"/>
        <v>301808</v>
      </c>
      <c r="S117" s="28">
        <v>12794520</v>
      </c>
      <c r="T117" s="33">
        <f t="shared" si="39"/>
        <v>12881580</v>
      </c>
      <c r="U117" s="9">
        <f t="shared" si="40"/>
        <v>0</v>
      </c>
      <c r="V117" s="33">
        <f t="shared" si="41"/>
        <v>13096328</v>
      </c>
      <c r="W117" s="33">
        <f t="shared" si="42"/>
        <v>0</v>
      </c>
      <c r="X117" s="33">
        <v>0</v>
      </c>
      <c r="Y117" s="113">
        <f t="shared" si="43"/>
        <v>13096328</v>
      </c>
      <c r="Z117" s="155">
        <f t="shared" si="44"/>
        <v>35.292727915773504</v>
      </c>
      <c r="AA117" s="33">
        <f t="shared" si="45"/>
        <v>38912994</v>
      </c>
      <c r="AB117" s="114">
        <f t="shared" si="46"/>
        <v>104.86494455775137</v>
      </c>
      <c r="AC117" s="28">
        <f t="shared" si="47"/>
        <v>249574.64999999851</v>
      </c>
      <c r="AD117" s="28">
        <f t="shared" si="48"/>
        <v>301808</v>
      </c>
      <c r="AE117" s="28">
        <f t="shared" si="49"/>
        <v>4468782.2141750008</v>
      </c>
      <c r="AF117" s="115">
        <f t="shared" si="50"/>
        <v>12.042727915773504</v>
      </c>
      <c r="AG117" s="28">
        <f t="shared" si="51"/>
        <v>12786.95</v>
      </c>
      <c r="AI117" s="28">
        <f t="shared" si="52"/>
        <v>0</v>
      </c>
      <c r="AJ117" s="28"/>
      <c r="AK117" s="28">
        <f t="shared" si="53"/>
        <v>104</v>
      </c>
      <c r="AL117" s="156"/>
      <c r="AM117" s="6">
        <f t="shared" si="54"/>
        <v>110</v>
      </c>
      <c r="AN117" s="6" t="str">
        <f t="shared" si="55"/>
        <v xml:space="preserve">Grafton                      </v>
      </c>
      <c r="AO117" s="6">
        <f t="shared" si="56"/>
        <v>1</v>
      </c>
      <c r="AP117" s="9">
        <f t="shared" si="61"/>
        <v>2902</v>
      </c>
      <c r="AQ117" s="9">
        <f t="shared" si="57"/>
        <v>37107723.809999995</v>
      </c>
      <c r="AR117" s="33">
        <f t="shared" si="58"/>
        <v>25816666</v>
      </c>
      <c r="AS117" s="33">
        <f t="shared" si="59"/>
        <v>13096328</v>
      </c>
      <c r="AU117" s="28"/>
      <c r="AV117" s="9"/>
      <c r="AW117" s="519"/>
    </row>
    <row r="118" spans="1:49">
      <c r="A118" s="6">
        <v>111</v>
      </c>
      <c r="B118" s="6" t="s">
        <v>1229</v>
      </c>
      <c r="C118" s="7">
        <v>1</v>
      </c>
      <c r="D118" s="9">
        <v>9588488.8899999987</v>
      </c>
      <c r="E118" s="9">
        <v>5667319</v>
      </c>
      <c r="F118" s="9">
        <v>4765430</v>
      </c>
      <c r="G118" s="348"/>
      <c r="H118" s="111">
        <f t="shared" si="60"/>
        <v>4765430</v>
      </c>
      <c r="I118" s="9">
        <f t="shared" si="31"/>
        <v>9658208.7799999993</v>
      </c>
      <c r="J118" s="33">
        <f t="shared" si="32"/>
        <v>5916543</v>
      </c>
      <c r="K118" s="9">
        <f t="shared" si="33"/>
        <v>3741666</v>
      </c>
      <c r="L118" s="112">
        <f t="shared" si="34"/>
        <v>0</v>
      </c>
      <c r="M118" s="458">
        <f>ROUND(100-'Townwide Contributions'!L117,2)</f>
        <v>34.82</v>
      </c>
      <c r="N118" s="9">
        <v>672</v>
      </c>
      <c r="O118" s="9">
        <f t="shared" si="35"/>
        <v>655</v>
      </c>
      <c r="P118" s="9">
        <f t="shared" si="36"/>
        <v>0</v>
      </c>
      <c r="Q118" s="28">
        <f t="shared" si="37"/>
        <v>68120</v>
      </c>
      <c r="R118" s="382">
        <f t="shared" si="38"/>
        <v>68120</v>
      </c>
      <c r="S118" s="28">
        <v>4765430</v>
      </c>
      <c r="T118" s="33">
        <f t="shared" si="39"/>
        <v>4785080</v>
      </c>
      <c r="U118" s="9">
        <f t="shared" si="40"/>
        <v>0</v>
      </c>
      <c r="V118" s="33">
        <f t="shared" si="41"/>
        <v>4833550</v>
      </c>
      <c r="W118" s="33">
        <f t="shared" si="42"/>
        <v>0</v>
      </c>
      <c r="X118" s="33">
        <v>0</v>
      </c>
      <c r="Y118" s="113">
        <f t="shared" si="43"/>
        <v>4833550</v>
      </c>
      <c r="Z118" s="155">
        <f t="shared" si="44"/>
        <v>50.046029342513343</v>
      </c>
      <c r="AA118" s="33">
        <f t="shared" si="45"/>
        <v>10750093</v>
      </c>
      <c r="AB118" s="114">
        <f t="shared" si="46"/>
        <v>111.30524556749126</v>
      </c>
      <c r="AC118" s="28">
        <f t="shared" si="47"/>
        <v>69719.890000000596</v>
      </c>
      <c r="AD118" s="28">
        <f t="shared" si="48"/>
        <v>68120</v>
      </c>
      <c r="AE118" s="28">
        <f t="shared" si="49"/>
        <v>1470561.7028040001</v>
      </c>
      <c r="AF118" s="115">
        <f t="shared" si="50"/>
        <v>15.226029342513343</v>
      </c>
      <c r="AG118" s="28">
        <f t="shared" si="51"/>
        <v>14745.36</v>
      </c>
      <c r="AI118" s="28">
        <f t="shared" si="52"/>
        <v>0</v>
      </c>
      <c r="AJ118" s="28"/>
      <c r="AK118" s="28">
        <f t="shared" si="53"/>
        <v>104</v>
      </c>
      <c r="AL118" s="156"/>
      <c r="AM118" s="6">
        <f t="shared" si="54"/>
        <v>111</v>
      </c>
      <c r="AN118" s="6" t="str">
        <f t="shared" si="55"/>
        <v xml:space="preserve">Granby                       </v>
      </c>
      <c r="AO118" s="6">
        <f t="shared" si="56"/>
        <v>1</v>
      </c>
      <c r="AP118" s="9">
        <f t="shared" si="61"/>
        <v>655</v>
      </c>
      <c r="AQ118" s="9">
        <f t="shared" si="57"/>
        <v>9658208.7799999993</v>
      </c>
      <c r="AR118" s="33">
        <f t="shared" si="58"/>
        <v>5916543</v>
      </c>
      <c r="AS118" s="33">
        <f t="shared" si="59"/>
        <v>4833550</v>
      </c>
      <c r="AU118" s="28"/>
      <c r="AV118" s="9"/>
      <c r="AW118" s="519"/>
    </row>
    <row r="119" spans="1:49">
      <c r="A119" s="6">
        <v>112</v>
      </c>
      <c r="B119" s="6" t="s">
        <v>1230</v>
      </c>
      <c r="C119" s="7">
        <v>0</v>
      </c>
      <c r="D119" s="9">
        <v>0</v>
      </c>
      <c r="E119" s="9">
        <v>0</v>
      </c>
      <c r="F119" s="9">
        <v>0</v>
      </c>
      <c r="G119" s="348"/>
      <c r="H119" s="111">
        <f t="shared" si="60"/>
        <v>0</v>
      </c>
      <c r="I119" s="9">
        <f t="shared" si="31"/>
        <v>0</v>
      </c>
      <c r="J119" s="33">
        <f t="shared" si="32"/>
        <v>0</v>
      </c>
      <c r="K119" s="9">
        <f t="shared" si="33"/>
        <v>0</v>
      </c>
      <c r="L119" s="112">
        <f t="shared" si="34"/>
        <v>0</v>
      </c>
      <c r="M119" s="458">
        <f>ROUND(100-'Townwide Contributions'!L118,2)</f>
        <v>21.86</v>
      </c>
      <c r="N119" s="9">
        <v>0</v>
      </c>
      <c r="O119" s="9">
        <f t="shared" si="35"/>
        <v>0</v>
      </c>
      <c r="P119" s="9">
        <f t="shared" si="36"/>
        <v>0</v>
      </c>
      <c r="Q119" s="28">
        <f t="shared" si="37"/>
        <v>0</v>
      </c>
      <c r="R119" s="382">
        <f t="shared" si="38"/>
        <v>0</v>
      </c>
      <c r="S119" s="28">
        <v>0</v>
      </c>
      <c r="T119" s="33">
        <f t="shared" si="39"/>
        <v>0</v>
      </c>
      <c r="U119" s="9">
        <f t="shared" si="40"/>
        <v>0</v>
      </c>
      <c r="V119" s="33">
        <f t="shared" si="41"/>
        <v>0</v>
      </c>
      <c r="W119" s="33">
        <f t="shared" si="42"/>
        <v>0</v>
      </c>
      <c r="X119" s="33">
        <v>0</v>
      </c>
      <c r="Y119" s="113">
        <f t="shared" si="43"/>
        <v>0</v>
      </c>
      <c r="Z119" s="155">
        <f t="shared" si="44"/>
        <v>0</v>
      </c>
      <c r="AA119" s="33">
        <f t="shared" si="45"/>
        <v>0</v>
      </c>
      <c r="AB119" s="114">
        <f t="shared" si="46"/>
        <v>0</v>
      </c>
      <c r="AC119" s="28">
        <f t="shared" si="47"/>
        <v>0</v>
      </c>
      <c r="AD119" s="28">
        <f t="shared" si="48"/>
        <v>0</v>
      </c>
      <c r="AE119" s="28">
        <f t="shared" si="49"/>
        <v>0</v>
      </c>
      <c r="AF119" s="115" t="str">
        <f t="shared" si="50"/>
        <v/>
      </c>
      <c r="AG119" s="28">
        <f t="shared" si="51"/>
        <v>0</v>
      </c>
      <c r="AI119" s="28">
        <f t="shared" si="52"/>
        <v>0</v>
      </c>
      <c r="AJ119" s="28"/>
      <c r="AK119" s="28">
        <f t="shared" si="53"/>
        <v>0</v>
      </c>
      <c r="AL119" s="156"/>
      <c r="AM119" s="6">
        <f t="shared" si="54"/>
        <v>112</v>
      </c>
      <c r="AN119" s="6" t="str">
        <f t="shared" si="55"/>
        <v xml:space="preserve">Granville                    </v>
      </c>
      <c r="AO119" s="6">
        <f t="shared" si="56"/>
        <v>0</v>
      </c>
      <c r="AP119" s="9">
        <f t="shared" si="61"/>
        <v>0</v>
      </c>
      <c r="AQ119" s="9">
        <f t="shared" si="57"/>
        <v>0</v>
      </c>
      <c r="AR119" s="33">
        <f t="shared" si="58"/>
        <v>0</v>
      </c>
      <c r="AS119" s="33">
        <f t="shared" si="59"/>
        <v>0</v>
      </c>
      <c r="AU119" s="28"/>
      <c r="AW119" s="519"/>
    </row>
    <row r="120" spans="1:49">
      <c r="A120" s="6">
        <v>113</v>
      </c>
      <c r="B120" s="6" t="s">
        <v>1231</v>
      </c>
      <c r="C120" s="7">
        <v>0</v>
      </c>
      <c r="D120" s="9">
        <v>0</v>
      </c>
      <c r="E120" s="9">
        <v>0</v>
      </c>
      <c r="F120" s="9">
        <v>0</v>
      </c>
      <c r="G120" s="348"/>
      <c r="H120" s="111">
        <f t="shared" si="60"/>
        <v>0</v>
      </c>
      <c r="I120" s="9">
        <f t="shared" si="31"/>
        <v>0</v>
      </c>
      <c r="J120" s="33">
        <f t="shared" si="32"/>
        <v>0</v>
      </c>
      <c r="K120" s="9">
        <f t="shared" si="33"/>
        <v>0</v>
      </c>
      <c r="L120" s="112">
        <f t="shared" si="34"/>
        <v>0</v>
      </c>
      <c r="M120" s="458">
        <f>ROUND(100-'Townwide Contributions'!L119,2)</f>
        <v>17.5</v>
      </c>
      <c r="N120" s="9">
        <v>0</v>
      </c>
      <c r="O120" s="9">
        <f t="shared" si="35"/>
        <v>0</v>
      </c>
      <c r="P120" s="9">
        <f t="shared" si="36"/>
        <v>0</v>
      </c>
      <c r="Q120" s="28">
        <f t="shared" si="37"/>
        <v>0</v>
      </c>
      <c r="R120" s="382">
        <f t="shared" si="38"/>
        <v>0</v>
      </c>
      <c r="S120" s="28">
        <v>0</v>
      </c>
      <c r="T120" s="33">
        <f t="shared" si="39"/>
        <v>0</v>
      </c>
      <c r="U120" s="9">
        <f t="shared" si="40"/>
        <v>0</v>
      </c>
      <c r="V120" s="33">
        <f t="shared" si="41"/>
        <v>0</v>
      </c>
      <c r="W120" s="33">
        <f t="shared" si="42"/>
        <v>0</v>
      </c>
      <c r="X120" s="33">
        <v>0</v>
      </c>
      <c r="Y120" s="113">
        <f t="shared" si="43"/>
        <v>0</v>
      </c>
      <c r="Z120" s="155">
        <f t="shared" si="44"/>
        <v>0</v>
      </c>
      <c r="AA120" s="33">
        <f t="shared" si="45"/>
        <v>0</v>
      </c>
      <c r="AB120" s="114">
        <f t="shared" si="46"/>
        <v>0</v>
      </c>
      <c r="AC120" s="28">
        <f t="shared" si="47"/>
        <v>0</v>
      </c>
      <c r="AD120" s="28">
        <f t="shared" si="48"/>
        <v>0</v>
      </c>
      <c r="AE120" s="28">
        <f t="shared" si="49"/>
        <v>0</v>
      </c>
      <c r="AF120" s="115" t="str">
        <f t="shared" si="50"/>
        <v/>
      </c>
      <c r="AG120" s="28">
        <f t="shared" si="51"/>
        <v>0</v>
      </c>
      <c r="AI120" s="28">
        <f t="shared" si="52"/>
        <v>0</v>
      </c>
      <c r="AJ120" s="28"/>
      <c r="AK120" s="28">
        <f t="shared" si="53"/>
        <v>0</v>
      </c>
      <c r="AL120" s="156"/>
      <c r="AM120" s="6">
        <f t="shared" si="54"/>
        <v>113</v>
      </c>
      <c r="AN120" s="6" t="str">
        <f t="shared" si="55"/>
        <v xml:space="preserve">Great Barrington             </v>
      </c>
      <c r="AO120" s="6">
        <f t="shared" si="56"/>
        <v>0</v>
      </c>
      <c r="AP120" s="9">
        <f t="shared" si="61"/>
        <v>0</v>
      </c>
      <c r="AQ120" s="9">
        <f t="shared" si="57"/>
        <v>0</v>
      </c>
      <c r="AR120" s="33">
        <f t="shared" si="58"/>
        <v>0</v>
      </c>
      <c r="AS120" s="33">
        <f t="shared" si="59"/>
        <v>0</v>
      </c>
      <c r="AU120" s="28"/>
      <c r="AW120" s="519"/>
    </row>
    <row r="121" spans="1:49">
      <c r="A121" s="6">
        <v>114</v>
      </c>
      <c r="B121" s="6" t="s">
        <v>1232</v>
      </c>
      <c r="C121" s="7">
        <v>1</v>
      </c>
      <c r="D121" s="9">
        <v>27294290.690000001</v>
      </c>
      <c r="E121" s="9">
        <v>11091044</v>
      </c>
      <c r="F121" s="9">
        <v>16203247</v>
      </c>
      <c r="G121" s="348"/>
      <c r="H121" s="111">
        <f t="shared" si="60"/>
        <v>16203247</v>
      </c>
      <c r="I121" s="9">
        <f t="shared" si="31"/>
        <v>27960950.600000009</v>
      </c>
      <c r="J121" s="33">
        <f t="shared" si="32"/>
        <v>11465787</v>
      </c>
      <c r="K121" s="9">
        <f t="shared" si="33"/>
        <v>16495164</v>
      </c>
      <c r="L121" s="112">
        <f t="shared" si="34"/>
        <v>291917</v>
      </c>
      <c r="M121" s="458">
        <f>ROUND(100-'Townwide Contributions'!L120,2)</f>
        <v>55.59</v>
      </c>
      <c r="N121" s="9">
        <v>1791</v>
      </c>
      <c r="O121" s="9">
        <f t="shared" si="35"/>
        <v>1759</v>
      </c>
      <c r="P121" s="9">
        <f t="shared" si="36"/>
        <v>1</v>
      </c>
      <c r="Q121" s="28">
        <f t="shared" si="37"/>
        <v>182936</v>
      </c>
      <c r="R121" s="382">
        <f t="shared" si="38"/>
        <v>0</v>
      </c>
      <c r="S121" s="28">
        <v>16203247</v>
      </c>
      <c r="T121" s="33">
        <f t="shared" si="39"/>
        <v>16256017</v>
      </c>
      <c r="U121" s="9">
        <f t="shared" si="40"/>
        <v>0</v>
      </c>
      <c r="V121" s="33">
        <f t="shared" si="41"/>
        <v>16495164</v>
      </c>
      <c r="W121" s="33">
        <f t="shared" si="42"/>
        <v>0</v>
      </c>
      <c r="X121" s="33">
        <v>0</v>
      </c>
      <c r="Y121" s="113">
        <f t="shared" si="43"/>
        <v>16495164</v>
      </c>
      <c r="Z121" s="155">
        <f t="shared" si="44"/>
        <v>58.99357370203284</v>
      </c>
      <c r="AA121" s="33">
        <f t="shared" si="45"/>
        <v>27960951</v>
      </c>
      <c r="AB121" s="114">
        <f t="shared" si="46"/>
        <v>100.0000014305665</v>
      </c>
      <c r="AC121" s="28">
        <f t="shared" si="47"/>
        <v>666659.9100000076</v>
      </c>
      <c r="AD121" s="28">
        <f t="shared" si="48"/>
        <v>291917</v>
      </c>
      <c r="AE121" s="28">
        <f t="shared" si="49"/>
        <v>951671.56145999394</v>
      </c>
      <c r="AF121" s="115">
        <f t="shared" si="50"/>
        <v>3.4035737020328369</v>
      </c>
      <c r="AG121" s="28">
        <f t="shared" si="51"/>
        <v>15895.94</v>
      </c>
      <c r="AI121" s="28">
        <f t="shared" si="52"/>
        <v>0</v>
      </c>
      <c r="AJ121" s="28"/>
      <c r="AK121" s="28">
        <f t="shared" si="53"/>
        <v>165.9562251279136</v>
      </c>
      <c r="AL121" s="156"/>
      <c r="AM121" s="6">
        <f t="shared" si="54"/>
        <v>114</v>
      </c>
      <c r="AN121" s="6" t="str">
        <f t="shared" si="55"/>
        <v xml:space="preserve">Greenfield                   </v>
      </c>
      <c r="AO121" s="6">
        <f t="shared" si="56"/>
        <v>1</v>
      </c>
      <c r="AP121" s="9">
        <f t="shared" si="61"/>
        <v>1759</v>
      </c>
      <c r="AQ121" s="9">
        <f t="shared" si="57"/>
        <v>27960950.600000009</v>
      </c>
      <c r="AR121" s="33">
        <f t="shared" si="58"/>
        <v>11465787</v>
      </c>
      <c r="AS121" s="33">
        <f t="shared" si="59"/>
        <v>16495164</v>
      </c>
      <c r="AU121" s="28"/>
      <c r="AV121" s="9"/>
      <c r="AW121" s="519"/>
    </row>
    <row r="122" spans="1:49">
      <c r="A122" s="6">
        <v>115</v>
      </c>
      <c r="B122" s="6" t="s">
        <v>1233</v>
      </c>
      <c r="C122" s="7">
        <v>0</v>
      </c>
      <c r="D122" s="9">
        <v>0</v>
      </c>
      <c r="E122" s="9">
        <v>0</v>
      </c>
      <c r="F122" s="9">
        <v>0</v>
      </c>
      <c r="G122" s="348"/>
      <c r="H122" s="111">
        <f t="shared" si="60"/>
        <v>0</v>
      </c>
      <c r="I122" s="9">
        <f t="shared" si="31"/>
        <v>0</v>
      </c>
      <c r="J122" s="33">
        <f t="shared" si="32"/>
        <v>0</v>
      </c>
      <c r="K122" s="9">
        <f t="shared" si="33"/>
        <v>0</v>
      </c>
      <c r="L122" s="112">
        <f t="shared" si="34"/>
        <v>0</v>
      </c>
      <c r="M122" s="458">
        <f>ROUND(100-'Townwide Contributions'!L121,2)</f>
        <v>17.5</v>
      </c>
      <c r="N122" s="9">
        <v>0</v>
      </c>
      <c r="O122" s="9">
        <f t="shared" si="35"/>
        <v>0</v>
      </c>
      <c r="P122" s="9">
        <f t="shared" si="36"/>
        <v>0</v>
      </c>
      <c r="Q122" s="28">
        <f t="shared" si="37"/>
        <v>0</v>
      </c>
      <c r="R122" s="382">
        <f t="shared" si="38"/>
        <v>0</v>
      </c>
      <c r="S122" s="28">
        <v>0</v>
      </c>
      <c r="T122" s="33">
        <f t="shared" si="39"/>
        <v>0</v>
      </c>
      <c r="U122" s="9">
        <f t="shared" si="40"/>
        <v>0</v>
      </c>
      <c r="V122" s="33">
        <f t="shared" si="41"/>
        <v>0</v>
      </c>
      <c r="W122" s="33">
        <f t="shared" si="42"/>
        <v>0</v>
      </c>
      <c r="X122" s="33">
        <v>0</v>
      </c>
      <c r="Y122" s="113">
        <f t="shared" si="43"/>
        <v>0</v>
      </c>
      <c r="Z122" s="155">
        <f t="shared" si="44"/>
        <v>0</v>
      </c>
      <c r="AA122" s="33">
        <f t="shared" si="45"/>
        <v>0</v>
      </c>
      <c r="AB122" s="114">
        <f t="shared" si="46"/>
        <v>0</v>
      </c>
      <c r="AC122" s="28">
        <f t="shared" si="47"/>
        <v>0</v>
      </c>
      <c r="AD122" s="28">
        <f t="shared" si="48"/>
        <v>0</v>
      </c>
      <c r="AE122" s="28">
        <f t="shared" si="49"/>
        <v>0</v>
      </c>
      <c r="AF122" s="115" t="str">
        <f t="shared" si="50"/>
        <v/>
      </c>
      <c r="AG122" s="28">
        <f t="shared" si="51"/>
        <v>0</v>
      </c>
      <c r="AI122" s="28">
        <f t="shared" si="52"/>
        <v>0</v>
      </c>
      <c r="AJ122" s="28"/>
      <c r="AK122" s="28">
        <f t="shared" si="53"/>
        <v>0</v>
      </c>
      <c r="AL122" s="156"/>
      <c r="AM122" s="6">
        <f t="shared" si="54"/>
        <v>115</v>
      </c>
      <c r="AN122" s="6" t="str">
        <f t="shared" si="55"/>
        <v xml:space="preserve">Groton                       </v>
      </c>
      <c r="AO122" s="6">
        <f t="shared" si="56"/>
        <v>0</v>
      </c>
      <c r="AP122" s="9">
        <f t="shared" si="61"/>
        <v>0</v>
      </c>
      <c r="AQ122" s="9">
        <f t="shared" si="57"/>
        <v>0</v>
      </c>
      <c r="AR122" s="33">
        <f t="shared" si="58"/>
        <v>0</v>
      </c>
      <c r="AS122" s="33">
        <f t="shared" si="59"/>
        <v>0</v>
      </c>
      <c r="AU122" s="28"/>
      <c r="AW122" s="519"/>
    </row>
    <row r="123" spans="1:49">
      <c r="A123" s="6">
        <v>116</v>
      </c>
      <c r="B123" s="6" t="s">
        <v>1234</v>
      </c>
      <c r="C123" s="7">
        <v>0</v>
      </c>
      <c r="D123" s="9">
        <v>148416.84</v>
      </c>
      <c r="E123" s="9">
        <v>106462</v>
      </c>
      <c r="F123" s="9">
        <v>65470</v>
      </c>
      <c r="G123" s="348"/>
      <c r="H123" s="111">
        <f t="shared" si="60"/>
        <v>65470</v>
      </c>
      <c r="I123" s="9">
        <f t="shared" si="31"/>
        <v>168603.30000000002</v>
      </c>
      <c r="J123" s="33">
        <f t="shared" si="32"/>
        <v>122594</v>
      </c>
      <c r="K123" s="9">
        <f t="shared" si="33"/>
        <v>46009</v>
      </c>
      <c r="L123" s="112">
        <f t="shared" si="34"/>
        <v>0</v>
      </c>
      <c r="M123" s="458">
        <f>ROUND(100-'Townwide Contributions'!L122,2)</f>
        <v>18.809999999999999</v>
      </c>
      <c r="N123" s="9">
        <v>9</v>
      </c>
      <c r="O123" s="9">
        <f t="shared" si="35"/>
        <v>10</v>
      </c>
      <c r="P123" s="9">
        <f t="shared" si="36"/>
        <v>0</v>
      </c>
      <c r="Q123" s="28">
        <f t="shared" si="37"/>
        <v>0</v>
      </c>
      <c r="R123" s="382">
        <f t="shared" si="38"/>
        <v>0</v>
      </c>
      <c r="S123" s="28">
        <v>65470</v>
      </c>
      <c r="T123" s="33">
        <f t="shared" si="39"/>
        <v>65770</v>
      </c>
      <c r="U123" s="9">
        <f t="shared" si="40"/>
        <v>0</v>
      </c>
      <c r="V123" s="33">
        <f t="shared" si="41"/>
        <v>65470</v>
      </c>
      <c r="W123" s="33">
        <f t="shared" si="42"/>
        <v>0</v>
      </c>
      <c r="X123" s="33">
        <v>0</v>
      </c>
      <c r="Y123" s="113">
        <f t="shared" si="43"/>
        <v>65470</v>
      </c>
      <c r="Z123" s="155">
        <f t="shared" si="44"/>
        <v>0</v>
      </c>
      <c r="AA123" s="33">
        <f t="shared" si="45"/>
        <v>188064</v>
      </c>
      <c r="AB123" s="114">
        <f t="shared" si="46"/>
        <v>111.54230077347239</v>
      </c>
      <c r="AC123" s="28">
        <f t="shared" si="47"/>
        <v>20186.460000000021</v>
      </c>
      <c r="AD123" s="28">
        <f t="shared" si="48"/>
        <v>0</v>
      </c>
      <c r="AE123" s="28">
        <f t="shared" si="49"/>
        <v>33755.719270000001</v>
      </c>
      <c r="AF123" s="115" t="str">
        <f t="shared" si="50"/>
        <v/>
      </c>
      <c r="AG123" s="28">
        <f t="shared" si="51"/>
        <v>16860.330000000002</v>
      </c>
      <c r="AI123" s="28">
        <f t="shared" si="52"/>
        <v>0</v>
      </c>
      <c r="AJ123" s="28"/>
      <c r="AK123" s="28">
        <f t="shared" si="53"/>
        <v>0</v>
      </c>
      <c r="AL123" s="156"/>
      <c r="AM123" s="6">
        <f t="shared" si="54"/>
        <v>116</v>
      </c>
      <c r="AN123" s="6" t="str">
        <f t="shared" si="55"/>
        <v xml:space="preserve">Groveland                    </v>
      </c>
      <c r="AO123" s="6">
        <f t="shared" si="56"/>
        <v>0</v>
      </c>
      <c r="AP123" s="9">
        <f t="shared" si="61"/>
        <v>10</v>
      </c>
      <c r="AQ123" s="9">
        <f t="shared" si="57"/>
        <v>168603.30000000002</v>
      </c>
      <c r="AR123" s="33">
        <f t="shared" si="58"/>
        <v>122594</v>
      </c>
      <c r="AS123" s="33">
        <f t="shared" si="59"/>
        <v>65470</v>
      </c>
      <c r="AU123" s="28"/>
      <c r="AV123" s="9"/>
      <c r="AW123" s="519"/>
    </row>
    <row r="124" spans="1:49">
      <c r="A124" s="6">
        <v>117</v>
      </c>
      <c r="B124" s="6" t="s">
        <v>1235</v>
      </c>
      <c r="C124" s="7">
        <v>1</v>
      </c>
      <c r="D124" s="9">
        <v>6277106.5899999999</v>
      </c>
      <c r="E124" s="9">
        <v>5178613</v>
      </c>
      <c r="F124" s="9">
        <v>1350100</v>
      </c>
      <c r="G124" s="348"/>
      <c r="H124" s="111">
        <f t="shared" si="60"/>
        <v>1350100</v>
      </c>
      <c r="I124" s="9">
        <f t="shared" si="31"/>
        <v>6210751.3199999984</v>
      </c>
      <c r="J124" s="33">
        <f t="shared" si="32"/>
        <v>5123870</v>
      </c>
      <c r="K124" s="9">
        <f t="shared" si="33"/>
        <v>1086881</v>
      </c>
      <c r="L124" s="112">
        <f t="shared" si="34"/>
        <v>0</v>
      </c>
      <c r="M124" s="458">
        <f>ROUND(100-'Townwide Contributions'!L123,2)</f>
        <v>17.5</v>
      </c>
      <c r="N124" s="9">
        <v>456</v>
      </c>
      <c r="O124" s="9">
        <f t="shared" si="35"/>
        <v>449</v>
      </c>
      <c r="P124" s="9">
        <f t="shared" si="36"/>
        <v>0</v>
      </c>
      <c r="Q124" s="28">
        <f t="shared" si="37"/>
        <v>46696</v>
      </c>
      <c r="R124" s="382">
        <f t="shared" si="38"/>
        <v>46696</v>
      </c>
      <c r="S124" s="28">
        <v>1350100</v>
      </c>
      <c r="T124" s="33">
        <f t="shared" si="39"/>
        <v>1363570</v>
      </c>
      <c r="U124" s="9">
        <f t="shared" si="40"/>
        <v>0</v>
      </c>
      <c r="V124" s="33">
        <f t="shared" si="41"/>
        <v>1396796</v>
      </c>
      <c r="W124" s="33">
        <f t="shared" si="42"/>
        <v>0</v>
      </c>
      <c r="X124" s="33">
        <v>0</v>
      </c>
      <c r="Y124" s="113">
        <f t="shared" si="43"/>
        <v>1396796</v>
      </c>
      <c r="Z124" s="155">
        <f t="shared" si="44"/>
        <v>22.489968250733316</v>
      </c>
      <c r="AA124" s="33">
        <f t="shared" si="45"/>
        <v>6520666</v>
      </c>
      <c r="AB124" s="114">
        <f t="shared" si="46"/>
        <v>104.9899708430123</v>
      </c>
      <c r="AC124" s="28">
        <f t="shared" si="47"/>
        <v>-66355.270000001416</v>
      </c>
      <c r="AD124" s="28">
        <f t="shared" si="48"/>
        <v>46696</v>
      </c>
      <c r="AE124" s="28">
        <f t="shared" si="49"/>
        <v>309914.51900000032</v>
      </c>
      <c r="AF124" s="115">
        <f t="shared" si="50"/>
        <v>4.9899682507333161</v>
      </c>
      <c r="AG124" s="28">
        <f t="shared" si="51"/>
        <v>13832.41</v>
      </c>
      <c r="AI124" s="28">
        <f t="shared" si="52"/>
        <v>0</v>
      </c>
      <c r="AJ124" s="28"/>
      <c r="AK124" s="28">
        <f t="shared" si="53"/>
        <v>104</v>
      </c>
      <c r="AL124" s="156"/>
      <c r="AM124" s="6">
        <f t="shared" si="54"/>
        <v>117</v>
      </c>
      <c r="AN124" s="6" t="str">
        <f t="shared" si="55"/>
        <v xml:space="preserve">Hadley                       </v>
      </c>
      <c r="AO124" s="6">
        <f t="shared" si="56"/>
        <v>1</v>
      </c>
      <c r="AP124" s="9">
        <f t="shared" si="61"/>
        <v>449</v>
      </c>
      <c r="AQ124" s="9">
        <f t="shared" si="57"/>
        <v>6210751.3199999984</v>
      </c>
      <c r="AR124" s="33">
        <f t="shared" si="58"/>
        <v>5123870</v>
      </c>
      <c r="AS124" s="33">
        <f t="shared" si="59"/>
        <v>1396796</v>
      </c>
      <c r="AU124" s="28"/>
      <c r="AV124" s="9"/>
      <c r="AW124" s="519"/>
    </row>
    <row r="125" spans="1:49">
      <c r="A125" s="6">
        <v>118</v>
      </c>
      <c r="B125" s="6" t="s">
        <v>1236</v>
      </c>
      <c r="C125" s="7">
        <v>1</v>
      </c>
      <c r="D125" s="9">
        <v>7849455.0234599989</v>
      </c>
      <c r="E125" s="9">
        <v>4340378</v>
      </c>
      <c r="F125" s="9">
        <v>3509077</v>
      </c>
      <c r="G125" s="348"/>
      <c r="H125" s="111">
        <f t="shared" si="60"/>
        <v>3509077</v>
      </c>
      <c r="I125" s="9">
        <f t="shared" si="31"/>
        <v>7511760.5564400004</v>
      </c>
      <c r="J125" s="33">
        <f t="shared" si="32"/>
        <v>4050476</v>
      </c>
      <c r="K125" s="9">
        <f t="shared" si="33"/>
        <v>3461285</v>
      </c>
      <c r="L125" s="112">
        <f t="shared" si="34"/>
        <v>0</v>
      </c>
      <c r="M125" s="458">
        <f>ROUND(100-'Townwide Contributions'!L124,2)</f>
        <v>41.85</v>
      </c>
      <c r="N125" s="9">
        <v>613</v>
      </c>
      <c r="O125" s="9">
        <f t="shared" si="35"/>
        <v>564</v>
      </c>
      <c r="P125" s="9">
        <f t="shared" si="36"/>
        <v>0</v>
      </c>
      <c r="Q125" s="28">
        <f t="shared" si="37"/>
        <v>58656</v>
      </c>
      <c r="R125" s="382">
        <f t="shared" si="38"/>
        <v>58656</v>
      </c>
      <c r="S125" s="28">
        <v>3509077</v>
      </c>
      <c r="T125" s="33">
        <f t="shared" si="39"/>
        <v>3525997</v>
      </c>
      <c r="U125" s="9">
        <f t="shared" si="40"/>
        <v>0</v>
      </c>
      <c r="V125" s="33">
        <f t="shared" si="41"/>
        <v>3567733</v>
      </c>
      <c r="W125" s="33">
        <f t="shared" si="42"/>
        <v>0</v>
      </c>
      <c r="X125" s="33">
        <v>0</v>
      </c>
      <c r="Y125" s="113">
        <f t="shared" si="43"/>
        <v>3567733</v>
      </c>
      <c r="Z125" s="155">
        <f t="shared" si="44"/>
        <v>47.495297183578387</v>
      </c>
      <c r="AA125" s="33">
        <f t="shared" si="45"/>
        <v>7618209</v>
      </c>
      <c r="AB125" s="114">
        <f t="shared" si="46"/>
        <v>101.41709047779403</v>
      </c>
      <c r="AC125" s="28">
        <f t="shared" si="47"/>
        <v>-337694.46701999847</v>
      </c>
      <c r="AD125" s="28">
        <f t="shared" si="48"/>
        <v>58656</v>
      </c>
      <c r="AE125" s="28">
        <f t="shared" si="49"/>
        <v>424061.20712985937</v>
      </c>
      <c r="AF125" s="115">
        <f t="shared" si="50"/>
        <v>5.6452971835783856</v>
      </c>
      <c r="AG125" s="28">
        <f t="shared" si="51"/>
        <v>13318.72</v>
      </c>
      <c r="AI125" s="28">
        <f t="shared" si="52"/>
        <v>0</v>
      </c>
      <c r="AJ125" s="28"/>
      <c r="AK125" s="28">
        <f t="shared" si="53"/>
        <v>104</v>
      </c>
      <c r="AL125" s="156"/>
      <c r="AM125" s="6">
        <f t="shared" si="54"/>
        <v>118</v>
      </c>
      <c r="AN125" s="6" t="str">
        <f t="shared" si="55"/>
        <v xml:space="preserve">Halifax                      </v>
      </c>
      <c r="AO125" s="6">
        <f t="shared" si="56"/>
        <v>1</v>
      </c>
      <c r="AP125" s="9">
        <f t="shared" si="61"/>
        <v>564</v>
      </c>
      <c r="AQ125" s="9">
        <f t="shared" si="57"/>
        <v>7511760.5564400004</v>
      </c>
      <c r="AR125" s="33">
        <f t="shared" si="58"/>
        <v>4050476</v>
      </c>
      <c r="AS125" s="33">
        <f t="shared" si="59"/>
        <v>3567733</v>
      </c>
      <c r="AU125" s="28"/>
      <c r="AV125" s="9"/>
      <c r="AW125" s="519"/>
    </row>
    <row r="126" spans="1:49">
      <c r="A126" s="6">
        <v>119</v>
      </c>
      <c r="B126" s="6" t="s">
        <v>1237</v>
      </c>
      <c r="C126" s="7">
        <v>0</v>
      </c>
      <c r="D126" s="9">
        <v>0</v>
      </c>
      <c r="E126" s="9">
        <v>0</v>
      </c>
      <c r="F126" s="9">
        <v>0</v>
      </c>
      <c r="G126" s="348"/>
      <c r="H126" s="111">
        <f t="shared" si="60"/>
        <v>0</v>
      </c>
      <c r="I126" s="9">
        <f t="shared" si="31"/>
        <v>0</v>
      </c>
      <c r="J126" s="33">
        <f t="shared" si="32"/>
        <v>0</v>
      </c>
      <c r="K126" s="9">
        <f t="shared" si="33"/>
        <v>0</v>
      </c>
      <c r="L126" s="112">
        <f t="shared" si="34"/>
        <v>0</v>
      </c>
      <c r="M126" s="458">
        <f>ROUND(100-'Townwide Contributions'!L125,2)</f>
        <v>17.5</v>
      </c>
      <c r="N126" s="9">
        <v>0</v>
      </c>
      <c r="O126" s="9">
        <f t="shared" si="35"/>
        <v>0</v>
      </c>
      <c r="P126" s="9">
        <f t="shared" si="36"/>
        <v>0</v>
      </c>
      <c r="Q126" s="28">
        <f t="shared" si="37"/>
        <v>0</v>
      </c>
      <c r="R126" s="382">
        <f t="shared" si="38"/>
        <v>0</v>
      </c>
      <c r="S126" s="28">
        <v>0</v>
      </c>
      <c r="T126" s="33">
        <f t="shared" si="39"/>
        <v>0</v>
      </c>
      <c r="U126" s="9">
        <f t="shared" si="40"/>
        <v>0</v>
      </c>
      <c r="V126" s="33">
        <f t="shared" si="41"/>
        <v>0</v>
      </c>
      <c r="W126" s="33">
        <f t="shared" si="42"/>
        <v>0</v>
      </c>
      <c r="X126" s="33">
        <v>0</v>
      </c>
      <c r="Y126" s="113">
        <f t="shared" si="43"/>
        <v>0</v>
      </c>
      <c r="Z126" s="155">
        <f t="shared" si="44"/>
        <v>0</v>
      </c>
      <c r="AA126" s="33">
        <f t="shared" si="45"/>
        <v>0</v>
      </c>
      <c r="AB126" s="114">
        <f t="shared" si="46"/>
        <v>0</v>
      </c>
      <c r="AC126" s="28">
        <f t="shared" si="47"/>
        <v>0</v>
      </c>
      <c r="AD126" s="28">
        <f t="shared" si="48"/>
        <v>0</v>
      </c>
      <c r="AE126" s="28">
        <f t="shared" si="49"/>
        <v>0</v>
      </c>
      <c r="AF126" s="115" t="str">
        <f t="shared" si="50"/>
        <v/>
      </c>
      <c r="AG126" s="28">
        <f t="shared" si="51"/>
        <v>0</v>
      </c>
      <c r="AI126" s="28">
        <f t="shared" si="52"/>
        <v>0</v>
      </c>
      <c r="AJ126" s="28"/>
      <c r="AK126" s="28">
        <f t="shared" si="53"/>
        <v>0</v>
      </c>
      <c r="AL126" s="156"/>
      <c r="AM126" s="6">
        <f t="shared" si="54"/>
        <v>119</v>
      </c>
      <c r="AN126" s="6" t="str">
        <f t="shared" si="55"/>
        <v xml:space="preserve">Hamilton                     </v>
      </c>
      <c r="AO126" s="6">
        <f t="shared" si="56"/>
        <v>0</v>
      </c>
      <c r="AP126" s="9">
        <f t="shared" si="61"/>
        <v>0</v>
      </c>
      <c r="AQ126" s="9">
        <f t="shared" si="57"/>
        <v>0</v>
      </c>
      <c r="AR126" s="33">
        <f t="shared" si="58"/>
        <v>0</v>
      </c>
      <c r="AS126" s="33">
        <f t="shared" si="59"/>
        <v>0</v>
      </c>
      <c r="AU126" s="28"/>
      <c r="AW126" s="519"/>
    </row>
    <row r="127" spans="1:49">
      <c r="A127" s="6">
        <v>120</v>
      </c>
      <c r="B127" s="6" t="s">
        <v>1238</v>
      </c>
      <c r="C127" s="7">
        <v>0</v>
      </c>
      <c r="D127" s="9">
        <v>0</v>
      </c>
      <c r="E127" s="9">
        <v>0</v>
      </c>
      <c r="F127" s="9">
        <v>0</v>
      </c>
      <c r="G127" s="348"/>
      <c r="H127" s="111">
        <f t="shared" si="60"/>
        <v>0</v>
      </c>
      <c r="I127" s="9">
        <f t="shared" si="31"/>
        <v>0</v>
      </c>
      <c r="J127" s="33">
        <f t="shared" si="32"/>
        <v>0</v>
      </c>
      <c r="K127" s="9">
        <f t="shared" si="33"/>
        <v>0</v>
      </c>
      <c r="L127" s="112">
        <f t="shared" si="34"/>
        <v>0</v>
      </c>
      <c r="M127" s="458">
        <f>ROUND(100-'Townwide Contributions'!L126,2)</f>
        <v>17.5</v>
      </c>
      <c r="N127" s="9">
        <v>0</v>
      </c>
      <c r="O127" s="9">
        <f t="shared" si="35"/>
        <v>0</v>
      </c>
      <c r="P127" s="9">
        <f t="shared" si="36"/>
        <v>0</v>
      </c>
      <c r="Q127" s="28">
        <f t="shared" si="37"/>
        <v>0</v>
      </c>
      <c r="R127" s="382">
        <f t="shared" si="38"/>
        <v>0</v>
      </c>
      <c r="S127" s="28">
        <v>0</v>
      </c>
      <c r="T127" s="33">
        <f t="shared" si="39"/>
        <v>0</v>
      </c>
      <c r="U127" s="9">
        <f t="shared" si="40"/>
        <v>0</v>
      </c>
      <c r="V127" s="33">
        <f t="shared" si="41"/>
        <v>0</v>
      </c>
      <c r="W127" s="33">
        <f t="shared" si="42"/>
        <v>0</v>
      </c>
      <c r="X127" s="33">
        <v>0</v>
      </c>
      <c r="Y127" s="113">
        <f t="shared" si="43"/>
        <v>0</v>
      </c>
      <c r="Z127" s="155">
        <f t="shared" si="44"/>
        <v>0</v>
      </c>
      <c r="AA127" s="33">
        <f t="shared" si="45"/>
        <v>0</v>
      </c>
      <c r="AB127" s="114">
        <f t="shared" si="46"/>
        <v>0</v>
      </c>
      <c r="AC127" s="28">
        <f t="shared" si="47"/>
        <v>0</v>
      </c>
      <c r="AD127" s="28">
        <f t="shared" si="48"/>
        <v>0</v>
      </c>
      <c r="AE127" s="28">
        <f t="shared" si="49"/>
        <v>0</v>
      </c>
      <c r="AF127" s="115" t="str">
        <f t="shared" si="50"/>
        <v/>
      </c>
      <c r="AG127" s="28">
        <f t="shared" si="51"/>
        <v>0</v>
      </c>
      <c r="AI127" s="28">
        <f t="shared" si="52"/>
        <v>0</v>
      </c>
      <c r="AJ127" s="28"/>
      <c r="AK127" s="28">
        <f t="shared" si="53"/>
        <v>0</v>
      </c>
      <c r="AL127" s="156"/>
      <c r="AM127" s="6">
        <f t="shared" si="54"/>
        <v>120</v>
      </c>
      <c r="AN127" s="6" t="str">
        <f t="shared" si="55"/>
        <v xml:space="preserve">Hampden                      </v>
      </c>
      <c r="AO127" s="6">
        <f t="shared" si="56"/>
        <v>0</v>
      </c>
      <c r="AP127" s="9">
        <f t="shared" si="61"/>
        <v>0</v>
      </c>
      <c r="AQ127" s="9">
        <f t="shared" si="57"/>
        <v>0</v>
      </c>
      <c r="AR127" s="33">
        <f t="shared" si="58"/>
        <v>0</v>
      </c>
      <c r="AS127" s="33">
        <f t="shared" si="59"/>
        <v>0</v>
      </c>
      <c r="AU127" s="28"/>
      <c r="AW127" s="519"/>
    </row>
    <row r="128" spans="1:49">
      <c r="A128" s="6">
        <v>121</v>
      </c>
      <c r="B128" s="6" t="s">
        <v>1239</v>
      </c>
      <c r="C128" s="7">
        <v>1</v>
      </c>
      <c r="D128" s="9">
        <v>1216494.7500000002</v>
      </c>
      <c r="E128" s="9">
        <v>780690</v>
      </c>
      <c r="F128" s="9">
        <v>435805</v>
      </c>
      <c r="G128" s="348"/>
      <c r="H128" s="111">
        <f t="shared" si="60"/>
        <v>435805</v>
      </c>
      <c r="I128" s="9">
        <f t="shared" si="31"/>
        <v>1270682.74</v>
      </c>
      <c r="J128" s="33">
        <f t="shared" si="32"/>
        <v>820427</v>
      </c>
      <c r="K128" s="9">
        <f t="shared" si="33"/>
        <v>450256</v>
      </c>
      <c r="L128" s="112">
        <f t="shared" si="34"/>
        <v>14451</v>
      </c>
      <c r="M128" s="458">
        <f>ROUND(100-'Townwide Contributions'!L127,2)</f>
        <v>17.5</v>
      </c>
      <c r="N128" s="9">
        <v>86</v>
      </c>
      <c r="O128" s="9">
        <f t="shared" si="35"/>
        <v>85</v>
      </c>
      <c r="P128" s="9">
        <f t="shared" si="36"/>
        <v>1</v>
      </c>
      <c r="Q128" s="28">
        <f t="shared" si="37"/>
        <v>8840</v>
      </c>
      <c r="R128" s="382">
        <f t="shared" si="38"/>
        <v>0</v>
      </c>
      <c r="S128" s="28">
        <v>435805</v>
      </c>
      <c r="T128" s="33">
        <f t="shared" si="39"/>
        <v>438355</v>
      </c>
      <c r="U128" s="9">
        <f t="shared" si="40"/>
        <v>0</v>
      </c>
      <c r="V128" s="33">
        <f t="shared" si="41"/>
        <v>450256</v>
      </c>
      <c r="W128" s="33">
        <f t="shared" si="42"/>
        <v>0</v>
      </c>
      <c r="X128" s="33">
        <v>0</v>
      </c>
      <c r="Y128" s="113">
        <f t="shared" si="43"/>
        <v>450256</v>
      </c>
      <c r="Z128" s="155">
        <f t="shared" si="44"/>
        <v>35.434179266494169</v>
      </c>
      <c r="AA128" s="33">
        <f t="shared" si="45"/>
        <v>1270683</v>
      </c>
      <c r="AB128" s="114">
        <f t="shared" si="46"/>
        <v>100.00002046144107</v>
      </c>
      <c r="AC128" s="28">
        <f t="shared" si="47"/>
        <v>54187.989999999758</v>
      </c>
      <c r="AD128" s="28">
        <f t="shared" si="48"/>
        <v>14451</v>
      </c>
      <c r="AE128" s="28">
        <f t="shared" si="49"/>
        <v>227886.52050000001</v>
      </c>
      <c r="AF128" s="115">
        <f t="shared" si="50"/>
        <v>17.934179266494169</v>
      </c>
      <c r="AG128" s="28">
        <f t="shared" si="51"/>
        <v>14949.21</v>
      </c>
      <c r="AI128" s="28">
        <f t="shared" si="52"/>
        <v>0</v>
      </c>
      <c r="AJ128" s="28"/>
      <c r="AK128" s="28">
        <f t="shared" si="53"/>
        <v>170.01176470588234</v>
      </c>
      <c r="AL128" s="156"/>
      <c r="AM128" s="6">
        <f t="shared" si="54"/>
        <v>121</v>
      </c>
      <c r="AN128" s="6" t="str">
        <f t="shared" si="55"/>
        <v xml:space="preserve">Hancock                      </v>
      </c>
      <c r="AO128" s="6">
        <f t="shared" si="56"/>
        <v>1</v>
      </c>
      <c r="AP128" s="9">
        <f t="shared" si="61"/>
        <v>85</v>
      </c>
      <c r="AQ128" s="9">
        <f t="shared" si="57"/>
        <v>1270682.74</v>
      </c>
      <c r="AR128" s="33">
        <f t="shared" si="58"/>
        <v>820427</v>
      </c>
      <c r="AS128" s="33">
        <f t="shared" si="59"/>
        <v>450256</v>
      </c>
      <c r="AU128" s="28"/>
      <c r="AV128" s="9"/>
      <c r="AW128" s="519"/>
    </row>
    <row r="129" spans="1:49">
      <c r="A129" s="6">
        <v>122</v>
      </c>
      <c r="B129" s="6" t="s">
        <v>1240</v>
      </c>
      <c r="C129" s="7">
        <v>1</v>
      </c>
      <c r="D129" s="9">
        <v>30800181.273539998</v>
      </c>
      <c r="E129" s="9">
        <v>23372172</v>
      </c>
      <c r="F129" s="9">
        <v>7458443</v>
      </c>
      <c r="G129" s="348"/>
      <c r="H129" s="111">
        <f t="shared" si="60"/>
        <v>7458443</v>
      </c>
      <c r="I129" s="9">
        <f t="shared" si="31"/>
        <v>31861566.581689995</v>
      </c>
      <c r="J129" s="33">
        <f t="shared" si="32"/>
        <v>24358612</v>
      </c>
      <c r="K129" s="9">
        <f t="shared" si="33"/>
        <v>7502955</v>
      </c>
      <c r="L129" s="112">
        <f t="shared" si="34"/>
        <v>44512</v>
      </c>
      <c r="M129" s="458">
        <f>ROUND(100-'Townwide Contributions'!L128,2)</f>
        <v>17.5</v>
      </c>
      <c r="N129" s="9">
        <v>2481</v>
      </c>
      <c r="O129" s="9">
        <f t="shared" si="35"/>
        <v>2497</v>
      </c>
      <c r="P129" s="9">
        <f t="shared" si="36"/>
        <v>1</v>
      </c>
      <c r="Q129" s="28">
        <f t="shared" si="37"/>
        <v>259688</v>
      </c>
      <c r="R129" s="382">
        <f t="shared" si="38"/>
        <v>215176</v>
      </c>
      <c r="S129" s="28">
        <v>7458443</v>
      </c>
      <c r="T129" s="33">
        <f t="shared" si="39"/>
        <v>7533353</v>
      </c>
      <c r="U129" s="9">
        <f t="shared" si="40"/>
        <v>0</v>
      </c>
      <c r="V129" s="33">
        <f t="shared" si="41"/>
        <v>7718131</v>
      </c>
      <c r="W129" s="33">
        <f t="shared" si="42"/>
        <v>0</v>
      </c>
      <c r="X129" s="33">
        <v>0</v>
      </c>
      <c r="Y129" s="113">
        <f t="shared" si="43"/>
        <v>7718131</v>
      </c>
      <c r="Z129" s="155">
        <f t="shared" si="44"/>
        <v>24.223953270506815</v>
      </c>
      <c r="AA129" s="33">
        <f t="shared" si="45"/>
        <v>32076743</v>
      </c>
      <c r="AB129" s="114">
        <f t="shared" si="46"/>
        <v>100.67534789213303</v>
      </c>
      <c r="AC129" s="28">
        <f t="shared" si="47"/>
        <v>1061385.3081499971</v>
      </c>
      <c r="AD129" s="28">
        <f t="shared" si="48"/>
        <v>259688</v>
      </c>
      <c r="AE129" s="28">
        <f t="shared" si="49"/>
        <v>2142356.8482042514</v>
      </c>
      <c r="AF129" s="115">
        <f t="shared" si="50"/>
        <v>6.723953270506815</v>
      </c>
      <c r="AG129" s="28">
        <f t="shared" si="51"/>
        <v>12759.94</v>
      </c>
      <c r="AI129" s="28">
        <f t="shared" si="52"/>
        <v>0</v>
      </c>
      <c r="AJ129" s="28"/>
      <c r="AK129" s="28">
        <f t="shared" si="53"/>
        <v>104</v>
      </c>
      <c r="AL129" s="156"/>
      <c r="AM129" s="6">
        <f t="shared" si="54"/>
        <v>122</v>
      </c>
      <c r="AN129" s="6" t="str">
        <f t="shared" si="55"/>
        <v xml:space="preserve">Hanover                      </v>
      </c>
      <c r="AO129" s="6">
        <f t="shared" si="56"/>
        <v>1</v>
      </c>
      <c r="AP129" s="9">
        <f t="shared" si="61"/>
        <v>2497</v>
      </c>
      <c r="AQ129" s="9">
        <f t="shared" si="57"/>
        <v>31861566.581689995</v>
      </c>
      <c r="AR129" s="33">
        <f t="shared" si="58"/>
        <v>24358612</v>
      </c>
      <c r="AS129" s="33">
        <f t="shared" si="59"/>
        <v>7718131</v>
      </c>
      <c r="AU129" s="28"/>
      <c r="AV129" s="9"/>
      <c r="AW129" s="519"/>
    </row>
    <row r="130" spans="1:49">
      <c r="A130" s="6">
        <v>123</v>
      </c>
      <c r="B130" s="6" t="s">
        <v>1241</v>
      </c>
      <c r="C130" s="7">
        <v>0</v>
      </c>
      <c r="D130" s="9">
        <v>82453.8</v>
      </c>
      <c r="E130" s="9">
        <v>47057</v>
      </c>
      <c r="F130" s="9">
        <v>35397</v>
      </c>
      <c r="G130" s="348"/>
      <c r="H130" s="111">
        <f t="shared" si="60"/>
        <v>35397</v>
      </c>
      <c r="I130" s="9">
        <f t="shared" si="31"/>
        <v>101161.98000000001</v>
      </c>
      <c r="J130" s="33">
        <f t="shared" si="32"/>
        <v>61192</v>
      </c>
      <c r="K130" s="9">
        <f t="shared" si="33"/>
        <v>39970</v>
      </c>
      <c r="L130" s="112">
        <f t="shared" si="34"/>
        <v>4573</v>
      </c>
      <c r="M130" s="458">
        <f>ROUND(100-'Townwide Contributions'!L129,2)</f>
        <v>33.14</v>
      </c>
      <c r="N130" s="9">
        <v>5</v>
      </c>
      <c r="O130" s="9">
        <f t="shared" si="35"/>
        <v>6</v>
      </c>
      <c r="P130" s="9">
        <f t="shared" si="36"/>
        <v>0</v>
      </c>
      <c r="Q130" s="28">
        <f t="shared" si="37"/>
        <v>0</v>
      </c>
      <c r="R130" s="382">
        <f t="shared" si="38"/>
        <v>0</v>
      </c>
      <c r="S130" s="28">
        <v>37618</v>
      </c>
      <c r="T130" s="33">
        <f t="shared" si="39"/>
        <v>37798</v>
      </c>
      <c r="U130" s="9">
        <f t="shared" si="40"/>
        <v>0</v>
      </c>
      <c r="V130" s="33">
        <f t="shared" si="41"/>
        <v>39970</v>
      </c>
      <c r="W130" s="33">
        <f t="shared" si="42"/>
        <v>0</v>
      </c>
      <c r="X130" s="33">
        <v>549</v>
      </c>
      <c r="Y130" s="113">
        <f t="shared" si="43"/>
        <v>40519</v>
      </c>
      <c r="Z130" s="155">
        <f t="shared" si="44"/>
        <v>0</v>
      </c>
      <c r="AA130" s="33">
        <f t="shared" si="45"/>
        <v>101711</v>
      </c>
      <c r="AB130" s="114">
        <f t="shared" si="46"/>
        <v>100.54271377448325</v>
      </c>
      <c r="AC130" s="28">
        <f t="shared" si="47"/>
        <v>18708.180000000008</v>
      </c>
      <c r="AD130" s="28">
        <f t="shared" si="48"/>
        <v>5122</v>
      </c>
      <c r="AE130" s="28">
        <f t="shared" si="49"/>
        <v>6993.919827999991</v>
      </c>
      <c r="AF130" s="115" t="str">
        <f t="shared" si="50"/>
        <v/>
      </c>
      <c r="AG130" s="28">
        <f t="shared" si="51"/>
        <v>16860.330000000002</v>
      </c>
      <c r="AI130" s="28">
        <f t="shared" si="52"/>
        <v>0</v>
      </c>
      <c r="AJ130" s="28"/>
      <c r="AK130" s="28">
        <f t="shared" si="53"/>
        <v>853.66666666666663</v>
      </c>
      <c r="AL130" s="156"/>
      <c r="AM130" s="6">
        <f t="shared" si="54"/>
        <v>123</v>
      </c>
      <c r="AN130" s="6" t="str">
        <f t="shared" si="55"/>
        <v xml:space="preserve">Hanson                       </v>
      </c>
      <c r="AO130" s="6">
        <f t="shared" si="56"/>
        <v>0</v>
      </c>
      <c r="AP130" s="9">
        <f t="shared" si="61"/>
        <v>6</v>
      </c>
      <c r="AQ130" s="9">
        <f t="shared" si="57"/>
        <v>101161.98000000001</v>
      </c>
      <c r="AR130" s="33">
        <f t="shared" si="58"/>
        <v>61192</v>
      </c>
      <c r="AS130" s="33">
        <f t="shared" si="59"/>
        <v>40519</v>
      </c>
      <c r="AU130" s="28"/>
      <c r="AV130" s="9"/>
      <c r="AW130" s="519"/>
    </row>
    <row r="131" spans="1:49">
      <c r="A131" s="6">
        <v>124</v>
      </c>
      <c r="B131" s="6" t="s">
        <v>1242</v>
      </c>
      <c r="C131" s="7">
        <v>0</v>
      </c>
      <c r="D131" s="9">
        <v>0</v>
      </c>
      <c r="E131" s="9">
        <v>0</v>
      </c>
      <c r="F131" s="9">
        <v>0</v>
      </c>
      <c r="G131" s="348"/>
      <c r="H131" s="111">
        <f t="shared" si="60"/>
        <v>0</v>
      </c>
      <c r="I131" s="9">
        <f t="shared" si="31"/>
        <v>0</v>
      </c>
      <c r="J131" s="33">
        <f t="shared" si="32"/>
        <v>0</v>
      </c>
      <c r="K131" s="9">
        <f t="shared" si="33"/>
        <v>0</v>
      </c>
      <c r="L131" s="112">
        <f t="shared" si="34"/>
        <v>0</v>
      </c>
      <c r="M131" s="458">
        <f>ROUND(100-'Townwide Contributions'!L130,2)</f>
        <v>55.79</v>
      </c>
      <c r="N131" s="9">
        <v>0</v>
      </c>
      <c r="O131" s="9">
        <f t="shared" si="35"/>
        <v>0</v>
      </c>
      <c r="P131" s="9">
        <f t="shared" si="36"/>
        <v>0</v>
      </c>
      <c r="Q131" s="28">
        <f t="shared" si="37"/>
        <v>0</v>
      </c>
      <c r="R131" s="382">
        <f t="shared" si="38"/>
        <v>0</v>
      </c>
      <c r="S131" s="28">
        <v>0</v>
      </c>
      <c r="T131" s="33">
        <f t="shared" si="39"/>
        <v>0</v>
      </c>
      <c r="U131" s="9">
        <f t="shared" si="40"/>
        <v>0</v>
      </c>
      <c r="V131" s="33">
        <f t="shared" si="41"/>
        <v>0</v>
      </c>
      <c r="W131" s="33">
        <f t="shared" si="42"/>
        <v>0</v>
      </c>
      <c r="X131" s="33">
        <v>0</v>
      </c>
      <c r="Y131" s="113">
        <f t="shared" si="43"/>
        <v>0</v>
      </c>
      <c r="Z131" s="155">
        <f t="shared" si="44"/>
        <v>0</v>
      </c>
      <c r="AA131" s="33">
        <f t="shared" si="45"/>
        <v>0</v>
      </c>
      <c r="AB131" s="114">
        <f t="shared" si="46"/>
        <v>0</v>
      </c>
      <c r="AC131" s="28">
        <f t="shared" si="47"/>
        <v>0</v>
      </c>
      <c r="AD131" s="28">
        <f t="shared" si="48"/>
        <v>0</v>
      </c>
      <c r="AE131" s="28">
        <f t="shared" si="49"/>
        <v>0</v>
      </c>
      <c r="AF131" s="115" t="str">
        <f t="shared" si="50"/>
        <v/>
      </c>
      <c r="AG131" s="28">
        <f t="shared" si="51"/>
        <v>0</v>
      </c>
      <c r="AI131" s="28">
        <f t="shared" si="52"/>
        <v>0</v>
      </c>
      <c r="AJ131" s="28"/>
      <c r="AK131" s="28">
        <f t="shared" si="53"/>
        <v>0</v>
      </c>
      <c r="AL131" s="156"/>
      <c r="AM131" s="6">
        <f t="shared" si="54"/>
        <v>124</v>
      </c>
      <c r="AN131" s="6" t="str">
        <f t="shared" si="55"/>
        <v xml:space="preserve">Hardwick                     </v>
      </c>
      <c r="AO131" s="6">
        <f t="shared" si="56"/>
        <v>0</v>
      </c>
      <c r="AP131" s="9">
        <f t="shared" si="61"/>
        <v>0</v>
      </c>
      <c r="AQ131" s="9">
        <f t="shared" si="57"/>
        <v>0</v>
      </c>
      <c r="AR131" s="33">
        <f t="shared" si="58"/>
        <v>0</v>
      </c>
      <c r="AS131" s="33">
        <f t="shared" si="59"/>
        <v>0</v>
      </c>
      <c r="AU131" s="28"/>
      <c r="AW131" s="519"/>
    </row>
    <row r="132" spans="1:49">
      <c r="A132" s="6">
        <v>125</v>
      </c>
      <c r="B132" s="6" t="s">
        <v>1243</v>
      </c>
      <c r="C132" s="7">
        <v>1</v>
      </c>
      <c r="D132" s="9">
        <v>10576374.949999999</v>
      </c>
      <c r="E132" s="9">
        <v>8379508</v>
      </c>
      <c r="F132" s="9">
        <v>2196867</v>
      </c>
      <c r="G132" s="348"/>
      <c r="H132" s="111">
        <f t="shared" si="60"/>
        <v>2196867</v>
      </c>
      <c r="I132" s="9">
        <f t="shared" si="31"/>
        <v>10978851.09</v>
      </c>
      <c r="J132" s="33">
        <f t="shared" si="32"/>
        <v>8697832</v>
      </c>
      <c r="K132" s="9">
        <f t="shared" si="33"/>
        <v>2281019</v>
      </c>
      <c r="L132" s="112">
        <f t="shared" si="34"/>
        <v>84152</v>
      </c>
      <c r="M132" s="458">
        <f>ROUND(100-'Townwide Contributions'!L131,2)</f>
        <v>17.5</v>
      </c>
      <c r="N132" s="9">
        <v>875</v>
      </c>
      <c r="O132" s="9">
        <f t="shared" si="35"/>
        <v>881</v>
      </c>
      <c r="P132" s="9">
        <f t="shared" si="36"/>
        <v>1</v>
      </c>
      <c r="Q132" s="28">
        <f t="shared" si="37"/>
        <v>91624</v>
      </c>
      <c r="R132" s="382">
        <f t="shared" si="38"/>
        <v>7472</v>
      </c>
      <c r="S132" s="28">
        <v>2196867</v>
      </c>
      <c r="T132" s="33">
        <f t="shared" si="39"/>
        <v>2223297</v>
      </c>
      <c r="U132" s="9">
        <f t="shared" si="40"/>
        <v>0</v>
      </c>
      <c r="V132" s="33">
        <f t="shared" si="41"/>
        <v>2288491</v>
      </c>
      <c r="W132" s="33">
        <f t="shared" si="42"/>
        <v>0</v>
      </c>
      <c r="X132" s="33">
        <v>0</v>
      </c>
      <c r="Y132" s="113">
        <f t="shared" si="43"/>
        <v>2288491</v>
      </c>
      <c r="Z132" s="155">
        <f t="shared" si="44"/>
        <v>20.844539936282168</v>
      </c>
      <c r="AA132" s="33">
        <f t="shared" si="45"/>
        <v>10986323</v>
      </c>
      <c r="AB132" s="114">
        <f t="shared" si="46"/>
        <v>100.06805730343501</v>
      </c>
      <c r="AC132" s="28">
        <f t="shared" si="47"/>
        <v>402476.1400000006</v>
      </c>
      <c r="AD132" s="28">
        <f t="shared" si="48"/>
        <v>91624</v>
      </c>
      <c r="AE132" s="28">
        <f t="shared" si="49"/>
        <v>367192.05925000017</v>
      </c>
      <c r="AF132" s="115">
        <f t="shared" si="50"/>
        <v>3.3445399362821675</v>
      </c>
      <c r="AG132" s="28">
        <f t="shared" si="51"/>
        <v>12461.81</v>
      </c>
      <c r="AI132" s="28">
        <f t="shared" si="52"/>
        <v>0</v>
      </c>
      <c r="AJ132" s="28"/>
      <c r="AK132" s="28">
        <f t="shared" si="53"/>
        <v>104</v>
      </c>
      <c r="AL132" s="156"/>
      <c r="AM132" s="6">
        <f t="shared" si="54"/>
        <v>125</v>
      </c>
      <c r="AN132" s="6" t="str">
        <f t="shared" si="55"/>
        <v xml:space="preserve">Harvard                      </v>
      </c>
      <c r="AO132" s="6">
        <f t="shared" si="56"/>
        <v>1</v>
      </c>
      <c r="AP132" s="9">
        <f t="shared" si="61"/>
        <v>881</v>
      </c>
      <c r="AQ132" s="9">
        <f t="shared" si="57"/>
        <v>10978851.09</v>
      </c>
      <c r="AR132" s="33">
        <f t="shared" si="58"/>
        <v>8697832</v>
      </c>
      <c r="AS132" s="33">
        <f t="shared" si="59"/>
        <v>2288491</v>
      </c>
      <c r="AU132" s="28"/>
      <c r="AV132" s="9"/>
      <c r="AW132" s="519"/>
    </row>
    <row r="133" spans="1:49">
      <c r="A133" s="6">
        <v>126</v>
      </c>
      <c r="B133" s="6" t="s">
        <v>1244</v>
      </c>
      <c r="C133" s="7">
        <v>0</v>
      </c>
      <c r="D133" s="9">
        <v>0</v>
      </c>
      <c r="E133" s="9">
        <v>0</v>
      </c>
      <c r="F133" s="9">
        <v>0</v>
      </c>
      <c r="G133" s="348"/>
      <c r="H133" s="111">
        <f t="shared" si="60"/>
        <v>0</v>
      </c>
      <c r="I133" s="9">
        <f t="shared" si="31"/>
        <v>0</v>
      </c>
      <c r="J133" s="33">
        <f t="shared" si="32"/>
        <v>0</v>
      </c>
      <c r="K133" s="9">
        <f t="shared" si="33"/>
        <v>0</v>
      </c>
      <c r="L133" s="112">
        <f t="shared" si="34"/>
        <v>0</v>
      </c>
      <c r="M133" s="458">
        <f>ROUND(100-'Townwide Contributions'!L132,2)</f>
        <v>17.5</v>
      </c>
      <c r="N133" s="9">
        <v>0</v>
      </c>
      <c r="O133" s="9">
        <f t="shared" si="35"/>
        <v>0</v>
      </c>
      <c r="P133" s="9">
        <f t="shared" si="36"/>
        <v>0</v>
      </c>
      <c r="Q133" s="28">
        <f t="shared" si="37"/>
        <v>0</v>
      </c>
      <c r="R133" s="382">
        <f t="shared" si="38"/>
        <v>0</v>
      </c>
      <c r="S133" s="28">
        <v>0</v>
      </c>
      <c r="T133" s="33">
        <f t="shared" si="39"/>
        <v>0</v>
      </c>
      <c r="U133" s="9">
        <f t="shared" si="40"/>
        <v>0</v>
      </c>
      <c r="V133" s="33">
        <f t="shared" si="41"/>
        <v>0</v>
      </c>
      <c r="W133" s="33">
        <f t="shared" si="42"/>
        <v>0</v>
      </c>
      <c r="X133" s="33">
        <v>0</v>
      </c>
      <c r="Y133" s="113">
        <f t="shared" si="43"/>
        <v>0</v>
      </c>
      <c r="Z133" s="155">
        <f t="shared" si="44"/>
        <v>0</v>
      </c>
      <c r="AA133" s="33">
        <f t="shared" si="45"/>
        <v>0</v>
      </c>
      <c r="AB133" s="114">
        <f t="shared" si="46"/>
        <v>0</v>
      </c>
      <c r="AC133" s="28">
        <f t="shared" si="47"/>
        <v>0</v>
      </c>
      <c r="AD133" s="28">
        <f t="shared" si="48"/>
        <v>0</v>
      </c>
      <c r="AE133" s="28">
        <f t="shared" si="49"/>
        <v>0</v>
      </c>
      <c r="AF133" s="115" t="str">
        <f t="shared" si="50"/>
        <v/>
      </c>
      <c r="AG133" s="28">
        <f t="shared" si="51"/>
        <v>0</v>
      </c>
      <c r="AI133" s="28">
        <f t="shared" si="52"/>
        <v>0</v>
      </c>
      <c r="AJ133" s="28"/>
      <c r="AK133" s="28">
        <f t="shared" si="53"/>
        <v>0</v>
      </c>
      <c r="AL133" s="156"/>
      <c r="AM133" s="6">
        <f t="shared" si="54"/>
        <v>126</v>
      </c>
      <c r="AN133" s="6" t="str">
        <f t="shared" si="55"/>
        <v xml:space="preserve">Harwich                      </v>
      </c>
      <c r="AO133" s="6">
        <f t="shared" si="56"/>
        <v>0</v>
      </c>
      <c r="AP133" s="9">
        <f t="shared" si="61"/>
        <v>0</v>
      </c>
      <c r="AQ133" s="9">
        <f t="shared" si="57"/>
        <v>0</v>
      </c>
      <c r="AR133" s="33">
        <f t="shared" si="58"/>
        <v>0</v>
      </c>
      <c r="AS133" s="33">
        <f t="shared" si="59"/>
        <v>0</v>
      </c>
      <c r="AU133" s="28"/>
      <c r="AW133" s="519"/>
    </row>
    <row r="134" spans="1:49">
      <c r="A134" s="6">
        <v>127</v>
      </c>
      <c r="B134" s="6" t="s">
        <v>1245</v>
      </c>
      <c r="C134" s="7">
        <v>1</v>
      </c>
      <c r="D134" s="9">
        <v>4215602.3500000006</v>
      </c>
      <c r="E134" s="9">
        <v>3472030</v>
      </c>
      <c r="F134" s="9">
        <v>895156</v>
      </c>
      <c r="G134" s="348"/>
      <c r="H134" s="111">
        <f t="shared" si="60"/>
        <v>895156</v>
      </c>
      <c r="I134" s="9">
        <f t="shared" si="31"/>
        <v>4167872.81</v>
      </c>
      <c r="J134" s="33">
        <f t="shared" si="32"/>
        <v>3438495</v>
      </c>
      <c r="K134" s="9">
        <f t="shared" si="33"/>
        <v>729378</v>
      </c>
      <c r="L134" s="112">
        <f t="shared" si="34"/>
        <v>0</v>
      </c>
      <c r="M134" s="458">
        <f>ROUND(100-'Townwide Contributions'!L133,2)</f>
        <v>17.5</v>
      </c>
      <c r="N134" s="9">
        <v>317</v>
      </c>
      <c r="O134" s="9">
        <f t="shared" si="35"/>
        <v>310</v>
      </c>
      <c r="P134" s="9">
        <f t="shared" si="36"/>
        <v>0</v>
      </c>
      <c r="Q134" s="28">
        <f t="shared" si="37"/>
        <v>32240</v>
      </c>
      <c r="R134" s="382">
        <f t="shared" si="38"/>
        <v>32240</v>
      </c>
      <c r="S134" s="28">
        <v>895156</v>
      </c>
      <c r="T134" s="33">
        <f t="shared" si="39"/>
        <v>904456</v>
      </c>
      <c r="U134" s="9">
        <f t="shared" si="40"/>
        <v>0</v>
      </c>
      <c r="V134" s="33">
        <f t="shared" si="41"/>
        <v>927396</v>
      </c>
      <c r="W134" s="33">
        <f t="shared" si="42"/>
        <v>0</v>
      </c>
      <c r="X134" s="33">
        <v>0</v>
      </c>
      <c r="Y134" s="113">
        <f t="shared" si="43"/>
        <v>927396</v>
      </c>
      <c r="Z134" s="155">
        <f t="shared" si="44"/>
        <v>22.251062886921446</v>
      </c>
      <c r="AA134" s="33">
        <f t="shared" si="45"/>
        <v>4365891</v>
      </c>
      <c r="AB134" s="114">
        <f t="shared" si="46"/>
        <v>104.75106124939546</v>
      </c>
      <c r="AC134" s="28">
        <f t="shared" si="47"/>
        <v>-47729.540000000503</v>
      </c>
      <c r="AD134" s="28">
        <f t="shared" si="48"/>
        <v>32240</v>
      </c>
      <c r="AE134" s="28">
        <f t="shared" si="49"/>
        <v>198018.25825000007</v>
      </c>
      <c r="AF134" s="115">
        <f t="shared" si="50"/>
        <v>4.7510628869214457</v>
      </c>
      <c r="AG134" s="28">
        <f t="shared" si="51"/>
        <v>13444.75</v>
      </c>
      <c r="AI134" s="28">
        <f t="shared" si="52"/>
        <v>0</v>
      </c>
      <c r="AJ134" s="28"/>
      <c r="AK134" s="28">
        <f t="shared" si="53"/>
        <v>104</v>
      </c>
      <c r="AL134" s="156"/>
      <c r="AM134" s="6">
        <f t="shared" si="54"/>
        <v>127</v>
      </c>
      <c r="AN134" s="6" t="str">
        <f t="shared" si="55"/>
        <v xml:space="preserve">Hatfield                     </v>
      </c>
      <c r="AO134" s="6">
        <f t="shared" si="56"/>
        <v>1</v>
      </c>
      <c r="AP134" s="9">
        <f t="shared" si="61"/>
        <v>310</v>
      </c>
      <c r="AQ134" s="9">
        <f t="shared" si="57"/>
        <v>4167872.81</v>
      </c>
      <c r="AR134" s="33">
        <f t="shared" si="58"/>
        <v>3438495</v>
      </c>
      <c r="AS134" s="33">
        <f t="shared" si="59"/>
        <v>927396</v>
      </c>
      <c r="AU134" s="28"/>
      <c r="AV134" s="9"/>
      <c r="AW134" s="519"/>
    </row>
    <row r="135" spans="1:49">
      <c r="A135" s="6">
        <v>128</v>
      </c>
      <c r="B135" s="6" t="s">
        <v>1246</v>
      </c>
      <c r="C135" s="7">
        <v>1</v>
      </c>
      <c r="D135" s="9">
        <v>132551888.25</v>
      </c>
      <c r="E135" s="9">
        <v>49918077</v>
      </c>
      <c r="F135" s="9">
        <v>82633811</v>
      </c>
      <c r="G135" s="348"/>
      <c r="H135" s="111">
        <f t="shared" si="60"/>
        <v>82633811</v>
      </c>
      <c r="I135" s="9">
        <f t="shared" si="31"/>
        <v>140921702.34</v>
      </c>
      <c r="J135" s="33">
        <f t="shared" si="32"/>
        <v>52953650</v>
      </c>
      <c r="K135" s="9">
        <f t="shared" si="33"/>
        <v>87968052</v>
      </c>
      <c r="L135" s="112">
        <f t="shared" si="34"/>
        <v>5334241</v>
      </c>
      <c r="M135" s="458">
        <f>ROUND(100-'Townwide Contributions'!L134,2)</f>
        <v>57.32</v>
      </c>
      <c r="N135" s="9">
        <v>8287</v>
      </c>
      <c r="O135" s="9">
        <f t="shared" si="35"/>
        <v>8401</v>
      </c>
      <c r="P135" s="9">
        <f t="shared" si="36"/>
        <v>1</v>
      </c>
      <c r="Q135" s="28">
        <f t="shared" si="37"/>
        <v>873704</v>
      </c>
      <c r="R135" s="382">
        <f t="shared" si="38"/>
        <v>0</v>
      </c>
      <c r="S135" s="28">
        <v>82633811</v>
      </c>
      <c r="T135" s="33">
        <f t="shared" si="39"/>
        <v>82885841</v>
      </c>
      <c r="U135" s="9">
        <f t="shared" si="40"/>
        <v>0</v>
      </c>
      <c r="V135" s="33">
        <f t="shared" si="41"/>
        <v>87968052</v>
      </c>
      <c r="W135" s="33">
        <f t="shared" si="42"/>
        <v>0</v>
      </c>
      <c r="X135" s="33">
        <v>0</v>
      </c>
      <c r="Y135" s="113">
        <f t="shared" si="43"/>
        <v>87968052</v>
      </c>
      <c r="Z135" s="155">
        <f t="shared" si="44"/>
        <v>62.423353209117927</v>
      </c>
      <c r="AA135" s="33">
        <f t="shared" si="45"/>
        <v>140921702</v>
      </c>
      <c r="AB135" s="114">
        <f t="shared" si="46"/>
        <v>99.999999758731263</v>
      </c>
      <c r="AC135" s="28">
        <f t="shared" si="47"/>
        <v>8369814.0900000036</v>
      </c>
      <c r="AD135" s="28">
        <f t="shared" si="48"/>
        <v>5334241</v>
      </c>
      <c r="AE135" s="28">
        <f t="shared" si="49"/>
        <v>7191732.2187119871</v>
      </c>
      <c r="AF135" s="115">
        <f t="shared" si="50"/>
        <v>5.1033532091179268</v>
      </c>
      <c r="AG135" s="28">
        <f t="shared" si="51"/>
        <v>16774.400000000001</v>
      </c>
      <c r="AI135" s="28">
        <f t="shared" si="52"/>
        <v>0</v>
      </c>
      <c r="AJ135" s="28"/>
      <c r="AK135" s="28">
        <f t="shared" si="53"/>
        <v>634.95310082133085</v>
      </c>
      <c r="AL135" s="156"/>
      <c r="AM135" s="6">
        <f t="shared" si="54"/>
        <v>128</v>
      </c>
      <c r="AN135" s="6" t="str">
        <f t="shared" si="55"/>
        <v xml:space="preserve">Haverhill                    </v>
      </c>
      <c r="AO135" s="6">
        <f t="shared" si="56"/>
        <v>1</v>
      </c>
      <c r="AP135" s="9">
        <f t="shared" si="61"/>
        <v>8401</v>
      </c>
      <c r="AQ135" s="9">
        <f t="shared" si="57"/>
        <v>140921702.34</v>
      </c>
      <c r="AR135" s="33">
        <f t="shared" si="58"/>
        <v>52953650</v>
      </c>
      <c r="AS135" s="33">
        <f t="shared" si="59"/>
        <v>87968052</v>
      </c>
      <c r="AU135" s="28"/>
      <c r="AV135" s="9"/>
      <c r="AW135" s="519"/>
    </row>
    <row r="136" spans="1:49">
      <c r="A136" s="6">
        <v>129</v>
      </c>
      <c r="B136" s="6" t="s">
        <v>1247</v>
      </c>
      <c r="C136" s="7">
        <v>0</v>
      </c>
      <c r="D136" s="9">
        <v>65963.040000000008</v>
      </c>
      <c r="E136" s="9">
        <v>54419</v>
      </c>
      <c r="F136" s="9">
        <v>13300</v>
      </c>
      <c r="G136" s="348"/>
      <c r="H136" s="111">
        <f t="shared" si="60"/>
        <v>13300</v>
      </c>
      <c r="I136" s="9">
        <f t="shared" ref="I136:I199" si="62">SUMIF(dist1755,A136,found1755)</f>
        <v>67441.320000000007</v>
      </c>
      <c r="J136" s="33">
        <f t="shared" ref="J136:J199" si="63">SUMIF(dist1755,A136,prelcont1755)</f>
        <v>55639</v>
      </c>
      <c r="K136" s="9">
        <f t="shared" ref="K136:K199" si="64">ROUND(MAX(found-prelcont436,0),0)</f>
        <v>11802</v>
      </c>
      <c r="L136" s="112">
        <f t="shared" ref="L136:L199" si="65">IF(foundaid&gt;priorc70,foundaid-priorc70,0)</f>
        <v>0</v>
      </c>
      <c r="M136" s="458">
        <f>ROUND(100-'Townwide Contributions'!L135,2)</f>
        <v>17.5</v>
      </c>
      <c r="N136" s="9">
        <v>4</v>
      </c>
      <c r="O136" s="9">
        <f t="shared" ref="O136:O199" si="66">SUMIF(dist1755,A136,enro1755)</f>
        <v>4</v>
      </c>
      <c r="P136" s="9">
        <f t="shared" ref="P136:P199" si="67">IF(AND(C136=1,L136&gt;0),1,0)</f>
        <v>0</v>
      </c>
      <c r="Q136" s="28">
        <f t="shared" ref="Q136:Q199" si="68">IF(nonop=1,enro*$Q$6,0)</f>
        <v>0</v>
      </c>
      <c r="R136" s="382">
        <f t="shared" ref="R136:R199" si="69">IF((foundinc)&lt;Q136,Q136-(foundinc),0)</f>
        <v>0</v>
      </c>
      <c r="S136" s="28">
        <v>13300</v>
      </c>
      <c r="T136" s="33">
        <f t="shared" ref="T136:T199" si="70">S136+30*enro</f>
        <v>13420</v>
      </c>
      <c r="U136" s="9">
        <f t="shared" ref="U136:U199" si="71">IF(AND(T136-priorc70-foundinc-minaid&gt;0,nonop=1), T136-priorc70-foundinc-minaid,0)</f>
        <v>0</v>
      </c>
      <c r="V136" s="33">
        <f t="shared" ref="V136:V199" si="72">priorc70+ foundinc+minaidadjincrement+minaid</f>
        <v>13300</v>
      </c>
      <c r="W136" s="33">
        <f t="shared" ref="W136:W199" si="73">IF(AND(C136=0,V136&gt;found),V136-found,0)</f>
        <v>0</v>
      </c>
      <c r="X136" s="33">
        <v>0</v>
      </c>
      <c r="Y136" s="113">
        <f t="shared" ref="Y136:Y199" si="74">priorc70+foundinc+minaidadjincrement+minaid-rednonop+holdharmlessaid</f>
        <v>13300</v>
      </c>
      <c r="Z136" s="155">
        <f t="shared" ref="Z136:Z199" si="75">IF(C136=1, Y136/I136*100, 0)</f>
        <v>0</v>
      </c>
      <c r="AA136" s="33">
        <f t="shared" ref="AA136:AA199" si="76">prelcont436+chapter70</f>
        <v>68939</v>
      </c>
      <c r="AB136" s="114">
        <f t="shared" ref="AB136:AB199" si="77">IF(found&gt;0,AA136*100/found,0)</f>
        <v>102.22071572739085</v>
      </c>
      <c r="AC136" s="28">
        <f t="shared" ref="AC136:AC199" si="78">I136-D136</f>
        <v>1478.2799999999988</v>
      </c>
      <c r="AD136" s="28">
        <f t="shared" ref="AD136:AD199" si="79">Y136-F136</f>
        <v>0</v>
      </c>
      <c r="AE136" s="28">
        <f t="shared" ref="AE136:AE199" si="80">Y136-((M136/100)*I136)</f>
        <v>1497.7690000000002</v>
      </c>
      <c r="AF136" s="115" t="str">
        <f t="shared" ref="AF136:AF199" si="81">IF(C136=1, (Y136/I136*100)-M136, "")</f>
        <v/>
      </c>
      <c r="AG136" s="28">
        <f t="shared" ref="AG136:AG199" si="82">IFERROR(ROUND(I136/O136, 2), 0)</f>
        <v>16860.330000000002</v>
      </c>
      <c r="AI136" s="28">
        <f t="shared" ref="AI136:AI199" si="83">VLOOKUP(A136, disthist, 37, FALSE)*$H$6</f>
        <v>0</v>
      </c>
      <c r="AJ136" s="28"/>
      <c r="AK136" s="28">
        <f t="shared" ref="AK136:AK199" si="84">IFERROR(AD136/O136, 0)</f>
        <v>0</v>
      </c>
      <c r="AL136" s="156"/>
      <c r="AM136" s="6">
        <f t="shared" ref="AM136:AM199" si="85">A136</f>
        <v>129</v>
      </c>
      <c r="AN136" s="6" t="str">
        <f t="shared" ref="AN136:AN199" si="86">B136</f>
        <v xml:space="preserve">Hawley                       </v>
      </c>
      <c r="AO136" s="6">
        <f t="shared" ref="AO136:AO199" si="87">C136</f>
        <v>0</v>
      </c>
      <c r="AP136" s="9">
        <f t="shared" si="61"/>
        <v>4</v>
      </c>
      <c r="AQ136" s="9">
        <f t="shared" ref="AQ136:AQ199" si="88">I136</f>
        <v>67441.320000000007</v>
      </c>
      <c r="AR136" s="33">
        <f t="shared" ref="AR136:AR199" si="89">J136</f>
        <v>55639</v>
      </c>
      <c r="AS136" s="33">
        <f t="shared" ref="AS136:AS199" si="90">Y136</f>
        <v>13300</v>
      </c>
      <c r="AU136" s="28"/>
      <c r="AV136" s="9"/>
      <c r="AW136" s="519"/>
    </row>
    <row r="137" spans="1:49">
      <c r="A137" s="6">
        <v>130</v>
      </c>
      <c r="B137" s="6" t="s">
        <v>1248</v>
      </c>
      <c r="C137" s="7">
        <v>0</v>
      </c>
      <c r="D137" s="9">
        <v>0</v>
      </c>
      <c r="E137" s="9">
        <v>0</v>
      </c>
      <c r="F137" s="9">
        <v>0</v>
      </c>
      <c r="G137" s="348"/>
      <c r="H137" s="111">
        <f t="shared" ref="H137:H200" si="91">F137</f>
        <v>0</v>
      </c>
      <c r="I137" s="9">
        <f t="shared" si="62"/>
        <v>0</v>
      </c>
      <c r="J137" s="33">
        <f t="shared" si="63"/>
        <v>0</v>
      </c>
      <c r="K137" s="9">
        <f t="shared" si="64"/>
        <v>0</v>
      </c>
      <c r="L137" s="112">
        <f t="shared" si="65"/>
        <v>0</v>
      </c>
      <c r="M137" s="458">
        <f>ROUND(100-'Townwide Contributions'!L136,2)</f>
        <v>57.79</v>
      </c>
      <c r="N137" s="9">
        <v>0</v>
      </c>
      <c r="O137" s="9">
        <f t="shared" si="66"/>
        <v>0</v>
      </c>
      <c r="P137" s="9">
        <f t="shared" si="67"/>
        <v>0</v>
      </c>
      <c r="Q137" s="28">
        <f t="shared" si="68"/>
        <v>0</v>
      </c>
      <c r="R137" s="382">
        <f t="shared" si="69"/>
        <v>0</v>
      </c>
      <c r="S137" s="28">
        <v>0</v>
      </c>
      <c r="T137" s="33">
        <f t="shared" si="70"/>
        <v>0</v>
      </c>
      <c r="U137" s="9">
        <f t="shared" si="71"/>
        <v>0</v>
      </c>
      <c r="V137" s="33">
        <f t="shared" si="72"/>
        <v>0</v>
      </c>
      <c r="W137" s="33">
        <f t="shared" si="73"/>
        <v>0</v>
      </c>
      <c r="X137" s="33">
        <v>0</v>
      </c>
      <c r="Y137" s="113">
        <f t="shared" si="74"/>
        <v>0</v>
      </c>
      <c r="Z137" s="155">
        <f t="shared" si="75"/>
        <v>0</v>
      </c>
      <c r="AA137" s="33">
        <f t="shared" si="76"/>
        <v>0</v>
      </c>
      <c r="AB137" s="114">
        <f t="shared" si="77"/>
        <v>0</v>
      </c>
      <c r="AC137" s="28">
        <f t="shared" si="78"/>
        <v>0</v>
      </c>
      <c r="AD137" s="28">
        <f t="shared" si="79"/>
        <v>0</v>
      </c>
      <c r="AE137" s="28">
        <f t="shared" si="80"/>
        <v>0</v>
      </c>
      <c r="AF137" s="115" t="str">
        <f t="shared" si="81"/>
        <v/>
      </c>
      <c r="AG137" s="28">
        <f t="shared" si="82"/>
        <v>0</v>
      </c>
      <c r="AI137" s="28">
        <f t="shared" si="83"/>
        <v>0</v>
      </c>
      <c r="AJ137" s="28"/>
      <c r="AK137" s="28">
        <f t="shared" si="84"/>
        <v>0</v>
      </c>
      <c r="AL137" s="156"/>
      <c r="AM137" s="6">
        <f t="shared" si="85"/>
        <v>130</v>
      </c>
      <c r="AN137" s="6" t="str">
        <f t="shared" si="86"/>
        <v xml:space="preserve">Heath                        </v>
      </c>
      <c r="AO137" s="6">
        <f t="shared" si="87"/>
        <v>0</v>
      </c>
      <c r="AP137" s="9">
        <f t="shared" ref="AP137:AP200" si="92">O137</f>
        <v>0</v>
      </c>
      <c r="AQ137" s="9">
        <f t="shared" si="88"/>
        <v>0</v>
      </c>
      <c r="AR137" s="33">
        <f t="shared" si="89"/>
        <v>0</v>
      </c>
      <c r="AS137" s="33">
        <f t="shared" si="90"/>
        <v>0</v>
      </c>
      <c r="AU137" s="28"/>
      <c r="AW137" s="519"/>
    </row>
    <row r="138" spans="1:49">
      <c r="A138" s="6">
        <v>131</v>
      </c>
      <c r="B138" s="6" t="s">
        <v>1249</v>
      </c>
      <c r="C138" s="7">
        <v>1</v>
      </c>
      <c r="D138" s="9">
        <v>47057670.467040002</v>
      </c>
      <c r="E138" s="9">
        <v>38822578</v>
      </c>
      <c r="F138" s="9">
        <v>8535193</v>
      </c>
      <c r="G138" s="348"/>
      <c r="H138" s="111">
        <f t="shared" si="91"/>
        <v>8535193</v>
      </c>
      <c r="I138" s="9">
        <f t="shared" si="62"/>
        <v>45884665.988949992</v>
      </c>
      <c r="J138" s="33">
        <f t="shared" si="63"/>
        <v>37854849</v>
      </c>
      <c r="K138" s="9">
        <f t="shared" si="64"/>
        <v>8029817</v>
      </c>
      <c r="L138" s="112">
        <f t="shared" si="65"/>
        <v>0</v>
      </c>
      <c r="M138" s="458">
        <f>ROUND(100-'Townwide Contributions'!L137,2)</f>
        <v>17.5</v>
      </c>
      <c r="N138" s="9">
        <v>3807</v>
      </c>
      <c r="O138" s="9">
        <f t="shared" si="66"/>
        <v>3606</v>
      </c>
      <c r="P138" s="9">
        <f t="shared" si="67"/>
        <v>0</v>
      </c>
      <c r="Q138" s="28">
        <f t="shared" si="68"/>
        <v>375024</v>
      </c>
      <c r="R138" s="382">
        <f t="shared" si="69"/>
        <v>375024</v>
      </c>
      <c r="S138" s="28">
        <v>8535193</v>
      </c>
      <c r="T138" s="33">
        <f t="shared" si="70"/>
        <v>8643373</v>
      </c>
      <c r="U138" s="9">
        <f t="shared" si="71"/>
        <v>0</v>
      </c>
      <c r="V138" s="33">
        <f t="shared" si="72"/>
        <v>8910217</v>
      </c>
      <c r="W138" s="33">
        <f t="shared" si="73"/>
        <v>0</v>
      </c>
      <c r="X138" s="33">
        <v>0</v>
      </c>
      <c r="Y138" s="113">
        <f t="shared" si="74"/>
        <v>8910217</v>
      </c>
      <c r="Z138" s="155">
        <f t="shared" si="75"/>
        <v>19.418724769938983</v>
      </c>
      <c r="AA138" s="33">
        <f t="shared" si="76"/>
        <v>46765066</v>
      </c>
      <c r="AB138" s="114">
        <f t="shared" si="77"/>
        <v>101.91872380908696</v>
      </c>
      <c r="AC138" s="28">
        <f t="shared" si="78"/>
        <v>-1173004.4780900106</v>
      </c>
      <c r="AD138" s="28">
        <f t="shared" si="79"/>
        <v>375024</v>
      </c>
      <c r="AE138" s="28">
        <f t="shared" si="80"/>
        <v>880400.45193375181</v>
      </c>
      <c r="AF138" s="115">
        <f t="shared" si="81"/>
        <v>1.9187247699389829</v>
      </c>
      <c r="AG138" s="28">
        <f t="shared" si="82"/>
        <v>12724.53</v>
      </c>
      <c r="AI138" s="28">
        <f t="shared" si="83"/>
        <v>0</v>
      </c>
      <c r="AJ138" s="28"/>
      <c r="AK138" s="28">
        <f t="shared" si="84"/>
        <v>104</v>
      </c>
      <c r="AL138" s="156"/>
      <c r="AM138" s="6">
        <f t="shared" si="85"/>
        <v>131</v>
      </c>
      <c r="AN138" s="6" t="str">
        <f t="shared" si="86"/>
        <v xml:space="preserve">Hingham                      </v>
      </c>
      <c r="AO138" s="6">
        <f t="shared" si="87"/>
        <v>1</v>
      </c>
      <c r="AP138" s="9">
        <f t="shared" si="92"/>
        <v>3606</v>
      </c>
      <c r="AQ138" s="9">
        <f t="shared" si="88"/>
        <v>45884665.988949992</v>
      </c>
      <c r="AR138" s="33">
        <f t="shared" si="89"/>
        <v>37854849</v>
      </c>
      <c r="AS138" s="33">
        <f t="shared" si="90"/>
        <v>8910217</v>
      </c>
      <c r="AU138" s="28"/>
      <c r="AV138" s="9"/>
      <c r="AW138" s="519"/>
    </row>
    <row r="139" spans="1:49">
      <c r="A139" s="6">
        <v>132</v>
      </c>
      <c r="B139" s="6" t="s">
        <v>1250</v>
      </c>
      <c r="C139" s="7">
        <v>0</v>
      </c>
      <c r="D139" s="9">
        <v>131926.08000000002</v>
      </c>
      <c r="E139" s="9">
        <v>99112</v>
      </c>
      <c r="F139" s="9">
        <v>104923</v>
      </c>
      <c r="G139" s="348"/>
      <c r="H139" s="111">
        <f t="shared" si="91"/>
        <v>104923</v>
      </c>
      <c r="I139" s="9">
        <f t="shared" si="62"/>
        <v>168603.30000000002</v>
      </c>
      <c r="J139" s="33">
        <f t="shared" si="63"/>
        <v>122029</v>
      </c>
      <c r="K139" s="9">
        <f t="shared" si="64"/>
        <v>46574</v>
      </c>
      <c r="L139" s="112">
        <f t="shared" si="65"/>
        <v>0</v>
      </c>
      <c r="M139" s="458">
        <f>ROUND(100-'Townwide Contributions'!L138,2)</f>
        <v>17.5</v>
      </c>
      <c r="N139" s="9">
        <v>8</v>
      </c>
      <c r="O139" s="9">
        <f t="shared" si="66"/>
        <v>10</v>
      </c>
      <c r="P139" s="9">
        <f t="shared" si="67"/>
        <v>0</v>
      </c>
      <c r="Q139" s="28">
        <f t="shared" si="68"/>
        <v>0</v>
      </c>
      <c r="R139" s="382">
        <f t="shared" si="69"/>
        <v>0</v>
      </c>
      <c r="S139" s="28">
        <v>104923</v>
      </c>
      <c r="T139" s="33">
        <f t="shared" si="70"/>
        <v>105223</v>
      </c>
      <c r="U139" s="9">
        <f t="shared" si="71"/>
        <v>0</v>
      </c>
      <c r="V139" s="33">
        <f t="shared" si="72"/>
        <v>104923</v>
      </c>
      <c r="W139" s="33">
        <f t="shared" si="73"/>
        <v>0</v>
      </c>
      <c r="X139" s="33">
        <v>0</v>
      </c>
      <c r="Y139" s="113">
        <f t="shared" si="74"/>
        <v>104923</v>
      </c>
      <c r="Z139" s="155">
        <f t="shared" si="75"/>
        <v>0</v>
      </c>
      <c r="AA139" s="33">
        <f t="shared" si="76"/>
        <v>226952</v>
      </c>
      <c r="AB139" s="114">
        <f t="shared" si="77"/>
        <v>134.60709250649305</v>
      </c>
      <c r="AC139" s="28">
        <f t="shared" si="78"/>
        <v>36677.22</v>
      </c>
      <c r="AD139" s="28">
        <f t="shared" si="79"/>
        <v>0</v>
      </c>
      <c r="AE139" s="28">
        <f t="shared" si="80"/>
        <v>75417.422500000001</v>
      </c>
      <c r="AF139" s="115" t="str">
        <f t="shared" si="81"/>
        <v/>
      </c>
      <c r="AG139" s="28">
        <f t="shared" si="82"/>
        <v>16860.330000000002</v>
      </c>
      <c r="AI139" s="28">
        <f t="shared" si="83"/>
        <v>0</v>
      </c>
      <c r="AJ139" s="28"/>
      <c r="AK139" s="28">
        <f t="shared" si="84"/>
        <v>0</v>
      </c>
      <c r="AL139" s="156"/>
      <c r="AM139" s="6">
        <f t="shared" si="85"/>
        <v>132</v>
      </c>
      <c r="AN139" s="6" t="str">
        <f t="shared" si="86"/>
        <v xml:space="preserve">Hinsdale                     </v>
      </c>
      <c r="AO139" s="6">
        <f t="shared" si="87"/>
        <v>0</v>
      </c>
      <c r="AP139" s="9">
        <f t="shared" si="92"/>
        <v>10</v>
      </c>
      <c r="AQ139" s="9">
        <f t="shared" si="88"/>
        <v>168603.30000000002</v>
      </c>
      <c r="AR139" s="33">
        <f t="shared" si="89"/>
        <v>122029</v>
      </c>
      <c r="AS139" s="33">
        <f t="shared" si="90"/>
        <v>104923</v>
      </c>
      <c r="AU139" s="28"/>
      <c r="AV139" s="9"/>
      <c r="AW139" s="519"/>
    </row>
    <row r="140" spans="1:49">
      <c r="A140" s="6">
        <v>133</v>
      </c>
      <c r="B140" s="6" t="s">
        <v>1251</v>
      </c>
      <c r="C140" s="7">
        <v>1</v>
      </c>
      <c r="D140" s="9">
        <v>20493828.679550003</v>
      </c>
      <c r="E140" s="9">
        <v>9611922</v>
      </c>
      <c r="F140" s="9">
        <v>10881907</v>
      </c>
      <c r="G140" s="348"/>
      <c r="H140" s="111">
        <f t="shared" si="91"/>
        <v>10881907</v>
      </c>
      <c r="I140" s="9">
        <f t="shared" si="62"/>
        <v>21278519.472400002</v>
      </c>
      <c r="J140" s="33">
        <f t="shared" si="63"/>
        <v>10008705</v>
      </c>
      <c r="K140" s="9">
        <f t="shared" si="64"/>
        <v>11269814</v>
      </c>
      <c r="L140" s="112">
        <f t="shared" si="65"/>
        <v>387907</v>
      </c>
      <c r="M140" s="458">
        <f>ROUND(100-'Townwide Contributions'!L139,2)</f>
        <v>47.5</v>
      </c>
      <c r="N140" s="9">
        <v>1352</v>
      </c>
      <c r="O140" s="9">
        <f t="shared" si="66"/>
        <v>1355</v>
      </c>
      <c r="P140" s="9">
        <f t="shared" si="67"/>
        <v>1</v>
      </c>
      <c r="Q140" s="28">
        <f t="shared" si="68"/>
        <v>140920</v>
      </c>
      <c r="R140" s="382">
        <f t="shared" si="69"/>
        <v>0</v>
      </c>
      <c r="S140" s="28">
        <v>10881907</v>
      </c>
      <c r="T140" s="33">
        <f t="shared" si="70"/>
        <v>10922557</v>
      </c>
      <c r="U140" s="9">
        <f t="shared" si="71"/>
        <v>0</v>
      </c>
      <c r="V140" s="33">
        <f t="shared" si="72"/>
        <v>11269814</v>
      </c>
      <c r="W140" s="33">
        <f t="shared" si="73"/>
        <v>0</v>
      </c>
      <c r="X140" s="33">
        <v>0</v>
      </c>
      <c r="Y140" s="113">
        <f t="shared" si="74"/>
        <v>11269814</v>
      </c>
      <c r="Z140" s="155">
        <f t="shared" si="75"/>
        <v>52.963337109134315</v>
      </c>
      <c r="AA140" s="33">
        <f t="shared" si="76"/>
        <v>21278519</v>
      </c>
      <c r="AB140" s="114">
        <f t="shared" si="77"/>
        <v>99.999997779920719</v>
      </c>
      <c r="AC140" s="28">
        <f t="shared" si="78"/>
        <v>784690.79284999892</v>
      </c>
      <c r="AD140" s="28">
        <f t="shared" si="79"/>
        <v>387907</v>
      </c>
      <c r="AE140" s="28">
        <f t="shared" si="80"/>
        <v>1162517.2506099995</v>
      </c>
      <c r="AF140" s="115">
        <f t="shared" si="81"/>
        <v>5.463337109134315</v>
      </c>
      <c r="AG140" s="28">
        <f t="shared" si="82"/>
        <v>15703.7</v>
      </c>
      <c r="AI140" s="28">
        <f t="shared" si="83"/>
        <v>0</v>
      </c>
      <c r="AJ140" s="28"/>
      <c r="AK140" s="28">
        <f t="shared" si="84"/>
        <v>286.27822878228784</v>
      </c>
      <c r="AL140" s="156"/>
      <c r="AM140" s="6">
        <f t="shared" si="85"/>
        <v>133</v>
      </c>
      <c r="AN140" s="6" t="str">
        <f t="shared" si="86"/>
        <v xml:space="preserve">Holbrook                     </v>
      </c>
      <c r="AO140" s="6">
        <f t="shared" si="87"/>
        <v>1</v>
      </c>
      <c r="AP140" s="9">
        <f t="shared" si="92"/>
        <v>1355</v>
      </c>
      <c r="AQ140" s="9">
        <f t="shared" si="88"/>
        <v>21278519.472400002</v>
      </c>
      <c r="AR140" s="33">
        <f t="shared" si="89"/>
        <v>10008705</v>
      </c>
      <c r="AS140" s="33">
        <f t="shared" si="90"/>
        <v>11269814</v>
      </c>
      <c r="AU140" s="28"/>
      <c r="AV140" s="9"/>
      <c r="AW140" s="519"/>
    </row>
    <row r="141" spans="1:49">
      <c r="A141" s="6">
        <v>134</v>
      </c>
      <c r="B141" s="6" t="s">
        <v>1252</v>
      </c>
      <c r="C141" s="7">
        <v>0</v>
      </c>
      <c r="D141" s="9">
        <v>16490.760000000002</v>
      </c>
      <c r="E141" s="9">
        <v>9127</v>
      </c>
      <c r="F141" s="9">
        <v>7364</v>
      </c>
      <c r="G141" s="348"/>
      <c r="H141" s="111">
        <f t="shared" si="91"/>
        <v>7364</v>
      </c>
      <c r="I141" s="9">
        <f t="shared" si="62"/>
        <v>33720.660000000003</v>
      </c>
      <c r="J141" s="33">
        <f t="shared" si="63"/>
        <v>19200</v>
      </c>
      <c r="K141" s="9">
        <f t="shared" si="64"/>
        <v>14521</v>
      </c>
      <c r="L141" s="112">
        <f t="shared" si="65"/>
        <v>7157</v>
      </c>
      <c r="M141" s="458">
        <f>ROUND(100-'Townwide Contributions'!L140,2)</f>
        <v>36.71</v>
      </c>
      <c r="N141" s="9">
        <v>1</v>
      </c>
      <c r="O141" s="9">
        <f t="shared" si="66"/>
        <v>2</v>
      </c>
      <c r="P141" s="9">
        <f t="shared" si="67"/>
        <v>0</v>
      </c>
      <c r="Q141" s="28">
        <f t="shared" si="68"/>
        <v>0</v>
      </c>
      <c r="R141" s="382">
        <f t="shared" si="69"/>
        <v>0</v>
      </c>
      <c r="S141" s="28">
        <v>13757</v>
      </c>
      <c r="T141" s="33">
        <f t="shared" si="70"/>
        <v>13817</v>
      </c>
      <c r="U141" s="9">
        <f t="shared" si="71"/>
        <v>0</v>
      </c>
      <c r="V141" s="33">
        <f t="shared" si="72"/>
        <v>14521</v>
      </c>
      <c r="W141" s="33">
        <f t="shared" si="73"/>
        <v>0</v>
      </c>
      <c r="X141" s="33">
        <v>0</v>
      </c>
      <c r="Y141" s="113">
        <f t="shared" si="74"/>
        <v>14521</v>
      </c>
      <c r="Z141" s="155">
        <f t="shared" si="75"/>
        <v>0</v>
      </c>
      <c r="AA141" s="33">
        <f t="shared" si="76"/>
        <v>33721</v>
      </c>
      <c r="AB141" s="114">
        <f t="shared" si="77"/>
        <v>100.00100828394224</v>
      </c>
      <c r="AC141" s="28">
        <f t="shared" si="78"/>
        <v>17229.900000000001</v>
      </c>
      <c r="AD141" s="28">
        <f t="shared" si="79"/>
        <v>7157</v>
      </c>
      <c r="AE141" s="28">
        <f t="shared" si="80"/>
        <v>2142.1457140000002</v>
      </c>
      <c r="AF141" s="115" t="str">
        <f t="shared" si="81"/>
        <v/>
      </c>
      <c r="AG141" s="28">
        <f t="shared" si="82"/>
        <v>16860.330000000002</v>
      </c>
      <c r="AI141" s="28">
        <f t="shared" si="83"/>
        <v>0</v>
      </c>
      <c r="AJ141" s="28"/>
      <c r="AK141" s="28">
        <f t="shared" si="84"/>
        <v>3578.5</v>
      </c>
      <c r="AL141" s="156"/>
      <c r="AM141" s="6">
        <f t="shared" si="85"/>
        <v>134</v>
      </c>
      <c r="AN141" s="6" t="str">
        <f t="shared" si="86"/>
        <v xml:space="preserve">Holden                       </v>
      </c>
      <c r="AO141" s="6">
        <f t="shared" si="87"/>
        <v>0</v>
      </c>
      <c r="AP141" s="9">
        <f t="shared" si="92"/>
        <v>2</v>
      </c>
      <c r="AQ141" s="9">
        <f t="shared" si="88"/>
        <v>33720.660000000003</v>
      </c>
      <c r="AR141" s="33">
        <f t="shared" si="89"/>
        <v>19200</v>
      </c>
      <c r="AS141" s="33">
        <f t="shared" si="90"/>
        <v>14521</v>
      </c>
      <c r="AU141" s="28"/>
      <c r="AV141" s="9"/>
      <c r="AW141" s="519"/>
    </row>
    <row r="142" spans="1:49">
      <c r="A142" s="6">
        <v>135</v>
      </c>
      <c r="B142" s="6" t="s">
        <v>1253</v>
      </c>
      <c r="C142" s="7">
        <v>1</v>
      </c>
      <c r="D142" s="9">
        <v>2529520.8899999997</v>
      </c>
      <c r="E142" s="9">
        <v>1516165</v>
      </c>
      <c r="F142" s="9">
        <v>1013356</v>
      </c>
      <c r="G142" s="348"/>
      <c r="H142" s="111">
        <f t="shared" si="91"/>
        <v>1013356</v>
      </c>
      <c r="I142" s="9">
        <f t="shared" si="62"/>
        <v>2372741.1</v>
      </c>
      <c r="J142" s="33">
        <f t="shared" si="63"/>
        <v>1515869</v>
      </c>
      <c r="K142" s="9">
        <f t="shared" si="64"/>
        <v>856872</v>
      </c>
      <c r="L142" s="112">
        <f t="shared" si="65"/>
        <v>0</v>
      </c>
      <c r="M142" s="458">
        <f>ROUND(100-'Townwide Contributions'!L141,2)</f>
        <v>32.090000000000003</v>
      </c>
      <c r="N142" s="9">
        <v>175</v>
      </c>
      <c r="O142" s="9">
        <f t="shared" si="66"/>
        <v>157</v>
      </c>
      <c r="P142" s="9">
        <f t="shared" si="67"/>
        <v>0</v>
      </c>
      <c r="Q142" s="28">
        <f t="shared" si="68"/>
        <v>16328</v>
      </c>
      <c r="R142" s="382">
        <f t="shared" si="69"/>
        <v>16328</v>
      </c>
      <c r="S142" s="28">
        <v>1013356</v>
      </c>
      <c r="T142" s="33">
        <f t="shared" si="70"/>
        <v>1018066</v>
      </c>
      <c r="U142" s="9">
        <f t="shared" si="71"/>
        <v>0</v>
      </c>
      <c r="V142" s="33">
        <f t="shared" si="72"/>
        <v>1029684</v>
      </c>
      <c r="W142" s="33">
        <f t="shared" si="73"/>
        <v>0</v>
      </c>
      <c r="X142" s="33">
        <v>0</v>
      </c>
      <c r="Y142" s="113">
        <f t="shared" si="74"/>
        <v>1029684</v>
      </c>
      <c r="Z142" s="155">
        <f t="shared" si="75"/>
        <v>43.396390781952562</v>
      </c>
      <c r="AA142" s="33">
        <f t="shared" si="76"/>
        <v>2545553</v>
      </c>
      <c r="AB142" s="114">
        <f t="shared" si="77"/>
        <v>107.28321770967763</v>
      </c>
      <c r="AC142" s="28">
        <f t="shared" si="78"/>
        <v>-156779.78999999957</v>
      </c>
      <c r="AD142" s="28">
        <f t="shared" si="79"/>
        <v>16328</v>
      </c>
      <c r="AE142" s="28">
        <f t="shared" si="80"/>
        <v>268271.3810099999</v>
      </c>
      <c r="AF142" s="115">
        <f t="shared" si="81"/>
        <v>11.306390781952558</v>
      </c>
      <c r="AG142" s="28">
        <f t="shared" si="82"/>
        <v>15113</v>
      </c>
      <c r="AI142" s="28">
        <f t="shared" si="83"/>
        <v>0</v>
      </c>
      <c r="AJ142" s="28"/>
      <c r="AK142" s="28">
        <f t="shared" si="84"/>
        <v>104</v>
      </c>
      <c r="AL142" s="156"/>
      <c r="AM142" s="6">
        <f t="shared" si="85"/>
        <v>135</v>
      </c>
      <c r="AN142" s="6" t="str">
        <f t="shared" si="86"/>
        <v xml:space="preserve">Holland                      </v>
      </c>
      <c r="AO142" s="6">
        <f t="shared" si="87"/>
        <v>1</v>
      </c>
      <c r="AP142" s="9">
        <f t="shared" si="92"/>
        <v>157</v>
      </c>
      <c r="AQ142" s="9">
        <f t="shared" si="88"/>
        <v>2372741.1</v>
      </c>
      <c r="AR142" s="33">
        <f t="shared" si="89"/>
        <v>1515869</v>
      </c>
      <c r="AS142" s="33">
        <f t="shared" si="90"/>
        <v>1029684</v>
      </c>
      <c r="AU142" s="28"/>
      <c r="AV142" s="9"/>
      <c r="AW142" s="519"/>
    </row>
    <row r="143" spans="1:49">
      <c r="A143" s="6">
        <v>136</v>
      </c>
      <c r="B143" s="6" t="s">
        <v>1254</v>
      </c>
      <c r="C143" s="7">
        <v>1</v>
      </c>
      <c r="D143" s="9">
        <v>32828254.537319999</v>
      </c>
      <c r="E143" s="9">
        <v>23937028</v>
      </c>
      <c r="F143" s="9">
        <v>8912782</v>
      </c>
      <c r="G143" s="348"/>
      <c r="H143" s="111">
        <f t="shared" si="91"/>
        <v>8912782</v>
      </c>
      <c r="I143" s="9">
        <f t="shared" si="62"/>
        <v>33400106.240699988</v>
      </c>
      <c r="J143" s="33">
        <f t="shared" si="63"/>
        <v>25423217</v>
      </c>
      <c r="K143" s="9">
        <f t="shared" si="64"/>
        <v>7976889</v>
      </c>
      <c r="L143" s="112">
        <f t="shared" si="65"/>
        <v>0</v>
      </c>
      <c r="M143" s="458">
        <f>ROUND(100-'Townwide Contributions'!L142,2)</f>
        <v>17.5</v>
      </c>
      <c r="N143" s="9">
        <v>2686</v>
      </c>
      <c r="O143" s="9">
        <f t="shared" si="66"/>
        <v>2652</v>
      </c>
      <c r="P143" s="9">
        <f t="shared" si="67"/>
        <v>0</v>
      </c>
      <c r="Q143" s="28">
        <f t="shared" si="68"/>
        <v>275808</v>
      </c>
      <c r="R143" s="382">
        <f t="shared" si="69"/>
        <v>275808</v>
      </c>
      <c r="S143" s="28">
        <v>8912782</v>
      </c>
      <c r="T143" s="33">
        <f t="shared" si="70"/>
        <v>8992342</v>
      </c>
      <c r="U143" s="9">
        <f t="shared" si="71"/>
        <v>0</v>
      </c>
      <c r="V143" s="33">
        <f t="shared" si="72"/>
        <v>9188590</v>
      </c>
      <c r="W143" s="33">
        <f t="shared" si="73"/>
        <v>0</v>
      </c>
      <c r="X143" s="33">
        <v>0</v>
      </c>
      <c r="Y143" s="113">
        <f t="shared" si="74"/>
        <v>9188590</v>
      </c>
      <c r="Z143" s="155">
        <f t="shared" si="75"/>
        <v>27.510660995452657</v>
      </c>
      <c r="AA143" s="33">
        <f t="shared" si="76"/>
        <v>34611807</v>
      </c>
      <c r="AB143" s="114">
        <f t="shared" si="77"/>
        <v>103.6278350450978</v>
      </c>
      <c r="AC143" s="28">
        <f t="shared" si="78"/>
        <v>571851.70337998867</v>
      </c>
      <c r="AD143" s="28">
        <f t="shared" si="79"/>
        <v>275808</v>
      </c>
      <c r="AE143" s="28">
        <f t="shared" si="80"/>
        <v>3343571.407877502</v>
      </c>
      <c r="AF143" s="115">
        <f t="shared" si="81"/>
        <v>10.010660995452657</v>
      </c>
      <c r="AG143" s="28">
        <f t="shared" si="82"/>
        <v>12594.31</v>
      </c>
      <c r="AI143" s="28">
        <f t="shared" si="83"/>
        <v>0</v>
      </c>
      <c r="AJ143" s="28"/>
      <c r="AK143" s="28">
        <f t="shared" si="84"/>
        <v>104</v>
      </c>
      <c r="AL143" s="156"/>
      <c r="AM143" s="6">
        <f t="shared" si="85"/>
        <v>136</v>
      </c>
      <c r="AN143" s="6" t="str">
        <f t="shared" si="86"/>
        <v xml:space="preserve">Holliston                    </v>
      </c>
      <c r="AO143" s="6">
        <f t="shared" si="87"/>
        <v>1</v>
      </c>
      <c r="AP143" s="9">
        <f t="shared" si="92"/>
        <v>2652</v>
      </c>
      <c r="AQ143" s="9">
        <f t="shared" si="88"/>
        <v>33400106.240699988</v>
      </c>
      <c r="AR143" s="33">
        <f t="shared" si="89"/>
        <v>25423217</v>
      </c>
      <c r="AS143" s="33">
        <f t="shared" si="90"/>
        <v>9188590</v>
      </c>
      <c r="AU143" s="28"/>
      <c r="AV143" s="9"/>
      <c r="AW143" s="519"/>
    </row>
    <row r="144" spans="1:49">
      <c r="A144" s="6">
        <v>137</v>
      </c>
      <c r="B144" s="6" t="s">
        <v>1255</v>
      </c>
      <c r="C144" s="7">
        <v>1</v>
      </c>
      <c r="D144" s="9">
        <v>109412142.28999999</v>
      </c>
      <c r="E144" s="9">
        <v>12452771</v>
      </c>
      <c r="F144" s="9">
        <v>96959371</v>
      </c>
      <c r="G144" s="348"/>
      <c r="H144" s="111">
        <f t="shared" si="91"/>
        <v>96959371</v>
      </c>
      <c r="I144" s="9">
        <f t="shared" si="62"/>
        <v>114374878.07000002</v>
      </c>
      <c r="J144" s="33">
        <f t="shared" si="63"/>
        <v>13183748</v>
      </c>
      <c r="K144" s="9">
        <f t="shared" si="64"/>
        <v>101191130</v>
      </c>
      <c r="L144" s="112">
        <f t="shared" si="65"/>
        <v>4231759</v>
      </c>
      <c r="M144" s="458">
        <f>ROUND(100-'Townwide Contributions'!L143,2)</f>
        <v>80.66</v>
      </c>
      <c r="N144" s="9">
        <v>5926</v>
      </c>
      <c r="O144" s="9">
        <f t="shared" si="66"/>
        <v>5850</v>
      </c>
      <c r="P144" s="9">
        <f t="shared" si="67"/>
        <v>1</v>
      </c>
      <c r="Q144" s="28">
        <f t="shared" si="68"/>
        <v>608400</v>
      </c>
      <c r="R144" s="382">
        <f t="shared" si="69"/>
        <v>0</v>
      </c>
      <c r="S144" s="28">
        <v>96959371</v>
      </c>
      <c r="T144" s="33">
        <f t="shared" si="70"/>
        <v>97134871</v>
      </c>
      <c r="U144" s="9">
        <f t="shared" si="71"/>
        <v>0</v>
      </c>
      <c r="V144" s="33">
        <f t="shared" si="72"/>
        <v>101191130</v>
      </c>
      <c r="W144" s="33">
        <f t="shared" si="73"/>
        <v>0</v>
      </c>
      <c r="X144" s="33">
        <v>0</v>
      </c>
      <c r="Y144" s="113">
        <f t="shared" si="74"/>
        <v>101191130</v>
      </c>
      <c r="Z144" s="155">
        <f t="shared" si="75"/>
        <v>88.473213442963171</v>
      </c>
      <c r="AA144" s="33">
        <f t="shared" si="76"/>
        <v>114374878</v>
      </c>
      <c r="AB144" s="114">
        <f t="shared" si="77"/>
        <v>99.999999938797728</v>
      </c>
      <c r="AC144" s="28">
        <f t="shared" si="78"/>
        <v>4962735.780000031</v>
      </c>
      <c r="AD144" s="28">
        <f t="shared" si="79"/>
        <v>4231759</v>
      </c>
      <c r="AE144" s="28">
        <f t="shared" si="80"/>
        <v>8936353.3487379849</v>
      </c>
      <c r="AF144" s="115">
        <f t="shared" si="81"/>
        <v>7.8132134429631748</v>
      </c>
      <c r="AG144" s="28">
        <f t="shared" si="82"/>
        <v>19551.259999999998</v>
      </c>
      <c r="AI144" s="28">
        <f t="shared" si="83"/>
        <v>0</v>
      </c>
      <c r="AJ144" s="28"/>
      <c r="AK144" s="28">
        <f t="shared" si="84"/>
        <v>723.37760683760689</v>
      </c>
      <c r="AL144" s="156"/>
      <c r="AM144" s="6">
        <f t="shared" si="85"/>
        <v>137</v>
      </c>
      <c r="AN144" s="6" t="str">
        <f t="shared" si="86"/>
        <v xml:space="preserve">Holyoke                      </v>
      </c>
      <c r="AO144" s="6">
        <f t="shared" si="87"/>
        <v>1</v>
      </c>
      <c r="AP144" s="9">
        <f t="shared" si="92"/>
        <v>5850</v>
      </c>
      <c r="AQ144" s="9">
        <f t="shared" si="88"/>
        <v>114374878.07000002</v>
      </c>
      <c r="AR144" s="33">
        <f t="shared" si="89"/>
        <v>13183748</v>
      </c>
      <c r="AS144" s="33">
        <f t="shared" si="90"/>
        <v>101191130</v>
      </c>
      <c r="AU144" s="28"/>
      <c r="AV144" s="9"/>
      <c r="AW144" s="519"/>
    </row>
    <row r="145" spans="1:49">
      <c r="A145" s="6">
        <v>138</v>
      </c>
      <c r="B145" s="6" t="s">
        <v>1256</v>
      </c>
      <c r="C145" s="7">
        <v>1</v>
      </c>
      <c r="D145" s="9">
        <v>11489500.85</v>
      </c>
      <c r="E145" s="9">
        <v>6489561</v>
      </c>
      <c r="F145" s="9">
        <v>6221250</v>
      </c>
      <c r="G145" s="348"/>
      <c r="H145" s="111">
        <f t="shared" si="91"/>
        <v>6221250</v>
      </c>
      <c r="I145" s="9">
        <f t="shared" si="62"/>
        <v>11657637.4</v>
      </c>
      <c r="J145" s="33">
        <f t="shared" si="63"/>
        <v>6842443</v>
      </c>
      <c r="K145" s="9">
        <f t="shared" si="64"/>
        <v>4815194</v>
      </c>
      <c r="L145" s="112">
        <f t="shared" si="65"/>
        <v>0</v>
      </c>
      <c r="M145" s="458">
        <f>ROUND(100-'Townwide Contributions'!L144,2)</f>
        <v>39.75</v>
      </c>
      <c r="N145" s="9">
        <v>875</v>
      </c>
      <c r="O145" s="9">
        <f t="shared" si="66"/>
        <v>865</v>
      </c>
      <c r="P145" s="9">
        <f t="shared" si="67"/>
        <v>0</v>
      </c>
      <c r="Q145" s="28">
        <f t="shared" si="68"/>
        <v>89960</v>
      </c>
      <c r="R145" s="382">
        <f t="shared" si="69"/>
        <v>89960</v>
      </c>
      <c r="S145" s="28">
        <v>6221250</v>
      </c>
      <c r="T145" s="33">
        <f t="shared" si="70"/>
        <v>6247200</v>
      </c>
      <c r="U145" s="9">
        <f t="shared" si="71"/>
        <v>0</v>
      </c>
      <c r="V145" s="33">
        <f t="shared" si="72"/>
        <v>6311210</v>
      </c>
      <c r="W145" s="33">
        <f t="shared" si="73"/>
        <v>0</v>
      </c>
      <c r="X145" s="33">
        <v>0</v>
      </c>
      <c r="Y145" s="113">
        <f t="shared" si="74"/>
        <v>6311210</v>
      </c>
      <c r="Z145" s="155">
        <f t="shared" si="75"/>
        <v>54.137985111803189</v>
      </c>
      <c r="AA145" s="33">
        <f t="shared" si="76"/>
        <v>13153653</v>
      </c>
      <c r="AB145" s="114">
        <f t="shared" si="77"/>
        <v>112.8329227326971</v>
      </c>
      <c r="AC145" s="28">
        <f t="shared" si="78"/>
        <v>168136.55000000075</v>
      </c>
      <c r="AD145" s="28">
        <f t="shared" si="79"/>
        <v>89960</v>
      </c>
      <c r="AE145" s="28">
        <f t="shared" si="80"/>
        <v>1677299.1334999995</v>
      </c>
      <c r="AF145" s="115">
        <f t="shared" si="81"/>
        <v>14.387985111803189</v>
      </c>
      <c r="AG145" s="28">
        <f t="shared" si="82"/>
        <v>13477.04</v>
      </c>
      <c r="AI145" s="28">
        <f t="shared" si="83"/>
        <v>0</v>
      </c>
      <c r="AJ145" s="28"/>
      <c r="AK145" s="28">
        <f t="shared" si="84"/>
        <v>104</v>
      </c>
      <c r="AL145" s="156"/>
      <c r="AM145" s="6">
        <f t="shared" si="85"/>
        <v>138</v>
      </c>
      <c r="AN145" s="6" t="str">
        <f t="shared" si="86"/>
        <v xml:space="preserve">Hopedale                     </v>
      </c>
      <c r="AO145" s="6">
        <f t="shared" si="87"/>
        <v>1</v>
      </c>
      <c r="AP145" s="9">
        <f t="shared" si="92"/>
        <v>865</v>
      </c>
      <c r="AQ145" s="9">
        <f t="shared" si="88"/>
        <v>11657637.4</v>
      </c>
      <c r="AR145" s="33">
        <f t="shared" si="89"/>
        <v>6842443</v>
      </c>
      <c r="AS145" s="33">
        <f t="shared" si="90"/>
        <v>6311210</v>
      </c>
      <c r="AU145" s="28"/>
      <c r="AV145" s="9"/>
      <c r="AW145" s="519"/>
    </row>
    <row r="146" spans="1:49">
      <c r="A146" s="6">
        <v>139</v>
      </c>
      <c r="B146" s="6" t="s">
        <v>1257</v>
      </c>
      <c r="C146" s="7">
        <v>1</v>
      </c>
      <c r="D146" s="9">
        <v>50873294.826880008</v>
      </c>
      <c r="E146" s="9">
        <v>41073636</v>
      </c>
      <c r="F146" s="9">
        <v>9799659</v>
      </c>
      <c r="G146" s="348"/>
      <c r="H146" s="111">
        <f t="shared" si="91"/>
        <v>9799659</v>
      </c>
      <c r="I146" s="9">
        <f t="shared" si="62"/>
        <v>52668757.257279992</v>
      </c>
      <c r="J146" s="33">
        <f t="shared" si="63"/>
        <v>43451724</v>
      </c>
      <c r="K146" s="9">
        <f t="shared" si="64"/>
        <v>9217033</v>
      </c>
      <c r="L146" s="112">
        <f t="shared" si="65"/>
        <v>0</v>
      </c>
      <c r="M146" s="458">
        <f>ROUND(100-'Townwide Contributions'!L145,2)</f>
        <v>17.5</v>
      </c>
      <c r="N146" s="9">
        <v>4139</v>
      </c>
      <c r="O146" s="9">
        <f t="shared" si="66"/>
        <v>4165</v>
      </c>
      <c r="P146" s="9">
        <f t="shared" si="67"/>
        <v>0</v>
      </c>
      <c r="Q146" s="28">
        <f t="shared" si="68"/>
        <v>433160</v>
      </c>
      <c r="R146" s="382">
        <f t="shared" si="69"/>
        <v>433160</v>
      </c>
      <c r="S146" s="28">
        <v>9799659</v>
      </c>
      <c r="T146" s="33">
        <f t="shared" si="70"/>
        <v>9924609</v>
      </c>
      <c r="U146" s="9">
        <f t="shared" si="71"/>
        <v>0</v>
      </c>
      <c r="V146" s="33">
        <f t="shared" si="72"/>
        <v>10232819</v>
      </c>
      <c r="W146" s="33">
        <f t="shared" si="73"/>
        <v>0</v>
      </c>
      <c r="X146" s="33">
        <v>0</v>
      </c>
      <c r="Y146" s="113">
        <f t="shared" si="74"/>
        <v>10232819</v>
      </c>
      <c r="Z146" s="155">
        <f t="shared" si="75"/>
        <v>19.428631949704105</v>
      </c>
      <c r="AA146" s="33">
        <f t="shared" si="76"/>
        <v>53684543</v>
      </c>
      <c r="AB146" s="114">
        <f t="shared" si="77"/>
        <v>101.92863054990652</v>
      </c>
      <c r="AC146" s="28">
        <f t="shared" si="78"/>
        <v>1795462.4303999841</v>
      </c>
      <c r="AD146" s="28">
        <f t="shared" si="79"/>
        <v>433160</v>
      </c>
      <c r="AE146" s="28">
        <f t="shared" si="80"/>
        <v>1015786.4799760021</v>
      </c>
      <c r="AF146" s="115">
        <f t="shared" si="81"/>
        <v>1.9286319497041049</v>
      </c>
      <c r="AG146" s="28">
        <f t="shared" si="82"/>
        <v>12645.56</v>
      </c>
      <c r="AI146" s="28">
        <f t="shared" si="83"/>
        <v>0</v>
      </c>
      <c r="AJ146" s="28"/>
      <c r="AK146" s="28">
        <f t="shared" si="84"/>
        <v>104</v>
      </c>
      <c r="AL146" s="156"/>
      <c r="AM146" s="6">
        <f t="shared" si="85"/>
        <v>139</v>
      </c>
      <c r="AN146" s="6" t="str">
        <f t="shared" si="86"/>
        <v xml:space="preserve">Hopkinton                    </v>
      </c>
      <c r="AO146" s="6">
        <f t="shared" si="87"/>
        <v>1</v>
      </c>
      <c r="AP146" s="9">
        <f t="shared" si="92"/>
        <v>4165</v>
      </c>
      <c r="AQ146" s="9">
        <f t="shared" si="88"/>
        <v>52668757.257279992</v>
      </c>
      <c r="AR146" s="33">
        <f t="shared" si="89"/>
        <v>43451724</v>
      </c>
      <c r="AS146" s="33">
        <f t="shared" si="90"/>
        <v>10232819</v>
      </c>
      <c r="AU146" s="28"/>
      <c r="AV146" s="9"/>
      <c r="AW146" s="519"/>
    </row>
    <row r="147" spans="1:49">
      <c r="A147" s="6">
        <v>140</v>
      </c>
      <c r="B147" s="6" t="s">
        <v>1258</v>
      </c>
      <c r="C147" s="7">
        <v>0</v>
      </c>
      <c r="D147" s="9">
        <v>0</v>
      </c>
      <c r="E147" s="9">
        <v>0</v>
      </c>
      <c r="F147" s="9">
        <v>0</v>
      </c>
      <c r="G147" s="348"/>
      <c r="H147" s="111">
        <f t="shared" si="91"/>
        <v>0</v>
      </c>
      <c r="I147" s="9">
        <f t="shared" si="62"/>
        <v>0</v>
      </c>
      <c r="J147" s="33">
        <f t="shared" si="63"/>
        <v>0</v>
      </c>
      <c r="K147" s="9">
        <f t="shared" si="64"/>
        <v>0</v>
      </c>
      <c r="L147" s="112">
        <f t="shared" si="65"/>
        <v>0</v>
      </c>
      <c r="M147" s="458">
        <f>ROUND(100-'Townwide Contributions'!L146,2)</f>
        <v>41.58</v>
      </c>
      <c r="N147" s="9">
        <v>0</v>
      </c>
      <c r="O147" s="9">
        <f t="shared" si="66"/>
        <v>0</v>
      </c>
      <c r="P147" s="9">
        <f t="shared" si="67"/>
        <v>0</v>
      </c>
      <c r="Q147" s="28">
        <f t="shared" si="68"/>
        <v>0</v>
      </c>
      <c r="R147" s="382">
        <f t="shared" si="69"/>
        <v>0</v>
      </c>
      <c r="S147" s="28">
        <v>0</v>
      </c>
      <c r="T147" s="33">
        <f t="shared" si="70"/>
        <v>0</v>
      </c>
      <c r="U147" s="9">
        <f t="shared" si="71"/>
        <v>0</v>
      </c>
      <c r="V147" s="33">
        <f t="shared" si="72"/>
        <v>0</v>
      </c>
      <c r="W147" s="33">
        <f t="shared" si="73"/>
        <v>0</v>
      </c>
      <c r="X147" s="33">
        <v>0</v>
      </c>
      <c r="Y147" s="113">
        <f t="shared" si="74"/>
        <v>0</v>
      </c>
      <c r="Z147" s="155">
        <f t="shared" si="75"/>
        <v>0</v>
      </c>
      <c r="AA147" s="33">
        <f t="shared" si="76"/>
        <v>0</v>
      </c>
      <c r="AB147" s="114">
        <f t="shared" si="77"/>
        <v>0</v>
      </c>
      <c r="AC147" s="28">
        <f t="shared" si="78"/>
        <v>0</v>
      </c>
      <c r="AD147" s="28">
        <f t="shared" si="79"/>
        <v>0</v>
      </c>
      <c r="AE147" s="28">
        <f t="shared" si="80"/>
        <v>0</v>
      </c>
      <c r="AF147" s="115" t="str">
        <f t="shared" si="81"/>
        <v/>
      </c>
      <c r="AG147" s="28">
        <f t="shared" si="82"/>
        <v>0</v>
      </c>
      <c r="AI147" s="28">
        <f t="shared" si="83"/>
        <v>0</v>
      </c>
      <c r="AJ147" s="28"/>
      <c r="AK147" s="28">
        <f t="shared" si="84"/>
        <v>0</v>
      </c>
      <c r="AL147" s="156"/>
      <c r="AM147" s="6">
        <f t="shared" si="85"/>
        <v>140</v>
      </c>
      <c r="AN147" s="6" t="str">
        <f t="shared" si="86"/>
        <v xml:space="preserve">Hubbardston                  </v>
      </c>
      <c r="AO147" s="6">
        <f t="shared" si="87"/>
        <v>0</v>
      </c>
      <c r="AP147" s="9">
        <f t="shared" si="92"/>
        <v>0</v>
      </c>
      <c r="AQ147" s="9">
        <f t="shared" si="88"/>
        <v>0</v>
      </c>
      <c r="AR147" s="33">
        <f t="shared" si="89"/>
        <v>0</v>
      </c>
      <c r="AS147" s="33">
        <f t="shared" si="90"/>
        <v>0</v>
      </c>
      <c r="AU147" s="28"/>
      <c r="AW147" s="519"/>
    </row>
    <row r="148" spans="1:49">
      <c r="A148" s="6">
        <v>141</v>
      </c>
      <c r="B148" s="6" t="s">
        <v>1259</v>
      </c>
      <c r="C148" s="7">
        <v>1</v>
      </c>
      <c r="D148" s="9">
        <v>34207457.530000001</v>
      </c>
      <c r="E148" s="9">
        <v>21209511</v>
      </c>
      <c r="F148" s="9">
        <v>12997947</v>
      </c>
      <c r="G148" s="348"/>
      <c r="H148" s="111">
        <f t="shared" si="91"/>
        <v>12997947</v>
      </c>
      <c r="I148" s="9">
        <f t="shared" si="62"/>
        <v>35386035.233459994</v>
      </c>
      <c r="J148" s="33">
        <f t="shared" si="63"/>
        <v>22432839</v>
      </c>
      <c r="K148" s="9">
        <f t="shared" si="64"/>
        <v>12953196</v>
      </c>
      <c r="L148" s="112">
        <f t="shared" si="65"/>
        <v>0</v>
      </c>
      <c r="M148" s="458">
        <f>ROUND(100-'Townwide Contributions'!L147,2)</f>
        <v>30.18</v>
      </c>
      <c r="N148" s="9">
        <v>2417</v>
      </c>
      <c r="O148" s="9">
        <f t="shared" si="66"/>
        <v>2407</v>
      </c>
      <c r="P148" s="9">
        <f t="shared" si="67"/>
        <v>0</v>
      </c>
      <c r="Q148" s="28">
        <f t="shared" si="68"/>
        <v>250328</v>
      </c>
      <c r="R148" s="382">
        <f t="shared" si="69"/>
        <v>250328</v>
      </c>
      <c r="S148" s="28">
        <v>12997947</v>
      </c>
      <c r="T148" s="33">
        <f t="shared" si="70"/>
        <v>13070157</v>
      </c>
      <c r="U148" s="9">
        <f t="shared" si="71"/>
        <v>0</v>
      </c>
      <c r="V148" s="33">
        <f t="shared" si="72"/>
        <v>13248275</v>
      </c>
      <c r="W148" s="33">
        <f t="shared" si="73"/>
        <v>0</v>
      </c>
      <c r="X148" s="33">
        <v>0</v>
      </c>
      <c r="Y148" s="113">
        <f t="shared" si="74"/>
        <v>13248275</v>
      </c>
      <c r="Z148" s="155">
        <f t="shared" si="75"/>
        <v>37.43927487946663</v>
      </c>
      <c r="AA148" s="33">
        <f t="shared" si="76"/>
        <v>35681114</v>
      </c>
      <c r="AB148" s="114">
        <f t="shared" si="77"/>
        <v>100.83388479266812</v>
      </c>
      <c r="AC148" s="28">
        <f t="shared" si="78"/>
        <v>1178577.703459993</v>
      </c>
      <c r="AD148" s="28">
        <f t="shared" si="79"/>
        <v>250328</v>
      </c>
      <c r="AE148" s="28">
        <f t="shared" si="80"/>
        <v>2568769.5665417742</v>
      </c>
      <c r="AF148" s="115">
        <f t="shared" si="81"/>
        <v>7.2592748794666306</v>
      </c>
      <c r="AG148" s="28">
        <f t="shared" si="82"/>
        <v>14701.3</v>
      </c>
      <c r="AI148" s="28">
        <f t="shared" si="83"/>
        <v>0</v>
      </c>
      <c r="AJ148" s="28"/>
      <c r="AK148" s="28">
        <f t="shared" si="84"/>
        <v>104</v>
      </c>
      <c r="AL148" s="156"/>
      <c r="AM148" s="6">
        <f t="shared" si="85"/>
        <v>141</v>
      </c>
      <c r="AN148" s="6" t="str">
        <f t="shared" si="86"/>
        <v xml:space="preserve">Hudson                       </v>
      </c>
      <c r="AO148" s="6">
        <f t="shared" si="87"/>
        <v>1</v>
      </c>
      <c r="AP148" s="9">
        <f t="shared" si="92"/>
        <v>2407</v>
      </c>
      <c r="AQ148" s="9">
        <f t="shared" si="88"/>
        <v>35386035.233459994</v>
      </c>
      <c r="AR148" s="33">
        <f t="shared" si="89"/>
        <v>22432839</v>
      </c>
      <c r="AS148" s="33">
        <f t="shared" si="90"/>
        <v>13248275</v>
      </c>
      <c r="AU148" s="28"/>
      <c r="AV148" s="9"/>
      <c r="AW148" s="519"/>
    </row>
    <row r="149" spans="1:49">
      <c r="A149" s="6">
        <v>142</v>
      </c>
      <c r="B149" s="6" t="s">
        <v>1260</v>
      </c>
      <c r="C149" s="7">
        <v>1</v>
      </c>
      <c r="D149" s="9">
        <v>10986735.571280001</v>
      </c>
      <c r="E149" s="9">
        <v>9052274</v>
      </c>
      <c r="F149" s="9">
        <v>3996296</v>
      </c>
      <c r="G149" s="348"/>
      <c r="H149" s="111">
        <f t="shared" si="91"/>
        <v>3996296</v>
      </c>
      <c r="I149" s="9">
        <f t="shared" si="62"/>
        <v>10813118.211879998</v>
      </c>
      <c r="J149" s="33">
        <f t="shared" si="63"/>
        <v>8920823</v>
      </c>
      <c r="K149" s="9">
        <f t="shared" si="64"/>
        <v>1892295</v>
      </c>
      <c r="L149" s="112">
        <f t="shared" si="65"/>
        <v>0</v>
      </c>
      <c r="M149" s="458">
        <f>ROUND(100-'Townwide Contributions'!L148,2)</f>
        <v>17.5</v>
      </c>
      <c r="N149" s="9">
        <v>791</v>
      </c>
      <c r="O149" s="9">
        <f t="shared" si="66"/>
        <v>757</v>
      </c>
      <c r="P149" s="9">
        <f t="shared" si="67"/>
        <v>0</v>
      </c>
      <c r="Q149" s="28">
        <f t="shared" si="68"/>
        <v>78728</v>
      </c>
      <c r="R149" s="382">
        <f t="shared" si="69"/>
        <v>78728</v>
      </c>
      <c r="S149" s="28">
        <v>3996296</v>
      </c>
      <c r="T149" s="33">
        <f t="shared" si="70"/>
        <v>4019006</v>
      </c>
      <c r="U149" s="9">
        <f t="shared" si="71"/>
        <v>0</v>
      </c>
      <c r="V149" s="33">
        <f t="shared" si="72"/>
        <v>4075024</v>
      </c>
      <c r="W149" s="33">
        <f t="shared" si="73"/>
        <v>0</v>
      </c>
      <c r="X149" s="33">
        <v>0</v>
      </c>
      <c r="Y149" s="113">
        <f t="shared" si="74"/>
        <v>4075024</v>
      </c>
      <c r="Z149" s="155">
        <f t="shared" si="75"/>
        <v>37.685928518962385</v>
      </c>
      <c r="AA149" s="33">
        <f t="shared" si="76"/>
        <v>12995847</v>
      </c>
      <c r="AB149" s="114">
        <f t="shared" si="77"/>
        <v>120.18593291361518</v>
      </c>
      <c r="AC149" s="28">
        <f t="shared" si="78"/>
        <v>-173617.35940000229</v>
      </c>
      <c r="AD149" s="28">
        <f t="shared" si="79"/>
        <v>78728</v>
      </c>
      <c r="AE149" s="28">
        <f t="shared" si="80"/>
        <v>2182728.3129210006</v>
      </c>
      <c r="AF149" s="115">
        <f t="shared" si="81"/>
        <v>20.185928518962385</v>
      </c>
      <c r="AG149" s="28">
        <f t="shared" si="82"/>
        <v>14284.17</v>
      </c>
      <c r="AI149" s="28">
        <f t="shared" si="83"/>
        <v>0</v>
      </c>
      <c r="AJ149" s="28"/>
      <c r="AK149" s="28">
        <f t="shared" si="84"/>
        <v>104</v>
      </c>
      <c r="AL149" s="156"/>
      <c r="AM149" s="6">
        <f t="shared" si="85"/>
        <v>142</v>
      </c>
      <c r="AN149" s="6" t="str">
        <f t="shared" si="86"/>
        <v xml:space="preserve">Hull                         </v>
      </c>
      <c r="AO149" s="6">
        <f t="shared" si="87"/>
        <v>1</v>
      </c>
      <c r="AP149" s="9">
        <f t="shared" si="92"/>
        <v>757</v>
      </c>
      <c r="AQ149" s="9">
        <f t="shared" si="88"/>
        <v>10813118.211879998</v>
      </c>
      <c r="AR149" s="33">
        <f t="shared" si="89"/>
        <v>8920823</v>
      </c>
      <c r="AS149" s="33">
        <f t="shared" si="90"/>
        <v>4075024</v>
      </c>
      <c r="AU149" s="28"/>
      <c r="AV149" s="9"/>
      <c r="AW149" s="519"/>
    </row>
    <row r="150" spans="1:49">
      <c r="A150" s="6">
        <v>143</v>
      </c>
      <c r="B150" s="6" t="s">
        <v>1261</v>
      </c>
      <c r="C150" s="7">
        <v>0</v>
      </c>
      <c r="D150" s="9">
        <v>572755.80000000005</v>
      </c>
      <c r="E150" s="9">
        <v>217988</v>
      </c>
      <c r="F150" s="9">
        <v>354768</v>
      </c>
      <c r="G150" s="348"/>
      <c r="H150" s="111">
        <f t="shared" si="91"/>
        <v>354768</v>
      </c>
      <c r="I150" s="9">
        <f t="shared" si="62"/>
        <v>686499.45000000007</v>
      </c>
      <c r="J150" s="33">
        <f t="shared" si="63"/>
        <v>265317</v>
      </c>
      <c r="K150" s="9">
        <f t="shared" si="64"/>
        <v>421182</v>
      </c>
      <c r="L150" s="112">
        <f t="shared" si="65"/>
        <v>66414</v>
      </c>
      <c r="M150" s="458">
        <f>ROUND(100-'Townwide Contributions'!L149,2)</f>
        <v>57.18</v>
      </c>
      <c r="N150" s="9">
        <v>31</v>
      </c>
      <c r="O150" s="9">
        <f t="shared" si="66"/>
        <v>37</v>
      </c>
      <c r="P150" s="9">
        <f t="shared" si="67"/>
        <v>0</v>
      </c>
      <c r="Q150" s="28">
        <f t="shared" si="68"/>
        <v>0</v>
      </c>
      <c r="R150" s="382">
        <f t="shared" si="69"/>
        <v>0</v>
      </c>
      <c r="S150" s="28">
        <v>394576</v>
      </c>
      <c r="T150" s="33">
        <f t="shared" si="70"/>
        <v>395686</v>
      </c>
      <c r="U150" s="9">
        <f t="shared" si="71"/>
        <v>0</v>
      </c>
      <c r="V150" s="33">
        <f t="shared" si="72"/>
        <v>421182</v>
      </c>
      <c r="W150" s="33">
        <f t="shared" si="73"/>
        <v>0</v>
      </c>
      <c r="X150" s="33">
        <v>0</v>
      </c>
      <c r="Y150" s="113">
        <f t="shared" si="74"/>
        <v>421182</v>
      </c>
      <c r="Z150" s="155">
        <f t="shared" si="75"/>
        <v>0</v>
      </c>
      <c r="AA150" s="33">
        <f t="shared" si="76"/>
        <v>686499</v>
      </c>
      <c r="AB150" s="114">
        <f t="shared" si="77"/>
        <v>99.999934450056728</v>
      </c>
      <c r="AC150" s="28">
        <f t="shared" si="78"/>
        <v>113743.65000000002</v>
      </c>
      <c r="AD150" s="28">
        <f t="shared" si="79"/>
        <v>66414</v>
      </c>
      <c r="AE150" s="28">
        <f t="shared" si="80"/>
        <v>28641.614489999949</v>
      </c>
      <c r="AF150" s="115" t="str">
        <f t="shared" si="81"/>
        <v/>
      </c>
      <c r="AG150" s="28">
        <f t="shared" si="82"/>
        <v>18554.04</v>
      </c>
      <c r="AI150" s="28">
        <f t="shared" si="83"/>
        <v>0</v>
      </c>
      <c r="AJ150" s="28"/>
      <c r="AK150" s="28">
        <f t="shared" si="84"/>
        <v>1794.9729729729729</v>
      </c>
      <c r="AL150" s="156"/>
      <c r="AM150" s="6">
        <f t="shared" si="85"/>
        <v>143</v>
      </c>
      <c r="AN150" s="6" t="str">
        <f t="shared" si="86"/>
        <v xml:space="preserve">Huntington                   </v>
      </c>
      <c r="AO150" s="6">
        <f t="shared" si="87"/>
        <v>0</v>
      </c>
      <c r="AP150" s="9">
        <f t="shared" si="92"/>
        <v>37</v>
      </c>
      <c r="AQ150" s="9">
        <f t="shared" si="88"/>
        <v>686499.45000000007</v>
      </c>
      <c r="AR150" s="33">
        <f t="shared" si="89"/>
        <v>265317</v>
      </c>
      <c r="AS150" s="33">
        <f t="shared" si="90"/>
        <v>421182</v>
      </c>
      <c r="AU150" s="28"/>
      <c r="AV150" s="9"/>
      <c r="AW150" s="519"/>
    </row>
    <row r="151" spans="1:49">
      <c r="A151" s="6">
        <v>144</v>
      </c>
      <c r="B151" s="6" t="s">
        <v>1262</v>
      </c>
      <c r="C151" s="7">
        <v>1</v>
      </c>
      <c r="D151" s="9">
        <v>20567036.155019999</v>
      </c>
      <c r="E151" s="9">
        <v>16419694</v>
      </c>
      <c r="F151" s="9">
        <v>4147342</v>
      </c>
      <c r="G151" s="348"/>
      <c r="H151" s="111">
        <f t="shared" si="91"/>
        <v>4147342</v>
      </c>
      <c r="I151" s="9">
        <f t="shared" si="62"/>
        <v>21036885.203640003</v>
      </c>
      <c r="J151" s="33">
        <f t="shared" si="63"/>
        <v>17194551</v>
      </c>
      <c r="K151" s="9">
        <f t="shared" si="64"/>
        <v>3842334</v>
      </c>
      <c r="L151" s="112">
        <f t="shared" si="65"/>
        <v>0</v>
      </c>
      <c r="M151" s="458">
        <f>ROUND(100-'Townwide Contributions'!L150,2)</f>
        <v>17.5</v>
      </c>
      <c r="N151" s="9">
        <v>1557</v>
      </c>
      <c r="O151" s="9">
        <f t="shared" si="66"/>
        <v>1551</v>
      </c>
      <c r="P151" s="9">
        <f t="shared" si="67"/>
        <v>0</v>
      </c>
      <c r="Q151" s="28">
        <f t="shared" si="68"/>
        <v>161304</v>
      </c>
      <c r="R151" s="382">
        <f t="shared" si="69"/>
        <v>161304</v>
      </c>
      <c r="S151" s="28">
        <v>4147342</v>
      </c>
      <c r="T151" s="33">
        <f t="shared" si="70"/>
        <v>4193872</v>
      </c>
      <c r="U151" s="9">
        <f t="shared" si="71"/>
        <v>0</v>
      </c>
      <c r="V151" s="33">
        <f t="shared" si="72"/>
        <v>4308646</v>
      </c>
      <c r="W151" s="33">
        <f t="shared" si="73"/>
        <v>0</v>
      </c>
      <c r="X151" s="33">
        <v>0</v>
      </c>
      <c r="Y151" s="113">
        <f t="shared" si="74"/>
        <v>4308646</v>
      </c>
      <c r="Z151" s="155">
        <f t="shared" si="75"/>
        <v>20.481387611767151</v>
      </c>
      <c r="AA151" s="33">
        <f t="shared" si="76"/>
        <v>21503197</v>
      </c>
      <c r="AB151" s="114">
        <f t="shared" si="77"/>
        <v>102.21663897409732</v>
      </c>
      <c r="AC151" s="28">
        <f t="shared" si="78"/>
        <v>469849.04862000421</v>
      </c>
      <c r="AD151" s="28">
        <f t="shared" si="79"/>
        <v>161304</v>
      </c>
      <c r="AE151" s="28">
        <f t="shared" si="80"/>
        <v>627191.08936299989</v>
      </c>
      <c r="AF151" s="115">
        <f t="shared" si="81"/>
        <v>2.9813876117671505</v>
      </c>
      <c r="AG151" s="28">
        <f t="shared" si="82"/>
        <v>13563.43</v>
      </c>
      <c r="AI151" s="28">
        <f t="shared" si="83"/>
        <v>0</v>
      </c>
      <c r="AJ151" s="28"/>
      <c r="AK151" s="28">
        <f t="shared" si="84"/>
        <v>104</v>
      </c>
      <c r="AL151" s="156"/>
      <c r="AM151" s="6">
        <f t="shared" si="85"/>
        <v>144</v>
      </c>
      <c r="AN151" s="6" t="str">
        <f t="shared" si="86"/>
        <v xml:space="preserve">Ipswich                      </v>
      </c>
      <c r="AO151" s="6">
        <f t="shared" si="87"/>
        <v>1</v>
      </c>
      <c r="AP151" s="9">
        <f t="shared" si="92"/>
        <v>1551</v>
      </c>
      <c r="AQ151" s="9">
        <f t="shared" si="88"/>
        <v>21036885.203640003</v>
      </c>
      <c r="AR151" s="33">
        <f t="shared" si="89"/>
        <v>17194551</v>
      </c>
      <c r="AS151" s="33">
        <f t="shared" si="90"/>
        <v>4308646</v>
      </c>
      <c r="AU151" s="28"/>
      <c r="AV151" s="9"/>
      <c r="AW151" s="519"/>
    </row>
    <row r="152" spans="1:49">
      <c r="A152" s="6">
        <v>145</v>
      </c>
      <c r="B152" s="6" t="s">
        <v>1263</v>
      </c>
      <c r="C152" s="7">
        <v>1</v>
      </c>
      <c r="D152" s="9">
        <v>14371240.407579998</v>
      </c>
      <c r="E152" s="9">
        <v>8940323</v>
      </c>
      <c r="F152" s="9">
        <v>5430917</v>
      </c>
      <c r="G152" s="348"/>
      <c r="H152" s="111">
        <f t="shared" si="91"/>
        <v>5430917</v>
      </c>
      <c r="I152" s="9">
        <f t="shared" si="62"/>
        <v>14866128.19836</v>
      </c>
      <c r="J152" s="33">
        <f t="shared" si="63"/>
        <v>9396563</v>
      </c>
      <c r="K152" s="9">
        <f t="shared" si="64"/>
        <v>5469565</v>
      </c>
      <c r="L152" s="112">
        <f t="shared" si="65"/>
        <v>38648</v>
      </c>
      <c r="M152" s="458">
        <f>ROUND(100-'Townwide Contributions'!L151,2)</f>
        <v>31.22</v>
      </c>
      <c r="N152" s="9">
        <v>1125</v>
      </c>
      <c r="O152" s="9">
        <f t="shared" si="66"/>
        <v>1151</v>
      </c>
      <c r="P152" s="9">
        <f t="shared" si="67"/>
        <v>1</v>
      </c>
      <c r="Q152" s="28">
        <f t="shared" si="68"/>
        <v>119704</v>
      </c>
      <c r="R152" s="382">
        <f t="shared" si="69"/>
        <v>81056</v>
      </c>
      <c r="S152" s="28">
        <v>5430917</v>
      </c>
      <c r="T152" s="33">
        <f t="shared" si="70"/>
        <v>5465447</v>
      </c>
      <c r="U152" s="9">
        <f t="shared" si="71"/>
        <v>0</v>
      </c>
      <c r="V152" s="33">
        <f t="shared" si="72"/>
        <v>5550621</v>
      </c>
      <c r="W152" s="33">
        <f t="shared" si="73"/>
        <v>0</v>
      </c>
      <c r="X152" s="33">
        <v>0</v>
      </c>
      <c r="Y152" s="113">
        <f t="shared" si="74"/>
        <v>5550621</v>
      </c>
      <c r="Z152" s="155">
        <f t="shared" si="75"/>
        <v>37.337368048610884</v>
      </c>
      <c r="AA152" s="33">
        <f t="shared" si="76"/>
        <v>14947184</v>
      </c>
      <c r="AB152" s="114">
        <f t="shared" si="77"/>
        <v>100.54523814512068</v>
      </c>
      <c r="AC152" s="28">
        <f t="shared" si="78"/>
        <v>494887.79078000225</v>
      </c>
      <c r="AD152" s="28">
        <f t="shared" si="79"/>
        <v>119704</v>
      </c>
      <c r="AE152" s="28">
        <f t="shared" si="80"/>
        <v>909415.77647200879</v>
      </c>
      <c r="AF152" s="115">
        <f t="shared" si="81"/>
        <v>6.117368048610885</v>
      </c>
      <c r="AG152" s="28">
        <f t="shared" si="82"/>
        <v>12915.84</v>
      </c>
      <c r="AI152" s="28">
        <f t="shared" si="83"/>
        <v>0</v>
      </c>
      <c r="AJ152" s="28"/>
      <c r="AK152" s="28">
        <f t="shared" si="84"/>
        <v>104</v>
      </c>
      <c r="AL152" s="156"/>
      <c r="AM152" s="6">
        <f t="shared" si="85"/>
        <v>145</v>
      </c>
      <c r="AN152" s="6" t="str">
        <f t="shared" si="86"/>
        <v xml:space="preserve">Kingston                     </v>
      </c>
      <c r="AO152" s="6">
        <f t="shared" si="87"/>
        <v>1</v>
      </c>
      <c r="AP152" s="9">
        <f t="shared" si="92"/>
        <v>1151</v>
      </c>
      <c r="AQ152" s="9">
        <f t="shared" si="88"/>
        <v>14866128.19836</v>
      </c>
      <c r="AR152" s="33">
        <f t="shared" si="89"/>
        <v>9396563</v>
      </c>
      <c r="AS152" s="33">
        <f t="shared" si="90"/>
        <v>5550621</v>
      </c>
      <c r="AU152" s="28"/>
      <c r="AV152" s="9"/>
      <c r="AW152" s="519"/>
    </row>
    <row r="153" spans="1:49">
      <c r="A153" s="6">
        <v>146</v>
      </c>
      <c r="B153" s="6" t="s">
        <v>1264</v>
      </c>
      <c r="C153" s="7">
        <v>0</v>
      </c>
      <c r="D153" s="9">
        <v>212169.47999999998</v>
      </c>
      <c r="E153" s="9">
        <v>138249</v>
      </c>
      <c r="F153" s="9">
        <v>86418</v>
      </c>
      <c r="G153" s="348"/>
      <c r="H153" s="111">
        <f t="shared" si="91"/>
        <v>86418</v>
      </c>
      <c r="I153" s="9">
        <f t="shared" si="62"/>
        <v>267378.24</v>
      </c>
      <c r="J153" s="33">
        <f t="shared" si="63"/>
        <v>183306</v>
      </c>
      <c r="K153" s="9">
        <f t="shared" si="64"/>
        <v>84072</v>
      </c>
      <c r="L153" s="112">
        <f t="shared" si="65"/>
        <v>0</v>
      </c>
      <c r="M153" s="458">
        <f>ROUND(100-'Townwide Contributions'!L152,2)</f>
        <v>23.15</v>
      </c>
      <c r="N153" s="9">
        <v>11</v>
      </c>
      <c r="O153" s="9">
        <f t="shared" si="66"/>
        <v>14</v>
      </c>
      <c r="P153" s="9">
        <f t="shared" si="67"/>
        <v>0</v>
      </c>
      <c r="Q153" s="28">
        <f t="shared" si="68"/>
        <v>0</v>
      </c>
      <c r="R153" s="382">
        <f t="shared" si="69"/>
        <v>0</v>
      </c>
      <c r="S153" s="28">
        <v>86418</v>
      </c>
      <c r="T153" s="33">
        <f t="shared" si="70"/>
        <v>86838</v>
      </c>
      <c r="U153" s="9">
        <f t="shared" si="71"/>
        <v>0</v>
      </c>
      <c r="V153" s="33">
        <f t="shared" si="72"/>
        <v>86418</v>
      </c>
      <c r="W153" s="33">
        <f t="shared" si="73"/>
        <v>0</v>
      </c>
      <c r="X153" s="33">
        <v>0</v>
      </c>
      <c r="Y153" s="113">
        <f t="shared" si="74"/>
        <v>86418</v>
      </c>
      <c r="Z153" s="155">
        <f t="shared" si="75"/>
        <v>0</v>
      </c>
      <c r="AA153" s="33">
        <f t="shared" si="76"/>
        <v>269724</v>
      </c>
      <c r="AB153" s="114">
        <f t="shared" si="77"/>
        <v>100.87731896208159</v>
      </c>
      <c r="AC153" s="28">
        <f t="shared" si="78"/>
        <v>55208.760000000009</v>
      </c>
      <c r="AD153" s="28">
        <f t="shared" si="79"/>
        <v>0</v>
      </c>
      <c r="AE153" s="28">
        <f t="shared" si="80"/>
        <v>24519.937440000009</v>
      </c>
      <c r="AF153" s="115" t="str">
        <f t="shared" si="81"/>
        <v/>
      </c>
      <c r="AG153" s="28">
        <f t="shared" si="82"/>
        <v>19098.45</v>
      </c>
      <c r="AI153" s="28">
        <f t="shared" si="83"/>
        <v>0</v>
      </c>
      <c r="AJ153" s="28"/>
      <c r="AK153" s="28">
        <f t="shared" si="84"/>
        <v>0</v>
      </c>
      <c r="AL153" s="156"/>
      <c r="AM153" s="6">
        <f t="shared" si="85"/>
        <v>146</v>
      </c>
      <c r="AN153" s="6" t="str">
        <f t="shared" si="86"/>
        <v xml:space="preserve">Lakeville                    </v>
      </c>
      <c r="AO153" s="6">
        <f t="shared" si="87"/>
        <v>0</v>
      </c>
      <c r="AP153" s="9">
        <f t="shared" si="92"/>
        <v>14</v>
      </c>
      <c r="AQ153" s="9">
        <f t="shared" si="88"/>
        <v>267378.24</v>
      </c>
      <c r="AR153" s="33">
        <f t="shared" si="89"/>
        <v>183306</v>
      </c>
      <c r="AS153" s="33">
        <f t="shared" si="90"/>
        <v>86418</v>
      </c>
      <c r="AU153" s="28"/>
      <c r="AV153" s="9"/>
      <c r="AW153" s="519"/>
    </row>
    <row r="154" spans="1:49">
      <c r="A154" s="6">
        <v>147</v>
      </c>
      <c r="B154" s="6" t="s">
        <v>1265</v>
      </c>
      <c r="C154" s="7">
        <v>0</v>
      </c>
      <c r="D154" s="9">
        <v>32981.520000000004</v>
      </c>
      <c r="E154" s="9">
        <v>21289</v>
      </c>
      <c r="F154" s="9">
        <v>11693</v>
      </c>
      <c r="G154" s="348"/>
      <c r="H154" s="111">
        <f t="shared" si="91"/>
        <v>11693</v>
      </c>
      <c r="I154" s="9">
        <f t="shared" si="62"/>
        <v>33720.660000000003</v>
      </c>
      <c r="J154" s="33">
        <f t="shared" si="63"/>
        <v>22101</v>
      </c>
      <c r="K154" s="9">
        <f t="shared" si="64"/>
        <v>11620</v>
      </c>
      <c r="L154" s="112">
        <f t="shared" si="65"/>
        <v>0</v>
      </c>
      <c r="M154" s="458">
        <f>ROUND(100-'Townwide Contributions'!L153,2)</f>
        <v>28.14</v>
      </c>
      <c r="N154" s="9">
        <v>2</v>
      </c>
      <c r="O154" s="9">
        <f t="shared" si="66"/>
        <v>2</v>
      </c>
      <c r="P154" s="9">
        <f t="shared" si="67"/>
        <v>0</v>
      </c>
      <c r="Q154" s="28">
        <f t="shared" si="68"/>
        <v>0</v>
      </c>
      <c r="R154" s="382">
        <f t="shared" si="69"/>
        <v>0</v>
      </c>
      <c r="S154" s="28">
        <v>11693</v>
      </c>
      <c r="T154" s="33">
        <f t="shared" si="70"/>
        <v>11753</v>
      </c>
      <c r="U154" s="9">
        <f t="shared" si="71"/>
        <v>0</v>
      </c>
      <c r="V154" s="33">
        <f t="shared" si="72"/>
        <v>11693</v>
      </c>
      <c r="W154" s="33">
        <f t="shared" si="73"/>
        <v>0</v>
      </c>
      <c r="X154" s="33">
        <v>0</v>
      </c>
      <c r="Y154" s="113">
        <f t="shared" si="74"/>
        <v>11693</v>
      </c>
      <c r="Z154" s="155">
        <f t="shared" si="75"/>
        <v>0</v>
      </c>
      <c r="AA154" s="33">
        <f t="shared" si="76"/>
        <v>33794</v>
      </c>
      <c r="AB154" s="114">
        <f t="shared" si="77"/>
        <v>100.21749277742487</v>
      </c>
      <c r="AC154" s="28">
        <f t="shared" si="78"/>
        <v>739.13999999999942</v>
      </c>
      <c r="AD154" s="28">
        <f t="shared" si="79"/>
        <v>0</v>
      </c>
      <c r="AE154" s="28">
        <f t="shared" si="80"/>
        <v>2204.0062760000001</v>
      </c>
      <c r="AF154" s="115" t="str">
        <f t="shared" si="81"/>
        <v/>
      </c>
      <c r="AG154" s="28">
        <f t="shared" si="82"/>
        <v>16860.330000000002</v>
      </c>
      <c r="AI154" s="28">
        <f t="shared" si="83"/>
        <v>0</v>
      </c>
      <c r="AJ154" s="28"/>
      <c r="AK154" s="28">
        <f t="shared" si="84"/>
        <v>0</v>
      </c>
      <c r="AL154" s="156"/>
      <c r="AM154" s="6">
        <f t="shared" si="85"/>
        <v>147</v>
      </c>
      <c r="AN154" s="6" t="str">
        <f t="shared" si="86"/>
        <v xml:space="preserve">Lancaster                    </v>
      </c>
      <c r="AO154" s="6">
        <f t="shared" si="87"/>
        <v>0</v>
      </c>
      <c r="AP154" s="9">
        <f t="shared" si="92"/>
        <v>2</v>
      </c>
      <c r="AQ154" s="9">
        <f t="shared" si="88"/>
        <v>33720.660000000003</v>
      </c>
      <c r="AR154" s="33">
        <f t="shared" si="89"/>
        <v>22101</v>
      </c>
      <c r="AS154" s="33">
        <f t="shared" si="90"/>
        <v>11693</v>
      </c>
      <c r="AU154" s="28"/>
      <c r="AV154" s="9"/>
      <c r="AW154" s="519"/>
    </row>
    <row r="155" spans="1:49">
      <c r="A155" s="6">
        <v>148</v>
      </c>
      <c r="B155" s="6" t="s">
        <v>1266</v>
      </c>
      <c r="C155" s="7">
        <v>0</v>
      </c>
      <c r="D155" s="9">
        <v>0</v>
      </c>
      <c r="E155" s="9">
        <v>0</v>
      </c>
      <c r="F155" s="9">
        <v>0</v>
      </c>
      <c r="G155" s="348"/>
      <c r="H155" s="111">
        <f t="shared" si="91"/>
        <v>0</v>
      </c>
      <c r="I155" s="9">
        <f t="shared" si="62"/>
        <v>0</v>
      </c>
      <c r="J155" s="33">
        <f t="shared" si="63"/>
        <v>0</v>
      </c>
      <c r="K155" s="9">
        <f t="shared" si="64"/>
        <v>0</v>
      </c>
      <c r="L155" s="112">
        <f t="shared" si="65"/>
        <v>0</v>
      </c>
      <c r="M155" s="458">
        <f>ROUND(100-'Townwide Contributions'!L154,2)</f>
        <v>39.520000000000003</v>
      </c>
      <c r="N155" s="9">
        <v>0</v>
      </c>
      <c r="O155" s="9">
        <f t="shared" si="66"/>
        <v>0</v>
      </c>
      <c r="P155" s="9">
        <f t="shared" si="67"/>
        <v>0</v>
      </c>
      <c r="Q155" s="28">
        <f t="shared" si="68"/>
        <v>0</v>
      </c>
      <c r="R155" s="382">
        <f t="shared" si="69"/>
        <v>0</v>
      </c>
      <c r="S155" s="28">
        <v>0</v>
      </c>
      <c r="T155" s="33">
        <f t="shared" si="70"/>
        <v>0</v>
      </c>
      <c r="U155" s="9">
        <f t="shared" si="71"/>
        <v>0</v>
      </c>
      <c r="V155" s="33">
        <f t="shared" si="72"/>
        <v>0</v>
      </c>
      <c r="W155" s="33">
        <f t="shared" si="73"/>
        <v>0</v>
      </c>
      <c r="X155" s="33">
        <v>0</v>
      </c>
      <c r="Y155" s="113">
        <f t="shared" si="74"/>
        <v>0</v>
      </c>
      <c r="Z155" s="155">
        <f t="shared" si="75"/>
        <v>0</v>
      </c>
      <c r="AA155" s="33">
        <f t="shared" si="76"/>
        <v>0</v>
      </c>
      <c r="AB155" s="114">
        <f t="shared" si="77"/>
        <v>0</v>
      </c>
      <c r="AC155" s="28">
        <f t="shared" si="78"/>
        <v>0</v>
      </c>
      <c r="AD155" s="28">
        <f t="shared" si="79"/>
        <v>0</v>
      </c>
      <c r="AE155" s="28">
        <f t="shared" si="80"/>
        <v>0</v>
      </c>
      <c r="AF155" s="115" t="str">
        <f t="shared" si="81"/>
        <v/>
      </c>
      <c r="AG155" s="28">
        <f t="shared" si="82"/>
        <v>0</v>
      </c>
      <c r="AI155" s="28">
        <f t="shared" si="83"/>
        <v>0</v>
      </c>
      <c r="AJ155" s="28"/>
      <c r="AK155" s="28">
        <f t="shared" si="84"/>
        <v>0</v>
      </c>
      <c r="AL155" s="156"/>
      <c r="AM155" s="6">
        <f t="shared" si="85"/>
        <v>148</v>
      </c>
      <c r="AN155" s="6" t="str">
        <f t="shared" si="86"/>
        <v xml:space="preserve">Lanesborough                 </v>
      </c>
      <c r="AO155" s="6">
        <f t="shared" si="87"/>
        <v>0</v>
      </c>
      <c r="AP155" s="9">
        <f t="shared" si="92"/>
        <v>0</v>
      </c>
      <c r="AQ155" s="9">
        <f t="shared" si="88"/>
        <v>0</v>
      </c>
      <c r="AR155" s="33">
        <f t="shared" si="89"/>
        <v>0</v>
      </c>
      <c r="AS155" s="33">
        <f t="shared" si="90"/>
        <v>0</v>
      </c>
      <c r="AU155" s="28"/>
      <c r="AW155" s="519"/>
    </row>
    <row r="156" spans="1:49">
      <c r="A156" s="6">
        <v>149</v>
      </c>
      <c r="B156" s="6" t="s">
        <v>1267</v>
      </c>
      <c r="C156" s="7">
        <v>1</v>
      </c>
      <c r="D156" s="9">
        <v>279873222.13999999</v>
      </c>
      <c r="E156" s="9">
        <v>13728391</v>
      </c>
      <c r="F156" s="9">
        <v>266144831</v>
      </c>
      <c r="G156" s="348"/>
      <c r="H156" s="111">
        <f t="shared" si="91"/>
        <v>266144831</v>
      </c>
      <c r="I156" s="9">
        <f t="shared" si="62"/>
        <v>301454148.42000002</v>
      </c>
      <c r="J156" s="33">
        <f t="shared" si="63"/>
        <v>15203337</v>
      </c>
      <c r="K156" s="9">
        <f t="shared" si="64"/>
        <v>286250811</v>
      </c>
      <c r="L156" s="112">
        <f t="shared" si="65"/>
        <v>20105980</v>
      </c>
      <c r="M156" s="458">
        <f>ROUND(100-'Townwide Contributions'!L155,2)</f>
        <v>84.55</v>
      </c>
      <c r="N156" s="9">
        <v>14566</v>
      </c>
      <c r="O156" s="9">
        <f t="shared" si="66"/>
        <v>14816</v>
      </c>
      <c r="P156" s="9">
        <f t="shared" si="67"/>
        <v>1</v>
      </c>
      <c r="Q156" s="28">
        <f t="shared" si="68"/>
        <v>1540864</v>
      </c>
      <c r="R156" s="382">
        <f t="shared" si="69"/>
        <v>0</v>
      </c>
      <c r="S156" s="28">
        <v>266144831</v>
      </c>
      <c r="T156" s="33">
        <f t="shared" si="70"/>
        <v>266589311</v>
      </c>
      <c r="U156" s="9">
        <f t="shared" si="71"/>
        <v>0</v>
      </c>
      <c r="V156" s="33">
        <f t="shared" si="72"/>
        <v>286250811</v>
      </c>
      <c r="W156" s="33">
        <f t="shared" si="73"/>
        <v>0</v>
      </c>
      <c r="X156" s="33">
        <v>0</v>
      </c>
      <c r="Y156" s="113">
        <f t="shared" si="74"/>
        <v>286250811</v>
      </c>
      <c r="Z156" s="155">
        <f t="shared" si="75"/>
        <v>94.956666710448445</v>
      </c>
      <c r="AA156" s="33">
        <f t="shared" si="76"/>
        <v>301454148</v>
      </c>
      <c r="AB156" s="114">
        <f t="shared" si="77"/>
        <v>99.999999860675317</v>
      </c>
      <c r="AC156" s="28">
        <f t="shared" si="78"/>
        <v>21580926.280000031</v>
      </c>
      <c r="AD156" s="28">
        <f t="shared" si="79"/>
        <v>20105980</v>
      </c>
      <c r="AE156" s="28">
        <f t="shared" si="80"/>
        <v>31371328.510890007</v>
      </c>
      <c r="AF156" s="115">
        <f t="shared" si="81"/>
        <v>10.406666710448448</v>
      </c>
      <c r="AG156" s="28">
        <f t="shared" si="82"/>
        <v>20346.53</v>
      </c>
      <c r="AI156" s="28">
        <f t="shared" si="83"/>
        <v>0</v>
      </c>
      <c r="AJ156" s="28"/>
      <c r="AK156" s="28">
        <f t="shared" si="84"/>
        <v>1357.0450863930885</v>
      </c>
      <c r="AL156" s="156"/>
      <c r="AM156" s="6">
        <f t="shared" si="85"/>
        <v>149</v>
      </c>
      <c r="AN156" s="6" t="str">
        <f t="shared" si="86"/>
        <v xml:space="preserve">Lawrence                     </v>
      </c>
      <c r="AO156" s="6">
        <f t="shared" si="87"/>
        <v>1</v>
      </c>
      <c r="AP156" s="9">
        <f t="shared" si="92"/>
        <v>14816</v>
      </c>
      <c r="AQ156" s="9">
        <f t="shared" si="88"/>
        <v>301454148.42000002</v>
      </c>
      <c r="AR156" s="33">
        <f t="shared" si="89"/>
        <v>15203337</v>
      </c>
      <c r="AS156" s="33">
        <f t="shared" si="90"/>
        <v>286250811</v>
      </c>
      <c r="AU156" s="28"/>
      <c r="AV156" s="9"/>
      <c r="AW156" s="519"/>
    </row>
    <row r="157" spans="1:49">
      <c r="A157" s="6">
        <v>150</v>
      </c>
      <c r="B157" s="6" t="s">
        <v>1268</v>
      </c>
      <c r="C157" s="7">
        <v>1</v>
      </c>
      <c r="D157" s="9">
        <v>8739704.6600000001</v>
      </c>
      <c r="E157" s="9">
        <v>6760874</v>
      </c>
      <c r="F157" s="9">
        <v>2170239</v>
      </c>
      <c r="G157" s="348"/>
      <c r="H157" s="111">
        <f t="shared" si="91"/>
        <v>2170239</v>
      </c>
      <c r="I157" s="9">
        <f t="shared" si="62"/>
        <v>8566370.1999999974</v>
      </c>
      <c r="J157" s="33">
        <f t="shared" si="63"/>
        <v>7067255</v>
      </c>
      <c r="K157" s="9">
        <f t="shared" si="64"/>
        <v>1499115</v>
      </c>
      <c r="L157" s="112">
        <f t="shared" si="65"/>
        <v>0</v>
      </c>
      <c r="M157" s="458">
        <f>ROUND(100-'Townwide Contributions'!L156,2)</f>
        <v>17.5</v>
      </c>
      <c r="N157" s="9">
        <v>570</v>
      </c>
      <c r="O157" s="9">
        <f t="shared" si="66"/>
        <v>549</v>
      </c>
      <c r="P157" s="9">
        <f t="shared" si="67"/>
        <v>0</v>
      </c>
      <c r="Q157" s="28">
        <f t="shared" si="68"/>
        <v>57096</v>
      </c>
      <c r="R157" s="382">
        <f t="shared" si="69"/>
        <v>57096</v>
      </c>
      <c r="S157" s="28">
        <v>2170239</v>
      </c>
      <c r="T157" s="33">
        <f t="shared" si="70"/>
        <v>2186709</v>
      </c>
      <c r="U157" s="9">
        <f t="shared" si="71"/>
        <v>0</v>
      </c>
      <c r="V157" s="33">
        <f t="shared" si="72"/>
        <v>2227335</v>
      </c>
      <c r="W157" s="33">
        <f t="shared" si="73"/>
        <v>0</v>
      </c>
      <c r="X157" s="33">
        <v>0</v>
      </c>
      <c r="Y157" s="113">
        <f t="shared" si="74"/>
        <v>2227335</v>
      </c>
      <c r="Z157" s="155">
        <f t="shared" si="75"/>
        <v>26.000919269167245</v>
      </c>
      <c r="AA157" s="33">
        <f t="shared" si="76"/>
        <v>9294590</v>
      </c>
      <c r="AB157" s="114">
        <f t="shared" si="77"/>
        <v>108.50091442464164</v>
      </c>
      <c r="AC157" s="28">
        <f t="shared" si="78"/>
        <v>-173334.46000000276</v>
      </c>
      <c r="AD157" s="28">
        <f t="shared" si="79"/>
        <v>57096</v>
      </c>
      <c r="AE157" s="28">
        <f t="shared" si="80"/>
        <v>728220.21500000055</v>
      </c>
      <c r="AF157" s="115">
        <f t="shared" si="81"/>
        <v>8.5009192691672446</v>
      </c>
      <c r="AG157" s="28">
        <f t="shared" si="82"/>
        <v>15603.59</v>
      </c>
      <c r="AI157" s="28">
        <f t="shared" si="83"/>
        <v>0</v>
      </c>
      <c r="AJ157" s="28"/>
      <c r="AK157" s="28">
        <f t="shared" si="84"/>
        <v>104</v>
      </c>
      <c r="AL157" s="156"/>
      <c r="AM157" s="6">
        <f t="shared" si="85"/>
        <v>150</v>
      </c>
      <c r="AN157" s="6" t="str">
        <f t="shared" si="86"/>
        <v xml:space="preserve">Lee                          </v>
      </c>
      <c r="AO157" s="6">
        <f t="shared" si="87"/>
        <v>1</v>
      </c>
      <c r="AP157" s="9">
        <f t="shared" si="92"/>
        <v>549</v>
      </c>
      <c r="AQ157" s="9">
        <f t="shared" si="88"/>
        <v>8566370.1999999974</v>
      </c>
      <c r="AR157" s="33">
        <f t="shared" si="89"/>
        <v>7067255</v>
      </c>
      <c r="AS157" s="33">
        <f t="shared" si="90"/>
        <v>2227335</v>
      </c>
      <c r="AU157" s="28"/>
      <c r="AV157" s="9"/>
      <c r="AW157" s="519"/>
    </row>
    <row r="158" spans="1:49">
      <c r="A158" s="6">
        <v>151</v>
      </c>
      <c r="B158" s="6" t="s">
        <v>1269</v>
      </c>
      <c r="C158" s="7">
        <v>1</v>
      </c>
      <c r="D158" s="9">
        <v>20759208.559999999</v>
      </c>
      <c r="E158" s="9">
        <v>9660962</v>
      </c>
      <c r="F158" s="9">
        <v>11098247</v>
      </c>
      <c r="G158" s="348"/>
      <c r="H158" s="111">
        <f t="shared" si="91"/>
        <v>11098247</v>
      </c>
      <c r="I158" s="9">
        <f t="shared" si="62"/>
        <v>21380842.219999999</v>
      </c>
      <c r="J158" s="33">
        <f t="shared" si="63"/>
        <v>10610635</v>
      </c>
      <c r="K158" s="9">
        <f t="shared" si="64"/>
        <v>10770207</v>
      </c>
      <c r="L158" s="112">
        <f t="shared" si="65"/>
        <v>0</v>
      </c>
      <c r="M158" s="458">
        <f>ROUND(100-'Townwide Contributions'!L157,2)</f>
        <v>47.51</v>
      </c>
      <c r="N158" s="9">
        <v>1443</v>
      </c>
      <c r="O158" s="9">
        <f t="shared" si="66"/>
        <v>1405</v>
      </c>
      <c r="P158" s="9">
        <f t="shared" si="67"/>
        <v>0</v>
      </c>
      <c r="Q158" s="28">
        <f t="shared" si="68"/>
        <v>146120</v>
      </c>
      <c r="R158" s="382">
        <f t="shared" si="69"/>
        <v>146120</v>
      </c>
      <c r="S158" s="28">
        <v>11098247</v>
      </c>
      <c r="T158" s="33">
        <f t="shared" si="70"/>
        <v>11140397</v>
      </c>
      <c r="U158" s="9">
        <f t="shared" si="71"/>
        <v>0</v>
      </c>
      <c r="V158" s="33">
        <f t="shared" si="72"/>
        <v>11244367</v>
      </c>
      <c r="W158" s="33">
        <f t="shared" si="73"/>
        <v>0</v>
      </c>
      <c r="X158" s="33">
        <v>0</v>
      </c>
      <c r="Y158" s="113">
        <f t="shared" si="74"/>
        <v>11244367</v>
      </c>
      <c r="Z158" s="155">
        <f t="shared" si="75"/>
        <v>52.590851587136399</v>
      </c>
      <c r="AA158" s="33">
        <f t="shared" si="76"/>
        <v>21855002</v>
      </c>
      <c r="AB158" s="114">
        <f t="shared" si="77"/>
        <v>102.21768523017519</v>
      </c>
      <c r="AC158" s="28">
        <f t="shared" si="78"/>
        <v>621633.66000000015</v>
      </c>
      <c r="AD158" s="28">
        <f t="shared" si="79"/>
        <v>146120</v>
      </c>
      <c r="AE158" s="28">
        <f t="shared" si="80"/>
        <v>1086328.8612780012</v>
      </c>
      <c r="AF158" s="115">
        <f t="shared" si="81"/>
        <v>5.0808515871364008</v>
      </c>
      <c r="AG158" s="28">
        <f t="shared" si="82"/>
        <v>15217.68</v>
      </c>
      <c r="AI158" s="28">
        <f t="shared" si="83"/>
        <v>0</v>
      </c>
      <c r="AJ158" s="28"/>
      <c r="AK158" s="28">
        <f t="shared" si="84"/>
        <v>104</v>
      </c>
      <c r="AL158" s="156"/>
      <c r="AM158" s="6">
        <f t="shared" si="85"/>
        <v>151</v>
      </c>
      <c r="AN158" s="6" t="str">
        <f t="shared" si="86"/>
        <v xml:space="preserve">Leicester                    </v>
      </c>
      <c r="AO158" s="6">
        <f t="shared" si="87"/>
        <v>1</v>
      </c>
      <c r="AP158" s="9">
        <f t="shared" si="92"/>
        <v>1405</v>
      </c>
      <c r="AQ158" s="9">
        <f t="shared" si="88"/>
        <v>21380842.219999999</v>
      </c>
      <c r="AR158" s="33">
        <f t="shared" si="89"/>
        <v>10610635</v>
      </c>
      <c r="AS158" s="33">
        <f t="shared" si="90"/>
        <v>11244367</v>
      </c>
      <c r="AU158" s="28"/>
      <c r="AV158" s="9"/>
      <c r="AW158" s="519"/>
    </row>
    <row r="159" spans="1:49">
      <c r="A159" s="6">
        <v>152</v>
      </c>
      <c r="B159" s="6" t="s">
        <v>1270</v>
      </c>
      <c r="C159" s="7">
        <v>1</v>
      </c>
      <c r="D159" s="9">
        <v>6717817.4100000001</v>
      </c>
      <c r="E159" s="9">
        <v>5422289</v>
      </c>
      <c r="F159" s="9">
        <v>1345245</v>
      </c>
      <c r="G159" s="348"/>
      <c r="H159" s="111">
        <f t="shared" si="91"/>
        <v>1345245</v>
      </c>
      <c r="I159" s="9">
        <f t="shared" si="62"/>
        <v>6823610.0699999994</v>
      </c>
      <c r="J159" s="33">
        <f t="shared" si="63"/>
        <v>5629478</v>
      </c>
      <c r="K159" s="9">
        <f t="shared" si="64"/>
        <v>1194132</v>
      </c>
      <c r="L159" s="112">
        <f t="shared" si="65"/>
        <v>0</v>
      </c>
      <c r="M159" s="458">
        <f>ROUND(100-'Townwide Contributions'!L158,2)</f>
        <v>17.5</v>
      </c>
      <c r="N159" s="9">
        <v>489</v>
      </c>
      <c r="O159" s="9">
        <f t="shared" si="66"/>
        <v>482</v>
      </c>
      <c r="P159" s="9">
        <f t="shared" si="67"/>
        <v>0</v>
      </c>
      <c r="Q159" s="28">
        <f t="shared" si="68"/>
        <v>50128</v>
      </c>
      <c r="R159" s="382">
        <f t="shared" si="69"/>
        <v>50128</v>
      </c>
      <c r="S159" s="28">
        <v>1345245</v>
      </c>
      <c r="T159" s="33">
        <f t="shared" si="70"/>
        <v>1359705</v>
      </c>
      <c r="U159" s="9">
        <f t="shared" si="71"/>
        <v>0</v>
      </c>
      <c r="V159" s="33">
        <f t="shared" si="72"/>
        <v>1395373</v>
      </c>
      <c r="W159" s="33">
        <f t="shared" si="73"/>
        <v>0</v>
      </c>
      <c r="X159" s="33">
        <v>0</v>
      </c>
      <c r="Y159" s="113">
        <f t="shared" si="74"/>
        <v>1395373</v>
      </c>
      <c r="Z159" s="155">
        <f t="shared" si="75"/>
        <v>20.449190174783833</v>
      </c>
      <c r="AA159" s="33">
        <f t="shared" si="76"/>
        <v>7024851</v>
      </c>
      <c r="AB159" s="114">
        <f t="shared" si="77"/>
        <v>102.94918566470784</v>
      </c>
      <c r="AC159" s="28">
        <f t="shared" si="78"/>
        <v>105792.65999999922</v>
      </c>
      <c r="AD159" s="28">
        <f t="shared" si="79"/>
        <v>50128</v>
      </c>
      <c r="AE159" s="28">
        <f t="shared" si="80"/>
        <v>201241.23775000009</v>
      </c>
      <c r="AF159" s="115">
        <f t="shared" si="81"/>
        <v>2.9491901747838334</v>
      </c>
      <c r="AG159" s="28">
        <f t="shared" si="82"/>
        <v>14156.87</v>
      </c>
      <c r="AI159" s="28">
        <f t="shared" si="83"/>
        <v>0</v>
      </c>
      <c r="AJ159" s="28"/>
      <c r="AK159" s="28">
        <f t="shared" si="84"/>
        <v>104</v>
      </c>
      <c r="AL159" s="156"/>
      <c r="AM159" s="6">
        <f t="shared" si="85"/>
        <v>152</v>
      </c>
      <c r="AN159" s="6" t="str">
        <f t="shared" si="86"/>
        <v xml:space="preserve">Lenox                        </v>
      </c>
      <c r="AO159" s="6">
        <f t="shared" si="87"/>
        <v>1</v>
      </c>
      <c r="AP159" s="9">
        <f t="shared" si="92"/>
        <v>482</v>
      </c>
      <c r="AQ159" s="9">
        <f t="shared" si="88"/>
        <v>6823610.0699999994</v>
      </c>
      <c r="AR159" s="33">
        <f t="shared" si="89"/>
        <v>5629478</v>
      </c>
      <c r="AS159" s="33">
        <f t="shared" si="90"/>
        <v>1395373</v>
      </c>
      <c r="AU159" s="28"/>
      <c r="AV159" s="9"/>
      <c r="AW159" s="519"/>
    </row>
    <row r="160" spans="1:49">
      <c r="A160" s="6">
        <v>153</v>
      </c>
      <c r="B160" s="6" t="s">
        <v>1271</v>
      </c>
      <c r="C160" s="7">
        <v>1</v>
      </c>
      <c r="D160" s="9">
        <v>99599000.579999998</v>
      </c>
      <c r="E160" s="9">
        <v>35204065</v>
      </c>
      <c r="F160" s="9">
        <v>64394936</v>
      </c>
      <c r="G160" s="348"/>
      <c r="H160" s="111">
        <f t="shared" si="91"/>
        <v>64394936</v>
      </c>
      <c r="I160" s="9">
        <f t="shared" si="62"/>
        <v>103734761.66000001</v>
      </c>
      <c r="J160" s="33">
        <f t="shared" si="63"/>
        <v>36964269</v>
      </c>
      <c r="K160" s="9">
        <f t="shared" si="64"/>
        <v>66770493</v>
      </c>
      <c r="L160" s="112">
        <f t="shared" si="65"/>
        <v>2375557</v>
      </c>
      <c r="M160" s="458">
        <f>ROUND(100-'Townwide Contributions'!L159,2)</f>
        <v>59.72</v>
      </c>
      <c r="N160" s="9">
        <v>6020</v>
      </c>
      <c r="O160" s="9">
        <f t="shared" si="66"/>
        <v>6009</v>
      </c>
      <c r="P160" s="9">
        <f t="shared" si="67"/>
        <v>1</v>
      </c>
      <c r="Q160" s="28">
        <f t="shared" si="68"/>
        <v>624936</v>
      </c>
      <c r="R160" s="382">
        <f t="shared" si="69"/>
        <v>0</v>
      </c>
      <c r="S160" s="28">
        <v>64394936</v>
      </c>
      <c r="T160" s="33">
        <f t="shared" si="70"/>
        <v>64575206</v>
      </c>
      <c r="U160" s="9">
        <f t="shared" si="71"/>
        <v>0</v>
      </c>
      <c r="V160" s="33">
        <f t="shared" si="72"/>
        <v>66770493</v>
      </c>
      <c r="W160" s="33">
        <f t="shared" si="73"/>
        <v>0</v>
      </c>
      <c r="X160" s="33">
        <v>0</v>
      </c>
      <c r="Y160" s="113">
        <f t="shared" si="74"/>
        <v>66770493</v>
      </c>
      <c r="Z160" s="155">
        <f t="shared" si="75"/>
        <v>64.36655556104354</v>
      </c>
      <c r="AA160" s="33">
        <f t="shared" si="76"/>
        <v>103734762</v>
      </c>
      <c r="AB160" s="114">
        <f t="shared" si="77"/>
        <v>100.00000032775897</v>
      </c>
      <c r="AC160" s="28">
        <f t="shared" si="78"/>
        <v>4135761.0800000131</v>
      </c>
      <c r="AD160" s="28">
        <f t="shared" si="79"/>
        <v>2375557</v>
      </c>
      <c r="AE160" s="28">
        <f t="shared" si="80"/>
        <v>4820093.3366479948</v>
      </c>
      <c r="AF160" s="115">
        <f t="shared" si="81"/>
        <v>4.6465555610435416</v>
      </c>
      <c r="AG160" s="28">
        <f t="shared" si="82"/>
        <v>17263.23</v>
      </c>
      <c r="AI160" s="28">
        <f t="shared" si="83"/>
        <v>0</v>
      </c>
      <c r="AJ160" s="28"/>
      <c r="AK160" s="28">
        <f t="shared" si="84"/>
        <v>395.33316691629221</v>
      </c>
      <c r="AL160" s="156"/>
      <c r="AM160" s="6">
        <f t="shared" si="85"/>
        <v>153</v>
      </c>
      <c r="AN160" s="6" t="str">
        <f t="shared" si="86"/>
        <v xml:space="preserve">Leominster                   </v>
      </c>
      <c r="AO160" s="6">
        <f t="shared" si="87"/>
        <v>1</v>
      </c>
      <c r="AP160" s="9">
        <f t="shared" si="92"/>
        <v>6009</v>
      </c>
      <c r="AQ160" s="9">
        <f t="shared" si="88"/>
        <v>103734761.66000001</v>
      </c>
      <c r="AR160" s="33">
        <f t="shared" si="89"/>
        <v>36964269</v>
      </c>
      <c r="AS160" s="33">
        <f t="shared" si="90"/>
        <v>66770493</v>
      </c>
      <c r="AU160" s="28"/>
      <c r="AV160" s="9"/>
      <c r="AW160" s="519"/>
    </row>
    <row r="161" spans="1:49">
      <c r="A161" s="6">
        <v>154</v>
      </c>
      <c r="B161" s="6" t="s">
        <v>1272</v>
      </c>
      <c r="C161" s="7">
        <v>1</v>
      </c>
      <c r="D161" s="9">
        <v>1255147.3</v>
      </c>
      <c r="E161" s="9">
        <v>954740</v>
      </c>
      <c r="F161" s="9">
        <v>396968</v>
      </c>
      <c r="G161" s="348"/>
      <c r="H161" s="111">
        <f t="shared" si="91"/>
        <v>396968</v>
      </c>
      <c r="I161" s="9">
        <f t="shared" si="62"/>
        <v>1407132.92</v>
      </c>
      <c r="J161" s="33">
        <f t="shared" si="63"/>
        <v>1083930</v>
      </c>
      <c r="K161" s="9">
        <f t="shared" si="64"/>
        <v>323203</v>
      </c>
      <c r="L161" s="112">
        <f t="shared" si="65"/>
        <v>0</v>
      </c>
      <c r="M161" s="458">
        <f>ROUND(100-'Townwide Contributions'!L160,2)</f>
        <v>17.5</v>
      </c>
      <c r="N161" s="9">
        <v>101</v>
      </c>
      <c r="O161" s="9">
        <f t="shared" si="66"/>
        <v>105</v>
      </c>
      <c r="P161" s="9">
        <f t="shared" si="67"/>
        <v>0</v>
      </c>
      <c r="Q161" s="28">
        <f t="shared" si="68"/>
        <v>10920</v>
      </c>
      <c r="R161" s="382">
        <f t="shared" si="69"/>
        <v>10920</v>
      </c>
      <c r="S161" s="28">
        <v>396968</v>
      </c>
      <c r="T161" s="33">
        <f t="shared" si="70"/>
        <v>400118</v>
      </c>
      <c r="U161" s="9">
        <f t="shared" si="71"/>
        <v>0</v>
      </c>
      <c r="V161" s="33">
        <f t="shared" si="72"/>
        <v>407888</v>
      </c>
      <c r="W161" s="33">
        <f t="shared" si="73"/>
        <v>0</v>
      </c>
      <c r="X161" s="33">
        <v>0</v>
      </c>
      <c r="Y161" s="113">
        <f t="shared" si="74"/>
        <v>407888</v>
      </c>
      <c r="Z161" s="155">
        <f t="shared" si="75"/>
        <v>28.987169172333772</v>
      </c>
      <c r="AA161" s="33">
        <f t="shared" si="76"/>
        <v>1491818</v>
      </c>
      <c r="AB161" s="114">
        <f t="shared" si="77"/>
        <v>106.0182715361389</v>
      </c>
      <c r="AC161" s="28">
        <f t="shared" si="78"/>
        <v>151985.61999999988</v>
      </c>
      <c r="AD161" s="28">
        <f t="shared" si="79"/>
        <v>10920</v>
      </c>
      <c r="AE161" s="28">
        <f t="shared" si="80"/>
        <v>161639.73900000003</v>
      </c>
      <c r="AF161" s="115">
        <f t="shared" si="81"/>
        <v>11.487169172333772</v>
      </c>
      <c r="AG161" s="28">
        <f t="shared" si="82"/>
        <v>13401.27</v>
      </c>
      <c r="AI161" s="28">
        <f t="shared" si="83"/>
        <v>0</v>
      </c>
      <c r="AJ161" s="28"/>
      <c r="AK161" s="28">
        <f t="shared" si="84"/>
        <v>104</v>
      </c>
      <c r="AL161" s="156"/>
      <c r="AM161" s="6">
        <f t="shared" si="85"/>
        <v>154</v>
      </c>
      <c r="AN161" s="6" t="str">
        <f t="shared" si="86"/>
        <v xml:space="preserve">Leverett                     </v>
      </c>
      <c r="AO161" s="6">
        <f t="shared" si="87"/>
        <v>1</v>
      </c>
      <c r="AP161" s="9">
        <f t="shared" si="92"/>
        <v>105</v>
      </c>
      <c r="AQ161" s="9">
        <f t="shared" si="88"/>
        <v>1407132.92</v>
      </c>
      <c r="AR161" s="33">
        <f t="shared" si="89"/>
        <v>1083930</v>
      </c>
      <c r="AS161" s="33">
        <f t="shared" si="90"/>
        <v>407888</v>
      </c>
      <c r="AU161" s="28"/>
      <c r="AV161" s="9"/>
      <c r="AW161" s="519"/>
    </row>
    <row r="162" spans="1:49">
      <c r="A162" s="6">
        <v>155</v>
      </c>
      <c r="B162" s="6" t="s">
        <v>1273</v>
      </c>
      <c r="C162" s="7">
        <v>1</v>
      </c>
      <c r="D162" s="9">
        <v>90646899.40639998</v>
      </c>
      <c r="E162" s="9">
        <v>73037768</v>
      </c>
      <c r="F162" s="9">
        <v>17609131</v>
      </c>
      <c r="G162" s="348"/>
      <c r="H162" s="111">
        <f t="shared" si="91"/>
        <v>17609131</v>
      </c>
      <c r="I162" s="9">
        <f t="shared" si="62"/>
        <v>91458917.922800004</v>
      </c>
      <c r="J162" s="33">
        <f t="shared" si="63"/>
        <v>75453607</v>
      </c>
      <c r="K162" s="9">
        <f t="shared" si="64"/>
        <v>16005311</v>
      </c>
      <c r="L162" s="112">
        <f t="shared" si="65"/>
        <v>0</v>
      </c>
      <c r="M162" s="458">
        <f>ROUND(100-'Townwide Contributions'!L161,2)</f>
        <v>17.5</v>
      </c>
      <c r="N162" s="9">
        <v>6893</v>
      </c>
      <c r="O162" s="9">
        <f t="shared" si="66"/>
        <v>6851</v>
      </c>
      <c r="P162" s="9">
        <f t="shared" si="67"/>
        <v>0</v>
      </c>
      <c r="Q162" s="28">
        <f t="shared" si="68"/>
        <v>712504</v>
      </c>
      <c r="R162" s="382">
        <f t="shared" si="69"/>
        <v>712504</v>
      </c>
      <c r="S162" s="28">
        <v>17609131</v>
      </c>
      <c r="T162" s="33">
        <f t="shared" si="70"/>
        <v>17814661</v>
      </c>
      <c r="U162" s="9">
        <f t="shared" si="71"/>
        <v>0</v>
      </c>
      <c r="V162" s="33">
        <f t="shared" si="72"/>
        <v>18321635</v>
      </c>
      <c r="W162" s="33">
        <f t="shared" si="73"/>
        <v>0</v>
      </c>
      <c r="X162" s="33">
        <v>0</v>
      </c>
      <c r="Y162" s="113">
        <f t="shared" si="74"/>
        <v>18321635</v>
      </c>
      <c r="Z162" s="155">
        <f t="shared" si="75"/>
        <v>20.032639152220451</v>
      </c>
      <c r="AA162" s="33">
        <f t="shared" si="76"/>
        <v>93775242</v>
      </c>
      <c r="AB162" s="114">
        <f t="shared" si="77"/>
        <v>102.53263883917279</v>
      </c>
      <c r="AC162" s="28">
        <f t="shared" si="78"/>
        <v>812018.51640002429</v>
      </c>
      <c r="AD162" s="28">
        <f t="shared" si="79"/>
        <v>712504</v>
      </c>
      <c r="AE162" s="28">
        <f t="shared" si="80"/>
        <v>2316324.3635099996</v>
      </c>
      <c r="AF162" s="115">
        <f t="shared" si="81"/>
        <v>2.532639152220451</v>
      </c>
      <c r="AG162" s="28">
        <f t="shared" si="82"/>
        <v>13349.72</v>
      </c>
      <c r="AI162" s="28">
        <f t="shared" si="83"/>
        <v>0</v>
      </c>
      <c r="AJ162" s="28"/>
      <c r="AK162" s="28">
        <f t="shared" si="84"/>
        <v>104</v>
      </c>
      <c r="AL162" s="156"/>
      <c r="AM162" s="6">
        <f t="shared" si="85"/>
        <v>155</v>
      </c>
      <c r="AN162" s="6" t="str">
        <f t="shared" si="86"/>
        <v xml:space="preserve">Lexington                    </v>
      </c>
      <c r="AO162" s="6">
        <f t="shared" si="87"/>
        <v>1</v>
      </c>
      <c r="AP162" s="9">
        <f t="shared" si="92"/>
        <v>6851</v>
      </c>
      <c r="AQ162" s="9">
        <f t="shared" si="88"/>
        <v>91458917.922800004</v>
      </c>
      <c r="AR162" s="33">
        <f t="shared" si="89"/>
        <v>75453607</v>
      </c>
      <c r="AS162" s="33">
        <f t="shared" si="90"/>
        <v>18321635</v>
      </c>
      <c r="AU162" s="28"/>
      <c r="AV162" s="9"/>
      <c r="AW162" s="519"/>
    </row>
    <row r="163" spans="1:49">
      <c r="A163" s="6">
        <v>156</v>
      </c>
      <c r="B163" s="6" t="s">
        <v>1274</v>
      </c>
      <c r="C163" s="7">
        <v>0</v>
      </c>
      <c r="D163" s="9">
        <v>0</v>
      </c>
      <c r="E163" s="9">
        <v>0</v>
      </c>
      <c r="F163" s="9">
        <v>0</v>
      </c>
      <c r="G163" s="348"/>
      <c r="H163" s="111">
        <f t="shared" si="91"/>
        <v>0</v>
      </c>
      <c r="I163" s="9">
        <f t="shared" si="62"/>
        <v>0</v>
      </c>
      <c r="J163" s="33">
        <f t="shared" si="63"/>
        <v>0</v>
      </c>
      <c r="K163" s="9">
        <f t="shared" si="64"/>
        <v>0</v>
      </c>
      <c r="L163" s="112">
        <f t="shared" si="65"/>
        <v>0</v>
      </c>
      <c r="M163" s="458">
        <f>ROUND(100-'Townwide Contributions'!L162,2)</f>
        <v>17.5</v>
      </c>
      <c r="N163" s="9">
        <v>0</v>
      </c>
      <c r="O163" s="9">
        <f t="shared" si="66"/>
        <v>0</v>
      </c>
      <c r="P163" s="9">
        <f t="shared" si="67"/>
        <v>0</v>
      </c>
      <c r="Q163" s="28">
        <f t="shared" si="68"/>
        <v>0</v>
      </c>
      <c r="R163" s="382">
        <f t="shared" si="69"/>
        <v>0</v>
      </c>
      <c r="S163" s="28">
        <v>0</v>
      </c>
      <c r="T163" s="33">
        <f t="shared" si="70"/>
        <v>0</v>
      </c>
      <c r="U163" s="9">
        <f t="shared" si="71"/>
        <v>0</v>
      </c>
      <c r="V163" s="33">
        <f t="shared" si="72"/>
        <v>0</v>
      </c>
      <c r="W163" s="33">
        <f t="shared" si="73"/>
        <v>0</v>
      </c>
      <c r="X163" s="33">
        <v>0</v>
      </c>
      <c r="Y163" s="113">
        <f t="shared" si="74"/>
        <v>0</v>
      </c>
      <c r="Z163" s="155">
        <f t="shared" si="75"/>
        <v>0</v>
      </c>
      <c r="AA163" s="33">
        <f t="shared" si="76"/>
        <v>0</v>
      </c>
      <c r="AB163" s="114">
        <f t="shared" si="77"/>
        <v>0</v>
      </c>
      <c r="AC163" s="28">
        <f t="shared" si="78"/>
        <v>0</v>
      </c>
      <c r="AD163" s="28">
        <f t="shared" si="79"/>
        <v>0</v>
      </c>
      <c r="AE163" s="28">
        <f t="shared" si="80"/>
        <v>0</v>
      </c>
      <c r="AF163" s="115" t="str">
        <f t="shared" si="81"/>
        <v/>
      </c>
      <c r="AG163" s="28">
        <f t="shared" si="82"/>
        <v>0</v>
      </c>
      <c r="AI163" s="28">
        <f t="shared" si="83"/>
        <v>0</v>
      </c>
      <c r="AJ163" s="28"/>
      <c r="AK163" s="28">
        <f t="shared" si="84"/>
        <v>0</v>
      </c>
      <c r="AL163" s="156"/>
      <c r="AM163" s="6">
        <f t="shared" si="85"/>
        <v>156</v>
      </c>
      <c r="AN163" s="6" t="str">
        <f t="shared" si="86"/>
        <v xml:space="preserve">Leyden                       </v>
      </c>
      <c r="AO163" s="6">
        <f t="shared" si="87"/>
        <v>0</v>
      </c>
      <c r="AP163" s="9">
        <f t="shared" si="92"/>
        <v>0</v>
      </c>
      <c r="AQ163" s="9">
        <f t="shared" si="88"/>
        <v>0</v>
      </c>
      <c r="AR163" s="33">
        <f t="shared" si="89"/>
        <v>0</v>
      </c>
      <c r="AS163" s="33">
        <f t="shared" si="90"/>
        <v>0</v>
      </c>
      <c r="AU163" s="28"/>
      <c r="AW163" s="519"/>
    </row>
    <row r="164" spans="1:49">
      <c r="A164" s="6">
        <v>157</v>
      </c>
      <c r="B164" s="6" t="s">
        <v>1275</v>
      </c>
      <c r="C164" s="7">
        <v>1</v>
      </c>
      <c r="D164" s="9">
        <v>7355301.9672800004</v>
      </c>
      <c r="E164" s="9">
        <v>6068124</v>
      </c>
      <c r="F164" s="9">
        <v>1287178</v>
      </c>
      <c r="G164" s="348"/>
      <c r="H164" s="111">
        <f t="shared" si="91"/>
        <v>1287178</v>
      </c>
      <c r="I164" s="9">
        <f t="shared" si="62"/>
        <v>7515362.2277600011</v>
      </c>
      <c r="J164" s="33">
        <f t="shared" si="63"/>
        <v>6200174</v>
      </c>
      <c r="K164" s="9">
        <f t="shared" si="64"/>
        <v>1315188</v>
      </c>
      <c r="L164" s="112">
        <f t="shared" si="65"/>
        <v>28010</v>
      </c>
      <c r="M164" s="458">
        <f>ROUND(100-'Townwide Contributions'!L163,2)</f>
        <v>17.5</v>
      </c>
      <c r="N164" s="9">
        <v>586</v>
      </c>
      <c r="O164" s="9">
        <f t="shared" si="66"/>
        <v>585</v>
      </c>
      <c r="P164" s="9">
        <f t="shared" si="67"/>
        <v>1</v>
      </c>
      <c r="Q164" s="28">
        <f t="shared" si="68"/>
        <v>60840</v>
      </c>
      <c r="R164" s="382">
        <f t="shared" si="69"/>
        <v>32830</v>
      </c>
      <c r="S164" s="28">
        <v>1287178</v>
      </c>
      <c r="T164" s="33">
        <f t="shared" si="70"/>
        <v>1304728</v>
      </c>
      <c r="U164" s="9">
        <f t="shared" si="71"/>
        <v>0</v>
      </c>
      <c r="V164" s="33">
        <f t="shared" si="72"/>
        <v>1348018</v>
      </c>
      <c r="W164" s="33">
        <f t="shared" si="73"/>
        <v>0</v>
      </c>
      <c r="X164" s="33">
        <v>0</v>
      </c>
      <c r="Y164" s="113">
        <f t="shared" si="74"/>
        <v>1348018</v>
      </c>
      <c r="Z164" s="155">
        <f t="shared" si="75"/>
        <v>17.93683337072876</v>
      </c>
      <c r="AA164" s="33">
        <f t="shared" si="76"/>
        <v>7548192</v>
      </c>
      <c r="AB164" s="114">
        <f t="shared" si="77"/>
        <v>100.43683552761746</v>
      </c>
      <c r="AC164" s="28">
        <f t="shared" si="78"/>
        <v>160060.26048000064</v>
      </c>
      <c r="AD164" s="28">
        <f t="shared" si="79"/>
        <v>60840</v>
      </c>
      <c r="AE164" s="28">
        <f t="shared" si="80"/>
        <v>32829.610141999787</v>
      </c>
      <c r="AF164" s="115">
        <f t="shared" si="81"/>
        <v>0.43683337072875972</v>
      </c>
      <c r="AG164" s="28">
        <f t="shared" si="82"/>
        <v>12846.77</v>
      </c>
      <c r="AI164" s="28">
        <f t="shared" si="83"/>
        <v>0</v>
      </c>
      <c r="AJ164" s="28"/>
      <c r="AK164" s="28">
        <f t="shared" si="84"/>
        <v>104</v>
      </c>
      <c r="AL164" s="156"/>
      <c r="AM164" s="6">
        <f t="shared" si="85"/>
        <v>157</v>
      </c>
      <c r="AN164" s="6" t="str">
        <f t="shared" si="86"/>
        <v xml:space="preserve">Lincoln                      </v>
      </c>
      <c r="AO164" s="6">
        <f t="shared" si="87"/>
        <v>1</v>
      </c>
      <c r="AP164" s="9">
        <f t="shared" si="92"/>
        <v>585</v>
      </c>
      <c r="AQ164" s="9">
        <f t="shared" si="88"/>
        <v>7515362.2277600011</v>
      </c>
      <c r="AR164" s="33">
        <f t="shared" si="89"/>
        <v>6200174</v>
      </c>
      <c r="AS164" s="33">
        <f t="shared" si="90"/>
        <v>1348018</v>
      </c>
      <c r="AU164" s="28"/>
      <c r="AV164" s="9"/>
      <c r="AW164" s="519"/>
    </row>
    <row r="165" spans="1:49">
      <c r="A165" s="6">
        <v>158</v>
      </c>
      <c r="B165" s="6" t="s">
        <v>1276</v>
      </c>
      <c r="C165" s="7">
        <v>1</v>
      </c>
      <c r="D165" s="9">
        <v>20056951.579999998</v>
      </c>
      <c r="E165" s="9">
        <v>15207996</v>
      </c>
      <c r="F165" s="9">
        <v>4848956</v>
      </c>
      <c r="G165" s="348"/>
      <c r="H165" s="111">
        <f t="shared" si="91"/>
        <v>4848956</v>
      </c>
      <c r="I165" s="9">
        <f t="shared" si="62"/>
        <v>20185599.029999997</v>
      </c>
      <c r="J165" s="33">
        <f t="shared" si="63"/>
        <v>15942774</v>
      </c>
      <c r="K165" s="9">
        <f t="shared" si="64"/>
        <v>4242825</v>
      </c>
      <c r="L165" s="112">
        <f t="shared" si="65"/>
        <v>0</v>
      </c>
      <c r="M165" s="458">
        <f>ROUND(100-'Townwide Contributions'!L164,2)</f>
        <v>17.5</v>
      </c>
      <c r="N165" s="9">
        <v>1665</v>
      </c>
      <c r="O165" s="9">
        <f t="shared" si="66"/>
        <v>1636</v>
      </c>
      <c r="P165" s="9">
        <f t="shared" si="67"/>
        <v>0</v>
      </c>
      <c r="Q165" s="28">
        <f t="shared" si="68"/>
        <v>170144</v>
      </c>
      <c r="R165" s="382">
        <f t="shared" si="69"/>
        <v>170144</v>
      </c>
      <c r="S165" s="28">
        <v>4848956</v>
      </c>
      <c r="T165" s="33">
        <f t="shared" si="70"/>
        <v>4898036</v>
      </c>
      <c r="U165" s="9">
        <f t="shared" si="71"/>
        <v>0</v>
      </c>
      <c r="V165" s="33">
        <f t="shared" si="72"/>
        <v>5019100</v>
      </c>
      <c r="W165" s="33">
        <f t="shared" si="73"/>
        <v>0</v>
      </c>
      <c r="X165" s="33">
        <v>0</v>
      </c>
      <c r="Y165" s="113">
        <f t="shared" si="74"/>
        <v>5019100</v>
      </c>
      <c r="Z165" s="155">
        <f t="shared" si="75"/>
        <v>24.864756267775721</v>
      </c>
      <c r="AA165" s="33">
        <f t="shared" si="76"/>
        <v>20961874</v>
      </c>
      <c r="AB165" s="114">
        <f t="shared" si="77"/>
        <v>103.84568706059353</v>
      </c>
      <c r="AC165" s="28">
        <f t="shared" si="78"/>
        <v>128647.44999999925</v>
      </c>
      <c r="AD165" s="28">
        <f t="shared" si="79"/>
        <v>170144</v>
      </c>
      <c r="AE165" s="28">
        <f t="shared" si="80"/>
        <v>1486620.1697500008</v>
      </c>
      <c r="AF165" s="115">
        <f t="shared" si="81"/>
        <v>7.3647562677757215</v>
      </c>
      <c r="AG165" s="28">
        <f t="shared" si="82"/>
        <v>12338.39</v>
      </c>
      <c r="AI165" s="28">
        <f t="shared" si="83"/>
        <v>0</v>
      </c>
      <c r="AJ165" s="28"/>
      <c r="AK165" s="28">
        <f t="shared" si="84"/>
        <v>104</v>
      </c>
      <c r="AL165" s="156"/>
      <c r="AM165" s="6">
        <f t="shared" si="85"/>
        <v>158</v>
      </c>
      <c r="AN165" s="6" t="str">
        <f t="shared" si="86"/>
        <v xml:space="preserve">Littleton                    </v>
      </c>
      <c r="AO165" s="6">
        <f t="shared" si="87"/>
        <v>1</v>
      </c>
      <c r="AP165" s="9">
        <f t="shared" si="92"/>
        <v>1636</v>
      </c>
      <c r="AQ165" s="9">
        <f t="shared" si="88"/>
        <v>20185599.029999997</v>
      </c>
      <c r="AR165" s="33">
        <f t="shared" si="89"/>
        <v>15942774</v>
      </c>
      <c r="AS165" s="33">
        <f t="shared" si="90"/>
        <v>5019100</v>
      </c>
      <c r="AU165" s="28"/>
      <c r="AV165" s="9"/>
      <c r="AW165" s="519"/>
    </row>
    <row r="166" spans="1:49">
      <c r="A166" s="6">
        <v>159</v>
      </c>
      <c r="B166" s="6" t="s">
        <v>1277</v>
      </c>
      <c r="C166" s="7">
        <v>1</v>
      </c>
      <c r="D166" s="9">
        <v>33192700.990000002</v>
      </c>
      <c r="E166" s="9">
        <v>26093332</v>
      </c>
      <c r="F166" s="9">
        <v>7099369</v>
      </c>
      <c r="G166" s="348"/>
      <c r="H166" s="111">
        <f t="shared" si="91"/>
        <v>7099369</v>
      </c>
      <c r="I166" s="9">
        <f t="shared" si="62"/>
        <v>34218165.739999995</v>
      </c>
      <c r="J166" s="33">
        <f t="shared" si="63"/>
        <v>27327546</v>
      </c>
      <c r="K166" s="9">
        <f t="shared" si="64"/>
        <v>6890620</v>
      </c>
      <c r="L166" s="112">
        <f t="shared" si="65"/>
        <v>0</v>
      </c>
      <c r="M166" s="458">
        <f>ROUND(100-'Townwide Contributions'!L165,2)</f>
        <v>17.5</v>
      </c>
      <c r="N166" s="9">
        <v>2725</v>
      </c>
      <c r="O166" s="9">
        <f t="shared" si="66"/>
        <v>2723</v>
      </c>
      <c r="P166" s="9">
        <f t="shared" si="67"/>
        <v>0</v>
      </c>
      <c r="Q166" s="28">
        <f t="shared" si="68"/>
        <v>283192</v>
      </c>
      <c r="R166" s="382">
        <f t="shared" si="69"/>
        <v>283192</v>
      </c>
      <c r="S166" s="28">
        <v>7099369</v>
      </c>
      <c r="T166" s="33">
        <f t="shared" si="70"/>
        <v>7181059</v>
      </c>
      <c r="U166" s="9">
        <f t="shared" si="71"/>
        <v>0</v>
      </c>
      <c r="V166" s="33">
        <f t="shared" si="72"/>
        <v>7382561</v>
      </c>
      <c r="W166" s="33">
        <f t="shared" si="73"/>
        <v>0</v>
      </c>
      <c r="X166" s="33">
        <v>0</v>
      </c>
      <c r="Y166" s="113">
        <f t="shared" si="74"/>
        <v>7382561</v>
      </c>
      <c r="Z166" s="155">
        <f t="shared" si="75"/>
        <v>21.574975865436326</v>
      </c>
      <c r="AA166" s="33">
        <f t="shared" si="76"/>
        <v>34710107</v>
      </c>
      <c r="AB166" s="114">
        <f t="shared" si="77"/>
        <v>101.43766110591059</v>
      </c>
      <c r="AC166" s="28">
        <f t="shared" si="78"/>
        <v>1025464.7499999925</v>
      </c>
      <c r="AD166" s="28">
        <f t="shared" si="79"/>
        <v>283192</v>
      </c>
      <c r="AE166" s="28">
        <f t="shared" si="80"/>
        <v>1394381.9955000011</v>
      </c>
      <c r="AF166" s="115">
        <f t="shared" si="81"/>
        <v>4.0749758654363255</v>
      </c>
      <c r="AG166" s="28">
        <f t="shared" si="82"/>
        <v>12566.35</v>
      </c>
      <c r="AI166" s="28">
        <f t="shared" si="83"/>
        <v>0</v>
      </c>
      <c r="AJ166" s="28"/>
      <c r="AK166" s="28">
        <f t="shared" si="84"/>
        <v>104</v>
      </c>
      <c r="AL166" s="156"/>
      <c r="AM166" s="6">
        <f t="shared" si="85"/>
        <v>159</v>
      </c>
      <c r="AN166" s="6" t="str">
        <f t="shared" si="86"/>
        <v xml:space="preserve">Longmeadow                   </v>
      </c>
      <c r="AO166" s="6">
        <f t="shared" si="87"/>
        <v>1</v>
      </c>
      <c r="AP166" s="9">
        <f t="shared" si="92"/>
        <v>2723</v>
      </c>
      <c r="AQ166" s="9">
        <f t="shared" si="88"/>
        <v>34218165.739999995</v>
      </c>
      <c r="AR166" s="33">
        <f t="shared" si="89"/>
        <v>27327546</v>
      </c>
      <c r="AS166" s="33">
        <f t="shared" si="90"/>
        <v>7382561</v>
      </c>
      <c r="AU166" s="28"/>
      <c r="AV166" s="9"/>
      <c r="AW166" s="519"/>
    </row>
    <row r="167" spans="1:49">
      <c r="A167" s="6">
        <v>160</v>
      </c>
      <c r="B167" s="6" t="s">
        <v>1278</v>
      </c>
      <c r="C167" s="7">
        <v>1</v>
      </c>
      <c r="D167" s="9">
        <v>288791629.52999997</v>
      </c>
      <c r="E167" s="9">
        <v>60097975</v>
      </c>
      <c r="F167" s="9">
        <v>229138873</v>
      </c>
      <c r="G167" s="348"/>
      <c r="H167" s="111">
        <f t="shared" si="91"/>
        <v>229138873</v>
      </c>
      <c r="I167" s="9">
        <f t="shared" si="62"/>
        <v>308040584.44</v>
      </c>
      <c r="J167" s="33">
        <f t="shared" si="63"/>
        <v>64989538</v>
      </c>
      <c r="K167" s="9">
        <f t="shared" si="64"/>
        <v>243051046</v>
      </c>
      <c r="L167" s="112">
        <f t="shared" si="65"/>
        <v>13912173</v>
      </c>
      <c r="M167" s="458">
        <f>ROUND(100-'Townwide Contributions'!L166,2)</f>
        <v>74.709999999999994</v>
      </c>
      <c r="N167" s="9">
        <v>16323</v>
      </c>
      <c r="O167" s="9">
        <f t="shared" si="66"/>
        <v>16506</v>
      </c>
      <c r="P167" s="9">
        <f t="shared" si="67"/>
        <v>1</v>
      </c>
      <c r="Q167" s="28">
        <f t="shared" si="68"/>
        <v>1716624</v>
      </c>
      <c r="R167" s="382">
        <f t="shared" si="69"/>
        <v>0</v>
      </c>
      <c r="S167" s="28">
        <v>229138873</v>
      </c>
      <c r="T167" s="33">
        <f t="shared" si="70"/>
        <v>229634053</v>
      </c>
      <c r="U167" s="9">
        <f t="shared" si="71"/>
        <v>0</v>
      </c>
      <c r="V167" s="33">
        <f t="shared" si="72"/>
        <v>243051046</v>
      </c>
      <c r="W167" s="33">
        <f t="shared" si="73"/>
        <v>0</v>
      </c>
      <c r="X167" s="33">
        <v>0</v>
      </c>
      <c r="Y167" s="113">
        <f t="shared" si="74"/>
        <v>243051046</v>
      </c>
      <c r="Z167" s="155">
        <f t="shared" si="75"/>
        <v>78.902280503672202</v>
      </c>
      <c r="AA167" s="33">
        <f t="shared" si="76"/>
        <v>308040584</v>
      </c>
      <c r="AB167" s="114">
        <f t="shared" si="77"/>
        <v>99.999999857161683</v>
      </c>
      <c r="AC167" s="28">
        <f t="shared" si="78"/>
        <v>19248954.910000026</v>
      </c>
      <c r="AD167" s="28">
        <f t="shared" si="79"/>
        <v>13912173</v>
      </c>
      <c r="AE167" s="28">
        <f t="shared" si="80"/>
        <v>12913925.364876002</v>
      </c>
      <c r="AF167" s="115">
        <f t="shared" si="81"/>
        <v>4.1922805036722082</v>
      </c>
      <c r="AG167" s="28">
        <f t="shared" si="82"/>
        <v>18662.34</v>
      </c>
      <c r="AI167" s="28">
        <f t="shared" si="83"/>
        <v>0</v>
      </c>
      <c r="AJ167" s="28"/>
      <c r="AK167" s="28">
        <f t="shared" si="84"/>
        <v>842.85550708833148</v>
      </c>
      <c r="AL167" s="156"/>
      <c r="AM167" s="6">
        <f t="shared" si="85"/>
        <v>160</v>
      </c>
      <c r="AN167" s="6" t="str">
        <f t="shared" si="86"/>
        <v xml:space="preserve">Lowell                       </v>
      </c>
      <c r="AO167" s="6">
        <f t="shared" si="87"/>
        <v>1</v>
      </c>
      <c r="AP167" s="9">
        <f t="shared" si="92"/>
        <v>16506</v>
      </c>
      <c r="AQ167" s="9">
        <f t="shared" si="88"/>
        <v>308040584.44</v>
      </c>
      <c r="AR167" s="33">
        <f t="shared" si="89"/>
        <v>64989538</v>
      </c>
      <c r="AS167" s="33">
        <f t="shared" si="90"/>
        <v>243051046</v>
      </c>
      <c r="AU167" s="28"/>
      <c r="AV167" s="9"/>
      <c r="AW167" s="519"/>
    </row>
    <row r="168" spans="1:49">
      <c r="A168" s="6">
        <v>161</v>
      </c>
      <c r="B168" s="6" t="s">
        <v>1279</v>
      </c>
      <c r="C168" s="7">
        <v>1</v>
      </c>
      <c r="D168" s="9">
        <v>32627792.160000004</v>
      </c>
      <c r="E168" s="9">
        <v>18168773</v>
      </c>
      <c r="F168" s="9">
        <v>14459019</v>
      </c>
      <c r="G168" s="348"/>
      <c r="H168" s="111">
        <f t="shared" si="91"/>
        <v>14459019</v>
      </c>
      <c r="I168" s="9">
        <f t="shared" si="62"/>
        <v>33328396.509999994</v>
      </c>
      <c r="J168" s="33">
        <f t="shared" si="63"/>
        <v>18877355</v>
      </c>
      <c r="K168" s="9">
        <f t="shared" si="64"/>
        <v>14451042</v>
      </c>
      <c r="L168" s="112">
        <f t="shared" si="65"/>
        <v>0</v>
      </c>
      <c r="M168" s="458">
        <f>ROUND(100-'Townwide Contributions'!L167,2)</f>
        <v>39.56</v>
      </c>
      <c r="N168" s="9">
        <v>2248</v>
      </c>
      <c r="O168" s="9">
        <f t="shared" si="66"/>
        <v>2221</v>
      </c>
      <c r="P168" s="9">
        <f t="shared" si="67"/>
        <v>0</v>
      </c>
      <c r="Q168" s="28">
        <f t="shared" si="68"/>
        <v>230984</v>
      </c>
      <c r="R168" s="382">
        <f t="shared" si="69"/>
        <v>230984</v>
      </c>
      <c r="S168" s="28">
        <v>14459019</v>
      </c>
      <c r="T168" s="33">
        <f t="shared" si="70"/>
        <v>14525649</v>
      </c>
      <c r="U168" s="9">
        <f t="shared" si="71"/>
        <v>0</v>
      </c>
      <c r="V168" s="33">
        <f t="shared" si="72"/>
        <v>14690003</v>
      </c>
      <c r="W168" s="33">
        <f t="shared" si="73"/>
        <v>0</v>
      </c>
      <c r="X168" s="33">
        <v>0</v>
      </c>
      <c r="Y168" s="113">
        <f t="shared" si="74"/>
        <v>14690003</v>
      </c>
      <c r="Z168" s="155">
        <f t="shared" si="75"/>
        <v>44.076536942280882</v>
      </c>
      <c r="AA168" s="33">
        <f t="shared" si="76"/>
        <v>33567358</v>
      </c>
      <c r="AB168" s="114">
        <f t="shared" si="77"/>
        <v>100.71699065968657</v>
      </c>
      <c r="AC168" s="28">
        <f t="shared" si="78"/>
        <v>700604.34999999031</v>
      </c>
      <c r="AD168" s="28">
        <f t="shared" si="79"/>
        <v>230984</v>
      </c>
      <c r="AE168" s="28">
        <f t="shared" si="80"/>
        <v>1505289.340644002</v>
      </c>
      <c r="AF168" s="115">
        <f t="shared" si="81"/>
        <v>4.5165369422808794</v>
      </c>
      <c r="AG168" s="28">
        <f t="shared" si="82"/>
        <v>15006.03</v>
      </c>
      <c r="AI168" s="28">
        <f t="shared" si="83"/>
        <v>0</v>
      </c>
      <c r="AJ168" s="28"/>
      <c r="AK168" s="28">
        <f t="shared" si="84"/>
        <v>104</v>
      </c>
      <c r="AL168" s="156"/>
      <c r="AM168" s="6">
        <f t="shared" si="85"/>
        <v>161</v>
      </c>
      <c r="AN168" s="6" t="str">
        <f t="shared" si="86"/>
        <v xml:space="preserve">Ludlow                       </v>
      </c>
      <c r="AO168" s="6">
        <f t="shared" si="87"/>
        <v>1</v>
      </c>
      <c r="AP168" s="9">
        <f t="shared" si="92"/>
        <v>2221</v>
      </c>
      <c r="AQ168" s="9">
        <f t="shared" si="88"/>
        <v>33328396.509999994</v>
      </c>
      <c r="AR168" s="33">
        <f t="shared" si="89"/>
        <v>18877355</v>
      </c>
      <c r="AS168" s="33">
        <f t="shared" si="90"/>
        <v>14690003</v>
      </c>
      <c r="AU168" s="28"/>
      <c r="AV168" s="9"/>
      <c r="AW168" s="519"/>
    </row>
    <row r="169" spans="1:49">
      <c r="A169" s="6">
        <v>162</v>
      </c>
      <c r="B169" s="6" t="s">
        <v>1280</v>
      </c>
      <c r="C169" s="7">
        <v>1</v>
      </c>
      <c r="D169" s="9">
        <v>20659694.909999996</v>
      </c>
      <c r="E169" s="9">
        <v>11910986</v>
      </c>
      <c r="F169" s="9">
        <v>8819128</v>
      </c>
      <c r="G169" s="348"/>
      <c r="H169" s="111">
        <f t="shared" si="91"/>
        <v>8819128</v>
      </c>
      <c r="I169" s="9">
        <f t="shared" si="62"/>
        <v>21553250.210000001</v>
      </c>
      <c r="J169" s="33">
        <f t="shared" si="63"/>
        <v>12595979</v>
      </c>
      <c r="K169" s="9">
        <f t="shared" si="64"/>
        <v>8957271</v>
      </c>
      <c r="L169" s="112">
        <f t="shared" si="65"/>
        <v>138143</v>
      </c>
      <c r="M169" s="458">
        <f>ROUND(100-'Townwide Contributions'!L168,2)</f>
        <v>34.229999999999997</v>
      </c>
      <c r="N169" s="9">
        <v>1615</v>
      </c>
      <c r="O169" s="9">
        <f t="shared" si="66"/>
        <v>1633</v>
      </c>
      <c r="P169" s="9">
        <f t="shared" si="67"/>
        <v>1</v>
      </c>
      <c r="Q169" s="28">
        <f t="shared" si="68"/>
        <v>169832</v>
      </c>
      <c r="R169" s="382">
        <f t="shared" si="69"/>
        <v>31689</v>
      </c>
      <c r="S169" s="28">
        <v>8819128</v>
      </c>
      <c r="T169" s="33">
        <f t="shared" si="70"/>
        <v>8868118</v>
      </c>
      <c r="U169" s="9">
        <f t="shared" si="71"/>
        <v>0</v>
      </c>
      <c r="V169" s="33">
        <f t="shared" si="72"/>
        <v>8988960</v>
      </c>
      <c r="W169" s="33">
        <f t="shared" si="73"/>
        <v>0</v>
      </c>
      <c r="X169" s="33">
        <v>0</v>
      </c>
      <c r="Y169" s="113">
        <f t="shared" si="74"/>
        <v>8988960</v>
      </c>
      <c r="Z169" s="155">
        <f t="shared" si="75"/>
        <v>41.705821221476</v>
      </c>
      <c r="AA169" s="33">
        <f t="shared" si="76"/>
        <v>21584939</v>
      </c>
      <c r="AB169" s="114">
        <f t="shared" si="77"/>
        <v>100.14702557475668</v>
      </c>
      <c r="AC169" s="28">
        <f t="shared" si="78"/>
        <v>893555.30000000447</v>
      </c>
      <c r="AD169" s="28">
        <f t="shared" si="79"/>
        <v>169832</v>
      </c>
      <c r="AE169" s="28">
        <f t="shared" si="80"/>
        <v>1611282.4531169999</v>
      </c>
      <c r="AF169" s="115">
        <f t="shared" si="81"/>
        <v>7.4758212214760036</v>
      </c>
      <c r="AG169" s="28">
        <f t="shared" si="82"/>
        <v>13198.56</v>
      </c>
      <c r="AI169" s="28">
        <f t="shared" si="83"/>
        <v>0</v>
      </c>
      <c r="AJ169" s="28"/>
      <c r="AK169" s="28">
        <f t="shared" si="84"/>
        <v>104</v>
      </c>
      <c r="AL169" s="156"/>
      <c r="AM169" s="6">
        <f t="shared" si="85"/>
        <v>162</v>
      </c>
      <c r="AN169" s="6" t="str">
        <f t="shared" si="86"/>
        <v xml:space="preserve">Lunenburg                    </v>
      </c>
      <c r="AO169" s="6">
        <f t="shared" si="87"/>
        <v>1</v>
      </c>
      <c r="AP169" s="9">
        <f t="shared" si="92"/>
        <v>1633</v>
      </c>
      <c r="AQ169" s="9">
        <f t="shared" si="88"/>
        <v>21553250.210000001</v>
      </c>
      <c r="AR169" s="33">
        <f t="shared" si="89"/>
        <v>12595979</v>
      </c>
      <c r="AS169" s="33">
        <f t="shared" si="90"/>
        <v>8988960</v>
      </c>
      <c r="AU169" s="28"/>
      <c r="AV169" s="9"/>
      <c r="AW169" s="519"/>
    </row>
    <row r="170" spans="1:49">
      <c r="A170" s="6">
        <v>163</v>
      </c>
      <c r="B170" s="6" t="s">
        <v>1281</v>
      </c>
      <c r="C170" s="7">
        <v>1</v>
      </c>
      <c r="D170" s="9">
        <v>329943497.06999999</v>
      </c>
      <c r="E170" s="9">
        <v>60851330</v>
      </c>
      <c r="F170" s="9">
        <v>269092167</v>
      </c>
      <c r="G170" s="348"/>
      <c r="H170" s="111">
        <f t="shared" si="91"/>
        <v>269092167</v>
      </c>
      <c r="I170" s="9">
        <f t="shared" si="62"/>
        <v>351967448.88</v>
      </c>
      <c r="J170" s="33">
        <f t="shared" si="63"/>
        <v>64398962</v>
      </c>
      <c r="K170" s="9">
        <f t="shared" si="64"/>
        <v>287568487</v>
      </c>
      <c r="L170" s="112">
        <f t="shared" si="65"/>
        <v>18476320</v>
      </c>
      <c r="M170" s="458">
        <f>ROUND(100-'Townwide Contributions'!L169,2)</f>
        <v>76.7</v>
      </c>
      <c r="N170" s="9">
        <v>17895</v>
      </c>
      <c r="O170" s="9">
        <f t="shared" si="66"/>
        <v>18143</v>
      </c>
      <c r="P170" s="9">
        <f t="shared" si="67"/>
        <v>1</v>
      </c>
      <c r="Q170" s="28">
        <f t="shared" si="68"/>
        <v>1886872</v>
      </c>
      <c r="R170" s="382">
        <f t="shared" si="69"/>
        <v>0</v>
      </c>
      <c r="S170" s="28">
        <v>269092167</v>
      </c>
      <c r="T170" s="33">
        <f t="shared" si="70"/>
        <v>269636457</v>
      </c>
      <c r="U170" s="9">
        <f t="shared" si="71"/>
        <v>0</v>
      </c>
      <c r="V170" s="33">
        <f t="shared" si="72"/>
        <v>287568487</v>
      </c>
      <c r="W170" s="33">
        <f t="shared" si="73"/>
        <v>0</v>
      </c>
      <c r="X170" s="33">
        <v>0</v>
      </c>
      <c r="Y170" s="113">
        <f t="shared" si="74"/>
        <v>287568487</v>
      </c>
      <c r="Z170" s="155">
        <f t="shared" si="75"/>
        <v>81.703148377804609</v>
      </c>
      <c r="AA170" s="33">
        <f t="shared" si="76"/>
        <v>351967449</v>
      </c>
      <c r="AB170" s="114">
        <f t="shared" si="77"/>
        <v>100.00000003409406</v>
      </c>
      <c r="AC170" s="28">
        <f t="shared" si="78"/>
        <v>22023951.810000002</v>
      </c>
      <c r="AD170" s="28">
        <f t="shared" si="79"/>
        <v>18476320</v>
      </c>
      <c r="AE170" s="28">
        <f t="shared" si="80"/>
        <v>17609453.709039986</v>
      </c>
      <c r="AF170" s="115">
        <f t="shared" si="81"/>
        <v>5.0031483778046066</v>
      </c>
      <c r="AG170" s="28">
        <f t="shared" si="82"/>
        <v>19399.63</v>
      </c>
      <c r="AI170" s="28">
        <f t="shared" si="83"/>
        <v>0</v>
      </c>
      <c r="AJ170" s="28"/>
      <c r="AK170" s="28">
        <f t="shared" si="84"/>
        <v>1018.3718238439068</v>
      </c>
      <c r="AL170" s="156"/>
      <c r="AM170" s="6">
        <f t="shared" si="85"/>
        <v>163</v>
      </c>
      <c r="AN170" s="6" t="str">
        <f t="shared" si="86"/>
        <v xml:space="preserve">Lynn                         </v>
      </c>
      <c r="AO170" s="6">
        <f t="shared" si="87"/>
        <v>1</v>
      </c>
      <c r="AP170" s="9">
        <f t="shared" si="92"/>
        <v>18143</v>
      </c>
      <c r="AQ170" s="9">
        <f t="shared" si="88"/>
        <v>351967448.88</v>
      </c>
      <c r="AR170" s="33">
        <f t="shared" si="89"/>
        <v>64398962</v>
      </c>
      <c r="AS170" s="33">
        <f t="shared" si="90"/>
        <v>287568487</v>
      </c>
      <c r="AU170" s="28"/>
      <c r="AV170" s="9"/>
      <c r="AW170" s="519"/>
    </row>
    <row r="171" spans="1:49">
      <c r="A171" s="6">
        <v>164</v>
      </c>
      <c r="B171" s="6" t="s">
        <v>1282</v>
      </c>
      <c r="C171" s="7">
        <v>1</v>
      </c>
      <c r="D171" s="9">
        <v>27452371.780520003</v>
      </c>
      <c r="E171" s="9">
        <v>21507362</v>
      </c>
      <c r="F171" s="9">
        <v>5945010</v>
      </c>
      <c r="G171" s="348"/>
      <c r="H171" s="111">
        <f t="shared" si="91"/>
        <v>5945010</v>
      </c>
      <c r="I171" s="9">
        <f t="shared" si="62"/>
        <v>27975039.198300004</v>
      </c>
      <c r="J171" s="33">
        <f t="shared" si="63"/>
        <v>22407746</v>
      </c>
      <c r="K171" s="9">
        <f t="shared" si="64"/>
        <v>5567293</v>
      </c>
      <c r="L171" s="112">
        <f t="shared" si="65"/>
        <v>0</v>
      </c>
      <c r="M171" s="458">
        <f>ROUND(100-'Townwide Contributions'!L170,2)</f>
        <v>17.5</v>
      </c>
      <c r="N171" s="9">
        <v>2207</v>
      </c>
      <c r="O171" s="9">
        <f t="shared" si="66"/>
        <v>2195</v>
      </c>
      <c r="P171" s="9">
        <f t="shared" si="67"/>
        <v>0</v>
      </c>
      <c r="Q171" s="28">
        <f t="shared" si="68"/>
        <v>228280</v>
      </c>
      <c r="R171" s="382">
        <f t="shared" si="69"/>
        <v>228280</v>
      </c>
      <c r="S171" s="28">
        <v>5945010</v>
      </c>
      <c r="T171" s="33">
        <f t="shared" si="70"/>
        <v>6010860</v>
      </c>
      <c r="U171" s="9">
        <f t="shared" si="71"/>
        <v>0</v>
      </c>
      <c r="V171" s="33">
        <f t="shared" si="72"/>
        <v>6173290</v>
      </c>
      <c r="W171" s="33">
        <f t="shared" si="73"/>
        <v>0</v>
      </c>
      <c r="X171" s="33">
        <v>0</v>
      </c>
      <c r="Y171" s="113">
        <f t="shared" si="74"/>
        <v>6173290</v>
      </c>
      <c r="Z171" s="155">
        <f t="shared" si="75"/>
        <v>22.067136193235935</v>
      </c>
      <c r="AA171" s="33">
        <f t="shared" si="76"/>
        <v>28581036</v>
      </c>
      <c r="AB171" s="114">
        <f t="shared" si="77"/>
        <v>102.16620537116825</v>
      </c>
      <c r="AC171" s="28">
        <f t="shared" si="78"/>
        <v>522667.41778000072</v>
      </c>
      <c r="AD171" s="28">
        <f t="shared" si="79"/>
        <v>228280</v>
      </c>
      <c r="AE171" s="28">
        <f t="shared" si="80"/>
        <v>1277658.1402974995</v>
      </c>
      <c r="AF171" s="115">
        <f t="shared" si="81"/>
        <v>4.5671361932359353</v>
      </c>
      <c r="AG171" s="28">
        <f t="shared" si="82"/>
        <v>12744.89</v>
      </c>
      <c r="AI171" s="28">
        <f t="shared" si="83"/>
        <v>0</v>
      </c>
      <c r="AJ171" s="28"/>
      <c r="AK171" s="28">
        <f t="shared" si="84"/>
        <v>104</v>
      </c>
      <c r="AL171" s="156"/>
      <c r="AM171" s="6">
        <f t="shared" si="85"/>
        <v>164</v>
      </c>
      <c r="AN171" s="6" t="str">
        <f t="shared" si="86"/>
        <v xml:space="preserve">Lynnfield                    </v>
      </c>
      <c r="AO171" s="6">
        <f t="shared" si="87"/>
        <v>1</v>
      </c>
      <c r="AP171" s="9">
        <f t="shared" si="92"/>
        <v>2195</v>
      </c>
      <c r="AQ171" s="9">
        <f t="shared" si="88"/>
        <v>27975039.198300004</v>
      </c>
      <c r="AR171" s="33">
        <f t="shared" si="89"/>
        <v>22407746</v>
      </c>
      <c r="AS171" s="33">
        <f t="shared" si="90"/>
        <v>6173290</v>
      </c>
      <c r="AU171" s="28"/>
      <c r="AV171" s="9"/>
      <c r="AW171" s="519"/>
    </row>
    <row r="172" spans="1:49">
      <c r="A172" s="6">
        <v>165</v>
      </c>
      <c r="B172" s="6" t="s">
        <v>1283</v>
      </c>
      <c r="C172" s="7">
        <v>1</v>
      </c>
      <c r="D172" s="9">
        <v>117616659.13781999</v>
      </c>
      <c r="E172" s="9">
        <v>54419682</v>
      </c>
      <c r="F172" s="9">
        <v>63196977</v>
      </c>
      <c r="G172" s="348"/>
      <c r="H172" s="111">
        <f t="shared" si="91"/>
        <v>63196977</v>
      </c>
      <c r="I172" s="9">
        <f t="shared" si="62"/>
        <v>121527751.11873999</v>
      </c>
      <c r="J172" s="33">
        <f t="shared" si="63"/>
        <v>57647090</v>
      </c>
      <c r="K172" s="9">
        <f t="shared" si="64"/>
        <v>63880661</v>
      </c>
      <c r="L172" s="112">
        <f t="shared" si="65"/>
        <v>683684</v>
      </c>
      <c r="M172" s="458">
        <f>ROUND(100-'Townwide Contributions'!L171,2)</f>
        <v>43.74</v>
      </c>
      <c r="N172" s="9">
        <v>6940</v>
      </c>
      <c r="O172" s="9">
        <f t="shared" si="66"/>
        <v>6863</v>
      </c>
      <c r="P172" s="9">
        <f t="shared" si="67"/>
        <v>1</v>
      </c>
      <c r="Q172" s="28">
        <f t="shared" si="68"/>
        <v>713752</v>
      </c>
      <c r="R172" s="382">
        <f t="shared" si="69"/>
        <v>30068</v>
      </c>
      <c r="S172" s="28">
        <v>63196977</v>
      </c>
      <c r="T172" s="33">
        <f t="shared" si="70"/>
        <v>63402867</v>
      </c>
      <c r="U172" s="9">
        <f t="shared" si="71"/>
        <v>0</v>
      </c>
      <c r="V172" s="33">
        <f t="shared" si="72"/>
        <v>63910729</v>
      </c>
      <c r="W172" s="33">
        <f t="shared" si="73"/>
        <v>0</v>
      </c>
      <c r="X172" s="33">
        <v>0</v>
      </c>
      <c r="Y172" s="113">
        <f t="shared" si="74"/>
        <v>63910729</v>
      </c>
      <c r="Z172" s="155">
        <f t="shared" si="75"/>
        <v>52.589411399175269</v>
      </c>
      <c r="AA172" s="33">
        <f t="shared" si="76"/>
        <v>121557819</v>
      </c>
      <c r="AB172" s="114">
        <f t="shared" si="77"/>
        <v>100.02474157629284</v>
      </c>
      <c r="AC172" s="28">
        <f t="shared" si="78"/>
        <v>3911091.9809200019</v>
      </c>
      <c r="AD172" s="28">
        <f t="shared" si="79"/>
        <v>713752</v>
      </c>
      <c r="AE172" s="28">
        <f t="shared" si="80"/>
        <v>10754490.660663128</v>
      </c>
      <c r="AF172" s="115">
        <f t="shared" si="81"/>
        <v>8.849411399175267</v>
      </c>
      <c r="AG172" s="28">
        <f t="shared" si="82"/>
        <v>17707.669999999998</v>
      </c>
      <c r="AI172" s="28">
        <f t="shared" si="83"/>
        <v>0</v>
      </c>
      <c r="AJ172" s="28"/>
      <c r="AK172" s="28">
        <f t="shared" si="84"/>
        <v>104</v>
      </c>
      <c r="AL172" s="156"/>
      <c r="AM172" s="6">
        <f t="shared" si="85"/>
        <v>165</v>
      </c>
      <c r="AN172" s="6" t="str">
        <f t="shared" si="86"/>
        <v xml:space="preserve">Malden                       </v>
      </c>
      <c r="AO172" s="6">
        <f t="shared" si="87"/>
        <v>1</v>
      </c>
      <c r="AP172" s="9">
        <f t="shared" si="92"/>
        <v>6863</v>
      </c>
      <c r="AQ172" s="9">
        <f t="shared" si="88"/>
        <v>121527751.11873999</v>
      </c>
      <c r="AR172" s="33">
        <f t="shared" si="89"/>
        <v>57647090</v>
      </c>
      <c r="AS172" s="33">
        <f t="shared" si="90"/>
        <v>63910729</v>
      </c>
      <c r="AU172" s="28"/>
      <c r="AV172" s="9"/>
      <c r="AW172" s="519"/>
    </row>
    <row r="173" spans="1:49">
      <c r="A173" s="6">
        <v>166</v>
      </c>
      <c r="B173" s="6" t="s">
        <v>1284</v>
      </c>
      <c r="C173" s="7">
        <v>0</v>
      </c>
      <c r="D173" s="9">
        <v>0</v>
      </c>
      <c r="E173" s="9">
        <v>0</v>
      </c>
      <c r="F173" s="9">
        <v>0</v>
      </c>
      <c r="G173" s="348"/>
      <c r="H173" s="111">
        <f t="shared" si="91"/>
        <v>0</v>
      </c>
      <c r="I173" s="9">
        <f t="shared" si="62"/>
        <v>0</v>
      </c>
      <c r="J173" s="33">
        <f t="shared" si="63"/>
        <v>0</v>
      </c>
      <c r="K173" s="9">
        <f t="shared" si="64"/>
        <v>0</v>
      </c>
      <c r="L173" s="112">
        <f t="shared" si="65"/>
        <v>0</v>
      </c>
      <c r="M173" s="458">
        <f>ROUND(100-'Townwide Contributions'!L172,2)</f>
        <v>17.5</v>
      </c>
      <c r="N173" s="9">
        <v>0</v>
      </c>
      <c r="O173" s="9">
        <f t="shared" si="66"/>
        <v>0</v>
      </c>
      <c r="P173" s="9">
        <f t="shared" si="67"/>
        <v>0</v>
      </c>
      <c r="Q173" s="28">
        <f t="shared" si="68"/>
        <v>0</v>
      </c>
      <c r="R173" s="382">
        <f t="shared" si="69"/>
        <v>0</v>
      </c>
      <c r="S173" s="28">
        <v>0</v>
      </c>
      <c r="T173" s="33">
        <f t="shared" si="70"/>
        <v>0</v>
      </c>
      <c r="U173" s="9">
        <f t="shared" si="71"/>
        <v>0</v>
      </c>
      <c r="V173" s="33">
        <f t="shared" si="72"/>
        <v>0</v>
      </c>
      <c r="W173" s="33">
        <f t="shared" si="73"/>
        <v>0</v>
      </c>
      <c r="X173" s="33">
        <v>0</v>
      </c>
      <c r="Y173" s="113">
        <f t="shared" si="74"/>
        <v>0</v>
      </c>
      <c r="Z173" s="155">
        <f t="shared" si="75"/>
        <v>0</v>
      </c>
      <c r="AA173" s="33">
        <f t="shared" si="76"/>
        <v>0</v>
      </c>
      <c r="AB173" s="114">
        <f t="shared" si="77"/>
        <v>0</v>
      </c>
      <c r="AC173" s="28">
        <f t="shared" si="78"/>
        <v>0</v>
      </c>
      <c r="AD173" s="28">
        <f t="shared" si="79"/>
        <v>0</v>
      </c>
      <c r="AE173" s="28">
        <f t="shared" si="80"/>
        <v>0</v>
      </c>
      <c r="AF173" s="115" t="str">
        <f t="shared" si="81"/>
        <v/>
      </c>
      <c r="AG173" s="28">
        <f t="shared" si="82"/>
        <v>0</v>
      </c>
      <c r="AI173" s="28">
        <f t="shared" si="83"/>
        <v>0</v>
      </c>
      <c r="AJ173" s="28"/>
      <c r="AK173" s="28">
        <f t="shared" si="84"/>
        <v>0</v>
      </c>
      <c r="AL173" s="156"/>
      <c r="AM173" s="6">
        <f t="shared" si="85"/>
        <v>166</v>
      </c>
      <c r="AN173" s="6" t="str">
        <f t="shared" si="86"/>
        <v xml:space="preserve">Manchester                   </v>
      </c>
      <c r="AO173" s="6">
        <f t="shared" si="87"/>
        <v>0</v>
      </c>
      <c r="AP173" s="9">
        <f t="shared" si="92"/>
        <v>0</v>
      </c>
      <c r="AQ173" s="9">
        <f t="shared" si="88"/>
        <v>0</v>
      </c>
      <c r="AR173" s="33">
        <f t="shared" si="89"/>
        <v>0</v>
      </c>
      <c r="AS173" s="33">
        <f t="shared" si="90"/>
        <v>0</v>
      </c>
      <c r="AU173" s="28"/>
      <c r="AW173" s="519"/>
    </row>
    <row r="174" spans="1:49">
      <c r="A174" s="6">
        <v>167</v>
      </c>
      <c r="B174" s="6" t="s">
        <v>1285</v>
      </c>
      <c r="C174" s="7">
        <v>1</v>
      </c>
      <c r="D174" s="9">
        <v>46129087.005899996</v>
      </c>
      <c r="E174" s="9">
        <v>32585038</v>
      </c>
      <c r="F174" s="9">
        <v>19491149</v>
      </c>
      <c r="G174" s="348"/>
      <c r="H174" s="111">
        <f t="shared" si="91"/>
        <v>19491149</v>
      </c>
      <c r="I174" s="9">
        <f t="shared" si="62"/>
        <v>46131542.886</v>
      </c>
      <c r="J174" s="33">
        <f t="shared" si="63"/>
        <v>34993046</v>
      </c>
      <c r="K174" s="9">
        <f t="shared" si="64"/>
        <v>11138497</v>
      </c>
      <c r="L174" s="112">
        <f t="shared" si="65"/>
        <v>0</v>
      </c>
      <c r="M174" s="458">
        <f>ROUND(100-'Townwide Contributions'!L173,2)</f>
        <v>17.87</v>
      </c>
      <c r="N174" s="9">
        <v>3485</v>
      </c>
      <c r="O174" s="9">
        <f t="shared" si="66"/>
        <v>3412</v>
      </c>
      <c r="P174" s="9">
        <f t="shared" si="67"/>
        <v>0</v>
      </c>
      <c r="Q174" s="28">
        <f t="shared" si="68"/>
        <v>354848</v>
      </c>
      <c r="R174" s="382">
        <f t="shared" si="69"/>
        <v>354848</v>
      </c>
      <c r="S174" s="28">
        <v>19491149</v>
      </c>
      <c r="T174" s="33">
        <f t="shared" si="70"/>
        <v>19593509</v>
      </c>
      <c r="U174" s="9">
        <f t="shared" si="71"/>
        <v>0</v>
      </c>
      <c r="V174" s="33">
        <f t="shared" si="72"/>
        <v>19845997</v>
      </c>
      <c r="W174" s="33">
        <f t="shared" si="73"/>
        <v>0</v>
      </c>
      <c r="X174" s="33">
        <v>0</v>
      </c>
      <c r="Y174" s="113">
        <f t="shared" si="74"/>
        <v>19845997</v>
      </c>
      <c r="Z174" s="155">
        <f t="shared" si="75"/>
        <v>43.020449259725204</v>
      </c>
      <c r="AA174" s="33">
        <f t="shared" si="76"/>
        <v>54839043</v>
      </c>
      <c r="AB174" s="114">
        <f t="shared" si="77"/>
        <v>118.8753715337853</v>
      </c>
      <c r="AC174" s="28">
        <f t="shared" si="78"/>
        <v>2455.880100004375</v>
      </c>
      <c r="AD174" s="28">
        <f t="shared" si="79"/>
        <v>354848</v>
      </c>
      <c r="AE174" s="28">
        <f t="shared" si="80"/>
        <v>11602290.286271799</v>
      </c>
      <c r="AF174" s="115">
        <f t="shared" si="81"/>
        <v>25.150449259725203</v>
      </c>
      <c r="AG174" s="28">
        <f t="shared" si="82"/>
        <v>13520.38</v>
      </c>
      <c r="AI174" s="28">
        <f t="shared" si="83"/>
        <v>0</v>
      </c>
      <c r="AJ174" s="28"/>
      <c r="AK174" s="28">
        <f t="shared" si="84"/>
        <v>104</v>
      </c>
      <c r="AL174" s="156"/>
      <c r="AM174" s="6">
        <f t="shared" si="85"/>
        <v>167</v>
      </c>
      <c r="AN174" s="6" t="str">
        <f t="shared" si="86"/>
        <v xml:space="preserve">Mansfield                    </v>
      </c>
      <c r="AO174" s="6">
        <f t="shared" si="87"/>
        <v>1</v>
      </c>
      <c r="AP174" s="9">
        <f t="shared" si="92"/>
        <v>3412</v>
      </c>
      <c r="AQ174" s="9">
        <f t="shared" si="88"/>
        <v>46131542.886</v>
      </c>
      <c r="AR174" s="33">
        <f t="shared" si="89"/>
        <v>34993046</v>
      </c>
      <c r="AS174" s="33">
        <f t="shared" si="90"/>
        <v>19845997</v>
      </c>
      <c r="AU174" s="28"/>
      <c r="AV174" s="9"/>
      <c r="AW174" s="519"/>
    </row>
    <row r="175" spans="1:49">
      <c r="A175" s="6">
        <v>168</v>
      </c>
      <c r="B175" s="6" t="s">
        <v>1286</v>
      </c>
      <c r="C175" s="7">
        <v>1</v>
      </c>
      <c r="D175" s="9">
        <v>32681938.290000007</v>
      </c>
      <c r="E175" s="9">
        <v>26962599</v>
      </c>
      <c r="F175" s="9">
        <v>6354327</v>
      </c>
      <c r="G175" s="348"/>
      <c r="H175" s="111">
        <f t="shared" si="91"/>
        <v>6354327</v>
      </c>
      <c r="I175" s="9">
        <f t="shared" si="62"/>
        <v>32926181.66</v>
      </c>
      <c r="J175" s="33">
        <f t="shared" si="63"/>
        <v>27164100</v>
      </c>
      <c r="K175" s="9">
        <f t="shared" si="64"/>
        <v>5762082</v>
      </c>
      <c r="L175" s="112">
        <f t="shared" si="65"/>
        <v>0</v>
      </c>
      <c r="M175" s="458">
        <f>ROUND(100-'Townwide Contributions'!L174,2)</f>
        <v>17.5</v>
      </c>
      <c r="N175" s="9">
        <v>2658</v>
      </c>
      <c r="O175" s="9">
        <f t="shared" si="66"/>
        <v>2588</v>
      </c>
      <c r="P175" s="9">
        <f t="shared" si="67"/>
        <v>0</v>
      </c>
      <c r="Q175" s="28">
        <f t="shared" si="68"/>
        <v>269152</v>
      </c>
      <c r="R175" s="382">
        <f t="shared" si="69"/>
        <v>269152</v>
      </c>
      <c r="S175" s="28">
        <v>6354327</v>
      </c>
      <c r="T175" s="33">
        <f t="shared" si="70"/>
        <v>6431967</v>
      </c>
      <c r="U175" s="9">
        <f t="shared" si="71"/>
        <v>0</v>
      </c>
      <c r="V175" s="33">
        <f t="shared" si="72"/>
        <v>6623479</v>
      </c>
      <c r="W175" s="33">
        <f t="shared" si="73"/>
        <v>0</v>
      </c>
      <c r="X175" s="33">
        <v>0</v>
      </c>
      <c r="Y175" s="113">
        <f t="shared" si="74"/>
        <v>6623479</v>
      </c>
      <c r="Z175" s="155">
        <f t="shared" si="75"/>
        <v>20.116146683496126</v>
      </c>
      <c r="AA175" s="33">
        <f t="shared" si="76"/>
        <v>33787579</v>
      </c>
      <c r="AB175" s="114">
        <f t="shared" si="77"/>
        <v>102.61614707983726</v>
      </c>
      <c r="AC175" s="28">
        <f t="shared" si="78"/>
        <v>244243.36999999359</v>
      </c>
      <c r="AD175" s="28">
        <f t="shared" si="79"/>
        <v>269152</v>
      </c>
      <c r="AE175" s="28">
        <f t="shared" si="80"/>
        <v>861397.20949999988</v>
      </c>
      <c r="AF175" s="115">
        <f t="shared" si="81"/>
        <v>2.616146683496126</v>
      </c>
      <c r="AG175" s="28">
        <f t="shared" si="82"/>
        <v>12722.64</v>
      </c>
      <c r="AI175" s="28">
        <f t="shared" si="83"/>
        <v>0</v>
      </c>
      <c r="AJ175" s="28"/>
      <c r="AK175" s="28">
        <f t="shared" si="84"/>
        <v>104</v>
      </c>
      <c r="AL175" s="156"/>
      <c r="AM175" s="6">
        <f t="shared" si="85"/>
        <v>168</v>
      </c>
      <c r="AN175" s="6" t="str">
        <f t="shared" si="86"/>
        <v xml:space="preserve">Marblehead                   </v>
      </c>
      <c r="AO175" s="6">
        <f t="shared" si="87"/>
        <v>1</v>
      </c>
      <c r="AP175" s="9">
        <f t="shared" si="92"/>
        <v>2588</v>
      </c>
      <c r="AQ175" s="9">
        <f t="shared" si="88"/>
        <v>32926181.66</v>
      </c>
      <c r="AR175" s="33">
        <f t="shared" si="89"/>
        <v>27164100</v>
      </c>
      <c r="AS175" s="33">
        <f t="shared" si="90"/>
        <v>6623479</v>
      </c>
      <c r="AU175" s="28"/>
      <c r="AV175" s="9"/>
      <c r="AW175" s="519"/>
    </row>
    <row r="176" spans="1:49">
      <c r="A176" s="6">
        <v>169</v>
      </c>
      <c r="B176" s="6" t="s">
        <v>1287</v>
      </c>
      <c r="C176" s="7">
        <v>1</v>
      </c>
      <c r="D176" s="9">
        <v>5068217.2599999988</v>
      </c>
      <c r="E176" s="9">
        <v>3913467</v>
      </c>
      <c r="F176" s="9">
        <v>1154750</v>
      </c>
      <c r="G176" s="348"/>
      <c r="H176" s="111">
        <f t="shared" si="91"/>
        <v>1154750</v>
      </c>
      <c r="I176" s="9">
        <f t="shared" si="62"/>
        <v>5105842.0000000009</v>
      </c>
      <c r="J176" s="33">
        <f t="shared" si="63"/>
        <v>3952749</v>
      </c>
      <c r="K176" s="9">
        <f t="shared" si="64"/>
        <v>1153093</v>
      </c>
      <c r="L176" s="112">
        <f t="shared" si="65"/>
        <v>0</v>
      </c>
      <c r="M176" s="458">
        <f>ROUND(100-'Townwide Contributions'!L175,2)</f>
        <v>17.5</v>
      </c>
      <c r="N176" s="9">
        <v>401</v>
      </c>
      <c r="O176" s="9">
        <f t="shared" si="66"/>
        <v>388</v>
      </c>
      <c r="P176" s="9">
        <f t="shared" si="67"/>
        <v>0</v>
      </c>
      <c r="Q176" s="28">
        <f t="shared" si="68"/>
        <v>40352</v>
      </c>
      <c r="R176" s="382">
        <f t="shared" si="69"/>
        <v>40352</v>
      </c>
      <c r="S176" s="28">
        <v>1154750</v>
      </c>
      <c r="T176" s="33">
        <f t="shared" si="70"/>
        <v>1166390</v>
      </c>
      <c r="U176" s="9">
        <f t="shared" si="71"/>
        <v>0</v>
      </c>
      <c r="V176" s="33">
        <f t="shared" si="72"/>
        <v>1195102</v>
      </c>
      <c r="W176" s="33">
        <f t="shared" si="73"/>
        <v>0</v>
      </c>
      <c r="X176" s="33">
        <v>0</v>
      </c>
      <c r="Y176" s="113">
        <f t="shared" si="74"/>
        <v>1195102</v>
      </c>
      <c r="Z176" s="155">
        <f t="shared" si="75"/>
        <v>23.406560563370345</v>
      </c>
      <c r="AA176" s="33">
        <f t="shared" si="76"/>
        <v>5147851</v>
      </c>
      <c r="AB176" s="114">
        <f t="shared" si="77"/>
        <v>100.82276341492744</v>
      </c>
      <c r="AC176" s="28">
        <f t="shared" si="78"/>
        <v>37624.740000002086</v>
      </c>
      <c r="AD176" s="28">
        <f t="shared" si="79"/>
        <v>40352</v>
      </c>
      <c r="AE176" s="28">
        <f t="shared" si="80"/>
        <v>301579.64999999991</v>
      </c>
      <c r="AF176" s="115">
        <f t="shared" si="81"/>
        <v>5.9065605633703449</v>
      </c>
      <c r="AG176" s="28">
        <f t="shared" si="82"/>
        <v>13159.39</v>
      </c>
      <c r="AI176" s="28">
        <f t="shared" si="83"/>
        <v>0</v>
      </c>
      <c r="AJ176" s="28"/>
      <c r="AK176" s="28">
        <f t="shared" si="84"/>
        <v>104</v>
      </c>
      <c r="AL176" s="156"/>
      <c r="AM176" s="6">
        <f t="shared" si="85"/>
        <v>169</v>
      </c>
      <c r="AN176" s="6" t="str">
        <f t="shared" si="86"/>
        <v xml:space="preserve">Marion                       </v>
      </c>
      <c r="AO176" s="6">
        <f t="shared" si="87"/>
        <v>1</v>
      </c>
      <c r="AP176" s="9">
        <f t="shared" si="92"/>
        <v>388</v>
      </c>
      <c r="AQ176" s="9">
        <f t="shared" si="88"/>
        <v>5105842.0000000009</v>
      </c>
      <c r="AR176" s="33">
        <f t="shared" si="89"/>
        <v>3952749</v>
      </c>
      <c r="AS176" s="33">
        <f t="shared" si="90"/>
        <v>1195102</v>
      </c>
      <c r="AU176" s="28"/>
      <c r="AV176" s="9"/>
      <c r="AW176" s="519"/>
    </row>
    <row r="177" spans="1:49">
      <c r="A177" s="6">
        <v>170</v>
      </c>
      <c r="B177" s="6" t="s">
        <v>1288</v>
      </c>
      <c r="C177" s="7">
        <v>1</v>
      </c>
      <c r="D177" s="9">
        <v>87221684.996450007</v>
      </c>
      <c r="E177" s="9">
        <v>41360456</v>
      </c>
      <c r="F177" s="9">
        <v>45861229</v>
      </c>
      <c r="G177" s="348"/>
      <c r="H177" s="111">
        <f t="shared" si="91"/>
        <v>45861229</v>
      </c>
      <c r="I177" s="9">
        <f t="shared" si="62"/>
        <v>91366536.508999988</v>
      </c>
      <c r="J177" s="33">
        <f t="shared" si="63"/>
        <v>43502723</v>
      </c>
      <c r="K177" s="9">
        <f t="shared" si="64"/>
        <v>47863814</v>
      </c>
      <c r="L177" s="112">
        <f t="shared" si="65"/>
        <v>2002585</v>
      </c>
      <c r="M177" s="458">
        <f>ROUND(100-'Townwide Contributions'!L176,2)</f>
        <v>47.91</v>
      </c>
      <c r="N177" s="9">
        <v>5370</v>
      </c>
      <c r="O177" s="9">
        <f t="shared" si="66"/>
        <v>5345</v>
      </c>
      <c r="P177" s="9">
        <f t="shared" si="67"/>
        <v>1</v>
      </c>
      <c r="Q177" s="28">
        <f t="shared" si="68"/>
        <v>555880</v>
      </c>
      <c r="R177" s="382">
        <f t="shared" si="69"/>
        <v>0</v>
      </c>
      <c r="S177" s="28">
        <v>45861229</v>
      </c>
      <c r="T177" s="33">
        <f t="shared" si="70"/>
        <v>46021579</v>
      </c>
      <c r="U177" s="9">
        <f t="shared" si="71"/>
        <v>0</v>
      </c>
      <c r="V177" s="33">
        <f t="shared" si="72"/>
        <v>47863814</v>
      </c>
      <c r="W177" s="33">
        <f t="shared" si="73"/>
        <v>0</v>
      </c>
      <c r="X177" s="33">
        <v>0</v>
      </c>
      <c r="Y177" s="113">
        <f t="shared" si="74"/>
        <v>47863814</v>
      </c>
      <c r="Z177" s="155">
        <f t="shared" si="75"/>
        <v>52.386591227834515</v>
      </c>
      <c r="AA177" s="33">
        <f t="shared" si="76"/>
        <v>91366537</v>
      </c>
      <c r="AB177" s="114">
        <f t="shared" si="77"/>
        <v>100.00000053739589</v>
      </c>
      <c r="AC177" s="28">
        <f t="shared" si="78"/>
        <v>4144851.5125499815</v>
      </c>
      <c r="AD177" s="28">
        <f t="shared" si="79"/>
        <v>2002585</v>
      </c>
      <c r="AE177" s="28">
        <f t="shared" si="80"/>
        <v>4090106.3585381061</v>
      </c>
      <c r="AF177" s="115">
        <f t="shared" si="81"/>
        <v>4.4765912278345183</v>
      </c>
      <c r="AG177" s="28">
        <f t="shared" si="82"/>
        <v>17093.830000000002</v>
      </c>
      <c r="AI177" s="28">
        <f t="shared" si="83"/>
        <v>0</v>
      </c>
      <c r="AJ177" s="28"/>
      <c r="AK177" s="28">
        <f t="shared" si="84"/>
        <v>374.66510757717492</v>
      </c>
      <c r="AL177" s="156"/>
      <c r="AM177" s="6">
        <f t="shared" si="85"/>
        <v>170</v>
      </c>
      <c r="AN177" s="6" t="str">
        <f t="shared" si="86"/>
        <v xml:space="preserve">Marlborough                  </v>
      </c>
      <c r="AO177" s="6">
        <f t="shared" si="87"/>
        <v>1</v>
      </c>
      <c r="AP177" s="9">
        <f t="shared" si="92"/>
        <v>5345</v>
      </c>
      <c r="AQ177" s="9">
        <f t="shared" si="88"/>
        <v>91366536.508999988</v>
      </c>
      <c r="AR177" s="33">
        <f t="shared" si="89"/>
        <v>43502723</v>
      </c>
      <c r="AS177" s="33">
        <f t="shared" si="90"/>
        <v>47863814</v>
      </c>
      <c r="AU177" s="28"/>
      <c r="AV177" s="9"/>
      <c r="AW177" s="519"/>
    </row>
    <row r="178" spans="1:49">
      <c r="A178" s="6">
        <v>171</v>
      </c>
      <c r="B178" s="6" t="s">
        <v>1289</v>
      </c>
      <c r="C178" s="7">
        <v>1</v>
      </c>
      <c r="D178" s="9">
        <v>49950295.557299994</v>
      </c>
      <c r="E178" s="9">
        <v>39070159</v>
      </c>
      <c r="F178" s="9">
        <v>15233203</v>
      </c>
      <c r="G178" s="348"/>
      <c r="H178" s="111">
        <f>F178-23806</f>
        <v>15209397</v>
      </c>
      <c r="I178" s="9">
        <f t="shared" si="62"/>
        <v>49730334.689119995</v>
      </c>
      <c r="J178" s="33">
        <f t="shared" si="63"/>
        <v>40410183</v>
      </c>
      <c r="K178" s="9">
        <f t="shared" si="64"/>
        <v>9320152</v>
      </c>
      <c r="L178" s="112">
        <f t="shared" si="65"/>
        <v>0</v>
      </c>
      <c r="M178" s="458">
        <f>ROUND(100-'Townwide Contributions'!L177,2)</f>
        <v>17.5</v>
      </c>
      <c r="N178" s="9">
        <v>3783</v>
      </c>
      <c r="O178" s="9">
        <f t="shared" si="66"/>
        <v>3669</v>
      </c>
      <c r="P178" s="9">
        <f t="shared" si="67"/>
        <v>0</v>
      </c>
      <c r="Q178" s="28">
        <f t="shared" si="68"/>
        <v>381576</v>
      </c>
      <c r="R178" s="382">
        <f t="shared" si="69"/>
        <v>381576</v>
      </c>
      <c r="S178" s="28">
        <v>15209397</v>
      </c>
      <c r="T178" s="33">
        <f t="shared" si="70"/>
        <v>15319467</v>
      </c>
      <c r="U178" s="9">
        <f t="shared" si="71"/>
        <v>0</v>
      </c>
      <c r="V178" s="33">
        <f t="shared" si="72"/>
        <v>15590973</v>
      </c>
      <c r="W178" s="33">
        <f t="shared" si="73"/>
        <v>0</v>
      </c>
      <c r="X178" s="33">
        <v>0</v>
      </c>
      <c r="Y178" s="113">
        <f t="shared" si="74"/>
        <v>15590973</v>
      </c>
      <c r="Z178" s="155">
        <f t="shared" si="75"/>
        <v>31.351031714272764</v>
      </c>
      <c r="AA178" s="33">
        <f t="shared" si="76"/>
        <v>56001156</v>
      </c>
      <c r="AB178" s="114">
        <f t="shared" si="77"/>
        <v>112.60965032727185</v>
      </c>
      <c r="AC178" s="28">
        <f t="shared" si="78"/>
        <v>-219960.86817999929</v>
      </c>
      <c r="AD178" s="28">
        <f t="shared" si="79"/>
        <v>357770</v>
      </c>
      <c r="AE178" s="28">
        <f t="shared" si="80"/>
        <v>6888164.4294040017</v>
      </c>
      <c r="AF178" s="115">
        <f t="shared" si="81"/>
        <v>13.851031714272764</v>
      </c>
      <c r="AG178" s="28">
        <f t="shared" si="82"/>
        <v>13554.19</v>
      </c>
      <c r="AI178" s="28">
        <f t="shared" si="83"/>
        <v>0</v>
      </c>
      <c r="AJ178" s="28"/>
      <c r="AK178" s="28">
        <f t="shared" si="84"/>
        <v>97.511583537748706</v>
      </c>
      <c r="AL178" s="156"/>
      <c r="AM178" s="6">
        <f t="shared" si="85"/>
        <v>171</v>
      </c>
      <c r="AN178" s="6" t="str">
        <f t="shared" si="86"/>
        <v xml:space="preserve">Marshfield                   </v>
      </c>
      <c r="AO178" s="6">
        <f t="shared" si="87"/>
        <v>1</v>
      </c>
      <c r="AP178" s="9">
        <f t="shared" si="92"/>
        <v>3669</v>
      </c>
      <c r="AQ178" s="9">
        <f t="shared" si="88"/>
        <v>49730334.689119995</v>
      </c>
      <c r="AR178" s="33">
        <f t="shared" si="89"/>
        <v>40410183</v>
      </c>
      <c r="AS178" s="33">
        <f t="shared" si="90"/>
        <v>15590973</v>
      </c>
      <c r="AU178" s="28"/>
      <c r="AV178" s="9"/>
      <c r="AW178" s="519"/>
    </row>
    <row r="179" spans="1:49">
      <c r="A179" s="6">
        <v>172</v>
      </c>
      <c r="B179" s="6" t="s">
        <v>1290</v>
      </c>
      <c r="C179" s="7">
        <v>1</v>
      </c>
      <c r="D179" s="9">
        <v>20496134.48</v>
      </c>
      <c r="E179" s="9">
        <v>16524355</v>
      </c>
      <c r="F179" s="9">
        <v>4858266</v>
      </c>
      <c r="G179" s="348"/>
      <c r="H179" s="111">
        <f t="shared" si="91"/>
        <v>4858266</v>
      </c>
      <c r="I179" s="9">
        <f t="shared" si="62"/>
        <v>21264618.640000001</v>
      </c>
      <c r="J179" s="33">
        <f t="shared" si="63"/>
        <v>17203029</v>
      </c>
      <c r="K179" s="9">
        <f t="shared" si="64"/>
        <v>4061590</v>
      </c>
      <c r="L179" s="112">
        <f t="shared" si="65"/>
        <v>0</v>
      </c>
      <c r="M179" s="458">
        <f>ROUND(100-'Townwide Contributions'!L178,2)</f>
        <v>17.5</v>
      </c>
      <c r="N179" s="9">
        <v>1422</v>
      </c>
      <c r="O179" s="9">
        <f t="shared" si="66"/>
        <v>1416</v>
      </c>
      <c r="P179" s="9">
        <f t="shared" si="67"/>
        <v>0</v>
      </c>
      <c r="Q179" s="28">
        <f t="shared" si="68"/>
        <v>147264</v>
      </c>
      <c r="R179" s="382">
        <f t="shared" si="69"/>
        <v>147264</v>
      </c>
      <c r="S179" s="28">
        <v>4858266</v>
      </c>
      <c r="T179" s="33">
        <f t="shared" si="70"/>
        <v>4900746</v>
      </c>
      <c r="U179" s="9">
        <f t="shared" si="71"/>
        <v>0</v>
      </c>
      <c r="V179" s="33">
        <f t="shared" si="72"/>
        <v>5005530</v>
      </c>
      <c r="W179" s="33">
        <f t="shared" si="73"/>
        <v>0</v>
      </c>
      <c r="X179" s="33">
        <v>0</v>
      </c>
      <c r="Y179" s="113">
        <f t="shared" si="74"/>
        <v>5005530</v>
      </c>
      <c r="Z179" s="155">
        <f t="shared" si="75"/>
        <v>23.53924180226916</v>
      </c>
      <c r="AA179" s="33">
        <f t="shared" si="76"/>
        <v>22208559</v>
      </c>
      <c r="AB179" s="114">
        <f t="shared" si="77"/>
        <v>104.43901852170718</v>
      </c>
      <c r="AC179" s="28">
        <f t="shared" si="78"/>
        <v>768484.16000000015</v>
      </c>
      <c r="AD179" s="28">
        <f t="shared" si="79"/>
        <v>147264</v>
      </c>
      <c r="AE179" s="28">
        <f t="shared" si="80"/>
        <v>1284221.7380000004</v>
      </c>
      <c r="AF179" s="115">
        <f t="shared" si="81"/>
        <v>6.0392418022691601</v>
      </c>
      <c r="AG179" s="28">
        <f t="shared" si="82"/>
        <v>15017.39</v>
      </c>
      <c r="AI179" s="28">
        <f t="shared" si="83"/>
        <v>0</v>
      </c>
      <c r="AJ179" s="28"/>
      <c r="AK179" s="28">
        <f t="shared" si="84"/>
        <v>104</v>
      </c>
      <c r="AL179" s="156"/>
      <c r="AM179" s="6">
        <f t="shared" si="85"/>
        <v>172</v>
      </c>
      <c r="AN179" s="6" t="str">
        <f t="shared" si="86"/>
        <v xml:space="preserve">Mashpee                      </v>
      </c>
      <c r="AO179" s="6">
        <f t="shared" si="87"/>
        <v>1</v>
      </c>
      <c r="AP179" s="9">
        <f t="shared" si="92"/>
        <v>1416</v>
      </c>
      <c r="AQ179" s="9">
        <f t="shared" si="88"/>
        <v>21264618.640000001</v>
      </c>
      <c r="AR179" s="33">
        <f t="shared" si="89"/>
        <v>17203029</v>
      </c>
      <c r="AS179" s="33">
        <f t="shared" si="90"/>
        <v>5005530</v>
      </c>
      <c r="AU179" s="28"/>
      <c r="AV179" s="9"/>
      <c r="AW179" s="519"/>
    </row>
    <row r="180" spans="1:49">
      <c r="A180" s="6">
        <v>173</v>
      </c>
      <c r="B180" s="6" t="s">
        <v>1291</v>
      </c>
      <c r="C180" s="7">
        <v>1</v>
      </c>
      <c r="D180" s="9">
        <v>5079932.7300000004</v>
      </c>
      <c r="E180" s="9">
        <v>4120905</v>
      </c>
      <c r="F180" s="9">
        <v>1005221</v>
      </c>
      <c r="G180" s="348"/>
      <c r="H180" s="111">
        <f t="shared" si="91"/>
        <v>1005221</v>
      </c>
      <c r="I180" s="9">
        <f t="shared" si="62"/>
        <v>4865916.0799999991</v>
      </c>
      <c r="J180" s="33">
        <f t="shared" si="63"/>
        <v>4014381</v>
      </c>
      <c r="K180" s="9">
        <f t="shared" si="64"/>
        <v>851535</v>
      </c>
      <c r="L180" s="112">
        <f t="shared" si="65"/>
        <v>0</v>
      </c>
      <c r="M180" s="458">
        <f>ROUND(100-'Townwide Contributions'!L179,2)</f>
        <v>17.5</v>
      </c>
      <c r="N180" s="9">
        <v>414</v>
      </c>
      <c r="O180" s="9">
        <f t="shared" si="66"/>
        <v>383</v>
      </c>
      <c r="P180" s="9">
        <f t="shared" si="67"/>
        <v>0</v>
      </c>
      <c r="Q180" s="28">
        <f t="shared" si="68"/>
        <v>39832</v>
      </c>
      <c r="R180" s="382">
        <f t="shared" si="69"/>
        <v>39832</v>
      </c>
      <c r="S180" s="28">
        <v>1005221</v>
      </c>
      <c r="T180" s="33">
        <f t="shared" si="70"/>
        <v>1016711</v>
      </c>
      <c r="U180" s="9">
        <f t="shared" si="71"/>
        <v>0</v>
      </c>
      <c r="V180" s="33">
        <f t="shared" si="72"/>
        <v>1045053</v>
      </c>
      <c r="W180" s="33">
        <f t="shared" si="73"/>
        <v>0</v>
      </c>
      <c r="X180" s="33">
        <v>0</v>
      </c>
      <c r="Y180" s="113">
        <f t="shared" si="74"/>
        <v>1045053</v>
      </c>
      <c r="Z180" s="155">
        <f t="shared" si="75"/>
        <v>21.477004182118986</v>
      </c>
      <c r="AA180" s="33">
        <f t="shared" si="76"/>
        <v>5059434</v>
      </c>
      <c r="AB180" s="114">
        <f t="shared" si="77"/>
        <v>103.97700899107987</v>
      </c>
      <c r="AC180" s="28">
        <f t="shared" si="78"/>
        <v>-214016.6500000013</v>
      </c>
      <c r="AD180" s="28">
        <f t="shared" si="79"/>
        <v>39832</v>
      </c>
      <c r="AE180" s="28">
        <f t="shared" si="80"/>
        <v>193517.68600000022</v>
      </c>
      <c r="AF180" s="115">
        <f t="shared" si="81"/>
        <v>3.9770041821189857</v>
      </c>
      <c r="AG180" s="28">
        <f t="shared" si="82"/>
        <v>12704.74</v>
      </c>
      <c r="AI180" s="28">
        <f t="shared" si="83"/>
        <v>0</v>
      </c>
      <c r="AJ180" s="28"/>
      <c r="AK180" s="28">
        <f t="shared" si="84"/>
        <v>104</v>
      </c>
      <c r="AL180" s="156"/>
      <c r="AM180" s="6">
        <f t="shared" si="85"/>
        <v>173</v>
      </c>
      <c r="AN180" s="6" t="str">
        <f t="shared" si="86"/>
        <v xml:space="preserve">Mattapoisett                 </v>
      </c>
      <c r="AO180" s="6">
        <f t="shared" si="87"/>
        <v>1</v>
      </c>
      <c r="AP180" s="9">
        <f t="shared" si="92"/>
        <v>383</v>
      </c>
      <c r="AQ180" s="9">
        <f t="shared" si="88"/>
        <v>4865916.0799999991</v>
      </c>
      <c r="AR180" s="33">
        <f t="shared" si="89"/>
        <v>4014381</v>
      </c>
      <c r="AS180" s="33">
        <f t="shared" si="90"/>
        <v>1045053</v>
      </c>
      <c r="AU180" s="28"/>
      <c r="AV180" s="9"/>
      <c r="AW180" s="519"/>
    </row>
    <row r="181" spans="1:49">
      <c r="A181" s="6">
        <v>174</v>
      </c>
      <c r="B181" s="6" t="s">
        <v>1292</v>
      </c>
      <c r="C181" s="7">
        <v>1</v>
      </c>
      <c r="D181" s="9">
        <v>17768872.032999996</v>
      </c>
      <c r="E181" s="9">
        <v>12105654</v>
      </c>
      <c r="F181" s="9">
        <v>5663218</v>
      </c>
      <c r="G181" s="348"/>
      <c r="H181" s="111">
        <f t="shared" si="91"/>
        <v>5663218</v>
      </c>
      <c r="I181" s="9">
        <f t="shared" si="62"/>
        <v>17943402.248780001</v>
      </c>
      <c r="J181" s="33">
        <f t="shared" si="63"/>
        <v>12813459</v>
      </c>
      <c r="K181" s="9">
        <f t="shared" si="64"/>
        <v>5129943</v>
      </c>
      <c r="L181" s="112">
        <f t="shared" si="65"/>
        <v>0</v>
      </c>
      <c r="M181" s="458">
        <f>ROUND(100-'Townwide Contributions'!L180,2)</f>
        <v>23.06</v>
      </c>
      <c r="N181" s="9">
        <v>1240</v>
      </c>
      <c r="O181" s="9">
        <f t="shared" si="66"/>
        <v>1258</v>
      </c>
      <c r="P181" s="9">
        <f t="shared" si="67"/>
        <v>0</v>
      </c>
      <c r="Q181" s="28">
        <f t="shared" si="68"/>
        <v>130832</v>
      </c>
      <c r="R181" s="382">
        <f t="shared" si="69"/>
        <v>130832</v>
      </c>
      <c r="S181" s="28">
        <v>5663218</v>
      </c>
      <c r="T181" s="33">
        <f t="shared" si="70"/>
        <v>5700958</v>
      </c>
      <c r="U181" s="9">
        <f t="shared" si="71"/>
        <v>0</v>
      </c>
      <c r="V181" s="33">
        <f t="shared" si="72"/>
        <v>5794050</v>
      </c>
      <c r="W181" s="33">
        <f t="shared" si="73"/>
        <v>0</v>
      </c>
      <c r="X181" s="33">
        <v>0</v>
      </c>
      <c r="Y181" s="113">
        <f t="shared" si="74"/>
        <v>5794050</v>
      </c>
      <c r="Z181" s="155">
        <f t="shared" si="75"/>
        <v>32.290698941411442</v>
      </c>
      <c r="AA181" s="33">
        <f t="shared" si="76"/>
        <v>18607509</v>
      </c>
      <c r="AB181" s="114">
        <f t="shared" si="77"/>
        <v>103.7011194533364</v>
      </c>
      <c r="AC181" s="28">
        <f t="shared" si="78"/>
        <v>174530.21578000486</v>
      </c>
      <c r="AD181" s="28">
        <f t="shared" si="79"/>
        <v>130832</v>
      </c>
      <c r="AE181" s="28">
        <f t="shared" si="80"/>
        <v>1656301.4414313319</v>
      </c>
      <c r="AF181" s="115">
        <f t="shared" si="81"/>
        <v>9.2306989414114433</v>
      </c>
      <c r="AG181" s="28">
        <f t="shared" si="82"/>
        <v>14263.44</v>
      </c>
      <c r="AI181" s="28">
        <f t="shared" si="83"/>
        <v>0</v>
      </c>
      <c r="AJ181" s="28"/>
      <c r="AK181" s="28">
        <f t="shared" si="84"/>
        <v>104</v>
      </c>
      <c r="AL181" s="156"/>
      <c r="AM181" s="6">
        <f t="shared" si="85"/>
        <v>174</v>
      </c>
      <c r="AN181" s="6" t="str">
        <f t="shared" si="86"/>
        <v xml:space="preserve">Maynard                      </v>
      </c>
      <c r="AO181" s="6">
        <f t="shared" si="87"/>
        <v>1</v>
      </c>
      <c r="AP181" s="9">
        <f t="shared" si="92"/>
        <v>1258</v>
      </c>
      <c r="AQ181" s="9">
        <f t="shared" si="88"/>
        <v>17943402.248780001</v>
      </c>
      <c r="AR181" s="33">
        <f t="shared" si="89"/>
        <v>12813459</v>
      </c>
      <c r="AS181" s="33">
        <f t="shared" si="90"/>
        <v>5794050</v>
      </c>
      <c r="AU181" s="28"/>
      <c r="AV181" s="9"/>
      <c r="AW181" s="519"/>
    </row>
    <row r="182" spans="1:49">
      <c r="A182" s="6">
        <v>175</v>
      </c>
      <c r="B182" s="6" t="s">
        <v>1293</v>
      </c>
      <c r="C182" s="7">
        <v>1</v>
      </c>
      <c r="D182" s="9">
        <v>29777088.9976</v>
      </c>
      <c r="E182" s="9">
        <v>23849002</v>
      </c>
      <c r="F182" s="9">
        <v>6653094</v>
      </c>
      <c r="G182" s="348"/>
      <c r="H182" s="111">
        <f t="shared" si="91"/>
        <v>6653094</v>
      </c>
      <c r="I182" s="9">
        <f t="shared" si="62"/>
        <v>29971700.2535</v>
      </c>
      <c r="J182" s="33">
        <f t="shared" si="63"/>
        <v>24726652</v>
      </c>
      <c r="K182" s="9">
        <f t="shared" si="64"/>
        <v>5245048</v>
      </c>
      <c r="L182" s="112">
        <f t="shared" si="65"/>
        <v>0</v>
      </c>
      <c r="M182" s="458">
        <f>ROUND(100-'Townwide Contributions'!L181,2)</f>
        <v>17.5</v>
      </c>
      <c r="N182" s="9">
        <v>2427</v>
      </c>
      <c r="O182" s="9">
        <f t="shared" si="66"/>
        <v>2371</v>
      </c>
      <c r="P182" s="9">
        <f t="shared" si="67"/>
        <v>0</v>
      </c>
      <c r="Q182" s="28">
        <f t="shared" si="68"/>
        <v>246584</v>
      </c>
      <c r="R182" s="382">
        <f t="shared" si="69"/>
        <v>246584</v>
      </c>
      <c r="S182" s="28">
        <v>6653094</v>
      </c>
      <c r="T182" s="33">
        <f t="shared" si="70"/>
        <v>6724224</v>
      </c>
      <c r="U182" s="9">
        <f t="shared" si="71"/>
        <v>0</v>
      </c>
      <c r="V182" s="33">
        <f t="shared" si="72"/>
        <v>6899678</v>
      </c>
      <c r="W182" s="33">
        <f t="shared" si="73"/>
        <v>0</v>
      </c>
      <c r="X182" s="33">
        <v>0</v>
      </c>
      <c r="Y182" s="113">
        <f t="shared" si="74"/>
        <v>6899678</v>
      </c>
      <c r="Z182" s="155">
        <f t="shared" si="75"/>
        <v>23.020642611672582</v>
      </c>
      <c r="AA182" s="33">
        <f t="shared" si="76"/>
        <v>31626330</v>
      </c>
      <c r="AB182" s="114">
        <f t="shared" si="77"/>
        <v>105.52064024564899</v>
      </c>
      <c r="AC182" s="28">
        <f t="shared" si="78"/>
        <v>194611.25589999929</v>
      </c>
      <c r="AD182" s="28">
        <f t="shared" si="79"/>
        <v>246584</v>
      </c>
      <c r="AE182" s="28">
        <f t="shared" si="80"/>
        <v>1654630.4556375006</v>
      </c>
      <c r="AF182" s="115">
        <f t="shared" si="81"/>
        <v>5.5206426116725815</v>
      </c>
      <c r="AG182" s="28">
        <f t="shared" si="82"/>
        <v>12640.95</v>
      </c>
      <c r="AI182" s="28">
        <f t="shared" si="83"/>
        <v>0</v>
      </c>
      <c r="AJ182" s="28"/>
      <c r="AK182" s="28">
        <f t="shared" si="84"/>
        <v>104</v>
      </c>
      <c r="AL182" s="156"/>
      <c r="AM182" s="6">
        <f t="shared" si="85"/>
        <v>175</v>
      </c>
      <c r="AN182" s="6" t="str">
        <f t="shared" si="86"/>
        <v xml:space="preserve">Medfield                     </v>
      </c>
      <c r="AO182" s="6">
        <f t="shared" si="87"/>
        <v>1</v>
      </c>
      <c r="AP182" s="9">
        <f t="shared" si="92"/>
        <v>2371</v>
      </c>
      <c r="AQ182" s="9">
        <f t="shared" si="88"/>
        <v>29971700.2535</v>
      </c>
      <c r="AR182" s="33">
        <f t="shared" si="89"/>
        <v>24726652</v>
      </c>
      <c r="AS182" s="33">
        <f t="shared" si="90"/>
        <v>6899678</v>
      </c>
      <c r="AU182" s="28"/>
      <c r="AV182" s="9"/>
      <c r="AW182" s="519"/>
    </row>
    <row r="183" spans="1:49">
      <c r="A183" s="6">
        <v>176</v>
      </c>
      <c r="B183" s="6" t="s">
        <v>1294</v>
      </c>
      <c r="C183" s="7">
        <v>1</v>
      </c>
      <c r="D183" s="9">
        <v>71888258.341159999</v>
      </c>
      <c r="E183" s="9">
        <v>54480958</v>
      </c>
      <c r="F183" s="9">
        <v>17407300</v>
      </c>
      <c r="G183" s="348"/>
      <c r="H183" s="111">
        <f t="shared" si="91"/>
        <v>17407300</v>
      </c>
      <c r="I183" s="9">
        <f t="shared" si="62"/>
        <v>73681605.546039999</v>
      </c>
      <c r="J183" s="33">
        <f t="shared" si="63"/>
        <v>57259487</v>
      </c>
      <c r="K183" s="9">
        <f t="shared" si="64"/>
        <v>16422119</v>
      </c>
      <c r="L183" s="112">
        <f t="shared" si="65"/>
        <v>0</v>
      </c>
      <c r="M183" s="458">
        <f>ROUND(100-'Townwide Contributions'!L182,2)</f>
        <v>17.5</v>
      </c>
      <c r="N183" s="9">
        <v>4559</v>
      </c>
      <c r="O183" s="9">
        <f t="shared" si="66"/>
        <v>4524</v>
      </c>
      <c r="P183" s="9">
        <f t="shared" si="67"/>
        <v>0</v>
      </c>
      <c r="Q183" s="28">
        <f t="shared" si="68"/>
        <v>470496</v>
      </c>
      <c r="R183" s="382">
        <f t="shared" si="69"/>
        <v>470496</v>
      </c>
      <c r="S183" s="28">
        <v>17407300</v>
      </c>
      <c r="T183" s="33">
        <f t="shared" si="70"/>
        <v>17543020</v>
      </c>
      <c r="U183" s="9">
        <f t="shared" si="71"/>
        <v>0</v>
      </c>
      <c r="V183" s="33">
        <f t="shared" si="72"/>
        <v>17877796</v>
      </c>
      <c r="W183" s="33">
        <f t="shared" si="73"/>
        <v>0</v>
      </c>
      <c r="X183" s="33">
        <v>0</v>
      </c>
      <c r="Y183" s="113">
        <f t="shared" si="74"/>
        <v>17877796</v>
      </c>
      <c r="Z183" s="155">
        <f t="shared" si="75"/>
        <v>24.263580940604026</v>
      </c>
      <c r="AA183" s="33">
        <f t="shared" si="76"/>
        <v>75137283</v>
      </c>
      <c r="AB183" s="114">
        <f t="shared" si="77"/>
        <v>101.97563210406757</v>
      </c>
      <c r="AC183" s="28">
        <f t="shared" si="78"/>
        <v>1793347.2048799992</v>
      </c>
      <c r="AD183" s="28">
        <f t="shared" si="79"/>
        <v>470496</v>
      </c>
      <c r="AE183" s="28">
        <f t="shared" si="80"/>
        <v>4983515.0294430014</v>
      </c>
      <c r="AF183" s="115">
        <f t="shared" si="81"/>
        <v>6.7635809406040259</v>
      </c>
      <c r="AG183" s="28">
        <f t="shared" si="82"/>
        <v>16286.83</v>
      </c>
      <c r="AI183" s="28">
        <f t="shared" si="83"/>
        <v>0</v>
      </c>
      <c r="AJ183" s="28"/>
      <c r="AK183" s="28">
        <f t="shared" si="84"/>
        <v>104</v>
      </c>
      <c r="AL183" s="156"/>
      <c r="AM183" s="6">
        <f t="shared" si="85"/>
        <v>176</v>
      </c>
      <c r="AN183" s="6" t="str">
        <f t="shared" si="86"/>
        <v xml:space="preserve">Medford                      </v>
      </c>
      <c r="AO183" s="6">
        <f t="shared" si="87"/>
        <v>1</v>
      </c>
      <c r="AP183" s="9">
        <f t="shared" si="92"/>
        <v>4524</v>
      </c>
      <c r="AQ183" s="9">
        <f t="shared" si="88"/>
        <v>73681605.546039999</v>
      </c>
      <c r="AR183" s="33">
        <f t="shared" si="89"/>
        <v>57259487</v>
      </c>
      <c r="AS183" s="33">
        <f t="shared" si="90"/>
        <v>17877796</v>
      </c>
      <c r="AU183" s="28"/>
      <c r="AV183" s="9"/>
      <c r="AW183" s="519"/>
    </row>
    <row r="184" spans="1:49">
      <c r="A184" s="6">
        <v>177</v>
      </c>
      <c r="B184" s="6" t="s">
        <v>1295</v>
      </c>
      <c r="C184" s="7">
        <v>1</v>
      </c>
      <c r="D184" s="9">
        <v>26890897.844290003</v>
      </c>
      <c r="E184" s="9">
        <v>19298650</v>
      </c>
      <c r="F184" s="9">
        <v>10818549</v>
      </c>
      <c r="G184" s="348"/>
      <c r="H184" s="111">
        <f t="shared" si="91"/>
        <v>10818549</v>
      </c>
      <c r="I184" s="9">
        <f t="shared" si="62"/>
        <v>28282405.937880002</v>
      </c>
      <c r="J184" s="33">
        <f t="shared" si="63"/>
        <v>20376839</v>
      </c>
      <c r="K184" s="9">
        <f t="shared" si="64"/>
        <v>7905567</v>
      </c>
      <c r="L184" s="112">
        <f t="shared" si="65"/>
        <v>0</v>
      </c>
      <c r="M184" s="458">
        <f>ROUND(100-'Townwide Contributions'!L183,2)</f>
        <v>22.37</v>
      </c>
      <c r="N184" s="9">
        <v>2120</v>
      </c>
      <c r="O184" s="9">
        <f t="shared" si="66"/>
        <v>2157</v>
      </c>
      <c r="P184" s="9">
        <f t="shared" si="67"/>
        <v>0</v>
      </c>
      <c r="Q184" s="28">
        <f t="shared" si="68"/>
        <v>224328</v>
      </c>
      <c r="R184" s="382">
        <f t="shared" si="69"/>
        <v>224328</v>
      </c>
      <c r="S184" s="28">
        <v>10818549</v>
      </c>
      <c r="T184" s="33">
        <f t="shared" si="70"/>
        <v>10883259</v>
      </c>
      <c r="U184" s="9">
        <f t="shared" si="71"/>
        <v>0</v>
      </c>
      <c r="V184" s="33">
        <f t="shared" si="72"/>
        <v>11042877</v>
      </c>
      <c r="W184" s="33">
        <f t="shared" si="73"/>
        <v>0</v>
      </c>
      <c r="X184" s="33">
        <v>0</v>
      </c>
      <c r="Y184" s="113">
        <f t="shared" si="74"/>
        <v>11042877</v>
      </c>
      <c r="Z184" s="155">
        <f t="shared" si="75"/>
        <v>39.045041020395431</v>
      </c>
      <c r="AA184" s="33">
        <f t="shared" si="76"/>
        <v>31419716</v>
      </c>
      <c r="AB184" s="114">
        <f t="shared" si="77"/>
        <v>111.0927976531093</v>
      </c>
      <c r="AC184" s="28">
        <f t="shared" si="78"/>
        <v>1391508.0935899988</v>
      </c>
      <c r="AD184" s="28">
        <f t="shared" si="79"/>
        <v>224328</v>
      </c>
      <c r="AE184" s="28">
        <f t="shared" si="80"/>
        <v>4716102.791696243</v>
      </c>
      <c r="AF184" s="115">
        <f t="shared" si="81"/>
        <v>16.67504102039543</v>
      </c>
      <c r="AG184" s="28">
        <f t="shared" si="82"/>
        <v>13111.92</v>
      </c>
      <c r="AI184" s="28">
        <f t="shared" si="83"/>
        <v>0</v>
      </c>
      <c r="AJ184" s="28"/>
      <c r="AK184" s="28">
        <f t="shared" si="84"/>
        <v>104</v>
      </c>
      <c r="AL184" s="156"/>
      <c r="AM184" s="6">
        <f t="shared" si="85"/>
        <v>177</v>
      </c>
      <c r="AN184" s="6" t="str">
        <f t="shared" si="86"/>
        <v xml:space="preserve">Medway                       </v>
      </c>
      <c r="AO184" s="6">
        <f t="shared" si="87"/>
        <v>1</v>
      </c>
      <c r="AP184" s="9">
        <f t="shared" si="92"/>
        <v>2157</v>
      </c>
      <c r="AQ184" s="9">
        <f t="shared" si="88"/>
        <v>28282405.937880002</v>
      </c>
      <c r="AR184" s="33">
        <f t="shared" si="89"/>
        <v>20376839</v>
      </c>
      <c r="AS184" s="33">
        <f t="shared" si="90"/>
        <v>11042877</v>
      </c>
      <c r="AU184" s="28"/>
      <c r="AV184" s="9"/>
      <c r="AW184" s="519"/>
    </row>
    <row r="185" spans="1:49">
      <c r="A185" s="6">
        <v>178</v>
      </c>
      <c r="B185" s="6" t="s">
        <v>1296</v>
      </c>
      <c r="C185" s="7">
        <v>1</v>
      </c>
      <c r="D185" s="9">
        <v>51330398.765020005</v>
      </c>
      <c r="E185" s="9">
        <v>39070041</v>
      </c>
      <c r="F185" s="9">
        <v>12260358</v>
      </c>
      <c r="G185" s="348"/>
      <c r="H185" s="111">
        <f t="shared" si="91"/>
        <v>12260358</v>
      </c>
      <c r="I185" s="9">
        <f t="shared" si="62"/>
        <v>53488054.658699989</v>
      </c>
      <c r="J185" s="33">
        <f t="shared" si="63"/>
        <v>41053058</v>
      </c>
      <c r="K185" s="9">
        <f t="shared" si="64"/>
        <v>12434997</v>
      </c>
      <c r="L185" s="112">
        <f t="shared" si="65"/>
        <v>174639</v>
      </c>
      <c r="M185" s="458">
        <f>ROUND(100-'Townwide Contributions'!L184,2)</f>
        <v>17.5</v>
      </c>
      <c r="N185" s="9">
        <v>4062</v>
      </c>
      <c r="O185" s="9">
        <f t="shared" si="66"/>
        <v>4112</v>
      </c>
      <c r="P185" s="9">
        <f t="shared" si="67"/>
        <v>1</v>
      </c>
      <c r="Q185" s="28">
        <f t="shared" si="68"/>
        <v>427648</v>
      </c>
      <c r="R185" s="382">
        <f t="shared" si="69"/>
        <v>253009</v>
      </c>
      <c r="S185" s="28">
        <v>12260358</v>
      </c>
      <c r="T185" s="33">
        <f t="shared" si="70"/>
        <v>12383718</v>
      </c>
      <c r="U185" s="9">
        <f t="shared" si="71"/>
        <v>0</v>
      </c>
      <c r="V185" s="33">
        <f t="shared" si="72"/>
        <v>12688006</v>
      </c>
      <c r="W185" s="33">
        <f t="shared" si="73"/>
        <v>0</v>
      </c>
      <c r="X185" s="33">
        <v>0</v>
      </c>
      <c r="Y185" s="113">
        <f t="shared" si="74"/>
        <v>12688006</v>
      </c>
      <c r="Z185" s="155">
        <f t="shared" si="75"/>
        <v>23.721195472447899</v>
      </c>
      <c r="AA185" s="33">
        <f t="shared" si="76"/>
        <v>53741064</v>
      </c>
      <c r="AB185" s="114">
        <f t="shared" si="77"/>
        <v>100.4730202713754</v>
      </c>
      <c r="AC185" s="28">
        <f t="shared" si="78"/>
        <v>2157655.8936799839</v>
      </c>
      <c r="AD185" s="28">
        <f t="shared" si="79"/>
        <v>427648</v>
      </c>
      <c r="AE185" s="28">
        <f t="shared" si="80"/>
        <v>3327596.434727503</v>
      </c>
      <c r="AF185" s="115">
        <f t="shared" si="81"/>
        <v>6.2211954724478993</v>
      </c>
      <c r="AG185" s="28">
        <f t="shared" si="82"/>
        <v>13007.8</v>
      </c>
      <c r="AI185" s="28">
        <f t="shared" si="83"/>
        <v>0</v>
      </c>
      <c r="AJ185" s="28"/>
      <c r="AK185" s="28">
        <f t="shared" si="84"/>
        <v>104</v>
      </c>
      <c r="AL185" s="156"/>
      <c r="AM185" s="6">
        <f t="shared" si="85"/>
        <v>178</v>
      </c>
      <c r="AN185" s="6" t="str">
        <f t="shared" si="86"/>
        <v xml:space="preserve">Melrose                      </v>
      </c>
      <c r="AO185" s="6">
        <f t="shared" si="87"/>
        <v>1</v>
      </c>
      <c r="AP185" s="9">
        <f t="shared" si="92"/>
        <v>4112</v>
      </c>
      <c r="AQ185" s="9">
        <f t="shared" si="88"/>
        <v>53488054.658699989</v>
      </c>
      <c r="AR185" s="33">
        <f t="shared" si="89"/>
        <v>41053058</v>
      </c>
      <c r="AS185" s="33">
        <f t="shared" si="90"/>
        <v>12688006</v>
      </c>
      <c r="AU185" s="28"/>
      <c r="AV185" s="9"/>
      <c r="AW185" s="519"/>
    </row>
    <row r="186" spans="1:49">
      <c r="A186" s="6">
        <v>179</v>
      </c>
      <c r="B186" s="6" t="s">
        <v>1297</v>
      </c>
      <c r="C186" s="7">
        <v>0</v>
      </c>
      <c r="D186" s="9">
        <v>164907.6</v>
      </c>
      <c r="E186" s="9">
        <v>126856</v>
      </c>
      <c r="F186" s="9">
        <v>38052</v>
      </c>
      <c r="G186" s="348"/>
      <c r="H186" s="111">
        <f t="shared" si="91"/>
        <v>38052</v>
      </c>
      <c r="I186" s="9">
        <f t="shared" si="62"/>
        <v>168603.30000000002</v>
      </c>
      <c r="J186" s="33">
        <f t="shared" si="63"/>
        <v>135517</v>
      </c>
      <c r="K186" s="9">
        <f t="shared" si="64"/>
        <v>33086</v>
      </c>
      <c r="L186" s="112">
        <f t="shared" si="65"/>
        <v>0</v>
      </c>
      <c r="M186" s="458">
        <f>ROUND(100-'Townwide Contributions'!L185,2)</f>
        <v>17.5</v>
      </c>
      <c r="N186" s="9">
        <v>10</v>
      </c>
      <c r="O186" s="9">
        <f t="shared" si="66"/>
        <v>10</v>
      </c>
      <c r="P186" s="9">
        <f t="shared" si="67"/>
        <v>0</v>
      </c>
      <c r="Q186" s="28">
        <f t="shared" si="68"/>
        <v>0</v>
      </c>
      <c r="R186" s="382">
        <f t="shared" si="69"/>
        <v>0</v>
      </c>
      <c r="S186" s="28">
        <v>38052</v>
      </c>
      <c r="T186" s="33">
        <f t="shared" si="70"/>
        <v>38352</v>
      </c>
      <c r="U186" s="9">
        <f t="shared" si="71"/>
        <v>0</v>
      </c>
      <c r="V186" s="33">
        <f t="shared" si="72"/>
        <v>38052</v>
      </c>
      <c r="W186" s="33">
        <f t="shared" si="73"/>
        <v>0</v>
      </c>
      <c r="X186" s="33">
        <v>0</v>
      </c>
      <c r="Y186" s="113">
        <f t="shared" si="74"/>
        <v>38052</v>
      </c>
      <c r="Z186" s="155">
        <f t="shared" si="75"/>
        <v>0</v>
      </c>
      <c r="AA186" s="33">
        <f t="shared" si="76"/>
        <v>173569</v>
      </c>
      <c r="AB186" s="114">
        <f t="shared" si="77"/>
        <v>102.94519739530601</v>
      </c>
      <c r="AC186" s="28">
        <f t="shared" si="78"/>
        <v>3695.7000000000116</v>
      </c>
      <c r="AD186" s="28">
        <f t="shared" si="79"/>
        <v>0</v>
      </c>
      <c r="AE186" s="28">
        <f t="shared" si="80"/>
        <v>8546.4225000000006</v>
      </c>
      <c r="AF186" s="115" t="str">
        <f t="shared" si="81"/>
        <v/>
      </c>
      <c r="AG186" s="28">
        <f t="shared" si="82"/>
        <v>16860.330000000002</v>
      </c>
      <c r="AI186" s="28">
        <f t="shared" si="83"/>
        <v>0</v>
      </c>
      <c r="AJ186" s="28"/>
      <c r="AK186" s="28">
        <f t="shared" si="84"/>
        <v>0</v>
      </c>
      <c r="AL186" s="156"/>
      <c r="AM186" s="6">
        <f t="shared" si="85"/>
        <v>179</v>
      </c>
      <c r="AN186" s="6" t="str">
        <f t="shared" si="86"/>
        <v xml:space="preserve">Mendon                       </v>
      </c>
      <c r="AO186" s="6">
        <f t="shared" si="87"/>
        <v>0</v>
      </c>
      <c r="AP186" s="9">
        <f t="shared" si="92"/>
        <v>10</v>
      </c>
      <c r="AQ186" s="9">
        <f t="shared" si="88"/>
        <v>168603.30000000002</v>
      </c>
      <c r="AR186" s="33">
        <f t="shared" si="89"/>
        <v>135517</v>
      </c>
      <c r="AS186" s="33">
        <f t="shared" si="90"/>
        <v>38052</v>
      </c>
      <c r="AU186" s="28"/>
      <c r="AV186" s="9"/>
      <c r="AW186" s="519"/>
    </row>
    <row r="187" spans="1:49">
      <c r="A187" s="6">
        <v>180</v>
      </c>
      <c r="B187" s="6" t="s">
        <v>1298</v>
      </c>
      <c r="C187" s="7">
        <v>0</v>
      </c>
      <c r="D187" s="9">
        <v>164907.6</v>
      </c>
      <c r="E187" s="9">
        <v>115885</v>
      </c>
      <c r="F187" s="9">
        <v>56805</v>
      </c>
      <c r="G187" s="348"/>
      <c r="H187" s="111">
        <f t="shared" si="91"/>
        <v>56805</v>
      </c>
      <c r="I187" s="9">
        <f t="shared" si="62"/>
        <v>134882.64000000001</v>
      </c>
      <c r="J187" s="33">
        <f t="shared" si="63"/>
        <v>97208</v>
      </c>
      <c r="K187" s="9">
        <f t="shared" si="64"/>
        <v>37675</v>
      </c>
      <c r="L187" s="112">
        <f t="shared" si="65"/>
        <v>0</v>
      </c>
      <c r="M187" s="458">
        <f>ROUND(100-'Townwide Contributions'!L186,2)</f>
        <v>22.99</v>
      </c>
      <c r="N187" s="9">
        <v>10</v>
      </c>
      <c r="O187" s="9">
        <f t="shared" si="66"/>
        <v>8</v>
      </c>
      <c r="P187" s="9">
        <f t="shared" si="67"/>
        <v>0</v>
      </c>
      <c r="Q187" s="28">
        <f t="shared" si="68"/>
        <v>0</v>
      </c>
      <c r="R187" s="382">
        <f t="shared" si="69"/>
        <v>0</v>
      </c>
      <c r="S187" s="28">
        <v>56805</v>
      </c>
      <c r="T187" s="33">
        <f t="shared" si="70"/>
        <v>57045</v>
      </c>
      <c r="U187" s="9">
        <f t="shared" si="71"/>
        <v>0</v>
      </c>
      <c r="V187" s="33">
        <f t="shared" si="72"/>
        <v>56805</v>
      </c>
      <c r="W187" s="33">
        <f t="shared" si="73"/>
        <v>0</v>
      </c>
      <c r="X187" s="33">
        <v>0</v>
      </c>
      <c r="Y187" s="113">
        <f t="shared" si="74"/>
        <v>56805</v>
      </c>
      <c r="Z187" s="155">
        <f t="shared" si="75"/>
        <v>0</v>
      </c>
      <c r="AA187" s="33">
        <f t="shared" si="76"/>
        <v>154013</v>
      </c>
      <c r="AB187" s="114">
        <f t="shared" si="77"/>
        <v>114.1829667628095</v>
      </c>
      <c r="AC187" s="28">
        <f t="shared" si="78"/>
        <v>-30024.959999999992</v>
      </c>
      <c r="AD187" s="28">
        <f t="shared" si="79"/>
        <v>0</v>
      </c>
      <c r="AE187" s="28">
        <f t="shared" si="80"/>
        <v>25795.481063999996</v>
      </c>
      <c r="AF187" s="115" t="str">
        <f t="shared" si="81"/>
        <v/>
      </c>
      <c r="AG187" s="28">
        <f t="shared" si="82"/>
        <v>16860.330000000002</v>
      </c>
      <c r="AI187" s="28">
        <f t="shared" si="83"/>
        <v>0</v>
      </c>
      <c r="AJ187" s="28"/>
      <c r="AK187" s="28">
        <f t="shared" si="84"/>
        <v>0</v>
      </c>
      <c r="AL187" s="156"/>
      <c r="AM187" s="6">
        <f t="shared" si="85"/>
        <v>180</v>
      </c>
      <c r="AN187" s="6" t="str">
        <f t="shared" si="86"/>
        <v xml:space="preserve">Merrimac                     </v>
      </c>
      <c r="AO187" s="6">
        <f t="shared" si="87"/>
        <v>0</v>
      </c>
      <c r="AP187" s="9">
        <f t="shared" si="92"/>
        <v>8</v>
      </c>
      <c r="AQ187" s="9">
        <f t="shared" si="88"/>
        <v>134882.64000000001</v>
      </c>
      <c r="AR187" s="33">
        <f t="shared" si="89"/>
        <v>97208</v>
      </c>
      <c r="AS187" s="33">
        <f t="shared" si="90"/>
        <v>56805</v>
      </c>
      <c r="AU187" s="28"/>
      <c r="AV187" s="9"/>
      <c r="AW187" s="519"/>
    </row>
    <row r="188" spans="1:49">
      <c r="A188" s="6">
        <v>181</v>
      </c>
      <c r="B188" s="6" t="s">
        <v>1299</v>
      </c>
      <c r="C188" s="7">
        <v>1</v>
      </c>
      <c r="D188" s="9">
        <v>109298849.82999998</v>
      </c>
      <c r="E188" s="9">
        <v>44617436</v>
      </c>
      <c r="F188" s="9">
        <v>64681414</v>
      </c>
      <c r="G188" s="348"/>
      <c r="H188" s="111">
        <f t="shared" si="91"/>
        <v>64681414</v>
      </c>
      <c r="I188" s="9">
        <f t="shared" si="62"/>
        <v>115622808.23</v>
      </c>
      <c r="J188" s="33">
        <f t="shared" si="63"/>
        <v>47005987</v>
      </c>
      <c r="K188" s="9">
        <f t="shared" si="64"/>
        <v>68616821</v>
      </c>
      <c r="L188" s="112">
        <f t="shared" si="65"/>
        <v>3935407</v>
      </c>
      <c r="M188" s="458">
        <f>ROUND(100-'Townwide Contributions'!L187,2)</f>
        <v>54.57</v>
      </c>
      <c r="N188" s="9">
        <v>6775</v>
      </c>
      <c r="O188" s="9">
        <f t="shared" si="66"/>
        <v>6860</v>
      </c>
      <c r="P188" s="9">
        <f t="shared" si="67"/>
        <v>1</v>
      </c>
      <c r="Q188" s="28">
        <f t="shared" si="68"/>
        <v>713440</v>
      </c>
      <c r="R188" s="382">
        <f t="shared" si="69"/>
        <v>0</v>
      </c>
      <c r="S188" s="28">
        <v>64681414</v>
      </c>
      <c r="T188" s="33">
        <f t="shared" si="70"/>
        <v>64887214</v>
      </c>
      <c r="U188" s="9">
        <f t="shared" si="71"/>
        <v>0</v>
      </c>
      <c r="V188" s="33">
        <f t="shared" si="72"/>
        <v>68616821</v>
      </c>
      <c r="W188" s="33">
        <f t="shared" si="73"/>
        <v>0</v>
      </c>
      <c r="X188" s="33">
        <v>0</v>
      </c>
      <c r="Y188" s="113">
        <f t="shared" si="74"/>
        <v>68616821</v>
      </c>
      <c r="Z188" s="155">
        <f t="shared" si="75"/>
        <v>59.34540256409062</v>
      </c>
      <c r="AA188" s="33">
        <f t="shared" si="76"/>
        <v>115622808</v>
      </c>
      <c r="AB188" s="114">
        <f t="shared" si="77"/>
        <v>99.999999801077308</v>
      </c>
      <c r="AC188" s="28">
        <f t="shared" si="78"/>
        <v>6323958.4000000209</v>
      </c>
      <c r="AD188" s="28">
        <f t="shared" si="79"/>
        <v>3935407</v>
      </c>
      <c r="AE188" s="28">
        <f t="shared" si="80"/>
        <v>5521454.5488890037</v>
      </c>
      <c r="AF188" s="115">
        <f t="shared" si="81"/>
        <v>4.7754025640906193</v>
      </c>
      <c r="AG188" s="28">
        <f t="shared" si="82"/>
        <v>16854.64</v>
      </c>
      <c r="AI188" s="28">
        <f t="shared" si="83"/>
        <v>0</v>
      </c>
      <c r="AJ188" s="28"/>
      <c r="AK188" s="28">
        <f t="shared" si="84"/>
        <v>573.67448979591836</v>
      </c>
      <c r="AL188" s="156"/>
      <c r="AM188" s="6">
        <f t="shared" si="85"/>
        <v>181</v>
      </c>
      <c r="AN188" s="6" t="str">
        <f t="shared" si="86"/>
        <v xml:space="preserve">Methuen                      </v>
      </c>
      <c r="AO188" s="6">
        <f t="shared" si="87"/>
        <v>1</v>
      </c>
      <c r="AP188" s="9">
        <f t="shared" si="92"/>
        <v>6860</v>
      </c>
      <c r="AQ188" s="9">
        <f t="shared" si="88"/>
        <v>115622808.23</v>
      </c>
      <c r="AR188" s="33">
        <f t="shared" si="89"/>
        <v>47005987</v>
      </c>
      <c r="AS188" s="33">
        <f t="shared" si="90"/>
        <v>68616821</v>
      </c>
      <c r="AU188" s="28"/>
      <c r="AV188" s="9"/>
      <c r="AW188" s="519"/>
    </row>
    <row r="189" spans="1:49">
      <c r="A189" s="6">
        <v>182</v>
      </c>
      <c r="B189" s="6" t="s">
        <v>1300</v>
      </c>
      <c r="C189" s="7">
        <v>1</v>
      </c>
      <c r="D189" s="9">
        <v>44333813.130000003</v>
      </c>
      <c r="E189" s="9">
        <v>22002952</v>
      </c>
      <c r="F189" s="9">
        <v>22330861</v>
      </c>
      <c r="G189" s="348"/>
      <c r="H189" s="111">
        <f t="shared" si="91"/>
        <v>22330861</v>
      </c>
      <c r="I189" s="9">
        <f t="shared" si="62"/>
        <v>45255834.980000012</v>
      </c>
      <c r="J189" s="33">
        <f t="shared" si="63"/>
        <v>23019131</v>
      </c>
      <c r="K189" s="9">
        <f t="shared" si="64"/>
        <v>22236704</v>
      </c>
      <c r="L189" s="112">
        <f t="shared" si="65"/>
        <v>0</v>
      </c>
      <c r="M189" s="458">
        <f>ROUND(100-'Townwide Contributions'!L188,2)</f>
        <v>44.76</v>
      </c>
      <c r="N189" s="9">
        <v>3137</v>
      </c>
      <c r="O189" s="9">
        <f t="shared" si="66"/>
        <v>3086</v>
      </c>
      <c r="P189" s="9">
        <f t="shared" si="67"/>
        <v>0</v>
      </c>
      <c r="Q189" s="28">
        <f t="shared" si="68"/>
        <v>320944</v>
      </c>
      <c r="R189" s="382">
        <f t="shared" si="69"/>
        <v>320944</v>
      </c>
      <c r="S189" s="28">
        <v>22330861</v>
      </c>
      <c r="T189" s="33">
        <f t="shared" si="70"/>
        <v>22423441</v>
      </c>
      <c r="U189" s="9">
        <f t="shared" si="71"/>
        <v>0</v>
      </c>
      <c r="V189" s="33">
        <f t="shared" si="72"/>
        <v>22651805</v>
      </c>
      <c r="W189" s="33">
        <f t="shared" si="73"/>
        <v>0</v>
      </c>
      <c r="X189" s="33">
        <v>0</v>
      </c>
      <c r="Y189" s="113">
        <f t="shared" si="74"/>
        <v>22651805</v>
      </c>
      <c r="Z189" s="155">
        <f t="shared" si="75"/>
        <v>50.052783270954016</v>
      </c>
      <c r="AA189" s="33">
        <f t="shared" si="76"/>
        <v>45670936</v>
      </c>
      <c r="AB189" s="114">
        <f t="shared" si="77"/>
        <v>100.91723204352198</v>
      </c>
      <c r="AC189" s="28">
        <f t="shared" si="78"/>
        <v>922021.85000000894</v>
      </c>
      <c r="AD189" s="28">
        <f t="shared" si="79"/>
        <v>320944</v>
      </c>
      <c r="AE189" s="28">
        <f t="shared" si="80"/>
        <v>2395293.2629519962</v>
      </c>
      <c r="AF189" s="115">
        <f t="shared" si="81"/>
        <v>5.2927832709540183</v>
      </c>
      <c r="AG189" s="28">
        <f t="shared" si="82"/>
        <v>14664.88</v>
      </c>
      <c r="AI189" s="28">
        <f t="shared" si="83"/>
        <v>0</v>
      </c>
      <c r="AJ189" s="28"/>
      <c r="AK189" s="28">
        <f t="shared" si="84"/>
        <v>104</v>
      </c>
      <c r="AL189" s="156"/>
      <c r="AM189" s="6">
        <f t="shared" si="85"/>
        <v>182</v>
      </c>
      <c r="AN189" s="6" t="str">
        <f t="shared" si="86"/>
        <v xml:space="preserve">Middleborough                </v>
      </c>
      <c r="AO189" s="6">
        <f t="shared" si="87"/>
        <v>1</v>
      </c>
      <c r="AP189" s="9">
        <f t="shared" si="92"/>
        <v>3086</v>
      </c>
      <c r="AQ189" s="9">
        <f t="shared" si="88"/>
        <v>45255834.980000012</v>
      </c>
      <c r="AR189" s="33">
        <f t="shared" si="89"/>
        <v>23019131</v>
      </c>
      <c r="AS189" s="33">
        <f t="shared" si="90"/>
        <v>22651805</v>
      </c>
      <c r="AU189" s="28"/>
      <c r="AV189" s="9"/>
      <c r="AW189" s="519"/>
    </row>
    <row r="190" spans="1:49">
      <c r="A190" s="6">
        <v>183</v>
      </c>
      <c r="B190" s="6" t="s">
        <v>1301</v>
      </c>
      <c r="C190" s="7">
        <v>0</v>
      </c>
      <c r="D190" s="9">
        <v>49472.28</v>
      </c>
      <c r="E190" s="9">
        <v>40815</v>
      </c>
      <c r="F190" s="9">
        <v>13290</v>
      </c>
      <c r="G190" s="348"/>
      <c r="H190" s="111">
        <f t="shared" si="91"/>
        <v>13290</v>
      </c>
      <c r="I190" s="9">
        <f t="shared" si="62"/>
        <v>33720.660000000003</v>
      </c>
      <c r="J190" s="33">
        <f t="shared" si="63"/>
        <v>22929</v>
      </c>
      <c r="K190" s="9">
        <f t="shared" si="64"/>
        <v>10792</v>
      </c>
      <c r="L190" s="112">
        <f t="shared" si="65"/>
        <v>0</v>
      </c>
      <c r="M190" s="458">
        <f>ROUND(100-'Townwide Contributions'!L189,2)</f>
        <v>17.5</v>
      </c>
      <c r="N190" s="9">
        <v>3</v>
      </c>
      <c r="O190" s="9">
        <f t="shared" si="66"/>
        <v>2</v>
      </c>
      <c r="P190" s="9">
        <f t="shared" si="67"/>
        <v>0</v>
      </c>
      <c r="Q190" s="28">
        <f t="shared" si="68"/>
        <v>0</v>
      </c>
      <c r="R190" s="382">
        <f t="shared" si="69"/>
        <v>0</v>
      </c>
      <c r="S190" s="28">
        <v>13290</v>
      </c>
      <c r="T190" s="33">
        <f t="shared" si="70"/>
        <v>13350</v>
      </c>
      <c r="U190" s="9">
        <f t="shared" si="71"/>
        <v>0</v>
      </c>
      <c r="V190" s="33">
        <f t="shared" si="72"/>
        <v>13290</v>
      </c>
      <c r="W190" s="33">
        <f t="shared" si="73"/>
        <v>0</v>
      </c>
      <c r="X190" s="33">
        <v>0</v>
      </c>
      <c r="Y190" s="113">
        <f t="shared" si="74"/>
        <v>13290</v>
      </c>
      <c r="Z190" s="155">
        <f t="shared" si="75"/>
        <v>0</v>
      </c>
      <c r="AA190" s="33">
        <f t="shared" si="76"/>
        <v>36219</v>
      </c>
      <c r="AB190" s="114">
        <f t="shared" si="77"/>
        <v>107.40892971845746</v>
      </c>
      <c r="AC190" s="28">
        <f t="shared" si="78"/>
        <v>-15751.619999999995</v>
      </c>
      <c r="AD190" s="28">
        <f t="shared" si="79"/>
        <v>0</v>
      </c>
      <c r="AE190" s="28">
        <f t="shared" si="80"/>
        <v>7388.8845000000001</v>
      </c>
      <c r="AF190" s="115" t="str">
        <f t="shared" si="81"/>
        <v/>
      </c>
      <c r="AG190" s="28">
        <f t="shared" si="82"/>
        <v>16860.330000000002</v>
      </c>
      <c r="AI190" s="28">
        <f t="shared" si="83"/>
        <v>0</v>
      </c>
      <c r="AJ190" s="28"/>
      <c r="AK190" s="28">
        <f t="shared" si="84"/>
        <v>0</v>
      </c>
      <c r="AL190" s="156"/>
      <c r="AM190" s="6">
        <f t="shared" si="85"/>
        <v>183</v>
      </c>
      <c r="AN190" s="6" t="str">
        <f t="shared" si="86"/>
        <v xml:space="preserve">Middlefield                  </v>
      </c>
      <c r="AO190" s="6">
        <f t="shared" si="87"/>
        <v>0</v>
      </c>
      <c r="AP190" s="9">
        <f t="shared" si="92"/>
        <v>2</v>
      </c>
      <c r="AQ190" s="9">
        <f t="shared" si="88"/>
        <v>33720.660000000003</v>
      </c>
      <c r="AR190" s="33">
        <f t="shared" si="89"/>
        <v>22929</v>
      </c>
      <c r="AS190" s="33">
        <f t="shared" si="90"/>
        <v>13290</v>
      </c>
      <c r="AU190" s="28"/>
      <c r="AV190" s="9"/>
      <c r="AW190" s="519"/>
    </row>
    <row r="191" spans="1:49">
      <c r="A191" s="6">
        <v>184</v>
      </c>
      <c r="B191" s="6" t="s">
        <v>1302</v>
      </c>
      <c r="C191" s="7">
        <v>1</v>
      </c>
      <c r="D191" s="9">
        <v>8542770.1967999991</v>
      </c>
      <c r="E191" s="9">
        <v>6914393</v>
      </c>
      <c r="F191" s="9">
        <v>1769171</v>
      </c>
      <c r="G191" s="348"/>
      <c r="H191" s="111">
        <f t="shared" si="91"/>
        <v>1769171</v>
      </c>
      <c r="I191" s="9">
        <f t="shared" si="62"/>
        <v>8701795.6002499983</v>
      </c>
      <c r="J191" s="33">
        <f t="shared" si="63"/>
        <v>7178981</v>
      </c>
      <c r="K191" s="9">
        <f t="shared" si="64"/>
        <v>1522815</v>
      </c>
      <c r="L191" s="112">
        <f t="shared" si="65"/>
        <v>0</v>
      </c>
      <c r="M191" s="458">
        <f>ROUND(100-'Townwide Contributions'!L190,2)</f>
        <v>17.5</v>
      </c>
      <c r="N191" s="9">
        <v>703</v>
      </c>
      <c r="O191" s="9">
        <f t="shared" si="66"/>
        <v>702</v>
      </c>
      <c r="P191" s="9">
        <f t="shared" si="67"/>
        <v>0</v>
      </c>
      <c r="Q191" s="28">
        <f t="shared" si="68"/>
        <v>73008</v>
      </c>
      <c r="R191" s="382">
        <f t="shared" si="69"/>
        <v>73008</v>
      </c>
      <c r="S191" s="28">
        <v>1769171</v>
      </c>
      <c r="T191" s="33">
        <f t="shared" si="70"/>
        <v>1790231</v>
      </c>
      <c r="U191" s="9">
        <f t="shared" si="71"/>
        <v>0</v>
      </c>
      <c r="V191" s="33">
        <f t="shared" si="72"/>
        <v>1842179</v>
      </c>
      <c r="W191" s="33">
        <f t="shared" si="73"/>
        <v>0</v>
      </c>
      <c r="X191" s="33">
        <v>0</v>
      </c>
      <c r="Y191" s="113">
        <f t="shared" si="74"/>
        <v>1842179</v>
      </c>
      <c r="Z191" s="155">
        <f t="shared" si="75"/>
        <v>21.170101949384733</v>
      </c>
      <c r="AA191" s="33">
        <f t="shared" si="76"/>
        <v>9021160</v>
      </c>
      <c r="AB191" s="114">
        <f t="shared" si="77"/>
        <v>103.67009769501855</v>
      </c>
      <c r="AC191" s="28">
        <f t="shared" si="78"/>
        <v>159025.40344999917</v>
      </c>
      <c r="AD191" s="28">
        <f t="shared" si="79"/>
        <v>73008</v>
      </c>
      <c r="AE191" s="28">
        <f t="shared" si="80"/>
        <v>319364.76995625044</v>
      </c>
      <c r="AF191" s="115">
        <f t="shared" si="81"/>
        <v>3.6701019493847333</v>
      </c>
      <c r="AG191" s="28">
        <f t="shared" si="82"/>
        <v>12395.72</v>
      </c>
      <c r="AI191" s="28">
        <f t="shared" si="83"/>
        <v>0</v>
      </c>
      <c r="AJ191" s="28"/>
      <c r="AK191" s="28">
        <f t="shared" si="84"/>
        <v>104</v>
      </c>
      <c r="AL191" s="156"/>
      <c r="AM191" s="6">
        <f t="shared" si="85"/>
        <v>184</v>
      </c>
      <c r="AN191" s="6" t="str">
        <f t="shared" si="86"/>
        <v xml:space="preserve">Middleton                    </v>
      </c>
      <c r="AO191" s="6">
        <f t="shared" si="87"/>
        <v>1</v>
      </c>
      <c r="AP191" s="9">
        <f t="shared" si="92"/>
        <v>702</v>
      </c>
      <c r="AQ191" s="9">
        <f t="shared" si="88"/>
        <v>8701795.6002499983</v>
      </c>
      <c r="AR191" s="33">
        <f t="shared" si="89"/>
        <v>7178981</v>
      </c>
      <c r="AS191" s="33">
        <f t="shared" si="90"/>
        <v>1842179</v>
      </c>
      <c r="AU191" s="28"/>
      <c r="AV191" s="9"/>
      <c r="AW191" s="519"/>
    </row>
    <row r="192" spans="1:49">
      <c r="A192" s="6">
        <v>185</v>
      </c>
      <c r="B192" s="6" t="s">
        <v>1303</v>
      </c>
      <c r="C192" s="7">
        <v>1</v>
      </c>
      <c r="D192" s="9">
        <v>75437511.279999986</v>
      </c>
      <c r="E192" s="9">
        <v>28632172</v>
      </c>
      <c r="F192" s="9">
        <v>46805339</v>
      </c>
      <c r="G192" s="348"/>
      <c r="H192" s="111">
        <f t="shared" si="91"/>
        <v>46805339</v>
      </c>
      <c r="I192" s="9">
        <f t="shared" si="62"/>
        <v>79260184.288840011</v>
      </c>
      <c r="J192" s="33">
        <f t="shared" si="63"/>
        <v>30457781</v>
      </c>
      <c r="K192" s="9">
        <f t="shared" si="64"/>
        <v>48802403</v>
      </c>
      <c r="L192" s="112">
        <f t="shared" si="65"/>
        <v>1997064</v>
      </c>
      <c r="M192" s="458">
        <f>ROUND(100-'Townwide Contributions'!L191,2)</f>
        <v>58.1</v>
      </c>
      <c r="N192" s="9">
        <v>4704</v>
      </c>
      <c r="O192" s="9">
        <f t="shared" si="66"/>
        <v>4680</v>
      </c>
      <c r="P192" s="9">
        <f t="shared" si="67"/>
        <v>1</v>
      </c>
      <c r="Q192" s="28">
        <f t="shared" si="68"/>
        <v>486720</v>
      </c>
      <c r="R192" s="382">
        <f t="shared" si="69"/>
        <v>0</v>
      </c>
      <c r="S192" s="28">
        <v>46805339</v>
      </c>
      <c r="T192" s="33">
        <f t="shared" si="70"/>
        <v>46945739</v>
      </c>
      <c r="U192" s="9">
        <f t="shared" si="71"/>
        <v>0</v>
      </c>
      <c r="V192" s="33">
        <f t="shared" si="72"/>
        <v>48802403</v>
      </c>
      <c r="W192" s="33">
        <f t="shared" si="73"/>
        <v>0</v>
      </c>
      <c r="X192" s="33">
        <v>0</v>
      </c>
      <c r="Y192" s="113">
        <f t="shared" si="74"/>
        <v>48802403</v>
      </c>
      <c r="Z192" s="155">
        <f t="shared" si="75"/>
        <v>61.572406672881627</v>
      </c>
      <c r="AA192" s="33">
        <f t="shared" si="76"/>
        <v>79260184</v>
      </c>
      <c r="AB192" s="114">
        <f t="shared" si="77"/>
        <v>99.99999963557994</v>
      </c>
      <c r="AC192" s="28">
        <f t="shared" si="78"/>
        <v>3822673.0088400245</v>
      </c>
      <c r="AD192" s="28">
        <f t="shared" si="79"/>
        <v>1997064</v>
      </c>
      <c r="AE192" s="28">
        <f t="shared" si="80"/>
        <v>2752235.9281839579</v>
      </c>
      <c r="AF192" s="115">
        <f t="shared" si="81"/>
        <v>3.4724066728816254</v>
      </c>
      <c r="AG192" s="28">
        <f t="shared" si="82"/>
        <v>16935.939999999999</v>
      </c>
      <c r="AI192" s="28">
        <f t="shared" si="83"/>
        <v>0</v>
      </c>
      <c r="AJ192" s="28"/>
      <c r="AK192" s="28">
        <f t="shared" si="84"/>
        <v>426.72307692307692</v>
      </c>
      <c r="AL192" s="156"/>
      <c r="AM192" s="6">
        <f t="shared" si="85"/>
        <v>185</v>
      </c>
      <c r="AN192" s="6" t="str">
        <f t="shared" si="86"/>
        <v xml:space="preserve">Milford                      </v>
      </c>
      <c r="AO192" s="6">
        <f t="shared" si="87"/>
        <v>1</v>
      </c>
      <c r="AP192" s="9">
        <f t="shared" si="92"/>
        <v>4680</v>
      </c>
      <c r="AQ192" s="9">
        <f t="shared" si="88"/>
        <v>79260184.288840011</v>
      </c>
      <c r="AR192" s="33">
        <f t="shared" si="89"/>
        <v>30457781</v>
      </c>
      <c r="AS192" s="33">
        <f t="shared" si="90"/>
        <v>48802403</v>
      </c>
      <c r="AU192" s="28"/>
      <c r="AV192" s="9"/>
      <c r="AW192" s="519"/>
    </row>
    <row r="193" spans="1:49">
      <c r="A193" s="6">
        <v>186</v>
      </c>
      <c r="B193" s="6" t="s">
        <v>1304</v>
      </c>
      <c r="C193" s="7">
        <v>1</v>
      </c>
      <c r="D193" s="9">
        <v>22434599.240000002</v>
      </c>
      <c r="E193" s="9">
        <v>13581840</v>
      </c>
      <c r="F193" s="9">
        <v>8852759</v>
      </c>
      <c r="G193" s="348"/>
      <c r="H193" s="111">
        <f t="shared" si="91"/>
        <v>8852759</v>
      </c>
      <c r="I193" s="9">
        <f t="shared" si="62"/>
        <v>23341579.899999999</v>
      </c>
      <c r="J193" s="33">
        <f t="shared" si="63"/>
        <v>14332855</v>
      </c>
      <c r="K193" s="9">
        <f t="shared" si="64"/>
        <v>9008725</v>
      </c>
      <c r="L193" s="112">
        <f t="shared" si="65"/>
        <v>155966</v>
      </c>
      <c r="M193" s="458">
        <f>ROUND(100-'Townwide Contributions'!L192,2)</f>
        <v>33.17</v>
      </c>
      <c r="N193" s="9">
        <v>1638</v>
      </c>
      <c r="O193" s="9">
        <f t="shared" si="66"/>
        <v>1646</v>
      </c>
      <c r="P193" s="9">
        <f t="shared" si="67"/>
        <v>1</v>
      </c>
      <c r="Q193" s="28">
        <f t="shared" si="68"/>
        <v>171184</v>
      </c>
      <c r="R193" s="382">
        <f t="shared" si="69"/>
        <v>15218</v>
      </c>
      <c r="S193" s="28">
        <v>8852759</v>
      </c>
      <c r="T193" s="33">
        <f t="shared" si="70"/>
        <v>8902139</v>
      </c>
      <c r="U193" s="9">
        <f t="shared" si="71"/>
        <v>0</v>
      </c>
      <c r="V193" s="33">
        <f t="shared" si="72"/>
        <v>9023943</v>
      </c>
      <c r="W193" s="33">
        <f t="shared" si="73"/>
        <v>0</v>
      </c>
      <c r="X193" s="33">
        <v>0</v>
      </c>
      <c r="Y193" s="113">
        <f t="shared" si="74"/>
        <v>9023943</v>
      </c>
      <c r="Z193" s="155">
        <f t="shared" si="75"/>
        <v>38.660377912122392</v>
      </c>
      <c r="AA193" s="33">
        <f t="shared" si="76"/>
        <v>23356798</v>
      </c>
      <c r="AB193" s="114">
        <f t="shared" si="77"/>
        <v>100.06519738623177</v>
      </c>
      <c r="AC193" s="28">
        <f t="shared" si="78"/>
        <v>906980.65999999642</v>
      </c>
      <c r="AD193" s="28">
        <f t="shared" si="79"/>
        <v>171184</v>
      </c>
      <c r="AE193" s="28">
        <f t="shared" si="80"/>
        <v>1281540.9471700005</v>
      </c>
      <c r="AF193" s="115">
        <f t="shared" si="81"/>
        <v>5.4903779121223906</v>
      </c>
      <c r="AG193" s="28">
        <f t="shared" si="82"/>
        <v>14180.79</v>
      </c>
      <c r="AI193" s="28">
        <f t="shared" si="83"/>
        <v>0</v>
      </c>
      <c r="AJ193" s="28"/>
      <c r="AK193" s="28">
        <f t="shared" si="84"/>
        <v>104</v>
      </c>
      <c r="AL193" s="156"/>
      <c r="AM193" s="6">
        <f t="shared" si="85"/>
        <v>186</v>
      </c>
      <c r="AN193" s="6" t="str">
        <f t="shared" si="86"/>
        <v xml:space="preserve">Millbury                     </v>
      </c>
      <c r="AO193" s="6">
        <f t="shared" si="87"/>
        <v>1</v>
      </c>
      <c r="AP193" s="9">
        <f t="shared" si="92"/>
        <v>1646</v>
      </c>
      <c r="AQ193" s="9">
        <f t="shared" si="88"/>
        <v>23341579.899999999</v>
      </c>
      <c r="AR193" s="33">
        <f t="shared" si="89"/>
        <v>14332855</v>
      </c>
      <c r="AS193" s="33">
        <f t="shared" si="90"/>
        <v>9023943</v>
      </c>
      <c r="AU193" s="28"/>
      <c r="AV193" s="9"/>
      <c r="AW193" s="519"/>
    </row>
    <row r="194" spans="1:49">
      <c r="A194" s="6">
        <v>187</v>
      </c>
      <c r="B194" s="6" t="s">
        <v>1305</v>
      </c>
      <c r="C194" s="7">
        <v>1</v>
      </c>
      <c r="D194" s="9">
        <v>14054851.192480003</v>
      </c>
      <c r="E194" s="9">
        <v>11047181</v>
      </c>
      <c r="F194" s="9">
        <v>4992022</v>
      </c>
      <c r="G194" s="348"/>
      <c r="H194" s="111">
        <f t="shared" si="91"/>
        <v>4992022</v>
      </c>
      <c r="I194" s="9">
        <f t="shared" si="62"/>
        <v>14399304.707199998</v>
      </c>
      <c r="J194" s="33">
        <f t="shared" si="63"/>
        <v>11879426</v>
      </c>
      <c r="K194" s="9">
        <f t="shared" si="64"/>
        <v>2519879</v>
      </c>
      <c r="L194" s="112">
        <f t="shared" si="65"/>
        <v>0</v>
      </c>
      <c r="M194" s="458">
        <f>ROUND(100-'Townwide Contributions'!L193,2)</f>
        <v>17.5</v>
      </c>
      <c r="N194" s="9">
        <v>1089</v>
      </c>
      <c r="O194" s="9">
        <f t="shared" si="66"/>
        <v>1086</v>
      </c>
      <c r="P194" s="9">
        <f t="shared" si="67"/>
        <v>0</v>
      </c>
      <c r="Q194" s="28">
        <f t="shared" si="68"/>
        <v>112944</v>
      </c>
      <c r="R194" s="382">
        <f t="shared" si="69"/>
        <v>112944</v>
      </c>
      <c r="S194" s="28">
        <v>4992022</v>
      </c>
      <c r="T194" s="33">
        <f t="shared" si="70"/>
        <v>5024602</v>
      </c>
      <c r="U194" s="9">
        <f t="shared" si="71"/>
        <v>0</v>
      </c>
      <c r="V194" s="33">
        <f t="shared" si="72"/>
        <v>5104966</v>
      </c>
      <c r="W194" s="33">
        <f t="shared" si="73"/>
        <v>0</v>
      </c>
      <c r="X194" s="33">
        <v>0</v>
      </c>
      <c r="Y194" s="113">
        <f t="shared" si="74"/>
        <v>5104966</v>
      </c>
      <c r="Z194" s="155">
        <f t="shared" si="75"/>
        <v>35.452864591770144</v>
      </c>
      <c r="AA194" s="33">
        <f t="shared" si="76"/>
        <v>16984392</v>
      </c>
      <c r="AB194" s="114">
        <f t="shared" si="77"/>
        <v>117.9528619288638</v>
      </c>
      <c r="AC194" s="28">
        <f t="shared" si="78"/>
        <v>344453.51471999474</v>
      </c>
      <c r="AD194" s="28">
        <f t="shared" si="79"/>
        <v>112944</v>
      </c>
      <c r="AE194" s="28">
        <f t="shared" si="80"/>
        <v>2585087.6762400004</v>
      </c>
      <c r="AF194" s="115">
        <f t="shared" si="81"/>
        <v>17.952864591770144</v>
      </c>
      <c r="AG194" s="28">
        <f t="shared" si="82"/>
        <v>13259.03</v>
      </c>
      <c r="AI194" s="28">
        <f t="shared" si="83"/>
        <v>0</v>
      </c>
      <c r="AJ194" s="28"/>
      <c r="AK194" s="28">
        <f t="shared" si="84"/>
        <v>104</v>
      </c>
      <c r="AL194" s="156"/>
      <c r="AM194" s="6">
        <f t="shared" si="85"/>
        <v>187</v>
      </c>
      <c r="AN194" s="6" t="str">
        <f t="shared" si="86"/>
        <v xml:space="preserve">Millis                       </v>
      </c>
      <c r="AO194" s="6">
        <f t="shared" si="87"/>
        <v>1</v>
      </c>
      <c r="AP194" s="9">
        <f t="shared" si="92"/>
        <v>1086</v>
      </c>
      <c r="AQ194" s="9">
        <f t="shared" si="88"/>
        <v>14399304.707199998</v>
      </c>
      <c r="AR194" s="33">
        <f t="shared" si="89"/>
        <v>11879426</v>
      </c>
      <c r="AS194" s="33">
        <f t="shared" si="90"/>
        <v>5104966</v>
      </c>
      <c r="AU194" s="28"/>
      <c r="AV194" s="9"/>
      <c r="AW194" s="519"/>
    </row>
    <row r="195" spans="1:49">
      <c r="A195" s="6">
        <v>188</v>
      </c>
      <c r="B195" s="6" t="s">
        <v>1306</v>
      </c>
      <c r="C195" s="7">
        <v>0</v>
      </c>
      <c r="D195" s="9">
        <v>98944.56</v>
      </c>
      <c r="E195" s="9">
        <v>47019</v>
      </c>
      <c r="F195" s="9">
        <v>73662</v>
      </c>
      <c r="G195" s="348"/>
      <c r="H195" s="111">
        <f t="shared" si="91"/>
        <v>73662</v>
      </c>
      <c r="I195" s="9">
        <f t="shared" si="62"/>
        <v>84301.650000000009</v>
      </c>
      <c r="J195" s="33">
        <f t="shared" si="63"/>
        <v>40692</v>
      </c>
      <c r="K195" s="9">
        <f t="shared" si="64"/>
        <v>43610</v>
      </c>
      <c r="L195" s="112">
        <f t="shared" si="65"/>
        <v>0</v>
      </c>
      <c r="M195" s="458">
        <f>ROUND(100-'Townwide Contributions'!L194,2)</f>
        <v>47.46</v>
      </c>
      <c r="N195" s="9">
        <v>6</v>
      </c>
      <c r="O195" s="9">
        <f t="shared" si="66"/>
        <v>5</v>
      </c>
      <c r="P195" s="9">
        <f t="shared" si="67"/>
        <v>0</v>
      </c>
      <c r="Q195" s="28">
        <f t="shared" si="68"/>
        <v>0</v>
      </c>
      <c r="R195" s="382">
        <f t="shared" si="69"/>
        <v>0</v>
      </c>
      <c r="S195" s="28">
        <v>73662</v>
      </c>
      <c r="T195" s="33">
        <f t="shared" si="70"/>
        <v>73812</v>
      </c>
      <c r="U195" s="9">
        <f t="shared" si="71"/>
        <v>0</v>
      </c>
      <c r="V195" s="33">
        <f t="shared" si="72"/>
        <v>73662</v>
      </c>
      <c r="W195" s="33">
        <f t="shared" si="73"/>
        <v>0</v>
      </c>
      <c r="X195" s="33">
        <v>0</v>
      </c>
      <c r="Y195" s="113">
        <f t="shared" si="74"/>
        <v>73662</v>
      </c>
      <c r="Z195" s="155">
        <f t="shared" si="75"/>
        <v>0</v>
      </c>
      <c r="AA195" s="33">
        <f t="shared" si="76"/>
        <v>114354</v>
      </c>
      <c r="AB195" s="114">
        <f t="shared" si="77"/>
        <v>135.64859050801496</v>
      </c>
      <c r="AC195" s="28">
        <f t="shared" si="78"/>
        <v>-14642.909999999989</v>
      </c>
      <c r="AD195" s="28">
        <f t="shared" si="79"/>
        <v>0</v>
      </c>
      <c r="AE195" s="28">
        <f t="shared" si="80"/>
        <v>33652.436909999997</v>
      </c>
      <c r="AF195" s="115" t="str">
        <f t="shared" si="81"/>
        <v/>
      </c>
      <c r="AG195" s="28">
        <f t="shared" si="82"/>
        <v>16860.330000000002</v>
      </c>
      <c r="AI195" s="28">
        <f t="shared" si="83"/>
        <v>0</v>
      </c>
      <c r="AJ195" s="28"/>
      <c r="AK195" s="28">
        <f t="shared" si="84"/>
        <v>0</v>
      </c>
      <c r="AL195" s="156"/>
      <c r="AM195" s="6">
        <f t="shared" si="85"/>
        <v>188</v>
      </c>
      <c r="AN195" s="6" t="str">
        <f t="shared" si="86"/>
        <v xml:space="preserve">Millville                    </v>
      </c>
      <c r="AO195" s="6">
        <f t="shared" si="87"/>
        <v>0</v>
      </c>
      <c r="AP195" s="9">
        <f t="shared" si="92"/>
        <v>5</v>
      </c>
      <c r="AQ195" s="9">
        <f t="shared" si="88"/>
        <v>84301.650000000009</v>
      </c>
      <c r="AR195" s="33">
        <f t="shared" si="89"/>
        <v>40692</v>
      </c>
      <c r="AS195" s="33">
        <f t="shared" si="90"/>
        <v>73662</v>
      </c>
      <c r="AU195" s="28"/>
      <c r="AV195" s="9"/>
      <c r="AW195" s="519"/>
    </row>
    <row r="196" spans="1:49">
      <c r="A196" s="6">
        <v>189</v>
      </c>
      <c r="B196" s="6" t="s">
        <v>1307</v>
      </c>
      <c r="C196" s="7">
        <v>1</v>
      </c>
      <c r="D196" s="9">
        <v>53957475.515560001</v>
      </c>
      <c r="E196" s="9">
        <v>42281594</v>
      </c>
      <c r="F196" s="9">
        <v>11675882</v>
      </c>
      <c r="G196" s="348"/>
      <c r="H196" s="111">
        <f t="shared" si="91"/>
        <v>11675882</v>
      </c>
      <c r="I196" s="9">
        <f t="shared" si="62"/>
        <v>55677434.427500002</v>
      </c>
      <c r="J196" s="33">
        <f t="shared" si="63"/>
        <v>44754901</v>
      </c>
      <c r="K196" s="9">
        <f t="shared" si="64"/>
        <v>10922533</v>
      </c>
      <c r="L196" s="112">
        <f t="shared" si="65"/>
        <v>0</v>
      </c>
      <c r="M196" s="458">
        <f>ROUND(100-'Townwide Contributions'!L195,2)</f>
        <v>17.5</v>
      </c>
      <c r="N196" s="9">
        <v>4294</v>
      </c>
      <c r="O196" s="9">
        <f t="shared" si="66"/>
        <v>4303</v>
      </c>
      <c r="P196" s="9">
        <f t="shared" si="67"/>
        <v>0</v>
      </c>
      <c r="Q196" s="28">
        <f t="shared" si="68"/>
        <v>447512</v>
      </c>
      <c r="R196" s="382">
        <f t="shared" si="69"/>
        <v>447512</v>
      </c>
      <c r="S196" s="28">
        <v>11675882</v>
      </c>
      <c r="T196" s="33">
        <f t="shared" si="70"/>
        <v>11804972</v>
      </c>
      <c r="U196" s="9">
        <f t="shared" si="71"/>
        <v>0</v>
      </c>
      <c r="V196" s="33">
        <f t="shared" si="72"/>
        <v>12123394</v>
      </c>
      <c r="W196" s="33">
        <f t="shared" si="73"/>
        <v>0</v>
      </c>
      <c r="X196" s="33">
        <v>0</v>
      </c>
      <c r="Y196" s="113">
        <f t="shared" si="74"/>
        <v>12123394</v>
      </c>
      <c r="Z196" s="155">
        <f t="shared" si="75"/>
        <v>21.774340223571897</v>
      </c>
      <c r="AA196" s="33">
        <f t="shared" si="76"/>
        <v>56878295</v>
      </c>
      <c r="AB196" s="114">
        <f t="shared" si="77"/>
        <v>102.15681736209253</v>
      </c>
      <c r="AC196" s="28">
        <f t="shared" si="78"/>
        <v>1719958.911940001</v>
      </c>
      <c r="AD196" s="28">
        <f t="shared" si="79"/>
        <v>447512</v>
      </c>
      <c r="AE196" s="28">
        <f t="shared" si="80"/>
        <v>2379842.9751875009</v>
      </c>
      <c r="AF196" s="115">
        <f t="shared" si="81"/>
        <v>4.2743402235718975</v>
      </c>
      <c r="AG196" s="28">
        <f t="shared" si="82"/>
        <v>12939.21</v>
      </c>
      <c r="AI196" s="28">
        <f t="shared" si="83"/>
        <v>0</v>
      </c>
      <c r="AJ196" s="28"/>
      <c r="AK196" s="28">
        <f t="shared" si="84"/>
        <v>104</v>
      </c>
      <c r="AL196" s="156"/>
      <c r="AM196" s="6">
        <f t="shared" si="85"/>
        <v>189</v>
      </c>
      <c r="AN196" s="6" t="str">
        <f t="shared" si="86"/>
        <v xml:space="preserve">Milton                       </v>
      </c>
      <c r="AO196" s="6">
        <f t="shared" si="87"/>
        <v>1</v>
      </c>
      <c r="AP196" s="9">
        <f t="shared" si="92"/>
        <v>4303</v>
      </c>
      <c r="AQ196" s="9">
        <f t="shared" si="88"/>
        <v>55677434.427500002</v>
      </c>
      <c r="AR196" s="33">
        <f t="shared" si="89"/>
        <v>44754901</v>
      </c>
      <c r="AS196" s="33">
        <f t="shared" si="90"/>
        <v>12123394</v>
      </c>
      <c r="AU196" s="28"/>
      <c r="AV196" s="9"/>
      <c r="AW196" s="519"/>
    </row>
    <row r="197" spans="1:49">
      <c r="A197" s="6">
        <v>190</v>
      </c>
      <c r="B197" s="6" t="s">
        <v>1308</v>
      </c>
      <c r="C197" s="7">
        <v>0</v>
      </c>
      <c r="D197" s="9">
        <v>203019.31000000003</v>
      </c>
      <c r="E197" s="9">
        <v>74223</v>
      </c>
      <c r="F197" s="9">
        <v>140582</v>
      </c>
      <c r="G197" s="348"/>
      <c r="H197" s="111">
        <f t="shared" si="91"/>
        <v>140582</v>
      </c>
      <c r="I197" s="9">
        <f t="shared" si="62"/>
        <v>215323.09999999998</v>
      </c>
      <c r="J197" s="33">
        <f t="shared" si="63"/>
        <v>98797</v>
      </c>
      <c r="K197" s="9">
        <f t="shared" si="64"/>
        <v>116526</v>
      </c>
      <c r="L197" s="112">
        <f t="shared" si="65"/>
        <v>0</v>
      </c>
      <c r="M197" s="458">
        <f>ROUND(100-'Townwide Contributions'!L196,2)</f>
        <v>46.19</v>
      </c>
      <c r="N197" s="9">
        <v>18</v>
      </c>
      <c r="O197" s="9">
        <f t="shared" si="66"/>
        <v>19</v>
      </c>
      <c r="P197" s="9">
        <f t="shared" si="67"/>
        <v>0</v>
      </c>
      <c r="Q197" s="28">
        <f t="shared" si="68"/>
        <v>0</v>
      </c>
      <c r="R197" s="382">
        <f t="shared" si="69"/>
        <v>0</v>
      </c>
      <c r="S197" s="28">
        <v>140582</v>
      </c>
      <c r="T197" s="33">
        <f t="shared" si="70"/>
        <v>141152</v>
      </c>
      <c r="U197" s="9">
        <f t="shared" si="71"/>
        <v>0</v>
      </c>
      <c r="V197" s="33">
        <f t="shared" si="72"/>
        <v>140582</v>
      </c>
      <c r="W197" s="33">
        <f t="shared" si="73"/>
        <v>0</v>
      </c>
      <c r="X197" s="33">
        <v>0</v>
      </c>
      <c r="Y197" s="113">
        <f t="shared" si="74"/>
        <v>140582</v>
      </c>
      <c r="Z197" s="155">
        <f t="shared" si="75"/>
        <v>0</v>
      </c>
      <c r="AA197" s="33">
        <f t="shared" si="76"/>
        <v>239379</v>
      </c>
      <c r="AB197" s="114">
        <f t="shared" si="77"/>
        <v>111.1720015177192</v>
      </c>
      <c r="AC197" s="28">
        <f t="shared" si="78"/>
        <v>12303.78999999995</v>
      </c>
      <c r="AD197" s="28">
        <f t="shared" si="79"/>
        <v>0</v>
      </c>
      <c r="AE197" s="28">
        <f t="shared" si="80"/>
        <v>41124.260110000017</v>
      </c>
      <c r="AF197" s="115" t="str">
        <f t="shared" si="81"/>
        <v/>
      </c>
      <c r="AG197" s="28">
        <f t="shared" si="82"/>
        <v>11332.79</v>
      </c>
      <c r="AI197" s="28">
        <f t="shared" si="83"/>
        <v>0</v>
      </c>
      <c r="AJ197" s="28"/>
      <c r="AK197" s="28">
        <f t="shared" si="84"/>
        <v>0</v>
      </c>
      <c r="AL197" s="156"/>
      <c r="AM197" s="6">
        <f t="shared" si="85"/>
        <v>190</v>
      </c>
      <c r="AN197" s="6" t="str">
        <f t="shared" si="86"/>
        <v xml:space="preserve">Monroe                       </v>
      </c>
      <c r="AO197" s="6">
        <f t="shared" si="87"/>
        <v>0</v>
      </c>
      <c r="AP197" s="9">
        <f t="shared" si="92"/>
        <v>19</v>
      </c>
      <c r="AQ197" s="9">
        <f t="shared" si="88"/>
        <v>215323.09999999998</v>
      </c>
      <c r="AR197" s="33">
        <f t="shared" si="89"/>
        <v>98797</v>
      </c>
      <c r="AS197" s="33">
        <f t="shared" si="90"/>
        <v>140582</v>
      </c>
      <c r="AU197" s="28"/>
      <c r="AV197" s="9"/>
      <c r="AW197" s="519"/>
    </row>
    <row r="198" spans="1:49">
      <c r="A198" s="6">
        <v>191</v>
      </c>
      <c r="B198" s="6" t="s">
        <v>1309</v>
      </c>
      <c r="C198" s="7">
        <v>1</v>
      </c>
      <c r="D198" s="9">
        <v>11361547.17</v>
      </c>
      <c r="E198" s="9">
        <v>6395027</v>
      </c>
      <c r="F198" s="9">
        <v>7667285</v>
      </c>
      <c r="G198" s="348"/>
      <c r="H198" s="111">
        <f t="shared" si="91"/>
        <v>7667285</v>
      </c>
      <c r="I198" s="9">
        <f t="shared" si="62"/>
        <v>11739604.360000001</v>
      </c>
      <c r="J198" s="33">
        <f t="shared" si="63"/>
        <v>6544648</v>
      </c>
      <c r="K198" s="9">
        <f t="shared" si="64"/>
        <v>5194956</v>
      </c>
      <c r="L198" s="112">
        <f t="shared" si="65"/>
        <v>0</v>
      </c>
      <c r="M198" s="458">
        <f>ROUND(100-'Townwide Contributions'!L197,2)</f>
        <v>42.21</v>
      </c>
      <c r="N198" s="9">
        <v>810</v>
      </c>
      <c r="O198" s="9">
        <f t="shared" si="66"/>
        <v>811</v>
      </c>
      <c r="P198" s="9">
        <f t="shared" si="67"/>
        <v>0</v>
      </c>
      <c r="Q198" s="28">
        <f t="shared" si="68"/>
        <v>84344</v>
      </c>
      <c r="R198" s="382">
        <f t="shared" si="69"/>
        <v>84344</v>
      </c>
      <c r="S198" s="28">
        <v>7667285</v>
      </c>
      <c r="T198" s="33">
        <f t="shared" si="70"/>
        <v>7691615</v>
      </c>
      <c r="U198" s="9">
        <f t="shared" si="71"/>
        <v>0</v>
      </c>
      <c r="V198" s="33">
        <f t="shared" si="72"/>
        <v>7751629</v>
      </c>
      <c r="W198" s="33">
        <f t="shared" si="73"/>
        <v>0</v>
      </c>
      <c r="X198" s="33">
        <v>0</v>
      </c>
      <c r="Y198" s="113">
        <f t="shared" si="74"/>
        <v>7751629</v>
      </c>
      <c r="Z198" s="155">
        <f t="shared" si="75"/>
        <v>66.029729472075658</v>
      </c>
      <c r="AA198" s="33">
        <f t="shared" si="76"/>
        <v>14296277</v>
      </c>
      <c r="AB198" s="114">
        <f t="shared" si="77"/>
        <v>121.77818401369021</v>
      </c>
      <c r="AC198" s="28">
        <f t="shared" si="78"/>
        <v>378057.19000000134</v>
      </c>
      <c r="AD198" s="28">
        <f t="shared" si="79"/>
        <v>84344</v>
      </c>
      <c r="AE198" s="28">
        <f t="shared" si="80"/>
        <v>2796341.9996439992</v>
      </c>
      <c r="AF198" s="115">
        <f t="shared" si="81"/>
        <v>23.819729472075657</v>
      </c>
      <c r="AG198" s="28">
        <f t="shared" si="82"/>
        <v>14475.47</v>
      </c>
      <c r="AI198" s="28">
        <f t="shared" si="83"/>
        <v>0</v>
      </c>
      <c r="AJ198" s="28"/>
      <c r="AK198" s="28">
        <f t="shared" si="84"/>
        <v>104</v>
      </c>
      <c r="AL198" s="156"/>
      <c r="AM198" s="6">
        <f t="shared" si="85"/>
        <v>191</v>
      </c>
      <c r="AN198" s="6" t="str">
        <f t="shared" si="86"/>
        <v xml:space="preserve">Monson                       </v>
      </c>
      <c r="AO198" s="6">
        <f t="shared" si="87"/>
        <v>1</v>
      </c>
      <c r="AP198" s="9">
        <f t="shared" si="92"/>
        <v>811</v>
      </c>
      <c r="AQ198" s="9">
        <f t="shared" si="88"/>
        <v>11739604.360000001</v>
      </c>
      <c r="AR198" s="33">
        <f t="shared" si="89"/>
        <v>6544648</v>
      </c>
      <c r="AS198" s="33">
        <f t="shared" si="90"/>
        <v>7751629</v>
      </c>
      <c r="AU198" s="28"/>
      <c r="AV198" s="9"/>
      <c r="AW198" s="519"/>
    </row>
    <row r="199" spans="1:49">
      <c r="A199" s="6">
        <v>192</v>
      </c>
      <c r="B199" s="6" t="s">
        <v>1310</v>
      </c>
      <c r="C199" s="7">
        <v>0</v>
      </c>
      <c r="D199" s="9">
        <v>16490.760000000002</v>
      </c>
      <c r="E199" s="9">
        <v>7445</v>
      </c>
      <c r="F199" s="9">
        <v>9046</v>
      </c>
      <c r="G199" s="348"/>
      <c r="H199" s="111">
        <f t="shared" si="91"/>
        <v>9046</v>
      </c>
      <c r="I199" s="9">
        <f t="shared" si="62"/>
        <v>16860.330000000002</v>
      </c>
      <c r="J199" s="33">
        <f t="shared" si="63"/>
        <v>7814</v>
      </c>
      <c r="K199" s="9">
        <f t="shared" si="64"/>
        <v>9046</v>
      </c>
      <c r="L199" s="112">
        <f t="shared" si="65"/>
        <v>0</v>
      </c>
      <c r="M199" s="458">
        <f>ROUND(100-'Townwide Contributions'!L198,2)</f>
        <v>51.2</v>
      </c>
      <c r="N199" s="9">
        <v>1</v>
      </c>
      <c r="O199" s="9">
        <f t="shared" si="66"/>
        <v>1</v>
      </c>
      <c r="P199" s="9">
        <f t="shared" si="67"/>
        <v>0</v>
      </c>
      <c r="Q199" s="28">
        <f t="shared" si="68"/>
        <v>0</v>
      </c>
      <c r="R199" s="382">
        <f t="shared" si="69"/>
        <v>0</v>
      </c>
      <c r="S199" s="28">
        <v>9046</v>
      </c>
      <c r="T199" s="33">
        <f t="shared" si="70"/>
        <v>9076</v>
      </c>
      <c r="U199" s="9">
        <f t="shared" si="71"/>
        <v>0</v>
      </c>
      <c r="V199" s="33">
        <f t="shared" si="72"/>
        <v>9046</v>
      </c>
      <c r="W199" s="33">
        <f t="shared" si="73"/>
        <v>0</v>
      </c>
      <c r="X199" s="33">
        <v>0</v>
      </c>
      <c r="Y199" s="113">
        <f t="shared" si="74"/>
        <v>9046</v>
      </c>
      <c r="Z199" s="155">
        <f t="shared" si="75"/>
        <v>0</v>
      </c>
      <c r="AA199" s="33">
        <f t="shared" si="76"/>
        <v>16860</v>
      </c>
      <c r="AB199" s="114">
        <f t="shared" si="77"/>
        <v>99.998042742935624</v>
      </c>
      <c r="AC199" s="28">
        <f t="shared" si="78"/>
        <v>369.56999999999971</v>
      </c>
      <c r="AD199" s="28">
        <f t="shared" si="79"/>
        <v>0</v>
      </c>
      <c r="AE199" s="28">
        <f t="shared" si="80"/>
        <v>413.51103999999941</v>
      </c>
      <c r="AF199" s="115" t="str">
        <f t="shared" si="81"/>
        <v/>
      </c>
      <c r="AG199" s="28">
        <f t="shared" si="82"/>
        <v>16860.330000000002</v>
      </c>
      <c r="AI199" s="28">
        <f t="shared" si="83"/>
        <v>0</v>
      </c>
      <c r="AJ199" s="28"/>
      <c r="AK199" s="28">
        <f t="shared" si="84"/>
        <v>0</v>
      </c>
      <c r="AL199" s="156"/>
      <c r="AM199" s="6">
        <f t="shared" si="85"/>
        <v>192</v>
      </c>
      <c r="AN199" s="6" t="str">
        <f t="shared" si="86"/>
        <v xml:space="preserve">Montague                     </v>
      </c>
      <c r="AO199" s="6">
        <f t="shared" si="87"/>
        <v>0</v>
      </c>
      <c r="AP199" s="9">
        <f t="shared" si="92"/>
        <v>1</v>
      </c>
      <c r="AQ199" s="9">
        <f t="shared" si="88"/>
        <v>16860.330000000002</v>
      </c>
      <c r="AR199" s="33">
        <f t="shared" si="89"/>
        <v>7814</v>
      </c>
      <c r="AS199" s="33">
        <f t="shared" si="90"/>
        <v>9046</v>
      </c>
      <c r="AU199" s="28"/>
      <c r="AV199" s="9"/>
      <c r="AW199" s="519"/>
    </row>
    <row r="200" spans="1:49">
      <c r="A200" s="6">
        <v>193</v>
      </c>
      <c r="B200" s="6" t="s">
        <v>1311</v>
      </c>
      <c r="C200" s="7">
        <v>0</v>
      </c>
      <c r="D200" s="9">
        <v>0</v>
      </c>
      <c r="E200" s="9">
        <v>0</v>
      </c>
      <c r="F200" s="9">
        <v>0</v>
      </c>
      <c r="G200" s="348"/>
      <c r="H200" s="111">
        <f t="shared" si="91"/>
        <v>0</v>
      </c>
      <c r="I200" s="9">
        <f t="shared" ref="I200:I263" si="93">SUMIF(dist1755,A200,found1755)</f>
        <v>0</v>
      </c>
      <c r="J200" s="33">
        <f t="shared" ref="J200:J263" si="94">SUMIF(dist1755,A200,prelcont1755)</f>
        <v>0</v>
      </c>
      <c r="K200" s="9">
        <f t="shared" ref="K200:K263" si="95">ROUND(MAX(found-prelcont436,0),0)</f>
        <v>0</v>
      </c>
      <c r="L200" s="112">
        <f t="shared" ref="L200:L263" si="96">IF(foundaid&gt;priorc70,foundaid-priorc70,0)</f>
        <v>0</v>
      </c>
      <c r="M200" s="458">
        <f>ROUND(100-'Townwide Contributions'!L199,2)</f>
        <v>17.5</v>
      </c>
      <c r="N200" s="9">
        <v>0</v>
      </c>
      <c r="O200" s="9">
        <f t="shared" ref="O200:O263" si="97">SUMIF(dist1755,A200,enro1755)</f>
        <v>0</v>
      </c>
      <c r="P200" s="9">
        <f t="shared" ref="P200:P263" si="98">IF(AND(C200=1,L200&gt;0),1,0)</f>
        <v>0</v>
      </c>
      <c r="Q200" s="28">
        <f t="shared" ref="Q200:Q263" si="99">IF(nonop=1,enro*$Q$6,0)</f>
        <v>0</v>
      </c>
      <c r="R200" s="382">
        <f t="shared" ref="R200:R263" si="100">IF((foundinc)&lt;Q200,Q200-(foundinc),0)</f>
        <v>0</v>
      </c>
      <c r="S200" s="28">
        <v>0</v>
      </c>
      <c r="T200" s="33">
        <f t="shared" ref="T200:T263" si="101">S200+30*enro</f>
        <v>0</v>
      </c>
      <c r="U200" s="9">
        <f t="shared" ref="U200:U263" si="102">IF(AND(T200-priorc70-foundinc-minaid&gt;0,nonop=1), T200-priorc70-foundinc-minaid,0)</f>
        <v>0</v>
      </c>
      <c r="V200" s="33">
        <f t="shared" ref="V200:V263" si="103">priorc70+ foundinc+minaidadjincrement+minaid</f>
        <v>0</v>
      </c>
      <c r="W200" s="33">
        <f t="shared" ref="W200:W263" si="104">IF(AND(C200=0,V200&gt;found),V200-found,0)</f>
        <v>0</v>
      </c>
      <c r="X200" s="33">
        <v>0</v>
      </c>
      <c r="Y200" s="113">
        <f t="shared" ref="Y200:Y263" si="105">priorc70+foundinc+minaidadjincrement+minaid-rednonop+holdharmlessaid</f>
        <v>0</v>
      </c>
      <c r="Z200" s="155">
        <f t="shared" ref="Z200:Z263" si="106">IF(C200=1, Y200/I200*100, 0)</f>
        <v>0</v>
      </c>
      <c r="AA200" s="33">
        <f t="shared" ref="AA200:AA263" si="107">prelcont436+chapter70</f>
        <v>0</v>
      </c>
      <c r="AB200" s="114">
        <f t="shared" ref="AB200:AB263" si="108">IF(found&gt;0,AA200*100/found,0)</f>
        <v>0</v>
      </c>
      <c r="AC200" s="28">
        <f t="shared" ref="AC200:AC263" si="109">I200-D200</f>
        <v>0</v>
      </c>
      <c r="AD200" s="28">
        <f t="shared" ref="AD200:AD263" si="110">Y200-F200</f>
        <v>0</v>
      </c>
      <c r="AE200" s="28">
        <f t="shared" ref="AE200:AE263" si="111">Y200-((M200/100)*I200)</f>
        <v>0</v>
      </c>
      <c r="AF200" s="115" t="str">
        <f t="shared" ref="AF200:AF263" si="112">IF(C200=1, (Y200/I200*100)-M200, "")</f>
        <v/>
      </c>
      <c r="AG200" s="28">
        <f t="shared" ref="AG200:AG263" si="113">IFERROR(ROUND(I200/O200, 2), 0)</f>
        <v>0</v>
      </c>
      <c r="AI200" s="28">
        <f t="shared" ref="AI200:AI263" si="114">VLOOKUP(A200, disthist, 37, FALSE)*$H$6</f>
        <v>0</v>
      </c>
      <c r="AJ200" s="28"/>
      <c r="AK200" s="28">
        <f t="shared" ref="AK200:AK263" si="115">IFERROR(AD200/O200, 0)</f>
        <v>0</v>
      </c>
      <c r="AL200" s="156"/>
      <c r="AM200" s="6">
        <f t="shared" ref="AM200:AM263" si="116">A200</f>
        <v>193</v>
      </c>
      <c r="AN200" s="6" t="str">
        <f t="shared" ref="AN200:AN263" si="117">B200</f>
        <v xml:space="preserve">Monterey                     </v>
      </c>
      <c r="AO200" s="6">
        <f t="shared" ref="AO200:AO263" si="118">C200</f>
        <v>0</v>
      </c>
      <c r="AP200" s="9">
        <f t="shared" si="92"/>
        <v>0</v>
      </c>
      <c r="AQ200" s="9">
        <f t="shared" ref="AQ200:AQ263" si="119">I200</f>
        <v>0</v>
      </c>
      <c r="AR200" s="33">
        <f t="shared" ref="AR200:AR263" si="120">J200</f>
        <v>0</v>
      </c>
      <c r="AS200" s="33">
        <f t="shared" ref="AS200:AS263" si="121">Y200</f>
        <v>0</v>
      </c>
      <c r="AU200" s="28"/>
      <c r="AW200" s="519"/>
    </row>
    <row r="201" spans="1:49">
      <c r="A201" s="6">
        <v>194</v>
      </c>
      <c r="B201" s="6" t="s">
        <v>1312</v>
      </c>
      <c r="C201" s="7">
        <v>0</v>
      </c>
      <c r="D201" s="9">
        <v>49472.28</v>
      </c>
      <c r="E201" s="9">
        <v>37079</v>
      </c>
      <c r="F201" s="9">
        <v>21162</v>
      </c>
      <c r="G201" s="348"/>
      <c r="H201" s="111">
        <f t="shared" ref="H201:H264" si="122">F201</f>
        <v>21162</v>
      </c>
      <c r="I201" s="9">
        <f t="shared" si="93"/>
        <v>84301.650000000009</v>
      </c>
      <c r="J201" s="33">
        <f t="shared" si="94"/>
        <v>65350</v>
      </c>
      <c r="K201" s="9">
        <f t="shared" si="95"/>
        <v>18952</v>
      </c>
      <c r="L201" s="112">
        <f t="shared" si="96"/>
        <v>0</v>
      </c>
      <c r="M201" s="458">
        <f>ROUND(100-'Townwide Contributions'!L200,2)</f>
        <v>17.5</v>
      </c>
      <c r="N201" s="9">
        <v>3</v>
      </c>
      <c r="O201" s="9">
        <f t="shared" si="97"/>
        <v>5</v>
      </c>
      <c r="P201" s="9">
        <f t="shared" si="98"/>
        <v>0</v>
      </c>
      <c r="Q201" s="28">
        <f t="shared" si="99"/>
        <v>0</v>
      </c>
      <c r="R201" s="382">
        <f t="shared" si="100"/>
        <v>0</v>
      </c>
      <c r="S201" s="28">
        <v>21162</v>
      </c>
      <c r="T201" s="33">
        <f t="shared" si="101"/>
        <v>21312</v>
      </c>
      <c r="U201" s="9">
        <f t="shared" si="102"/>
        <v>0</v>
      </c>
      <c r="V201" s="33">
        <f t="shared" si="103"/>
        <v>21162</v>
      </c>
      <c r="W201" s="33">
        <f t="shared" si="104"/>
        <v>0</v>
      </c>
      <c r="X201" s="33">
        <v>0</v>
      </c>
      <c r="Y201" s="113">
        <f t="shared" si="105"/>
        <v>21162</v>
      </c>
      <c r="Z201" s="155">
        <f t="shared" si="106"/>
        <v>0</v>
      </c>
      <c r="AA201" s="33">
        <f t="shared" si="107"/>
        <v>86512</v>
      </c>
      <c r="AB201" s="114">
        <f t="shared" si="108"/>
        <v>102.62195342558537</v>
      </c>
      <c r="AC201" s="28">
        <f t="shared" si="109"/>
        <v>34829.37000000001</v>
      </c>
      <c r="AD201" s="28">
        <f t="shared" si="110"/>
        <v>0</v>
      </c>
      <c r="AE201" s="28">
        <f t="shared" si="111"/>
        <v>6409.2112500000003</v>
      </c>
      <c r="AF201" s="115" t="str">
        <f t="shared" si="112"/>
        <v/>
      </c>
      <c r="AG201" s="28">
        <f t="shared" si="113"/>
        <v>16860.330000000002</v>
      </c>
      <c r="AI201" s="28">
        <f t="shared" si="114"/>
        <v>0</v>
      </c>
      <c r="AJ201" s="28"/>
      <c r="AK201" s="28">
        <f t="shared" si="115"/>
        <v>0</v>
      </c>
      <c r="AL201" s="156"/>
      <c r="AM201" s="6">
        <f t="shared" si="116"/>
        <v>194</v>
      </c>
      <c r="AN201" s="6" t="str">
        <f t="shared" si="117"/>
        <v xml:space="preserve">Montgomery                   </v>
      </c>
      <c r="AO201" s="6">
        <f t="shared" si="118"/>
        <v>0</v>
      </c>
      <c r="AP201" s="9">
        <f t="shared" ref="AP201:AP264" si="123">O201</f>
        <v>5</v>
      </c>
      <c r="AQ201" s="9">
        <f t="shared" si="119"/>
        <v>84301.650000000009</v>
      </c>
      <c r="AR201" s="33">
        <f t="shared" si="120"/>
        <v>65350</v>
      </c>
      <c r="AS201" s="33">
        <f t="shared" si="121"/>
        <v>21162</v>
      </c>
      <c r="AU201" s="28"/>
      <c r="AV201" s="9"/>
      <c r="AW201" s="519"/>
    </row>
    <row r="202" spans="1:49">
      <c r="A202" s="6">
        <v>195</v>
      </c>
      <c r="B202" s="6" t="s">
        <v>1313</v>
      </c>
      <c r="C202" s="7">
        <v>0</v>
      </c>
      <c r="D202" s="9">
        <v>78957.830000000016</v>
      </c>
      <c r="E202" s="9">
        <v>65140</v>
      </c>
      <c r="F202" s="9">
        <v>13818</v>
      </c>
      <c r="G202" s="348"/>
      <c r="H202" s="111">
        <f t="shared" si="122"/>
        <v>13818</v>
      </c>
      <c r="I202" s="9">
        <f t="shared" si="93"/>
        <v>71641.610000000015</v>
      </c>
      <c r="J202" s="33">
        <f t="shared" si="94"/>
        <v>59104</v>
      </c>
      <c r="K202" s="9">
        <f t="shared" si="95"/>
        <v>12538</v>
      </c>
      <c r="L202" s="112">
        <f t="shared" si="96"/>
        <v>0</v>
      </c>
      <c r="M202" s="458">
        <f>ROUND(100-'Townwide Contributions'!L201,2)</f>
        <v>17.5</v>
      </c>
      <c r="N202" s="9">
        <v>8</v>
      </c>
      <c r="O202" s="9">
        <f t="shared" si="97"/>
        <v>7</v>
      </c>
      <c r="P202" s="9">
        <f t="shared" si="98"/>
        <v>0</v>
      </c>
      <c r="Q202" s="28">
        <f t="shared" si="99"/>
        <v>0</v>
      </c>
      <c r="R202" s="382">
        <f t="shared" si="100"/>
        <v>0</v>
      </c>
      <c r="S202" s="28">
        <v>13818</v>
      </c>
      <c r="T202" s="33">
        <f t="shared" si="101"/>
        <v>14028</v>
      </c>
      <c r="U202" s="9">
        <f t="shared" si="102"/>
        <v>0</v>
      </c>
      <c r="V202" s="33">
        <f t="shared" si="103"/>
        <v>13818</v>
      </c>
      <c r="W202" s="33">
        <f t="shared" si="104"/>
        <v>0</v>
      </c>
      <c r="X202" s="33">
        <v>0</v>
      </c>
      <c r="Y202" s="113">
        <f t="shared" si="105"/>
        <v>13818</v>
      </c>
      <c r="Z202" s="155">
        <f t="shared" si="106"/>
        <v>0</v>
      </c>
      <c r="AA202" s="33">
        <f t="shared" si="107"/>
        <v>72922</v>
      </c>
      <c r="AB202" s="114">
        <f t="shared" si="108"/>
        <v>101.7872155581093</v>
      </c>
      <c r="AC202" s="28">
        <f t="shared" si="109"/>
        <v>-7316.2200000000012</v>
      </c>
      <c r="AD202" s="28">
        <f t="shared" si="110"/>
        <v>0</v>
      </c>
      <c r="AE202" s="28">
        <f t="shared" si="111"/>
        <v>1280.7182499999981</v>
      </c>
      <c r="AF202" s="115" t="str">
        <f t="shared" si="112"/>
        <v/>
      </c>
      <c r="AG202" s="28">
        <f t="shared" si="113"/>
        <v>10234.52</v>
      </c>
      <c r="AI202" s="28">
        <f t="shared" si="114"/>
        <v>0</v>
      </c>
      <c r="AJ202" s="28"/>
      <c r="AK202" s="28">
        <f t="shared" si="115"/>
        <v>0</v>
      </c>
      <c r="AL202" s="156"/>
      <c r="AM202" s="6">
        <f t="shared" si="116"/>
        <v>195</v>
      </c>
      <c r="AN202" s="6" t="str">
        <f t="shared" si="117"/>
        <v xml:space="preserve">Mount Washington             </v>
      </c>
      <c r="AO202" s="6">
        <f t="shared" si="118"/>
        <v>0</v>
      </c>
      <c r="AP202" s="9">
        <f t="shared" si="123"/>
        <v>7</v>
      </c>
      <c r="AQ202" s="9">
        <f t="shared" si="119"/>
        <v>71641.610000000015</v>
      </c>
      <c r="AR202" s="33">
        <f t="shared" si="120"/>
        <v>59104</v>
      </c>
      <c r="AS202" s="33">
        <f t="shared" si="121"/>
        <v>13818</v>
      </c>
      <c r="AU202" s="28"/>
      <c r="AV202" s="9"/>
      <c r="AW202" s="519"/>
    </row>
    <row r="203" spans="1:49">
      <c r="A203" s="6">
        <v>196</v>
      </c>
      <c r="B203" s="6" t="s">
        <v>1314</v>
      </c>
      <c r="C203" s="7">
        <v>1</v>
      </c>
      <c r="D203" s="9">
        <v>2954392.4200000004</v>
      </c>
      <c r="E203" s="9">
        <v>2437374</v>
      </c>
      <c r="F203" s="9">
        <v>561403</v>
      </c>
      <c r="G203" s="348"/>
      <c r="H203" s="111">
        <f t="shared" si="122"/>
        <v>561403</v>
      </c>
      <c r="I203" s="9">
        <f t="shared" si="93"/>
        <v>2904538.0700000003</v>
      </c>
      <c r="J203" s="33">
        <f t="shared" si="94"/>
        <v>2396244</v>
      </c>
      <c r="K203" s="9">
        <f t="shared" si="95"/>
        <v>508294</v>
      </c>
      <c r="L203" s="112">
        <f t="shared" si="96"/>
        <v>0</v>
      </c>
      <c r="M203" s="458">
        <f>ROUND(100-'Townwide Contributions'!L202,2)</f>
        <v>17.5</v>
      </c>
      <c r="N203" s="9">
        <v>248</v>
      </c>
      <c r="O203" s="9">
        <f t="shared" si="97"/>
        <v>238</v>
      </c>
      <c r="P203" s="9">
        <f t="shared" si="98"/>
        <v>0</v>
      </c>
      <c r="Q203" s="28">
        <f t="shared" si="99"/>
        <v>24752</v>
      </c>
      <c r="R203" s="382">
        <f t="shared" si="100"/>
        <v>24752</v>
      </c>
      <c r="S203" s="28">
        <v>561403</v>
      </c>
      <c r="T203" s="33">
        <f t="shared" si="101"/>
        <v>568543</v>
      </c>
      <c r="U203" s="9">
        <f t="shared" si="102"/>
        <v>0</v>
      </c>
      <c r="V203" s="33">
        <f t="shared" si="103"/>
        <v>586155</v>
      </c>
      <c r="W203" s="33">
        <f t="shared" si="104"/>
        <v>0</v>
      </c>
      <c r="X203" s="33">
        <v>0</v>
      </c>
      <c r="Y203" s="113">
        <f t="shared" si="105"/>
        <v>586155</v>
      </c>
      <c r="Z203" s="155">
        <f t="shared" si="106"/>
        <v>20.180661636154763</v>
      </c>
      <c r="AA203" s="33">
        <f t="shared" si="107"/>
        <v>2982399</v>
      </c>
      <c r="AB203" s="114">
        <f t="shared" si="108"/>
        <v>102.68066481221916</v>
      </c>
      <c r="AC203" s="28">
        <f t="shared" si="109"/>
        <v>-49854.350000000093</v>
      </c>
      <c r="AD203" s="28">
        <f t="shared" si="110"/>
        <v>24752</v>
      </c>
      <c r="AE203" s="28">
        <f t="shared" si="111"/>
        <v>77860.837750000006</v>
      </c>
      <c r="AF203" s="115">
        <f t="shared" si="112"/>
        <v>2.6806616361547633</v>
      </c>
      <c r="AG203" s="28">
        <f t="shared" si="113"/>
        <v>12203.94</v>
      </c>
      <c r="AI203" s="28">
        <f t="shared" si="114"/>
        <v>0</v>
      </c>
      <c r="AJ203" s="28"/>
      <c r="AK203" s="28">
        <f t="shared" si="115"/>
        <v>104</v>
      </c>
      <c r="AL203" s="156"/>
      <c r="AM203" s="6">
        <f t="shared" si="116"/>
        <v>196</v>
      </c>
      <c r="AN203" s="6" t="str">
        <f t="shared" si="117"/>
        <v xml:space="preserve">Nahant                       </v>
      </c>
      <c r="AO203" s="6">
        <f t="shared" si="118"/>
        <v>1</v>
      </c>
      <c r="AP203" s="9">
        <f t="shared" si="123"/>
        <v>238</v>
      </c>
      <c r="AQ203" s="9">
        <f t="shared" si="119"/>
        <v>2904538.0700000003</v>
      </c>
      <c r="AR203" s="33">
        <f t="shared" si="120"/>
        <v>2396244</v>
      </c>
      <c r="AS203" s="33">
        <f t="shared" si="121"/>
        <v>586155</v>
      </c>
      <c r="AU203" s="28"/>
      <c r="AV203" s="9"/>
      <c r="AW203" s="519"/>
    </row>
    <row r="204" spans="1:49">
      <c r="A204" s="6">
        <v>197</v>
      </c>
      <c r="B204" s="6" t="s">
        <v>1315</v>
      </c>
      <c r="C204" s="7">
        <v>1</v>
      </c>
      <c r="D204" s="9">
        <v>25201462.489999998</v>
      </c>
      <c r="E204" s="9">
        <v>20791207</v>
      </c>
      <c r="F204" s="9">
        <v>4410255</v>
      </c>
      <c r="G204" s="348"/>
      <c r="H204" s="111">
        <f t="shared" si="122"/>
        <v>4410255</v>
      </c>
      <c r="I204" s="9">
        <f t="shared" si="93"/>
        <v>25535123.509999998</v>
      </c>
      <c r="J204" s="33">
        <f t="shared" si="94"/>
        <v>21066477</v>
      </c>
      <c r="K204" s="9">
        <f t="shared" si="95"/>
        <v>4468647</v>
      </c>
      <c r="L204" s="112">
        <f t="shared" si="96"/>
        <v>58392</v>
      </c>
      <c r="M204" s="458">
        <f>ROUND(100-'Townwide Contributions'!L203,2)</f>
        <v>17.5</v>
      </c>
      <c r="N204" s="9">
        <v>1713</v>
      </c>
      <c r="O204" s="9">
        <f t="shared" si="97"/>
        <v>1668</v>
      </c>
      <c r="P204" s="9">
        <f t="shared" si="98"/>
        <v>1</v>
      </c>
      <c r="Q204" s="28">
        <f t="shared" si="99"/>
        <v>173472</v>
      </c>
      <c r="R204" s="382">
        <f t="shared" si="100"/>
        <v>115080</v>
      </c>
      <c r="S204" s="28">
        <v>4410255</v>
      </c>
      <c r="T204" s="33">
        <f t="shared" si="101"/>
        <v>4460295</v>
      </c>
      <c r="U204" s="9">
        <f t="shared" si="102"/>
        <v>0</v>
      </c>
      <c r="V204" s="33">
        <f t="shared" si="103"/>
        <v>4583727</v>
      </c>
      <c r="W204" s="33">
        <f t="shared" si="104"/>
        <v>0</v>
      </c>
      <c r="X204" s="33">
        <v>0</v>
      </c>
      <c r="Y204" s="113">
        <f t="shared" si="105"/>
        <v>4583727</v>
      </c>
      <c r="Z204" s="155">
        <f t="shared" si="106"/>
        <v>17.950674874178436</v>
      </c>
      <c r="AA204" s="33">
        <f t="shared" si="107"/>
        <v>25650204</v>
      </c>
      <c r="AB204" s="114">
        <f t="shared" si="108"/>
        <v>100.45067528243963</v>
      </c>
      <c r="AC204" s="28">
        <f t="shared" si="109"/>
        <v>333661.01999999955</v>
      </c>
      <c r="AD204" s="28">
        <f t="shared" si="110"/>
        <v>173472</v>
      </c>
      <c r="AE204" s="28">
        <f t="shared" si="111"/>
        <v>115080.38575000037</v>
      </c>
      <c r="AF204" s="115">
        <f t="shared" si="112"/>
        <v>0.45067487417843566</v>
      </c>
      <c r="AG204" s="28">
        <f t="shared" si="113"/>
        <v>15308.83</v>
      </c>
      <c r="AI204" s="28">
        <f t="shared" si="114"/>
        <v>0</v>
      </c>
      <c r="AJ204" s="28"/>
      <c r="AK204" s="28">
        <f t="shared" si="115"/>
        <v>104</v>
      </c>
      <c r="AL204" s="156"/>
      <c r="AM204" s="6">
        <f t="shared" si="116"/>
        <v>197</v>
      </c>
      <c r="AN204" s="6" t="str">
        <f t="shared" si="117"/>
        <v xml:space="preserve">Nantucket                    </v>
      </c>
      <c r="AO204" s="6">
        <f t="shared" si="118"/>
        <v>1</v>
      </c>
      <c r="AP204" s="9">
        <f t="shared" si="123"/>
        <v>1668</v>
      </c>
      <c r="AQ204" s="9">
        <f t="shared" si="119"/>
        <v>25535123.509999998</v>
      </c>
      <c r="AR204" s="33">
        <f t="shared" si="120"/>
        <v>21066477</v>
      </c>
      <c r="AS204" s="33">
        <f t="shared" si="121"/>
        <v>4583727</v>
      </c>
      <c r="AU204" s="28"/>
      <c r="AV204" s="9"/>
      <c r="AW204" s="519"/>
    </row>
    <row r="205" spans="1:49">
      <c r="A205" s="6">
        <v>198</v>
      </c>
      <c r="B205" s="6" t="s">
        <v>1316</v>
      </c>
      <c r="C205" s="7">
        <v>1</v>
      </c>
      <c r="D205" s="9">
        <v>65231071.033819996</v>
      </c>
      <c r="E205" s="9">
        <v>52065336</v>
      </c>
      <c r="F205" s="9">
        <v>13165735</v>
      </c>
      <c r="G205" s="348"/>
      <c r="H205" s="111">
        <f t="shared" si="122"/>
        <v>13165735</v>
      </c>
      <c r="I205" s="9">
        <f t="shared" si="93"/>
        <v>67714131.173480004</v>
      </c>
      <c r="J205" s="33">
        <f t="shared" si="94"/>
        <v>54650974</v>
      </c>
      <c r="K205" s="9">
        <f t="shared" si="95"/>
        <v>13063157</v>
      </c>
      <c r="L205" s="112">
        <f t="shared" si="96"/>
        <v>0</v>
      </c>
      <c r="M205" s="458">
        <f>ROUND(100-'Townwide Contributions'!L204,2)</f>
        <v>17.5</v>
      </c>
      <c r="N205" s="9">
        <v>5309</v>
      </c>
      <c r="O205" s="9">
        <f t="shared" si="97"/>
        <v>5293</v>
      </c>
      <c r="P205" s="9">
        <f t="shared" si="98"/>
        <v>0</v>
      </c>
      <c r="Q205" s="28">
        <f t="shared" si="99"/>
        <v>550472</v>
      </c>
      <c r="R205" s="382">
        <f t="shared" si="100"/>
        <v>550472</v>
      </c>
      <c r="S205" s="28">
        <v>13165735</v>
      </c>
      <c r="T205" s="33">
        <f t="shared" si="101"/>
        <v>13324525</v>
      </c>
      <c r="U205" s="9">
        <f t="shared" si="102"/>
        <v>0</v>
      </c>
      <c r="V205" s="33">
        <f t="shared" si="103"/>
        <v>13716207</v>
      </c>
      <c r="W205" s="33">
        <f t="shared" si="104"/>
        <v>0</v>
      </c>
      <c r="X205" s="33">
        <v>0</v>
      </c>
      <c r="Y205" s="113">
        <f t="shared" si="105"/>
        <v>13716207</v>
      </c>
      <c r="Z205" s="155">
        <f t="shared" si="106"/>
        <v>20.256048128063263</v>
      </c>
      <c r="AA205" s="33">
        <f t="shared" si="107"/>
        <v>68367181</v>
      </c>
      <c r="AB205" s="114">
        <f t="shared" si="108"/>
        <v>100.96442177607938</v>
      </c>
      <c r="AC205" s="28">
        <f t="shared" si="109"/>
        <v>2483060.1396600083</v>
      </c>
      <c r="AD205" s="28">
        <f t="shared" si="110"/>
        <v>550472</v>
      </c>
      <c r="AE205" s="28">
        <f t="shared" si="111"/>
        <v>1866234.0446409993</v>
      </c>
      <c r="AF205" s="115">
        <f t="shared" si="112"/>
        <v>2.7560481280632629</v>
      </c>
      <c r="AG205" s="28">
        <f t="shared" si="113"/>
        <v>12793.15</v>
      </c>
      <c r="AI205" s="28">
        <f t="shared" si="114"/>
        <v>0</v>
      </c>
      <c r="AJ205" s="28"/>
      <c r="AK205" s="28">
        <f t="shared" si="115"/>
        <v>104</v>
      </c>
      <c r="AL205" s="156"/>
      <c r="AM205" s="6">
        <f t="shared" si="116"/>
        <v>198</v>
      </c>
      <c r="AN205" s="6" t="str">
        <f t="shared" si="117"/>
        <v xml:space="preserve">Natick                       </v>
      </c>
      <c r="AO205" s="6">
        <f t="shared" si="118"/>
        <v>1</v>
      </c>
      <c r="AP205" s="9">
        <f t="shared" si="123"/>
        <v>5293</v>
      </c>
      <c r="AQ205" s="9">
        <f t="shared" si="119"/>
        <v>67714131.173480004</v>
      </c>
      <c r="AR205" s="33">
        <f t="shared" si="120"/>
        <v>54650974</v>
      </c>
      <c r="AS205" s="33">
        <f t="shared" si="121"/>
        <v>13716207</v>
      </c>
      <c r="AU205" s="28"/>
      <c r="AV205" s="9"/>
      <c r="AW205" s="519"/>
    </row>
    <row r="206" spans="1:49">
      <c r="A206" s="6">
        <v>199</v>
      </c>
      <c r="B206" s="6" t="s">
        <v>1317</v>
      </c>
      <c r="C206" s="7">
        <v>1</v>
      </c>
      <c r="D206" s="9">
        <v>70773642.887999997</v>
      </c>
      <c r="E206" s="9">
        <v>57461187</v>
      </c>
      <c r="F206" s="9">
        <v>13312456</v>
      </c>
      <c r="G206" s="348"/>
      <c r="H206" s="111">
        <f t="shared" si="122"/>
        <v>13312456</v>
      </c>
      <c r="I206" s="9">
        <f t="shared" si="93"/>
        <v>72809517.784119993</v>
      </c>
      <c r="J206" s="33">
        <f t="shared" si="94"/>
        <v>60067852</v>
      </c>
      <c r="K206" s="9">
        <f t="shared" si="95"/>
        <v>12741666</v>
      </c>
      <c r="L206" s="112">
        <f t="shared" si="96"/>
        <v>0</v>
      </c>
      <c r="M206" s="458">
        <f>ROUND(100-'Townwide Contributions'!L205,2)</f>
        <v>17.5</v>
      </c>
      <c r="N206" s="9">
        <v>5558</v>
      </c>
      <c r="O206" s="9">
        <f t="shared" si="97"/>
        <v>5582</v>
      </c>
      <c r="P206" s="9">
        <f t="shared" si="98"/>
        <v>0</v>
      </c>
      <c r="Q206" s="28">
        <f t="shared" si="99"/>
        <v>580528</v>
      </c>
      <c r="R206" s="382">
        <f t="shared" si="100"/>
        <v>580528</v>
      </c>
      <c r="S206" s="28">
        <v>13312456</v>
      </c>
      <c r="T206" s="33">
        <f t="shared" si="101"/>
        <v>13479916</v>
      </c>
      <c r="U206" s="9">
        <f t="shared" si="102"/>
        <v>0</v>
      </c>
      <c r="V206" s="33">
        <f t="shared" si="103"/>
        <v>13892984</v>
      </c>
      <c r="W206" s="33">
        <f t="shared" si="104"/>
        <v>0</v>
      </c>
      <c r="X206" s="33">
        <v>0</v>
      </c>
      <c r="Y206" s="113">
        <f t="shared" si="105"/>
        <v>13892984</v>
      </c>
      <c r="Z206" s="155">
        <f t="shared" si="106"/>
        <v>19.081274567966041</v>
      </c>
      <c r="AA206" s="33">
        <f t="shared" si="107"/>
        <v>73960836</v>
      </c>
      <c r="AB206" s="114">
        <f t="shared" si="108"/>
        <v>101.58127433187191</v>
      </c>
      <c r="AC206" s="28">
        <f t="shared" si="109"/>
        <v>2035874.8961199969</v>
      </c>
      <c r="AD206" s="28">
        <f t="shared" si="110"/>
        <v>580528</v>
      </c>
      <c r="AE206" s="28">
        <f t="shared" si="111"/>
        <v>1151318.3877790011</v>
      </c>
      <c r="AF206" s="115">
        <f t="shared" si="112"/>
        <v>1.5812745679660409</v>
      </c>
      <c r="AG206" s="28">
        <f t="shared" si="113"/>
        <v>13043.63</v>
      </c>
      <c r="AI206" s="28">
        <f t="shared" si="114"/>
        <v>0</v>
      </c>
      <c r="AJ206" s="28"/>
      <c r="AK206" s="28">
        <f t="shared" si="115"/>
        <v>104</v>
      </c>
      <c r="AL206" s="156"/>
      <c r="AM206" s="6">
        <f t="shared" si="116"/>
        <v>199</v>
      </c>
      <c r="AN206" s="6" t="str">
        <f t="shared" si="117"/>
        <v xml:space="preserve">Needham                      </v>
      </c>
      <c r="AO206" s="6">
        <f t="shared" si="118"/>
        <v>1</v>
      </c>
      <c r="AP206" s="9">
        <f t="shared" si="123"/>
        <v>5582</v>
      </c>
      <c r="AQ206" s="9">
        <f t="shared" si="119"/>
        <v>72809517.784119993</v>
      </c>
      <c r="AR206" s="33">
        <f t="shared" si="120"/>
        <v>60067852</v>
      </c>
      <c r="AS206" s="33">
        <f t="shared" si="121"/>
        <v>13892984</v>
      </c>
      <c r="AU206" s="28"/>
      <c r="AV206" s="9"/>
      <c r="AW206" s="519"/>
    </row>
    <row r="207" spans="1:49">
      <c r="A207" s="6">
        <v>200</v>
      </c>
      <c r="B207" s="6" t="s">
        <v>1318</v>
      </c>
      <c r="C207" s="7">
        <v>0</v>
      </c>
      <c r="D207" s="9">
        <v>223427.56</v>
      </c>
      <c r="E207" s="9">
        <v>184328</v>
      </c>
      <c r="F207" s="9">
        <v>180257</v>
      </c>
      <c r="G207" s="348"/>
      <c r="H207" s="111">
        <f t="shared" si="122"/>
        <v>180257</v>
      </c>
      <c r="I207" s="9">
        <f t="shared" si="93"/>
        <v>183449.93</v>
      </c>
      <c r="J207" s="33">
        <f t="shared" si="94"/>
        <v>151346</v>
      </c>
      <c r="K207" s="9">
        <f t="shared" si="95"/>
        <v>32104</v>
      </c>
      <c r="L207" s="112">
        <f t="shared" si="96"/>
        <v>0</v>
      </c>
      <c r="M207" s="458">
        <f>ROUND(100-'Townwide Contributions'!L206,2)</f>
        <v>17.5</v>
      </c>
      <c r="N207" s="9">
        <v>19</v>
      </c>
      <c r="O207" s="9">
        <f t="shared" si="97"/>
        <v>15</v>
      </c>
      <c r="P207" s="9">
        <f t="shared" si="98"/>
        <v>0</v>
      </c>
      <c r="Q207" s="28">
        <f t="shared" si="99"/>
        <v>0</v>
      </c>
      <c r="R207" s="382">
        <f t="shared" si="100"/>
        <v>0</v>
      </c>
      <c r="S207" s="28">
        <v>175561.43000000002</v>
      </c>
      <c r="T207" s="33">
        <f t="shared" si="101"/>
        <v>176011.43000000002</v>
      </c>
      <c r="U207" s="9">
        <f t="shared" si="102"/>
        <v>0</v>
      </c>
      <c r="V207" s="33">
        <f t="shared" si="103"/>
        <v>180257</v>
      </c>
      <c r="W207" s="33">
        <f t="shared" si="104"/>
        <v>0</v>
      </c>
      <c r="X207" s="33">
        <v>0</v>
      </c>
      <c r="Y207" s="113">
        <f t="shared" si="105"/>
        <v>180257</v>
      </c>
      <c r="Z207" s="155">
        <f t="shared" si="106"/>
        <v>0</v>
      </c>
      <c r="AA207" s="33">
        <f t="shared" si="107"/>
        <v>331603</v>
      </c>
      <c r="AB207" s="114">
        <f t="shared" si="108"/>
        <v>180.75940394199117</v>
      </c>
      <c r="AC207" s="28">
        <f t="shared" si="109"/>
        <v>-39977.630000000005</v>
      </c>
      <c r="AD207" s="28">
        <f t="shared" si="110"/>
        <v>0</v>
      </c>
      <c r="AE207" s="28">
        <f t="shared" si="111"/>
        <v>148153.26225</v>
      </c>
      <c r="AF207" s="115" t="str">
        <f t="shared" si="112"/>
        <v/>
      </c>
      <c r="AG207" s="28">
        <f t="shared" si="113"/>
        <v>12230</v>
      </c>
      <c r="AI207" s="28">
        <f t="shared" si="114"/>
        <v>0</v>
      </c>
      <c r="AJ207" s="28"/>
      <c r="AK207" s="28">
        <f t="shared" si="115"/>
        <v>0</v>
      </c>
      <c r="AL207" s="156"/>
      <c r="AM207" s="6">
        <f t="shared" si="116"/>
        <v>200</v>
      </c>
      <c r="AN207" s="6" t="str">
        <f t="shared" si="117"/>
        <v xml:space="preserve">New Ashford                  </v>
      </c>
      <c r="AO207" s="6">
        <f t="shared" si="118"/>
        <v>0</v>
      </c>
      <c r="AP207" s="9">
        <f t="shared" si="123"/>
        <v>15</v>
      </c>
      <c r="AQ207" s="9">
        <f t="shared" si="119"/>
        <v>183449.93</v>
      </c>
      <c r="AR207" s="33">
        <f t="shared" si="120"/>
        <v>151346</v>
      </c>
      <c r="AS207" s="33">
        <f t="shared" si="121"/>
        <v>180257</v>
      </c>
      <c r="AU207" s="28"/>
      <c r="AV207" s="9"/>
      <c r="AW207" s="519"/>
    </row>
    <row r="208" spans="1:49">
      <c r="A208" s="6">
        <v>201</v>
      </c>
      <c r="B208" s="6" t="s">
        <v>1319</v>
      </c>
      <c r="C208" s="7">
        <v>1</v>
      </c>
      <c r="D208" s="9">
        <v>259908138.25999999</v>
      </c>
      <c r="E208" s="9">
        <v>35809016</v>
      </c>
      <c r="F208" s="9">
        <v>224099122</v>
      </c>
      <c r="G208" s="348"/>
      <c r="H208" s="111">
        <f t="shared" si="122"/>
        <v>224099122</v>
      </c>
      <c r="I208" s="9">
        <f t="shared" si="93"/>
        <v>274431862.38999999</v>
      </c>
      <c r="J208" s="33">
        <f t="shared" si="94"/>
        <v>38100672</v>
      </c>
      <c r="K208" s="9">
        <f t="shared" si="95"/>
        <v>236331190</v>
      </c>
      <c r="L208" s="112">
        <f t="shared" si="96"/>
        <v>12232068</v>
      </c>
      <c r="M208" s="458">
        <f>ROUND(100-'Townwide Contributions'!L207,2)</f>
        <v>80</v>
      </c>
      <c r="N208" s="9">
        <v>14148</v>
      </c>
      <c r="O208" s="9">
        <f t="shared" si="97"/>
        <v>14110</v>
      </c>
      <c r="P208" s="9">
        <f t="shared" si="98"/>
        <v>1</v>
      </c>
      <c r="Q208" s="28">
        <f t="shared" si="99"/>
        <v>1467440</v>
      </c>
      <c r="R208" s="382">
        <f t="shared" si="100"/>
        <v>0</v>
      </c>
      <c r="S208" s="28">
        <v>224099122</v>
      </c>
      <c r="T208" s="33">
        <f t="shared" si="101"/>
        <v>224522422</v>
      </c>
      <c r="U208" s="9">
        <f t="shared" si="102"/>
        <v>0</v>
      </c>
      <c r="V208" s="33">
        <f t="shared" si="103"/>
        <v>236331190</v>
      </c>
      <c r="W208" s="33">
        <f t="shared" si="104"/>
        <v>0</v>
      </c>
      <c r="X208" s="33">
        <v>0</v>
      </c>
      <c r="Y208" s="113">
        <f t="shared" si="105"/>
        <v>236331190</v>
      </c>
      <c r="Z208" s="155">
        <f t="shared" si="106"/>
        <v>86.116527411144972</v>
      </c>
      <c r="AA208" s="33">
        <f t="shared" si="107"/>
        <v>274431862</v>
      </c>
      <c r="AB208" s="114">
        <f t="shared" si="108"/>
        <v>99.999999857888227</v>
      </c>
      <c r="AC208" s="28">
        <f t="shared" si="109"/>
        <v>14523724.129999995</v>
      </c>
      <c r="AD208" s="28">
        <f t="shared" si="110"/>
        <v>12232068</v>
      </c>
      <c r="AE208" s="28">
        <f t="shared" si="111"/>
        <v>16785700.088</v>
      </c>
      <c r="AF208" s="115">
        <f t="shared" si="112"/>
        <v>6.1165274111449719</v>
      </c>
      <c r="AG208" s="28">
        <f t="shared" si="113"/>
        <v>19449.46</v>
      </c>
      <c r="AI208" s="28">
        <f t="shared" si="114"/>
        <v>0</v>
      </c>
      <c r="AJ208" s="28"/>
      <c r="AK208" s="28">
        <f t="shared" si="115"/>
        <v>866.90772501771789</v>
      </c>
      <c r="AL208" s="156"/>
      <c r="AM208" s="6">
        <f t="shared" si="116"/>
        <v>201</v>
      </c>
      <c r="AN208" s="6" t="str">
        <f t="shared" si="117"/>
        <v xml:space="preserve">New Bedford                  </v>
      </c>
      <c r="AO208" s="6">
        <f t="shared" si="118"/>
        <v>1</v>
      </c>
      <c r="AP208" s="9">
        <f t="shared" si="123"/>
        <v>14110</v>
      </c>
      <c r="AQ208" s="9">
        <f t="shared" si="119"/>
        <v>274431862.38999999</v>
      </c>
      <c r="AR208" s="33">
        <f t="shared" si="120"/>
        <v>38100672</v>
      </c>
      <c r="AS208" s="33">
        <f t="shared" si="121"/>
        <v>236331190</v>
      </c>
      <c r="AU208" s="28"/>
      <c r="AV208" s="9"/>
      <c r="AW208" s="519"/>
    </row>
    <row r="209" spans="1:49">
      <c r="A209" s="6">
        <v>202</v>
      </c>
      <c r="B209" s="6" t="s">
        <v>1320</v>
      </c>
      <c r="C209" s="7">
        <v>0</v>
      </c>
      <c r="D209" s="9">
        <v>32981.520000000004</v>
      </c>
      <c r="E209" s="9">
        <v>19885</v>
      </c>
      <c r="F209" s="9">
        <v>17386</v>
      </c>
      <c r="G209" s="348"/>
      <c r="H209" s="111">
        <f t="shared" si="122"/>
        <v>17386</v>
      </c>
      <c r="I209" s="9">
        <f t="shared" si="93"/>
        <v>16860.330000000002</v>
      </c>
      <c r="J209" s="33">
        <f t="shared" si="94"/>
        <v>11115</v>
      </c>
      <c r="K209" s="9">
        <f t="shared" si="95"/>
        <v>5745</v>
      </c>
      <c r="L209" s="112">
        <f t="shared" si="96"/>
        <v>0</v>
      </c>
      <c r="M209" s="458">
        <f>ROUND(100-'Townwide Contributions'!L208,2)</f>
        <v>30.82</v>
      </c>
      <c r="N209" s="9">
        <v>2</v>
      </c>
      <c r="O209" s="9">
        <f t="shared" si="97"/>
        <v>1</v>
      </c>
      <c r="P209" s="9">
        <f t="shared" si="98"/>
        <v>0</v>
      </c>
      <c r="Q209" s="28">
        <f t="shared" si="99"/>
        <v>0</v>
      </c>
      <c r="R209" s="382">
        <f t="shared" si="100"/>
        <v>0</v>
      </c>
      <c r="S209" s="28">
        <v>16451.54</v>
      </c>
      <c r="T209" s="33">
        <f t="shared" si="101"/>
        <v>16481.54</v>
      </c>
      <c r="U209" s="9">
        <f t="shared" si="102"/>
        <v>0</v>
      </c>
      <c r="V209" s="33">
        <f t="shared" si="103"/>
        <v>17386</v>
      </c>
      <c r="W209" s="33">
        <f t="shared" si="104"/>
        <v>525.66999999999825</v>
      </c>
      <c r="X209" s="33">
        <v>0</v>
      </c>
      <c r="Y209" s="113">
        <f t="shared" si="105"/>
        <v>16860.330000000002</v>
      </c>
      <c r="Z209" s="155">
        <f t="shared" si="106"/>
        <v>0</v>
      </c>
      <c r="AA209" s="33">
        <f t="shared" si="107"/>
        <v>27975.33</v>
      </c>
      <c r="AB209" s="114">
        <f t="shared" si="108"/>
        <v>165.92397657697089</v>
      </c>
      <c r="AC209" s="28">
        <f t="shared" si="109"/>
        <v>-16121.190000000002</v>
      </c>
      <c r="AD209" s="28">
        <f t="shared" si="110"/>
        <v>-525.66999999999825</v>
      </c>
      <c r="AE209" s="28">
        <f t="shared" si="111"/>
        <v>11663.976294</v>
      </c>
      <c r="AF209" s="115" t="str">
        <f t="shared" si="112"/>
        <v/>
      </c>
      <c r="AG209" s="28">
        <f t="shared" si="113"/>
        <v>16860.330000000002</v>
      </c>
      <c r="AI209" s="28">
        <f t="shared" si="114"/>
        <v>0</v>
      </c>
      <c r="AJ209" s="28"/>
      <c r="AK209" s="28">
        <f t="shared" si="115"/>
        <v>-525.66999999999825</v>
      </c>
      <c r="AL209" s="156"/>
      <c r="AM209" s="6">
        <f t="shared" si="116"/>
        <v>202</v>
      </c>
      <c r="AN209" s="6" t="str">
        <f t="shared" si="117"/>
        <v xml:space="preserve">New Braintree                </v>
      </c>
      <c r="AO209" s="6">
        <f t="shared" si="118"/>
        <v>0</v>
      </c>
      <c r="AP209" s="9">
        <f t="shared" si="123"/>
        <v>1</v>
      </c>
      <c r="AQ209" s="9">
        <f t="shared" si="119"/>
        <v>16860.330000000002</v>
      </c>
      <c r="AR209" s="33">
        <f t="shared" si="120"/>
        <v>11115</v>
      </c>
      <c r="AS209" s="33">
        <f t="shared" si="121"/>
        <v>16860.330000000002</v>
      </c>
      <c r="AU209" s="28"/>
      <c r="AV209" s="9"/>
      <c r="AW209" s="519"/>
    </row>
    <row r="210" spans="1:49">
      <c r="A210" s="6">
        <v>203</v>
      </c>
      <c r="B210" s="6" t="s">
        <v>1321</v>
      </c>
      <c r="C210" s="7">
        <v>0</v>
      </c>
      <c r="D210" s="9">
        <v>17004.397409999998</v>
      </c>
      <c r="E210" s="9">
        <v>12936</v>
      </c>
      <c r="F210" s="9">
        <v>16934</v>
      </c>
      <c r="G210" s="348"/>
      <c r="H210" s="111">
        <f t="shared" si="122"/>
        <v>16934</v>
      </c>
      <c r="I210" s="9">
        <f t="shared" si="93"/>
        <v>52022.572920000006</v>
      </c>
      <c r="J210" s="33">
        <f t="shared" si="94"/>
        <v>42919</v>
      </c>
      <c r="K210" s="9">
        <f t="shared" si="95"/>
        <v>9104</v>
      </c>
      <c r="L210" s="112">
        <f t="shared" si="96"/>
        <v>0</v>
      </c>
      <c r="M210" s="458">
        <f>ROUND(100-'Townwide Contributions'!L209,2)</f>
        <v>17.5</v>
      </c>
      <c r="N210" s="9">
        <v>1</v>
      </c>
      <c r="O210" s="9">
        <f t="shared" si="97"/>
        <v>3</v>
      </c>
      <c r="P210" s="9">
        <f t="shared" si="98"/>
        <v>0</v>
      </c>
      <c r="Q210" s="28">
        <f t="shared" si="99"/>
        <v>0</v>
      </c>
      <c r="R210" s="382">
        <f t="shared" si="100"/>
        <v>0</v>
      </c>
      <c r="S210" s="28">
        <v>16934</v>
      </c>
      <c r="T210" s="33">
        <f t="shared" si="101"/>
        <v>17024</v>
      </c>
      <c r="U210" s="9">
        <f t="shared" si="102"/>
        <v>0</v>
      </c>
      <c r="V210" s="33">
        <f t="shared" si="103"/>
        <v>16934</v>
      </c>
      <c r="W210" s="33">
        <f t="shared" si="104"/>
        <v>0</v>
      </c>
      <c r="X210" s="33">
        <v>0</v>
      </c>
      <c r="Y210" s="113">
        <f t="shared" si="105"/>
        <v>16934</v>
      </c>
      <c r="Z210" s="155">
        <f t="shared" si="106"/>
        <v>0</v>
      </c>
      <c r="AA210" s="33">
        <f t="shared" si="107"/>
        <v>59853</v>
      </c>
      <c r="AB210" s="114">
        <f t="shared" si="108"/>
        <v>115.05197963207544</v>
      </c>
      <c r="AC210" s="28">
        <f t="shared" si="109"/>
        <v>35018.175510000008</v>
      </c>
      <c r="AD210" s="28">
        <f t="shared" si="110"/>
        <v>0</v>
      </c>
      <c r="AE210" s="28">
        <f t="shared" si="111"/>
        <v>7830.049739</v>
      </c>
      <c r="AF210" s="115" t="str">
        <f t="shared" si="112"/>
        <v/>
      </c>
      <c r="AG210" s="28">
        <f t="shared" si="113"/>
        <v>17340.86</v>
      </c>
      <c r="AI210" s="28">
        <f t="shared" si="114"/>
        <v>0</v>
      </c>
      <c r="AJ210" s="28"/>
      <c r="AK210" s="28">
        <f t="shared" si="115"/>
        <v>0</v>
      </c>
      <c r="AL210" s="156"/>
      <c r="AM210" s="6">
        <f t="shared" si="116"/>
        <v>203</v>
      </c>
      <c r="AN210" s="6" t="str">
        <f t="shared" si="117"/>
        <v xml:space="preserve">Newbury                      </v>
      </c>
      <c r="AO210" s="6">
        <f t="shared" si="118"/>
        <v>0</v>
      </c>
      <c r="AP210" s="9">
        <f t="shared" si="123"/>
        <v>3</v>
      </c>
      <c r="AQ210" s="9">
        <f t="shared" si="119"/>
        <v>52022.572920000006</v>
      </c>
      <c r="AR210" s="33">
        <f t="shared" si="120"/>
        <v>42919</v>
      </c>
      <c r="AS210" s="33">
        <f t="shared" si="121"/>
        <v>16934</v>
      </c>
      <c r="AU210" s="28"/>
      <c r="AV210" s="9"/>
      <c r="AW210" s="519"/>
    </row>
    <row r="211" spans="1:49">
      <c r="A211" s="6">
        <v>204</v>
      </c>
      <c r="B211" s="6" t="s">
        <v>1322</v>
      </c>
      <c r="C211" s="7">
        <v>1</v>
      </c>
      <c r="D211" s="9">
        <v>27448207.989999998</v>
      </c>
      <c r="E211" s="9">
        <v>21788063</v>
      </c>
      <c r="F211" s="9">
        <v>5660145</v>
      </c>
      <c r="G211" s="348"/>
      <c r="H211" s="111">
        <f t="shared" si="122"/>
        <v>5660145</v>
      </c>
      <c r="I211" s="9">
        <f t="shared" si="93"/>
        <v>27513365.690000001</v>
      </c>
      <c r="J211" s="33">
        <f t="shared" si="94"/>
        <v>22663896</v>
      </c>
      <c r="K211" s="9">
        <f t="shared" si="95"/>
        <v>4849470</v>
      </c>
      <c r="L211" s="112">
        <f t="shared" si="96"/>
        <v>0</v>
      </c>
      <c r="M211" s="458">
        <f>ROUND(100-'Townwide Contributions'!L210,2)</f>
        <v>17.5</v>
      </c>
      <c r="N211" s="9">
        <v>2232</v>
      </c>
      <c r="O211" s="9">
        <f t="shared" si="97"/>
        <v>2185</v>
      </c>
      <c r="P211" s="9">
        <f t="shared" si="98"/>
        <v>0</v>
      </c>
      <c r="Q211" s="28">
        <f t="shared" si="99"/>
        <v>227240</v>
      </c>
      <c r="R211" s="382">
        <f t="shared" si="100"/>
        <v>227240</v>
      </c>
      <c r="S211" s="28">
        <v>5660145</v>
      </c>
      <c r="T211" s="33">
        <f t="shared" si="101"/>
        <v>5725695</v>
      </c>
      <c r="U211" s="9">
        <f t="shared" si="102"/>
        <v>0</v>
      </c>
      <c r="V211" s="33">
        <f t="shared" si="103"/>
        <v>5887385</v>
      </c>
      <c r="W211" s="33">
        <f t="shared" si="104"/>
        <v>0</v>
      </c>
      <c r="X211" s="33">
        <v>0</v>
      </c>
      <c r="Y211" s="113">
        <f t="shared" si="105"/>
        <v>5887385</v>
      </c>
      <c r="Z211" s="155">
        <f t="shared" si="106"/>
        <v>21.398272629872494</v>
      </c>
      <c r="AA211" s="33">
        <f t="shared" si="107"/>
        <v>28551281</v>
      </c>
      <c r="AB211" s="114">
        <f t="shared" si="108"/>
        <v>103.77240400790819</v>
      </c>
      <c r="AC211" s="28">
        <f t="shared" si="109"/>
        <v>65157.70000000298</v>
      </c>
      <c r="AD211" s="28">
        <f t="shared" si="110"/>
        <v>227240</v>
      </c>
      <c r="AE211" s="28">
        <f t="shared" si="111"/>
        <v>1072546.0042500002</v>
      </c>
      <c r="AF211" s="115">
        <f t="shared" si="112"/>
        <v>3.8982726298724941</v>
      </c>
      <c r="AG211" s="28">
        <f t="shared" si="113"/>
        <v>12591.93</v>
      </c>
      <c r="AI211" s="28">
        <f t="shared" si="114"/>
        <v>0</v>
      </c>
      <c r="AJ211" s="28"/>
      <c r="AK211" s="28">
        <f t="shared" si="115"/>
        <v>104</v>
      </c>
      <c r="AL211" s="156"/>
      <c r="AM211" s="6">
        <f t="shared" si="116"/>
        <v>204</v>
      </c>
      <c r="AN211" s="6" t="str">
        <f t="shared" si="117"/>
        <v xml:space="preserve">Newburyport                  </v>
      </c>
      <c r="AO211" s="6">
        <f t="shared" si="118"/>
        <v>1</v>
      </c>
      <c r="AP211" s="9">
        <f t="shared" si="123"/>
        <v>2185</v>
      </c>
      <c r="AQ211" s="9">
        <f t="shared" si="119"/>
        <v>27513365.690000001</v>
      </c>
      <c r="AR211" s="33">
        <f t="shared" si="120"/>
        <v>22663896</v>
      </c>
      <c r="AS211" s="33">
        <f t="shared" si="121"/>
        <v>5887385</v>
      </c>
      <c r="AU211" s="28"/>
      <c r="AV211" s="9"/>
      <c r="AW211" s="519"/>
    </row>
    <row r="212" spans="1:49">
      <c r="A212" s="6">
        <v>205</v>
      </c>
      <c r="B212" s="6" t="s">
        <v>1323</v>
      </c>
      <c r="C212" s="7">
        <v>0</v>
      </c>
      <c r="D212" s="9">
        <v>0</v>
      </c>
      <c r="E212" s="9">
        <v>0</v>
      </c>
      <c r="F212" s="9">
        <v>0</v>
      </c>
      <c r="G212" s="348"/>
      <c r="H212" s="111">
        <f t="shared" si="122"/>
        <v>0</v>
      </c>
      <c r="I212" s="9">
        <f t="shared" si="93"/>
        <v>0</v>
      </c>
      <c r="J212" s="33">
        <f t="shared" si="94"/>
        <v>0</v>
      </c>
      <c r="K212" s="9">
        <f t="shared" si="95"/>
        <v>0</v>
      </c>
      <c r="L212" s="112">
        <f t="shared" si="96"/>
        <v>0</v>
      </c>
      <c r="M212" s="458">
        <f>ROUND(100-'Townwide Contributions'!L211,2)</f>
        <v>17.5</v>
      </c>
      <c r="N212" s="9">
        <v>0</v>
      </c>
      <c r="O212" s="9">
        <f t="shared" si="97"/>
        <v>0</v>
      </c>
      <c r="P212" s="9">
        <f t="shared" si="98"/>
        <v>0</v>
      </c>
      <c r="Q212" s="28">
        <f t="shared" si="99"/>
        <v>0</v>
      </c>
      <c r="R212" s="382">
        <f t="shared" si="100"/>
        <v>0</v>
      </c>
      <c r="S212" s="28">
        <v>0</v>
      </c>
      <c r="T212" s="33">
        <f t="shared" si="101"/>
        <v>0</v>
      </c>
      <c r="U212" s="9">
        <f t="shared" si="102"/>
        <v>0</v>
      </c>
      <c r="V212" s="33">
        <f t="shared" si="103"/>
        <v>0</v>
      </c>
      <c r="W212" s="33">
        <f t="shared" si="104"/>
        <v>0</v>
      </c>
      <c r="X212" s="33">
        <v>0</v>
      </c>
      <c r="Y212" s="113">
        <f t="shared" si="105"/>
        <v>0</v>
      </c>
      <c r="Z212" s="155">
        <f t="shared" si="106"/>
        <v>0</v>
      </c>
      <c r="AA212" s="33">
        <f t="shared" si="107"/>
        <v>0</v>
      </c>
      <c r="AB212" s="114">
        <f t="shared" si="108"/>
        <v>0</v>
      </c>
      <c r="AC212" s="28">
        <f t="shared" si="109"/>
        <v>0</v>
      </c>
      <c r="AD212" s="28">
        <f t="shared" si="110"/>
        <v>0</v>
      </c>
      <c r="AE212" s="28">
        <f t="shared" si="111"/>
        <v>0</v>
      </c>
      <c r="AF212" s="115" t="str">
        <f t="shared" si="112"/>
        <v/>
      </c>
      <c r="AG212" s="28">
        <f t="shared" si="113"/>
        <v>0</v>
      </c>
      <c r="AI212" s="28">
        <f t="shared" si="114"/>
        <v>0</v>
      </c>
      <c r="AJ212" s="28"/>
      <c r="AK212" s="28">
        <f t="shared" si="115"/>
        <v>0</v>
      </c>
      <c r="AL212" s="156"/>
      <c r="AM212" s="6">
        <f t="shared" si="116"/>
        <v>205</v>
      </c>
      <c r="AN212" s="6" t="str">
        <f t="shared" si="117"/>
        <v xml:space="preserve">New Marlborough              </v>
      </c>
      <c r="AO212" s="6">
        <f t="shared" si="118"/>
        <v>0</v>
      </c>
      <c r="AP212" s="9">
        <f t="shared" si="123"/>
        <v>0</v>
      </c>
      <c r="AQ212" s="9">
        <f t="shared" si="119"/>
        <v>0</v>
      </c>
      <c r="AR212" s="33">
        <f t="shared" si="120"/>
        <v>0</v>
      </c>
      <c r="AS212" s="33">
        <f t="shared" si="121"/>
        <v>0</v>
      </c>
      <c r="AU212" s="28"/>
      <c r="AW212" s="519"/>
    </row>
    <row r="213" spans="1:49">
      <c r="A213" s="6">
        <v>206</v>
      </c>
      <c r="B213" s="6" t="s">
        <v>1324</v>
      </c>
      <c r="C213" s="7">
        <v>0</v>
      </c>
      <c r="D213" s="9">
        <v>0</v>
      </c>
      <c r="E213" s="9">
        <v>0</v>
      </c>
      <c r="F213" s="9">
        <v>0</v>
      </c>
      <c r="G213" s="348"/>
      <c r="H213" s="111">
        <f t="shared" si="122"/>
        <v>0</v>
      </c>
      <c r="I213" s="9">
        <f t="shared" si="93"/>
        <v>0</v>
      </c>
      <c r="J213" s="33">
        <f t="shared" si="94"/>
        <v>0</v>
      </c>
      <c r="K213" s="9">
        <f t="shared" si="95"/>
        <v>0</v>
      </c>
      <c r="L213" s="112">
        <f t="shared" si="96"/>
        <v>0</v>
      </c>
      <c r="M213" s="458">
        <f>ROUND(100-'Townwide Contributions'!L212,2)</f>
        <v>31.29</v>
      </c>
      <c r="N213" s="9">
        <v>0</v>
      </c>
      <c r="O213" s="9">
        <f t="shared" si="97"/>
        <v>0</v>
      </c>
      <c r="P213" s="9">
        <f t="shared" si="98"/>
        <v>0</v>
      </c>
      <c r="Q213" s="28">
        <f t="shared" si="99"/>
        <v>0</v>
      </c>
      <c r="R213" s="382">
        <f t="shared" si="100"/>
        <v>0</v>
      </c>
      <c r="S213" s="28">
        <v>0</v>
      </c>
      <c r="T213" s="33">
        <f t="shared" si="101"/>
        <v>0</v>
      </c>
      <c r="U213" s="9">
        <f t="shared" si="102"/>
        <v>0</v>
      </c>
      <c r="V213" s="33">
        <f t="shared" si="103"/>
        <v>0</v>
      </c>
      <c r="W213" s="33">
        <f t="shared" si="104"/>
        <v>0</v>
      </c>
      <c r="X213" s="33">
        <v>0</v>
      </c>
      <c r="Y213" s="113">
        <f t="shared" si="105"/>
        <v>0</v>
      </c>
      <c r="Z213" s="155">
        <f t="shared" si="106"/>
        <v>0</v>
      </c>
      <c r="AA213" s="33">
        <f t="shared" si="107"/>
        <v>0</v>
      </c>
      <c r="AB213" s="114">
        <f t="shared" si="108"/>
        <v>0</v>
      </c>
      <c r="AC213" s="28">
        <f t="shared" si="109"/>
        <v>0</v>
      </c>
      <c r="AD213" s="28">
        <f t="shared" si="110"/>
        <v>0</v>
      </c>
      <c r="AE213" s="28">
        <f t="shared" si="111"/>
        <v>0</v>
      </c>
      <c r="AF213" s="115" t="str">
        <f t="shared" si="112"/>
        <v/>
      </c>
      <c r="AG213" s="28">
        <f t="shared" si="113"/>
        <v>0</v>
      </c>
      <c r="AI213" s="28">
        <f t="shared" si="114"/>
        <v>0</v>
      </c>
      <c r="AJ213" s="28"/>
      <c r="AK213" s="28">
        <f t="shared" si="115"/>
        <v>0</v>
      </c>
      <c r="AL213" s="156"/>
      <c r="AM213" s="6">
        <f t="shared" si="116"/>
        <v>206</v>
      </c>
      <c r="AN213" s="6" t="str">
        <f t="shared" si="117"/>
        <v xml:space="preserve">New Salem                    </v>
      </c>
      <c r="AO213" s="6">
        <f t="shared" si="118"/>
        <v>0</v>
      </c>
      <c r="AP213" s="9">
        <f t="shared" si="123"/>
        <v>0</v>
      </c>
      <c r="AQ213" s="9">
        <f t="shared" si="119"/>
        <v>0</v>
      </c>
      <c r="AR213" s="33">
        <f t="shared" si="120"/>
        <v>0</v>
      </c>
      <c r="AS213" s="33">
        <f t="shared" si="121"/>
        <v>0</v>
      </c>
      <c r="AU213" s="28"/>
      <c r="AW213" s="519"/>
    </row>
    <row r="214" spans="1:49">
      <c r="A214" s="6">
        <v>207</v>
      </c>
      <c r="B214" s="6" t="s">
        <v>1325</v>
      </c>
      <c r="C214" s="7">
        <v>1</v>
      </c>
      <c r="D214" s="9">
        <v>156764603.61603001</v>
      </c>
      <c r="E214" s="9">
        <v>129330798</v>
      </c>
      <c r="F214" s="9">
        <v>27433806</v>
      </c>
      <c r="G214" s="348"/>
      <c r="H214" s="111">
        <f t="shared" si="122"/>
        <v>27433806</v>
      </c>
      <c r="I214" s="9">
        <f t="shared" si="93"/>
        <v>159609730.37020001</v>
      </c>
      <c r="J214" s="33">
        <f t="shared" si="94"/>
        <v>131678028</v>
      </c>
      <c r="K214" s="9">
        <f t="shared" si="95"/>
        <v>27931702</v>
      </c>
      <c r="L214" s="112">
        <f t="shared" si="96"/>
        <v>497896</v>
      </c>
      <c r="M214" s="458">
        <f>ROUND(100-'Townwide Contributions'!L213,2)</f>
        <v>17.5</v>
      </c>
      <c r="N214" s="9">
        <v>11885</v>
      </c>
      <c r="O214" s="9">
        <f t="shared" si="97"/>
        <v>11757</v>
      </c>
      <c r="P214" s="9">
        <f t="shared" si="98"/>
        <v>1</v>
      </c>
      <c r="Q214" s="28">
        <f t="shared" si="99"/>
        <v>1222728</v>
      </c>
      <c r="R214" s="382">
        <f t="shared" si="100"/>
        <v>724832</v>
      </c>
      <c r="S214" s="28">
        <v>27433806</v>
      </c>
      <c r="T214" s="33">
        <f t="shared" si="101"/>
        <v>27786516</v>
      </c>
      <c r="U214" s="9">
        <f t="shared" si="102"/>
        <v>0</v>
      </c>
      <c r="V214" s="33">
        <f t="shared" si="103"/>
        <v>28656534</v>
      </c>
      <c r="W214" s="33">
        <f t="shared" si="104"/>
        <v>0</v>
      </c>
      <c r="X214" s="33">
        <v>0</v>
      </c>
      <c r="Y214" s="113">
        <f t="shared" si="105"/>
        <v>28656534</v>
      </c>
      <c r="Z214" s="155">
        <f t="shared" si="106"/>
        <v>17.954127191076523</v>
      </c>
      <c r="AA214" s="33">
        <f t="shared" si="107"/>
        <v>160334562</v>
      </c>
      <c r="AB214" s="114">
        <f t="shared" si="108"/>
        <v>100.45412746962157</v>
      </c>
      <c r="AC214" s="28">
        <f t="shared" si="109"/>
        <v>2845126.7541700006</v>
      </c>
      <c r="AD214" s="28">
        <f t="shared" si="110"/>
        <v>1222728</v>
      </c>
      <c r="AE214" s="28">
        <f t="shared" si="111"/>
        <v>724831.18521500006</v>
      </c>
      <c r="AF214" s="115">
        <f t="shared" si="112"/>
        <v>0.45412719107652322</v>
      </c>
      <c r="AG214" s="28">
        <f t="shared" si="113"/>
        <v>13575.72</v>
      </c>
      <c r="AI214" s="28">
        <f t="shared" si="114"/>
        <v>0</v>
      </c>
      <c r="AJ214" s="28"/>
      <c r="AK214" s="28">
        <f t="shared" si="115"/>
        <v>104</v>
      </c>
      <c r="AL214" s="156"/>
      <c r="AM214" s="6">
        <f t="shared" si="116"/>
        <v>207</v>
      </c>
      <c r="AN214" s="6" t="str">
        <f t="shared" si="117"/>
        <v xml:space="preserve">Newton                       </v>
      </c>
      <c r="AO214" s="6">
        <f t="shared" si="118"/>
        <v>1</v>
      </c>
      <c r="AP214" s="9">
        <f t="shared" si="123"/>
        <v>11757</v>
      </c>
      <c r="AQ214" s="9">
        <f t="shared" si="119"/>
        <v>159609730.37020001</v>
      </c>
      <c r="AR214" s="33">
        <f t="shared" si="120"/>
        <v>131678028</v>
      </c>
      <c r="AS214" s="33">
        <f t="shared" si="121"/>
        <v>28656534</v>
      </c>
      <c r="AU214" s="28"/>
      <c r="AV214" s="9"/>
      <c r="AW214" s="519"/>
    </row>
    <row r="215" spans="1:49">
      <c r="A215" s="6">
        <v>208</v>
      </c>
      <c r="B215" s="6" t="s">
        <v>1326</v>
      </c>
      <c r="C215" s="7">
        <v>1</v>
      </c>
      <c r="D215" s="9">
        <v>11993145.444000002</v>
      </c>
      <c r="E215" s="9">
        <v>9300692</v>
      </c>
      <c r="F215" s="9">
        <v>3612405</v>
      </c>
      <c r="G215" s="348"/>
      <c r="H215" s="111">
        <f t="shared" si="122"/>
        <v>3612405</v>
      </c>
      <c r="I215" s="9">
        <f t="shared" si="93"/>
        <v>12579945.423040001</v>
      </c>
      <c r="J215" s="33">
        <f t="shared" si="94"/>
        <v>9800477</v>
      </c>
      <c r="K215" s="9">
        <f t="shared" si="95"/>
        <v>2779468</v>
      </c>
      <c r="L215" s="112">
        <f t="shared" si="96"/>
        <v>0</v>
      </c>
      <c r="M215" s="458">
        <f>ROUND(100-'Townwide Contributions'!L214,2)</f>
        <v>17.5</v>
      </c>
      <c r="N215" s="9">
        <v>1010</v>
      </c>
      <c r="O215" s="9">
        <f t="shared" si="97"/>
        <v>1031</v>
      </c>
      <c r="P215" s="9">
        <f t="shared" si="98"/>
        <v>0</v>
      </c>
      <c r="Q215" s="28">
        <f t="shared" si="99"/>
        <v>107224</v>
      </c>
      <c r="R215" s="382">
        <f t="shared" si="100"/>
        <v>107224</v>
      </c>
      <c r="S215" s="28">
        <v>3612405</v>
      </c>
      <c r="T215" s="33">
        <f t="shared" si="101"/>
        <v>3643335</v>
      </c>
      <c r="U215" s="9">
        <f t="shared" si="102"/>
        <v>0</v>
      </c>
      <c r="V215" s="33">
        <f t="shared" si="103"/>
        <v>3719629</v>
      </c>
      <c r="W215" s="33">
        <f t="shared" si="104"/>
        <v>0</v>
      </c>
      <c r="X215" s="33">
        <v>0</v>
      </c>
      <c r="Y215" s="113">
        <f t="shared" si="105"/>
        <v>3719629</v>
      </c>
      <c r="Z215" s="155">
        <f t="shared" si="106"/>
        <v>29.567926369438375</v>
      </c>
      <c r="AA215" s="33">
        <f t="shared" si="107"/>
        <v>13520106</v>
      </c>
      <c r="AB215" s="114">
        <f t="shared" si="108"/>
        <v>107.47348692974541</v>
      </c>
      <c r="AC215" s="28">
        <f t="shared" si="109"/>
        <v>586799.97903999873</v>
      </c>
      <c r="AD215" s="28">
        <f t="shared" si="110"/>
        <v>107224</v>
      </c>
      <c r="AE215" s="28">
        <f t="shared" si="111"/>
        <v>1518138.5509680002</v>
      </c>
      <c r="AF215" s="115">
        <f t="shared" si="112"/>
        <v>12.067926369438375</v>
      </c>
      <c r="AG215" s="28">
        <f t="shared" si="113"/>
        <v>12201.69</v>
      </c>
      <c r="AI215" s="28">
        <f t="shared" si="114"/>
        <v>0</v>
      </c>
      <c r="AJ215" s="28"/>
      <c r="AK215" s="28">
        <f t="shared" si="115"/>
        <v>104</v>
      </c>
      <c r="AL215" s="156"/>
      <c r="AM215" s="6">
        <f t="shared" si="116"/>
        <v>208</v>
      </c>
      <c r="AN215" s="6" t="str">
        <f t="shared" si="117"/>
        <v xml:space="preserve">Norfolk                      </v>
      </c>
      <c r="AO215" s="6">
        <f t="shared" si="118"/>
        <v>1</v>
      </c>
      <c r="AP215" s="9">
        <f t="shared" si="123"/>
        <v>1031</v>
      </c>
      <c r="AQ215" s="9">
        <f t="shared" si="119"/>
        <v>12579945.423040001</v>
      </c>
      <c r="AR215" s="33">
        <f t="shared" si="120"/>
        <v>9800477</v>
      </c>
      <c r="AS215" s="33">
        <f t="shared" si="121"/>
        <v>3719629</v>
      </c>
      <c r="AU215" s="28"/>
      <c r="AV215" s="9"/>
      <c r="AW215" s="519"/>
    </row>
    <row r="216" spans="1:49">
      <c r="A216" s="6">
        <v>209</v>
      </c>
      <c r="B216" s="6" t="s">
        <v>1327</v>
      </c>
      <c r="C216" s="7">
        <v>1</v>
      </c>
      <c r="D216" s="9">
        <v>21755055.919999998</v>
      </c>
      <c r="E216" s="9">
        <v>5538974</v>
      </c>
      <c r="F216" s="9">
        <v>16216082</v>
      </c>
      <c r="G216" s="348"/>
      <c r="H216" s="111">
        <f t="shared" si="122"/>
        <v>16216082</v>
      </c>
      <c r="I216" s="9">
        <f t="shared" si="93"/>
        <v>22174984.270000003</v>
      </c>
      <c r="J216" s="33">
        <f t="shared" si="94"/>
        <v>5756158</v>
      </c>
      <c r="K216" s="9">
        <f t="shared" si="95"/>
        <v>16418826</v>
      </c>
      <c r="L216" s="112">
        <f t="shared" si="96"/>
        <v>202744</v>
      </c>
      <c r="M216" s="458">
        <f>ROUND(100-'Townwide Contributions'!L215,2)</f>
        <v>72.39</v>
      </c>
      <c r="N216" s="9">
        <v>1315</v>
      </c>
      <c r="O216" s="9">
        <f t="shared" si="97"/>
        <v>1280</v>
      </c>
      <c r="P216" s="9">
        <f t="shared" si="98"/>
        <v>1</v>
      </c>
      <c r="Q216" s="28">
        <f t="shared" si="99"/>
        <v>133120</v>
      </c>
      <c r="R216" s="382">
        <f t="shared" si="100"/>
        <v>0</v>
      </c>
      <c r="S216" s="28">
        <v>16216082</v>
      </c>
      <c r="T216" s="33">
        <f t="shared" si="101"/>
        <v>16254482</v>
      </c>
      <c r="U216" s="9">
        <f t="shared" si="102"/>
        <v>0</v>
      </c>
      <c r="V216" s="33">
        <f t="shared" si="103"/>
        <v>16418826</v>
      </c>
      <c r="W216" s="33">
        <f t="shared" si="104"/>
        <v>0</v>
      </c>
      <c r="X216" s="33">
        <v>0</v>
      </c>
      <c r="Y216" s="113">
        <f t="shared" si="105"/>
        <v>16418826</v>
      </c>
      <c r="Z216" s="155">
        <f t="shared" si="106"/>
        <v>74.04210889210249</v>
      </c>
      <c r="AA216" s="33">
        <f t="shared" si="107"/>
        <v>22174984</v>
      </c>
      <c r="AB216" s="114">
        <f t="shared" si="108"/>
        <v>99.999998782411751</v>
      </c>
      <c r="AC216" s="28">
        <f t="shared" si="109"/>
        <v>419928.35000000522</v>
      </c>
      <c r="AD216" s="28">
        <f t="shared" si="110"/>
        <v>202744</v>
      </c>
      <c r="AE216" s="28">
        <f t="shared" si="111"/>
        <v>366354.88694699854</v>
      </c>
      <c r="AF216" s="115">
        <f t="shared" si="112"/>
        <v>1.6521088921024898</v>
      </c>
      <c r="AG216" s="28">
        <f t="shared" si="113"/>
        <v>17324.21</v>
      </c>
      <c r="AI216" s="28">
        <f t="shared" si="114"/>
        <v>0</v>
      </c>
      <c r="AJ216" s="28"/>
      <c r="AK216" s="28">
        <f t="shared" si="115"/>
        <v>158.39375000000001</v>
      </c>
      <c r="AL216" s="156"/>
      <c r="AM216" s="6">
        <f t="shared" si="116"/>
        <v>209</v>
      </c>
      <c r="AN216" s="6" t="str">
        <f t="shared" si="117"/>
        <v xml:space="preserve">North Adams                  </v>
      </c>
      <c r="AO216" s="6">
        <f t="shared" si="118"/>
        <v>1</v>
      </c>
      <c r="AP216" s="9">
        <f t="shared" si="123"/>
        <v>1280</v>
      </c>
      <c r="AQ216" s="9">
        <f t="shared" si="119"/>
        <v>22174984.270000003</v>
      </c>
      <c r="AR216" s="33">
        <f t="shared" si="120"/>
        <v>5756158</v>
      </c>
      <c r="AS216" s="33">
        <f t="shared" si="121"/>
        <v>16418826</v>
      </c>
      <c r="AU216" s="28"/>
      <c r="AV216" s="9"/>
      <c r="AW216" s="519"/>
    </row>
    <row r="217" spans="1:49">
      <c r="A217" s="6">
        <v>210</v>
      </c>
      <c r="B217" s="6" t="s">
        <v>1328</v>
      </c>
      <c r="C217" s="7">
        <v>1</v>
      </c>
      <c r="D217" s="9">
        <v>35618666.020000003</v>
      </c>
      <c r="E217" s="9">
        <v>28077001</v>
      </c>
      <c r="F217" s="9">
        <v>7958689</v>
      </c>
      <c r="G217" s="348"/>
      <c r="H217" s="111">
        <f t="shared" si="122"/>
        <v>7958689</v>
      </c>
      <c r="I217" s="9">
        <f t="shared" si="93"/>
        <v>35941837.469999999</v>
      </c>
      <c r="J217" s="33">
        <f t="shared" si="94"/>
        <v>29043502</v>
      </c>
      <c r="K217" s="9">
        <f t="shared" si="95"/>
        <v>6898335</v>
      </c>
      <c r="L217" s="112">
        <f t="shared" si="96"/>
        <v>0</v>
      </c>
      <c r="M217" s="458">
        <f>ROUND(100-'Townwide Contributions'!L216,2)</f>
        <v>17.5</v>
      </c>
      <c r="N217" s="9">
        <v>2668</v>
      </c>
      <c r="O217" s="9">
        <f t="shared" si="97"/>
        <v>2600</v>
      </c>
      <c r="P217" s="9">
        <f t="shared" si="98"/>
        <v>0</v>
      </c>
      <c r="Q217" s="28">
        <f t="shared" si="99"/>
        <v>270400</v>
      </c>
      <c r="R217" s="382">
        <f t="shared" si="100"/>
        <v>270400</v>
      </c>
      <c r="S217" s="28">
        <v>7958689</v>
      </c>
      <c r="T217" s="33">
        <f t="shared" si="101"/>
        <v>8036689</v>
      </c>
      <c r="U217" s="9">
        <f t="shared" si="102"/>
        <v>0</v>
      </c>
      <c r="V217" s="33">
        <f t="shared" si="103"/>
        <v>8229089</v>
      </c>
      <c r="W217" s="33">
        <f t="shared" si="104"/>
        <v>0</v>
      </c>
      <c r="X217" s="33">
        <v>0</v>
      </c>
      <c r="Y217" s="113">
        <f t="shared" si="105"/>
        <v>8229089</v>
      </c>
      <c r="Z217" s="155">
        <f t="shared" si="106"/>
        <v>22.895571231906747</v>
      </c>
      <c r="AA217" s="33">
        <f t="shared" si="107"/>
        <v>37272591</v>
      </c>
      <c r="AB217" s="114">
        <f t="shared" si="108"/>
        <v>103.70251946943658</v>
      </c>
      <c r="AC217" s="28">
        <f t="shared" si="109"/>
        <v>323171.44999999553</v>
      </c>
      <c r="AD217" s="28">
        <f t="shared" si="110"/>
        <v>270400</v>
      </c>
      <c r="AE217" s="28">
        <f t="shared" si="111"/>
        <v>1939267.4427500004</v>
      </c>
      <c r="AF217" s="115">
        <f t="shared" si="112"/>
        <v>5.3955712319067466</v>
      </c>
      <c r="AG217" s="28">
        <f t="shared" si="113"/>
        <v>13823.78</v>
      </c>
      <c r="AI217" s="28">
        <f t="shared" si="114"/>
        <v>0</v>
      </c>
      <c r="AJ217" s="28"/>
      <c r="AK217" s="28">
        <f t="shared" si="115"/>
        <v>104</v>
      </c>
      <c r="AL217" s="156"/>
      <c r="AM217" s="6">
        <f t="shared" si="116"/>
        <v>210</v>
      </c>
      <c r="AN217" s="6" t="str">
        <f t="shared" si="117"/>
        <v xml:space="preserve">Northampton                  </v>
      </c>
      <c r="AO217" s="6">
        <f t="shared" si="118"/>
        <v>1</v>
      </c>
      <c r="AP217" s="9">
        <f t="shared" si="123"/>
        <v>2600</v>
      </c>
      <c r="AQ217" s="9">
        <f t="shared" si="119"/>
        <v>35941837.469999999</v>
      </c>
      <c r="AR217" s="33">
        <f t="shared" si="120"/>
        <v>29043502</v>
      </c>
      <c r="AS217" s="33">
        <f t="shared" si="121"/>
        <v>8229089</v>
      </c>
      <c r="AU217" s="28"/>
      <c r="AV217" s="9"/>
      <c r="AW217" s="519"/>
    </row>
    <row r="218" spans="1:49">
      <c r="A218" s="6">
        <v>211</v>
      </c>
      <c r="B218" s="6" t="s">
        <v>1329</v>
      </c>
      <c r="C218" s="7">
        <v>1</v>
      </c>
      <c r="D218" s="9">
        <v>57569717.300000004</v>
      </c>
      <c r="E218" s="9">
        <v>45627018</v>
      </c>
      <c r="F218" s="9">
        <v>11942699</v>
      </c>
      <c r="G218" s="348"/>
      <c r="H218" s="111">
        <f t="shared" si="122"/>
        <v>11942699</v>
      </c>
      <c r="I218" s="9">
        <f t="shared" si="93"/>
        <v>58940201.540000007</v>
      </c>
      <c r="J218" s="33">
        <f t="shared" si="94"/>
        <v>47473051</v>
      </c>
      <c r="K218" s="9">
        <f t="shared" si="95"/>
        <v>11467151</v>
      </c>
      <c r="L218" s="112">
        <f t="shared" si="96"/>
        <v>0</v>
      </c>
      <c r="M218" s="458">
        <f>ROUND(100-'Townwide Contributions'!L217,2)</f>
        <v>17.5</v>
      </c>
      <c r="N218" s="9">
        <v>4505</v>
      </c>
      <c r="O218" s="9">
        <f t="shared" si="97"/>
        <v>4460</v>
      </c>
      <c r="P218" s="9">
        <f t="shared" si="98"/>
        <v>0</v>
      </c>
      <c r="Q218" s="28">
        <f t="shared" si="99"/>
        <v>463840</v>
      </c>
      <c r="R218" s="382">
        <f t="shared" si="100"/>
        <v>463840</v>
      </c>
      <c r="S218" s="28">
        <v>11942699</v>
      </c>
      <c r="T218" s="33">
        <f t="shared" si="101"/>
        <v>12076499</v>
      </c>
      <c r="U218" s="9">
        <f t="shared" si="102"/>
        <v>0</v>
      </c>
      <c r="V218" s="33">
        <f t="shared" si="103"/>
        <v>12406539</v>
      </c>
      <c r="W218" s="33">
        <f t="shared" si="104"/>
        <v>0</v>
      </c>
      <c r="X218" s="33">
        <v>0</v>
      </c>
      <c r="Y218" s="113">
        <f t="shared" si="105"/>
        <v>12406539</v>
      </c>
      <c r="Z218" s="155">
        <f t="shared" si="106"/>
        <v>21.049366435539334</v>
      </c>
      <c r="AA218" s="33">
        <f t="shared" si="107"/>
        <v>59879590</v>
      </c>
      <c r="AB218" s="114">
        <f t="shared" si="108"/>
        <v>101.59379919894315</v>
      </c>
      <c r="AC218" s="28">
        <f t="shared" si="109"/>
        <v>1370484.2400000021</v>
      </c>
      <c r="AD218" s="28">
        <f t="shared" si="110"/>
        <v>463840</v>
      </c>
      <c r="AE218" s="28">
        <f t="shared" si="111"/>
        <v>2092003.7304999996</v>
      </c>
      <c r="AF218" s="115">
        <f t="shared" si="112"/>
        <v>3.5493664355393335</v>
      </c>
      <c r="AG218" s="28">
        <f t="shared" si="113"/>
        <v>13215.29</v>
      </c>
      <c r="AI218" s="28">
        <f t="shared" si="114"/>
        <v>0</v>
      </c>
      <c r="AJ218" s="28"/>
      <c r="AK218" s="28">
        <f t="shared" si="115"/>
        <v>104</v>
      </c>
      <c r="AL218" s="156"/>
      <c r="AM218" s="6">
        <f t="shared" si="116"/>
        <v>211</v>
      </c>
      <c r="AN218" s="6" t="str">
        <f t="shared" si="117"/>
        <v xml:space="preserve">North Andover                </v>
      </c>
      <c r="AO218" s="6">
        <f t="shared" si="118"/>
        <v>1</v>
      </c>
      <c r="AP218" s="9">
        <f t="shared" si="123"/>
        <v>4460</v>
      </c>
      <c r="AQ218" s="9">
        <f t="shared" si="119"/>
        <v>58940201.540000007</v>
      </c>
      <c r="AR218" s="33">
        <f t="shared" si="120"/>
        <v>47473051</v>
      </c>
      <c r="AS218" s="33">
        <f t="shared" si="121"/>
        <v>12406539</v>
      </c>
      <c r="AU218" s="28"/>
      <c r="AV218" s="9"/>
      <c r="AW218" s="519"/>
    </row>
    <row r="219" spans="1:49">
      <c r="A219" s="6">
        <v>212</v>
      </c>
      <c r="B219" s="6" t="s">
        <v>1330</v>
      </c>
      <c r="C219" s="7">
        <v>1</v>
      </c>
      <c r="D219" s="9">
        <v>51608133.329999998</v>
      </c>
      <c r="E219" s="9">
        <v>32183541</v>
      </c>
      <c r="F219" s="9">
        <v>21293531</v>
      </c>
      <c r="G219" s="348"/>
      <c r="H219" s="111">
        <f t="shared" si="122"/>
        <v>21293531</v>
      </c>
      <c r="I219" s="9">
        <f t="shared" si="93"/>
        <v>52550990.75</v>
      </c>
      <c r="J219" s="33">
        <f t="shared" si="94"/>
        <v>34400627</v>
      </c>
      <c r="K219" s="9">
        <f t="shared" si="95"/>
        <v>18150364</v>
      </c>
      <c r="L219" s="112">
        <f t="shared" si="96"/>
        <v>0</v>
      </c>
      <c r="M219" s="458">
        <f>ROUND(100-'Townwide Contributions'!L218,2)</f>
        <v>25.52</v>
      </c>
      <c r="N219" s="9">
        <v>4031</v>
      </c>
      <c r="O219" s="9">
        <f t="shared" si="97"/>
        <v>3974</v>
      </c>
      <c r="P219" s="9">
        <f t="shared" si="98"/>
        <v>0</v>
      </c>
      <c r="Q219" s="28">
        <f t="shared" si="99"/>
        <v>413296</v>
      </c>
      <c r="R219" s="382">
        <f t="shared" si="100"/>
        <v>413296</v>
      </c>
      <c r="S219" s="28">
        <v>21293531</v>
      </c>
      <c r="T219" s="33">
        <f t="shared" si="101"/>
        <v>21412751</v>
      </c>
      <c r="U219" s="9">
        <f t="shared" si="102"/>
        <v>0</v>
      </c>
      <c r="V219" s="33">
        <f t="shared" si="103"/>
        <v>21706827</v>
      </c>
      <c r="W219" s="33">
        <f t="shared" si="104"/>
        <v>0</v>
      </c>
      <c r="X219" s="33">
        <v>0</v>
      </c>
      <c r="Y219" s="113">
        <f t="shared" si="105"/>
        <v>21706827</v>
      </c>
      <c r="Z219" s="155">
        <f t="shared" si="106"/>
        <v>41.30621837990752</v>
      </c>
      <c r="AA219" s="33">
        <f t="shared" si="107"/>
        <v>56107454</v>
      </c>
      <c r="AB219" s="114">
        <f t="shared" si="108"/>
        <v>106.76764262527249</v>
      </c>
      <c r="AC219" s="28">
        <f t="shared" si="109"/>
        <v>942857.42000000179</v>
      </c>
      <c r="AD219" s="28">
        <f t="shared" si="110"/>
        <v>413296</v>
      </c>
      <c r="AE219" s="28">
        <f t="shared" si="111"/>
        <v>8295814.160600001</v>
      </c>
      <c r="AF219" s="115">
        <f t="shared" si="112"/>
        <v>15.78621837990752</v>
      </c>
      <c r="AG219" s="28">
        <f t="shared" si="113"/>
        <v>13223.7</v>
      </c>
      <c r="AI219" s="28">
        <f t="shared" si="114"/>
        <v>0</v>
      </c>
      <c r="AJ219" s="28"/>
      <c r="AK219" s="28">
        <f t="shared" si="115"/>
        <v>104</v>
      </c>
      <c r="AL219" s="156"/>
      <c r="AM219" s="6">
        <f t="shared" si="116"/>
        <v>212</v>
      </c>
      <c r="AN219" s="6" t="str">
        <f t="shared" si="117"/>
        <v xml:space="preserve">North Attleborough           </v>
      </c>
      <c r="AO219" s="6">
        <f t="shared" si="118"/>
        <v>1</v>
      </c>
      <c r="AP219" s="9">
        <f t="shared" si="123"/>
        <v>3974</v>
      </c>
      <c r="AQ219" s="9">
        <f t="shared" si="119"/>
        <v>52550990.75</v>
      </c>
      <c r="AR219" s="33">
        <f t="shared" si="120"/>
        <v>34400627</v>
      </c>
      <c r="AS219" s="33">
        <f t="shared" si="121"/>
        <v>21706827</v>
      </c>
      <c r="AU219" s="28"/>
      <c r="AV219" s="9"/>
      <c r="AW219" s="519"/>
    </row>
    <row r="220" spans="1:49">
      <c r="A220" s="6">
        <v>213</v>
      </c>
      <c r="B220" s="6" t="s">
        <v>1331</v>
      </c>
      <c r="C220" s="7">
        <v>1</v>
      </c>
      <c r="D220" s="9">
        <v>19538316.099999998</v>
      </c>
      <c r="E220" s="9">
        <v>15713655</v>
      </c>
      <c r="F220" s="9">
        <v>4232990</v>
      </c>
      <c r="G220" s="348"/>
      <c r="H220" s="111">
        <f t="shared" si="122"/>
        <v>4232990</v>
      </c>
      <c r="I220" s="9">
        <f t="shared" si="93"/>
        <v>20846041.259999998</v>
      </c>
      <c r="J220" s="33">
        <f t="shared" si="94"/>
        <v>16677517</v>
      </c>
      <c r="K220" s="9">
        <f t="shared" si="95"/>
        <v>4168524</v>
      </c>
      <c r="L220" s="112">
        <f t="shared" si="96"/>
        <v>0</v>
      </c>
      <c r="M220" s="458">
        <f>ROUND(100-'Townwide Contributions'!L219,2)</f>
        <v>17.5</v>
      </c>
      <c r="N220" s="9">
        <v>1618</v>
      </c>
      <c r="O220" s="9">
        <f t="shared" si="97"/>
        <v>1667</v>
      </c>
      <c r="P220" s="9">
        <f t="shared" si="98"/>
        <v>0</v>
      </c>
      <c r="Q220" s="28">
        <f t="shared" si="99"/>
        <v>173368</v>
      </c>
      <c r="R220" s="382">
        <f t="shared" si="100"/>
        <v>173368</v>
      </c>
      <c r="S220" s="28">
        <v>4232990</v>
      </c>
      <c r="T220" s="33">
        <f t="shared" si="101"/>
        <v>4283000</v>
      </c>
      <c r="U220" s="9">
        <f t="shared" si="102"/>
        <v>0</v>
      </c>
      <c r="V220" s="33">
        <f t="shared" si="103"/>
        <v>4406358</v>
      </c>
      <c r="W220" s="33">
        <f t="shared" si="104"/>
        <v>0</v>
      </c>
      <c r="X220" s="33">
        <v>0</v>
      </c>
      <c r="Y220" s="113">
        <f t="shared" si="105"/>
        <v>4406358</v>
      </c>
      <c r="Z220" s="155">
        <f t="shared" si="106"/>
        <v>21.137624861440958</v>
      </c>
      <c r="AA220" s="33">
        <f t="shared" si="107"/>
        <v>21083875</v>
      </c>
      <c r="AB220" s="114">
        <f t="shared" si="108"/>
        <v>101.14090602159732</v>
      </c>
      <c r="AC220" s="28">
        <f t="shared" si="109"/>
        <v>1307725.1600000001</v>
      </c>
      <c r="AD220" s="28">
        <f t="shared" si="110"/>
        <v>173368</v>
      </c>
      <c r="AE220" s="28">
        <f t="shared" si="111"/>
        <v>758300.77950000064</v>
      </c>
      <c r="AF220" s="115">
        <f t="shared" si="112"/>
        <v>3.6376248614409583</v>
      </c>
      <c r="AG220" s="28">
        <f t="shared" si="113"/>
        <v>12505.12</v>
      </c>
      <c r="AI220" s="28">
        <f t="shared" si="114"/>
        <v>0</v>
      </c>
      <c r="AJ220" s="28"/>
      <c r="AK220" s="28">
        <f t="shared" si="115"/>
        <v>104</v>
      </c>
      <c r="AL220" s="156"/>
      <c r="AM220" s="6">
        <f t="shared" si="116"/>
        <v>213</v>
      </c>
      <c r="AN220" s="6" t="str">
        <f t="shared" si="117"/>
        <v xml:space="preserve">Northborough                 </v>
      </c>
      <c r="AO220" s="6">
        <f t="shared" si="118"/>
        <v>1</v>
      </c>
      <c r="AP220" s="9">
        <f t="shared" si="123"/>
        <v>1667</v>
      </c>
      <c r="AQ220" s="9">
        <f t="shared" si="119"/>
        <v>20846041.259999998</v>
      </c>
      <c r="AR220" s="33">
        <f t="shared" si="120"/>
        <v>16677517</v>
      </c>
      <c r="AS220" s="33">
        <f t="shared" si="121"/>
        <v>4406358</v>
      </c>
      <c r="AU220" s="28"/>
      <c r="AV220" s="9"/>
      <c r="AW220" s="519"/>
    </row>
    <row r="221" spans="1:49">
      <c r="A221" s="6">
        <v>214</v>
      </c>
      <c r="B221" s="6" t="s">
        <v>1332</v>
      </c>
      <c r="C221" s="7">
        <v>1</v>
      </c>
      <c r="D221" s="9">
        <v>28109617.770000007</v>
      </c>
      <c r="E221" s="9">
        <v>14472856</v>
      </c>
      <c r="F221" s="9">
        <v>15905881</v>
      </c>
      <c r="G221" s="348"/>
      <c r="H221" s="111">
        <f t="shared" si="122"/>
        <v>15905881</v>
      </c>
      <c r="I221" s="9">
        <f t="shared" si="93"/>
        <v>27773856.899999991</v>
      </c>
      <c r="J221" s="33">
        <f t="shared" si="94"/>
        <v>15208759</v>
      </c>
      <c r="K221" s="9">
        <f t="shared" si="95"/>
        <v>12565098</v>
      </c>
      <c r="L221" s="112">
        <f t="shared" si="96"/>
        <v>0</v>
      </c>
      <c r="M221" s="458">
        <f>ROUND(100-'Townwide Contributions'!L220,2)</f>
        <v>38.67</v>
      </c>
      <c r="N221" s="9">
        <v>1997</v>
      </c>
      <c r="O221" s="9">
        <f t="shared" si="97"/>
        <v>1918</v>
      </c>
      <c r="P221" s="9">
        <f t="shared" si="98"/>
        <v>0</v>
      </c>
      <c r="Q221" s="28">
        <f t="shared" si="99"/>
        <v>199472</v>
      </c>
      <c r="R221" s="382">
        <f t="shared" si="100"/>
        <v>199472</v>
      </c>
      <c r="S221" s="28">
        <v>15905881</v>
      </c>
      <c r="T221" s="33">
        <f t="shared" si="101"/>
        <v>15963421</v>
      </c>
      <c r="U221" s="9">
        <f t="shared" si="102"/>
        <v>0</v>
      </c>
      <c r="V221" s="33">
        <f t="shared" si="103"/>
        <v>16105353</v>
      </c>
      <c r="W221" s="33">
        <f t="shared" si="104"/>
        <v>0</v>
      </c>
      <c r="X221" s="33">
        <v>0</v>
      </c>
      <c r="Y221" s="113">
        <f t="shared" si="105"/>
        <v>16105353</v>
      </c>
      <c r="Z221" s="155">
        <f t="shared" si="106"/>
        <v>57.987455822169245</v>
      </c>
      <c r="AA221" s="33">
        <f t="shared" si="107"/>
        <v>31314112</v>
      </c>
      <c r="AB221" s="114">
        <f t="shared" si="108"/>
        <v>112.74671757958114</v>
      </c>
      <c r="AC221" s="28">
        <f t="shared" si="109"/>
        <v>-335760.87000001594</v>
      </c>
      <c r="AD221" s="28">
        <f t="shared" si="110"/>
        <v>199472</v>
      </c>
      <c r="AE221" s="28">
        <f t="shared" si="111"/>
        <v>5365202.5367700029</v>
      </c>
      <c r="AF221" s="115">
        <f t="shared" si="112"/>
        <v>19.317455822169244</v>
      </c>
      <c r="AG221" s="28">
        <f t="shared" si="113"/>
        <v>14480.63</v>
      </c>
      <c r="AI221" s="28">
        <f t="shared" si="114"/>
        <v>0</v>
      </c>
      <c r="AJ221" s="28"/>
      <c r="AK221" s="28">
        <f t="shared" si="115"/>
        <v>104</v>
      </c>
      <c r="AL221" s="156"/>
      <c r="AM221" s="6">
        <f t="shared" si="116"/>
        <v>214</v>
      </c>
      <c r="AN221" s="6" t="str">
        <f t="shared" si="117"/>
        <v xml:space="preserve">Northbridge                  </v>
      </c>
      <c r="AO221" s="6">
        <f t="shared" si="118"/>
        <v>1</v>
      </c>
      <c r="AP221" s="9">
        <f t="shared" si="123"/>
        <v>1918</v>
      </c>
      <c r="AQ221" s="9">
        <f t="shared" si="119"/>
        <v>27773856.899999991</v>
      </c>
      <c r="AR221" s="33">
        <f t="shared" si="120"/>
        <v>15208759</v>
      </c>
      <c r="AS221" s="33">
        <f t="shared" si="121"/>
        <v>16105353</v>
      </c>
      <c r="AU221" s="28"/>
      <c r="AV221" s="9"/>
      <c r="AW221" s="519"/>
    </row>
    <row r="222" spans="1:49">
      <c r="A222" s="6">
        <v>215</v>
      </c>
      <c r="B222" s="6" t="s">
        <v>1333</v>
      </c>
      <c r="C222" s="7">
        <v>1</v>
      </c>
      <c r="D222" s="9">
        <v>8281136.6699999999</v>
      </c>
      <c r="E222" s="9">
        <v>3375581</v>
      </c>
      <c r="F222" s="9">
        <v>4905556</v>
      </c>
      <c r="G222" s="348"/>
      <c r="H222" s="111">
        <f t="shared" si="122"/>
        <v>4905556</v>
      </c>
      <c r="I222" s="9">
        <f t="shared" si="93"/>
        <v>8161429.120000002</v>
      </c>
      <c r="J222" s="33">
        <f t="shared" si="94"/>
        <v>3523318</v>
      </c>
      <c r="K222" s="9">
        <f t="shared" si="95"/>
        <v>4638111</v>
      </c>
      <c r="L222" s="112">
        <f t="shared" si="96"/>
        <v>0</v>
      </c>
      <c r="M222" s="458">
        <f>ROUND(100-'Townwide Contributions'!L221,2)</f>
        <v>51.36</v>
      </c>
      <c r="N222" s="9">
        <v>574</v>
      </c>
      <c r="O222" s="9">
        <f t="shared" si="97"/>
        <v>565</v>
      </c>
      <c r="P222" s="9">
        <f t="shared" si="98"/>
        <v>0</v>
      </c>
      <c r="Q222" s="28">
        <f t="shared" si="99"/>
        <v>58760</v>
      </c>
      <c r="R222" s="382">
        <f t="shared" si="100"/>
        <v>58760</v>
      </c>
      <c r="S222" s="28">
        <v>4905556</v>
      </c>
      <c r="T222" s="33">
        <f t="shared" si="101"/>
        <v>4922506</v>
      </c>
      <c r="U222" s="9">
        <f t="shared" si="102"/>
        <v>0</v>
      </c>
      <c r="V222" s="33">
        <f t="shared" si="103"/>
        <v>4964316</v>
      </c>
      <c r="W222" s="33">
        <f t="shared" si="104"/>
        <v>0</v>
      </c>
      <c r="X222" s="33">
        <v>0</v>
      </c>
      <c r="Y222" s="113">
        <f t="shared" si="105"/>
        <v>4964316</v>
      </c>
      <c r="Z222" s="155">
        <f t="shared" si="106"/>
        <v>60.826552886855175</v>
      </c>
      <c r="AA222" s="33">
        <f t="shared" si="107"/>
        <v>8487634</v>
      </c>
      <c r="AB222" s="114">
        <f t="shared" si="108"/>
        <v>103.99690881589127</v>
      </c>
      <c r="AC222" s="28">
        <f t="shared" si="109"/>
        <v>-119707.54999999795</v>
      </c>
      <c r="AD222" s="28">
        <f t="shared" si="110"/>
        <v>58760</v>
      </c>
      <c r="AE222" s="28">
        <f t="shared" si="111"/>
        <v>772606.00396799948</v>
      </c>
      <c r="AF222" s="115">
        <f t="shared" si="112"/>
        <v>9.466552886855176</v>
      </c>
      <c r="AG222" s="28">
        <f t="shared" si="113"/>
        <v>14445.01</v>
      </c>
      <c r="AI222" s="28">
        <f t="shared" si="114"/>
        <v>0</v>
      </c>
      <c r="AJ222" s="28"/>
      <c r="AK222" s="28">
        <f t="shared" si="115"/>
        <v>104</v>
      </c>
      <c r="AL222" s="156"/>
      <c r="AM222" s="6">
        <f t="shared" si="116"/>
        <v>215</v>
      </c>
      <c r="AN222" s="6" t="str">
        <f t="shared" si="117"/>
        <v xml:space="preserve">North Brookfield             </v>
      </c>
      <c r="AO222" s="6">
        <f t="shared" si="118"/>
        <v>1</v>
      </c>
      <c r="AP222" s="9">
        <f t="shared" si="123"/>
        <v>565</v>
      </c>
      <c r="AQ222" s="9">
        <f t="shared" si="119"/>
        <v>8161429.120000002</v>
      </c>
      <c r="AR222" s="33">
        <f t="shared" si="120"/>
        <v>3523318</v>
      </c>
      <c r="AS222" s="33">
        <f t="shared" si="121"/>
        <v>4964316</v>
      </c>
      <c r="AU222" s="28"/>
      <c r="AV222" s="9"/>
      <c r="AW222" s="519"/>
    </row>
    <row r="223" spans="1:49">
      <c r="A223" s="6">
        <v>216</v>
      </c>
      <c r="B223" s="6" t="s">
        <v>1334</v>
      </c>
      <c r="C223" s="7">
        <v>0</v>
      </c>
      <c r="D223" s="9">
        <v>16490.760000000002</v>
      </c>
      <c r="E223" s="9">
        <v>11472</v>
      </c>
      <c r="F223" s="9">
        <v>5019</v>
      </c>
      <c r="G223" s="348"/>
      <c r="H223" s="111">
        <f t="shared" si="122"/>
        <v>5019</v>
      </c>
      <c r="I223" s="9">
        <f t="shared" si="93"/>
        <v>0</v>
      </c>
      <c r="J223" s="33">
        <f t="shared" si="94"/>
        <v>0</v>
      </c>
      <c r="K223" s="9">
        <f t="shared" si="95"/>
        <v>0</v>
      </c>
      <c r="L223" s="112">
        <f t="shared" si="96"/>
        <v>0</v>
      </c>
      <c r="M223" s="458">
        <f>ROUND(100-'Townwide Contributions'!L222,2)</f>
        <v>17.5</v>
      </c>
      <c r="N223" s="9">
        <v>1</v>
      </c>
      <c r="O223" s="9">
        <f t="shared" si="97"/>
        <v>0</v>
      </c>
      <c r="P223" s="9">
        <f t="shared" si="98"/>
        <v>0</v>
      </c>
      <c r="Q223" s="28">
        <f t="shared" si="99"/>
        <v>0</v>
      </c>
      <c r="R223" s="382">
        <f t="shared" si="100"/>
        <v>0</v>
      </c>
      <c r="S223" s="28">
        <v>0</v>
      </c>
      <c r="T223" s="33">
        <f t="shared" si="101"/>
        <v>0</v>
      </c>
      <c r="U223" s="9">
        <f t="shared" si="102"/>
        <v>0</v>
      </c>
      <c r="V223" s="33">
        <f t="shared" si="103"/>
        <v>5019</v>
      </c>
      <c r="W223" s="33">
        <f t="shared" si="104"/>
        <v>5019</v>
      </c>
      <c r="X223" s="33">
        <v>0</v>
      </c>
      <c r="Y223" s="113">
        <f t="shared" si="105"/>
        <v>0</v>
      </c>
      <c r="Z223" s="155">
        <f t="shared" si="106"/>
        <v>0</v>
      </c>
      <c r="AA223" s="33">
        <f t="shared" si="107"/>
        <v>0</v>
      </c>
      <c r="AB223" s="114">
        <f t="shared" si="108"/>
        <v>0</v>
      </c>
      <c r="AC223" s="28">
        <f t="shared" si="109"/>
        <v>-16490.760000000002</v>
      </c>
      <c r="AD223" s="28">
        <f t="shared" si="110"/>
        <v>-5019</v>
      </c>
      <c r="AE223" s="28">
        <f t="shared" si="111"/>
        <v>0</v>
      </c>
      <c r="AF223" s="115" t="str">
        <f t="shared" si="112"/>
        <v/>
      </c>
      <c r="AG223" s="28">
        <f t="shared" si="113"/>
        <v>0</v>
      </c>
      <c r="AI223" s="28">
        <f t="shared" si="114"/>
        <v>0</v>
      </c>
      <c r="AJ223" s="28"/>
      <c r="AK223" s="28">
        <f t="shared" si="115"/>
        <v>0</v>
      </c>
      <c r="AL223" s="156"/>
      <c r="AM223" s="6">
        <f t="shared" si="116"/>
        <v>216</v>
      </c>
      <c r="AN223" s="6" t="str">
        <f t="shared" si="117"/>
        <v xml:space="preserve">Northfield                   </v>
      </c>
      <c r="AO223" s="6">
        <f t="shared" si="118"/>
        <v>0</v>
      </c>
      <c r="AP223" s="9">
        <f t="shared" si="123"/>
        <v>0</v>
      </c>
      <c r="AQ223" s="9">
        <f t="shared" si="119"/>
        <v>0</v>
      </c>
      <c r="AR223" s="33">
        <f t="shared" si="120"/>
        <v>0</v>
      </c>
      <c r="AS223" s="33">
        <f t="shared" si="121"/>
        <v>0</v>
      </c>
      <c r="AU223" s="28"/>
      <c r="AW223" s="519"/>
    </row>
    <row r="224" spans="1:49">
      <c r="A224" s="6">
        <v>217</v>
      </c>
      <c r="B224" s="6" t="s">
        <v>1335</v>
      </c>
      <c r="C224" s="7">
        <v>1</v>
      </c>
      <c r="D224" s="9">
        <v>29062440.792260002</v>
      </c>
      <c r="E224" s="9">
        <v>23011257</v>
      </c>
      <c r="F224" s="9">
        <v>7492247</v>
      </c>
      <c r="G224" s="348"/>
      <c r="H224" s="111">
        <f t="shared" si="122"/>
        <v>7492247</v>
      </c>
      <c r="I224" s="9">
        <f t="shared" si="93"/>
        <v>29675954.006980006</v>
      </c>
      <c r="J224" s="33">
        <f t="shared" si="94"/>
        <v>24047692</v>
      </c>
      <c r="K224" s="9">
        <f t="shared" si="95"/>
        <v>5628262</v>
      </c>
      <c r="L224" s="112">
        <f t="shared" si="96"/>
        <v>0</v>
      </c>
      <c r="M224" s="458">
        <f>ROUND(100-'Townwide Contributions'!L223,2)</f>
        <v>17.5</v>
      </c>
      <c r="N224" s="9">
        <v>2269</v>
      </c>
      <c r="O224" s="9">
        <f t="shared" si="97"/>
        <v>2260</v>
      </c>
      <c r="P224" s="9">
        <f t="shared" si="98"/>
        <v>0</v>
      </c>
      <c r="Q224" s="28">
        <f t="shared" si="99"/>
        <v>235040</v>
      </c>
      <c r="R224" s="382">
        <f t="shared" si="100"/>
        <v>235040</v>
      </c>
      <c r="S224" s="28">
        <v>7492247</v>
      </c>
      <c r="T224" s="33">
        <f t="shared" si="101"/>
        <v>7560047</v>
      </c>
      <c r="U224" s="9">
        <f t="shared" si="102"/>
        <v>0</v>
      </c>
      <c r="V224" s="33">
        <f t="shared" si="103"/>
        <v>7727287</v>
      </c>
      <c r="W224" s="33">
        <f t="shared" si="104"/>
        <v>0</v>
      </c>
      <c r="X224" s="33">
        <v>0</v>
      </c>
      <c r="Y224" s="113">
        <f t="shared" si="105"/>
        <v>7727287</v>
      </c>
      <c r="Z224" s="155">
        <f t="shared" si="106"/>
        <v>26.038883192036504</v>
      </c>
      <c r="AA224" s="33">
        <f t="shared" si="107"/>
        <v>31774979</v>
      </c>
      <c r="AB224" s="114">
        <f t="shared" si="108"/>
        <v>107.07315084976304</v>
      </c>
      <c r="AC224" s="28">
        <f t="shared" si="109"/>
        <v>613513.21472000331</v>
      </c>
      <c r="AD224" s="28">
        <f t="shared" si="110"/>
        <v>235040</v>
      </c>
      <c r="AE224" s="28">
        <f t="shared" si="111"/>
        <v>2533995.0487784995</v>
      </c>
      <c r="AF224" s="115">
        <f t="shared" si="112"/>
        <v>8.5388831920365043</v>
      </c>
      <c r="AG224" s="28">
        <f t="shared" si="113"/>
        <v>13130.95</v>
      </c>
      <c r="AI224" s="28">
        <f t="shared" si="114"/>
        <v>0</v>
      </c>
      <c r="AJ224" s="28"/>
      <c r="AK224" s="28">
        <f t="shared" si="115"/>
        <v>104</v>
      </c>
      <c r="AL224" s="156"/>
      <c r="AM224" s="6">
        <f t="shared" si="116"/>
        <v>217</v>
      </c>
      <c r="AN224" s="6" t="str">
        <f t="shared" si="117"/>
        <v xml:space="preserve">North Reading                </v>
      </c>
      <c r="AO224" s="6">
        <f t="shared" si="118"/>
        <v>1</v>
      </c>
      <c r="AP224" s="9">
        <f t="shared" si="123"/>
        <v>2260</v>
      </c>
      <c r="AQ224" s="9">
        <f t="shared" si="119"/>
        <v>29675954.006980006</v>
      </c>
      <c r="AR224" s="33">
        <f t="shared" si="120"/>
        <v>24047692</v>
      </c>
      <c r="AS224" s="33">
        <f t="shared" si="121"/>
        <v>7727287</v>
      </c>
      <c r="AU224" s="28"/>
      <c r="AV224" s="9"/>
      <c r="AW224" s="519"/>
    </row>
    <row r="225" spans="1:49">
      <c r="A225" s="6">
        <v>218</v>
      </c>
      <c r="B225" s="6" t="s">
        <v>1336</v>
      </c>
      <c r="C225" s="7">
        <v>1</v>
      </c>
      <c r="D225" s="9">
        <v>29128867.219999995</v>
      </c>
      <c r="E225" s="9">
        <v>20948264</v>
      </c>
      <c r="F225" s="9">
        <v>13160540</v>
      </c>
      <c r="G225" s="348"/>
      <c r="H225" s="111">
        <f t="shared" si="122"/>
        <v>13160540</v>
      </c>
      <c r="I225" s="9">
        <f t="shared" si="93"/>
        <v>29386897.029999994</v>
      </c>
      <c r="J225" s="33">
        <f t="shared" si="94"/>
        <v>22278223</v>
      </c>
      <c r="K225" s="9">
        <f t="shared" si="95"/>
        <v>7108674</v>
      </c>
      <c r="L225" s="112">
        <f t="shared" si="96"/>
        <v>0</v>
      </c>
      <c r="M225" s="458">
        <f>ROUND(100-'Townwide Contributions'!L224,2)</f>
        <v>20.39</v>
      </c>
      <c r="N225" s="9">
        <v>2189</v>
      </c>
      <c r="O225" s="9">
        <f t="shared" si="97"/>
        <v>2173</v>
      </c>
      <c r="P225" s="9">
        <f t="shared" si="98"/>
        <v>0</v>
      </c>
      <c r="Q225" s="28">
        <f t="shared" si="99"/>
        <v>225992</v>
      </c>
      <c r="R225" s="382">
        <f t="shared" si="100"/>
        <v>225992</v>
      </c>
      <c r="S225" s="28">
        <v>13160540</v>
      </c>
      <c r="T225" s="33">
        <f t="shared" si="101"/>
        <v>13225730</v>
      </c>
      <c r="U225" s="9">
        <f t="shared" si="102"/>
        <v>0</v>
      </c>
      <c r="V225" s="33">
        <f t="shared" si="103"/>
        <v>13386532</v>
      </c>
      <c r="W225" s="33">
        <f t="shared" si="104"/>
        <v>0</v>
      </c>
      <c r="X225" s="33">
        <v>0</v>
      </c>
      <c r="Y225" s="113">
        <f t="shared" si="105"/>
        <v>13386532</v>
      </c>
      <c r="Z225" s="155">
        <f t="shared" si="106"/>
        <v>45.552723672506787</v>
      </c>
      <c r="AA225" s="33">
        <f t="shared" si="107"/>
        <v>35664755</v>
      </c>
      <c r="AB225" s="114">
        <f t="shared" si="108"/>
        <v>121.36277934887502</v>
      </c>
      <c r="AC225" s="28">
        <f t="shared" si="109"/>
        <v>258029.80999999866</v>
      </c>
      <c r="AD225" s="28">
        <f t="shared" si="110"/>
        <v>225992</v>
      </c>
      <c r="AE225" s="28">
        <f t="shared" si="111"/>
        <v>7394543.6955830017</v>
      </c>
      <c r="AF225" s="115">
        <f t="shared" si="112"/>
        <v>25.162723672506786</v>
      </c>
      <c r="AG225" s="28">
        <f t="shared" si="113"/>
        <v>13523.65</v>
      </c>
      <c r="AI225" s="28">
        <f t="shared" si="114"/>
        <v>0</v>
      </c>
      <c r="AJ225" s="28"/>
      <c r="AK225" s="28">
        <f t="shared" si="115"/>
        <v>104</v>
      </c>
      <c r="AL225" s="156"/>
      <c r="AM225" s="6">
        <f t="shared" si="116"/>
        <v>218</v>
      </c>
      <c r="AN225" s="6" t="str">
        <f t="shared" si="117"/>
        <v xml:space="preserve">Norton                       </v>
      </c>
      <c r="AO225" s="6">
        <f t="shared" si="118"/>
        <v>1</v>
      </c>
      <c r="AP225" s="9">
        <f t="shared" si="123"/>
        <v>2173</v>
      </c>
      <c r="AQ225" s="9">
        <f t="shared" si="119"/>
        <v>29386897.029999994</v>
      </c>
      <c r="AR225" s="33">
        <f t="shared" si="120"/>
        <v>22278223</v>
      </c>
      <c r="AS225" s="33">
        <f t="shared" si="121"/>
        <v>13386532</v>
      </c>
      <c r="AU225" s="28"/>
      <c r="AV225" s="9"/>
      <c r="AW225" s="519"/>
    </row>
    <row r="226" spans="1:49">
      <c r="A226" s="6">
        <v>219</v>
      </c>
      <c r="B226" s="6" t="s">
        <v>1337</v>
      </c>
      <c r="C226" s="7">
        <v>1</v>
      </c>
      <c r="D226" s="9">
        <v>25956168.805050001</v>
      </c>
      <c r="E226" s="9">
        <v>20944041</v>
      </c>
      <c r="F226" s="9">
        <v>5012128</v>
      </c>
      <c r="G226" s="348"/>
      <c r="H226" s="111">
        <f t="shared" si="122"/>
        <v>5012128</v>
      </c>
      <c r="I226" s="9">
        <f t="shared" si="93"/>
        <v>26697645.459049996</v>
      </c>
      <c r="J226" s="33">
        <f t="shared" si="94"/>
        <v>22025558</v>
      </c>
      <c r="K226" s="9">
        <f t="shared" si="95"/>
        <v>4672087</v>
      </c>
      <c r="L226" s="112">
        <f t="shared" si="96"/>
        <v>0</v>
      </c>
      <c r="M226" s="458">
        <f>ROUND(100-'Townwide Contributions'!L225,2)</f>
        <v>17.5</v>
      </c>
      <c r="N226" s="9">
        <v>2100</v>
      </c>
      <c r="O226" s="9">
        <f t="shared" si="97"/>
        <v>2115</v>
      </c>
      <c r="P226" s="9">
        <f t="shared" si="98"/>
        <v>0</v>
      </c>
      <c r="Q226" s="28">
        <f t="shared" si="99"/>
        <v>219960</v>
      </c>
      <c r="R226" s="382">
        <f t="shared" si="100"/>
        <v>219960</v>
      </c>
      <c r="S226" s="28">
        <v>5012128</v>
      </c>
      <c r="T226" s="33">
        <f t="shared" si="101"/>
        <v>5075578</v>
      </c>
      <c r="U226" s="9">
        <f t="shared" si="102"/>
        <v>0</v>
      </c>
      <c r="V226" s="33">
        <f t="shared" si="103"/>
        <v>5232088</v>
      </c>
      <c r="W226" s="33">
        <f t="shared" si="104"/>
        <v>0</v>
      </c>
      <c r="X226" s="33">
        <v>0</v>
      </c>
      <c r="Y226" s="113">
        <f t="shared" si="105"/>
        <v>5232088</v>
      </c>
      <c r="Z226" s="155">
        <f t="shared" si="106"/>
        <v>19.597563418186834</v>
      </c>
      <c r="AA226" s="33">
        <f t="shared" si="107"/>
        <v>27257646</v>
      </c>
      <c r="AB226" s="114">
        <f t="shared" si="108"/>
        <v>102.09756527709141</v>
      </c>
      <c r="AC226" s="28">
        <f t="shared" si="109"/>
        <v>741476.65399999544</v>
      </c>
      <c r="AD226" s="28">
        <f t="shared" si="110"/>
        <v>219960</v>
      </c>
      <c r="AE226" s="28">
        <f t="shared" si="111"/>
        <v>560000.04466625117</v>
      </c>
      <c r="AF226" s="115">
        <f t="shared" si="112"/>
        <v>2.0975634181868337</v>
      </c>
      <c r="AG226" s="28">
        <f t="shared" si="113"/>
        <v>12623</v>
      </c>
      <c r="AI226" s="28">
        <f t="shared" si="114"/>
        <v>0</v>
      </c>
      <c r="AJ226" s="28"/>
      <c r="AK226" s="28">
        <f t="shared" si="115"/>
        <v>104</v>
      </c>
      <c r="AL226" s="156"/>
      <c r="AM226" s="6">
        <f t="shared" si="116"/>
        <v>219</v>
      </c>
      <c r="AN226" s="6" t="str">
        <f t="shared" si="117"/>
        <v xml:space="preserve">Norwell                      </v>
      </c>
      <c r="AO226" s="6">
        <f t="shared" si="118"/>
        <v>1</v>
      </c>
      <c r="AP226" s="9">
        <f t="shared" si="123"/>
        <v>2115</v>
      </c>
      <c r="AQ226" s="9">
        <f t="shared" si="119"/>
        <v>26697645.459049996</v>
      </c>
      <c r="AR226" s="33">
        <f t="shared" si="120"/>
        <v>22025558</v>
      </c>
      <c r="AS226" s="33">
        <f t="shared" si="121"/>
        <v>5232088</v>
      </c>
      <c r="AU226" s="28"/>
      <c r="AV226" s="9"/>
      <c r="AW226" s="519"/>
    </row>
    <row r="227" spans="1:49">
      <c r="A227" s="6">
        <v>220</v>
      </c>
      <c r="B227" s="6" t="s">
        <v>1338</v>
      </c>
      <c r="C227" s="7">
        <v>1</v>
      </c>
      <c r="D227" s="9">
        <v>53483623.868720002</v>
      </c>
      <c r="E227" s="9">
        <v>37142187</v>
      </c>
      <c r="F227" s="9">
        <v>16341437</v>
      </c>
      <c r="G227" s="348"/>
      <c r="H227" s="111">
        <f t="shared" si="122"/>
        <v>16341437</v>
      </c>
      <c r="I227" s="9">
        <f t="shared" si="93"/>
        <v>56535316.259999998</v>
      </c>
      <c r="J227" s="33">
        <f t="shared" si="94"/>
        <v>39118730</v>
      </c>
      <c r="K227" s="9">
        <f t="shared" si="95"/>
        <v>17416586</v>
      </c>
      <c r="L227" s="112">
        <f t="shared" si="96"/>
        <v>1075149</v>
      </c>
      <c r="M227" s="458">
        <f>ROUND(100-'Townwide Contributions'!L226,2)</f>
        <v>17.5</v>
      </c>
      <c r="N227" s="9">
        <v>3547</v>
      </c>
      <c r="O227" s="9">
        <f t="shared" si="97"/>
        <v>3596</v>
      </c>
      <c r="P227" s="9">
        <f t="shared" si="98"/>
        <v>1</v>
      </c>
      <c r="Q227" s="28">
        <f t="shared" si="99"/>
        <v>373984</v>
      </c>
      <c r="R227" s="382">
        <f t="shared" si="100"/>
        <v>0</v>
      </c>
      <c r="S227" s="28">
        <v>16341437</v>
      </c>
      <c r="T227" s="33">
        <f t="shared" si="101"/>
        <v>16449317</v>
      </c>
      <c r="U227" s="9">
        <f t="shared" si="102"/>
        <v>0</v>
      </c>
      <c r="V227" s="33">
        <f t="shared" si="103"/>
        <v>17416586</v>
      </c>
      <c r="W227" s="33">
        <f t="shared" si="104"/>
        <v>0</v>
      </c>
      <c r="X227" s="33">
        <v>0</v>
      </c>
      <c r="Y227" s="113">
        <f t="shared" si="105"/>
        <v>17416586</v>
      </c>
      <c r="Z227" s="155">
        <f t="shared" si="106"/>
        <v>30.806559779205877</v>
      </c>
      <c r="AA227" s="33">
        <f t="shared" si="107"/>
        <v>56535316</v>
      </c>
      <c r="AB227" s="114">
        <f t="shared" si="108"/>
        <v>99.99999954011048</v>
      </c>
      <c r="AC227" s="28">
        <f t="shared" si="109"/>
        <v>3051692.3912799954</v>
      </c>
      <c r="AD227" s="28">
        <f t="shared" si="110"/>
        <v>1075149</v>
      </c>
      <c r="AE227" s="28">
        <f t="shared" si="111"/>
        <v>7522905.6545000002</v>
      </c>
      <c r="AF227" s="115">
        <f t="shared" si="112"/>
        <v>13.306559779205877</v>
      </c>
      <c r="AG227" s="28">
        <f t="shared" si="113"/>
        <v>15721.72</v>
      </c>
      <c r="AI227" s="28">
        <f t="shared" si="114"/>
        <v>0</v>
      </c>
      <c r="AJ227" s="28"/>
      <c r="AK227" s="28">
        <f t="shared" si="115"/>
        <v>298.98470522803115</v>
      </c>
      <c r="AL227" s="156"/>
      <c r="AM227" s="6">
        <f t="shared" si="116"/>
        <v>220</v>
      </c>
      <c r="AN227" s="6" t="str">
        <f t="shared" si="117"/>
        <v xml:space="preserve">Norwood                      </v>
      </c>
      <c r="AO227" s="6">
        <f t="shared" si="118"/>
        <v>1</v>
      </c>
      <c r="AP227" s="9">
        <f t="shared" si="123"/>
        <v>3596</v>
      </c>
      <c r="AQ227" s="9">
        <f t="shared" si="119"/>
        <v>56535316.259999998</v>
      </c>
      <c r="AR227" s="33">
        <f t="shared" si="120"/>
        <v>39118730</v>
      </c>
      <c r="AS227" s="33">
        <f t="shared" si="121"/>
        <v>17416586</v>
      </c>
      <c r="AU227" s="28"/>
      <c r="AV227" s="9"/>
      <c r="AW227" s="519"/>
    </row>
    <row r="228" spans="1:49">
      <c r="A228" s="6">
        <v>221</v>
      </c>
      <c r="B228" s="6" t="s">
        <v>1339</v>
      </c>
      <c r="C228" s="7">
        <v>1</v>
      </c>
      <c r="D228" s="9">
        <v>6470637.9299999997</v>
      </c>
      <c r="E228" s="9">
        <v>4519073</v>
      </c>
      <c r="F228" s="9">
        <v>1951565</v>
      </c>
      <c r="G228" s="348"/>
      <c r="H228" s="111">
        <f t="shared" si="122"/>
        <v>1951565</v>
      </c>
      <c r="I228" s="9">
        <f t="shared" si="93"/>
        <v>6233849.8500000006</v>
      </c>
      <c r="J228" s="33">
        <f t="shared" si="94"/>
        <v>5142926</v>
      </c>
      <c r="K228" s="9">
        <f t="shared" si="95"/>
        <v>1090924</v>
      </c>
      <c r="L228" s="112">
        <f t="shared" si="96"/>
        <v>0</v>
      </c>
      <c r="M228" s="458">
        <f>ROUND(100-'Townwide Contributions'!L227,2)</f>
        <v>17.5</v>
      </c>
      <c r="N228" s="9">
        <v>435</v>
      </c>
      <c r="O228" s="9">
        <f t="shared" si="97"/>
        <v>421</v>
      </c>
      <c r="P228" s="9">
        <f t="shared" si="98"/>
        <v>0</v>
      </c>
      <c r="Q228" s="28">
        <f t="shared" si="99"/>
        <v>43784</v>
      </c>
      <c r="R228" s="382">
        <f t="shared" si="100"/>
        <v>43784</v>
      </c>
      <c r="S228" s="28">
        <v>1951565</v>
      </c>
      <c r="T228" s="33">
        <f t="shared" si="101"/>
        <v>1964195</v>
      </c>
      <c r="U228" s="9">
        <f t="shared" si="102"/>
        <v>0</v>
      </c>
      <c r="V228" s="33">
        <f t="shared" si="103"/>
        <v>1995349</v>
      </c>
      <c r="W228" s="33">
        <f t="shared" si="104"/>
        <v>0</v>
      </c>
      <c r="X228" s="33">
        <v>0</v>
      </c>
      <c r="Y228" s="113">
        <f t="shared" si="105"/>
        <v>1995349</v>
      </c>
      <c r="Z228" s="155">
        <f t="shared" si="106"/>
        <v>32.008294200412927</v>
      </c>
      <c r="AA228" s="33">
        <f t="shared" si="107"/>
        <v>7138275</v>
      </c>
      <c r="AB228" s="114">
        <f t="shared" si="108"/>
        <v>114.50829217517966</v>
      </c>
      <c r="AC228" s="28">
        <f t="shared" si="109"/>
        <v>-236788.07999999914</v>
      </c>
      <c r="AD228" s="28">
        <f t="shared" si="110"/>
        <v>43784</v>
      </c>
      <c r="AE228" s="28">
        <f t="shared" si="111"/>
        <v>904425.27624999988</v>
      </c>
      <c r="AF228" s="115">
        <f t="shared" si="112"/>
        <v>14.508294200412927</v>
      </c>
      <c r="AG228" s="28">
        <f t="shared" si="113"/>
        <v>14807.24</v>
      </c>
      <c r="AI228" s="28">
        <f t="shared" si="114"/>
        <v>0</v>
      </c>
      <c r="AJ228" s="28"/>
      <c r="AK228" s="28">
        <f t="shared" si="115"/>
        <v>104</v>
      </c>
      <c r="AL228" s="156"/>
      <c r="AM228" s="6">
        <f t="shared" si="116"/>
        <v>221</v>
      </c>
      <c r="AN228" s="6" t="str">
        <f t="shared" si="117"/>
        <v xml:space="preserve">Oak Bluffs                   </v>
      </c>
      <c r="AO228" s="6">
        <f t="shared" si="118"/>
        <v>1</v>
      </c>
      <c r="AP228" s="9">
        <f t="shared" si="123"/>
        <v>421</v>
      </c>
      <c r="AQ228" s="9">
        <f t="shared" si="119"/>
        <v>6233849.8500000006</v>
      </c>
      <c r="AR228" s="33">
        <f t="shared" si="120"/>
        <v>5142926</v>
      </c>
      <c r="AS228" s="33">
        <f t="shared" si="121"/>
        <v>1995349</v>
      </c>
      <c r="AU228" s="28"/>
      <c r="AV228" s="9"/>
      <c r="AW228" s="519"/>
    </row>
    <row r="229" spans="1:49">
      <c r="A229" s="6">
        <v>222</v>
      </c>
      <c r="B229" s="6" t="s">
        <v>1340</v>
      </c>
      <c r="C229" s="7">
        <v>0</v>
      </c>
      <c r="D229" s="9">
        <v>0</v>
      </c>
      <c r="E229" s="9">
        <v>0</v>
      </c>
      <c r="F229" s="9">
        <v>0</v>
      </c>
      <c r="G229" s="348"/>
      <c r="H229" s="111">
        <f t="shared" si="122"/>
        <v>0</v>
      </c>
      <c r="I229" s="9">
        <f t="shared" si="93"/>
        <v>0</v>
      </c>
      <c r="J229" s="33">
        <f t="shared" si="94"/>
        <v>0</v>
      </c>
      <c r="K229" s="9">
        <f t="shared" si="95"/>
        <v>0</v>
      </c>
      <c r="L229" s="112">
        <f t="shared" si="96"/>
        <v>0</v>
      </c>
      <c r="M229" s="458">
        <f>ROUND(100-'Townwide Contributions'!L228,2)</f>
        <v>39.65</v>
      </c>
      <c r="N229" s="9">
        <v>0</v>
      </c>
      <c r="O229" s="9">
        <f t="shared" si="97"/>
        <v>0</v>
      </c>
      <c r="P229" s="9">
        <f t="shared" si="98"/>
        <v>0</v>
      </c>
      <c r="Q229" s="28">
        <f t="shared" si="99"/>
        <v>0</v>
      </c>
      <c r="R229" s="382">
        <f t="shared" si="100"/>
        <v>0</v>
      </c>
      <c r="S229" s="28">
        <v>0</v>
      </c>
      <c r="T229" s="33">
        <f t="shared" si="101"/>
        <v>0</v>
      </c>
      <c r="U229" s="9">
        <f t="shared" si="102"/>
        <v>0</v>
      </c>
      <c r="V229" s="33">
        <f t="shared" si="103"/>
        <v>0</v>
      </c>
      <c r="W229" s="33">
        <f t="shared" si="104"/>
        <v>0</v>
      </c>
      <c r="X229" s="33">
        <v>0</v>
      </c>
      <c r="Y229" s="113">
        <f t="shared" si="105"/>
        <v>0</v>
      </c>
      <c r="Z229" s="155">
        <f t="shared" si="106"/>
        <v>0</v>
      </c>
      <c r="AA229" s="33">
        <f t="shared" si="107"/>
        <v>0</v>
      </c>
      <c r="AB229" s="114">
        <f t="shared" si="108"/>
        <v>0</v>
      </c>
      <c r="AC229" s="28">
        <f t="shared" si="109"/>
        <v>0</v>
      </c>
      <c r="AD229" s="28">
        <f t="shared" si="110"/>
        <v>0</v>
      </c>
      <c r="AE229" s="28">
        <f t="shared" si="111"/>
        <v>0</v>
      </c>
      <c r="AF229" s="115" t="str">
        <f t="shared" si="112"/>
        <v/>
      </c>
      <c r="AG229" s="28">
        <f t="shared" si="113"/>
        <v>0</v>
      </c>
      <c r="AI229" s="28">
        <f t="shared" si="114"/>
        <v>0</v>
      </c>
      <c r="AJ229" s="28"/>
      <c r="AK229" s="28">
        <f t="shared" si="115"/>
        <v>0</v>
      </c>
      <c r="AL229" s="156"/>
      <c r="AM229" s="6">
        <f t="shared" si="116"/>
        <v>222</v>
      </c>
      <c r="AN229" s="6" t="str">
        <f t="shared" si="117"/>
        <v xml:space="preserve">Oakham                       </v>
      </c>
      <c r="AO229" s="6">
        <f t="shared" si="118"/>
        <v>0</v>
      </c>
      <c r="AP229" s="9">
        <f t="shared" si="123"/>
        <v>0</v>
      </c>
      <c r="AQ229" s="9">
        <f t="shared" si="119"/>
        <v>0</v>
      </c>
      <c r="AR229" s="33">
        <f t="shared" si="120"/>
        <v>0</v>
      </c>
      <c r="AS229" s="33">
        <f t="shared" si="121"/>
        <v>0</v>
      </c>
      <c r="AU229" s="28"/>
      <c r="AW229" s="519"/>
    </row>
    <row r="230" spans="1:49">
      <c r="A230" s="6">
        <v>223</v>
      </c>
      <c r="B230" s="6" t="s">
        <v>1341</v>
      </c>
      <c r="C230" s="7">
        <v>1</v>
      </c>
      <c r="D230" s="9">
        <v>9212499.9199999981</v>
      </c>
      <c r="E230" s="9">
        <v>2332598</v>
      </c>
      <c r="F230" s="9">
        <v>6879902</v>
      </c>
      <c r="G230" s="348"/>
      <c r="H230" s="111">
        <f t="shared" si="122"/>
        <v>6879902</v>
      </c>
      <c r="I230" s="9">
        <f t="shared" si="93"/>
        <v>9418168.6300000008</v>
      </c>
      <c r="J230" s="33">
        <f t="shared" si="94"/>
        <v>2446944</v>
      </c>
      <c r="K230" s="9">
        <f t="shared" si="95"/>
        <v>6971225</v>
      </c>
      <c r="L230" s="112">
        <f t="shared" si="96"/>
        <v>91323</v>
      </c>
      <c r="M230" s="458">
        <f>ROUND(100-'Townwide Contributions'!L229,2)</f>
        <v>71.180000000000007</v>
      </c>
      <c r="N230" s="9">
        <v>583</v>
      </c>
      <c r="O230" s="9">
        <f t="shared" si="97"/>
        <v>573</v>
      </c>
      <c r="P230" s="9">
        <f t="shared" si="98"/>
        <v>1</v>
      </c>
      <c r="Q230" s="28">
        <f t="shared" si="99"/>
        <v>59592</v>
      </c>
      <c r="R230" s="382">
        <f t="shared" si="100"/>
        <v>0</v>
      </c>
      <c r="S230" s="28">
        <v>6879902</v>
      </c>
      <c r="T230" s="33">
        <f t="shared" si="101"/>
        <v>6897092</v>
      </c>
      <c r="U230" s="9">
        <f t="shared" si="102"/>
        <v>0</v>
      </c>
      <c r="V230" s="33">
        <f t="shared" si="103"/>
        <v>6971225</v>
      </c>
      <c r="W230" s="33">
        <f t="shared" si="104"/>
        <v>0</v>
      </c>
      <c r="X230" s="33">
        <v>0</v>
      </c>
      <c r="Y230" s="113">
        <f t="shared" si="105"/>
        <v>6971225</v>
      </c>
      <c r="Z230" s="155">
        <f t="shared" si="106"/>
        <v>74.018901910444981</v>
      </c>
      <c r="AA230" s="33">
        <f t="shared" si="107"/>
        <v>9418169</v>
      </c>
      <c r="AB230" s="114">
        <f t="shared" si="108"/>
        <v>100.00000392857692</v>
      </c>
      <c r="AC230" s="28">
        <f t="shared" si="109"/>
        <v>205668.71000000276</v>
      </c>
      <c r="AD230" s="28">
        <f t="shared" si="110"/>
        <v>91323</v>
      </c>
      <c r="AE230" s="28">
        <f t="shared" si="111"/>
        <v>267372.56916599814</v>
      </c>
      <c r="AF230" s="115">
        <f t="shared" si="112"/>
        <v>2.8389019104449744</v>
      </c>
      <c r="AG230" s="28">
        <f t="shared" si="113"/>
        <v>16436.59</v>
      </c>
      <c r="AI230" s="28">
        <f t="shared" si="114"/>
        <v>0</v>
      </c>
      <c r="AJ230" s="28"/>
      <c r="AK230" s="28">
        <f t="shared" si="115"/>
        <v>159.37696335078533</v>
      </c>
      <c r="AL230" s="156"/>
      <c r="AM230" s="6">
        <f t="shared" si="116"/>
        <v>223</v>
      </c>
      <c r="AN230" s="6" t="str">
        <f t="shared" si="117"/>
        <v xml:space="preserve">Orange                       </v>
      </c>
      <c r="AO230" s="6">
        <f t="shared" si="118"/>
        <v>1</v>
      </c>
      <c r="AP230" s="9">
        <f t="shared" si="123"/>
        <v>573</v>
      </c>
      <c r="AQ230" s="9">
        <f t="shared" si="119"/>
        <v>9418168.6300000008</v>
      </c>
      <c r="AR230" s="33">
        <f t="shared" si="120"/>
        <v>2446944</v>
      </c>
      <c r="AS230" s="33">
        <f t="shared" si="121"/>
        <v>6971225</v>
      </c>
      <c r="AU230" s="28"/>
      <c r="AV230" s="9"/>
      <c r="AW230" s="519"/>
    </row>
    <row r="231" spans="1:49">
      <c r="A231" s="6">
        <v>224</v>
      </c>
      <c r="B231" s="6" t="s">
        <v>1342</v>
      </c>
      <c r="C231" s="7">
        <v>1</v>
      </c>
      <c r="D231" s="9">
        <v>2114047.8800000004</v>
      </c>
      <c r="E231" s="9">
        <v>1744090</v>
      </c>
      <c r="F231" s="9">
        <v>454554</v>
      </c>
      <c r="G231" s="348"/>
      <c r="H231" s="111">
        <f t="shared" si="122"/>
        <v>454554</v>
      </c>
      <c r="I231" s="9">
        <f t="shared" si="93"/>
        <v>2052611.2499999998</v>
      </c>
      <c r="J231" s="33">
        <f t="shared" si="94"/>
        <v>1693404</v>
      </c>
      <c r="K231" s="9">
        <f t="shared" si="95"/>
        <v>359207</v>
      </c>
      <c r="L231" s="112">
        <f t="shared" si="96"/>
        <v>0</v>
      </c>
      <c r="M231" s="458">
        <f>ROUND(100-'Townwide Contributions'!L230,2)</f>
        <v>17.5</v>
      </c>
      <c r="N231" s="9">
        <v>149</v>
      </c>
      <c r="O231" s="9">
        <f t="shared" si="97"/>
        <v>145</v>
      </c>
      <c r="P231" s="9">
        <f t="shared" si="98"/>
        <v>0</v>
      </c>
      <c r="Q231" s="28">
        <f t="shared" si="99"/>
        <v>15080</v>
      </c>
      <c r="R231" s="382">
        <f t="shared" si="100"/>
        <v>15080</v>
      </c>
      <c r="S231" s="28">
        <v>454554</v>
      </c>
      <c r="T231" s="33">
        <f t="shared" si="101"/>
        <v>458904</v>
      </c>
      <c r="U231" s="9">
        <f t="shared" si="102"/>
        <v>0</v>
      </c>
      <c r="V231" s="33">
        <f t="shared" si="103"/>
        <v>469634</v>
      </c>
      <c r="W231" s="33">
        <f t="shared" si="104"/>
        <v>0</v>
      </c>
      <c r="X231" s="33">
        <v>0</v>
      </c>
      <c r="Y231" s="113">
        <f t="shared" si="105"/>
        <v>469634</v>
      </c>
      <c r="Z231" s="155">
        <f t="shared" si="106"/>
        <v>22.879831726538576</v>
      </c>
      <c r="AA231" s="33">
        <f t="shared" si="107"/>
        <v>2163038</v>
      </c>
      <c r="AB231" s="114">
        <f t="shared" si="108"/>
        <v>105.3798180244798</v>
      </c>
      <c r="AC231" s="28">
        <f t="shared" si="109"/>
        <v>-61436.630000000587</v>
      </c>
      <c r="AD231" s="28">
        <f t="shared" si="110"/>
        <v>15080</v>
      </c>
      <c r="AE231" s="28">
        <f t="shared" si="111"/>
        <v>110427.03125000006</v>
      </c>
      <c r="AF231" s="115">
        <f t="shared" si="112"/>
        <v>5.3798317265385762</v>
      </c>
      <c r="AG231" s="28">
        <f t="shared" si="113"/>
        <v>14155.94</v>
      </c>
      <c r="AI231" s="28">
        <f t="shared" si="114"/>
        <v>0</v>
      </c>
      <c r="AJ231" s="28"/>
      <c r="AK231" s="28">
        <f t="shared" si="115"/>
        <v>104</v>
      </c>
      <c r="AL231" s="156"/>
      <c r="AM231" s="6">
        <f t="shared" si="116"/>
        <v>224</v>
      </c>
      <c r="AN231" s="6" t="str">
        <f t="shared" si="117"/>
        <v xml:space="preserve">Orleans                      </v>
      </c>
      <c r="AO231" s="6">
        <f t="shared" si="118"/>
        <v>1</v>
      </c>
      <c r="AP231" s="9">
        <f t="shared" si="123"/>
        <v>145</v>
      </c>
      <c r="AQ231" s="9">
        <f t="shared" si="119"/>
        <v>2052611.2499999998</v>
      </c>
      <c r="AR231" s="33">
        <f t="shared" si="120"/>
        <v>1693404</v>
      </c>
      <c r="AS231" s="33">
        <f t="shared" si="121"/>
        <v>469634</v>
      </c>
      <c r="AU231" s="28"/>
      <c r="AV231" s="9"/>
      <c r="AW231" s="519"/>
    </row>
    <row r="232" spans="1:49">
      <c r="A232" s="6">
        <v>225</v>
      </c>
      <c r="B232" s="6" t="s">
        <v>1343</v>
      </c>
      <c r="C232" s="7">
        <v>0</v>
      </c>
      <c r="D232" s="9">
        <v>0</v>
      </c>
      <c r="E232" s="9">
        <v>0</v>
      </c>
      <c r="F232" s="9">
        <v>0</v>
      </c>
      <c r="G232" s="348"/>
      <c r="H232" s="111">
        <f t="shared" si="122"/>
        <v>0</v>
      </c>
      <c r="I232" s="9">
        <f t="shared" si="93"/>
        <v>0</v>
      </c>
      <c r="J232" s="33">
        <f t="shared" si="94"/>
        <v>0</v>
      </c>
      <c r="K232" s="9">
        <f t="shared" si="95"/>
        <v>0</v>
      </c>
      <c r="L232" s="112">
        <f t="shared" si="96"/>
        <v>0</v>
      </c>
      <c r="M232" s="458">
        <f>ROUND(100-'Townwide Contributions'!L231,2)</f>
        <v>17.5</v>
      </c>
      <c r="N232" s="9">
        <v>0</v>
      </c>
      <c r="O232" s="9">
        <f t="shared" si="97"/>
        <v>0</v>
      </c>
      <c r="P232" s="9">
        <f t="shared" si="98"/>
        <v>0</v>
      </c>
      <c r="Q232" s="28">
        <f t="shared" si="99"/>
        <v>0</v>
      </c>
      <c r="R232" s="382">
        <f t="shared" si="100"/>
        <v>0</v>
      </c>
      <c r="S232" s="28">
        <v>0</v>
      </c>
      <c r="T232" s="33">
        <f t="shared" si="101"/>
        <v>0</v>
      </c>
      <c r="U232" s="9">
        <f t="shared" si="102"/>
        <v>0</v>
      </c>
      <c r="V232" s="33">
        <f t="shared" si="103"/>
        <v>0</v>
      </c>
      <c r="W232" s="33">
        <f t="shared" si="104"/>
        <v>0</v>
      </c>
      <c r="X232" s="33">
        <v>0</v>
      </c>
      <c r="Y232" s="113">
        <f t="shared" si="105"/>
        <v>0</v>
      </c>
      <c r="Z232" s="155">
        <f t="shared" si="106"/>
        <v>0</v>
      </c>
      <c r="AA232" s="33">
        <f t="shared" si="107"/>
        <v>0</v>
      </c>
      <c r="AB232" s="114">
        <f t="shared" si="108"/>
        <v>0</v>
      </c>
      <c r="AC232" s="28">
        <f t="shared" si="109"/>
        <v>0</v>
      </c>
      <c r="AD232" s="28">
        <f t="shared" si="110"/>
        <v>0</v>
      </c>
      <c r="AE232" s="28">
        <f t="shared" si="111"/>
        <v>0</v>
      </c>
      <c r="AF232" s="115" t="str">
        <f t="shared" si="112"/>
        <v/>
      </c>
      <c r="AG232" s="28">
        <f t="shared" si="113"/>
        <v>0</v>
      </c>
      <c r="AI232" s="28">
        <f t="shared" si="114"/>
        <v>0</v>
      </c>
      <c r="AJ232" s="28"/>
      <c r="AK232" s="28">
        <f t="shared" si="115"/>
        <v>0</v>
      </c>
      <c r="AL232" s="156"/>
      <c r="AM232" s="6">
        <f t="shared" si="116"/>
        <v>225</v>
      </c>
      <c r="AN232" s="6" t="str">
        <f t="shared" si="117"/>
        <v xml:space="preserve">Otis                         </v>
      </c>
      <c r="AO232" s="6">
        <f t="shared" si="118"/>
        <v>0</v>
      </c>
      <c r="AP232" s="9">
        <f t="shared" si="123"/>
        <v>0</v>
      </c>
      <c r="AQ232" s="9">
        <f t="shared" si="119"/>
        <v>0</v>
      </c>
      <c r="AR232" s="33">
        <f t="shared" si="120"/>
        <v>0</v>
      </c>
      <c r="AS232" s="33">
        <f t="shared" si="121"/>
        <v>0</v>
      </c>
      <c r="AU232" s="28"/>
      <c r="AW232" s="519"/>
    </row>
    <row r="233" spans="1:49">
      <c r="A233" s="6">
        <v>226</v>
      </c>
      <c r="B233" s="6" t="s">
        <v>1344</v>
      </c>
      <c r="C233" s="7">
        <v>1</v>
      </c>
      <c r="D233" s="9">
        <v>21950126.810000002</v>
      </c>
      <c r="E233" s="9">
        <v>10995071</v>
      </c>
      <c r="F233" s="9">
        <v>10955056</v>
      </c>
      <c r="G233" s="348"/>
      <c r="H233" s="111">
        <f t="shared" si="122"/>
        <v>10955056</v>
      </c>
      <c r="I233" s="9">
        <f t="shared" si="93"/>
        <v>23877644.359999999</v>
      </c>
      <c r="J233" s="33">
        <f t="shared" si="94"/>
        <v>11652431</v>
      </c>
      <c r="K233" s="9">
        <f t="shared" si="95"/>
        <v>12225213</v>
      </c>
      <c r="L233" s="112">
        <f t="shared" si="96"/>
        <v>1270157</v>
      </c>
      <c r="M233" s="458">
        <f>ROUND(100-'Townwide Contributions'!L232,2)</f>
        <v>48.69</v>
      </c>
      <c r="N233" s="9">
        <v>1526</v>
      </c>
      <c r="O233" s="9">
        <f t="shared" si="97"/>
        <v>1569</v>
      </c>
      <c r="P233" s="9">
        <f t="shared" si="98"/>
        <v>1</v>
      </c>
      <c r="Q233" s="28">
        <f t="shared" si="99"/>
        <v>163176</v>
      </c>
      <c r="R233" s="382">
        <f t="shared" si="100"/>
        <v>0</v>
      </c>
      <c r="S233" s="28">
        <v>11005760</v>
      </c>
      <c r="T233" s="33">
        <f t="shared" si="101"/>
        <v>11052830</v>
      </c>
      <c r="U233" s="9">
        <f t="shared" si="102"/>
        <v>0</v>
      </c>
      <c r="V233" s="33">
        <f t="shared" si="103"/>
        <v>12225213</v>
      </c>
      <c r="W233" s="33">
        <f t="shared" si="104"/>
        <v>0</v>
      </c>
      <c r="X233" s="33">
        <v>0</v>
      </c>
      <c r="Y233" s="113">
        <f t="shared" si="105"/>
        <v>12225213</v>
      </c>
      <c r="Z233" s="155">
        <f t="shared" si="106"/>
        <v>51.199409856693258</v>
      </c>
      <c r="AA233" s="33">
        <f t="shared" si="107"/>
        <v>23877644</v>
      </c>
      <c r="AB233" s="114">
        <f t="shared" si="108"/>
        <v>99.999998492313594</v>
      </c>
      <c r="AC233" s="28">
        <f t="shared" si="109"/>
        <v>1927517.549999997</v>
      </c>
      <c r="AD233" s="28">
        <f t="shared" si="110"/>
        <v>1270157</v>
      </c>
      <c r="AE233" s="28">
        <f t="shared" si="111"/>
        <v>599187.96111600101</v>
      </c>
      <c r="AF233" s="115">
        <f t="shared" si="112"/>
        <v>2.5094098566932601</v>
      </c>
      <c r="AG233" s="28">
        <f t="shared" si="113"/>
        <v>15218.38</v>
      </c>
      <c r="AI233" s="28">
        <f t="shared" si="114"/>
        <v>0</v>
      </c>
      <c r="AJ233" s="28"/>
      <c r="AK233" s="28">
        <f t="shared" si="115"/>
        <v>809.5328234544296</v>
      </c>
      <c r="AL233" s="156"/>
      <c r="AM233" s="6">
        <f t="shared" si="116"/>
        <v>226</v>
      </c>
      <c r="AN233" s="6" t="str">
        <f t="shared" si="117"/>
        <v xml:space="preserve">Oxford                       </v>
      </c>
      <c r="AO233" s="6">
        <f t="shared" si="118"/>
        <v>1</v>
      </c>
      <c r="AP233" s="9">
        <f t="shared" si="123"/>
        <v>1569</v>
      </c>
      <c r="AQ233" s="9">
        <f t="shared" si="119"/>
        <v>23877644.359999999</v>
      </c>
      <c r="AR233" s="33">
        <f t="shared" si="120"/>
        <v>11652431</v>
      </c>
      <c r="AS233" s="33">
        <f t="shared" si="121"/>
        <v>12225213</v>
      </c>
      <c r="AU233" s="28"/>
      <c r="AV233" s="9"/>
      <c r="AW233" s="519"/>
    </row>
    <row r="234" spans="1:49">
      <c r="A234" s="6">
        <v>227</v>
      </c>
      <c r="B234" s="6" t="s">
        <v>1345</v>
      </c>
      <c r="C234" s="7">
        <v>1</v>
      </c>
      <c r="D234" s="9">
        <v>19001379.489999998</v>
      </c>
      <c r="E234" s="9">
        <v>7280709</v>
      </c>
      <c r="F234" s="9">
        <v>11720670</v>
      </c>
      <c r="G234" s="348"/>
      <c r="H234" s="111">
        <f t="shared" si="122"/>
        <v>11720670</v>
      </c>
      <c r="I234" s="9">
        <f t="shared" si="93"/>
        <v>19106951.319999997</v>
      </c>
      <c r="J234" s="33">
        <f t="shared" si="94"/>
        <v>7584489</v>
      </c>
      <c r="K234" s="9">
        <f t="shared" si="95"/>
        <v>11522462</v>
      </c>
      <c r="L234" s="112">
        <f t="shared" si="96"/>
        <v>0</v>
      </c>
      <c r="M234" s="458">
        <f>ROUND(100-'Townwide Contributions'!L233,2)</f>
        <v>58.18</v>
      </c>
      <c r="N234" s="9">
        <v>1244</v>
      </c>
      <c r="O234" s="9">
        <f t="shared" si="97"/>
        <v>1196</v>
      </c>
      <c r="P234" s="9">
        <f t="shared" si="98"/>
        <v>0</v>
      </c>
      <c r="Q234" s="28">
        <f t="shared" si="99"/>
        <v>124384</v>
      </c>
      <c r="R234" s="382">
        <f t="shared" si="100"/>
        <v>124384</v>
      </c>
      <c r="S234" s="28">
        <v>11720670</v>
      </c>
      <c r="T234" s="33">
        <f t="shared" si="101"/>
        <v>11756550</v>
      </c>
      <c r="U234" s="9">
        <f t="shared" si="102"/>
        <v>0</v>
      </c>
      <c r="V234" s="33">
        <f t="shared" si="103"/>
        <v>11845054</v>
      </c>
      <c r="W234" s="33">
        <f t="shared" si="104"/>
        <v>0</v>
      </c>
      <c r="X234" s="33">
        <v>0</v>
      </c>
      <c r="Y234" s="113">
        <f t="shared" si="105"/>
        <v>11845054</v>
      </c>
      <c r="Z234" s="155">
        <f t="shared" si="106"/>
        <v>61.993427426600057</v>
      </c>
      <c r="AA234" s="33">
        <f t="shared" si="107"/>
        <v>19429543</v>
      </c>
      <c r="AB234" s="114">
        <f t="shared" si="108"/>
        <v>101.6883472124741</v>
      </c>
      <c r="AC234" s="28">
        <f t="shared" si="109"/>
        <v>105571.82999999821</v>
      </c>
      <c r="AD234" s="28">
        <f t="shared" si="110"/>
        <v>124384</v>
      </c>
      <c r="AE234" s="28">
        <f t="shared" si="111"/>
        <v>728629.72202400304</v>
      </c>
      <c r="AF234" s="115">
        <f t="shared" si="112"/>
        <v>3.8134274266000574</v>
      </c>
      <c r="AG234" s="28">
        <f t="shared" si="113"/>
        <v>15975.71</v>
      </c>
      <c r="AI234" s="28">
        <f t="shared" si="114"/>
        <v>0</v>
      </c>
      <c r="AJ234" s="28"/>
      <c r="AK234" s="28">
        <f t="shared" si="115"/>
        <v>104</v>
      </c>
      <c r="AL234" s="156"/>
      <c r="AM234" s="6">
        <f t="shared" si="116"/>
        <v>227</v>
      </c>
      <c r="AN234" s="6" t="str">
        <f t="shared" si="117"/>
        <v xml:space="preserve">Palmer                       </v>
      </c>
      <c r="AO234" s="6">
        <f t="shared" si="118"/>
        <v>1</v>
      </c>
      <c r="AP234" s="9">
        <f t="shared" si="123"/>
        <v>1196</v>
      </c>
      <c r="AQ234" s="9">
        <f t="shared" si="119"/>
        <v>19106951.319999997</v>
      </c>
      <c r="AR234" s="33">
        <f t="shared" si="120"/>
        <v>7584489</v>
      </c>
      <c r="AS234" s="33">
        <f t="shared" si="121"/>
        <v>11845054</v>
      </c>
      <c r="AU234" s="28"/>
      <c r="AV234" s="9"/>
      <c r="AW234" s="519"/>
    </row>
    <row r="235" spans="1:49">
      <c r="A235" s="6">
        <v>228</v>
      </c>
      <c r="B235" s="6" t="s">
        <v>1346</v>
      </c>
      <c r="C235" s="7">
        <v>0</v>
      </c>
      <c r="D235" s="9">
        <v>0</v>
      </c>
      <c r="E235" s="9">
        <v>0</v>
      </c>
      <c r="F235" s="9">
        <v>0</v>
      </c>
      <c r="G235" s="348"/>
      <c r="H235" s="111">
        <f t="shared" si="122"/>
        <v>0</v>
      </c>
      <c r="I235" s="9">
        <f t="shared" si="93"/>
        <v>0</v>
      </c>
      <c r="J235" s="33">
        <f t="shared" si="94"/>
        <v>0</v>
      </c>
      <c r="K235" s="9">
        <f t="shared" si="95"/>
        <v>0</v>
      </c>
      <c r="L235" s="112">
        <f t="shared" si="96"/>
        <v>0</v>
      </c>
      <c r="M235" s="458">
        <f>ROUND(100-'Townwide Contributions'!L234,2)</f>
        <v>30.76</v>
      </c>
      <c r="N235" s="9">
        <v>0</v>
      </c>
      <c r="O235" s="9">
        <f t="shared" si="97"/>
        <v>0</v>
      </c>
      <c r="P235" s="9">
        <f t="shared" si="98"/>
        <v>0</v>
      </c>
      <c r="Q235" s="28">
        <f t="shared" si="99"/>
        <v>0</v>
      </c>
      <c r="R235" s="382">
        <f t="shared" si="100"/>
        <v>0</v>
      </c>
      <c r="S235" s="28">
        <v>0</v>
      </c>
      <c r="T235" s="33">
        <f t="shared" si="101"/>
        <v>0</v>
      </c>
      <c r="U235" s="9">
        <f t="shared" si="102"/>
        <v>0</v>
      </c>
      <c r="V235" s="33">
        <f t="shared" si="103"/>
        <v>0</v>
      </c>
      <c r="W235" s="33">
        <f t="shared" si="104"/>
        <v>0</v>
      </c>
      <c r="X235" s="33">
        <v>0</v>
      </c>
      <c r="Y235" s="113">
        <f t="shared" si="105"/>
        <v>0</v>
      </c>
      <c r="Z235" s="155">
        <f t="shared" si="106"/>
        <v>0</v>
      </c>
      <c r="AA235" s="33">
        <f t="shared" si="107"/>
        <v>0</v>
      </c>
      <c r="AB235" s="114">
        <f t="shared" si="108"/>
        <v>0</v>
      </c>
      <c r="AC235" s="28">
        <f t="shared" si="109"/>
        <v>0</v>
      </c>
      <c r="AD235" s="28">
        <f t="shared" si="110"/>
        <v>0</v>
      </c>
      <c r="AE235" s="28">
        <f t="shared" si="111"/>
        <v>0</v>
      </c>
      <c r="AF235" s="115" t="str">
        <f t="shared" si="112"/>
        <v/>
      </c>
      <c r="AG235" s="28">
        <f t="shared" si="113"/>
        <v>0</v>
      </c>
      <c r="AI235" s="28">
        <f t="shared" si="114"/>
        <v>0</v>
      </c>
      <c r="AJ235" s="28"/>
      <c r="AK235" s="28">
        <f t="shared" si="115"/>
        <v>0</v>
      </c>
      <c r="AL235" s="156"/>
      <c r="AM235" s="6">
        <f t="shared" si="116"/>
        <v>228</v>
      </c>
      <c r="AN235" s="6" t="str">
        <f t="shared" si="117"/>
        <v xml:space="preserve">Paxton                       </v>
      </c>
      <c r="AO235" s="6">
        <f t="shared" si="118"/>
        <v>0</v>
      </c>
      <c r="AP235" s="9">
        <f t="shared" si="123"/>
        <v>0</v>
      </c>
      <c r="AQ235" s="9">
        <f t="shared" si="119"/>
        <v>0</v>
      </c>
      <c r="AR235" s="33">
        <f t="shared" si="120"/>
        <v>0</v>
      </c>
      <c r="AS235" s="33">
        <f t="shared" si="121"/>
        <v>0</v>
      </c>
      <c r="AU235" s="28"/>
      <c r="AW235" s="519"/>
    </row>
    <row r="236" spans="1:49">
      <c r="A236" s="6">
        <v>229</v>
      </c>
      <c r="B236" s="6" t="s">
        <v>1347</v>
      </c>
      <c r="C236" s="7">
        <v>1</v>
      </c>
      <c r="D236" s="9">
        <v>91177548.530000001</v>
      </c>
      <c r="E236" s="9">
        <v>55819170</v>
      </c>
      <c r="F236" s="9">
        <v>35358379</v>
      </c>
      <c r="G236" s="348"/>
      <c r="H236" s="111">
        <f t="shared" si="122"/>
        <v>35358379</v>
      </c>
      <c r="I236" s="9">
        <f t="shared" si="93"/>
        <v>95329652.76000002</v>
      </c>
      <c r="J236" s="33">
        <f t="shared" si="94"/>
        <v>58256933</v>
      </c>
      <c r="K236" s="9">
        <f t="shared" si="95"/>
        <v>37072720</v>
      </c>
      <c r="L236" s="112">
        <f t="shared" si="96"/>
        <v>1714341</v>
      </c>
      <c r="M236" s="458">
        <f>ROUND(100-'Townwide Contributions'!L235,2)</f>
        <v>32.71</v>
      </c>
      <c r="N236" s="9">
        <v>5959</v>
      </c>
      <c r="O236" s="9">
        <f t="shared" si="97"/>
        <v>5981</v>
      </c>
      <c r="P236" s="9">
        <f t="shared" si="98"/>
        <v>1</v>
      </c>
      <c r="Q236" s="28">
        <f t="shared" si="99"/>
        <v>622024</v>
      </c>
      <c r="R236" s="382">
        <f t="shared" si="100"/>
        <v>0</v>
      </c>
      <c r="S236" s="28">
        <v>35358379</v>
      </c>
      <c r="T236" s="33">
        <f t="shared" si="101"/>
        <v>35537809</v>
      </c>
      <c r="U236" s="9">
        <f t="shared" si="102"/>
        <v>0</v>
      </c>
      <c r="V236" s="33">
        <f t="shared" si="103"/>
        <v>37072720</v>
      </c>
      <c r="W236" s="33">
        <f t="shared" si="104"/>
        <v>0</v>
      </c>
      <c r="X236" s="33">
        <v>0</v>
      </c>
      <c r="Y236" s="113">
        <f t="shared" si="105"/>
        <v>37072720</v>
      </c>
      <c r="Z236" s="155">
        <f t="shared" si="106"/>
        <v>38.888969933975865</v>
      </c>
      <c r="AA236" s="33">
        <f t="shared" si="107"/>
        <v>95329653</v>
      </c>
      <c r="AB236" s="114">
        <f t="shared" si="108"/>
        <v>100.00000025175795</v>
      </c>
      <c r="AC236" s="28">
        <f t="shared" si="109"/>
        <v>4152104.2300000191</v>
      </c>
      <c r="AD236" s="28">
        <f t="shared" si="110"/>
        <v>1714341</v>
      </c>
      <c r="AE236" s="28">
        <f t="shared" si="111"/>
        <v>5890390.5822039917</v>
      </c>
      <c r="AF236" s="115">
        <f t="shared" si="112"/>
        <v>6.1789699339758641</v>
      </c>
      <c r="AG236" s="28">
        <f t="shared" si="113"/>
        <v>15938.75</v>
      </c>
      <c r="AI236" s="28">
        <f t="shared" si="114"/>
        <v>0</v>
      </c>
      <c r="AJ236" s="28"/>
      <c r="AK236" s="28">
        <f t="shared" si="115"/>
        <v>286.63116535696372</v>
      </c>
      <c r="AL236" s="156"/>
      <c r="AM236" s="6">
        <f t="shared" si="116"/>
        <v>229</v>
      </c>
      <c r="AN236" s="6" t="str">
        <f t="shared" si="117"/>
        <v xml:space="preserve">Peabody                      </v>
      </c>
      <c r="AO236" s="6">
        <f t="shared" si="118"/>
        <v>1</v>
      </c>
      <c r="AP236" s="9">
        <f t="shared" si="123"/>
        <v>5981</v>
      </c>
      <c r="AQ236" s="9">
        <f t="shared" si="119"/>
        <v>95329652.76000002</v>
      </c>
      <c r="AR236" s="33">
        <f t="shared" si="120"/>
        <v>58256933</v>
      </c>
      <c r="AS236" s="33">
        <f t="shared" si="121"/>
        <v>37072720</v>
      </c>
      <c r="AU236" s="28"/>
      <c r="AV236" s="9"/>
      <c r="AW236" s="519"/>
    </row>
    <row r="237" spans="1:49">
      <c r="A237" s="6">
        <v>230</v>
      </c>
      <c r="B237" s="6" t="s">
        <v>1348</v>
      </c>
      <c r="C237" s="7">
        <v>1</v>
      </c>
      <c r="D237" s="9">
        <v>858482.55999999994</v>
      </c>
      <c r="E237" s="9">
        <v>631932</v>
      </c>
      <c r="F237" s="9">
        <v>248263</v>
      </c>
      <c r="G237" s="348"/>
      <c r="H237" s="111">
        <f t="shared" si="122"/>
        <v>248263</v>
      </c>
      <c r="I237" s="9">
        <f t="shared" si="93"/>
        <v>910076.45</v>
      </c>
      <c r="J237" s="33">
        <f t="shared" si="94"/>
        <v>661794</v>
      </c>
      <c r="K237" s="9">
        <f t="shared" si="95"/>
        <v>248282</v>
      </c>
      <c r="L237" s="112">
        <f t="shared" si="96"/>
        <v>19</v>
      </c>
      <c r="M237" s="458">
        <f>ROUND(100-'Townwide Contributions'!L236,2)</f>
        <v>17.5</v>
      </c>
      <c r="N237" s="9">
        <v>63</v>
      </c>
      <c r="O237" s="9">
        <f t="shared" si="97"/>
        <v>63</v>
      </c>
      <c r="P237" s="9">
        <f t="shared" si="98"/>
        <v>1</v>
      </c>
      <c r="Q237" s="28">
        <f t="shared" si="99"/>
        <v>6552</v>
      </c>
      <c r="R237" s="382">
        <f t="shared" si="100"/>
        <v>6533</v>
      </c>
      <c r="S237" s="28">
        <v>248263</v>
      </c>
      <c r="T237" s="33">
        <f t="shared" si="101"/>
        <v>250153</v>
      </c>
      <c r="U237" s="9">
        <f t="shared" si="102"/>
        <v>0</v>
      </c>
      <c r="V237" s="33">
        <f t="shared" si="103"/>
        <v>254815</v>
      </c>
      <c r="W237" s="33">
        <f t="shared" si="104"/>
        <v>0</v>
      </c>
      <c r="X237" s="33">
        <v>0</v>
      </c>
      <c r="Y237" s="113">
        <f t="shared" si="105"/>
        <v>254815</v>
      </c>
      <c r="Z237" s="155">
        <f t="shared" si="106"/>
        <v>27.999296103091119</v>
      </c>
      <c r="AA237" s="33">
        <f t="shared" si="107"/>
        <v>916609</v>
      </c>
      <c r="AB237" s="114">
        <f t="shared" si="108"/>
        <v>100.71780233407864</v>
      </c>
      <c r="AC237" s="28">
        <f t="shared" si="109"/>
        <v>51593.890000000014</v>
      </c>
      <c r="AD237" s="28">
        <f t="shared" si="110"/>
        <v>6552</v>
      </c>
      <c r="AE237" s="28">
        <f t="shared" si="111"/>
        <v>95551.621250000026</v>
      </c>
      <c r="AF237" s="115">
        <f t="shared" si="112"/>
        <v>10.499296103091119</v>
      </c>
      <c r="AG237" s="28">
        <f t="shared" si="113"/>
        <v>14445.66</v>
      </c>
      <c r="AI237" s="28">
        <f t="shared" si="114"/>
        <v>0</v>
      </c>
      <c r="AJ237" s="28"/>
      <c r="AK237" s="28">
        <f t="shared" si="115"/>
        <v>104</v>
      </c>
      <c r="AL237" s="156"/>
      <c r="AM237" s="6">
        <f t="shared" si="116"/>
        <v>230</v>
      </c>
      <c r="AN237" s="6" t="str">
        <f t="shared" si="117"/>
        <v xml:space="preserve">Pelham                       </v>
      </c>
      <c r="AO237" s="6">
        <f t="shared" si="118"/>
        <v>1</v>
      </c>
      <c r="AP237" s="9">
        <f t="shared" si="123"/>
        <v>63</v>
      </c>
      <c r="AQ237" s="9">
        <f t="shared" si="119"/>
        <v>910076.45</v>
      </c>
      <c r="AR237" s="33">
        <f t="shared" si="120"/>
        <v>661794</v>
      </c>
      <c r="AS237" s="33">
        <f t="shared" si="121"/>
        <v>254815</v>
      </c>
      <c r="AU237" s="28"/>
      <c r="AV237" s="9"/>
      <c r="AW237" s="519"/>
    </row>
    <row r="238" spans="1:49">
      <c r="A238" s="6">
        <v>231</v>
      </c>
      <c r="B238" s="6" t="s">
        <v>1349</v>
      </c>
      <c r="C238" s="7">
        <v>1</v>
      </c>
      <c r="D238" s="9">
        <v>33926554.381990001</v>
      </c>
      <c r="E238" s="9">
        <v>23884371</v>
      </c>
      <c r="F238" s="9">
        <v>14008892</v>
      </c>
      <c r="G238" s="348"/>
      <c r="H238" s="111">
        <f t="shared" si="122"/>
        <v>14008892</v>
      </c>
      <c r="I238" s="9">
        <f t="shared" si="93"/>
        <v>33089290.707739998</v>
      </c>
      <c r="J238" s="33">
        <f t="shared" si="94"/>
        <v>25260111</v>
      </c>
      <c r="K238" s="9">
        <f t="shared" si="95"/>
        <v>7829180</v>
      </c>
      <c r="L238" s="112">
        <f t="shared" si="96"/>
        <v>0</v>
      </c>
      <c r="M238" s="458">
        <f>ROUND(100-'Townwide Contributions'!L237,2)</f>
        <v>18.309999999999999</v>
      </c>
      <c r="N238" s="9">
        <v>2599</v>
      </c>
      <c r="O238" s="9">
        <f t="shared" si="97"/>
        <v>2483</v>
      </c>
      <c r="P238" s="9">
        <f t="shared" si="98"/>
        <v>0</v>
      </c>
      <c r="Q238" s="28">
        <f t="shared" si="99"/>
        <v>258232</v>
      </c>
      <c r="R238" s="382">
        <f t="shared" si="100"/>
        <v>258232</v>
      </c>
      <c r="S238" s="28">
        <v>14008892</v>
      </c>
      <c r="T238" s="33">
        <f t="shared" si="101"/>
        <v>14083382</v>
      </c>
      <c r="U238" s="9">
        <f t="shared" si="102"/>
        <v>0</v>
      </c>
      <c r="V238" s="33">
        <f t="shared" si="103"/>
        <v>14267124</v>
      </c>
      <c r="W238" s="33">
        <f t="shared" si="104"/>
        <v>0</v>
      </c>
      <c r="X238" s="33">
        <v>0</v>
      </c>
      <c r="Y238" s="113">
        <f t="shared" si="105"/>
        <v>14267124</v>
      </c>
      <c r="Z238" s="155">
        <f t="shared" si="106"/>
        <v>43.117043898020881</v>
      </c>
      <c r="AA238" s="33">
        <f t="shared" si="107"/>
        <v>39527235</v>
      </c>
      <c r="AB238" s="114">
        <f t="shared" si="108"/>
        <v>119.45627770967629</v>
      </c>
      <c r="AC238" s="28">
        <f t="shared" si="109"/>
        <v>-837263.67425000295</v>
      </c>
      <c r="AD238" s="28">
        <f t="shared" si="110"/>
        <v>258232</v>
      </c>
      <c r="AE238" s="28">
        <f t="shared" si="111"/>
        <v>8208474.8714128071</v>
      </c>
      <c r="AF238" s="115">
        <f t="shared" si="112"/>
        <v>24.807043898020883</v>
      </c>
      <c r="AG238" s="28">
        <f t="shared" si="113"/>
        <v>13326.34</v>
      </c>
      <c r="AI238" s="28">
        <f t="shared" si="114"/>
        <v>0</v>
      </c>
      <c r="AJ238" s="28"/>
      <c r="AK238" s="28">
        <f t="shared" si="115"/>
        <v>104</v>
      </c>
      <c r="AL238" s="156"/>
      <c r="AM238" s="6">
        <f t="shared" si="116"/>
        <v>231</v>
      </c>
      <c r="AN238" s="6" t="str">
        <f t="shared" si="117"/>
        <v xml:space="preserve">Pembroke                     </v>
      </c>
      <c r="AO238" s="6">
        <f t="shared" si="118"/>
        <v>1</v>
      </c>
      <c r="AP238" s="9">
        <f t="shared" si="123"/>
        <v>2483</v>
      </c>
      <c r="AQ238" s="9">
        <f t="shared" si="119"/>
        <v>33089290.707739998</v>
      </c>
      <c r="AR238" s="33">
        <f t="shared" si="120"/>
        <v>25260111</v>
      </c>
      <c r="AS238" s="33">
        <f t="shared" si="121"/>
        <v>14267124</v>
      </c>
      <c r="AU238" s="28"/>
      <c r="AV238" s="9"/>
      <c r="AW238" s="519"/>
    </row>
    <row r="239" spans="1:49">
      <c r="A239" s="6">
        <v>232</v>
      </c>
      <c r="B239" s="6" t="s">
        <v>1350</v>
      </c>
      <c r="C239" s="7">
        <v>0</v>
      </c>
      <c r="D239" s="9">
        <v>0</v>
      </c>
      <c r="E239" s="9">
        <v>0</v>
      </c>
      <c r="F239" s="9">
        <v>0</v>
      </c>
      <c r="G239" s="348"/>
      <c r="H239" s="111">
        <f t="shared" si="122"/>
        <v>0</v>
      </c>
      <c r="I239" s="9">
        <f t="shared" si="93"/>
        <v>0</v>
      </c>
      <c r="J239" s="33">
        <f t="shared" si="94"/>
        <v>0</v>
      </c>
      <c r="K239" s="9">
        <f t="shared" si="95"/>
        <v>0</v>
      </c>
      <c r="L239" s="112">
        <f t="shared" si="96"/>
        <v>0</v>
      </c>
      <c r="M239" s="458">
        <f>ROUND(100-'Townwide Contributions'!L238,2)</f>
        <v>35.33</v>
      </c>
      <c r="N239" s="9">
        <v>0</v>
      </c>
      <c r="O239" s="9">
        <f t="shared" si="97"/>
        <v>0</v>
      </c>
      <c r="P239" s="9">
        <f t="shared" si="98"/>
        <v>0</v>
      </c>
      <c r="Q239" s="28">
        <f t="shared" si="99"/>
        <v>0</v>
      </c>
      <c r="R239" s="382">
        <f t="shared" si="100"/>
        <v>0</v>
      </c>
      <c r="S239" s="28">
        <v>0</v>
      </c>
      <c r="T239" s="33">
        <f t="shared" si="101"/>
        <v>0</v>
      </c>
      <c r="U239" s="9">
        <f t="shared" si="102"/>
        <v>0</v>
      </c>
      <c r="V239" s="33">
        <f t="shared" si="103"/>
        <v>0</v>
      </c>
      <c r="W239" s="33">
        <f t="shared" si="104"/>
        <v>0</v>
      </c>
      <c r="X239" s="33">
        <v>0</v>
      </c>
      <c r="Y239" s="113">
        <f t="shared" si="105"/>
        <v>0</v>
      </c>
      <c r="Z239" s="155">
        <f t="shared" si="106"/>
        <v>0</v>
      </c>
      <c r="AA239" s="33">
        <f t="shared" si="107"/>
        <v>0</v>
      </c>
      <c r="AB239" s="114">
        <f t="shared" si="108"/>
        <v>0</v>
      </c>
      <c r="AC239" s="28">
        <f t="shared" si="109"/>
        <v>0</v>
      </c>
      <c r="AD239" s="28">
        <f t="shared" si="110"/>
        <v>0</v>
      </c>
      <c r="AE239" s="28">
        <f t="shared" si="111"/>
        <v>0</v>
      </c>
      <c r="AF239" s="115" t="str">
        <f t="shared" si="112"/>
        <v/>
      </c>
      <c r="AG239" s="28">
        <f t="shared" si="113"/>
        <v>0</v>
      </c>
      <c r="AI239" s="28">
        <f t="shared" si="114"/>
        <v>0</v>
      </c>
      <c r="AJ239" s="28"/>
      <c r="AK239" s="28">
        <f t="shared" si="115"/>
        <v>0</v>
      </c>
      <c r="AL239" s="156"/>
      <c r="AM239" s="6">
        <f t="shared" si="116"/>
        <v>232</v>
      </c>
      <c r="AN239" s="6" t="str">
        <f t="shared" si="117"/>
        <v xml:space="preserve">Pepperell                    </v>
      </c>
      <c r="AO239" s="6">
        <f t="shared" si="118"/>
        <v>0</v>
      </c>
      <c r="AP239" s="9">
        <f t="shared" si="123"/>
        <v>0</v>
      </c>
      <c r="AQ239" s="9">
        <f t="shared" si="119"/>
        <v>0</v>
      </c>
      <c r="AR239" s="33">
        <f t="shared" si="120"/>
        <v>0</v>
      </c>
      <c r="AS239" s="33">
        <f t="shared" si="121"/>
        <v>0</v>
      </c>
      <c r="AU239" s="28"/>
      <c r="AW239" s="519"/>
    </row>
    <row r="240" spans="1:49">
      <c r="A240" s="6">
        <v>233</v>
      </c>
      <c r="B240" s="6" t="s">
        <v>1351</v>
      </c>
      <c r="C240" s="7">
        <v>0</v>
      </c>
      <c r="D240" s="9">
        <v>164907.6</v>
      </c>
      <c r="E240" s="9">
        <v>73878</v>
      </c>
      <c r="F240" s="9">
        <v>91030</v>
      </c>
      <c r="G240" s="348"/>
      <c r="H240" s="111">
        <f t="shared" si="122"/>
        <v>91030</v>
      </c>
      <c r="I240" s="9">
        <f t="shared" si="93"/>
        <v>134882.64000000001</v>
      </c>
      <c r="J240" s="33">
        <f t="shared" si="94"/>
        <v>60567</v>
      </c>
      <c r="K240" s="9">
        <f t="shared" si="95"/>
        <v>74316</v>
      </c>
      <c r="L240" s="112">
        <f t="shared" si="96"/>
        <v>0</v>
      </c>
      <c r="M240" s="458">
        <f>ROUND(100-'Townwide Contributions'!L239,2)</f>
        <v>49.48</v>
      </c>
      <c r="N240" s="9">
        <v>10</v>
      </c>
      <c r="O240" s="9">
        <f t="shared" si="97"/>
        <v>8</v>
      </c>
      <c r="P240" s="9">
        <f t="shared" si="98"/>
        <v>0</v>
      </c>
      <c r="Q240" s="28">
        <f t="shared" si="99"/>
        <v>0</v>
      </c>
      <c r="R240" s="382">
        <f t="shared" si="100"/>
        <v>0</v>
      </c>
      <c r="S240" s="28">
        <v>91030</v>
      </c>
      <c r="T240" s="33">
        <f t="shared" si="101"/>
        <v>91270</v>
      </c>
      <c r="U240" s="9">
        <f t="shared" si="102"/>
        <v>0</v>
      </c>
      <c r="V240" s="33">
        <f t="shared" si="103"/>
        <v>91030</v>
      </c>
      <c r="W240" s="33">
        <f t="shared" si="104"/>
        <v>0</v>
      </c>
      <c r="X240" s="33">
        <v>0</v>
      </c>
      <c r="Y240" s="113">
        <f t="shared" si="105"/>
        <v>91030</v>
      </c>
      <c r="Z240" s="155">
        <f t="shared" si="106"/>
        <v>0</v>
      </c>
      <c r="AA240" s="33">
        <f t="shared" si="107"/>
        <v>151597</v>
      </c>
      <c r="AB240" s="114">
        <f t="shared" si="108"/>
        <v>112.39177999481622</v>
      </c>
      <c r="AC240" s="28">
        <f t="shared" si="109"/>
        <v>-30024.959999999992</v>
      </c>
      <c r="AD240" s="28">
        <f t="shared" si="110"/>
        <v>0</v>
      </c>
      <c r="AE240" s="28">
        <f t="shared" si="111"/>
        <v>24290.069728000002</v>
      </c>
      <c r="AF240" s="115" t="str">
        <f t="shared" si="112"/>
        <v/>
      </c>
      <c r="AG240" s="28">
        <f t="shared" si="113"/>
        <v>16860.330000000002</v>
      </c>
      <c r="AI240" s="28">
        <f t="shared" si="114"/>
        <v>0</v>
      </c>
      <c r="AJ240" s="28"/>
      <c r="AK240" s="28">
        <f t="shared" si="115"/>
        <v>0</v>
      </c>
      <c r="AL240" s="156"/>
      <c r="AM240" s="6">
        <f t="shared" si="116"/>
        <v>233</v>
      </c>
      <c r="AN240" s="6" t="str">
        <f t="shared" si="117"/>
        <v xml:space="preserve">Peru                         </v>
      </c>
      <c r="AO240" s="6">
        <f t="shared" si="118"/>
        <v>0</v>
      </c>
      <c r="AP240" s="9">
        <f t="shared" si="123"/>
        <v>8</v>
      </c>
      <c r="AQ240" s="9">
        <f t="shared" si="119"/>
        <v>134882.64000000001</v>
      </c>
      <c r="AR240" s="33">
        <f t="shared" si="120"/>
        <v>60567</v>
      </c>
      <c r="AS240" s="33">
        <f t="shared" si="121"/>
        <v>91030</v>
      </c>
      <c r="AU240" s="28"/>
      <c r="AV240" s="9"/>
      <c r="AW240" s="519"/>
    </row>
    <row r="241" spans="1:49">
      <c r="A241" s="6">
        <v>234</v>
      </c>
      <c r="B241" s="6" t="s">
        <v>1352</v>
      </c>
      <c r="C241" s="7">
        <v>1</v>
      </c>
      <c r="D241" s="9">
        <v>1133842.72</v>
      </c>
      <c r="E241" s="9">
        <v>637636</v>
      </c>
      <c r="F241" s="9">
        <v>496207</v>
      </c>
      <c r="G241" s="348"/>
      <c r="H241" s="111">
        <f t="shared" si="122"/>
        <v>496207</v>
      </c>
      <c r="I241" s="9">
        <f t="shared" si="93"/>
        <v>1204091.5800000003</v>
      </c>
      <c r="J241" s="33">
        <f t="shared" si="94"/>
        <v>666342</v>
      </c>
      <c r="K241" s="9">
        <f t="shared" si="95"/>
        <v>537750</v>
      </c>
      <c r="L241" s="112">
        <f t="shared" si="96"/>
        <v>41543</v>
      </c>
      <c r="M241" s="458">
        <f>ROUND(100-'Townwide Contributions'!L240,2)</f>
        <v>35.22</v>
      </c>
      <c r="N241" s="9">
        <v>77</v>
      </c>
      <c r="O241" s="9">
        <f t="shared" si="97"/>
        <v>83</v>
      </c>
      <c r="P241" s="9">
        <f t="shared" si="98"/>
        <v>1</v>
      </c>
      <c r="Q241" s="28">
        <f t="shared" si="99"/>
        <v>8632</v>
      </c>
      <c r="R241" s="382">
        <f t="shared" si="100"/>
        <v>0</v>
      </c>
      <c r="S241" s="28">
        <v>496207</v>
      </c>
      <c r="T241" s="33">
        <f t="shared" si="101"/>
        <v>498697</v>
      </c>
      <c r="U241" s="9">
        <f t="shared" si="102"/>
        <v>0</v>
      </c>
      <c r="V241" s="33">
        <f t="shared" si="103"/>
        <v>537750</v>
      </c>
      <c r="W241" s="33">
        <f t="shared" si="104"/>
        <v>0</v>
      </c>
      <c r="X241" s="33">
        <v>0</v>
      </c>
      <c r="Y241" s="113">
        <f t="shared" si="105"/>
        <v>537750</v>
      </c>
      <c r="Z241" s="155">
        <f t="shared" si="106"/>
        <v>44.660224266330296</v>
      </c>
      <c r="AA241" s="33">
        <f t="shared" si="107"/>
        <v>1204092</v>
      </c>
      <c r="AB241" s="114">
        <f t="shared" si="108"/>
        <v>100.00003488106775</v>
      </c>
      <c r="AC241" s="28">
        <f t="shared" si="109"/>
        <v>70248.860000000335</v>
      </c>
      <c r="AD241" s="28">
        <f t="shared" si="110"/>
        <v>41543</v>
      </c>
      <c r="AE241" s="28">
        <f t="shared" si="111"/>
        <v>113668.94552399986</v>
      </c>
      <c r="AF241" s="115">
        <f t="shared" si="112"/>
        <v>9.4402242663302971</v>
      </c>
      <c r="AG241" s="28">
        <f t="shared" si="113"/>
        <v>14507.13</v>
      </c>
      <c r="AI241" s="28">
        <f t="shared" si="114"/>
        <v>0</v>
      </c>
      <c r="AJ241" s="28"/>
      <c r="AK241" s="28">
        <f t="shared" si="115"/>
        <v>500.51807228915663</v>
      </c>
      <c r="AL241" s="156"/>
      <c r="AM241" s="6">
        <f t="shared" si="116"/>
        <v>234</v>
      </c>
      <c r="AN241" s="6" t="str">
        <f t="shared" si="117"/>
        <v xml:space="preserve">Petersham                    </v>
      </c>
      <c r="AO241" s="6">
        <f t="shared" si="118"/>
        <v>1</v>
      </c>
      <c r="AP241" s="9">
        <f t="shared" si="123"/>
        <v>83</v>
      </c>
      <c r="AQ241" s="9">
        <f t="shared" si="119"/>
        <v>1204091.5800000003</v>
      </c>
      <c r="AR241" s="33">
        <f t="shared" si="120"/>
        <v>666342</v>
      </c>
      <c r="AS241" s="33">
        <f t="shared" si="121"/>
        <v>537750</v>
      </c>
      <c r="AU241" s="28"/>
      <c r="AV241" s="9"/>
      <c r="AW241" s="519"/>
    </row>
    <row r="242" spans="1:49">
      <c r="A242" s="6">
        <v>235</v>
      </c>
      <c r="B242" s="6" t="s">
        <v>1353</v>
      </c>
      <c r="C242" s="7">
        <v>0</v>
      </c>
      <c r="D242" s="9">
        <v>0</v>
      </c>
      <c r="E242" s="9">
        <v>0</v>
      </c>
      <c r="F242" s="9">
        <v>0</v>
      </c>
      <c r="G242" s="348"/>
      <c r="H242" s="111">
        <f t="shared" si="122"/>
        <v>0</v>
      </c>
      <c r="I242" s="9">
        <f t="shared" si="93"/>
        <v>0</v>
      </c>
      <c r="J242" s="33">
        <f t="shared" si="94"/>
        <v>0</v>
      </c>
      <c r="K242" s="9">
        <f t="shared" si="95"/>
        <v>0</v>
      </c>
      <c r="L242" s="112">
        <f t="shared" si="96"/>
        <v>0</v>
      </c>
      <c r="M242" s="458">
        <f>ROUND(100-'Townwide Contributions'!L241,2)</f>
        <v>43.75</v>
      </c>
      <c r="N242" s="9">
        <v>0</v>
      </c>
      <c r="O242" s="9">
        <f t="shared" si="97"/>
        <v>0</v>
      </c>
      <c r="P242" s="9">
        <f t="shared" si="98"/>
        <v>0</v>
      </c>
      <c r="Q242" s="28">
        <f t="shared" si="99"/>
        <v>0</v>
      </c>
      <c r="R242" s="382">
        <f t="shared" si="100"/>
        <v>0</v>
      </c>
      <c r="S242" s="28">
        <v>0</v>
      </c>
      <c r="T242" s="33">
        <f t="shared" si="101"/>
        <v>0</v>
      </c>
      <c r="U242" s="9">
        <f t="shared" si="102"/>
        <v>0</v>
      </c>
      <c r="V242" s="33">
        <f t="shared" si="103"/>
        <v>0</v>
      </c>
      <c r="W242" s="33">
        <f t="shared" si="104"/>
        <v>0</v>
      </c>
      <c r="X242" s="33">
        <v>0</v>
      </c>
      <c r="Y242" s="113">
        <f t="shared" si="105"/>
        <v>0</v>
      </c>
      <c r="Z242" s="155">
        <f t="shared" si="106"/>
        <v>0</v>
      </c>
      <c r="AA242" s="33">
        <f t="shared" si="107"/>
        <v>0</v>
      </c>
      <c r="AB242" s="114">
        <f t="shared" si="108"/>
        <v>0</v>
      </c>
      <c r="AC242" s="28">
        <f t="shared" si="109"/>
        <v>0</v>
      </c>
      <c r="AD242" s="28">
        <f t="shared" si="110"/>
        <v>0</v>
      </c>
      <c r="AE242" s="28">
        <f t="shared" si="111"/>
        <v>0</v>
      </c>
      <c r="AF242" s="115" t="str">
        <f t="shared" si="112"/>
        <v/>
      </c>
      <c r="AG242" s="28">
        <f t="shared" si="113"/>
        <v>0</v>
      </c>
      <c r="AI242" s="28">
        <f t="shared" si="114"/>
        <v>0</v>
      </c>
      <c r="AJ242" s="28"/>
      <c r="AK242" s="28">
        <f t="shared" si="115"/>
        <v>0</v>
      </c>
      <c r="AL242" s="156"/>
      <c r="AM242" s="6">
        <f t="shared" si="116"/>
        <v>235</v>
      </c>
      <c r="AN242" s="6" t="str">
        <f t="shared" si="117"/>
        <v xml:space="preserve">Phillipston                  </v>
      </c>
      <c r="AO242" s="6">
        <f t="shared" si="118"/>
        <v>0</v>
      </c>
      <c r="AP242" s="9">
        <f t="shared" si="123"/>
        <v>0</v>
      </c>
      <c r="AQ242" s="9">
        <f t="shared" si="119"/>
        <v>0</v>
      </c>
      <c r="AR242" s="33">
        <f t="shared" si="120"/>
        <v>0</v>
      </c>
      <c r="AS242" s="33">
        <f t="shared" si="121"/>
        <v>0</v>
      </c>
      <c r="AU242" s="28"/>
      <c r="AW242" s="519"/>
    </row>
    <row r="243" spans="1:49">
      <c r="A243" s="6">
        <v>236</v>
      </c>
      <c r="B243" s="6" t="s">
        <v>1354</v>
      </c>
      <c r="C243" s="7">
        <v>1</v>
      </c>
      <c r="D243" s="9">
        <v>92916030.260000005</v>
      </c>
      <c r="E243" s="9">
        <v>32068500</v>
      </c>
      <c r="F243" s="9">
        <v>60847530</v>
      </c>
      <c r="G243" s="348"/>
      <c r="H243" s="111">
        <f t="shared" si="122"/>
        <v>60847530</v>
      </c>
      <c r="I243" s="9">
        <f t="shared" si="93"/>
        <v>97815674.270000011</v>
      </c>
      <c r="J243" s="33">
        <f t="shared" si="94"/>
        <v>33854715</v>
      </c>
      <c r="K243" s="9">
        <f t="shared" si="95"/>
        <v>63960959</v>
      </c>
      <c r="L243" s="112">
        <f t="shared" si="96"/>
        <v>3113429</v>
      </c>
      <c r="M243" s="458">
        <f>ROUND(100-'Townwide Contributions'!L242,2)</f>
        <v>63.11</v>
      </c>
      <c r="N243" s="9">
        <v>5577</v>
      </c>
      <c r="O243" s="9">
        <f t="shared" si="97"/>
        <v>5558</v>
      </c>
      <c r="P243" s="9">
        <f t="shared" si="98"/>
        <v>1</v>
      </c>
      <c r="Q243" s="28">
        <f t="shared" si="99"/>
        <v>578032</v>
      </c>
      <c r="R243" s="382">
        <f t="shared" si="100"/>
        <v>0</v>
      </c>
      <c r="S243" s="28">
        <v>60847530</v>
      </c>
      <c r="T243" s="33">
        <f t="shared" si="101"/>
        <v>61014270</v>
      </c>
      <c r="U243" s="9">
        <f t="shared" si="102"/>
        <v>0</v>
      </c>
      <c r="V243" s="33">
        <f t="shared" si="103"/>
        <v>63960959</v>
      </c>
      <c r="W243" s="33">
        <f t="shared" si="104"/>
        <v>0</v>
      </c>
      <c r="X243" s="33">
        <v>0</v>
      </c>
      <c r="Y243" s="113">
        <f t="shared" si="105"/>
        <v>63960959</v>
      </c>
      <c r="Z243" s="155">
        <f t="shared" si="106"/>
        <v>65.389273730761147</v>
      </c>
      <c r="AA243" s="33">
        <f t="shared" si="107"/>
        <v>97815674</v>
      </c>
      <c r="AB243" s="114">
        <f t="shared" si="108"/>
        <v>99.999999723970603</v>
      </c>
      <c r="AC243" s="28">
        <f t="shared" si="109"/>
        <v>4899644.0100000054</v>
      </c>
      <c r="AD243" s="28">
        <f t="shared" si="110"/>
        <v>3113429</v>
      </c>
      <c r="AE243" s="28">
        <f t="shared" si="111"/>
        <v>2229486.9682029933</v>
      </c>
      <c r="AF243" s="115">
        <f t="shared" si="112"/>
        <v>2.2792737307611475</v>
      </c>
      <c r="AG243" s="28">
        <f t="shared" si="113"/>
        <v>17599.080000000002</v>
      </c>
      <c r="AI243" s="28">
        <f t="shared" si="114"/>
        <v>0</v>
      </c>
      <c r="AJ243" s="28"/>
      <c r="AK243" s="28">
        <f t="shared" si="115"/>
        <v>560.17074487225625</v>
      </c>
      <c r="AL243" s="156"/>
      <c r="AM243" s="6">
        <f t="shared" si="116"/>
        <v>236</v>
      </c>
      <c r="AN243" s="6" t="str">
        <f t="shared" si="117"/>
        <v xml:space="preserve">Pittsfield                   </v>
      </c>
      <c r="AO243" s="6">
        <f t="shared" si="118"/>
        <v>1</v>
      </c>
      <c r="AP243" s="9">
        <f t="shared" si="123"/>
        <v>5558</v>
      </c>
      <c r="AQ243" s="9">
        <f t="shared" si="119"/>
        <v>97815674.270000011</v>
      </c>
      <c r="AR243" s="33">
        <f t="shared" si="120"/>
        <v>33854715</v>
      </c>
      <c r="AS243" s="33">
        <f t="shared" si="121"/>
        <v>63960959</v>
      </c>
      <c r="AU243" s="28"/>
      <c r="AV243" s="9"/>
      <c r="AW243" s="519"/>
    </row>
    <row r="244" spans="1:49">
      <c r="A244" s="6">
        <v>237</v>
      </c>
      <c r="B244" s="6" t="s">
        <v>1355</v>
      </c>
      <c r="C244" s="7">
        <v>0</v>
      </c>
      <c r="D244" s="9">
        <v>65963.040000000008</v>
      </c>
      <c r="E244" s="9">
        <v>46971</v>
      </c>
      <c r="F244" s="9">
        <v>27794</v>
      </c>
      <c r="G244" s="348"/>
      <c r="H244" s="111">
        <f t="shared" si="122"/>
        <v>27794</v>
      </c>
      <c r="I244" s="9">
        <f t="shared" si="93"/>
        <v>118022.31000000001</v>
      </c>
      <c r="J244" s="33">
        <f t="shared" si="94"/>
        <v>81309</v>
      </c>
      <c r="K244" s="9">
        <f t="shared" si="95"/>
        <v>36713</v>
      </c>
      <c r="L244" s="112">
        <f t="shared" si="96"/>
        <v>8919</v>
      </c>
      <c r="M244" s="458">
        <f>ROUND(100-'Townwide Contributions'!L243,2)</f>
        <v>24.83</v>
      </c>
      <c r="N244" s="9">
        <v>4</v>
      </c>
      <c r="O244" s="9">
        <f t="shared" si="97"/>
        <v>7</v>
      </c>
      <c r="P244" s="9">
        <f t="shared" si="98"/>
        <v>0</v>
      </c>
      <c r="Q244" s="28">
        <f t="shared" si="99"/>
        <v>0</v>
      </c>
      <c r="R244" s="382">
        <f t="shared" si="100"/>
        <v>0</v>
      </c>
      <c r="S244" s="28">
        <v>32281</v>
      </c>
      <c r="T244" s="33">
        <f t="shared" si="101"/>
        <v>32491</v>
      </c>
      <c r="U244" s="9">
        <f t="shared" si="102"/>
        <v>0</v>
      </c>
      <c r="V244" s="33">
        <f t="shared" si="103"/>
        <v>36713</v>
      </c>
      <c r="W244" s="33">
        <f t="shared" si="104"/>
        <v>0</v>
      </c>
      <c r="X244" s="33">
        <v>718</v>
      </c>
      <c r="Y244" s="113">
        <f t="shared" si="105"/>
        <v>37431</v>
      </c>
      <c r="Z244" s="155">
        <f t="shared" si="106"/>
        <v>0</v>
      </c>
      <c r="AA244" s="33">
        <f t="shared" si="107"/>
        <v>118740</v>
      </c>
      <c r="AB244" s="114">
        <f t="shared" si="108"/>
        <v>100.60809689286711</v>
      </c>
      <c r="AC244" s="28">
        <f t="shared" si="109"/>
        <v>52059.270000000004</v>
      </c>
      <c r="AD244" s="28">
        <f t="shared" si="110"/>
        <v>9637</v>
      </c>
      <c r="AE244" s="28">
        <f t="shared" si="111"/>
        <v>8126.0604269999967</v>
      </c>
      <c r="AF244" s="115" t="str">
        <f t="shared" si="112"/>
        <v/>
      </c>
      <c r="AG244" s="28">
        <f t="shared" si="113"/>
        <v>16860.330000000002</v>
      </c>
      <c r="AI244" s="28">
        <f t="shared" si="114"/>
        <v>0</v>
      </c>
      <c r="AJ244" s="28"/>
      <c r="AK244" s="28">
        <f t="shared" si="115"/>
        <v>1376.7142857142858</v>
      </c>
      <c r="AL244" s="156"/>
      <c r="AM244" s="6">
        <f t="shared" si="116"/>
        <v>237</v>
      </c>
      <c r="AN244" s="6" t="str">
        <f t="shared" si="117"/>
        <v xml:space="preserve">Plainfield                   </v>
      </c>
      <c r="AO244" s="6">
        <f t="shared" si="118"/>
        <v>0</v>
      </c>
      <c r="AP244" s="9">
        <f t="shared" si="123"/>
        <v>7</v>
      </c>
      <c r="AQ244" s="9">
        <f t="shared" si="119"/>
        <v>118022.31000000001</v>
      </c>
      <c r="AR244" s="33">
        <f t="shared" si="120"/>
        <v>81309</v>
      </c>
      <c r="AS244" s="33">
        <f t="shared" si="121"/>
        <v>37431</v>
      </c>
      <c r="AU244" s="28"/>
      <c r="AV244" s="9"/>
      <c r="AW244" s="519"/>
    </row>
    <row r="245" spans="1:49">
      <c r="A245" s="6">
        <v>238</v>
      </c>
      <c r="B245" s="6" t="s">
        <v>1356</v>
      </c>
      <c r="C245" s="7">
        <v>1</v>
      </c>
      <c r="D245" s="9">
        <v>8340185.2700000005</v>
      </c>
      <c r="E245" s="9">
        <v>6122586</v>
      </c>
      <c r="F245" s="9">
        <v>3027041</v>
      </c>
      <c r="G245" s="348"/>
      <c r="H245" s="111">
        <f t="shared" si="122"/>
        <v>3027041</v>
      </c>
      <c r="I245" s="9">
        <f t="shared" si="93"/>
        <v>8367252.290000001</v>
      </c>
      <c r="J245" s="33">
        <f t="shared" si="94"/>
        <v>6374798</v>
      </c>
      <c r="K245" s="9">
        <f t="shared" si="95"/>
        <v>1992454</v>
      </c>
      <c r="L245" s="112">
        <f t="shared" si="96"/>
        <v>0</v>
      </c>
      <c r="M245" s="458">
        <f>ROUND(100-'Townwide Contributions'!L244,2)</f>
        <v>18.760000000000002</v>
      </c>
      <c r="N245" s="9">
        <v>655</v>
      </c>
      <c r="O245" s="9">
        <f t="shared" si="97"/>
        <v>633</v>
      </c>
      <c r="P245" s="9">
        <f t="shared" si="98"/>
        <v>0</v>
      </c>
      <c r="Q245" s="28">
        <f t="shared" si="99"/>
        <v>65832</v>
      </c>
      <c r="R245" s="382">
        <f t="shared" si="100"/>
        <v>65832</v>
      </c>
      <c r="S245" s="28">
        <v>3027041</v>
      </c>
      <c r="T245" s="33">
        <f t="shared" si="101"/>
        <v>3046031</v>
      </c>
      <c r="U245" s="9">
        <f t="shared" si="102"/>
        <v>0</v>
      </c>
      <c r="V245" s="33">
        <f t="shared" si="103"/>
        <v>3092873</v>
      </c>
      <c r="W245" s="33">
        <f t="shared" si="104"/>
        <v>0</v>
      </c>
      <c r="X245" s="33">
        <v>0</v>
      </c>
      <c r="Y245" s="113">
        <f t="shared" si="105"/>
        <v>3092873</v>
      </c>
      <c r="Z245" s="155">
        <f t="shared" si="106"/>
        <v>36.964022271641092</v>
      </c>
      <c r="AA245" s="33">
        <f t="shared" si="107"/>
        <v>9467671</v>
      </c>
      <c r="AB245" s="114">
        <f t="shared" si="108"/>
        <v>113.15149432407038</v>
      </c>
      <c r="AC245" s="28">
        <f t="shared" si="109"/>
        <v>27067.020000000484</v>
      </c>
      <c r="AD245" s="28">
        <f t="shared" si="110"/>
        <v>65832</v>
      </c>
      <c r="AE245" s="28">
        <f t="shared" si="111"/>
        <v>1523176.4703959997</v>
      </c>
      <c r="AF245" s="115">
        <f t="shared" si="112"/>
        <v>18.20402227164109</v>
      </c>
      <c r="AG245" s="28">
        <f t="shared" si="113"/>
        <v>13218.41</v>
      </c>
      <c r="AI245" s="28">
        <f t="shared" si="114"/>
        <v>0</v>
      </c>
      <c r="AJ245" s="28"/>
      <c r="AK245" s="28">
        <f t="shared" si="115"/>
        <v>104</v>
      </c>
      <c r="AL245" s="156"/>
      <c r="AM245" s="6">
        <f t="shared" si="116"/>
        <v>238</v>
      </c>
      <c r="AN245" s="6" t="str">
        <f t="shared" si="117"/>
        <v xml:space="preserve">Plainville                   </v>
      </c>
      <c r="AO245" s="6">
        <f t="shared" si="118"/>
        <v>1</v>
      </c>
      <c r="AP245" s="9">
        <f t="shared" si="123"/>
        <v>633</v>
      </c>
      <c r="AQ245" s="9">
        <f t="shared" si="119"/>
        <v>8367252.290000001</v>
      </c>
      <c r="AR245" s="33">
        <f t="shared" si="120"/>
        <v>6374798</v>
      </c>
      <c r="AS245" s="33">
        <f t="shared" si="121"/>
        <v>3092873</v>
      </c>
      <c r="AU245" s="28"/>
      <c r="AV245" s="9"/>
      <c r="AW245" s="519"/>
    </row>
    <row r="246" spans="1:49">
      <c r="A246" s="6">
        <v>239</v>
      </c>
      <c r="B246" s="6" t="s">
        <v>1357</v>
      </c>
      <c r="C246" s="7">
        <v>1</v>
      </c>
      <c r="D246" s="9">
        <v>111949866.57694001</v>
      </c>
      <c r="E246" s="9">
        <v>83683584</v>
      </c>
      <c r="F246" s="9">
        <v>28266283</v>
      </c>
      <c r="G246" s="348"/>
      <c r="H246" s="111">
        <f t="shared" si="122"/>
        <v>28266283</v>
      </c>
      <c r="I246" s="9">
        <f t="shared" si="93"/>
        <v>112170810.485</v>
      </c>
      <c r="J246" s="33">
        <f t="shared" si="94"/>
        <v>88503759</v>
      </c>
      <c r="K246" s="9">
        <f t="shared" si="95"/>
        <v>23667051</v>
      </c>
      <c r="L246" s="112">
        <f t="shared" si="96"/>
        <v>0</v>
      </c>
      <c r="M246" s="458">
        <f>ROUND(100-'Townwide Contributions'!L245,2)</f>
        <v>17.5</v>
      </c>
      <c r="N246" s="9">
        <v>7691</v>
      </c>
      <c r="O246" s="9">
        <f t="shared" si="97"/>
        <v>7591</v>
      </c>
      <c r="P246" s="9">
        <f t="shared" si="98"/>
        <v>0</v>
      </c>
      <c r="Q246" s="28">
        <f t="shared" si="99"/>
        <v>789464</v>
      </c>
      <c r="R246" s="382">
        <f t="shared" si="100"/>
        <v>789464</v>
      </c>
      <c r="S246" s="28">
        <v>28266283</v>
      </c>
      <c r="T246" s="33">
        <f t="shared" si="101"/>
        <v>28494013</v>
      </c>
      <c r="U246" s="9">
        <f t="shared" si="102"/>
        <v>0</v>
      </c>
      <c r="V246" s="33">
        <f t="shared" si="103"/>
        <v>29055747</v>
      </c>
      <c r="W246" s="33">
        <f t="shared" si="104"/>
        <v>0</v>
      </c>
      <c r="X246" s="33">
        <v>0</v>
      </c>
      <c r="Y246" s="113">
        <f t="shared" si="105"/>
        <v>29055747</v>
      </c>
      <c r="Z246" s="155">
        <f t="shared" si="106"/>
        <v>25.903126557051547</v>
      </c>
      <c r="AA246" s="33">
        <f t="shared" si="107"/>
        <v>117559506</v>
      </c>
      <c r="AB246" s="114">
        <f t="shared" si="108"/>
        <v>104.80400871822229</v>
      </c>
      <c r="AC246" s="28">
        <f t="shared" si="109"/>
        <v>220943.90805998445</v>
      </c>
      <c r="AD246" s="28">
        <f t="shared" si="110"/>
        <v>789464</v>
      </c>
      <c r="AE246" s="28">
        <f t="shared" si="111"/>
        <v>9425855.1651250012</v>
      </c>
      <c r="AF246" s="115">
        <f t="shared" si="112"/>
        <v>8.4031265570515465</v>
      </c>
      <c r="AG246" s="28">
        <f t="shared" si="113"/>
        <v>14776.82</v>
      </c>
      <c r="AI246" s="28">
        <f t="shared" si="114"/>
        <v>0</v>
      </c>
      <c r="AJ246" s="28"/>
      <c r="AK246" s="28">
        <f t="shared" si="115"/>
        <v>104</v>
      </c>
      <c r="AL246" s="156"/>
      <c r="AM246" s="6">
        <f t="shared" si="116"/>
        <v>239</v>
      </c>
      <c r="AN246" s="6" t="str">
        <f t="shared" si="117"/>
        <v xml:space="preserve">Plymouth                     </v>
      </c>
      <c r="AO246" s="6">
        <f t="shared" si="118"/>
        <v>1</v>
      </c>
      <c r="AP246" s="9">
        <f t="shared" si="123"/>
        <v>7591</v>
      </c>
      <c r="AQ246" s="9">
        <f t="shared" si="119"/>
        <v>112170810.485</v>
      </c>
      <c r="AR246" s="33">
        <f t="shared" si="120"/>
        <v>88503759</v>
      </c>
      <c r="AS246" s="33">
        <f t="shared" si="121"/>
        <v>29055747</v>
      </c>
      <c r="AU246" s="28"/>
      <c r="AV246" s="9"/>
      <c r="AW246" s="519"/>
    </row>
    <row r="247" spans="1:49">
      <c r="A247" s="6">
        <v>240</v>
      </c>
      <c r="B247" s="6" t="s">
        <v>1358</v>
      </c>
      <c r="C247" s="7">
        <v>1</v>
      </c>
      <c r="D247" s="9">
        <v>3146739.0944000003</v>
      </c>
      <c r="E247" s="9">
        <v>2196202</v>
      </c>
      <c r="F247" s="9">
        <v>950537</v>
      </c>
      <c r="G247" s="348"/>
      <c r="H247" s="111">
        <f t="shared" si="122"/>
        <v>950537</v>
      </c>
      <c r="I247" s="9">
        <f t="shared" si="93"/>
        <v>3445673.1154400003</v>
      </c>
      <c r="J247" s="33">
        <f t="shared" si="94"/>
        <v>2338631</v>
      </c>
      <c r="K247" s="9">
        <f t="shared" si="95"/>
        <v>1107042</v>
      </c>
      <c r="L247" s="112">
        <f t="shared" si="96"/>
        <v>156505</v>
      </c>
      <c r="M247" s="458">
        <f>ROUND(100-'Townwide Contributions'!L246,2)</f>
        <v>25.31</v>
      </c>
      <c r="N247" s="9">
        <v>251</v>
      </c>
      <c r="O247" s="9">
        <f t="shared" si="97"/>
        <v>263</v>
      </c>
      <c r="P247" s="9">
        <f t="shared" si="98"/>
        <v>1</v>
      </c>
      <c r="Q247" s="28">
        <f t="shared" si="99"/>
        <v>27352</v>
      </c>
      <c r="R247" s="382">
        <f t="shared" si="100"/>
        <v>0</v>
      </c>
      <c r="S247" s="28">
        <v>1005692</v>
      </c>
      <c r="T247" s="33">
        <f t="shared" si="101"/>
        <v>1013582</v>
      </c>
      <c r="U247" s="9">
        <f t="shared" si="102"/>
        <v>0</v>
      </c>
      <c r="V247" s="33">
        <f t="shared" si="103"/>
        <v>1107042</v>
      </c>
      <c r="W247" s="33">
        <f t="shared" si="104"/>
        <v>0</v>
      </c>
      <c r="X247" s="33">
        <v>0</v>
      </c>
      <c r="Y247" s="113">
        <f t="shared" si="105"/>
        <v>1107042</v>
      </c>
      <c r="Z247" s="155">
        <f t="shared" si="106"/>
        <v>32.128468456260819</v>
      </c>
      <c r="AA247" s="33">
        <f t="shared" si="107"/>
        <v>3445673</v>
      </c>
      <c r="AB247" s="114">
        <f t="shared" si="108"/>
        <v>99.999996649711207</v>
      </c>
      <c r="AC247" s="28">
        <f t="shared" si="109"/>
        <v>298934.02104000002</v>
      </c>
      <c r="AD247" s="28">
        <f t="shared" si="110"/>
        <v>156505</v>
      </c>
      <c r="AE247" s="28">
        <f t="shared" si="111"/>
        <v>234942.134482136</v>
      </c>
      <c r="AF247" s="115">
        <f t="shared" si="112"/>
        <v>6.8184684562608204</v>
      </c>
      <c r="AG247" s="28">
        <f t="shared" si="113"/>
        <v>13101.42</v>
      </c>
      <c r="AI247" s="28">
        <f t="shared" si="114"/>
        <v>0</v>
      </c>
      <c r="AJ247" s="28"/>
      <c r="AK247" s="28">
        <f t="shared" si="115"/>
        <v>595.0760456273764</v>
      </c>
      <c r="AL247" s="156"/>
      <c r="AM247" s="6">
        <f t="shared" si="116"/>
        <v>240</v>
      </c>
      <c r="AN247" s="6" t="str">
        <f t="shared" si="117"/>
        <v xml:space="preserve">Plympton                     </v>
      </c>
      <c r="AO247" s="6">
        <f t="shared" si="118"/>
        <v>1</v>
      </c>
      <c r="AP247" s="9">
        <f t="shared" si="123"/>
        <v>263</v>
      </c>
      <c r="AQ247" s="9">
        <f t="shared" si="119"/>
        <v>3445673.1154400003</v>
      </c>
      <c r="AR247" s="33">
        <f t="shared" si="120"/>
        <v>2338631</v>
      </c>
      <c r="AS247" s="33">
        <f t="shared" si="121"/>
        <v>1107042</v>
      </c>
      <c r="AU247" s="28"/>
      <c r="AV247" s="9"/>
      <c r="AW247" s="519"/>
    </row>
    <row r="248" spans="1:49">
      <c r="A248" s="6">
        <v>241</v>
      </c>
      <c r="B248" s="6" t="s">
        <v>1359</v>
      </c>
      <c r="C248" s="7">
        <v>0</v>
      </c>
      <c r="D248" s="9">
        <v>16490.760000000002</v>
      </c>
      <c r="E248" s="9">
        <v>13140</v>
      </c>
      <c r="F248" s="9">
        <v>3497</v>
      </c>
      <c r="G248" s="348"/>
      <c r="H248" s="111">
        <f t="shared" si="122"/>
        <v>3497</v>
      </c>
      <c r="I248" s="9">
        <f t="shared" si="93"/>
        <v>0</v>
      </c>
      <c r="J248" s="33">
        <f t="shared" si="94"/>
        <v>0</v>
      </c>
      <c r="K248" s="9">
        <f t="shared" si="95"/>
        <v>0</v>
      </c>
      <c r="L248" s="112">
        <f t="shared" si="96"/>
        <v>0</v>
      </c>
      <c r="M248" s="458">
        <f>ROUND(100-'Townwide Contributions'!L247,2)</f>
        <v>17.5</v>
      </c>
      <c r="N248" s="9">
        <v>1</v>
      </c>
      <c r="O248" s="9">
        <f t="shared" si="97"/>
        <v>0</v>
      </c>
      <c r="P248" s="9">
        <f t="shared" si="98"/>
        <v>0</v>
      </c>
      <c r="Q248" s="28">
        <f t="shared" si="99"/>
        <v>0</v>
      </c>
      <c r="R248" s="382">
        <f t="shared" si="100"/>
        <v>0</v>
      </c>
      <c r="S248" s="28">
        <v>0</v>
      </c>
      <c r="T248" s="33">
        <f t="shared" si="101"/>
        <v>0</v>
      </c>
      <c r="U248" s="9">
        <f t="shared" si="102"/>
        <v>0</v>
      </c>
      <c r="V248" s="33">
        <f t="shared" si="103"/>
        <v>3497</v>
      </c>
      <c r="W248" s="33">
        <f t="shared" si="104"/>
        <v>3497</v>
      </c>
      <c r="X248" s="33">
        <v>0</v>
      </c>
      <c r="Y248" s="113">
        <f t="shared" si="105"/>
        <v>0</v>
      </c>
      <c r="Z248" s="155">
        <f t="shared" si="106"/>
        <v>0</v>
      </c>
      <c r="AA248" s="33">
        <f t="shared" si="107"/>
        <v>0</v>
      </c>
      <c r="AB248" s="114">
        <f t="shared" si="108"/>
        <v>0</v>
      </c>
      <c r="AC248" s="28">
        <f t="shared" si="109"/>
        <v>-16490.760000000002</v>
      </c>
      <c r="AD248" s="28">
        <f t="shared" si="110"/>
        <v>-3497</v>
      </c>
      <c r="AE248" s="28">
        <f t="shared" si="111"/>
        <v>0</v>
      </c>
      <c r="AF248" s="115" t="str">
        <f t="shared" si="112"/>
        <v/>
      </c>
      <c r="AG248" s="28">
        <f t="shared" si="113"/>
        <v>0</v>
      </c>
      <c r="AI248" s="28">
        <f t="shared" si="114"/>
        <v>0</v>
      </c>
      <c r="AJ248" s="28"/>
      <c r="AK248" s="28">
        <f t="shared" si="115"/>
        <v>0</v>
      </c>
      <c r="AL248" s="156"/>
      <c r="AM248" s="6">
        <f t="shared" si="116"/>
        <v>241</v>
      </c>
      <c r="AN248" s="6" t="str">
        <f t="shared" si="117"/>
        <v xml:space="preserve">Princeton                    </v>
      </c>
      <c r="AO248" s="6">
        <f t="shared" si="118"/>
        <v>0</v>
      </c>
      <c r="AP248" s="9">
        <f t="shared" si="123"/>
        <v>0</v>
      </c>
      <c r="AQ248" s="9">
        <f t="shared" si="119"/>
        <v>0</v>
      </c>
      <c r="AR248" s="33">
        <f t="shared" si="120"/>
        <v>0</v>
      </c>
      <c r="AS248" s="33">
        <f t="shared" si="121"/>
        <v>0</v>
      </c>
      <c r="AU248" s="28"/>
      <c r="AW248" s="519"/>
    </row>
    <row r="249" spans="1:49">
      <c r="A249" s="6">
        <v>242</v>
      </c>
      <c r="B249" s="6" t="s">
        <v>1360</v>
      </c>
      <c r="C249" s="7">
        <v>1</v>
      </c>
      <c r="D249" s="9">
        <v>1708796.98</v>
      </c>
      <c r="E249" s="9">
        <v>1409758</v>
      </c>
      <c r="F249" s="9">
        <v>305451</v>
      </c>
      <c r="G249" s="348"/>
      <c r="H249" s="111">
        <f t="shared" si="122"/>
        <v>305451</v>
      </c>
      <c r="I249" s="9">
        <f t="shared" si="93"/>
        <v>1580908.4799999997</v>
      </c>
      <c r="J249" s="33">
        <f t="shared" si="94"/>
        <v>1304249</v>
      </c>
      <c r="K249" s="9">
        <f t="shared" si="95"/>
        <v>276659</v>
      </c>
      <c r="L249" s="112">
        <f t="shared" si="96"/>
        <v>0</v>
      </c>
      <c r="M249" s="458">
        <f>ROUND(100-'Townwide Contributions'!L248,2)</f>
        <v>17.5</v>
      </c>
      <c r="N249" s="9">
        <v>98</v>
      </c>
      <c r="O249" s="9">
        <f t="shared" si="97"/>
        <v>87</v>
      </c>
      <c r="P249" s="9">
        <f t="shared" si="98"/>
        <v>0</v>
      </c>
      <c r="Q249" s="28">
        <f t="shared" si="99"/>
        <v>9048</v>
      </c>
      <c r="R249" s="382">
        <f t="shared" si="100"/>
        <v>9048</v>
      </c>
      <c r="S249" s="28">
        <v>305451</v>
      </c>
      <c r="T249" s="33">
        <f t="shared" si="101"/>
        <v>308061</v>
      </c>
      <c r="U249" s="9">
        <f t="shared" si="102"/>
        <v>0</v>
      </c>
      <c r="V249" s="33">
        <f t="shared" si="103"/>
        <v>314499</v>
      </c>
      <c r="W249" s="33">
        <f t="shared" si="104"/>
        <v>0</v>
      </c>
      <c r="X249" s="33">
        <v>0</v>
      </c>
      <c r="Y249" s="113">
        <f t="shared" si="105"/>
        <v>314499</v>
      </c>
      <c r="Z249" s="155">
        <f t="shared" si="106"/>
        <v>19.893561453981199</v>
      </c>
      <c r="AA249" s="33">
        <f t="shared" si="107"/>
        <v>1618748</v>
      </c>
      <c r="AB249" s="114">
        <f t="shared" si="108"/>
        <v>102.39353007961601</v>
      </c>
      <c r="AC249" s="28">
        <f t="shared" si="109"/>
        <v>-127888.50000000023</v>
      </c>
      <c r="AD249" s="28">
        <f t="shared" si="110"/>
        <v>9048</v>
      </c>
      <c r="AE249" s="28">
        <f t="shared" si="111"/>
        <v>37840.016000000061</v>
      </c>
      <c r="AF249" s="115">
        <f t="shared" si="112"/>
        <v>2.3935614539811993</v>
      </c>
      <c r="AG249" s="28">
        <f t="shared" si="113"/>
        <v>18171.36</v>
      </c>
      <c r="AI249" s="28">
        <f t="shared" si="114"/>
        <v>0</v>
      </c>
      <c r="AJ249" s="28"/>
      <c r="AK249" s="28">
        <f t="shared" si="115"/>
        <v>104</v>
      </c>
      <c r="AL249" s="156"/>
      <c r="AM249" s="6">
        <f t="shared" si="116"/>
        <v>242</v>
      </c>
      <c r="AN249" s="6" t="str">
        <f t="shared" si="117"/>
        <v xml:space="preserve">Provincetown                 </v>
      </c>
      <c r="AO249" s="6">
        <f t="shared" si="118"/>
        <v>1</v>
      </c>
      <c r="AP249" s="9">
        <f t="shared" si="123"/>
        <v>87</v>
      </c>
      <c r="AQ249" s="9">
        <f t="shared" si="119"/>
        <v>1580908.4799999997</v>
      </c>
      <c r="AR249" s="33">
        <f t="shared" si="120"/>
        <v>1304249</v>
      </c>
      <c r="AS249" s="33">
        <f t="shared" si="121"/>
        <v>314499</v>
      </c>
      <c r="AU249" s="28"/>
      <c r="AV249" s="9"/>
      <c r="AW249" s="519"/>
    </row>
    <row r="250" spans="1:49">
      <c r="A250" s="6">
        <v>243</v>
      </c>
      <c r="B250" s="6" t="s">
        <v>1361</v>
      </c>
      <c r="C250" s="7">
        <v>1</v>
      </c>
      <c r="D250" s="9">
        <v>164068488.81255996</v>
      </c>
      <c r="E250" s="9">
        <v>118960682</v>
      </c>
      <c r="F250" s="9">
        <v>45107807</v>
      </c>
      <c r="G250" s="348"/>
      <c r="H250" s="111">
        <f t="shared" si="122"/>
        <v>45107807</v>
      </c>
      <c r="I250" s="9">
        <f t="shared" si="93"/>
        <v>167877095.85800001</v>
      </c>
      <c r="J250" s="33">
        <f t="shared" si="94"/>
        <v>127478124</v>
      </c>
      <c r="K250" s="9">
        <f t="shared" si="95"/>
        <v>40398972</v>
      </c>
      <c r="L250" s="112">
        <f t="shared" si="96"/>
        <v>0</v>
      </c>
      <c r="M250" s="458">
        <f>ROUND(100-'Townwide Contributions'!L249,2)</f>
        <v>17.5</v>
      </c>
      <c r="N250" s="9">
        <v>9715</v>
      </c>
      <c r="O250" s="9">
        <f t="shared" si="97"/>
        <v>9799</v>
      </c>
      <c r="P250" s="9">
        <f t="shared" si="98"/>
        <v>0</v>
      </c>
      <c r="Q250" s="28">
        <f t="shared" si="99"/>
        <v>1019096</v>
      </c>
      <c r="R250" s="382">
        <f t="shared" si="100"/>
        <v>1019096</v>
      </c>
      <c r="S250" s="28">
        <v>45107807</v>
      </c>
      <c r="T250" s="33">
        <f t="shared" si="101"/>
        <v>45401777</v>
      </c>
      <c r="U250" s="9">
        <f t="shared" si="102"/>
        <v>0</v>
      </c>
      <c r="V250" s="33">
        <f t="shared" si="103"/>
        <v>46126903</v>
      </c>
      <c r="W250" s="33">
        <f t="shared" si="104"/>
        <v>0</v>
      </c>
      <c r="X250" s="33">
        <v>0</v>
      </c>
      <c r="Y250" s="113">
        <f t="shared" si="105"/>
        <v>46126903</v>
      </c>
      <c r="Z250" s="155">
        <f t="shared" si="106"/>
        <v>27.476590993101734</v>
      </c>
      <c r="AA250" s="33">
        <f t="shared" si="107"/>
        <v>173605027</v>
      </c>
      <c r="AB250" s="114">
        <f t="shared" si="108"/>
        <v>103.41197893180437</v>
      </c>
      <c r="AC250" s="28">
        <f t="shared" si="109"/>
        <v>3808607.045440048</v>
      </c>
      <c r="AD250" s="28">
        <f t="shared" si="110"/>
        <v>1019096</v>
      </c>
      <c r="AE250" s="28">
        <f t="shared" si="111"/>
        <v>16748411.224849999</v>
      </c>
      <c r="AF250" s="115">
        <f t="shared" si="112"/>
        <v>9.976590993101734</v>
      </c>
      <c r="AG250" s="28">
        <f t="shared" si="113"/>
        <v>17132.060000000001</v>
      </c>
      <c r="AI250" s="28">
        <f t="shared" si="114"/>
        <v>0</v>
      </c>
      <c r="AJ250" s="28"/>
      <c r="AK250" s="28">
        <f t="shared" si="115"/>
        <v>104</v>
      </c>
      <c r="AL250" s="156"/>
      <c r="AM250" s="6">
        <f t="shared" si="116"/>
        <v>243</v>
      </c>
      <c r="AN250" s="6" t="str">
        <f t="shared" si="117"/>
        <v xml:space="preserve">Quincy                       </v>
      </c>
      <c r="AO250" s="6">
        <f t="shared" si="118"/>
        <v>1</v>
      </c>
      <c r="AP250" s="9">
        <f t="shared" si="123"/>
        <v>9799</v>
      </c>
      <c r="AQ250" s="9">
        <f t="shared" si="119"/>
        <v>167877095.85800001</v>
      </c>
      <c r="AR250" s="33">
        <f t="shared" si="120"/>
        <v>127478124</v>
      </c>
      <c r="AS250" s="33">
        <f t="shared" si="121"/>
        <v>46126903</v>
      </c>
      <c r="AU250" s="28"/>
      <c r="AV250" s="9"/>
      <c r="AW250" s="519"/>
    </row>
    <row r="251" spans="1:49">
      <c r="A251" s="6">
        <v>244</v>
      </c>
      <c r="B251" s="6" t="s">
        <v>1362</v>
      </c>
      <c r="C251" s="7">
        <v>1</v>
      </c>
      <c r="D251" s="9">
        <v>50608513.309120007</v>
      </c>
      <c r="E251" s="9">
        <v>26405867</v>
      </c>
      <c r="F251" s="9">
        <v>24202646</v>
      </c>
      <c r="G251" s="348"/>
      <c r="H251" s="111">
        <f t="shared" si="122"/>
        <v>24202646</v>
      </c>
      <c r="I251" s="9">
        <f t="shared" si="93"/>
        <v>53653467.411599994</v>
      </c>
      <c r="J251" s="33">
        <f t="shared" si="94"/>
        <v>27738483</v>
      </c>
      <c r="K251" s="9">
        <f t="shared" si="95"/>
        <v>25914984</v>
      </c>
      <c r="L251" s="112">
        <f t="shared" si="96"/>
        <v>1712338</v>
      </c>
      <c r="M251" s="458">
        <f>ROUND(100-'Townwide Contributions'!L250,2)</f>
        <v>40.82</v>
      </c>
      <c r="N251" s="9">
        <v>3050</v>
      </c>
      <c r="O251" s="9">
        <f t="shared" si="97"/>
        <v>3105</v>
      </c>
      <c r="P251" s="9">
        <f t="shared" si="98"/>
        <v>1</v>
      </c>
      <c r="Q251" s="28">
        <f t="shared" si="99"/>
        <v>322920</v>
      </c>
      <c r="R251" s="382">
        <f t="shared" si="100"/>
        <v>0</v>
      </c>
      <c r="S251" s="28">
        <v>24202646</v>
      </c>
      <c r="T251" s="33">
        <f t="shared" si="101"/>
        <v>24295796</v>
      </c>
      <c r="U251" s="9">
        <f t="shared" si="102"/>
        <v>0</v>
      </c>
      <c r="V251" s="33">
        <f t="shared" si="103"/>
        <v>25914984</v>
      </c>
      <c r="W251" s="33">
        <f t="shared" si="104"/>
        <v>0</v>
      </c>
      <c r="X251" s="33">
        <v>0</v>
      </c>
      <c r="Y251" s="113">
        <f t="shared" si="105"/>
        <v>25914984</v>
      </c>
      <c r="Z251" s="155">
        <f t="shared" si="106"/>
        <v>48.300669556348424</v>
      </c>
      <c r="AA251" s="33">
        <f t="shared" si="107"/>
        <v>53653467</v>
      </c>
      <c r="AB251" s="114">
        <f t="shared" si="108"/>
        <v>99.999999232854805</v>
      </c>
      <c r="AC251" s="28">
        <f t="shared" si="109"/>
        <v>3044954.1024799868</v>
      </c>
      <c r="AD251" s="28">
        <f t="shared" si="110"/>
        <v>1712338</v>
      </c>
      <c r="AE251" s="28">
        <f t="shared" si="111"/>
        <v>4013638.6025848836</v>
      </c>
      <c r="AF251" s="115">
        <f t="shared" si="112"/>
        <v>7.480669556348424</v>
      </c>
      <c r="AG251" s="28">
        <f t="shared" si="113"/>
        <v>17279.7</v>
      </c>
      <c r="AI251" s="28">
        <f t="shared" si="114"/>
        <v>0</v>
      </c>
      <c r="AJ251" s="28"/>
      <c r="AK251" s="28">
        <f t="shared" si="115"/>
        <v>551.47761674718197</v>
      </c>
      <c r="AL251" s="156"/>
      <c r="AM251" s="6">
        <f t="shared" si="116"/>
        <v>244</v>
      </c>
      <c r="AN251" s="6" t="str">
        <f t="shared" si="117"/>
        <v xml:space="preserve">Randolph                     </v>
      </c>
      <c r="AO251" s="6">
        <f t="shared" si="118"/>
        <v>1</v>
      </c>
      <c r="AP251" s="9">
        <f t="shared" si="123"/>
        <v>3105</v>
      </c>
      <c r="AQ251" s="9">
        <f t="shared" si="119"/>
        <v>53653467.411599994</v>
      </c>
      <c r="AR251" s="33">
        <f t="shared" si="120"/>
        <v>27738483</v>
      </c>
      <c r="AS251" s="33">
        <f t="shared" si="121"/>
        <v>25914984</v>
      </c>
      <c r="AU251" s="28"/>
      <c r="AV251" s="9"/>
      <c r="AW251" s="519"/>
    </row>
    <row r="252" spans="1:49">
      <c r="A252" s="6">
        <v>245</v>
      </c>
      <c r="B252" s="6" t="s">
        <v>1363</v>
      </c>
      <c r="C252" s="7">
        <v>0</v>
      </c>
      <c r="D252" s="9">
        <v>0</v>
      </c>
      <c r="E252" s="9">
        <v>0</v>
      </c>
      <c r="F252" s="9">
        <v>0</v>
      </c>
      <c r="G252" s="348"/>
      <c r="H252" s="111">
        <f t="shared" si="122"/>
        <v>0</v>
      </c>
      <c r="I252" s="9">
        <f t="shared" si="93"/>
        <v>0</v>
      </c>
      <c r="J252" s="33">
        <f t="shared" si="94"/>
        <v>0</v>
      </c>
      <c r="K252" s="9">
        <f t="shared" si="95"/>
        <v>0</v>
      </c>
      <c r="L252" s="112">
        <f t="shared" si="96"/>
        <v>0</v>
      </c>
      <c r="M252" s="458">
        <f>ROUND(100-'Townwide Contributions'!L251,2)</f>
        <v>35.78</v>
      </c>
      <c r="N252" s="9">
        <v>0</v>
      </c>
      <c r="O252" s="9">
        <f t="shared" si="97"/>
        <v>0</v>
      </c>
      <c r="P252" s="9">
        <f t="shared" si="98"/>
        <v>0</v>
      </c>
      <c r="Q252" s="28">
        <f t="shared" si="99"/>
        <v>0</v>
      </c>
      <c r="R252" s="382">
        <f t="shared" si="100"/>
        <v>0</v>
      </c>
      <c r="S252" s="28">
        <v>0</v>
      </c>
      <c r="T252" s="33">
        <f t="shared" si="101"/>
        <v>0</v>
      </c>
      <c r="U252" s="9">
        <f t="shared" si="102"/>
        <v>0</v>
      </c>
      <c r="V252" s="33">
        <f t="shared" si="103"/>
        <v>0</v>
      </c>
      <c r="W252" s="33">
        <f t="shared" si="104"/>
        <v>0</v>
      </c>
      <c r="X252" s="33">
        <v>0</v>
      </c>
      <c r="Y252" s="113">
        <f t="shared" si="105"/>
        <v>0</v>
      </c>
      <c r="Z252" s="155">
        <f t="shared" si="106"/>
        <v>0</v>
      </c>
      <c r="AA252" s="33">
        <f t="shared" si="107"/>
        <v>0</v>
      </c>
      <c r="AB252" s="114">
        <f t="shared" si="108"/>
        <v>0</v>
      </c>
      <c r="AC252" s="28">
        <f t="shared" si="109"/>
        <v>0</v>
      </c>
      <c r="AD252" s="28">
        <f t="shared" si="110"/>
        <v>0</v>
      </c>
      <c r="AE252" s="28">
        <f t="shared" si="111"/>
        <v>0</v>
      </c>
      <c r="AF252" s="115" t="str">
        <f t="shared" si="112"/>
        <v/>
      </c>
      <c r="AG252" s="28">
        <f t="shared" si="113"/>
        <v>0</v>
      </c>
      <c r="AI252" s="28">
        <f t="shared" si="114"/>
        <v>0</v>
      </c>
      <c r="AJ252" s="28"/>
      <c r="AK252" s="28">
        <f t="shared" si="115"/>
        <v>0</v>
      </c>
      <c r="AL252" s="156"/>
      <c r="AM252" s="6">
        <f t="shared" si="116"/>
        <v>245</v>
      </c>
      <c r="AN252" s="6" t="str">
        <f t="shared" si="117"/>
        <v xml:space="preserve">Raynham                      </v>
      </c>
      <c r="AO252" s="6">
        <f t="shared" si="118"/>
        <v>0</v>
      </c>
      <c r="AP252" s="9">
        <f t="shared" si="123"/>
        <v>0</v>
      </c>
      <c r="AQ252" s="9">
        <f t="shared" si="119"/>
        <v>0</v>
      </c>
      <c r="AR252" s="33">
        <f t="shared" si="120"/>
        <v>0</v>
      </c>
      <c r="AS252" s="33">
        <f t="shared" si="121"/>
        <v>0</v>
      </c>
      <c r="AU252" s="28"/>
      <c r="AW252" s="519"/>
    </row>
    <row r="253" spans="1:49">
      <c r="A253" s="6">
        <v>246</v>
      </c>
      <c r="B253" s="6" t="s">
        <v>1364</v>
      </c>
      <c r="C253" s="7">
        <v>1</v>
      </c>
      <c r="D253" s="9">
        <v>46064559.298859999</v>
      </c>
      <c r="E253" s="9">
        <v>37284680</v>
      </c>
      <c r="F253" s="9">
        <v>11394279</v>
      </c>
      <c r="G253" s="348"/>
      <c r="H253" s="111">
        <f t="shared" si="122"/>
        <v>11394279</v>
      </c>
      <c r="I253" s="9">
        <f t="shared" si="93"/>
        <v>47040957.59142001</v>
      </c>
      <c r="J253" s="33">
        <f t="shared" si="94"/>
        <v>38808790</v>
      </c>
      <c r="K253" s="9">
        <f t="shared" si="95"/>
        <v>8232168</v>
      </c>
      <c r="L253" s="112">
        <f t="shared" si="96"/>
        <v>0</v>
      </c>
      <c r="M253" s="458">
        <f>ROUND(100-'Townwide Contributions'!L252,2)</f>
        <v>17.5</v>
      </c>
      <c r="N253" s="9">
        <v>3708</v>
      </c>
      <c r="O253" s="9">
        <f t="shared" si="97"/>
        <v>3676</v>
      </c>
      <c r="P253" s="9">
        <f t="shared" si="98"/>
        <v>0</v>
      </c>
      <c r="Q253" s="28">
        <f t="shared" si="99"/>
        <v>382304</v>
      </c>
      <c r="R253" s="382">
        <f t="shared" si="100"/>
        <v>382304</v>
      </c>
      <c r="S253" s="28">
        <v>11394279</v>
      </c>
      <c r="T253" s="33">
        <f t="shared" si="101"/>
        <v>11504559</v>
      </c>
      <c r="U253" s="9">
        <f t="shared" si="102"/>
        <v>0</v>
      </c>
      <c r="V253" s="33">
        <f t="shared" si="103"/>
        <v>11776583</v>
      </c>
      <c r="W253" s="33">
        <f t="shared" si="104"/>
        <v>0</v>
      </c>
      <c r="X253" s="33">
        <v>0</v>
      </c>
      <c r="Y253" s="113">
        <f t="shared" si="105"/>
        <v>11776583</v>
      </c>
      <c r="Z253" s="155">
        <f t="shared" si="106"/>
        <v>25.034743344910094</v>
      </c>
      <c r="AA253" s="33">
        <f t="shared" si="107"/>
        <v>50585373</v>
      </c>
      <c r="AB253" s="114">
        <f t="shared" si="108"/>
        <v>107.53474331744145</v>
      </c>
      <c r="AC253" s="28">
        <f t="shared" si="109"/>
        <v>976398.29256001115</v>
      </c>
      <c r="AD253" s="28">
        <f t="shared" si="110"/>
        <v>382304</v>
      </c>
      <c r="AE253" s="28">
        <f t="shared" si="111"/>
        <v>3544415.4215014987</v>
      </c>
      <c r="AF253" s="115">
        <f t="shared" si="112"/>
        <v>7.534743344910094</v>
      </c>
      <c r="AG253" s="28">
        <f t="shared" si="113"/>
        <v>12796.78</v>
      </c>
      <c r="AI253" s="28">
        <f t="shared" si="114"/>
        <v>0</v>
      </c>
      <c r="AJ253" s="28"/>
      <c r="AK253" s="28">
        <f t="shared" si="115"/>
        <v>104</v>
      </c>
      <c r="AL253" s="156"/>
      <c r="AM253" s="6">
        <f t="shared" si="116"/>
        <v>246</v>
      </c>
      <c r="AN253" s="6" t="str">
        <f t="shared" si="117"/>
        <v xml:space="preserve">Reading                      </v>
      </c>
      <c r="AO253" s="6">
        <f t="shared" si="118"/>
        <v>1</v>
      </c>
      <c r="AP253" s="9">
        <f t="shared" si="123"/>
        <v>3676</v>
      </c>
      <c r="AQ253" s="9">
        <f t="shared" si="119"/>
        <v>47040957.59142001</v>
      </c>
      <c r="AR253" s="33">
        <f t="shared" si="120"/>
        <v>38808790</v>
      </c>
      <c r="AS253" s="33">
        <f t="shared" si="121"/>
        <v>11776583</v>
      </c>
      <c r="AU253" s="28"/>
      <c r="AV253" s="9"/>
      <c r="AW253" s="519"/>
    </row>
    <row r="254" spans="1:49">
      <c r="A254" s="6">
        <v>247</v>
      </c>
      <c r="B254" s="6" t="s">
        <v>1365</v>
      </c>
      <c r="C254" s="7">
        <v>0</v>
      </c>
      <c r="D254" s="9">
        <v>0</v>
      </c>
      <c r="E254" s="9">
        <v>0</v>
      </c>
      <c r="F254" s="9">
        <v>0</v>
      </c>
      <c r="G254" s="348"/>
      <c r="H254" s="111">
        <f t="shared" si="122"/>
        <v>0</v>
      </c>
      <c r="I254" s="9">
        <f t="shared" si="93"/>
        <v>0</v>
      </c>
      <c r="J254" s="33">
        <f t="shared" si="94"/>
        <v>0</v>
      </c>
      <c r="K254" s="9">
        <f t="shared" si="95"/>
        <v>0</v>
      </c>
      <c r="L254" s="112">
        <f t="shared" si="96"/>
        <v>0</v>
      </c>
      <c r="M254" s="458">
        <f>ROUND(100-'Townwide Contributions'!L253,2)</f>
        <v>17.5</v>
      </c>
      <c r="N254" s="9">
        <v>0</v>
      </c>
      <c r="O254" s="9">
        <f t="shared" si="97"/>
        <v>0</v>
      </c>
      <c r="P254" s="9">
        <f t="shared" si="98"/>
        <v>0</v>
      </c>
      <c r="Q254" s="28">
        <f t="shared" si="99"/>
        <v>0</v>
      </c>
      <c r="R254" s="382">
        <f t="shared" si="100"/>
        <v>0</v>
      </c>
      <c r="S254" s="28">
        <v>0</v>
      </c>
      <c r="T254" s="33">
        <f t="shared" si="101"/>
        <v>0</v>
      </c>
      <c r="U254" s="9">
        <f t="shared" si="102"/>
        <v>0</v>
      </c>
      <c r="V254" s="33">
        <f t="shared" si="103"/>
        <v>0</v>
      </c>
      <c r="W254" s="33">
        <f t="shared" si="104"/>
        <v>0</v>
      </c>
      <c r="X254" s="33">
        <v>0</v>
      </c>
      <c r="Y254" s="113">
        <f t="shared" si="105"/>
        <v>0</v>
      </c>
      <c r="Z254" s="155">
        <f t="shared" si="106"/>
        <v>0</v>
      </c>
      <c r="AA254" s="33">
        <f t="shared" si="107"/>
        <v>0</v>
      </c>
      <c r="AB254" s="114">
        <f t="shared" si="108"/>
        <v>0</v>
      </c>
      <c r="AC254" s="28">
        <f t="shared" si="109"/>
        <v>0</v>
      </c>
      <c r="AD254" s="28">
        <f t="shared" si="110"/>
        <v>0</v>
      </c>
      <c r="AE254" s="28">
        <f t="shared" si="111"/>
        <v>0</v>
      </c>
      <c r="AF254" s="115" t="str">
        <f t="shared" si="112"/>
        <v/>
      </c>
      <c r="AG254" s="28">
        <f t="shared" si="113"/>
        <v>0</v>
      </c>
      <c r="AI254" s="28">
        <f t="shared" si="114"/>
        <v>0</v>
      </c>
      <c r="AJ254" s="28"/>
      <c r="AK254" s="28">
        <f t="shared" si="115"/>
        <v>0</v>
      </c>
      <c r="AL254" s="156"/>
      <c r="AM254" s="6">
        <f t="shared" si="116"/>
        <v>247</v>
      </c>
      <c r="AN254" s="6" t="str">
        <f t="shared" si="117"/>
        <v xml:space="preserve">Rehoboth                     </v>
      </c>
      <c r="AO254" s="6">
        <f t="shared" si="118"/>
        <v>0</v>
      </c>
      <c r="AP254" s="9">
        <f t="shared" si="123"/>
        <v>0</v>
      </c>
      <c r="AQ254" s="9">
        <f t="shared" si="119"/>
        <v>0</v>
      </c>
      <c r="AR254" s="33">
        <f t="shared" si="120"/>
        <v>0</v>
      </c>
      <c r="AS254" s="33">
        <f t="shared" si="121"/>
        <v>0</v>
      </c>
      <c r="AU254" s="28"/>
      <c r="AW254" s="519"/>
    </row>
    <row r="255" spans="1:49">
      <c r="A255" s="6">
        <v>248</v>
      </c>
      <c r="B255" s="6" t="s">
        <v>1366</v>
      </c>
      <c r="C255" s="7">
        <v>1</v>
      </c>
      <c r="D255" s="9">
        <v>142967579.12336001</v>
      </c>
      <c r="E255" s="9">
        <v>44549397</v>
      </c>
      <c r="F255" s="9">
        <v>98418182</v>
      </c>
      <c r="G255" s="348"/>
      <c r="H255" s="111">
        <f t="shared" si="122"/>
        <v>98418182</v>
      </c>
      <c r="I255" s="9">
        <f t="shared" si="93"/>
        <v>150716408.54799998</v>
      </c>
      <c r="J255" s="33">
        <f t="shared" si="94"/>
        <v>48522644</v>
      </c>
      <c r="K255" s="9">
        <f t="shared" si="95"/>
        <v>102193765</v>
      </c>
      <c r="L255" s="112">
        <f t="shared" si="96"/>
        <v>3775583</v>
      </c>
      <c r="M255" s="458">
        <f>ROUND(100-'Townwide Contributions'!L254,2)</f>
        <v>60.6</v>
      </c>
      <c r="N255" s="9">
        <v>7955</v>
      </c>
      <c r="O255" s="9">
        <f t="shared" si="97"/>
        <v>8010</v>
      </c>
      <c r="P255" s="9">
        <f t="shared" si="98"/>
        <v>1</v>
      </c>
      <c r="Q255" s="28">
        <f t="shared" si="99"/>
        <v>833040</v>
      </c>
      <c r="R255" s="382">
        <f t="shared" si="100"/>
        <v>0</v>
      </c>
      <c r="S255" s="28">
        <v>98418182</v>
      </c>
      <c r="T255" s="33">
        <f t="shared" si="101"/>
        <v>98658482</v>
      </c>
      <c r="U255" s="9">
        <f t="shared" si="102"/>
        <v>0</v>
      </c>
      <c r="V255" s="33">
        <f t="shared" si="103"/>
        <v>102193765</v>
      </c>
      <c r="W255" s="33">
        <f t="shared" si="104"/>
        <v>0</v>
      </c>
      <c r="X255" s="33">
        <v>0</v>
      </c>
      <c r="Y255" s="113">
        <f t="shared" si="105"/>
        <v>102193765</v>
      </c>
      <c r="Z255" s="155">
        <f t="shared" si="106"/>
        <v>67.805334524975407</v>
      </c>
      <c r="AA255" s="33">
        <f t="shared" si="107"/>
        <v>150716409</v>
      </c>
      <c r="AB255" s="114">
        <f t="shared" si="108"/>
        <v>100.000000299901</v>
      </c>
      <c r="AC255" s="28">
        <f t="shared" si="109"/>
        <v>7748829.4246399701</v>
      </c>
      <c r="AD255" s="28">
        <f t="shared" si="110"/>
        <v>3775583</v>
      </c>
      <c r="AE255" s="28">
        <f t="shared" si="111"/>
        <v>10859621.41991201</v>
      </c>
      <c r="AF255" s="115">
        <f t="shared" si="112"/>
        <v>7.2053345249754059</v>
      </c>
      <c r="AG255" s="28">
        <f t="shared" si="113"/>
        <v>18816.03</v>
      </c>
      <c r="AI255" s="28">
        <f t="shared" si="114"/>
        <v>0</v>
      </c>
      <c r="AJ255" s="28"/>
      <c r="AK255" s="28">
        <f t="shared" si="115"/>
        <v>471.35867665418226</v>
      </c>
      <c r="AL255" s="156"/>
      <c r="AM255" s="6">
        <f t="shared" si="116"/>
        <v>248</v>
      </c>
      <c r="AN255" s="6" t="str">
        <f t="shared" si="117"/>
        <v xml:space="preserve">Revere                       </v>
      </c>
      <c r="AO255" s="6">
        <f t="shared" si="118"/>
        <v>1</v>
      </c>
      <c r="AP255" s="9">
        <f t="shared" si="123"/>
        <v>8010</v>
      </c>
      <c r="AQ255" s="9">
        <f t="shared" si="119"/>
        <v>150716408.54799998</v>
      </c>
      <c r="AR255" s="33">
        <f t="shared" si="120"/>
        <v>48522644</v>
      </c>
      <c r="AS255" s="33">
        <f t="shared" si="121"/>
        <v>102193765</v>
      </c>
      <c r="AU255" s="28"/>
      <c r="AV255" s="9"/>
      <c r="AW255" s="519"/>
    </row>
    <row r="256" spans="1:49">
      <c r="A256" s="6">
        <v>249</v>
      </c>
      <c r="B256" s="6" t="s">
        <v>1367</v>
      </c>
      <c r="C256" s="7">
        <v>1</v>
      </c>
      <c r="D256" s="9">
        <v>1653453.7499999998</v>
      </c>
      <c r="E256" s="9">
        <v>1364099</v>
      </c>
      <c r="F256" s="9">
        <v>522455</v>
      </c>
      <c r="G256" s="348"/>
      <c r="H256" s="111">
        <f t="shared" si="122"/>
        <v>522455</v>
      </c>
      <c r="I256" s="9">
        <f t="shared" si="93"/>
        <v>1660447.3899999997</v>
      </c>
      <c r="J256" s="33">
        <f t="shared" si="94"/>
        <v>1369869</v>
      </c>
      <c r="K256" s="9">
        <f t="shared" si="95"/>
        <v>290578</v>
      </c>
      <c r="L256" s="112">
        <f t="shared" si="96"/>
        <v>0</v>
      </c>
      <c r="M256" s="458">
        <f>ROUND(100-'Townwide Contributions'!L255,2)</f>
        <v>17.5</v>
      </c>
      <c r="N256" s="9">
        <v>120</v>
      </c>
      <c r="O256" s="9">
        <f t="shared" si="97"/>
        <v>122</v>
      </c>
      <c r="P256" s="9">
        <f t="shared" si="98"/>
        <v>0</v>
      </c>
      <c r="Q256" s="28">
        <f t="shared" si="99"/>
        <v>12688</v>
      </c>
      <c r="R256" s="382">
        <f t="shared" si="100"/>
        <v>12688</v>
      </c>
      <c r="S256" s="28">
        <v>522455</v>
      </c>
      <c r="T256" s="33">
        <f t="shared" si="101"/>
        <v>526115</v>
      </c>
      <c r="U256" s="9">
        <f t="shared" si="102"/>
        <v>0</v>
      </c>
      <c r="V256" s="33">
        <f t="shared" si="103"/>
        <v>535143</v>
      </c>
      <c r="W256" s="33">
        <f t="shared" si="104"/>
        <v>0</v>
      </c>
      <c r="X256" s="33">
        <v>0</v>
      </c>
      <c r="Y256" s="113">
        <f t="shared" si="105"/>
        <v>535143</v>
      </c>
      <c r="Z256" s="155">
        <f t="shared" si="106"/>
        <v>32.228844058708788</v>
      </c>
      <c r="AA256" s="33">
        <f t="shared" si="107"/>
        <v>1905012</v>
      </c>
      <c r="AB256" s="114">
        <f t="shared" si="108"/>
        <v>114.72883823196592</v>
      </c>
      <c r="AC256" s="28">
        <f t="shared" si="109"/>
        <v>6993.6399999998976</v>
      </c>
      <c r="AD256" s="28">
        <f t="shared" si="110"/>
        <v>12688</v>
      </c>
      <c r="AE256" s="28">
        <f t="shared" si="111"/>
        <v>244564.70675000007</v>
      </c>
      <c r="AF256" s="115">
        <f t="shared" si="112"/>
        <v>14.728844058708788</v>
      </c>
      <c r="AG256" s="28">
        <f t="shared" si="113"/>
        <v>13610.22</v>
      </c>
      <c r="AI256" s="28">
        <f t="shared" si="114"/>
        <v>0</v>
      </c>
      <c r="AJ256" s="28"/>
      <c r="AK256" s="28">
        <f t="shared" si="115"/>
        <v>104</v>
      </c>
      <c r="AL256" s="156"/>
      <c r="AM256" s="6">
        <f t="shared" si="116"/>
        <v>249</v>
      </c>
      <c r="AN256" s="6" t="str">
        <f t="shared" si="117"/>
        <v xml:space="preserve">Richmond                     </v>
      </c>
      <c r="AO256" s="6">
        <f t="shared" si="118"/>
        <v>1</v>
      </c>
      <c r="AP256" s="9">
        <f t="shared" si="123"/>
        <v>122</v>
      </c>
      <c r="AQ256" s="9">
        <f t="shared" si="119"/>
        <v>1660447.3899999997</v>
      </c>
      <c r="AR256" s="33">
        <f t="shared" si="120"/>
        <v>1369869</v>
      </c>
      <c r="AS256" s="33">
        <f t="shared" si="121"/>
        <v>535143</v>
      </c>
      <c r="AU256" s="28"/>
      <c r="AV256" s="9"/>
      <c r="AW256" s="519"/>
    </row>
    <row r="257" spans="1:49">
      <c r="A257" s="6">
        <v>250</v>
      </c>
      <c r="B257" s="6" t="s">
        <v>1368</v>
      </c>
      <c r="C257" s="7">
        <v>1</v>
      </c>
      <c r="D257" s="9">
        <v>6163095.8600000003</v>
      </c>
      <c r="E257" s="9">
        <v>3840072</v>
      </c>
      <c r="F257" s="9">
        <v>2414282</v>
      </c>
      <c r="G257" s="348"/>
      <c r="H257" s="111">
        <f t="shared" si="122"/>
        <v>2414282</v>
      </c>
      <c r="I257" s="9">
        <f t="shared" si="93"/>
        <v>6292946.6200000001</v>
      </c>
      <c r="J257" s="33">
        <f t="shared" si="94"/>
        <v>4161563</v>
      </c>
      <c r="K257" s="9">
        <f t="shared" si="95"/>
        <v>2131384</v>
      </c>
      <c r="L257" s="112">
        <f t="shared" si="96"/>
        <v>0</v>
      </c>
      <c r="M257" s="458">
        <f>ROUND(100-'Townwide Contributions'!L256,2)</f>
        <v>26.36</v>
      </c>
      <c r="N257" s="9">
        <v>499</v>
      </c>
      <c r="O257" s="9">
        <f t="shared" si="97"/>
        <v>500</v>
      </c>
      <c r="P257" s="9">
        <f t="shared" si="98"/>
        <v>0</v>
      </c>
      <c r="Q257" s="28">
        <f t="shared" si="99"/>
        <v>52000</v>
      </c>
      <c r="R257" s="382">
        <f t="shared" si="100"/>
        <v>52000</v>
      </c>
      <c r="S257" s="28">
        <v>2414282</v>
      </c>
      <c r="T257" s="33">
        <f t="shared" si="101"/>
        <v>2429282</v>
      </c>
      <c r="U257" s="9">
        <f t="shared" si="102"/>
        <v>0</v>
      </c>
      <c r="V257" s="33">
        <f t="shared" si="103"/>
        <v>2466282</v>
      </c>
      <c r="W257" s="33">
        <f t="shared" si="104"/>
        <v>0</v>
      </c>
      <c r="X257" s="33">
        <v>0</v>
      </c>
      <c r="Y257" s="113">
        <f t="shared" si="105"/>
        <v>2466282</v>
      </c>
      <c r="Z257" s="155">
        <f t="shared" si="106"/>
        <v>39.191211191300397</v>
      </c>
      <c r="AA257" s="33">
        <f t="shared" si="107"/>
        <v>6627845</v>
      </c>
      <c r="AB257" s="114">
        <f t="shared" si="108"/>
        <v>105.32180551056382</v>
      </c>
      <c r="AC257" s="28">
        <f t="shared" si="109"/>
        <v>129850.75999999978</v>
      </c>
      <c r="AD257" s="28">
        <f t="shared" si="110"/>
        <v>52000</v>
      </c>
      <c r="AE257" s="28">
        <f t="shared" si="111"/>
        <v>807461.27096799994</v>
      </c>
      <c r="AF257" s="115">
        <f t="shared" si="112"/>
        <v>12.831211191300397</v>
      </c>
      <c r="AG257" s="28">
        <f t="shared" si="113"/>
        <v>12585.89</v>
      </c>
      <c r="AI257" s="28">
        <f t="shared" si="114"/>
        <v>0</v>
      </c>
      <c r="AJ257" s="28"/>
      <c r="AK257" s="28">
        <f t="shared" si="115"/>
        <v>104</v>
      </c>
      <c r="AL257" s="156"/>
      <c r="AM257" s="6">
        <f t="shared" si="116"/>
        <v>250</v>
      </c>
      <c r="AN257" s="6" t="str">
        <f t="shared" si="117"/>
        <v xml:space="preserve">Rochester                    </v>
      </c>
      <c r="AO257" s="6">
        <f t="shared" si="118"/>
        <v>1</v>
      </c>
      <c r="AP257" s="9">
        <f t="shared" si="123"/>
        <v>500</v>
      </c>
      <c r="AQ257" s="9">
        <f t="shared" si="119"/>
        <v>6292946.6200000001</v>
      </c>
      <c r="AR257" s="33">
        <f t="shared" si="120"/>
        <v>4161563</v>
      </c>
      <c r="AS257" s="33">
        <f t="shared" si="121"/>
        <v>2466282</v>
      </c>
      <c r="AU257" s="28"/>
      <c r="AV257" s="9"/>
      <c r="AW257" s="519"/>
    </row>
    <row r="258" spans="1:49">
      <c r="A258" s="6">
        <v>251</v>
      </c>
      <c r="B258" s="6" t="s">
        <v>1369</v>
      </c>
      <c r="C258" s="7">
        <v>1</v>
      </c>
      <c r="D258" s="9">
        <v>34848972.482560009</v>
      </c>
      <c r="E258" s="9">
        <v>16311436</v>
      </c>
      <c r="F258" s="9">
        <v>18537536</v>
      </c>
      <c r="G258" s="348"/>
      <c r="H258" s="111">
        <f t="shared" si="122"/>
        <v>18537536</v>
      </c>
      <c r="I258" s="9">
        <f t="shared" si="93"/>
        <v>35665890.654100001</v>
      </c>
      <c r="J258" s="33">
        <f t="shared" si="94"/>
        <v>17102717</v>
      </c>
      <c r="K258" s="9">
        <f t="shared" si="95"/>
        <v>18563174</v>
      </c>
      <c r="L258" s="112">
        <f t="shared" si="96"/>
        <v>25638</v>
      </c>
      <c r="M258" s="458">
        <f>ROUND(100-'Townwide Contributions'!L257,2)</f>
        <v>49.36</v>
      </c>
      <c r="N258" s="9">
        <v>2213</v>
      </c>
      <c r="O258" s="9">
        <f t="shared" si="97"/>
        <v>2186</v>
      </c>
      <c r="P258" s="9">
        <f t="shared" si="98"/>
        <v>1</v>
      </c>
      <c r="Q258" s="28">
        <f t="shared" si="99"/>
        <v>227344</v>
      </c>
      <c r="R258" s="382">
        <f t="shared" si="100"/>
        <v>201706</v>
      </c>
      <c r="S258" s="28">
        <v>18537536</v>
      </c>
      <c r="T258" s="33">
        <f t="shared" si="101"/>
        <v>18603116</v>
      </c>
      <c r="U258" s="9">
        <f t="shared" si="102"/>
        <v>0</v>
      </c>
      <c r="V258" s="33">
        <f t="shared" si="103"/>
        <v>18764880</v>
      </c>
      <c r="W258" s="33">
        <f t="shared" si="104"/>
        <v>0</v>
      </c>
      <c r="X258" s="33">
        <v>0</v>
      </c>
      <c r="Y258" s="113">
        <f t="shared" si="105"/>
        <v>18764880</v>
      </c>
      <c r="Z258" s="155">
        <f t="shared" si="106"/>
        <v>52.612957803264251</v>
      </c>
      <c r="AA258" s="33">
        <f t="shared" si="107"/>
        <v>35867597</v>
      </c>
      <c r="AB258" s="114">
        <f t="shared" si="108"/>
        <v>100.56554411568244</v>
      </c>
      <c r="AC258" s="28">
        <f t="shared" si="109"/>
        <v>816918.17153999209</v>
      </c>
      <c r="AD258" s="28">
        <f t="shared" si="110"/>
        <v>227344</v>
      </c>
      <c r="AE258" s="28">
        <f t="shared" si="111"/>
        <v>1160196.373136241</v>
      </c>
      <c r="AF258" s="115">
        <f t="shared" si="112"/>
        <v>3.2529578032642519</v>
      </c>
      <c r="AG258" s="28">
        <f t="shared" si="113"/>
        <v>16315.59</v>
      </c>
      <c r="AI258" s="28">
        <f t="shared" si="114"/>
        <v>0</v>
      </c>
      <c r="AJ258" s="28"/>
      <c r="AK258" s="28">
        <f t="shared" si="115"/>
        <v>104</v>
      </c>
      <c r="AL258" s="156"/>
      <c r="AM258" s="6">
        <f t="shared" si="116"/>
        <v>251</v>
      </c>
      <c r="AN258" s="6" t="str">
        <f t="shared" si="117"/>
        <v xml:space="preserve">Rockland                     </v>
      </c>
      <c r="AO258" s="6">
        <f t="shared" si="118"/>
        <v>1</v>
      </c>
      <c r="AP258" s="9">
        <f t="shared" si="123"/>
        <v>2186</v>
      </c>
      <c r="AQ258" s="9">
        <f t="shared" si="119"/>
        <v>35665890.654100001</v>
      </c>
      <c r="AR258" s="33">
        <f t="shared" si="120"/>
        <v>17102717</v>
      </c>
      <c r="AS258" s="33">
        <f t="shared" si="121"/>
        <v>18764880</v>
      </c>
      <c r="AU258" s="28"/>
      <c r="AV258" s="9"/>
      <c r="AW258" s="519"/>
    </row>
    <row r="259" spans="1:49">
      <c r="A259" s="6">
        <v>252</v>
      </c>
      <c r="B259" s="6" t="s">
        <v>1370</v>
      </c>
      <c r="C259" s="7">
        <v>1</v>
      </c>
      <c r="D259" s="9">
        <v>8129580.1188599998</v>
      </c>
      <c r="E259" s="9">
        <v>6706904</v>
      </c>
      <c r="F259" s="9">
        <v>1590746</v>
      </c>
      <c r="G259" s="348"/>
      <c r="H259" s="111">
        <f t="shared" si="122"/>
        <v>1590746</v>
      </c>
      <c r="I259" s="9">
        <f t="shared" si="93"/>
        <v>7652804.31757</v>
      </c>
      <c r="J259" s="33">
        <f t="shared" si="94"/>
        <v>6313563</v>
      </c>
      <c r="K259" s="9">
        <f t="shared" si="95"/>
        <v>1339241</v>
      </c>
      <c r="L259" s="112">
        <f t="shared" si="96"/>
        <v>0</v>
      </c>
      <c r="M259" s="458">
        <f>ROUND(100-'Townwide Contributions'!L258,2)</f>
        <v>17.5</v>
      </c>
      <c r="N259" s="9">
        <v>587</v>
      </c>
      <c r="O259" s="9">
        <f t="shared" si="97"/>
        <v>555</v>
      </c>
      <c r="P259" s="9">
        <f t="shared" si="98"/>
        <v>0</v>
      </c>
      <c r="Q259" s="28">
        <f t="shared" si="99"/>
        <v>57720</v>
      </c>
      <c r="R259" s="382">
        <f t="shared" si="100"/>
        <v>57720</v>
      </c>
      <c r="S259" s="28">
        <v>1590746</v>
      </c>
      <c r="T259" s="33">
        <f t="shared" si="101"/>
        <v>1607396</v>
      </c>
      <c r="U259" s="9">
        <f t="shared" si="102"/>
        <v>0</v>
      </c>
      <c r="V259" s="33">
        <f t="shared" si="103"/>
        <v>1648466</v>
      </c>
      <c r="W259" s="33">
        <f t="shared" si="104"/>
        <v>0</v>
      </c>
      <c r="X259" s="33">
        <v>0</v>
      </c>
      <c r="Y259" s="113">
        <f t="shared" si="105"/>
        <v>1648466</v>
      </c>
      <c r="Z259" s="155">
        <f t="shared" si="106"/>
        <v>21.540678836061478</v>
      </c>
      <c r="AA259" s="33">
        <f t="shared" si="107"/>
        <v>7962029</v>
      </c>
      <c r="AB259" s="114">
        <f t="shared" si="108"/>
        <v>104.04067149241035</v>
      </c>
      <c r="AC259" s="28">
        <f t="shared" si="109"/>
        <v>-476775.80128999986</v>
      </c>
      <c r="AD259" s="28">
        <f t="shared" si="110"/>
        <v>57720</v>
      </c>
      <c r="AE259" s="28">
        <f t="shared" si="111"/>
        <v>309225.24442524998</v>
      </c>
      <c r="AF259" s="115">
        <f t="shared" si="112"/>
        <v>4.0406788360614776</v>
      </c>
      <c r="AG259" s="28">
        <f t="shared" si="113"/>
        <v>13788.84</v>
      </c>
      <c r="AI259" s="28">
        <f t="shared" si="114"/>
        <v>0</v>
      </c>
      <c r="AJ259" s="28"/>
      <c r="AK259" s="28">
        <f t="shared" si="115"/>
        <v>104</v>
      </c>
      <c r="AL259" s="156"/>
      <c r="AM259" s="6">
        <f t="shared" si="116"/>
        <v>252</v>
      </c>
      <c r="AN259" s="6" t="str">
        <f t="shared" si="117"/>
        <v xml:space="preserve">Rockport                     </v>
      </c>
      <c r="AO259" s="6">
        <f t="shared" si="118"/>
        <v>1</v>
      </c>
      <c r="AP259" s="9">
        <f t="shared" si="123"/>
        <v>555</v>
      </c>
      <c r="AQ259" s="9">
        <f t="shared" si="119"/>
        <v>7652804.31757</v>
      </c>
      <c r="AR259" s="33">
        <f t="shared" si="120"/>
        <v>6313563</v>
      </c>
      <c r="AS259" s="33">
        <f t="shared" si="121"/>
        <v>1648466</v>
      </c>
      <c r="AU259" s="28"/>
      <c r="AV259" s="9"/>
      <c r="AW259" s="519"/>
    </row>
    <row r="260" spans="1:49">
      <c r="A260" s="6">
        <v>253</v>
      </c>
      <c r="B260" s="6" t="s">
        <v>1371</v>
      </c>
      <c r="C260" s="7">
        <v>1</v>
      </c>
      <c r="D260" s="9">
        <v>751366.82</v>
      </c>
      <c r="E260" s="9">
        <v>619878</v>
      </c>
      <c r="F260" s="9">
        <v>146165</v>
      </c>
      <c r="G260" s="348"/>
      <c r="H260" s="111">
        <f t="shared" si="122"/>
        <v>146165</v>
      </c>
      <c r="I260" s="9">
        <f t="shared" si="93"/>
        <v>784243.28</v>
      </c>
      <c r="J260" s="33">
        <f t="shared" si="94"/>
        <v>647001</v>
      </c>
      <c r="K260" s="9">
        <f t="shared" si="95"/>
        <v>137242</v>
      </c>
      <c r="L260" s="112">
        <f t="shared" si="96"/>
        <v>0</v>
      </c>
      <c r="M260" s="458">
        <f>ROUND(100-'Townwide Contributions'!L259,2)</f>
        <v>17.5</v>
      </c>
      <c r="N260" s="9">
        <v>41</v>
      </c>
      <c r="O260" s="9">
        <f t="shared" si="97"/>
        <v>45</v>
      </c>
      <c r="P260" s="9">
        <f t="shared" si="98"/>
        <v>0</v>
      </c>
      <c r="Q260" s="28">
        <f t="shared" si="99"/>
        <v>4680</v>
      </c>
      <c r="R260" s="382">
        <f t="shared" si="100"/>
        <v>4680</v>
      </c>
      <c r="S260" s="28">
        <v>146165</v>
      </c>
      <c r="T260" s="33">
        <f t="shared" si="101"/>
        <v>147515</v>
      </c>
      <c r="U260" s="9">
        <f t="shared" si="102"/>
        <v>0</v>
      </c>
      <c r="V260" s="33">
        <f t="shared" si="103"/>
        <v>150845</v>
      </c>
      <c r="W260" s="33">
        <f t="shared" si="104"/>
        <v>0</v>
      </c>
      <c r="X260" s="33">
        <v>0</v>
      </c>
      <c r="Y260" s="113">
        <f t="shared" si="105"/>
        <v>150845</v>
      </c>
      <c r="Z260" s="155">
        <f t="shared" si="106"/>
        <v>19.234465101186458</v>
      </c>
      <c r="AA260" s="33">
        <f t="shared" si="107"/>
        <v>797846</v>
      </c>
      <c r="AB260" s="114">
        <f t="shared" si="108"/>
        <v>101.73450258955359</v>
      </c>
      <c r="AC260" s="28">
        <f t="shared" si="109"/>
        <v>32876.460000000079</v>
      </c>
      <c r="AD260" s="28">
        <f t="shared" si="110"/>
        <v>4680</v>
      </c>
      <c r="AE260" s="28">
        <f t="shared" si="111"/>
        <v>13602.426000000007</v>
      </c>
      <c r="AF260" s="115">
        <f t="shared" si="112"/>
        <v>1.7344651011864585</v>
      </c>
      <c r="AG260" s="28">
        <f t="shared" si="113"/>
        <v>17427.63</v>
      </c>
      <c r="AI260" s="28">
        <f t="shared" si="114"/>
        <v>0</v>
      </c>
      <c r="AJ260" s="28"/>
      <c r="AK260" s="28">
        <f t="shared" si="115"/>
        <v>104</v>
      </c>
      <c r="AL260" s="156"/>
      <c r="AM260" s="6">
        <f t="shared" si="116"/>
        <v>253</v>
      </c>
      <c r="AN260" s="6" t="str">
        <f t="shared" si="117"/>
        <v xml:space="preserve">Rowe                         </v>
      </c>
      <c r="AO260" s="6">
        <f t="shared" si="118"/>
        <v>1</v>
      </c>
      <c r="AP260" s="9">
        <f t="shared" si="123"/>
        <v>45</v>
      </c>
      <c r="AQ260" s="9">
        <f t="shared" si="119"/>
        <v>784243.28</v>
      </c>
      <c r="AR260" s="33">
        <f t="shared" si="120"/>
        <v>647001</v>
      </c>
      <c r="AS260" s="33">
        <f t="shared" si="121"/>
        <v>150845</v>
      </c>
      <c r="AU260" s="28"/>
      <c r="AV260" s="9"/>
      <c r="AW260" s="519"/>
    </row>
    <row r="261" spans="1:49">
      <c r="A261" s="6">
        <v>254</v>
      </c>
      <c r="B261" s="6" t="s">
        <v>1372</v>
      </c>
      <c r="C261" s="7">
        <v>0</v>
      </c>
      <c r="D261" s="9">
        <v>102026.38446</v>
      </c>
      <c r="E261" s="9">
        <v>75107</v>
      </c>
      <c r="F261" s="9">
        <v>34649</v>
      </c>
      <c r="G261" s="348"/>
      <c r="H261" s="111">
        <f t="shared" si="122"/>
        <v>34649</v>
      </c>
      <c r="I261" s="9">
        <f t="shared" si="93"/>
        <v>86837.768100000001</v>
      </c>
      <c r="J261" s="33">
        <f t="shared" si="94"/>
        <v>67825</v>
      </c>
      <c r="K261" s="9">
        <f t="shared" si="95"/>
        <v>19013</v>
      </c>
      <c r="L261" s="112">
        <f t="shared" si="96"/>
        <v>0</v>
      </c>
      <c r="M261" s="458">
        <f>ROUND(100-'Townwide Contributions'!L260,2)</f>
        <v>17.5</v>
      </c>
      <c r="N261" s="9">
        <v>6</v>
      </c>
      <c r="O261" s="9">
        <f t="shared" si="97"/>
        <v>5</v>
      </c>
      <c r="P261" s="9">
        <f t="shared" si="98"/>
        <v>0</v>
      </c>
      <c r="Q261" s="28">
        <f t="shared" si="99"/>
        <v>0</v>
      </c>
      <c r="R261" s="382">
        <f t="shared" si="100"/>
        <v>0</v>
      </c>
      <c r="S261" s="28">
        <v>34649</v>
      </c>
      <c r="T261" s="33">
        <f t="shared" si="101"/>
        <v>34799</v>
      </c>
      <c r="U261" s="9">
        <f t="shared" si="102"/>
        <v>0</v>
      </c>
      <c r="V261" s="33">
        <f t="shared" si="103"/>
        <v>34649</v>
      </c>
      <c r="W261" s="33">
        <f t="shared" si="104"/>
        <v>0</v>
      </c>
      <c r="X261" s="33">
        <v>0</v>
      </c>
      <c r="Y261" s="113">
        <f t="shared" si="105"/>
        <v>34649</v>
      </c>
      <c r="Z261" s="155">
        <f t="shared" si="106"/>
        <v>0</v>
      </c>
      <c r="AA261" s="33">
        <f t="shared" si="107"/>
        <v>102474</v>
      </c>
      <c r="AB261" s="114">
        <f t="shared" si="108"/>
        <v>118.0062572335965</v>
      </c>
      <c r="AC261" s="28">
        <f t="shared" si="109"/>
        <v>-15188.61636</v>
      </c>
      <c r="AD261" s="28">
        <f t="shared" si="110"/>
        <v>0</v>
      </c>
      <c r="AE261" s="28">
        <f t="shared" si="111"/>
        <v>19452.3905825</v>
      </c>
      <c r="AF261" s="115" t="str">
        <f t="shared" si="112"/>
        <v/>
      </c>
      <c r="AG261" s="28">
        <f t="shared" si="113"/>
        <v>17367.55</v>
      </c>
      <c r="AI261" s="28">
        <f t="shared" si="114"/>
        <v>0</v>
      </c>
      <c r="AJ261" s="28"/>
      <c r="AK261" s="28">
        <f t="shared" si="115"/>
        <v>0</v>
      </c>
      <c r="AL261" s="156"/>
      <c r="AM261" s="6">
        <f t="shared" si="116"/>
        <v>254</v>
      </c>
      <c r="AN261" s="6" t="str">
        <f t="shared" si="117"/>
        <v xml:space="preserve">Rowley                       </v>
      </c>
      <c r="AO261" s="6">
        <f t="shared" si="118"/>
        <v>0</v>
      </c>
      <c r="AP261" s="9">
        <f t="shared" si="123"/>
        <v>5</v>
      </c>
      <c r="AQ261" s="9">
        <f t="shared" si="119"/>
        <v>86837.768100000001</v>
      </c>
      <c r="AR261" s="33">
        <f t="shared" si="120"/>
        <v>67825</v>
      </c>
      <c r="AS261" s="33">
        <f t="shared" si="121"/>
        <v>34649</v>
      </c>
      <c r="AU261" s="28"/>
      <c r="AV261" s="9"/>
      <c r="AW261" s="519"/>
    </row>
    <row r="262" spans="1:49">
      <c r="A262" s="6">
        <v>255</v>
      </c>
      <c r="B262" s="6" t="s">
        <v>1373</v>
      </c>
      <c r="C262" s="7">
        <v>0</v>
      </c>
      <c r="D262" s="9">
        <v>0</v>
      </c>
      <c r="E262" s="9">
        <v>0</v>
      </c>
      <c r="F262" s="9">
        <v>0</v>
      </c>
      <c r="G262" s="348"/>
      <c r="H262" s="111">
        <f t="shared" si="122"/>
        <v>0</v>
      </c>
      <c r="I262" s="9">
        <f t="shared" si="93"/>
        <v>0</v>
      </c>
      <c r="J262" s="33">
        <f t="shared" si="94"/>
        <v>0</v>
      </c>
      <c r="K262" s="9">
        <f t="shared" si="95"/>
        <v>0</v>
      </c>
      <c r="L262" s="112">
        <f t="shared" si="96"/>
        <v>0</v>
      </c>
      <c r="M262" s="458">
        <f>ROUND(100-'Townwide Contributions'!L261,2)</f>
        <v>42.35</v>
      </c>
      <c r="N262" s="9">
        <v>0</v>
      </c>
      <c r="O262" s="9">
        <f t="shared" si="97"/>
        <v>0</v>
      </c>
      <c r="P262" s="9">
        <f t="shared" si="98"/>
        <v>0</v>
      </c>
      <c r="Q262" s="28">
        <f t="shared" si="99"/>
        <v>0</v>
      </c>
      <c r="R262" s="382">
        <f t="shared" si="100"/>
        <v>0</v>
      </c>
      <c r="S262" s="28">
        <v>0</v>
      </c>
      <c r="T262" s="33">
        <f t="shared" si="101"/>
        <v>0</v>
      </c>
      <c r="U262" s="9">
        <f t="shared" si="102"/>
        <v>0</v>
      </c>
      <c r="V262" s="33">
        <f t="shared" si="103"/>
        <v>0</v>
      </c>
      <c r="W262" s="33">
        <f t="shared" si="104"/>
        <v>0</v>
      </c>
      <c r="X262" s="33">
        <v>0</v>
      </c>
      <c r="Y262" s="113">
        <f t="shared" si="105"/>
        <v>0</v>
      </c>
      <c r="Z262" s="155">
        <f t="shared" si="106"/>
        <v>0</v>
      </c>
      <c r="AA262" s="33">
        <f t="shared" si="107"/>
        <v>0</v>
      </c>
      <c r="AB262" s="114">
        <f t="shared" si="108"/>
        <v>0</v>
      </c>
      <c r="AC262" s="28">
        <f t="shared" si="109"/>
        <v>0</v>
      </c>
      <c r="AD262" s="28">
        <f t="shared" si="110"/>
        <v>0</v>
      </c>
      <c r="AE262" s="28">
        <f t="shared" si="111"/>
        <v>0</v>
      </c>
      <c r="AF262" s="115" t="str">
        <f t="shared" si="112"/>
        <v/>
      </c>
      <c r="AG262" s="28">
        <f t="shared" si="113"/>
        <v>0</v>
      </c>
      <c r="AI262" s="28">
        <f t="shared" si="114"/>
        <v>0</v>
      </c>
      <c r="AJ262" s="28"/>
      <c r="AK262" s="28">
        <f t="shared" si="115"/>
        <v>0</v>
      </c>
      <c r="AL262" s="156"/>
      <c r="AM262" s="6">
        <f t="shared" si="116"/>
        <v>255</v>
      </c>
      <c r="AN262" s="6" t="str">
        <f t="shared" si="117"/>
        <v xml:space="preserve">Royalston                    </v>
      </c>
      <c r="AO262" s="6">
        <f t="shared" si="118"/>
        <v>0</v>
      </c>
      <c r="AP262" s="9">
        <f t="shared" si="123"/>
        <v>0</v>
      </c>
      <c r="AQ262" s="9">
        <f t="shared" si="119"/>
        <v>0</v>
      </c>
      <c r="AR262" s="33">
        <f t="shared" si="120"/>
        <v>0</v>
      </c>
      <c r="AS262" s="33">
        <f t="shared" si="121"/>
        <v>0</v>
      </c>
      <c r="AU262" s="28"/>
      <c r="AW262" s="519"/>
    </row>
    <row r="263" spans="1:49">
      <c r="A263" s="6">
        <v>256</v>
      </c>
      <c r="B263" s="6" t="s">
        <v>1374</v>
      </c>
      <c r="C263" s="7">
        <v>0</v>
      </c>
      <c r="D263" s="9">
        <v>344095.56</v>
      </c>
      <c r="E263" s="9">
        <v>136909</v>
      </c>
      <c r="F263" s="9">
        <v>207425</v>
      </c>
      <c r="G263" s="348"/>
      <c r="H263" s="111">
        <f t="shared" si="122"/>
        <v>207425</v>
      </c>
      <c r="I263" s="9">
        <f t="shared" si="93"/>
        <v>267378.24</v>
      </c>
      <c r="J263" s="33">
        <f t="shared" si="94"/>
        <v>106157</v>
      </c>
      <c r="K263" s="9">
        <f t="shared" si="95"/>
        <v>161221</v>
      </c>
      <c r="L263" s="112">
        <f t="shared" si="96"/>
        <v>0</v>
      </c>
      <c r="M263" s="458">
        <f>ROUND(100-'Townwide Contributions'!L262,2)</f>
        <v>54.27</v>
      </c>
      <c r="N263" s="9">
        <v>19</v>
      </c>
      <c r="O263" s="9">
        <f t="shared" si="97"/>
        <v>14</v>
      </c>
      <c r="P263" s="9">
        <f t="shared" si="98"/>
        <v>0</v>
      </c>
      <c r="Q263" s="28">
        <f t="shared" si="99"/>
        <v>0</v>
      </c>
      <c r="R263" s="382">
        <f t="shared" si="100"/>
        <v>0</v>
      </c>
      <c r="S263" s="28">
        <v>207425</v>
      </c>
      <c r="T263" s="33">
        <f t="shared" si="101"/>
        <v>207845</v>
      </c>
      <c r="U263" s="9">
        <f t="shared" si="102"/>
        <v>0</v>
      </c>
      <c r="V263" s="33">
        <f t="shared" si="103"/>
        <v>207425</v>
      </c>
      <c r="W263" s="33">
        <f t="shared" si="104"/>
        <v>0</v>
      </c>
      <c r="X263" s="33">
        <v>0</v>
      </c>
      <c r="Y263" s="113">
        <f t="shared" si="105"/>
        <v>207425</v>
      </c>
      <c r="Z263" s="155">
        <f t="shared" si="106"/>
        <v>0</v>
      </c>
      <c r="AA263" s="33">
        <f t="shared" si="107"/>
        <v>313582</v>
      </c>
      <c r="AB263" s="114">
        <f t="shared" si="108"/>
        <v>117.28029924948268</v>
      </c>
      <c r="AC263" s="28">
        <f t="shared" si="109"/>
        <v>-76717.320000000007</v>
      </c>
      <c r="AD263" s="28">
        <f t="shared" si="110"/>
        <v>0</v>
      </c>
      <c r="AE263" s="28">
        <f t="shared" si="111"/>
        <v>62318.829151999991</v>
      </c>
      <c r="AF263" s="115" t="str">
        <f t="shared" si="112"/>
        <v/>
      </c>
      <c r="AG263" s="28">
        <f t="shared" si="113"/>
        <v>19098.45</v>
      </c>
      <c r="AI263" s="28">
        <f t="shared" si="114"/>
        <v>0</v>
      </c>
      <c r="AJ263" s="28"/>
      <c r="AK263" s="28">
        <f t="shared" si="115"/>
        <v>0</v>
      </c>
      <c r="AL263" s="156"/>
      <c r="AM263" s="6">
        <f t="shared" si="116"/>
        <v>256</v>
      </c>
      <c r="AN263" s="6" t="str">
        <f t="shared" si="117"/>
        <v xml:space="preserve">Russell                      </v>
      </c>
      <c r="AO263" s="6">
        <f t="shared" si="118"/>
        <v>0</v>
      </c>
      <c r="AP263" s="9">
        <f t="shared" si="123"/>
        <v>14</v>
      </c>
      <c r="AQ263" s="9">
        <f t="shared" si="119"/>
        <v>267378.24</v>
      </c>
      <c r="AR263" s="33">
        <f t="shared" si="120"/>
        <v>106157</v>
      </c>
      <c r="AS263" s="33">
        <f t="shared" si="121"/>
        <v>207425</v>
      </c>
      <c r="AU263" s="28"/>
      <c r="AV263" s="9"/>
      <c r="AW263" s="519"/>
    </row>
    <row r="264" spans="1:49">
      <c r="A264" s="6">
        <v>257</v>
      </c>
      <c r="B264" s="6" t="s">
        <v>1375</v>
      </c>
      <c r="C264" s="7">
        <v>0</v>
      </c>
      <c r="D264" s="9">
        <v>0</v>
      </c>
      <c r="E264" s="9">
        <v>0</v>
      </c>
      <c r="F264" s="9">
        <v>0</v>
      </c>
      <c r="G264" s="348"/>
      <c r="H264" s="111">
        <f t="shared" si="122"/>
        <v>0</v>
      </c>
      <c r="I264" s="9">
        <f t="shared" ref="I264:I327" si="124">SUMIF(dist1755,A264,found1755)</f>
        <v>0</v>
      </c>
      <c r="J264" s="33">
        <f t="shared" ref="J264:J327" si="125">SUMIF(dist1755,A264,prelcont1755)</f>
        <v>0</v>
      </c>
      <c r="K264" s="9">
        <f t="shared" ref="K264:K327" si="126">ROUND(MAX(found-prelcont436,0),0)</f>
        <v>0</v>
      </c>
      <c r="L264" s="112">
        <f t="shared" ref="L264:L327" si="127">IF(foundaid&gt;priorc70,foundaid-priorc70,0)</f>
        <v>0</v>
      </c>
      <c r="M264" s="458">
        <f>ROUND(100-'Townwide Contributions'!L263,2)</f>
        <v>50.27</v>
      </c>
      <c r="N264" s="9">
        <v>0</v>
      </c>
      <c r="O264" s="9">
        <f t="shared" ref="O264:O327" si="128">SUMIF(dist1755,A264,enro1755)</f>
        <v>0</v>
      </c>
      <c r="P264" s="9">
        <f t="shared" ref="P264:P327" si="129">IF(AND(C264=1,L264&gt;0),1,0)</f>
        <v>0</v>
      </c>
      <c r="Q264" s="28">
        <f t="shared" ref="Q264:Q327" si="130">IF(nonop=1,enro*$Q$6,0)</f>
        <v>0</v>
      </c>
      <c r="R264" s="382">
        <f t="shared" ref="R264:R327" si="131">IF((foundinc)&lt;Q264,Q264-(foundinc),0)</f>
        <v>0</v>
      </c>
      <c r="S264" s="28">
        <v>0</v>
      </c>
      <c r="T264" s="33">
        <f t="shared" ref="T264:T327" si="132">S264+30*enro</f>
        <v>0</v>
      </c>
      <c r="U264" s="9">
        <f t="shared" ref="U264:U327" si="133">IF(AND(T264-priorc70-foundinc-minaid&gt;0,nonop=1), T264-priorc70-foundinc-minaid,0)</f>
        <v>0</v>
      </c>
      <c r="V264" s="33">
        <f t="shared" ref="V264:V327" si="134">priorc70+ foundinc+minaidadjincrement+minaid</f>
        <v>0</v>
      </c>
      <c r="W264" s="33">
        <f t="shared" ref="W264:W327" si="135">IF(AND(C264=0,V264&gt;found),V264-found,0)</f>
        <v>0</v>
      </c>
      <c r="X264" s="33">
        <v>0</v>
      </c>
      <c r="Y264" s="113">
        <f t="shared" ref="Y264:Y327" si="136">priorc70+foundinc+minaidadjincrement+minaid-rednonop+holdharmlessaid</f>
        <v>0</v>
      </c>
      <c r="Z264" s="155">
        <f t="shared" ref="Z264:Z327" si="137">IF(C264=1, Y264/I264*100, 0)</f>
        <v>0</v>
      </c>
      <c r="AA264" s="33">
        <f t="shared" ref="AA264:AA327" si="138">prelcont436+chapter70</f>
        <v>0</v>
      </c>
      <c r="AB264" s="114">
        <f t="shared" ref="AB264:AB327" si="139">IF(found&gt;0,AA264*100/found,0)</f>
        <v>0</v>
      </c>
      <c r="AC264" s="28">
        <f t="shared" ref="AC264:AC327" si="140">I264-D264</f>
        <v>0</v>
      </c>
      <c r="AD264" s="28">
        <f t="shared" ref="AD264:AD327" si="141">Y264-F264</f>
        <v>0</v>
      </c>
      <c r="AE264" s="28">
        <f t="shared" ref="AE264:AE327" si="142">Y264-((M264/100)*I264)</f>
        <v>0</v>
      </c>
      <c r="AF264" s="115" t="str">
        <f t="shared" ref="AF264:AF327" si="143">IF(C264=1, (Y264/I264*100)-M264, "")</f>
        <v/>
      </c>
      <c r="AG264" s="28">
        <f t="shared" ref="AG264:AG327" si="144">IFERROR(ROUND(I264/O264, 2), 0)</f>
        <v>0</v>
      </c>
      <c r="AI264" s="28">
        <f t="shared" ref="AI264:AI327" si="145">VLOOKUP(A264, disthist, 37, FALSE)*$H$6</f>
        <v>0</v>
      </c>
      <c r="AJ264" s="28"/>
      <c r="AK264" s="28">
        <f t="shared" ref="AK264:AK327" si="146">IFERROR(AD264/O264, 0)</f>
        <v>0</v>
      </c>
      <c r="AL264" s="156"/>
      <c r="AM264" s="6">
        <f t="shared" ref="AM264:AM327" si="147">A264</f>
        <v>257</v>
      </c>
      <c r="AN264" s="6" t="str">
        <f t="shared" ref="AN264:AN327" si="148">B264</f>
        <v xml:space="preserve">Rutland                      </v>
      </c>
      <c r="AO264" s="6">
        <f t="shared" ref="AO264:AO327" si="149">C264</f>
        <v>0</v>
      </c>
      <c r="AP264" s="9">
        <f t="shared" si="123"/>
        <v>0</v>
      </c>
      <c r="AQ264" s="9">
        <f t="shared" ref="AQ264:AQ327" si="150">I264</f>
        <v>0</v>
      </c>
      <c r="AR264" s="33">
        <f t="shared" ref="AR264:AR327" si="151">J264</f>
        <v>0</v>
      </c>
      <c r="AS264" s="33">
        <f t="shared" ref="AS264:AS327" si="152">Y264</f>
        <v>0</v>
      </c>
      <c r="AU264" s="28"/>
      <c r="AW264" s="519"/>
    </row>
    <row r="265" spans="1:49">
      <c r="A265" s="6">
        <v>258</v>
      </c>
      <c r="B265" s="6" t="s">
        <v>1376</v>
      </c>
      <c r="C265" s="7">
        <v>1</v>
      </c>
      <c r="D265" s="9">
        <v>69935642.150000006</v>
      </c>
      <c r="E265" s="9">
        <v>42479762</v>
      </c>
      <c r="F265" s="9">
        <v>27455880</v>
      </c>
      <c r="G265" s="348"/>
      <c r="H265" s="111">
        <f t="shared" ref="H265:H328" si="153">F265</f>
        <v>27455880</v>
      </c>
      <c r="I265" s="9">
        <f t="shared" si="124"/>
        <v>75190968.379999995</v>
      </c>
      <c r="J265" s="33">
        <f t="shared" si="125"/>
        <v>45548652</v>
      </c>
      <c r="K265" s="9">
        <f t="shared" si="126"/>
        <v>29642316</v>
      </c>
      <c r="L265" s="112">
        <f t="shared" si="127"/>
        <v>2186436</v>
      </c>
      <c r="M265" s="458">
        <f>ROUND(100-'Townwide Contributions'!L264,2)</f>
        <v>29.11</v>
      </c>
      <c r="N265" s="9">
        <v>4202</v>
      </c>
      <c r="O265" s="9">
        <f t="shared" si="128"/>
        <v>4290</v>
      </c>
      <c r="P265" s="9">
        <f t="shared" si="129"/>
        <v>1</v>
      </c>
      <c r="Q265" s="28">
        <f t="shared" si="130"/>
        <v>446160</v>
      </c>
      <c r="R265" s="382">
        <f t="shared" si="131"/>
        <v>0</v>
      </c>
      <c r="S265" s="28">
        <v>27455880</v>
      </c>
      <c r="T265" s="33">
        <f t="shared" si="132"/>
        <v>27584580</v>
      </c>
      <c r="U265" s="9">
        <f t="shared" si="133"/>
        <v>0</v>
      </c>
      <c r="V265" s="33">
        <f t="shared" si="134"/>
        <v>29642316</v>
      </c>
      <c r="W265" s="33">
        <f t="shared" si="135"/>
        <v>0</v>
      </c>
      <c r="X265" s="33">
        <v>0</v>
      </c>
      <c r="Y265" s="113">
        <f t="shared" si="136"/>
        <v>29642316</v>
      </c>
      <c r="Z265" s="155">
        <f t="shared" si="137"/>
        <v>39.422708123924821</v>
      </c>
      <c r="AA265" s="33">
        <f t="shared" si="138"/>
        <v>75190968</v>
      </c>
      <c r="AB265" s="114">
        <f t="shared" si="139"/>
        <v>99.999999494620155</v>
      </c>
      <c r="AC265" s="28">
        <f t="shared" si="140"/>
        <v>5255326.2299999893</v>
      </c>
      <c r="AD265" s="28">
        <f>Y265-F265</f>
        <v>2186436</v>
      </c>
      <c r="AE265" s="28">
        <f t="shared" si="142"/>
        <v>7754225.1045820042</v>
      </c>
      <c r="AF265" s="115">
        <f t="shared" si="143"/>
        <v>10.312708123924821</v>
      </c>
      <c r="AG265" s="28">
        <f t="shared" si="144"/>
        <v>17527.03</v>
      </c>
      <c r="AI265" s="28">
        <f t="shared" si="145"/>
        <v>0</v>
      </c>
      <c r="AJ265" s="28"/>
      <c r="AK265" s="28">
        <f t="shared" si="146"/>
        <v>509.65874125874126</v>
      </c>
      <c r="AL265" s="156"/>
      <c r="AM265" s="6">
        <f t="shared" si="147"/>
        <v>258</v>
      </c>
      <c r="AN265" s="6" t="str">
        <f t="shared" si="148"/>
        <v xml:space="preserve">Salem                        </v>
      </c>
      <c r="AO265" s="6">
        <f t="shared" si="149"/>
        <v>1</v>
      </c>
      <c r="AP265" s="9">
        <f t="shared" ref="AP265:AP328" si="154">O265</f>
        <v>4290</v>
      </c>
      <c r="AQ265" s="9">
        <f t="shared" si="150"/>
        <v>75190968.379999995</v>
      </c>
      <c r="AR265" s="33">
        <f t="shared" si="151"/>
        <v>45548652</v>
      </c>
      <c r="AS265" s="33">
        <f t="shared" si="152"/>
        <v>29642316</v>
      </c>
      <c r="AU265" s="28"/>
      <c r="AV265" s="9"/>
      <c r="AW265" s="519"/>
    </row>
    <row r="266" spans="1:49">
      <c r="A266" s="6">
        <v>259</v>
      </c>
      <c r="B266" s="6" t="s">
        <v>1377</v>
      </c>
      <c r="C266" s="7">
        <v>0</v>
      </c>
      <c r="D266" s="9">
        <v>32981.520000000004</v>
      </c>
      <c r="E266" s="9">
        <v>25025</v>
      </c>
      <c r="F266" s="9">
        <v>14443</v>
      </c>
      <c r="G266" s="348"/>
      <c r="H266" s="111">
        <f t="shared" si="153"/>
        <v>14443</v>
      </c>
      <c r="I266" s="9">
        <f t="shared" si="124"/>
        <v>50580.990000000005</v>
      </c>
      <c r="J266" s="33">
        <f t="shared" si="125"/>
        <v>40556</v>
      </c>
      <c r="K266" s="9">
        <f t="shared" si="126"/>
        <v>10025</v>
      </c>
      <c r="L266" s="112">
        <f t="shared" si="127"/>
        <v>0</v>
      </c>
      <c r="M266" s="458">
        <f>ROUND(100-'Townwide Contributions'!L265,2)</f>
        <v>17.5</v>
      </c>
      <c r="N266" s="9">
        <v>2</v>
      </c>
      <c r="O266" s="9">
        <f t="shared" si="128"/>
        <v>3</v>
      </c>
      <c r="P266" s="9">
        <f t="shared" si="129"/>
        <v>0</v>
      </c>
      <c r="Q266" s="28">
        <f t="shared" si="130"/>
        <v>0</v>
      </c>
      <c r="R266" s="382">
        <f t="shared" si="131"/>
        <v>0</v>
      </c>
      <c r="S266" s="28">
        <v>14443</v>
      </c>
      <c r="T266" s="33">
        <f t="shared" si="132"/>
        <v>14533</v>
      </c>
      <c r="U266" s="9">
        <f t="shared" si="133"/>
        <v>0</v>
      </c>
      <c r="V266" s="33">
        <f t="shared" si="134"/>
        <v>14443</v>
      </c>
      <c r="W266" s="33">
        <f t="shared" si="135"/>
        <v>0</v>
      </c>
      <c r="X266" s="33">
        <v>0</v>
      </c>
      <c r="Y266" s="113">
        <f t="shared" si="136"/>
        <v>14443</v>
      </c>
      <c r="Z266" s="155">
        <f t="shared" si="137"/>
        <v>0</v>
      </c>
      <c r="AA266" s="33">
        <f t="shared" si="138"/>
        <v>54999</v>
      </c>
      <c r="AB266" s="114">
        <f t="shared" si="139"/>
        <v>108.73452654841275</v>
      </c>
      <c r="AC266" s="28">
        <f t="shared" si="140"/>
        <v>17599.47</v>
      </c>
      <c r="AD266" s="28">
        <f t="shared" si="141"/>
        <v>0</v>
      </c>
      <c r="AE266" s="28">
        <f t="shared" si="142"/>
        <v>5591.3267500000002</v>
      </c>
      <c r="AF266" s="115" t="str">
        <f t="shared" si="143"/>
        <v/>
      </c>
      <c r="AG266" s="28">
        <f t="shared" si="144"/>
        <v>16860.330000000002</v>
      </c>
      <c r="AI266" s="28">
        <f t="shared" si="145"/>
        <v>0</v>
      </c>
      <c r="AJ266" s="28"/>
      <c r="AK266" s="28">
        <f t="shared" si="146"/>
        <v>0</v>
      </c>
      <c r="AL266" s="156"/>
      <c r="AM266" s="6">
        <f t="shared" si="147"/>
        <v>259</v>
      </c>
      <c r="AN266" s="6" t="str">
        <f t="shared" si="148"/>
        <v xml:space="preserve">Salisbury                    </v>
      </c>
      <c r="AO266" s="6">
        <f t="shared" si="149"/>
        <v>0</v>
      </c>
      <c r="AP266" s="9">
        <f t="shared" si="154"/>
        <v>3</v>
      </c>
      <c r="AQ266" s="9">
        <f t="shared" si="150"/>
        <v>50580.990000000005</v>
      </c>
      <c r="AR266" s="33">
        <f t="shared" si="151"/>
        <v>40556</v>
      </c>
      <c r="AS266" s="33">
        <f t="shared" si="152"/>
        <v>14443</v>
      </c>
      <c r="AU266" s="28"/>
      <c r="AV266" s="9"/>
      <c r="AW266" s="519"/>
    </row>
    <row r="267" spans="1:49">
      <c r="A267" s="6">
        <v>260</v>
      </c>
      <c r="B267" s="6" t="s">
        <v>1378</v>
      </c>
      <c r="C267" s="7">
        <v>0</v>
      </c>
      <c r="D267" s="9">
        <v>0</v>
      </c>
      <c r="E267" s="9">
        <v>0</v>
      </c>
      <c r="F267" s="9">
        <v>0</v>
      </c>
      <c r="G267" s="348"/>
      <c r="H267" s="111">
        <f t="shared" si="153"/>
        <v>0</v>
      </c>
      <c r="I267" s="9">
        <f t="shared" si="124"/>
        <v>0</v>
      </c>
      <c r="J267" s="33">
        <f t="shared" si="125"/>
        <v>0</v>
      </c>
      <c r="K267" s="9">
        <f t="shared" si="126"/>
        <v>0</v>
      </c>
      <c r="L267" s="112">
        <f t="shared" si="127"/>
        <v>0</v>
      </c>
      <c r="M267" s="458">
        <f>ROUND(100-'Townwide Contributions'!L266,2)</f>
        <v>17.5</v>
      </c>
      <c r="N267" s="9">
        <v>0</v>
      </c>
      <c r="O267" s="9">
        <f t="shared" si="128"/>
        <v>0</v>
      </c>
      <c r="P267" s="9">
        <f t="shared" si="129"/>
        <v>0</v>
      </c>
      <c r="Q267" s="28">
        <f t="shared" si="130"/>
        <v>0</v>
      </c>
      <c r="R267" s="382">
        <f t="shared" si="131"/>
        <v>0</v>
      </c>
      <c r="S267" s="28">
        <v>0</v>
      </c>
      <c r="T267" s="33">
        <f t="shared" si="132"/>
        <v>0</v>
      </c>
      <c r="U267" s="9">
        <f t="shared" si="133"/>
        <v>0</v>
      </c>
      <c r="V267" s="33">
        <f t="shared" si="134"/>
        <v>0</v>
      </c>
      <c r="W267" s="33">
        <f t="shared" si="135"/>
        <v>0</v>
      </c>
      <c r="X267" s="33">
        <v>0</v>
      </c>
      <c r="Y267" s="113">
        <f t="shared" si="136"/>
        <v>0</v>
      </c>
      <c r="Z267" s="155">
        <f t="shared" si="137"/>
        <v>0</v>
      </c>
      <c r="AA267" s="33">
        <f t="shared" si="138"/>
        <v>0</v>
      </c>
      <c r="AB267" s="114">
        <f t="shared" si="139"/>
        <v>0</v>
      </c>
      <c r="AC267" s="28">
        <f t="shared" si="140"/>
        <v>0</v>
      </c>
      <c r="AD267" s="28">
        <f t="shared" si="141"/>
        <v>0</v>
      </c>
      <c r="AE267" s="28">
        <f t="shared" si="142"/>
        <v>0</v>
      </c>
      <c r="AF267" s="115" t="str">
        <f t="shared" si="143"/>
        <v/>
      </c>
      <c r="AG267" s="28">
        <f t="shared" si="144"/>
        <v>0</v>
      </c>
      <c r="AI267" s="28">
        <f t="shared" si="145"/>
        <v>0</v>
      </c>
      <c r="AJ267" s="28"/>
      <c r="AK267" s="28">
        <f t="shared" si="146"/>
        <v>0</v>
      </c>
      <c r="AL267" s="156"/>
      <c r="AM267" s="6">
        <f t="shared" si="147"/>
        <v>260</v>
      </c>
      <c r="AN267" s="6" t="str">
        <f t="shared" si="148"/>
        <v xml:space="preserve">Sandisfield                  </v>
      </c>
      <c r="AO267" s="6">
        <f t="shared" si="149"/>
        <v>0</v>
      </c>
      <c r="AP267" s="9">
        <f t="shared" si="154"/>
        <v>0</v>
      </c>
      <c r="AQ267" s="9">
        <f t="shared" si="150"/>
        <v>0</v>
      </c>
      <c r="AR267" s="33">
        <f t="shared" si="151"/>
        <v>0</v>
      </c>
      <c r="AS267" s="33">
        <f t="shared" si="152"/>
        <v>0</v>
      </c>
      <c r="AU267" s="28"/>
      <c r="AW267" s="519"/>
    </row>
    <row r="268" spans="1:49">
      <c r="A268" s="6">
        <v>261</v>
      </c>
      <c r="B268" s="6" t="s">
        <v>1379</v>
      </c>
      <c r="C268" s="7">
        <v>1</v>
      </c>
      <c r="D268" s="9">
        <v>29251950.23</v>
      </c>
      <c r="E268" s="9">
        <v>24132859</v>
      </c>
      <c r="F268" s="9">
        <v>7508068</v>
      </c>
      <c r="G268" s="348"/>
      <c r="H268" s="111">
        <f t="shared" si="153"/>
        <v>7508068</v>
      </c>
      <c r="I268" s="9">
        <f t="shared" si="124"/>
        <v>29473433.750000004</v>
      </c>
      <c r="J268" s="33">
        <f t="shared" si="125"/>
        <v>24315583</v>
      </c>
      <c r="K268" s="9">
        <f t="shared" si="126"/>
        <v>5157851</v>
      </c>
      <c r="L268" s="112">
        <f t="shared" si="127"/>
        <v>0</v>
      </c>
      <c r="M268" s="458">
        <f>ROUND(100-'Townwide Contributions'!L267,2)</f>
        <v>17.5</v>
      </c>
      <c r="N268" s="9">
        <v>2276</v>
      </c>
      <c r="O268" s="9">
        <f t="shared" si="128"/>
        <v>2227</v>
      </c>
      <c r="P268" s="9">
        <f t="shared" si="129"/>
        <v>0</v>
      </c>
      <c r="Q268" s="28">
        <f t="shared" si="130"/>
        <v>231608</v>
      </c>
      <c r="R268" s="382">
        <f t="shared" si="131"/>
        <v>231608</v>
      </c>
      <c r="S268" s="28">
        <v>7508068</v>
      </c>
      <c r="T268" s="33">
        <f t="shared" si="132"/>
        <v>7574878</v>
      </c>
      <c r="U268" s="9">
        <f t="shared" si="133"/>
        <v>0</v>
      </c>
      <c r="V268" s="33">
        <f t="shared" si="134"/>
        <v>7739676</v>
      </c>
      <c r="W268" s="33">
        <f t="shared" si="135"/>
        <v>0</v>
      </c>
      <c r="X268" s="33">
        <v>0</v>
      </c>
      <c r="Y268" s="113">
        <f t="shared" si="136"/>
        <v>7739676</v>
      </c>
      <c r="Z268" s="155">
        <f t="shared" si="137"/>
        <v>26.259838150008562</v>
      </c>
      <c r="AA268" s="33">
        <f t="shared" si="138"/>
        <v>32055259</v>
      </c>
      <c r="AB268" s="114">
        <f t="shared" si="139"/>
        <v>108.75983868014698</v>
      </c>
      <c r="AC268" s="28">
        <f t="shared" si="140"/>
        <v>221483.52000000328</v>
      </c>
      <c r="AD268" s="28">
        <f t="shared" si="141"/>
        <v>231608</v>
      </c>
      <c r="AE268" s="28">
        <f t="shared" si="142"/>
        <v>2581825.09375</v>
      </c>
      <c r="AF268" s="115">
        <f t="shared" si="143"/>
        <v>8.7598381500085623</v>
      </c>
      <c r="AG268" s="28">
        <f t="shared" si="144"/>
        <v>13234.59</v>
      </c>
      <c r="AI268" s="28">
        <f t="shared" si="145"/>
        <v>0</v>
      </c>
      <c r="AJ268" s="28"/>
      <c r="AK268" s="28">
        <f t="shared" si="146"/>
        <v>104</v>
      </c>
      <c r="AL268" s="156"/>
      <c r="AM268" s="6">
        <f t="shared" si="147"/>
        <v>261</v>
      </c>
      <c r="AN268" s="6" t="str">
        <f t="shared" si="148"/>
        <v xml:space="preserve">Sandwich                     </v>
      </c>
      <c r="AO268" s="6">
        <f t="shared" si="149"/>
        <v>1</v>
      </c>
      <c r="AP268" s="9">
        <f t="shared" si="154"/>
        <v>2227</v>
      </c>
      <c r="AQ268" s="9">
        <f t="shared" si="150"/>
        <v>29473433.750000004</v>
      </c>
      <c r="AR268" s="33">
        <f t="shared" si="151"/>
        <v>24315583</v>
      </c>
      <c r="AS268" s="33">
        <f t="shared" si="152"/>
        <v>7739676</v>
      </c>
      <c r="AU268" s="28"/>
      <c r="AV268" s="9"/>
      <c r="AW268" s="519"/>
    </row>
    <row r="269" spans="1:49">
      <c r="A269" s="6">
        <v>262</v>
      </c>
      <c r="B269" s="6" t="s">
        <v>1380</v>
      </c>
      <c r="C269" s="7">
        <v>1</v>
      </c>
      <c r="D269" s="9">
        <v>42085454.029999994</v>
      </c>
      <c r="E269" s="9">
        <v>30096004</v>
      </c>
      <c r="F269" s="9">
        <v>11989450</v>
      </c>
      <c r="G269" s="348"/>
      <c r="H269" s="111">
        <f t="shared" si="153"/>
        <v>11989450</v>
      </c>
      <c r="I269" s="9">
        <f t="shared" si="124"/>
        <v>46319897.799999997</v>
      </c>
      <c r="J269" s="33">
        <f t="shared" si="125"/>
        <v>32254007</v>
      </c>
      <c r="K269" s="9">
        <f t="shared" si="126"/>
        <v>14065891</v>
      </c>
      <c r="L269" s="112">
        <f t="shared" si="127"/>
        <v>2076441</v>
      </c>
      <c r="M269" s="458">
        <f>ROUND(100-'Townwide Contributions'!L268,2)</f>
        <v>17.5</v>
      </c>
      <c r="N269" s="9">
        <v>2830</v>
      </c>
      <c r="O269" s="9">
        <f t="shared" si="128"/>
        <v>2977</v>
      </c>
      <c r="P269" s="9">
        <f t="shared" si="129"/>
        <v>1</v>
      </c>
      <c r="Q269" s="28">
        <f t="shared" si="130"/>
        <v>309608</v>
      </c>
      <c r="R269" s="382">
        <f t="shared" si="131"/>
        <v>0</v>
      </c>
      <c r="S269" s="28">
        <v>11989450</v>
      </c>
      <c r="T269" s="33">
        <f t="shared" si="132"/>
        <v>12078760</v>
      </c>
      <c r="U269" s="9">
        <f t="shared" si="133"/>
        <v>0</v>
      </c>
      <c r="V269" s="33">
        <f t="shared" si="134"/>
        <v>14065891</v>
      </c>
      <c r="W269" s="33">
        <f t="shared" si="135"/>
        <v>0</v>
      </c>
      <c r="X269" s="33">
        <v>0</v>
      </c>
      <c r="Y269" s="113">
        <f t="shared" si="136"/>
        <v>14065891</v>
      </c>
      <c r="Z269" s="155">
        <f t="shared" si="137"/>
        <v>30.366843771404007</v>
      </c>
      <c r="AA269" s="33">
        <f t="shared" si="138"/>
        <v>46319898</v>
      </c>
      <c r="AB269" s="114">
        <f t="shared" si="139"/>
        <v>100.0000004317799</v>
      </c>
      <c r="AC269" s="28">
        <f t="shared" si="140"/>
        <v>4234443.7700000033</v>
      </c>
      <c r="AD269" s="28">
        <f t="shared" si="141"/>
        <v>2076441</v>
      </c>
      <c r="AE269" s="28">
        <f t="shared" si="142"/>
        <v>5959908.8850000007</v>
      </c>
      <c r="AF269" s="115">
        <f t="shared" si="143"/>
        <v>12.866843771404007</v>
      </c>
      <c r="AG269" s="28">
        <f t="shared" si="144"/>
        <v>15559.25</v>
      </c>
      <c r="AI269" s="28">
        <f t="shared" si="145"/>
        <v>0</v>
      </c>
      <c r="AJ269" s="28"/>
      <c r="AK269" s="28">
        <f t="shared" si="146"/>
        <v>697.49445750755797</v>
      </c>
      <c r="AL269" s="156"/>
      <c r="AM269" s="6">
        <f t="shared" si="147"/>
        <v>262</v>
      </c>
      <c r="AN269" s="6" t="str">
        <f t="shared" si="148"/>
        <v xml:space="preserve">Saugus                       </v>
      </c>
      <c r="AO269" s="6">
        <f t="shared" si="149"/>
        <v>1</v>
      </c>
      <c r="AP269" s="9">
        <f t="shared" si="154"/>
        <v>2977</v>
      </c>
      <c r="AQ269" s="9">
        <f t="shared" si="150"/>
        <v>46319897.799999997</v>
      </c>
      <c r="AR269" s="33">
        <f t="shared" si="151"/>
        <v>32254007</v>
      </c>
      <c r="AS269" s="33">
        <f t="shared" si="152"/>
        <v>14065891</v>
      </c>
      <c r="AU269" s="28"/>
      <c r="AV269" s="9"/>
      <c r="AW269" s="519"/>
    </row>
    <row r="270" spans="1:49">
      <c r="A270" s="6">
        <v>263</v>
      </c>
      <c r="B270" s="6" t="s">
        <v>1381</v>
      </c>
      <c r="C270" s="7">
        <v>1</v>
      </c>
      <c r="D270" s="9">
        <v>576479.4</v>
      </c>
      <c r="E270" s="9">
        <v>429924</v>
      </c>
      <c r="F270" s="9">
        <v>522299</v>
      </c>
      <c r="G270" s="348"/>
      <c r="H270" s="111">
        <f t="shared" si="153"/>
        <v>522299</v>
      </c>
      <c r="I270" s="9">
        <f t="shared" si="124"/>
        <v>622293.56000000006</v>
      </c>
      <c r="J270" s="33">
        <f t="shared" si="125"/>
        <v>425422</v>
      </c>
      <c r="K270" s="9">
        <f t="shared" si="126"/>
        <v>196872</v>
      </c>
      <c r="L270" s="112">
        <f t="shared" si="127"/>
        <v>0</v>
      </c>
      <c r="M270" s="458">
        <f>ROUND(100-'Townwide Contributions'!L269,2)</f>
        <v>27.09</v>
      </c>
      <c r="N270" s="9">
        <v>40</v>
      </c>
      <c r="O270" s="9">
        <f t="shared" si="128"/>
        <v>35</v>
      </c>
      <c r="P270" s="9">
        <f t="shared" si="129"/>
        <v>0</v>
      </c>
      <c r="Q270" s="28">
        <f t="shared" si="130"/>
        <v>3640</v>
      </c>
      <c r="R270" s="382">
        <f t="shared" si="131"/>
        <v>3640</v>
      </c>
      <c r="S270" s="28">
        <v>522299</v>
      </c>
      <c r="T270" s="33">
        <f t="shared" si="132"/>
        <v>523349</v>
      </c>
      <c r="U270" s="9">
        <f t="shared" si="133"/>
        <v>0</v>
      </c>
      <c r="V270" s="33">
        <f t="shared" si="134"/>
        <v>525939</v>
      </c>
      <c r="W270" s="33">
        <f t="shared" si="135"/>
        <v>0</v>
      </c>
      <c r="X270" s="33">
        <v>0</v>
      </c>
      <c r="Y270" s="113">
        <f t="shared" si="136"/>
        <v>525939</v>
      </c>
      <c r="Z270" s="155">
        <f t="shared" si="137"/>
        <v>84.516220929556127</v>
      </c>
      <c r="AA270" s="33">
        <f t="shared" si="138"/>
        <v>951361</v>
      </c>
      <c r="AB270" s="114">
        <f t="shared" si="139"/>
        <v>152.87977590512102</v>
      </c>
      <c r="AC270" s="28">
        <f t="shared" si="140"/>
        <v>45814.160000000033</v>
      </c>
      <c r="AD270" s="28">
        <f t="shared" si="141"/>
        <v>3640</v>
      </c>
      <c r="AE270" s="28">
        <f t="shared" si="142"/>
        <v>357359.674596</v>
      </c>
      <c r="AF270" s="115">
        <f t="shared" si="143"/>
        <v>57.426220929556123</v>
      </c>
      <c r="AG270" s="28">
        <f t="shared" si="144"/>
        <v>17779.82</v>
      </c>
      <c r="AI270" s="28">
        <f t="shared" si="145"/>
        <v>0</v>
      </c>
      <c r="AJ270" s="28"/>
      <c r="AK270" s="28">
        <f t="shared" si="146"/>
        <v>104</v>
      </c>
      <c r="AL270" s="156"/>
      <c r="AM270" s="6">
        <f t="shared" si="147"/>
        <v>263</v>
      </c>
      <c r="AN270" s="6" t="str">
        <f t="shared" si="148"/>
        <v xml:space="preserve">Savoy                        </v>
      </c>
      <c r="AO270" s="6">
        <f t="shared" si="149"/>
        <v>1</v>
      </c>
      <c r="AP270" s="9">
        <f t="shared" si="154"/>
        <v>35</v>
      </c>
      <c r="AQ270" s="9">
        <f t="shared" si="150"/>
        <v>622293.56000000006</v>
      </c>
      <c r="AR270" s="33">
        <f t="shared" si="151"/>
        <v>425422</v>
      </c>
      <c r="AS270" s="33">
        <f t="shared" si="152"/>
        <v>525939</v>
      </c>
      <c r="AU270" s="28"/>
      <c r="AV270" s="9"/>
      <c r="AW270" s="519"/>
    </row>
    <row r="271" spans="1:49">
      <c r="A271" s="6">
        <v>264</v>
      </c>
      <c r="B271" s="6" t="s">
        <v>1382</v>
      </c>
      <c r="C271" s="7">
        <v>1</v>
      </c>
      <c r="D271" s="9">
        <v>34295600.022</v>
      </c>
      <c r="E271" s="9">
        <v>27754773</v>
      </c>
      <c r="F271" s="9">
        <v>6540827</v>
      </c>
      <c r="G271" s="348"/>
      <c r="H271" s="111">
        <f t="shared" si="153"/>
        <v>6540827</v>
      </c>
      <c r="I271" s="9">
        <f t="shared" si="124"/>
        <v>35051638.613499999</v>
      </c>
      <c r="J271" s="33">
        <f t="shared" si="125"/>
        <v>28917602</v>
      </c>
      <c r="K271" s="9">
        <f t="shared" si="126"/>
        <v>6134037</v>
      </c>
      <c r="L271" s="112">
        <f t="shared" si="127"/>
        <v>0</v>
      </c>
      <c r="M271" s="458">
        <f>ROUND(100-'Townwide Contributions'!L270,2)</f>
        <v>17.5</v>
      </c>
      <c r="N271" s="9">
        <v>2763</v>
      </c>
      <c r="O271" s="9">
        <f t="shared" si="128"/>
        <v>2752</v>
      </c>
      <c r="P271" s="9">
        <f t="shared" si="129"/>
        <v>0</v>
      </c>
      <c r="Q271" s="28">
        <f t="shared" si="130"/>
        <v>286208</v>
      </c>
      <c r="R271" s="382">
        <f t="shared" si="131"/>
        <v>286208</v>
      </c>
      <c r="S271" s="28">
        <v>6540827</v>
      </c>
      <c r="T271" s="33">
        <f t="shared" si="132"/>
        <v>6623387</v>
      </c>
      <c r="U271" s="9">
        <f t="shared" si="133"/>
        <v>0</v>
      </c>
      <c r="V271" s="33">
        <f t="shared" si="134"/>
        <v>6827035</v>
      </c>
      <c r="W271" s="33">
        <f t="shared" si="135"/>
        <v>0</v>
      </c>
      <c r="X271" s="33">
        <v>0</v>
      </c>
      <c r="Y271" s="113">
        <f t="shared" si="136"/>
        <v>6827035</v>
      </c>
      <c r="Z271" s="155">
        <f t="shared" si="137"/>
        <v>19.477078019886335</v>
      </c>
      <c r="AA271" s="33">
        <f t="shared" si="138"/>
        <v>35744637</v>
      </c>
      <c r="AB271" s="114">
        <f t="shared" si="139"/>
        <v>101.97707843031651</v>
      </c>
      <c r="AC271" s="28">
        <f t="shared" si="140"/>
        <v>756038.59149999917</v>
      </c>
      <c r="AD271" s="28">
        <f t="shared" si="141"/>
        <v>286208</v>
      </c>
      <c r="AE271" s="28">
        <f t="shared" si="142"/>
        <v>692998.24263750017</v>
      </c>
      <c r="AF271" s="115">
        <f t="shared" si="143"/>
        <v>1.9770780198863349</v>
      </c>
      <c r="AG271" s="28">
        <f t="shared" si="144"/>
        <v>12736.79</v>
      </c>
      <c r="AI271" s="28">
        <f t="shared" si="145"/>
        <v>0</v>
      </c>
      <c r="AJ271" s="28"/>
      <c r="AK271" s="28">
        <f t="shared" si="146"/>
        <v>104</v>
      </c>
      <c r="AL271" s="156"/>
      <c r="AM271" s="6">
        <f t="shared" si="147"/>
        <v>264</v>
      </c>
      <c r="AN271" s="6" t="str">
        <f t="shared" si="148"/>
        <v xml:space="preserve">Scituate                     </v>
      </c>
      <c r="AO271" s="6">
        <f t="shared" si="149"/>
        <v>1</v>
      </c>
      <c r="AP271" s="9">
        <f t="shared" si="154"/>
        <v>2752</v>
      </c>
      <c r="AQ271" s="9">
        <f t="shared" si="150"/>
        <v>35051638.613499999</v>
      </c>
      <c r="AR271" s="33">
        <f t="shared" si="151"/>
        <v>28917602</v>
      </c>
      <c r="AS271" s="33">
        <f t="shared" si="152"/>
        <v>6827035</v>
      </c>
      <c r="AU271" s="28"/>
      <c r="AV271" s="9"/>
      <c r="AW271" s="519"/>
    </row>
    <row r="272" spans="1:49">
      <c r="A272" s="6">
        <v>265</v>
      </c>
      <c r="B272" s="6" t="s">
        <v>1383</v>
      </c>
      <c r="C272" s="7">
        <v>1</v>
      </c>
      <c r="D272" s="9">
        <v>25865534.950000003</v>
      </c>
      <c r="E272" s="9">
        <v>18110661</v>
      </c>
      <c r="F272" s="9">
        <v>7754874</v>
      </c>
      <c r="G272" s="348"/>
      <c r="H272" s="111">
        <f t="shared" si="153"/>
        <v>7754874</v>
      </c>
      <c r="I272" s="9">
        <f t="shared" si="124"/>
        <v>26822442.259999998</v>
      </c>
      <c r="J272" s="33">
        <f t="shared" si="125"/>
        <v>19300371</v>
      </c>
      <c r="K272" s="9">
        <f t="shared" si="126"/>
        <v>7522071</v>
      </c>
      <c r="L272" s="112">
        <f t="shared" si="127"/>
        <v>0</v>
      </c>
      <c r="M272" s="458">
        <f>ROUND(100-'Townwide Contributions'!L271,2)</f>
        <v>22.2</v>
      </c>
      <c r="N272" s="9">
        <v>2067</v>
      </c>
      <c r="O272" s="9">
        <f t="shared" si="128"/>
        <v>2076</v>
      </c>
      <c r="P272" s="9">
        <f t="shared" si="129"/>
        <v>0</v>
      </c>
      <c r="Q272" s="28">
        <f t="shared" si="130"/>
        <v>215904</v>
      </c>
      <c r="R272" s="382">
        <f t="shared" si="131"/>
        <v>215904</v>
      </c>
      <c r="S272" s="28">
        <v>7754874</v>
      </c>
      <c r="T272" s="33">
        <f t="shared" si="132"/>
        <v>7817154</v>
      </c>
      <c r="U272" s="9">
        <f t="shared" si="133"/>
        <v>0</v>
      </c>
      <c r="V272" s="33">
        <f t="shared" si="134"/>
        <v>7970778</v>
      </c>
      <c r="W272" s="33">
        <f t="shared" si="135"/>
        <v>0</v>
      </c>
      <c r="X272" s="33">
        <v>0</v>
      </c>
      <c r="Y272" s="113">
        <f t="shared" si="136"/>
        <v>7970778</v>
      </c>
      <c r="Z272" s="155">
        <f t="shared" si="137"/>
        <v>29.716824153208186</v>
      </c>
      <c r="AA272" s="33">
        <f t="shared" si="138"/>
        <v>27271149</v>
      </c>
      <c r="AB272" s="114">
        <f t="shared" si="139"/>
        <v>101.67287801629143</v>
      </c>
      <c r="AC272" s="28">
        <f t="shared" si="140"/>
        <v>956907.30999999493</v>
      </c>
      <c r="AD272" s="28">
        <f t="shared" si="141"/>
        <v>215904</v>
      </c>
      <c r="AE272" s="28">
        <f t="shared" si="142"/>
        <v>2016195.8182800002</v>
      </c>
      <c r="AF272" s="115">
        <f t="shared" si="143"/>
        <v>7.5168241532081872</v>
      </c>
      <c r="AG272" s="28">
        <f t="shared" si="144"/>
        <v>12920.25</v>
      </c>
      <c r="AI272" s="28">
        <f t="shared" si="145"/>
        <v>0</v>
      </c>
      <c r="AJ272" s="28"/>
      <c r="AK272" s="28">
        <f t="shared" si="146"/>
        <v>104</v>
      </c>
      <c r="AL272" s="156"/>
      <c r="AM272" s="6">
        <f t="shared" si="147"/>
        <v>265</v>
      </c>
      <c r="AN272" s="6" t="str">
        <f t="shared" si="148"/>
        <v xml:space="preserve">Seekonk                      </v>
      </c>
      <c r="AO272" s="6">
        <f t="shared" si="149"/>
        <v>1</v>
      </c>
      <c r="AP272" s="9">
        <f t="shared" si="154"/>
        <v>2076</v>
      </c>
      <c r="AQ272" s="9">
        <f t="shared" si="150"/>
        <v>26822442.259999998</v>
      </c>
      <c r="AR272" s="33">
        <f t="shared" si="151"/>
        <v>19300371</v>
      </c>
      <c r="AS272" s="33">
        <f t="shared" si="152"/>
        <v>7970778</v>
      </c>
      <c r="AU272" s="28"/>
      <c r="AV272" s="9"/>
      <c r="AW272" s="519"/>
    </row>
    <row r="273" spans="1:49">
      <c r="A273" s="6">
        <v>266</v>
      </c>
      <c r="B273" s="6" t="s">
        <v>1384</v>
      </c>
      <c r="C273" s="7">
        <v>1</v>
      </c>
      <c r="D273" s="9">
        <v>44179615.271480002</v>
      </c>
      <c r="E273" s="9">
        <v>33681121</v>
      </c>
      <c r="F273" s="9">
        <v>10498494</v>
      </c>
      <c r="G273" s="348"/>
      <c r="H273" s="111">
        <f t="shared" si="153"/>
        <v>10498494</v>
      </c>
      <c r="I273" s="9">
        <f t="shared" si="124"/>
        <v>45602230.371939994</v>
      </c>
      <c r="J273" s="33">
        <f t="shared" si="125"/>
        <v>35374920</v>
      </c>
      <c r="K273" s="9">
        <f t="shared" si="126"/>
        <v>10227310</v>
      </c>
      <c r="L273" s="112">
        <f t="shared" si="127"/>
        <v>0</v>
      </c>
      <c r="M273" s="458">
        <f>ROUND(100-'Townwide Contributions'!L272,2)</f>
        <v>17.5</v>
      </c>
      <c r="N273" s="9">
        <v>3495</v>
      </c>
      <c r="O273" s="9">
        <f t="shared" si="128"/>
        <v>3518</v>
      </c>
      <c r="P273" s="9">
        <f t="shared" si="129"/>
        <v>0</v>
      </c>
      <c r="Q273" s="28">
        <f t="shared" si="130"/>
        <v>365872</v>
      </c>
      <c r="R273" s="382">
        <f t="shared" si="131"/>
        <v>365872</v>
      </c>
      <c r="S273" s="28">
        <v>10498494</v>
      </c>
      <c r="T273" s="33">
        <f t="shared" si="132"/>
        <v>10604034</v>
      </c>
      <c r="U273" s="9">
        <f t="shared" si="133"/>
        <v>0</v>
      </c>
      <c r="V273" s="33">
        <f t="shared" si="134"/>
        <v>10864366</v>
      </c>
      <c r="W273" s="33">
        <f t="shared" si="135"/>
        <v>0</v>
      </c>
      <c r="X273" s="33">
        <v>0</v>
      </c>
      <c r="Y273" s="113">
        <f t="shared" si="136"/>
        <v>10864366</v>
      </c>
      <c r="Z273" s="155">
        <f t="shared" si="137"/>
        <v>23.824198753851018</v>
      </c>
      <c r="AA273" s="33">
        <f t="shared" si="138"/>
        <v>46239286</v>
      </c>
      <c r="AB273" s="114">
        <f t="shared" si="139"/>
        <v>101.39698348713225</v>
      </c>
      <c r="AC273" s="28">
        <f t="shared" si="140"/>
        <v>1422615.1004599929</v>
      </c>
      <c r="AD273" s="28">
        <f t="shared" si="141"/>
        <v>365872</v>
      </c>
      <c r="AE273" s="28">
        <f t="shared" si="142"/>
        <v>2883975.6849105014</v>
      </c>
      <c r="AF273" s="115">
        <f t="shared" si="143"/>
        <v>6.324198753851018</v>
      </c>
      <c r="AG273" s="28">
        <f t="shared" si="144"/>
        <v>12962.54</v>
      </c>
      <c r="AI273" s="28">
        <f t="shared" si="145"/>
        <v>0</v>
      </c>
      <c r="AJ273" s="28"/>
      <c r="AK273" s="28">
        <f t="shared" si="146"/>
        <v>104</v>
      </c>
      <c r="AL273" s="156"/>
      <c r="AM273" s="6">
        <f t="shared" si="147"/>
        <v>266</v>
      </c>
      <c r="AN273" s="6" t="str">
        <f t="shared" si="148"/>
        <v xml:space="preserve">Sharon                       </v>
      </c>
      <c r="AO273" s="6">
        <f t="shared" si="149"/>
        <v>1</v>
      </c>
      <c r="AP273" s="9">
        <f t="shared" si="154"/>
        <v>3518</v>
      </c>
      <c r="AQ273" s="9">
        <f t="shared" si="150"/>
        <v>45602230.371939994</v>
      </c>
      <c r="AR273" s="33">
        <f t="shared" si="151"/>
        <v>35374920</v>
      </c>
      <c r="AS273" s="33">
        <f t="shared" si="152"/>
        <v>10864366</v>
      </c>
      <c r="AU273" s="28"/>
      <c r="AV273" s="9"/>
      <c r="AW273" s="519"/>
    </row>
    <row r="274" spans="1:49">
      <c r="A274" s="6">
        <v>267</v>
      </c>
      <c r="B274" s="6" t="s">
        <v>1385</v>
      </c>
      <c r="C274" s="7">
        <v>0</v>
      </c>
      <c r="D274" s="9">
        <v>65963.040000000008</v>
      </c>
      <c r="E274" s="9">
        <v>51793</v>
      </c>
      <c r="F274" s="9">
        <v>14170</v>
      </c>
      <c r="G274" s="348"/>
      <c r="H274" s="111">
        <f t="shared" si="153"/>
        <v>14170</v>
      </c>
      <c r="I274" s="9">
        <f t="shared" si="124"/>
        <v>45335.72</v>
      </c>
      <c r="J274" s="33">
        <f t="shared" si="125"/>
        <v>37402</v>
      </c>
      <c r="K274" s="9">
        <f t="shared" si="126"/>
        <v>7934</v>
      </c>
      <c r="L274" s="112">
        <f t="shared" si="127"/>
        <v>0</v>
      </c>
      <c r="M274" s="458">
        <f>ROUND(100-'Townwide Contributions'!L273,2)</f>
        <v>17.5</v>
      </c>
      <c r="N274" s="9">
        <v>4</v>
      </c>
      <c r="O274" s="9">
        <f t="shared" si="128"/>
        <v>4</v>
      </c>
      <c r="P274" s="9">
        <f t="shared" si="129"/>
        <v>0</v>
      </c>
      <c r="Q274" s="28">
        <f t="shared" si="130"/>
        <v>0</v>
      </c>
      <c r="R274" s="382">
        <f t="shared" si="131"/>
        <v>0</v>
      </c>
      <c r="S274" s="28">
        <v>14170</v>
      </c>
      <c r="T274" s="33">
        <f t="shared" si="132"/>
        <v>14290</v>
      </c>
      <c r="U274" s="9">
        <f t="shared" si="133"/>
        <v>0</v>
      </c>
      <c r="V274" s="33">
        <f t="shared" si="134"/>
        <v>14170</v>
      </c>
      <c r="W274" s="33">
        <f t="shared" si="135"/>
        <v>0</v>
      </c>
      <c r="X274" s="33">
        <v>0</v>
      </c>
      <c r="Y274" s="113">
        <f t="shared" si="136"/>
        <v>14170</v>
      </c>
      <c r="Z274" s="155">
        <f t="shared" si="137"/>
        <v>0</v>
      </c>
      <c r="AA274" s="33">
        <f t="shared" si="138"/>
        <v>51572</v>
      </c>
      <c r="AB274" s="114">
        <f t="shared" si="139"/>
        <v>113.75577579886235</v>
      </c>
      <c r="AC274" s="28">
        <f t="shared" si="140"/>
        <v>-20627.320000000007</v>
      </c>
      <c r="AD274" s="28">
        <f t="shared" si="141"/>
        <v>0</v>
      </c>
      <c r="AE274" s="28">
        <f t="shared" si="142"/>
        <v>6236.2490000000007</v>
      </c>
      <c r="AF274" s="115" t="str">
        <f t="shared" si="143"/>
        <v/>
      </c>
      <c r="AG274" s="28">
        <f t="shared" si="144"/>
        <v>11333.93</v>
      </c>
      <c r="AI274" s="28">
        <f t="shared" si="145"/>
        <v>0</v>
      </c>
      <c r="AJ274" s="28"/>
      <c r="AK274" s="28">
        <f t="shared" si="146"/>
        <v>0</v>
      </c>
      <c r="AL274" s="156"/>
      <c r="AM274" s="6">
        <f t="shared" si="147"/>
        <v>267</v>
      </c>
      <c r="AN274" s="6" t="str">
        <f t="shared" si="148"/>
        <v xml:space="preserve">Sheffield                    </v>
      </c>
      <c r="AO274" s="6">
        <f t="shared" si="149"/>
        <v>0</v>
      </c>
      <c r="AP274" s="9">
        <f t="shared" si="154"/>
        <v>4</v>
      </c>
      <c r="AQ274" s="9">
        <f t="shared" si="150"/>
        <v>45335.72</v>
      </c>
      <c r="AR274" s="33">
        <f t="shared" si="151"/>
        <v>37402</v>
      </c>
      <c r="AS274" s="33">
        <f t="shared" si="152"/>
        <v>14170</v>
      </c>
      <c r="AU274" s="28"/>
      <c r="AV274" s="9"/>
      <c r="AW274" s="519"/>
    </row>
    <row r="275" spans="1:49">
      <c r="A275" s="6">
        <v>268</v>
      </c>
      <c r="B275" s="6" t="s">
        <v>1386</v>
      </c>
      <c r="C275" s="7">
        <v>0</v>
      </c>
      <c r="D275" s="9">
        <v>0</v>
      </c>
      <c r="E275" s="9">
        <v>0</v>
      </c>
      <c r="F275" s="9">
        <v>0</v>
      </c>
      <c r="G275" s="348"/>
      <c r="H275" s="111">
        <f t="shared" si="153"/>
        <v>0</v>
      </c>
      <c r="I275" s="9">
        <f t="shared" si="124"/>
        <v>0</v>
      </c>
      <c r="J275" s="33">
        <f t="shared" si="125"/>
        <v>0</v>
      </c>
      <c r="K275" s="9">
        <f t="shared" si="126"/>
        <v>0</v>
      </c>
      <c r="L275" s="112">
        <f t="shared" si="127"/>
        <v>0</v>
      </c>
      <c r="M275" s="458">
        <f>ROUND(100-'Townwide Contributions'!L274,2)</f>
        <v>19.600000000000001</v>
      </c>
      <c r="N275" s="9">
        <v>0</v>
      </c>
      <c r="O275" s="9">
        <f t="shared" si="128"/>
        <v>0</v>
      </c>
      <c r="P275" s="9">
        <f t="shared" si="129"/>
        <v>0</v>
      </c>
      <c r="Q275" s="28">
        <f t="shared" si="130"/>
        <v>0</v>
      </c>
      <c r="R275" s="382">
        <f t="shared" si="131"/>
        <v>0</v>
      </c>
      <c r="S275" s="28">
        <v>0</v>
      </c>
      <c r="T275" s="33">
        <f t="shared" si="132"/>
        <v>0</v>
      </c>
      <c r="U275" s="9">
        <f t="shared" si="133"/>
        <v>0</v>
      </c>
      <c r="V275" s="33">
        <f t="shared" si="134"/>
        <v>0</v>
      </c>
      <c r="W275" s="33">
        <f t="shared" si="135"/>
        <v>0</v>
      </c>
      <c r="X275" s="33">
        <v>0</v>
      </c>
      <c r="Y275" s="113">
        <f t="shared" si="136"/>
        <v>0</v>
      </c>
      <c r="Z275" s="155">
        <f t="shared" si="137"/>
        <v>0</v>
      </c>
      <c r="AA275" s="33">
        <f t="shared" si="138"/>
        <v>0</v>
      </c>
      <c r="AB275" s="114">
        <f t="shared" si="139"/>
        <v>0</v>
      </c>
      <c r="AC275" s="28">
        <f t="shared" si="140"/>
        <v>0</v>
      </c>
      <c r="AD275" s="28">
        <f t="shared" si="141"/>
        <v>0</v>
      </c>
      <c r="AE275" s="28">
        <f t="shared" si="142"/>
        <v>0</v>
      </c>
      <c r="AF275" s="115" t="str">
        <f t="shared" si="143"/>
        <v/>
      </c>
      <c r="AG275" s="28">
        <f t="shared" si="144"/>
        <v>0</v>
      </c>
      <c r="AI275" s="28">
        <f t="shared" si="145"/>
        <v>0</v>
      </c>
      <c r="AJ275" s="28"/>
      <c r="AK275" s="28">
        <f t="shared" si="146"/>
        <v>0</v>
      </c>
      <c r="AL275" s="156"/>
      <c r="AM275" s="6">
        <f t="shared" si="147"/>
        <v>268</v>
      </c>
      <c r="AN275" s="6" t="str">
        <f t="shared" si="148"/>
        <v xml:space="preserve">Shelburne                    </v>
      </c>
      <c r="AO275" s="6">
        <f t="shared" si="149"/>
        <v>0</v>
      </c>
      <c r="AP275" s="9">
        <f t="shared" si="154"/>
        <v>0</v>
      </c>
      <c r="AQ275" s="9">
        <f t="shared" si="150"/>
        <v>0</v>
      </c>
      <c r="AR275" s="33">
        <f t="shared" si="151"/>
        <v>0</v>
      </c>
      <c r="AS275" s="33">
        <f t="shared" si="152"/>
        <v>0</v>
      </c>
      <c r="AU275" s="28"/>
      <c r="AW275" s="519"/>
    </row>
    <row r="276" spans="1:49">
      <c r="A276" s="6">
        <v>269</v>
      </c>
      <c r="B276" s="6" t="s">
        <v>1387</v>
      </c>
      <c r="C276" s="7">
        <v>1</v>
      </c>
      <c r="D276" s="9">
        <v>4685609.0321299993</v>
      </c>
      <c r="E276" s="9">
        <v>3865627</v>
      </c>
      <c r="F276" s="9">
        <v>846957</v>
      </c>
      <c r="G276" s="348"/>
      <c r="H276" s="111">
        <f t="shared" si="153"/>
        <v>846957</v>
      </c>
      <c r="I276" s="9">
        <f t="shared" si="124"/>
        <v>4869362.1741699995</v>
      </c>
      <c r="J276" s="33">
        <f t="shared" si="125"/>
        <v>4017224</v>
      </c>
      <c r="K276" s="9">
        <f t="shared" si="126"/>
        <v>852138</v>
      </c>
      <c r="L276" s="112">
        <f t="shared" si="127"/>
        <v>5181</v>
      </c>
      <c r="M276" s="458">
        <f>ROUND(100-'Townwide Contributions'!L275,2)</f>
        <v>17.5</v>
      </c>
      <c r="N276" s="9">
        <v>401</v>
      </c>
      <c r="O276" s="9">
        <f t="shared" si="128"/>
        <v>402</v>
      </c>
      <c r="P276" s="9">
        <f t="shared" si="129"/>
        <v>1</v>
      </c>
      <c r="Q276" s="28">
        <f t="shared" si="130"/>
        <v>41808</v>
      </c>
      <c r="R276" s="382">
        <f t="shared" si="131"/>
        <v>36627</v>
      </c>
      <c r="S276" s="28">
        <v>846957</v>
      </c>
      <c r="T276" s="33">
        <f t="shared" si="132"/>
        <v>859017</v>
      </c>
      <c r="U276" s="9">
        <f t="shared" si="133"/>
        <v>0</v>
      </c>
      <c r="V276" s="33">
        <f t="shared" si="134"/>
        <v>888765</v>
      </c>
      <c r="W276" s="33">
        <f t="shared" si="135"/>
        <v>0</v>
      </c>
      <c r="X276" s="33">
        <v>0</v>
      </c>
      <c r="Y276" s="113">
        <f t="shared" si="136"/>
        <v>888765</v>
      </c>
      <c r="Z276" s="155">
        <f t="shared" si="137"/>
        <v>18.252185157114408</v>
      </c>
      <c r="AA276" s="33">
        <f t="shared" si="138"/>
        <v>4905989</v>
      </c>
      <c r="AB276" s="114">
        <f t="shared" si="139"/>
        <v>100.75218939400916</v>
      </c>
      <c r="AC276" s="28">
        <f t="shared" si="140"/>
        <v>183753.1420400003</v>
      </c>
      <c r="AD276" s="28">
        <f t="shared" si="141"/>
        <v>41808</v>
      </c>
      <c r="AE276" s="28">
        <f t="shared" si="142"/>
        <v>36626.619520250126</v>
      </c>
      <c r="AF276" s="115">
        <f t="shared" si="143"/>
        <v>0.75218515711440759</v>
      </c>
      <c r="AG276" s="28">
        <f t="shared" si="144"/>
        <v>12112.84</v>
      </c>
      <c r="AI276" s="28">
        <f t="shared" si="145"/>
        <v>0</v>
      </c>
      <c r="AJ276" s="28"/>
      <c r="AK276" s="28">
        <f t="shared" si="146"/>
        <v>104</v>
      </c>
      <c r="AL276" s="156"/>
      <c r="AM276" s="6">
        <f t="shared" si="147"/>
        <v>269</v>
      </c>
      <c r="AN276" s="6" t="str">
        <f t="shared" si="148"/>
        <v xml:space="preserve">Sherborn                     </v>
      </c>
      <c r="AO276" s="6">
        <f t="shared" si="149"/>
        <v>1</v>
      </c>
      <c r="AP276" s="9">
        <f t="shared" si="154"/>
        <v>402</v>
      </c>
      <c r="AQ276" s="9">
        <f t="shared" si="150"/>
        <v>4869362.1741699995</v>
      </c>
      <c r="AR276" s="33">
        <f t="shared" si="151"/>
        <v>4017224</v>
      </c>
      <c r="AS276" s="33">
        <f t="shared" si="152"/>
        <v>888765</v>
      </c>
      <c r="AU276" s="28"/>
      <c r="AV276" s="9"/>
      <c r="AW276" s="519"/>
    </row>
    <row r="277" spans="1:49">
      <c r="A277" s="6">
        <v>270</v>
      </c>
      <c r="B277" s="6" t="s">
        <v>1388</v>
      </c>
      <c r="C277" s="7">
        <v>0</v>
      </c>
      <c r="D277" s="9">
        <v>0</v>
      </c>
      <c r="E277" s="9">
        <v>0</v>
      </c>
      <c r="F277" s="9">
        <v>0</v>
      </c>
      <c r="G277" s="348"/>
      <c r="H277" s="111">
        <f t="shared" si="153"/>
        <v>0</v>
      </c>
      <c r="I277" s="9">
        <f t="shared" si="124"/>
        <v>0</v>
      </c>
      <c r="J277" s="33">
        <f t="shared" si="125"/>
        <v>0</v>
      </c>
      <c r="K277" s="9">
        <f t="shared" si="126"/>
        <v>0</v>
      </c>
      <c r="L277" s="112">
        <f t="shared" si="127"/>
        <v>0</v>
      </c>
      <c r="M277" s="458">
        <f>ROUND(100-'Townwide Contributions'!L276,2)</f>
        <v>36.700000000000003</v>
      </c>
      <c r="N277" s="9">
        <v>0</v>
      </c>
      <c r="O277" s="9">
        <f t="shared" si="128"/>
        <v>0</v>
      </c>
      <c r="P277" s="9">
        <f t="shared" si="129"/>
        <v>0</v>
      </c>
      <c r="Q277" s="28">
        <f t="shared" si="130"/>
        <v>0</v>
      </c>
      <c r="R277" s="382">
        <f t="shared" si="131"/>
        <v>0</v>
      </c>
      <c r="S277" s="28">
        <v>0</v>
      </c>
      <c r="T277" s="33">
        <f t="shared" si="132"/>
        <v>0</v>
      </c>
      <c r="U277" s="9">
        <f t="shared" si="133"/>
        <v>0</v>
      </c>
      <c r="V277" s="33">
        <f t="shared" si="134"/>
        <v>0</v>
      </c>
      <c r="W277" s="33">
        <f t="shared" si="135"/>
        <v>0</v>
      </c>
      <c r="X277" s="33">
        <v>0</v>
      </c>
      <c r="Y277" s="113">
        <f t="shared" si="136"/>
        <v>0</v>
      </c>
      <c r="Z277" s="155">
        <f t="shared" si="137"/>
        <v>0</v>
      </c>
      <c r="AA277" s="33">
        <f t="shared" si="138"/>
        <v>0</v>
      </c>
      <c r="AB277" s="114">
        <f t="shared" si="139"/>
        <v>0</v>
      </c>
      <c r="AC277" s="28">
        <f t="shared" si="140"/>
        <v>0</v>
      </c>
      <c r="AD277" s="28">
        <f t="shared" si="141"/>
        <v>0</v>
      </c>
      <c r="AE277" s="28">
        <f t="shared" si="142"/>
        <v>0</v>
      </c>
      <c r="AF277" s="115" t="str">
        <f t="shared" si="143"/>
        <v/>
      </c>
      <c r="AG277" s="28">
        <f t="shared" si="144"/>
        <v>0</v>
      </c>
      <c r="AI277" s="28">
        <f t="shared" si="145"/>
        <v>0</v>
      </c>
      <c r="AJ277" s="28"/>
      <c r="AK277" s="28">
        <f t="shared" si="146"/>
        <v>0</v>
      </c>
      <c r="AL277" s="156"/>
      <c r="AM277" s="6">
        <f t="shared" si="147"/>
        <v>270</v>
      </c>
      <c r="AN277" s="6" t="str">
        <f t="shared" si="148"/>
        <v xml:space="preserve">Shirley                      </v>
      </c>
      <c r="AO277" s="6">
        <f t="shared" si="149"/>
        <v>0</v>
      </c>
      <c r="AP277" s="9">
        <f t="shared" si="154"/>
        <v>0</v>
      </c>
      <c r="AQ277" s="9">
        <f t="shared" si="150"/>
        <v>0</v>
      </c>
      <c r="AR277" s="33">
        <f t="shared" si="151"/>
        <v>0</v>
      </c>
      <c r="AS277" s="33">
        <f t="shared" si="152"/>
        <v>0</v>
      </c>
      <c r="AU277" s="28"/>
      <c r="AW277" s="519"/>
    </row>
    <row r="278" spans="1:49">
      <c r="A278" s="6">
        <v>271</v>
      </c>
      <c r="B278" s="6" t="s">
        <v>1389</v>
      </c>
      <c r="C278" s="7">
        <v>1</v>
      </c>
      <c r="D278" s="9">
        <v>74633713.99000001</v>
      </c>
      <c r="E278" s="9">
        <v>57993834</v>
      </c>
      <c r="F278" s="9">
        <v>20971468</v>
      </c>
      <c r="G278" s="348"/>
      <c r="H278" s="111">
        <f t="shared" si="153"/>
        <v>20971468</v>
      </c>
      <c r="I278" s="9">
        <f t="shared" si="124"/>
        <v>77754351.169999987</v>
      </c>
      <c r="J278" s="33">
        <f t="shared" si="125"/>
        <v>60858729</v>
      </c>
      <c r="K278" s="9">
        <f t="shared" si="126"/>
        <v>16895622</v>
      </c>
      <c r="L278" s="112">
        <f t="shared" si="127"/>
        <v>0</v>
      </c>
      <c r="M278" s="458">
        <f>ROUND(100-'Townwide Contributions'!L277,2)</f>
        <v>17.5</v>
      </c>
      <c r="N278" s="9">
        <v>5972</v>
      </c>
      <c r="O278" s="9">
        <f t="shared" si="128"/>
        <v>5998</v>
      </c>
      <c r="P278" s="9">
        <f t="shared" si="129"/>
        <v>0</v>
      </c>
      <c r="Q278" s="28">
        <f t="shared" si="130"/>
        <v>623792</v>
      </c>
      <c r="R278" s="382">
        <f t="shared" si="131"/>
        <v>623792</v>
      </c>
      <c r="S278" s="28">
        <v>20971468</v>
      </c>
      <c r="T278" s="33">
        <f t="shared" si="132"/>
        <v>21151408</v>
      </c>
      <c r="U278" s="9">
        <f t="shared" si="133"/>
        <v>0</v>
      </c>
      <c r="V278" s="33">
        <f t="shared" si="134"/>
        <v>21595260</v>
      </c>
      <c r="W278" s="33">
        <f t="shared" si="135"/>
        <v>0</v>
      </c>
      <c r="X278" s="33">
        <v>0</v>
      </c>
      <c r="Y278" s="113">
        <f t="shared" si="136"/>
        <v>21595260</v>
      </c>
      <c r="Z278" s="155">
        <f t="shared" si="137"/>
        <v>27.773699703036186</v>
      </c>
      <c r="AA278" s="33">
        <f t="shared" si="138"/>
        <v>82453989</v>
      </c>
      <c r="AB278" s="114">
        <f t="shared" si="139"/>
        <v>106.04421200779471</v>
      </c>
      <c r="AC278" s="28">
        <f t="shared" si="140"/>
        <v>3120637.1799999774</v>
      </c>
      <c r="AD278" s="28">
        <f t="shared" si="141"/>
        <v>623792</v>
      </c>
      <c r="AE278" s="28">
        <f t="shared" si="142"/>
        <v>7988248.5452500023</v>
      </c>
      <c r="AF278" s="115">
        <f t="shared" si="143"/>
        <v>10.273699703036186</v>
      </c>
      <c r="AG278" s="28">
        <f t="shared" si="144"/>
        <v>12963.38</v>
      </c>
      <c r="AI278" s="28">
        <f t="shared" si="145"/>
        <v>0</v>
      </c>
      <c r="AJ278" s="28"/>
      <c r="AK278" s="28">
        <f t="shared" si="146"/>
        <v>104</v>
      </c>
      <c r="AL278" s="156"/>
      <c r="AM278" s="6">
        <f t="shared" si="147"/>
        <v>271</v>
      </c>
      <c r="AN278" s="6" t="str">
        <f t="shared" si="148"/>
        <v xml:space="preserve">Shrewsbury                   </v>
      </c>
      <c r="AO278" s="6">
        <f t="shared" si="149"/>
        <v>1</v>
      </c>
      <c r="AP278" s="9">
        <f t="shared" si="154"/>
        <v>5998</v>
      </c>
      <c r="AQ278" s="9">
        <f t="shared" si="150"/>
        <v>77754351.169999987</v>
      </c>
      <c r="AR278" s="33">
        <f t="shared" si="151"/>
        <v>60858729</v>
      </c>
      <c r="AS278" s="33">
        <f t="shared" si="152"/>
        <v>21595260</v>
      </c>
      <c r="AU278" s="28"/>
      <c r="AV278" s="9"/>
      <c r="AW278" s="519"/>
    </row>
    <row r="279" spans="1:49">
      <c r="A279" s="6">
        <v>272</v>
      </c>
      <c r="B279" s="6" t="s">
        <v>1390</v>
      </c>
      <c r="C279" s="7">
        <v>1</v>
      </c>
      <c r="D279" s="9">
        <v>1442294.2199999997</v>
      </c>
      <c r="E279" s="9">
        <v>820401</v>
      </c>
      <c r="F279" s="9">
        <v>645986</v>
      </c>
      <c r="G279" s="348"/>
      <c r="H279" s="111">
        <f t="shared" si="153"/>
        <v>645986</v>
      </c>
      <c r="I279" s="9">
        <f t="shared" si="124"/>
        <v>1330308.4500000002</v>
      </c>
      <c r="J279" s="33">
        <f t="shared" si="125"/>
        <v>822355</v>
      </c>
      <c r="K279" s="9">
        <f t="shared" si="126"/>
        <v>507953</v>
      </c>
      <c r="L279" s="112">
        <f t="shared" si="127"/>
        <v>0</v>
      </c>
      <c r="M279" s="458">
        <f>ROUND(100-'Townwide Contributions'!L278,2)</f>
        <v>32.28</v>
      </c>
      <c r="N279" s="9">
        <v>111</v>
      </c>
      <c r="O279" s="9">
        <f t="shared" si="128"/>
        <v>99</v>
      </c>
      <c r="P279" s="9">
        <f t="shared" si="129"/>
        <v>0</v>
      </c>
      <c r="Q279" s="28">
        <f t="shared" si="130"/>
        <v>10296</v>
      </c>
      <c r="R279" s="382">
        <f t="shared" si="131"/>
        <v>10296</v>
      </c>
      <c r="S279" s="28">
        <v>645986</v>
      </c>
      <c r="T279" s="33">
        <f t="shared" si="132"/>
        <v>648956</v>
      </c>
      <c r="U279" s="9">
        <f t="shared" si="133"/>
        <v>0</v>
      </c>
      <c r="V279" s="33">
        <f t="shared" si="134"/>
        <v>656282</v>
      </c>
      <c r="W279" s="33">
        <f t="shared" si="135"/>
        <v>0</v>
      </c>
      <c r="X279" s="33">
        <v>0</v>
      </c>
      <c r="Y279" s="113">
        <f t="shared" si="136"/>
        <v>656282</v>
      </c>
      <c r="Z279" s="155">
        <f t="shared" si="137"/>
        <v>49.333070086114233</v>
      </c>
      <c r="AA279" s="33">
        <f t="shared" si="138"/>
        <v>1478637</v>
      </c>
      <c r="AB279" s="114">
        <f t="shared" si="139"/>
        <v>111.14993669325334</v>
      </c>
      <c r="AC279" s="28">
        <f t="shared" si="140"/>
        <v>-111985.76999999955</v>
      </c>
      <c r="AD279" s="28">
        <f t="shared" si="141"/>
        <v>10296</v>
      </c>
      <c r="AE279" s="28">
        <f t="shared" si="142"/>
        <v>226858.43233999988</v>
      </c>
      <c r="AF279" s="115">
        <f t="shared" si="143"/>
        <v>17.053070086114232</v>
      </c>
      <c r="AG279" s="28">
        <f t="shared" si="144"/>
        <v>13437.46</v>
      </c>
      <c r="AI279" s="28">
        <f t="shared" si="145"/>
        <v>0</v>
      </c>
      <c r="AJ279" s="28"/>
      <c r="AK279" s="28">
        <f t="shared" si="146"/>
        <v>104</v>
      </c>
      <c r="AL279" s="156"/>
      <c r="AM279" s="6">
        <f t="shared" si="147"/>
        <v>272</v>
      </c>
      <c r="AN279" s="6" t="str">
        <f t="shared" si="148"/>
        <v xml:space="preserve">Shutesbury                   </v>
      </c>
      <c r="AO279" s="6">
        <f t="shared" si="149"/>
        <v>1</v>
      </c>
      <c r="AP279" s="9">
        <f t="shared" si="154"/>
        <v>99</v>
      </c>
      <c r="AQ279" s="9">
        <f t="shared" si="150"/>
        <v>1330308.4500000002</v>
      </c>
      <c r="AR279" s="33">
        <f t="shared" si="151"/>
        <v>822355</v>
      </c>
      <c r="AS279" s="33">
        <f t="shared" si="152"/>
        <v>656282</v>
      </c>
      <c r="AU279" s="28"/>
      <c r="AV279" s="9"/>
      <c r="AW279" s="519"/>
    </row>
    <row r="280" spans="1:49">
      <c r="A280" s="6">
        <v>273</v>
      </c>
      <c r="B280" s="6" t="s">
        <v>1391</v>
      </c>
      <c r="C280" s="7">
        <v>1</v>
      </c>
      <c r="D280" s="9">
        <v>21144659.59</v>
      </c>
      <c r="E280" s="9">
        <v>10510731</v>
      </c>
      <c r="F280" s="9">
        <v>10633929</v>
      </c>
      <c r="G280" s="348"/>
      <c r="H280" s="111">
        <f t="shared" si="153"/>
        <v>10633929</v>
      </c>
      <c r="I280" s="9">
        <f t="shared" si="124"/>
        <v>20961593.84</v>
      </c>
      <c r="J280" s="33">
        <f t="shared" si="125"/>
        <v>10906308</v>
      </c>
      <c r="K280" s="9">
        <f t="shared" si="126"/>
        <v>10055286</v>
      </c>
      <c r="L280" s="112">
        <f t="shared" si="127"/>
        <v>0</v>
      </c>
      <c r="M280" s="458">
        <f>ROUND(100-'Townwide Contributions'!L279,2)</f>
        <v>39.97</v>
      </c>
      <c r="N280" s="9">
        <v>1628</v>
      </c>
      <c r="O280" s="9">
        <f t="shared" si="128"/>
        <v>1587</v>
      </c>
      <c r="P280" s="9">
        <f t="shared" si="129"/>
        <v>0</v>
      </c>
      <c r="Q280" s="28">
        <f t="shared" si="130"/>
        <v>165048</v>
      </c>
      <c r="R280" s="382">
        <f t="shared" si="131"/>
        <v>165048</v>
      </c>
      <c r="S280" s="28">
        <v>10633929</v>
      </c>
      <c r="T280" s="33">
        <f t="shared" si="132"/>
        <v>10681539</v>
      </c>
      <c r="U280" s="9">
        <f t="shared" si="133"/>
        <v>0</v>
      </c>
      <c r="V280" s="33">
        <f t="shared" si="134"/>
        <v>10798977</v>
      </c>
      <c r="W280" s="33">
        <f t="shared" si="135"/>
        <v>0</v>
      </c>
      <c r="X280" s="33">
        <v>0</v>
      </c>
      <c r="Y280" s="113">
        <f t="shared" si="136"/>
        <v>10798977</v>
      </c>
      <c r="Z280" s="155">
        <f t="shared" si="137"/>
        <v>51.517919307227643</v>
      </c>
      <c r="AA280" s="33">
        <f t="shared" si="138"/>
        <v>21705285</v>
      </c>
      <c r="AB280" s="114">
        <f t="shared" si="139"/>
        <v>103.54787505986711</v>
      </c>
      <c r="AC280" s="28">
        <f t="shared" si="140"/>
        <v>-183065.75</v>
      </c>
      <c r="AD280" s="28">
        <f t="shared" si="141"/>
        <v>165048</v>
      </c>
      <c r="AE280" s="28">
        <f t="shared" si="142"/>
        <v>2420627.942152</v>
      </c>
      <c r="AF280" s="115">
        <f t="shared" si="143"/>
        <v>11.547919307227644</v>
      </c>
      <c r="AG280" s="28">
        <f t="shared" si="144"/>
        <v>13208.31</v>
      </c>
      <c r="AI280" s="28">
        <f t="shared" si="145"/>
        <v>0</v>
      </c>
      <c r="AJ280" s="28"/>
      <c r="AK280" s="28">
        <f t="shared" si="146"/>
        <v>104</v>
      </c>
      <c r="AL280" s="156"/>
      <c r="AM280" s="6">
        <f t="shared" si="147"/>
        <v>273</v>
      </c>
      <c r="AN280" s="6" t="str">
        <f t="shared" si="148"/>
        <v xml:space="preserve">Somerset                     </v>
      </c>
      <c r="AO280" s="6">
        <f t="shared" si="149"/>
        <v>1</v>
      </c>
      <c r="AP280" s="9">
        <f t="shared" si="154"/>
        <v>1587</v>
      </c>
      <c r="AQ280" s="9">
        <f t="shared" si="150"/>
        <v>20961593.84</v>
      </c>
      <c r="AR280" s="33">
        <f t="shared" si="151"/>
        <v>10906308</v>
      </c>
      <c r="AS280" s="33">
        <f t="shared" si="152"/>
        <v>10798977</v>
      </c>
      <c r="AU280" s="28"/>
      <c r="AV280" s="9"/>
      <c r="AW280" s="519"/>
    </row>
    <row r="281" spans="1:49">
      <c r="A281" s="6">
        <v>274</v>
      </c>
      <c r="B281" s="6" t="s">
        <v>1392</v>
      </c>
      <c r="C281" s="7">
        <v>1</v>
      </c>
      <c r="D281" s="9">
        <v>88070540.975499988</v>
      </c>
      <c r="E281" s="9">
        <v>71896983</v>
      </c>
      <c r="F281" s="9">
        <v>21245048</v>
      </c>
      <c r="G281" s="348"/>
      <c r="H281" s="111">
        <f t="shared" si="153"/>
        <v>21245048</v>
      </c>
      <c r="I281" s="9">
        <f t="shared" si="124"/>
        <v>92273702.112999991</v>
      </c>
      <c r="J281" s="33">
        <f t="shared" si="125"/>
        <v>76125804</v>
      </c>
      <c r="K281" s="9">
        <f t="shared" si="126"/>
        <v>16147898</v>
      </c>
      <c r="L281" s="112">
        <f t="shared" si="127"/>
        <v>0</v>
      </c>
      <c r="M281" s="458">
        <f>ROUND(100-'Townwide Contributions'!L280,2)</f>
        <v>17.5</v>
      </c>
      <c r="N281" s="9">
        <v>5100</v>
      </c>
      <c r="O281" s="9">
        <f t="shared" si="128"/>
        <v>5146</v>
      </c>
      <c r="P281" s="9">
        <f t="shared" si="129"/>
        <v>0</v>
      </c>
      <c r="Q281" s="28">
        <f t="shared" si="130"/>
        <v>535184</v>
      </c>
      <c r="R281" s="382">
        <f t="shared" si="131"/>
        <v>535184</v>
      </c>
      <c r="S281" s="28">
        <v>21245048</v>
      </c>
      <c r="T281" s="33">
        <f t="shared" si="132"/>
        <v>21399428</v>
      </c>
      <c r="U281" s="9">
        <f t="shared" si="133"/>
        <v>0</v>
      </c>
      <c r="V281" s="33">
        <f t="shared" si="134"/>
        <v>21780232</v>
      </c>
      <c r="W281" s="33">
        <f t="shared" si="135"/>
        <v>0</v>
      </c>
      <c r="X281" s="33">
        <v>0</v>
      </c>
      <c r="Y281" s="113">
        <f t="shared" si="136"/>
        <v>21780232</v>
      </c>
      <c r="Z281" s="155">
        <f t="shared" si="137"/>
        <v>23.60394294500891</v>
      </c>
      <c r="AA281" s="33">
        <f t="shared" si="138"/>
        <v>97906036</v>
      </c>
      <c r="AB281" s="114">
        <f t="shared" si="139"/>
        <v>106.1039426814181</v>
      </c>
      <c r="AC281" s="28">
        <f t="shared" si="140"/>
        <v>4203161.137500003</v>
      </c>
      <c r="AD281" s="28">
        <f t="shared" si="141"/>
        <v>535184</v>
      </c>
      <c r="AE281" s="28">
        <f t="shared" si="142"/>
        <v>5632334.1302250028</v>
      </c>
      <c r="AF281" s="115">
        <f t="shared" si="143"/>
        <v>6.1039429450089102</v>
      </c>
      <c r="AG281" s="28">
        <f t="shared" si="144"/>
        <v>17931.150000000001</v>
      </c>
      <c r="AI281" s="28">
        <f t="shared" si="145"/>
        <v>0</v>
      </c>
      <c r="AJ281" s="28"/>
      <c r="AK281" s="28">
        <f t="shared" si="146"/>
        <v>104</v>
      </c>
      <c r="AL281" s="156"/>
      <c r="AM281" s="6">
        <f t="shared" si="147"/>
        <v>274</v>
      </c>
      <c r="AN281" s="6" t="str">
        <f t="shared" si="148"/>
        <v xml:space="preserve">Somerville                   </v>
      </c>
      <c r="AO281" s="6">
        <f t="shared" si="149"/>
        <v>1</v>
      </c>
      <c r="AP281" s="9">
        <f t="shared" si="154"/>
        <v>5146</v>
      </c>
      <c r="AQ281" s="9">
        <f t="shared" si="150"/>
        <v>92273702.112999991</v>
      </c>
      <c r="AR281" s="33">
        <f t="shared" si="151"/>
        <v>76125804</v>
      </c>
      <c r="AS281" s="33">
        <f t="shared" si="152"/>
        <v>21780232</v>
      </c>
      <c r="AU281" s="28"/>
      <c r="AV281" s="9"/>
      <c r="AW281" s="519"/>
    </row>
    <row r="282" spans="1:49">
      <c r="A282" s="6">
        <v>275</v>
      </c>
      <c r="B282" s="6" t="s">
        <v>1393</v>
      </c>
      <c r="C282" s="7">
        <v>1</v>
      </c>
      <c r="D282" s="9">
        <v>6284662</v>
      </c>
      <c r="E282" s="9">
        <v>4309371</v>
      </c>
      <c r="F282" s="9">
        <v>2623246</v>
      </c>
      <c r="G282" s="348"/>
      <c r="H282" s="111">
        <f t="shared" si="153"/>
        <v>2623246</v>
      </c>
      <c r="I282" s="9">
        <f t="shared" si="124"/>
        <v>6090235.1399999997</v>
      </c>
      <c r="J282" s="33">
        <f t="shared" si="125"/>
        <v>4421614</v>
      </c>
      <c r="K282" s="9">
        <f t="shared" si="126"/>
        <v>1668621</v>
      </c>
      <c r="L282" s="112">
        <f t="shared" si="127"/>
        <v>0</v>
      </c>
      <c r="M282" s="458">
        <f>ROUND(100-'Townwide Contributions'!L281,2)</f>
        <v>18.940000000000001</v>
      </c>
      <c r="N282" s="9">
        <v>492</v>
      </c>
      <c r="O282" s="9">
        <f t="shared" si="128"/>
        <v>463</v>
      </c>
      <c r="P282" s="9">
        <f t="shared" si="129"/>
        <v>0</v>
      </c>
      <c r="Q282" s="28">
        <f t="shared" si="130"/>
        <v>48152</v>
      </c>
      <c r="R282" s="382">
        <f t="shared" si="131"/>
        <v>48152</v>
      </c>
      <c r="S282" s="28">
        <v>2623246</v>
      </c>
      <c r="T282" s="33">
        <f t="shared" si="132"/>
        <v>2637136</v>
      </c>
      <c r="U282" s="9">
        <f t="shared" si="133"/>
        <v>0</v>
      </c>
      <c r="V282" s="33">
        <f t="shared" si="134"/>
        <v>2671398</v>
      </c>
      <c r="W282" s="33">
        <f t="shared" si="135"/>
        <v>0</v>
      </c>
      <c r="X282" s="33">
        <v>0</v>
      </c>
      <c r="Y282" s="113">
        <f t="shared" si="136"/>
        <v>2671398</v>
      </c>
      <c r="Z282" s="155">
        <f t="shared" si="137"/>
        <v>43.863626585688777</v>
      </c>
      <c r="AA282" s="33">
        <f t="shared" si="138"/>
        <v>7093012</v>
      </c>
      <c r="AB282" s="114">
        <f t="shared" si="139"/>
        <v>116.46532255238999</v>
      </c>
      <c r="AC282" s="28">
        <f t="shared" si="140"/>
        <v>-194426.86000000034</v>
      </c>
      <c r="AD282" s="28">
        <f t="shared" si="141"/>
        <v>48152</v>
      </c>
      <c r="AE282" s="28">
        <f t="shared" si="142"/>
        <v>1517907.4644839999</v>
      </c>
      <c r="AF282" s="115">
        <f t="shared" si="143"/>
        <v>24.923626585688776</v>
      </c>
      <c r="AG282" s="28">
        <f t="shared" si="144"/>
        <v>13153.86</v>
      </c>
      <c r="AI282" s="28">
        <f t="shared" si="145"/>
        <v>0</v>
      </c>
      <c r="AJ282" s="28"/>
      <c r="AK282" s="28">
        <f t="shared" si="146"/>
        <v>104</v>
      </c>
      <c r="AL282" s="156"/>
      <c r="AM282" s="6">
        <f t="shared" si="147"/>
        <v>275</v>
      </c>
      <c r="AN282" s="6" t="str">
        <f t="shared" si="148"/>
        <v xml:space="preserve">Southampton                  </v>
      </c>
      <c r="AO282" s="6">
        <f t="shared" si="149"/>
        <v>1</v>
      </c>
      <c r="AP282" s="9">
        <f t="shared" si="154"/>
        <v>463</v>
      </c>
      <c r="AQ282" s="9">
        <f t="shared" si="150"/>
        <v>6090235.1399999997</v>
      </c>
      <c r="AR282" s="33">
        <f t="shared" si="151"/>
        <v>4421614</v>
      </c>
      <c r="AS282" s="33">
        <f t="shared" si="152"/>
        <v>2671398</v>
      </c>
      <c r="AU282" s="28"/>
      <c r="AV282" s="9"/>
      <c r="AW282" s="519"/>
    </row>
    <row r="283" spans="1:49">
      <c r="A283" s="6">
        <v>276</v>
      </c>
      <c r="B283" s="6" t="s">
        <v>1394</v>
      </c>
      <c r="C283" s="7">
        <v>1</v>
      </c>
      <c r="D283" s="9">
        <v>14230837.126399998</v>
      </c>
      <c r="E283" s="9">
        <v>11416440</v>
      </c>
      <c r="F283" s="9">
        <v>3163171</v>
      </c>
      <c r="G283" s="348"/>
      <c r="H283" s="111">
        <f t="shared" si="153"/>
        <v>3163171</v>
      </c>
      <c r="I283" s="9">
        <f t="shared" si="124"/>
        <v>14839839.35713</v>
      </c>
      <c r="J283" s="33">
        <f t="shared" si="125"/>
        <v>12011425</v>
      </c>
      <c r="K283" s="9">
        <f t="shared" si="126"/>
        <v>2828414</v>
      </c>
      <c r="L283" s="112">
        <f t="shared" si="127"/>
        <v>0</v>
      </c>
      <c r="M283" s="458">
        <f>ROUND(100-'Townwide Contributions'!L282,2)</f>
        <v>17.5</v>
      </c>
      <c r="N283" s="9">
        <v>1200</v>
      </c>
      <c r="O283" s="9">
        <f t="shared" si="128"/>
        <v>1223</v>
      </c>
      <c r="P283" s="9">
        <f t="shared" si="129"/>
        <v>0</v>
      </c>
      <c r="Q283" s="28">
        <f t="shared" si="130"/>
        <v>127192</v>
      </c>
      <c r="R283" s="382">
        <f t="shared" si="131"/>
        <v>127192</v>
      </c>
      <c r="S283" s="28">
        <v>3163171</v>
      </c>
      <c r="T283" s="33">
        <f t="shared" si="132"/>
        <v>3199861</v>
      </c>
      <c r="U283" s="9">
        <f t="shared" si="133"/>
        <v>0</v>
      </c>
      <c r="V283" s="33">
        <f t="shared" si="134"/>
        <v>3290363</v>
      </c>
      <c r="W283" s="33">
        <f t="shared" si="135"/>
        <v>0</v>
      </c>
      <c r="X283" s="33">
        <v>0</v>
      </c>
      <c r="Y283" s="113">
        <f t="shared" si="136"/>
        <v>3290363</v>
      </c>
      <c r="Z283" s="155">
        <f t="shared" si="137"/>
        <v>22.172497429489361</v>
      </c>
      <c r="AA283" s="33">
        <f t="shared" si="138"/>
        <v>15301788</v>
      </c>
      <c r="AB283" s="114">
        <f t="shared" si="139"/>
        <v>103.11289517192819</v>
      </c>
      <c r="AC283" s="28">
        <f t="shared" si="140"/>
        <v>609002.23073000275</v>
      </c>
      <c r="AD283" s="28">
        <f t="shared" si="141"/>
        <v>127192</v>
      </c>
      <c r="AE283" s="28">
        <f t="shared" si="142"/>
        <v>693391.11250224989</v>
      </c>
      <c r="AF283" s="115">
        <f t="shared" si="143"/>
        <v>4.6724974294893613</v>
      </c>
      <c r="AG283" s="28">
        <f t="shared" si="144"/>
        <v>12133.97</v>
      </c>
      <c r="AI283" s="28">
        <f t="shared" si="145"/>
        <v>0</v>
      </c>
      <c r="AJ283" s="28"/>
      <c r="AK283" s="28">
        <f t="shared" si="146"/>
        <v>104</v>
      </c>
      <c r="AL283" s="156"/>
      <c r="AM283" s="6">
        <f t="shared" si="147"/>
        <v>276</v>
      </c>
      <c r="AN283" s="6" t="str">
        <f t="shared" si="148"/>
        <v xml:space="preserve">Southborough                 </v>
      </c>
      <c r="AO283" s="6">
        <f t="shared" si="149"/>
        <v>1</v>
      </c>
      <c r="AP283" s="9">
        <f t="shared" si="154"/>
        <v>1223</v>
      </c>
      <c r="AQ283" s="9">
        <f t="shared" si="150"/>
        <v>14839839.35713</v>
      </c>
      <c r="AR283" s="33">
        <f t="shared" si="151"/>
        <v>12011425</v>
      </c>
      <c r="AS283" s="33">
        <f t="shared" si="152"/>
        <v>3290363</v>
      </c>
      <c r="AU283" s="28"/>
      <c r="AV283" s="9"/>
      <c r="AW283" s="519"/>
    </row>
    <row r="284" spans="1:49">
      <c r="A284" s="6">
        <v>277</v>
      </c>
      <c r="B284" s="6" t="s">
        <v>1395</v>
      </c>
      <c r="C284" s="7">
        <v>1</v>
      </c>
      <c r="D284" s="9">
        <v>38095220.899999999</v>
      </c>
      <c r="E284" s="9">
        <v>9107735</v>
      </c>
      <c r="F284" s="9">
        <v>28987486</v>
      </c>
      <c r="G284" s="348"/>
      <c r="H284" s="111">
        <f t="shared" si="153"/>
        <v>28987486</v>
      </c>
      <c r="I284" s="9">
        <f t="shared" si="124"/>
        <v>41980389.5</v>
      </c>
      <c r="J284" s="33">
        <f t="shared" si="125"/>
        <v>9707895</v>
      </c>
      <c r="K284" s="9">
        <f t="shared" si="126"/>
        <v>32272495</v>
      </c>
      <c r="L284" s="112">
        <f t="shared" si="127"/>
        <v>3285009</v>
      </c>
      <c r="M284" s="458">
        <f>ROUND(100-'Townwide Contributions'!L283,2)</f>
        <v>74.540000000000006</v>
      </c>
      <c r="N284" s="9">
        <v>2165</v>
      </c>
      <c r="O284" s="9">
        <f t="shared" si="128"/>
        <v>2248</v>
      </c>
      <c r="P284" s="9">
        <f t="shared" si="129"/>
        <v>1</v>
      </c>
      <c r="Q284" s="28">
        <f t="shared" si="130"/>
        <v>233792</v>
      </c>
      <c r="R284" s="382">
        <f t="shared" si="131"/>
        <v>0</v>
      </c>
      <c r="S284" s="28">
        <v>28987486</v>
      </c>
      <c r="T284" s="33">
        <f t="shared" si="132"/>
        <v>29054926</v>
      </c>
      <c r="U284" s="9">
        <f t="shared" si="133"/>
        <v>0</v>
      </c>
      <c r="V284" s="33">
        <f t="shared" si="134"/>
        <v>32272495</v>
      </c>
      <c r="W284" s="33">
        <f t="shared" si="135"/>
        <v>0</v>
      </c>
      <c r="X284" s="33">
        <v>0</v>
      </c>
      <c r="Y284" s="113">
        <f t="shared" si="136"/>
        <v>32272495</v>
      </c>
      <c r="Z284" s="155">
        <f t="shared" si="137"/>
        <v>76.875168106765656</v>
      </c>
      <c r="AA284" s="33">
        <f t="shared" si="138"/>
        <v>41980390</v>
      </c>
      <c r="AB284" s="114">
        <f t="shared" si="139"/>
        <v>100.0000011910323</v>
      </c>
      <c r="AC284" s="28">
        <f t="shared" si="140"/>
        <v>3885168.6000000015</v>
      </c>
      <c r="AD284" s="28">
        <f t="shared" si="141"/>
        <v>3285009</v>
      </c>
      <c r="AE284" s="28">
        <f t="shared" si="142"/>
        <v>980312.66669999808</v>
      </c>
      <c r="AF284" s="115">
        <f t="shared" si="143"/>
        <v>2.33516810676565</v>
      </c>
      <c r="AG284" s="28">
        <f t="shared" si="144"/>
        <v>18674.55</v>
      </c>
      <c r="AI284" s="28">
        <f t="shared" si="145"/>
        <v>0</v>
      </c>
      <c r="AJ284" s="28"/>
      <c r="AK284" s="28">
        <f t="shared" si="146"/>
        <v>1461.3029359430604</v>
      </c>
      <c r="AL284" s="156"/>
      <c r="AM284" s="6">
        <f t="shared" si="147"/>
        <v>277</v>
      </c>
      <c r="AN284" s="6" t="str">
        <f t="shared" si="148"/>
        <v xml:space="preserve">Southbridge                  </v>
      </c>
      <c r="AO284" s="6">
        <f t="shared" si="149"/>
        <v>1</v>
      </c>
      <c r="AP284" s="9">
        <f t="shared" si="154"/>
        <v>2248</v>
      </c>
      <c r="AQ284" s="9">
        <f t="shared" si="150"/>
        <v>41980389.5</v>
      </c>
      <c r="AR284" s="33">
        <f t="shared" si="151"/>
        <v>9707895</v>
      </c>
      <c r="AS284" s="33">
        <f t="shared" si="152"/>
        <v>32272495</v>
      </c>
      <c r="AU284" s="28"/>
      <c r="AV284" s="9"/>
      <c r="AW284" s="519"/>
    </row>
    <row r="285" spans="1:49">
      <c r="A285" s="6">
        <v>278</v>
      </c>
      <c r="B285" s="6" t="s">
        <v>1396</v>
      </c>
      <c r="C285" s="7">
        <v>1</v>
      </c>
      <c r="D285" s="9">
        <v>25928069.819999997</v>
      </c>
      <c r="E285" s="9">
        <v>15249839</v>
      </c>
      <c r="F285" s="9">
        <v>10678231</v>
      </c>
      <c r="G285" s="348"/>
      <c r="H285" s="111">
        <f t="shared" si="153"/>
        <v>10678231</v>
      </c>
      <c r="I285" s="9">
        <f t="shared" si="124"/>
        <v>26078106.460000001</v>
      </c>
      <c r="J285" s="33">
        <f t="shared" si="125"/>
        <v>15934556</v>
      </c>
      <c r="K285" s="9">
        <f t="shared" si="126"/>
        <v>10143550</v>
      </c>
      <c r="L285" s="112">
        <f t="shared" si="127"/>
        <v>0</v>
      </c>
      <c r="M285" s="458">
        <f>ROUND(100-'Townwide Contributions'!L284,2)</f>
        <v>32.880000000000003</v>
      </c>
      <c r="N285" s="9">
        <v>1859</v>
      </c>
      <c r="O285" s="9">
        <f t="shared" si="128"/>
        <v>1817</v>
      </c>
      <c r="P285" s="9">
        <f t="shared" si="129"/>
        <v>0</v>
      </c>
      <c r="Q285" s="28">
        <f t="shared" si="130"/>
        <v>188968</v>
      </c>
      <c r="R285" s="382">
        <f t="shared" si="131"/>
        <v>188968</v>
      </c>
      <c r="S285" s="28">
        <v>10678231</v>
      </c>
      <c r="T285" s="33">
        <f t="shared" si="132"/>
        <v>10732741</v>
      </c>
      <c r="U285" s="9">
        <f t="shared" si="133"/>
        <v>0</v>
      </c>
      <c r="V285" s="33">
        <f t="shared" si="134"/>
        <v>10867199</v>
      </c>
      <c r="W285" s="33">
        <f t="shared" si="135"/>
        <v>0</v>
      </c>
      <c r="X285" s="33">
        <v>0</v>
      </c>
      <c r="Y285" s="113">
        <f t="shared" si="136"/>
        <v>10867199</v>
      </c>
      <c r="Z285" s="155">
        <f t="shared" si="137"/>
        <v>41.671733400846009</v>
      </c>
      <c r="AA285" s="33">
        <f t="shared" si="138"/>
        <v>26801755</v>
      </c>
      <c r="AB285" s="114">
        <f t="shared" si="139"/>
        <v>102.77492747071176</v>
      </c>
      <c r="AC285" s="28">
        <f t="shared" si="140"/>
        <v>150036.64000000432</v>
      </c>
      <c r="AD285" s="28">
        <f t="shared" si="141"/>
        <v>188968</v>
      </c>
      <c r="AE285" s="28">
        <f t="shared" si="142"/>
        <v>2292717.5959519986</v>
      </c>
      <c r="AF285" s="115">
        <f t="shared" si="143"/>
        <v>8.791733400846006</v>
      </c>
      <c r="AG285" s="28">
        <f t="shared" si="144"/>
        <v>14352.29</v>
      </c>
      <c r="AI285" s="28">
        <f t="shared" si="145"/>
        <v>0</v>
      </c>
      <c r="AJ285" s="28"/>
      <c r="AK285" s="28">
        <f t="shared" si="146"/>
        <v>104</v>
      </c>
      <c r="AL285" s="156"/>
      <c r="AM285" s="6">
        <f t="shared" si="147"/>
        <v>278</v>
      </c>
      <c r="AN285" s="6" t="str">
        <f t="shared" si="148"/>
        <v xml:space="preserve">South Hadley                 </v>
      </c>
      <c r="AO285" s="6">
        <f t="shared" si="149"/>
        <v>1</v>
      </c>
      <c r="AP285" s="9">
        <f t="shared" si="154"/>
        <v>1817</v>
      </c>
      <c r="AQ285" s="9">
        <f t="shared" si="150"/>
        <v>26078106.460000001</v>
      </c>
      <c r="AR285" s="33">
        <f t="shared" si="151"/>
        <v>15934556</v>
      </c>
      <c r="AS285" s="33">
        <f t="shared" si="152"/>
        <v>10867199</v>
      </c>
      <c r="AU285" s="28"/>
      <c r="AV285" s="9"/>
      <c r="AW285" s="519"/>
    </row>
    <row r="286" spans="1:49">
      <c r="A286" s="6">
        <v>279</v>
      </c>
      <c r="B286" s="6" t="s">
        <v>1397</v>
      </c>
      <c r="C286" s="7">
        <v>0</v>
      </c>
      <c r="D286" s="9">
        <v>0</v>
      </c>
      <c r="E286" s="9">
        <v>0</v>
      </c>
      <c r="F286" s="9">
        <v>0</v>
      </c>
      <c r="G286" s="348"/>
      <c r="H286" s="111">
        <f t="shared" si="153"/>
        <v>0</v>
      </c>
      <c r="I286" s="9">
        <f t="shared" si="124"/>
        <v>0</v>
      </c>
      <c r="J286" s="33">
        <f t="shared" si="125"/>
        <v>0</v>
      </c>
      <c r="K286" s="9">
        <f t="shared" si="126"/>
        <v>0</v>
      </c>
      <c r="L286" s="112">
        <f t="shared" si="127"/>
        <v>0</v>
      </c>
      <c r="M286" s="458">
        <f>ROUND(100-'Townwide Contributions'!L285,2)</f>
        <v>28.37</v>
      </c>
      <c r="N286" s="9">
        <v>0</v>
      </c>
      <c r="O286" s="9">
        <f t="shared" si="128"/>
        <v>0</v>
      </c>
      <c r="P286" s="9">
        <f t="shared" si="129"/>
        <v>0</v>
      </c>
      <c r="Q286" s="28">
        <f t="shared" si="130"/>
        <v>0</v>
      </c>
      <c r="R286" s="382">
        <f t="shared" si="131"/>
        <v>0</v>
      </c>
      <c r="S286" s="28">
        <v>0</v>
      </c>
      <c r="T286" s="33">
        <f t="shared" si="132"/>
        <v>0</v>
      </c>
      <c r="U286" s="9">
        <f t="shared" si="133"/>
        <v>0</v>
      </c>
      <c r="V286" s="33">
        <f t="shared" si="134"/>
        <v>0</v>
      </c>
      <c r="W286" s="33">
        <f t="shared" si="135"/>
        <v>0</v>
      </c>
      <c r="X286" s="33">
        <v>0</v>
      </c>
      <c r="Y286" s="113">
        <f t="shared" si="136"/>
        <v>0</v>
      </c>
      <c r="Z286" s="155">
        <f t="shared" si="137"/>
        <v>0</v>
      </c>
      <c r="AA286" s="33">
        <f t="shared" si="138"/>
        <v>0</v>
      </c>
      <c r="AB286" s="114">
        <f t="shared" si="139"/>
        <v>0</v>
      </c>
      <c r="AC286" s="28">
        <f t="shared" si="140"/>
        <v>0</v>
      </c>
      <c r="AD286" s="28">
        <f t="shared" si="141"/>
        <v>0</v>
      </c>
      <c r="AE286" s="28">
        <f t="shared" si="142"/>
        <v>0</v>
      </c>
      <c r="AF286" s="115" t="str">
        <f t="shared" si="143"/>
        <v/>
      </c>
      <c r="AG286" s="28">
        <f t="shared" si="144"/>
        <v>0</v>
      </c>
      <c r="AI286" s="28">
        <f t="shared" si="145"/>
        <v>0</v>
      </c>
      <c r="AJ286" s="28"/>
      <c r="AK286" s="28">
        <f t="shared" si="146"/>
        <v>0</v>
      </c>
      <c r="AL286" s="156"/>
      <c r="AM286" s="6">
        <f t="shared" si="147"/>
        <v>279</v>
      </c>
      <c r="AN286" s="6" t="str">
        <f t="shared" si="148"/>
        <v xml:space="preserve">Southwick                    </v>
      </c>
      <c r="AO286" s="6">
        <f t="shared" si="149"/>
        <v>0</v>
      </c>
      <c r="AP286" s="9">
        <f t="shared" si="154"/>
        <v>0</v>
      </c>
      <c r="AQ286" s="9">
        <f t="shared" si="150"/>
        <v>0</v>
      </c>
      <c r="AR286" s="33">
        <f t="shared" si="151"/>
        <v>0</v>
      </c>
      <c r="AS286" s="33">
        <f t="shared" si="152"/>
        <v>0</v>
      </c>
      <c r="AU286" s="28"/>
      <c r="AW286" s="519"/>
    </row>
    <row r="287" spans="1:49">
      <c r="A287" s="6">
        <v>280</v>
      </c>
      <c r="B287" s="6" t="s">
        <v>1398</v>
      </c>
      <c r="C287" s="7">
        <v>0</v>
      </c>
      <c r="D287" s="9">
        <v>65963.040000000008</v>
      </c>
      <c r="E287" s="9">
        <v>30103</v>
      </c>
      <c r="F287" s="9">
        <v>35860</v>
      </c>
      <c r="G287" s="348"/>
      <c r="H287" s="111">
        <f t="shared" si="153"/>
        <v>35860</v>
      </c>
      <c r="I287" s="9">
        <f t="shared" si="124"/>
        <v>67441.320000000007</v>
      </c>
      <c r="J287" s="33">
        <f t="shared" si="125"/>
        <v>30010</v>
      </c>
      <c r="K287" s="9">
        <f t="shared" si="126"/>
        <v>37431</v>
      </c>
      <c r="L287" s="112">
        <f t="shared" si="127"/>
        <v>1571</v>
      </c>
      <c r="M287" s="458">
        <f>ROUND(100-'Townwide Contributions'!L286,2)</f>
        <v>50.54</v>
      </c>
      <c r="N287" s="9">
        <v>4</v>
      </c>
      <c r="O287" s="9">
        <f t="shared" si="128"/>
        <v>4</v>
      </c>
      <c r="P287" s="9">
        <f t="shared" si="129"/>
        <v>0</v>
      </c>
      <c r="Q287" s="28">
        <f t="shared" si="130"/>
        <v>0</v>
      </c>
      <c r="R287" s="382">
        <f t="shared" si="131"/>
        <v>0</v>
      </c>
      <c r="S287" s="28">
        <v>35860</v>
      </c>
      <c r="T287" s="33">
        <f t="shared" si="132"/>
        <v>35980</v>
      </c>
      <c r="U287" s="9">
        <f t="shared" si="133"/>
        <v>0</v>
      </c>
      <c r="V287" s="33">
        <f t="shared" si="134"/>
        <v>37431</v>
      </c>
      <c r="W287" s="33">
        <f t="shared" si="135"/>
        <v>0</v>
      </c>
      <c r="X287" s="33">
        <v>0</v>
      </c>
      <c r="Y287" s="113">
        <f t="shared" si="136"/>
        <v>37431</v>
      </c>
      <c r="Z287" s="155">
        <f t="shared" si="137"/>
        <v>0</v>
      </c>
      <c r="AA287" s="33">
        <f t="shared" si="138"/>
        <v>67441</v>
      </c>
      <c r="AB287" s="114">
        <f t="shared" si="139"/>
        <v>99.999525513438925</v>
      </c>
      <c r="AC287" s="28">
        <f t="shared" si="140"/>
        <v>1478.2799999999988</v>
      </c>
      <c r="AD287" s="28">
        <f t="shared" si="141"/>
        <v>1571</v>
      </c>
      <c r="AE287" s="28">
        <f t="shared" si="142"/>
        <v>3346.1568719999996</v>
      </c>
      <c r="AF287" s="115" t="str">
        <f t="shared" si="143"/>
        <v/>
      </c>
      <c r="AG287" s="28">
        <f t="shared" si="144"/>
        <v>16860.330000000002</v>
      </c>
      <c r="AI287" s="28">
        <f t="shared" si="145"/>
        <v>0</v>
      </c>
      <c r="AJ287" s="28"/>
      <c r="AK287" s="28">
        <f t="shared" si="146"/>
        <v>392.75</v>
      </c>
      <c r="AL287" s="156"/>
      <c r="AM287" s="6">
        <f t="shared" si="147"/>
        <v>280</v>
      </c>
      <c r="AN287" s="6" t="str">
        <f t="shared" si="148"/>
        <v xml:space="preserve">Spencer                      </v>
      </c>
      <c r="AO287" s="6">
        <f t="shared" si="149"/>
        <v>0</v>
      </c>
      <c r="AP287" s="9">
        <f t="shared" si="154"/>
        <v>4</v>
      </c>
      <c r="AQ287" s="9">
        <f t="shared" si="150"/>
        <v>67441.320000000007</v>
      </c>
      <c r="AR287" s="33">
        <f t="shared" si="151"/>
        <v>30010</v>
      </c>
      <c r="AS287" s="33">
        <f t="shared" si="152"/>
        <v>37431</v>
      </c>
      <c r="AU287" s="28"/>
      <c r="AV287" s="9"/>
      <c r="AW287" s="519"/>
    </row>
    <row r="288" spans="1:49">
      <c r="A288" s="6">
        <v>281</v>
      </c>
      <c r="B288" s="6" t="s">
        <v>1399</v>
      </c>
      <c r="C288" s="7">
        <v>1</v>
      </c>
      <c r="D288" s="9">
        <v>525763852.88000005</v>
      </c>
      <c r="E288" s="9">
        <v>48026085</v>
      </c>
      <c r="F288" s="9">
        <v>477737768</v>
      </c>
      <c r="G288" s="348"/>
      <c r="H288" s="111">
        <f t="shared" si="153"/>
        <v>477737768</v>
      </c>
      <c r="I288" s="9">
        <f t="shared" si="124"/>
        <v>557622637.52999997</v>
      </c>
      <c r="J288" s="33">
        <f t="shared" si="125"/>
        <v>51503174</v>
      </c>
      <c r="K288" s="9">
        <f t="shared" si="126"/>
        <v>506119464</v>
      </c>
      <c r="L288" s="112">
        <f t="shared" si="127"/>
        <v>28381696</v>
      </c>
      <c r="M288" s="458">
        <f>ROUND(100-'Townwide Contributions'!L287,2)</f>
        <v>84.43</v>
      </c>
      <c r="N288" s="9">
        <v>28326</v>
      </c>
      <c r="O288" s="9">
        <f t="shared" si="128"/>
        <v>28394</v>
      </c>
      <c r="P288" s="9">
        <f t="shared" si="129"/>
        <v>1</v>
      </c>
      <c r="Q288" s="28">
        <f t="shared" si="130"/>
        <v>2952976</v>
      </c>
      <c r="R288" s="382">
        <f t="shared" si="131"/>
        <v>0</v>
      </c>
      <c r="S288" s="28">
        <v>477737768</v>
      </c>
      <c r="T288" s="33">
        <f t="shared" si="132"/>
        <v>478589588</v>
      </c>
      <c r="U288" s="9">
        <f t="shared" si="133"/>
        <v>0</v>
      </c>
      <c r="V288" s="33">
        <f t="shared" si="134"/>
        <v>506119464</v>
      </c>
      <c r="W288" s="33">
        <f t="shared" si="135"/>
        <v>0</v>
      </c>
      <c r="X288" s="33">
        <v>0</v>
      </c>
      <c r="Y288" s="113">
        <f t="shared" si="136"/>
        <v>506119464</v>
      </c>
      <c r="Z288" s="155">
        <f t="shared" si="137"/>
        <v>90.763794354164986</v>
      </c>
      <c r="AA288" s="33">
        <f t="shared" si="138"/>
        <v>557622638</v>
      </c>
      <c r="AB288" s="114">
        <f t="shared" si="139"/>
        <v>100.0000000842864</v>
      </c>
      <c r="AC288" s="28">
        <f t="shared" si="140"/>
        <v>31858784.649999917</v>
      </c>
      <c r="AD288" s="28">
        <f t="shared" si="141"/>
        <v>28381696</v>
      </c>
      <c r="AE288" s="28">
        <f t="shared" si="142"/>
        <v>35318671.133421004</v>
      </c>
      <c r="AF288" s="115">
        <f t="shared" si="143"/>
        <v>6.3337943541649793</v>
      </c>
      <c r="AG288" s="28">
        <f t="shared" si="144"/>
        <v>19638.75</v>
      </c>
      <c r="AI288" s="28">
        <f t="shared" si="145"/>
        <v>0</v>
      </c>
      <c r="AJ288" s="28"/>
      <c r="AK288" s="28">
        <f t="shared" si="146"/>
        <v>999.5666690145805</v>
      </c>
      <c r="AL288" s="156"/>
      <c r="AM288" s="6">
        <f t="shared" si="147"/>
        <v>281</v>
      </c>
      <c r="AN288" s="6" t="str">
        <f t="shared" si="148"/>
        <v xml:space="preserve">Springfield                  </v>
      </c>
      <c r="AO288" s="6">
        <f t="shared" si="149"/>
        <v>1</v>
      </c>
      <c r="AP288" s="9">
        <f t="shared" si="154"/>
        <v>28394</v>
      </c>
      <c r="AQ288" s="9">
        <f t="shared" si="150"/>
        <v>557622637.52999997</v>
      </c>
      <c r="AR288" s="33">
        <f t="shared" si="151"/>
        <v>51503174</v>
      </c>
      <c r="AS288" s="33">
        <f t="shared" si="152"/>
        <v>506119464</v>
      </c>
      <c r="AU288" s="28"/>
      <c r="AV288" s="9"/>
      <c r="AW288" s="519"/>
    </row>
    <row r="289" spans="1:49">
      <c r="A289" s="6">
        <v>282</v>
      </c>
      <c r="B289" s="6" t="s">
        <v>1400</v>
      </c>
      <c r="C289" s="7">
        <v>0</v>
      </c>
      <c r="D289" s="9">
        <v>16490.760000000002</v>
      </c>
      <c r="E289" s="9">
        <v>13193</v>
      </c>
      <c r="F289" s="9">
        <v>6178</v>
      </c>
      <c r="G289" s="348"/>
      <c r="H289" s="111">
        <f t="shared" si="153"/>
        <v>6178</v>
      </c>
      <c r="I289" s="9">
        <f t="shared" si="124"/>
        <v>16860.330000000002</v>
      </c>
      <c r="J289" s="33">
        <f t="shared" si="125"/>
        <v>13853</v>
      </c>
      <c r="K289" s="9">
        <f t="shared" si="126"/>
        <v>3007</v>
      </c>
      <c r="L289" s="112">
        <f t="shared" si="127"/>
        <v>0</v>
      </c>
      <c r="M289" s="458">
        <f>ROUND(100-'Townwide Contributions'!L288,2)</f>
        <v>17.5</v>
      </c>
      <c r="N289" s="9">
        <v>1</v>
      </c>
      <c r="O289" s="9">
        <f t="shared" si="128"/>
        <v>1</v>
      </c>
      <c r="P289" s="9">
        <f t="shared" si="129"/>
        <v>0</v>
      </c>
      <c r="Q289" s="28">
        <f t="shared" si="130"/>
        <v>0</v>
      </c>
      <c r="R289" s="382">
        <f t="shared" si="131"/>
        <v>0</v>
      </c>
      <c r="S289" s="28">
        <v>6178</v>
      </c>
      <c r="T289" s="33">
        <f t="shared" si="132"/>
        <v>6208</v>
      </c>
      <c r="U289" s="9">
        <f t="shared" si="133"/>
        <v>0</v>
      </c>
      <c r="V289" s="33">
        <f t="shared" si="134"/>
        <v>6178</v>
      </c>
      <c r="W289" s="33">
        <f t="shared" si="135"/>
        <v>0</v>
      </c>
      <c r="X289" s="33">
        <v>0</v>
      </c>
      <c r="Y289" s="113">
        <f t="shared" si="136"/>
        <v>6178</v>
      </c>
      <c r="Z289" s="155">
        <f t="shared" si="137"/>
        <v>0</v>
      </c>
      <c r="AA289" s="33">
        <f t="shared" si="138"/>
        <v>20031</v>
      </c>
      <c r="AB289" s="114">
        <f t="shared" si="139"/>
        <v>118.80550380686498</v>
      </c>
      <c r="AC289" s="28">
        <f t="shared" si="140"/>
        <v>369.56999999999971</v>
      </c>
      <c r="AD289" s="28">
        <f t="shared" si="141"/>
        <v>0</v>
      </c>
      <c r="AE289" s="28">
        <f t="shared" si="142"/>
        <v>3227.4422500000001</v>
      </c>
      <c r="AF289" s="115" t="str">
        <f t="shared" si="143"/>
        <v/>
      </c>
      <c r="AG289" s="28">
        <f t="shared" si="144"/>
        <v>16860.330000000002</v>
      </c>
      <c r="AI289" s="28">
        <f t="shared" si="145"/>
        <v>0</v>
      </c>
      <c r="AJ289" s="28"/>
      <c r="AK289" s="28">
        <f t="shared" si="146"/>
        <v>0</v>
      </c>
      <c r="AL289" s="156"/>
      <c r="AM289" s="6">
        <f t="shared" si="147"/>
        <v>282</v>
      </c>
      <c r="AN289" s="6" t="str">
        <f t="shared" si="148"/>
        <v xml:space="preserve">Sterling                     </v>
      </c>
      <c r="AO289" s="6">
        <f t="shared" si="149"/>
        <v>0</v>
      </c>
      <c r="AP289" s="9">
        <f t="shared" si="154"/>
        <v>1</v>
      </c>
      <c r="AQ289" s="9">
        <f t="shared" si="150"/>
        <v>16860.330000000002</v>
      </c>
      <c r="AR289" s="33">
        <f t="shared" si="151"/>
        <v>13853</v>
      </c>
      <c r="AS289" s="33">
        <f t="shared" si="152"/>
        <v>6178</v>
      </c>
      <c r="AU289" s="28"/>
      <c r="AV289" s="9"/>
      <c r="AW289" s="519"/>
    </row>
    <row r="290" spans="1:49">
      <c r="A290" s="6">
        <v>283</v>
      </c>
      <c r="B290" s="6" t="s">
        <v>1401</v>
      </c>
      <c r="C290" s="7">
        <v>0</v>
      </c>
      <c r="D290" s="9">
        <v>0</v>
      </c>
      <c r="E290" s="9">
        <v>0</v>
      </c>
      <c r="F290" s="9">
        <v>0</v>
      </c>
      <c r="G290" s="348"/>
      <c r="H290" s="111">
        <f t="shared" si="153"/>
        <v>0</v>
      </c>
      <c r="I290" s="9">
        <f t="shared" si="124"/>
        <v>0</v>
      </c>
      <c r="J290" s="33">
        <f t="shared" si="125"/>
        <v>0</v>
      </c>
      <c r="K290" s="9">
        <f t="shared" si="126"/>
        <v>0</v>
      </c>
      <c r="L290" s="112">
        <f t="shared" si="127"/>
        <v>0</v>
      </c>
      <c r="M290" s="458">
        <f>ROUND(100-'Townwide Contributions'!L289,2)</f>
        <v>17.5</v>
      </c>
      <c r="N290" s="9">
        <v>0</v>
      </c>
      <c r="O290" s="9">
        <f t="shared" si="128"/>
        <v>0</v>
      </c>
      <c r="P290" s="9">
        <f t="shared" si="129"/>
        <v>0</v>
      </c>
      <c r="Q290" s="28">
        <f t="shared" si="130"/>
        <v>0</v>
      </c>
      <c r="R290" s="382">
        <f t="shared" si="131"/>
        <v>0</v>
      </c>
      <c r="S290" s="28">
        <v>0</v>
      </c>
      <c r="T290" s="33">
        <f t="shared" si="132"/>
        <v>0</v>
      </c>
      <c r="U290" s="9">
        <f t="shared" si="133"/>
        <v>0</v>
      </c>
      <c r="V290" s="33">
        <f t="shared" si="134"/>
        <v>0</v>
      </c>
      <c r="W290" s="33">
        <f t="shared" si="135"/>
        <v>0</v>
      </c>
      <c r="X290" s="33">
        <v>0</v>
      </c>
      <c r="Y290" s="113">
        <f t="shared" si="136"/>
        <v>0</v>
      </c>
      <c r="Z290" s="155">
        <f t="shared" si="137"/>
        <v>0</v>
      </c>
      <c r="AA290" s="33">
        <f t="shared" si="138"/>
        <v>0</v>
      </c>
      <c r="AB290" s="114">
        <f t="shared" si="139"/>
        <v>0</v>
      </c>
      <c r="AC290" s="28">
        <f t="shared" si="140"/>
        <v>0</v>
      </c>
      <c r="AD290" s="28">
        <f t="shared" si="141"/>
        <v>0</v>
      </c>
      <c r="AE290" s="28">
        <f t="shared" si="142"/>
        <v>0</v>
      </c>
      <c r="AF290" s="115" t="str">
        <f t="shared" si="143"/>
        <v/>
      </c>
      <c r="AG290" s="28">
        <f t="shared" si="144"/>
        <v>0</v>
      </c>
      <c r="AI290" s="28">
        <f t="shared" si="145"/>
        <v>0</v>
      </c>
      <c r="AJ290" s="28"/>
      <c r="AK290" s="28">
        <f t="shared" si="146"/>
        <v>0</v>
      </c>
      <c r="AL290" s="156"/>
      <c r="AM290" s="6">
        <f t="shared" si="147"/>
        <v>283</v>
      </c>
      <c r="AN290" s="6" t="str">
        <f t="shared" si="148"/>
        <v xml:space="preserve">Stockbridge                  </v>
      </c>
      <c r="AO290" s="6">
        <f t="shared" si="149"/>
        <v>0</v>
      </c>
      <c r="AP290" s="9">
        <f t="shared" si="154"/>
        <v>0</v>
      </c>
      <c r="AQ290" s="9">
        <f t="shared" si="150"/>
        <v>0</v>
      </c>
      <c r="AR290" s="33">
        <f t="shared" si="151"/>
        <v>0</v>
      </c>
      <c r="AS290" s="33">
        <f t="shared" si="152"/>
        <v>0</v>
      </c>
      <c r="AU290" s="28"/>
      <c r="AW290" s="519"/>
    </row>
    <row r="291" spans="1:49">
      <c r="A291" s="6">
        <v>284</v>
      </c>
      <c r="B291" s="6" t="s">
        <v>1402</v>
      </c>
      <c r="C291" s="7">
        <v>1</v>
      </c>
      <c r="D291" s="9">
        <v>32165599.711240005</v>
      </c>
      <c r="E291" s="9">
        <v>24905971</v>
      </c>
      <c r="F291" s="9">
        <v>7259629</v>
      </c>
      <c r="G291" s="348"/>
      <c r="H291" s="111">
        <f t="shared" si="153"/>
        <v>7259629</v>
      </c>
      <c r="I291" s="9">
        <f t="shared" si="124"/>
        <v>33190354.091199998</v>
      </c>
      <c r="J291" s="33">
        <f t="shared" si="125"/>
        <v>26075035</v>
      </c>
      <c r="K291" s="9">
        <f t="shared" si="126"/>
        <v>7115319</v>
      </c>
      <c r="L291" s="112">
        <f t="shared" si="127"/>
        <v>0</v>
      </c>
      <c r="M291" s="458">
        <f>ROUND(100-'Townwide Contributions'!L290,2)</f>
        <v>17.5</v>
      </c>
      <c r="N291" s="9">
        <v>2425</v>
      </c>
      <c r="O291" s="9">
        <f t="shared" si="128"/>
        <v>2456</v>
      </c>
      <c r="P291" s="9">
        <f t="shared" si="129"/>
        <v>0</v>
      </c>
      <c r="Q291" s="28">
        <f t="shared" si="130"/>
        <v>255424</v>
      </c>
      <c r="R291" s="382">
        <f t="shared" si="131"/>
        <v>255424</v>
      </c>
      <c r="S291" s="28">
        <v>7259629</v>
      </c>
      <c r="T291" s="33">
        <f t="shared" si="132"/>
        <v>7333309</v>
      </c>
      <c r="U291" s="9">
        <f t="shared" si="133"/>
        <v>0</v>
      </c>
      <c r="V291" s="33">
        <f t="shared" si="134"/>
        <v>7515053</v>
      </c>
      <c r="W291" s="33">
        <f t="shared" si="135"/>
        <v>0</v>
      </c>
      <c r="X291" s="33">
        <v>0</v>
      </c>
      <c r="Y291" s="113">
        <f t="shared" si="136"/>
        <v>7515053</v>
      </c>
      <c r="Z291" s="155">
        <f t="shared" si="137"/>
        <v>22.642280282247789</v>
      </c>
      <c r="AA291" s="33">
        <f t="shared" si="138"/>
        <v>33590088</v>
      </c>
      <c r="AB291" s="114">
        <f t="shared" si="139"/>
        <v>101.20436771388945</v>
      </c>
      <c r="AC291" s="28">
        <f t="shared" si="140"/>
        <v>1024754.3799599931</v>
      </c>
      <c r="AD291" s="28">
        <f t="shared" si="141"/>
        <v>255424</v>
      </c>
      <c r="AE291" s="28">
        <f t="shared" si="142"/>
        <v>1706741.0340400003</v>
      </c>
      <c r="AF291" s="115">
        <f t="shared" si="143"/>
        <v>5.1422802822477891</v>
      </c>
      <c r="AG291" s="28">
        <f t="shared" si="144"/>
        <v>13513.99</v>
      </c>
      <c r="AI291" s="28">
        <f t="shared" si="145"/>
        <v>0</v>
      </c>
      <c r="AJ291" s="28"/>
      <c r="AK291" s="28">
        <f t="shared" si="146"/>
        <v>104</v>
      </c>
      <c r="AL291" s="156"/>
      <c r="AM291" s="6">
        <f t="shared" si="147"/>
        <v>284</v>
      </c>
      <c r="AN291" s="6" t="str">
        <f t="shared" si="148"/>
        <v xml:space="preserve">Stoneham                     </v>
      </c>
      <c r="AO291" s="6">
        <f t="shared" si="149"/>
        <v>1</v>
      </c>
      <c r="AP291" s="9">
        <f t="shared" si="154"/>
        <v>2456</v>
      </c>
      <c r="AQ291" s="9">
        <f t="shared" si="150"/>
        <v>33190354.091199998</v>
      </c>
      <c r="AR291" s="33">
        <f t="shared" si="151"/>
        <v>26075035</v>
      </c>
      <c r="AS291" s="33">
        <f t="shared" si="152"/>
        <v>7515053</v>
      </c>
      <c r="AU291" s="28"/>
      <c r="AV291" s="9"/>
      <c r="AW291" s="519"/>
    </row>
    <row r="292" spans="1:49">
      <c r="A292" s="6">
        <v>285</v>
      </c>
      <c r="B292" s="6" t="s">
        <v>1403</v>
      </c>
      <c r="C292" s="7">
        <v>1</v>
      </c>
      <c r="D292" s="9">
        <v>56987020.295979992</v>
      </c>
      <c r="E292" s="9">
        <v>30547654</v>
      </c>
      <c r="F292" s="9">
        <v>26439366</v>
      </c>
      <c r="G292" s="348"/>
      <c r="H292" s="111">
        <f t="shared" si="153"/>
        <v>26439366</v>
      </c>
      <c r="I292" s="9">
        <f t="shared" si="124"/>
        <v>60534150.371639997</v>
      </c>
      <c r="J292" s="33">
        <f t="shared" si="125"/>
        <v>31939620</v>
      </c>
      <c r="K292" s="9">
        <f t="shared" si="126"/>
        <v>28594530</v>
      </c>
      <c r="L292" s="112">
        <f t="shared" si="127"/>
        <v>2155164</v>
      </c>
      <c r="M292" s="458">
        <f>ROUND(100-'Townwide Contributions'!L291,2)</f>
        <v>40.68</v>
      </c>
      <c r="N292" s="9">
        <v>3693</v>
      </c>
      <c r="O292" s="9">
        <f t="shared" si="128"/>
        <v>3781</v>
      </c>
      <c r="P292" s="9">
        <f t="shared" si="129"/>
        <v>1</v>
      </c>
      <c r="Q292" s="28">
        <f t="shared" si="130"/>
        <v>393224</v>
      </c>
      <c r="R292" s="382">
        <f t="shared" si="131"/>
        <v>0</v>
      </c>
      <c r="S292" s="28">
        <v>26439366</v>
      </c>
      <c r="T292" s="33">
        <f t="shared" si="132"/>
        <v>26552796</v>
      </c>
      <c r="U292" s="9">
        <f t="shared" si="133"/>
        <v>0</v>
      </c>
      <c r="V292" s="33">
        <f t="shared" si="134"/>
        <v>28594530</v>
      </c>
      <c r="W292" s="33">
        <f t="shared" si="135"/>
        <v>0</v>
      </c>
      <c r="X292" s="33">
        <v>0</v>
      </c>
      <c r="Y292" s="113">
        <f t="shared" si="136"/>
        <v>28594530</v>
      </c>
      <c r="Z292" s="155">
        <f t="shared" si="137"/>
        <v>47.237022118008319</v>
      </c>
      <c r="AA292" s="33">
        <f t="shared" si="138"/>
        <v>60534150</v>
      </c>
      <c r="AB292" s="114">
        <f t="shared" si="139"/>
        <v>99.999999386065554</v>
      </c>
      <c r="AC292" s="28">
        <f t="shared" si="140"/>
        <v>3547130.0756600052</v>
      </c>
      <c r="AD292" s="28">
        <f t="shared" si="141"/>
        <v>2155164</v>
      </c>
      <c r="AE292" s="28">
        <f t="shared" si="142"/>
        <v>3969237.6288168505</v>
      </c>
      <c r="AF292" s="115">
        <f t="shared" si="143"/>
        <v>6.5570221180083195</v>
      </c>
      <c r="AG292" s="28">
        <f t="shared" si="144"/>
        <v>16010.09</v>
      </c>
      <c r="AI292" s="28">
        <f t="shared" si="145"/>
        <v>0</v>
      </c>
      <c r="AJ292" s="28"/>
      <c r="AK292" s="28">
        <f t="shared" si="146"/>
        <v>569.99841311822274</v>
      </c>
      <c r="AL292" s="156"/>
      <c r="AM292" s="6">
        <f t="shared" si="147"/>
        <v>285</v>
      </c>
      <c r="AN292" s="6" t="str">
        <f t="shared" si="148"/>
        <v xml:space="preserve">Stoughton                    </v>
      </c>
      <c r="AO292" s="6">
        <f t="shared" si="149"/>
        <v>1</v>
      </c>
      <c r="AP292" s="9">
        <f t="shared" si="154"/>
        <v>3781</v>
      </c>
      <c r="AQ292" s="9">
        <f t="shared" si="150"/>
        <v>60534150.371639997</v>
      </c>
      <c r="AR292" s="33">
        <f t="shared" si="151"/>
        <v>31939620</v>
      </c>
      <c r="AS292" s="33">
        <f t="shared" si="152"/>
        <v>28594530</v>
      </c>
      <c r="AU292" s="28"/>
      <c r="AV292" s="9"/>
      <c r="AW292" s="519"/>
    </row>
    <row r="293" spans="1:49">
      <c r="A293" s="6">
        <v>286</v>
      </c>
      <c r="B293" s="6" t="s">
        <v>1404</v>
      </c>
      <c r="C293" s="7">
        <v>0</v>
      </c>
      <c r="D293" s="9">
        <v>0</v>
      </c>
      <c r="E293" s="9">
        <v>0</v>
      </c>
      <c r="F293" s="9">
        <v>0</v>
      </c>
      <c r="G293" s="348"/>
      <c r="H293" s="111">
        <f t="shared" si="153"/>
        <v>0</v>
      </c>
      <c r="I293" s="9">
        <f t="shared" si="124"/>
        <v>0</v>
      </c>
      <c r="J293" s="33">
        <f t="shared" si="125"/>
        <v>0</v>
      </c>
      <c r="K293" s="9">
        <f t="shared" si="126"/>
        <v>0</v>
      </c>
      <c r="L293" s="112">
        <f t="shared" si="127"/>
        <v>0</v>
      </c>
      <c r="M293" s="458">
        <f>ROUND(100-'Townwide Contributions'!L292,2)</f>
        <v>17.5</v>
      </c>
      <c r="N293" s="9">
        <v>0</v>
      </c>
      <c r="O293" s="9">
        <f t="shared" si="128"/>
        <v>0</v>
      </c>
      <c r="P293" s="9">
        <f t="shared" si="129"/>
        <v>0</v>
      </c>
      <c r="Q293" s="28">
        <f t="shared" si="130"/>
        <v>0</v>
      </c>
      <c r="R293" s="382">
        <f t="shared" si="131"/>
        <v>0</v>
      </c>
      <c r="S293" s="28">
        <v>0</v>
      </c>
      <c r="T293" s="33">
        <f t="shared" si="132"/>
        <v>0</v>
      </c>
      <c r="U293" s="9">
        <f t="shared" si="133"/>
        <v>0</v>
      </c>
      <c r="V293" s="33">
        <f t="shared" si="134"/>
        <v>0</v>
      </c>
      <c r="W293" s="33">
        <f t="shared" si="135"/>
        <v>0</v>
      </c>
      <c r="X293" s="33">
        <v>0</v>
      </c>
      <c r="Y293" s="113">
        <f t="shared" si="136"/>
        <v>0</v>
      </c>
      <c r="Z293" s="155">
        <f t="shared" si="137"/>
        <v>0</v>
      </c>
      <c r="AA293" s="33">
        <f t="shared" si="138"/>
        <v>0</v>
      </c>
      <c r="AB293" s="114">
        <f t="shared" si="139"/>
        <v>0</v>
      </c>
      <c r="AC293" s="28">
        <f t="shared" si="140"/>
        <v>0</v>
      </c>
      <c r="AD293" s="28">
        <f t="shared" si="141"/>
        <v>0</v>
      </c>
      <c r="AE293" s="28">
        <f t="shared" si="142"/>
        <v>0</v>
      </c>
      <c r="AF293" s="115" t="str">
        <f t="shared" si="143"/>
        <v/>
      </c>
      <c r="AG293" s="28">
        <f t="shared" si="144"/>
        <v>0</v>
      </c>
      <c r="AI293" s="28">
        <f t="shared" si="145"/>
        <v>0</v>
      </c>
      <c r="AJ293" s="28"/>
      <c r="AK293" s="28">
        <f t="shared" si="146"/>
        <v>0</v>
      </c>
      <c r="AL293" s="156"/>
      <c r="AM293" s="6">
        <f t="shared" si="147"/>
        <v>286</v>
      </c>
      <c r="AN293" s="6" t="str">
        <f t="shared" si="148"/>
        <v xml:space="preserve">Stow                         </v>
      </c>
      <c r="AO293" s="6">
        <f t="shared" si="149"/>
        <v>0</v>
      </c>
      <c r="AP293" s="9">
        <f t="shared" si="154"/>
        <v>0</v>
      </c>
      <c r="AQ293" s="9">
        <f t="shared" si="150"/>
        <v>0</v>
      </c>
      <c r="AR293" s="33">
        <f t="shared" si="151"/>
        <v>0</v>
      </c>
      <c r="AS293" s="33">
        <f t="shared" si="152"/>
        <v>0</v>
      </c>
      <c r="AU293" s="28"/>
      <c r="AW293" s="519"/>
    </row>
    <row r="294" spans="1:49">
      <c r="A294" s="6">
        <v>287</v>
      </c>
      <c r="B294" s="6" t="s">
        <v>1405</v>
      </c>
      <c r="C294" s="7">
        <v>1</v>
      </c>
      <c r="D294" s="9">
        <v>10737439.589999998</v>
      </c>
      <c r="E294" s="9">
        <v>6009212</v>
      </c>
      <c r="F294" s="9">
        <v>4728228</v>
      </c>
      <c r="G294" s="348"/>
      <c r="H294" s="111">
        <f t="shared" si="153"/>
        <v>4728228</v>
      </c>
      <c r="I294" s="9">
        <f t="shared" si="124"/>
        <v>11550189.470000001</v>
      </c>
      <c r="J294" s="33">
        <f t="shared" si="125"/>
        <v>6370085</v>
      </c>
      <c r="K294" s="9">
        <f t="shared" si="126"/>
        <v>5180104</v>
      </c>
      <c r="L294" s="112">
        <f t="shared" si="127"/>
        <v>451876</v>
      </c>
      <c r="M294" s="458">
        <f>ROUND(100-'Townwide Contributions'!L293,2)</f>
        <v>41.22</v>
      </c>
      <c r="N294" s="9">
        <v>883</v>
      </c>
      <c r="O294" s="9">
        <f t="shared" si="128"/>
        <v>901</v>
      </c>
      <c r="P294" s="9">
        <f t="shared" si="129"/>
        <v>1</v>
      </c>
      <c r="Q294" s="28">
        <f t="shared" si="130"/>
        <v>93704</v>
      </c>
      <c r="R294" s="382">
        <f t="shared" si="131"/>
        <v>0</v>
      </c>
      <c r="S294" s="28">
        <v>4966686</v>
      </c>
      <c r="T294" s="33">
        <f t="shared" si="132"/>
        <v>4993716</v>
      </c>
      <c r="U294" s="9">
        <f t="shared" si="133"/>
        <v>0</v>
      </c>
      <c r="V294" s="33">
        <f t="shared" si="134"/>
        <v>5180104</v>
      </c>
      <c r="W294" s="33">
        <f t="shared" si="135"/>
        <v>0</v>
      </c>
      <c r="X294" s="33">
        <v>0</v>
      </c>
      <c r="Y294" s="113">
        <f t="shared" si="136"/>
        <v>5180104</v>
      </c>
      <c r="Z294" s="155">
        <f t="shared" si="137"/>
        <v>44.848649569382346</v>
      </c>
      <c r="AA294" s="33">
        <f t="shared" si="138"/>
        <v>11550189</v>
      </c>
      <c r="AB294" s="114">
        <f t="shared" si="139"/>
        <v>99.999995930802683</v>
      </c>
      <c r="AC294" s="28">
        <f t="shared" si="140"/>
        <v>812749.88000000268</v>
      </c>
      <c r="AD294" s="28">
        <f t="shared" si="141"/>
        <v>451876</v>
      </c>
      <c r="AE294" s="28">
        <f t="shared" si="142"/>
        <v>419115.90046599973</v>
      </c>
      <c r="AF294" s="115">
        <f t="shared" si="143"/>
        <v>3.6286495693823468</v>
      </c>
      <c r="AG294" s="28">
        <f t="shared" si="144"/>
        <v>12819.3</v>
      </c>
      <c r="AI294" s="28">
        <f t="shared" si="145"/>
        <v>0</v>
      </c>
      <c r="AJ294" s="28"/>
      <c r="AK294" s="28">
        <f t="shared" si="146"/>
        <v>501.52719200887901</v>
      </c>
      <c r="AL294" s="156"/>
      <c r="AM294" s="6">
        <f t="shared" si="147"/>
        <v>287</v>
      </c>
      <c r="AN294" s="6" t="str">
        <f t="shared" si="148"/>
        <v xml:space="preserve">Sturbridge                   </v>
      </c>
      <c r="AO294" s="6">
        <f t="shared" si="149"/>
        <v>1</v>
      </c>
      <c r="AP294" s="9">
        <f t="shared" si="154"/>
        <v>901</v>
      </c>
      <c r="AQ294" s="9">
        <f t="shared" si="150"/>
        <v>11550189.470000001</v>
      </c>
      <c r="AR294" s="33">
        <f t="shared" si="151"/>
        <v>6370085</v>
      </c>
      <c r="AS294" s="33">
        <f t="shared" si="152"/>
        <v>5180104</v>
      </c>
      <c r="AU294" s="28"/>
      <c r="AV294" s="9"/>
      <c r="AW294" s="519"/>
    </row>
    <row r="295" spans="1:49">
      <c r="A295" s="6">
        <v>288</v>
      </c>
      <c r="B295" s="6" t="s">
        <v>1406</v>
      </c>
      <c r="C295" s="7">
        <v>1</v>
      </c>
      <c r="D295" s="9">
        <v>28628096.43</v>
      </c>
      <c r="E295" s="9">
        <v>23070588</v>
      </c>
      <c r="F295" s="9">
        <v>5557508</v>
      </c>
      <c r="G295" s="348"/>
      <c r="H295" s="111">
        <f t="shared" si="153"/>
        <v>5557508</v>
      </c>
      <c r="I295" s="9">
        <f t="shared" si="124"/>
        <v>29591077.410479996</v>
      </c>
      <c r="J295" s="33">
        <f t="shared" si="125"/>
        <v>23968199</v>
      </c>
      <c r="K295" s="9">
        <f t="shared" si="126"/>
        <v>5622878</v>
      </c>
      <c r="L295" s="112">
        <f t="shared" si="127"/>
        <v>65370</v>
      </c>
      <c r="M295" s="458">
        <f>ROUND(100-'Townwide Contributions'!L294,2)</f>
        <v>17.5</v>
      </c>
      <c r="N295" s="9">
        <v>2513</v>
      </c>
      <c r="O295" s="9">
        <f t="shared" si="128"/>
        <v>2509</v>
      </c>
      <c r="P295" s="9">
        <f t="shared" si="129"/>
        <v>1</v>
      </c>
      <c r="Q295" s="28">
        <f t="shared" si="130"/>
        <v>260936</v>
      </c>
      <c r="R295" s="382">
        <f t="shared" si="131"/>
        <v>195566</v>
      </c>
      <c r="S295" s="28">
        <v>5557508</v>
      </c>
      <c r="T295" s="33">
        <f t="shared" si="132"/>
        <v>5632778</v>
      </c>
      <c r="U295" s="9">
        <f t="shared" si="133"/>
        <v>0</v>
      </c>
      <c r="V295" s="33">
        <f t="shared" si="134"/>
        <v>5818444</v>
      </c>
      <c r="W295" s="33">
        <f t="shared" si="135"/>
        <v>0</v>
      </c>
      <c r="X295" s="33">
        <v>0</v>
      </c>
      <c r="Y295" s="113">
        <f t="shared" si="136"/>
        <v>5818444</v>
      </c>
      <c r="Z295" s="155">
        <f t="shared" si="137"/>
        <v>19.662832546743754</v>
      </c>
      <c r="AA295" s="33">
        <f t="shared" si="138"/>
        <v>29786643</v>
      </c>
      <c r="AB295" s="114">
        <f t="shared" si="139"/>
        <v>100.66089377823987</v>
      </c>
      <c r="AC295" s="28">
        <f t="shared" si="140"/>
        <v>962980.98047999665</v>
      </c>
      <c r="AD295" s="28">
        <f t="shared" si="141"/>
        <v>260936</v>
      </c>
      <c r="AE295" s="28">
        <f t="shared" si="142"/>
        <v>640005.45316600055</v>
      </c>
      <c r="AF295" s="115">
        <f t="shared" si="143"/>
        <v>2.1628325467437541</v>
      </c>
      <c r="AG295" s="28">
        <f t="shared" si="144"/>
        <v>11793.97</v>
      </c>
      <c r="AI295" s="28">
        <f t="shared" si="145"/>
        <v>0</v>
      </c>
      <c r="AJ295" s="28"/>
      <c r="AK295" s="28">
        <f t="shared" si="146"/>
        <v>104</v>
      </c>
      <c r="AL295" s="156"/>
      <c r="AM295" s="6">
        <f t="shared" si="147"/>
        <v>288</v>
      </c>
      <c r="AN295" s="6" t="str">
        <f t="shared" si="148"/>
        <v xml:space="preserve">Sudbury                      </v>
      </c>
      <c r="AO295" s="6">
        <f t="shared" si="149"/>
        <v>1</v>
      </c>
      <c r="AP295" s="9">
        <f t="shared" si="154"/>
        <v>2509</v>
      </c>
      <c r="AQ295" s="9">
        <f t="shared" si="150"/>
        <v>29591077.410479996</v>
      </c>
      <c r="AR295" s="33">
        <f t="shared" si="151"/>
        <v>23968199</v>
      </c>
      <c r="AS295" s="33">
        <f t="shared" si="152"/>
        <v>5818444</v>
      </c>
      <c r="AU295" s="28"/>
      <c r="AV295" s="9"/>
      <c r="AW295" s="519"/>
    </row>
    <row r="296" spans="1:49">
      <c r="A296" s="6">
        <v>289</v>
      </c>
      <c r="B296" s="6" t="s">
        <v>1407</v>
      </c>
      <c r="C296" s="7">
        <v>1</v>
      </c>
      <c r="D296" s="9">
        <v>1946645.5199999998</v>
      </c>
      <c r="E296" s="9">
        <v>1555821</v>
      </c>
      <c r="F296" s="9">
        <v>895488</v>
      </c>
      <c r="G296" s="348"/>
      <c r="H296" s="111">
        <f t="shared" si="153"/>
        <v>895488</v>
      </c>
      <c r="I296" s="9">
        <f t="shared" si="124"/>
        <v>2077119.5199999998</v>
      </c>
      <c r="J296" s="33">
        <f t="shared" si="125"/>
        <v>1678357</v>
      </c>
      <c r="K296" s="9">
        <f t="shared" si="126"/>
        <v>398763</v>
      </c>
      <c r="L296" s="112">
        <f t="shared" si="127"/>
        <v>0</v>
      </c>
      <c r="M296" s="458">
        <f>ROUND(100-'Townwide Contributions'!L295,2)</f>
        <v>17.5</v>
      </c>
      <c r="N296" s="9">
        <v>146</v>
      </c>
      <c r="O296" s="9">
        <f t="shared" si="128"/>
        <v>142</v>
      </c>
      <c r="P296" s="9">
        <f t="shared" si="129"/>
        <v>0</v>
      </c>
      <c r="Q296" s="28">
        <f t="shared" si="130"/>
        <v>14768</v>
      </c>
      <c r="R296" s="382">
        <f t="shared" si="131"/>
        <v>14768</v>
      </c>
      <c r="S296" s="28">
        <v>895488</v>
      </c>
      <c r="T296" s="33">
        <f t="shared" si="132"/>
        <v>899748</v>
      </c>
      <c r="U296" s="9">
        <f t="shared" si="133"/>
        <v>0</v>
      </c>
      <c r="V296" s="33">
        <f t="shared" si="134"/>
        <v>910256</v>
      </c>
      <c r="W296" s="33">
        <f t="shared" si="135"/>
        <v>0</v>
      </c>
      <c r="X296" s="33">
        <v>0</v>
      </c>
      <c r="Y296" s="113">
        <f t="shared" si="136"/>
        <v>910256</v>
      </c>
      <c r="Z296" s="155">
        <f t="shared" si="137"/>
        <v>43.822995799490641</v>
      </c>
      <c r="AA296" s="33">
        <f t="shared" si="138"/>
        <v>2588613</v>
      </c>
      <c r="AB296" s="114">
        <f t="shared" si="139"/>
        <v>124.62513471540628</v>
      </c>
      <c r="AC296" s="28">
        <f t="shared" si="140"/>
        <v>130474</v>
      </c>
      <c r="AD296" s="28">
        <f t="shared" si="141"/>
        <v>14768</v>
      </c>
      <c r="AE296" s="28">
        <f t="shared" si="142"/>
        <v>546760.08400000003</v>
      </c>
      <c r="AF296" s="115">
        <f t="shared" si="143"/>
        <v>26.322995799490641</v>
      </c>
      <c r="AG296" s="28">
        <f t="shared" si="144"/>
        <v>14627.6</v>
      </c>
      <c r="AI296" s="28">
        <f t="shared" si="145"/>
        <v>0</v>
      </c>
      <c r="AJ296" s="28"/>
      <c r="AK296" s="28">
        <f t="shared" si="146"/>
        <v>104</v>
      </c>
      <c r="AL296" s="156"/>
      <c r="AM296" s="6">
        <f t="shared" si="147"/>
        <v>289</v>
      </c>
      <c r="AN296" s="6" t="str">
        <f t="shared" si="148"/>
        <v xml:space="preserve">Sunderland                   </v>
      </c>
      <c r="AO296" s="6">
        <f t="shared" si="149"/>
        <v>1</v>
      </c>
      <c r="AP296" s="9">
        <f t="shared" si="154"/>
        <v>142</v>
      </c>
      <c r="AQ296" s="9">
        <f t="shared" si="150"/>
        <v>2077119.5199999998</v>
      </c>
      <c r="AR296" s="33">
        <f t="shared" si="151"/>
        <v>1678357</v>
      </c>
      <c r="AS296" s="33">
        <f t="shared" si="152"/>
        <v>910256</v>
      </c>
      <c r="AU296" s="28"/>
      <c r="AV296" s="9"/>
      <c r="AW296" s="519"/>
    </row>
    <row r="297" spans="1:49">
      <c r="A297" s="6">
        <v>290</v>
      </c>
      <c r="B297" s="6" t="s">
        <v>1408</v>
      </c>
      <c r="C297" s="7">
        <v>1</v>
      </c>
      <c r="D297" s="9">
        <v>16076441.029999997</v>
      </c>
      <c r="E297" s="9">
        <v>12750768</v>
      </c>
      <c r="F297" s="9">
        <v>5669325</v>
      </c>
      <c r="G297" s="348"/>
      <c r="H297" s="111">
        <f t="shared" si="153"/>
        <v>5669325</v>
      </c>
      <c r="I297" s="9">
        <f t="shared" si="124"/>
        <v>16892397.649999999</v>
      </c>
      <c r="J297" s="33">
        <f t="shared" si="125"/>
        <v>13481611</v>
      </c>
      <c r="K297" s="9">
        <f t="shared" si="126"/>
        <v>3410787</v>
      </c>
      <c r="L297" s="112">
        <f t="shared" si="127"/>
        <v>0</v>
      </c>
      <c r="M297" s="458">
        <f>ROUND(100-'Townwide Contributions'!L296,2)</f>
        <v>17.5</v>
      </c>
      <c r="N297" s="9">
        <v>1294</v>
      </c>
      <c r="O297" s="9">
        <f t="shared" si="128"/>
        <v>1314</v>
      </c>
      <c r="P297" s="9">
        <f t="shared" si="129"/>
        <v>0</v>
      </c>
      <c r="Q297" s="28">
        <f t="shared" si="130"/>
        <v>136656</v>
      </c>
      <c r="R297" s="382">
        <f t="shared" si="131"/>
        <v>136656</v>
      </c>
      <c r="S297" s="28">
        <v>5669325</v>
      </c>
      <c r="T297" s="33">
        <f t="shared" si="132"/>
        <v>5708745</v>
      </c>
      <c r="U297" s="9">
        <f t="shared" si="133"/>
        <v>0</v>
      </c>
      <c r="V297" s="33">
        <f t="shared" si="134"/>
        <v>5805981</v>
      </c>
      <c r="W297" s="33">
        <f t="shared" si="135"/>
        <v>0</v>
      </c>
      <c r="X297" s="33">
        <v>0</v>
      </c>
      <c r="Y297" s="113">
        <f t="shared" si="136"/>
        <v>5805981</v>
      </c>
      <c r="Z297" s="155">
        <f t="shared" si="137"/>
        <v>34.370378440623554</v>
      </c>
      <c r="AA297" s="33">
        <f t="shared" si="138"/>
        <v>19287592</v>
      </c>
      <c r="AB297" s="114">
        <f t="shared" si="139"/>
        <v>114.17912601648945</v>
      </c>
      <c r="AC297" s="28">
        <f t="shared" si="140"/>
        <v>815956.62000000104</v>
      </c>
      <c r="AD297" s="28">
        <f t="shared" si="141"/>
        <v>136656</v>
      </c>
      <c r="AE297" s="28">
        <f t="shared" si="142"/>
        <v>2849811.4112500004</v>
      </c>
      <c r="AF297" s="115">
        <f t="shared" si="143"/>
        <v>16.870378440623554</v>
      </c>
      <c r="AG297" s="28">
        <f t="shared" si="144"/>
        <v>12855.71</v>
      </c>
      <c r="AI297" s="28">
        <f t="shared" si="145"/>
        <v>0</v>
      </c>
      <c r="AJ297" s="28"/>
      <c r="AK297" s="28">
        <f t="shared" si="146"/>
        <v>104</v>
      </c>
      <c r="AL297" s="156"/>
      <c r="AM297" s="6">
        <f t="shared" si="147"/>
        <v>290</v>
      </c>
      <c r="AN297" s="6" t="str">
        <f t="shared" si="148"/>
        <v xml:space="preserve">Sutton                       </v>
      </c>
      <c r="AO297" s="6">
        <f t="shared" si="149"/>
        <v>1</v>
      </c>
      <c r="AP297" s="9">
        <f t="shared" si="154"/>
        <v>1314</v>
      </c>
      <c r="AQ297" s="9">
        <f t="shared" si="150"/>
        <v>16892397.649999999</v>
      </c>
      <c r="AR297" s="33">
        <f t="shared" si="151"/>
        <v>13481611</v>
      </c>
      <c r="AS297" s="33">
        <f t="shared" si="152"/>
        <v>5805981</v>
      </c>
      <c r="AU297" s="28"/>
      <c r="AV297" s="9"/>
      <c r="AW297" s="519"/>
    </row>
    <row r="298" spans="1:49">
      <c r="A298" s="6">
        <v>291</v>
      </c>
      <c r="B298" s="6" t="s">
        <v>1409</v>
      </c>
      <c r="C298" s="7">
        <v>1</v>
      </c>
      <c r="D298" s="9">
        <v>26012947.399999999</v>
      </c>
      <c r="E298" s="9">
        <v>20898493</v>
      </c>
      <c r="F298" s="9">
        <v>5114454</v>
      </c>
      <c r="G298" s="348"/>
      <c r="H298" s="111">
        <f t="shared" si="153"/>
        <v>5114454</v>
      </c>
      <c r="I298" s="9">
        <f t="shared" si="124"/>
        <v>26943739.010000002</v>
      </c>
      <c r="J298" s="33">
        <f t="shared" si="125"/>
        <v>21599799</v>
      </c>
      <c r="K298" s="9">
        <f t="shared" si="126"/>
        <v>5343940</v>
      </c>
      <c r="L298" s="112">
        <f t="shared" si="127"/>
        <v>229486</v>
      </c>
      <c r="M298" s="458">
        <f>ROUND(100-'Townwide Contributions'!L297,2)</f>
        <v>17.5</v>
      </c>
      <c r="N298" s="9">
        <v>2024</v>
      </c>
      <c r="O298" s="9">
        <f t="shared" si="128"/>
        <v>2040</v>
      </c>
      <c r="P298" s="9">
        <f t="shared" si="129"/>
        <v>1</v>
      </c>
      <c r="Q298" s="28">
        <f t="shared" si="130"/>
        <v>212160</v>
      </c>
      <c r="R298" s="382">
        <f t="shared" si="131"/>
        <v>0</v>
      </c>
      <c r="S298" s="28">
        <v>5114454</v>
      </c>
      <c r="T298" s="33">
        <f t="shared" si="132"/>
        <v>5175654</v>
      </c>
      <c r="U298" s="9">
        <f t="shared" si="133"/>
        <v>0</v>
      </c>
      <c r="V298" s="33">
        <f t="shared" si="134"/>
        <v>5343940</v>
      </c>
      <c r="W298" s="33">
        <f t="shared" si="135"/>
        <v>0</v>
      </c>
      <c r="X298" s="33">
        <v>0</v>
      </c>
      <c r="Y298" s="113">
        <f t="shared" si="136"/>
        <v>5343940</v>
      </c>
      <c r="Z298" s="155">
        <f t="shared" si="137"/>
        <v>19.833698648938924</v>
      </c>
      <c r="AA298" s="33">
        <f t="shared" si="138"/>
        <v>26943739</v>
      </c>
      <c r="AB298" s="114">
        <f t="shared" si="139"/>
        <v>99.999999962885624</v>
      </c>
      <c r="AC298" s="28">
        <f t="shared" si="140"/>
        <v>930791.61000000313</v>
      </c>
      <c r="AD298" s="28">
        <f t="shared" si="141"/>
        <v>229486</v>
      </c>
      <c r="AE298" s="28">
        <f t="shared" si="142"/>
        <v>628785.67324999999</v>
      </c>
      <c r="AF298" s="115">
        <f t="shared" si="143"/>
        <v>2.333698648938924</v>
      </c>
      <c r="AG298" s="28">
        <f t="shared" si="144"/>
        <v>13207.72</v>
      </c>
      <c r="AI298" s="28">
        <f t="shared" si="145"/>
        <v>0</v>
      </c>
      <c r="AJ298" s="28"/>
      <c r="AK298" s="28">
        <f t="shared" si="146"/>
        <v>112.49313725490197</v>
      </c>
      <c r="AL298" s="156"/>
      <c r="AM298" s="6">
        <f t="shared" si="147"/>
        <v>291</v>
      </c>
      <c r="AN298" s="6" t="str">
        <f t="shared" si="148"/>
        <v xml:space="preserve">Swampscott                   </v>
      </c>
      <c r="AO298" s="6">
        <f t="shared" si="149"/>
        <v>1</v>
      </c>
      <c r="AP298" s="9">
        <f t="shared" si="154"/>
        <v>2040</v>
      </c>
      <c r="AQ298" s="9">
        <f t="shared" si="150"/>
        <v>26943739.010000002</v>
      </c>
      <c r="AR298" s="33">
        <f t="shared" si="151"/>
        <v>21599799</v>
      </c>
      <c r="AS298" s="33">
        <f t="shared" si="152"/>
        <v>5343940</v>
      </c>
      <c r="AU298" s="28"/>
      <c r="AV298" s="9"/>
      <c r="AW298" s="519"/>
    </row>
    <row r="299" spans="1:49">
      <c r="A299" s="6">
        <v>292</v>
      </c>
      <c r="B299" s="6" t="s">
        <v>1410</v>
      </c>
      <c r="C299" s="7">
        <v>1</v>
      </c>
      <c r="D299" s="9">
        <v>26694462.580000002</v>
      </c>
      <c r="E299" s="9">
        <v>16252187</v>
      </c>
      <c r="F299" s="9">
        <v>10442276</v>
      </c>
      <c r="G299" s="348"/>
      <c r="H299" s="111">
        <f t="shared" si="153"/>
        <v>10442276</v>
      </c>
      <c r="I299" s="9">
        <f t="shared" si="124"/>
        <v>28125194.139999993</v>
      </c>
      <c r="J299" s="33">
        <f t="shared" si="125"/>
        <v>17101306</v>
      </c>
      <c r="K299" s="9">
        <f t="shared" si="126"/>
        <v>11023888</v>
      </c>
      <c r="L299" s="112">
        <f t="shared" si="127"/>
        <v>581612</v>
      </c>
      <c r="M299" s="458">
        <f>ROUND(100-'Townwide Contributions'!L298,2)</f>
        <v>34.54</v>
      </c>
      <c r="N299" s="9">
        <v>2033</v>
      </c>
      <c r="O299" s="9">
        <f t="shared" si="128"/>
        <v>2081</v>
      </c>
      <c r="P299" s="9">
        <f t="shared" si="129"/>
        <v>1</v>
      </c>
      <c r="Q299" s="28">
        <f t="shared" si="130"/>
        <v>216424</v>
      </c>
      <c r="R299" s="382">
        <f t="shared" si="131"/>
        <v>0</v>
      </c>
      <c r="S299" s="28">
        <v>10442276</v>
      </c>
      <c r="T299" s="33">
        <f t="shared" si="132"/>
        <v>10504706</v>
      </c>
      <c r="U299" s="9">
        <f t="shared" si="133"/>
        <v>0</v>
      </c>
      <c r="V299" s="33">
        <f t="shared" si="134"/>
        <v>11023888</v>
      </c>
      <c r="W299" s="33">
        <f t="shared" si="135"/>
        <v>0</v>
      </c>
      <c r="X299" s="33">
        <v>0</v>
      </c>
      <c r="Y299" s="113">
        <f t="shared" si="136"/>
        <v>11023888</v>
      </c>
      <c r="Z299" s="155">
        <f t="shared" si="137"/>
        <v>39.195775663364017</v>
      </c>
      <c r="AA299" s="33">
        <f t="shared" si="138"/>
        <v>28125194</v>
      </c>
      <c r="AB299" s="114">
        <f t="shared" si="139"/>
        <v>99.999999502225677</v>
      </c>
      <c r="AC299" s="28">
        <f t="shared" si="140"/>
        <v>1430731.5599999912</v>
      </c>
      <c r="AD299" s="28">
        <f t="shared" si="141"/>
        <v>581612</v>
      </c>
      <c r="AE299" s="28">
        <f t="shared" si="142"/>
        <v>1309445.9440440033</v>
      </c>
      <c r="AF299" s="115">
        <f t="shared" si="143"/>
        <v>4.6557756633640182</v>
      </c>
      <c r="AG299" s="28">
        <f t="shared" si="144"/>
        <v>13515.23</v>
      </c>
      <c r="AI299" s="28">
        <f t="shared" si="145"/>
        <v>0</v>
      </c>
      <c r="AJ299" s="28"/>
      <c r="AK299" s="28">
        <f t="shared" si="146"/>
        <v>279.48678519942337</v>
      </c>
      <c r="AL299" s="156"/>
      <c r="AM299" s="6">
        <f t="shared" si="147"/>
        <v>292</v>
      </c>
      <c r="AN299" s="6" t="str">
        <f t="shared" si="148"/>
        <v xml:space="preserve">Swansea                      </v>
      </c>
      <c r="AO299" s="6">
        <f t="shared" si="149"/>
        <v>1</v>
      </c>
      <c r="AP299" s="9">
        <f t="shared" si="154"/>
        <v>2081</v>
      </c>
      <c r="AQ299" s="9">
        <f t="shared" si="150"/>
        <v>28125194.139999993</v>
      </c>
      <c r="AR299" s="33">
        <f t="shared" si="151"/>
        <v>17101306</v>
      </c>
      <c r="AS299" s="33">
        <f t="shared" si="152"/>
        <v>11023888</v>
      </c>
      <c r="AU299" s="28"/>
      <c r="AV299" s="9"/>
      <c r="AW299" s="519"/>
    </row>
    <row r="300" spans="1:49">
      <c r="A300" s="6">
        <v>293</v>
      </c>
      <c r="B300" s="6" t="s">
        <v>1411</v>
      </c>
      <c r="C300" s="7">
        <v>1</v>
      </c>
      <c r="D300" s="9">
        <v>131396476.31</v>
      </c>
      <c r="E300" s="9">
        <v>42467828</v>
      </c>
      <c r="F300" s="9">
        <v>88928648</v>
      </c>
      <c r="G300" s="348"/>
      <c r="H300" s="111">
        <f t="shared" si="153"/>
        <v>88928648</v>
      </c>
      <c r="I300" s="9">
        <f>SUMIF(dist1755,A300,found1755)</f>
        <v>140024274.21000001</v>
      </c>
      <c r="J300" s="33">
        <f t="shared" si="125"/>
        <v>45058660</v>
      </c>
      <c r="K300" s="9">
        <f t="shared" si="126"/>
        <v>94965614</v>
      </c>
      <c r="L300" s="112">
        <f t="shared" si="127"/>
        <v>6036966</v>
      </c>
      <c r="M300" s="458">
        <f>ROUND(100-'Townwide Contributions'!L299,2)</f>
        <v>63.77</v>
      </c>
      <c r="N300" s="9">
        <v>8075</v>
      </c>
      <c r="O300" s="9">
        <f t="shared" si="128"/>
        <v>8235</v>
      </c>
      <c r="P300" s="9">
        <f t="shared" si="129"/>
        <v>1</v>
      </c>
      <c r="Q300" s="28">
        <f t="shared" si="130"/>
        <v>856440</v>
      </c>
      <c r="R300" s="382">
        <f t="shared" si="131"/>
        <v>0</v>
      </c>
      <c r="S300" s="28">
        <v>88928648</v>
      </c>
      <c r="T300" s="33">
        <f t="shared" si="132"/>
        <v>89175698</v>
      </c>
      <c r="U300" s="9">
        <f t="shared" si="133"/>
        <v>0</v>
      </c>
      <c r="V300" s="33">
        <f t="shared" si="134"/>
        <v>94965614</v>
      </c>
      <c r="W300" s="33">
        <f t="shared" si="135"/>
        <v>0</v>
      </c>
      <c r="X300" s="33">
        <v>0</v>
      </c>
      <c r="Y300" s="113">
        <f t="shared" si="136"/>
        <v>94965614</v>
      </c>
      <c r="Z300" s="155">
        <f t="shared" si="137"/>
        <v>67.820822165145643</v>
      </c>
      <c r="AA300" s="33">
        <f t="shared" si="138"/>
        <v>140024274</v>
      </c>
      <c r="AB300" s="114">
        <f t="shared" si="139"/>
        <v>99.999999850026001</v>
      </c>
      <c r="AC300" s="28">
        <f t="shared" si="140"/>
        <v>8627797.900000006</v>
      </c>
      <c r="AD300" s="28">
        <f t="shared" si="141"/>
        <v>6036966</v>
      </c>
      <c r="AE300" s="28">
        <f t="shared" si="142"/>
        <v>5672134.3362829834</v>
      </c>
      <c r="AF300" s="115">
        <f t="shared" si="143"/>
        <v>4.0508221651456395</v>
      </c>
      <c r="AG300" s="28">
        <f t="shared" si="144"/>
        <v>17003.55</v>
      </c>
      <c r="AI300" s="28">
        <f t="shared" si="145"/>
        <v>0</v>
      </c>
      <c r="AJ300" s="28"/>
      <c r="AK300" s="28">
        <f t="shared" si="146"/>
        <v>733.08633879781416</v>
      </c>
      <c r="AL300" s="156"/>
      <c r="AM300" s="6">
        <f t="shared" si="147"/>
        <v>293</v>
      </c>
      <c r="AN300" s="6" t="str">
        <f t="shared" si="148"/>
        <v xml:space="preserve">Taunton                      </v>
      </c>
      <c r="AO300" s="6">
        <f t="shared" si="149"/>
        <v>1</v>
      </c>
      <c r="AP300" s="9">
        <f t="shared" si="154"/>
        <v>8235</v>
      </c>
      <c r="AQ300" s="9">
        <f t="shared" si="150"/>
        <v>140024274.21000001</v>
      </c>
      <c r="AR300" s="33">
        <f t="shared" si="151"/>
        <v>45058660</v>
      </c>
      <c r="AS300" s="33">
        <f t="shared" si="152"/>
        <v>94965614</v>
      </c>
      <c r="AU300" s="28"/>
      <c r="AV300" s="9"/>
      <c r="AW300" s="519"/>
    </row>
    <row r="301" spans="1:49">
      <c r="A301" s="6">
        <v>294</v>
      </c>
      <c r="B301" s="6" t="s">
        <v>1412</v>
      </c>
      <c r="C301" s="7">
        <v>0</v>
      </c>
      <c r="D301" s="9">
        <v>0</v>
      </c>
      <c r="E301" s="9">
        <v>0</v>
      </c>
      <c r="F301" s="9">
        <v>0</v>
      </c>
      <c r="G301" s="348"/>
      <c r="H301" s="111">
        <f t="shared" si="153"/>
        <v>0</v>
      </c>
      <c r="I301" s="9">
        <f t="shared" si="124"/>
        <v>16860.330000000002</v>
      </c>
      <c r="J301" s="33">
        <f t="shared" si="125"/>
        <v>5783</v>
      </c>
      <c r="K301" s="9">
        <f t="shared" si="126"/>
        <v>11077</v>
      </c>
      <c r="L301" s="112">
        <f t="shared" si="127"/>
        <v>11077</v>
      </c>
      <c r="M301" s="458">
        <f>ROUND(100-'Townwide Contributions'!L300,2)</f>
        <v>58.76</v>
      </c>
      <c r="N301" s="9">
        <v>0</v>
      </c>
      <c r="O301" s="9">
        <f t="shared" si="128"/>
        <v>1</v>
      </c>
      <c r="P301" s="9">
        <f t="shared" si="129"/>
        <v>0</v>
      </c>
      <c r="Q301" s="28">
        <f t="shared" si="130"/>
        <v>0</v>
      </c>
      <c r="R301" s="382">
        <f t="shared" si="131"/>
        <v>0</v>
      </c>
      <c r="S301" s="28">
        <v>10451</v>
      </c>
      <c r="T301" s="33">
        <f t="shared" si="132"/>
        <v>10481</v>
      </c>
      <c r="U301" s="9">
        <f t="shared" si="133"/>
        <v>0</v>
      </c>
      <c r="V301" s="33">
        <f t="shared" si="134"/>
        <v>11077</v>
      </c>
      <c r="W301" s="33">
        <f t="shared" si="135"/>
        <v>0</v>
      </c>
      <c r="X301" s="33">
        <v>0</v>
      </c>
      <c r="Y301" s="113">
        <f t="shared" si="136"/>
        <v>11077</v>
      </c>
      <c r="Z301" s="155">
        <f t="shared" si="137"/>
        <v>0</v>
      </c>
      <c r="AA301" s="33">
        <f t="shared" si="138"/>
        <v>16860</v>
      </c>
      <c r="AB301" s="114">
        <f t="shared" si="139"/>
        <v>99.998042742935624</v>
      </c>
      <c r="AC301" s="28">
        <f t="shared" si="140"/>
        <v>16860.330000000002</v>
      </c>
      <c r="AD301" s="28">
        <f t="shared" si="141"/>
        <v>11077</v>
      </c>
      <c r="AE301" s="28">
        <f t="shared" si="142"/>
        <v>1169.8700919999992</v>
      </c>
      <c r="AF301" s="115" t="str">
        <f t="shared" si="143"/>
        <v/>
      </c>
      <c r="AG301" s="28">
        <f t="shared" si="144"/>
        <v>16860.330000000002</v>
      </c>
      <c r="AI301" s="28">
        <f t="shared" si="145"/>
        <v>0</v>
      </c>
      <c r="AJ301" s="28"/>
      <c r="AK301" s="28">
        <f t="shared" si="146"/>
        <v>11077</v>
      </c>
      <c r="AL301" s="156"/>
      <c r="AM301" s="6">
        <f t="shared" si="147"/>
        <v>294</v>
      </c>
      <c r="AN301" s="6" t="str">
        <f t="shared" si="148"/>
        <v xml:space="preserve">Templeton                    </v>
      </c>
      <c r="AO301" s="6">
        <f t="shared" si="149"/>
        <v>0</v>
      </c>
      <c r="AP301" s="9">
        <f t="shared" si="154"/>
        <v>1</v>
      </c>
      <c r="AQ301" s="9">
        <f t="shared" si="150"/>
        <v>16860.330000000002</v>
      </c>
      <c r="AR301" s="33">
        <f t="shared" si="151"/>
        <v>5783</v>
      </c>
      <c r="AS301" s="33">
        <f t="shared" si="152"/>
        <v>11077</v>
      </c>
      <c r="AU301" s="28"/>
      <c r="AV301" s="9"/>
      <c r="AW301" s="519"/>
    </row>
    <row r="302" spans="1:49">
      <c r="A302" s="6">
        <v>295</v>
      </c>
      <c r="B302" s="6" t="s">
        <v>1413</v>
      </c>
      <c r="C302" s="7">
        <v>1</v>
      </c>
      <c r="D302" s="9">
        <v>41191248.019999996</v>
      </c>
      <c r="E302" s="9">
        <v>32555022</v>
      </c>
      <c r="F302" s="9">
        <v>13812515</v>
      </c>
      <c r="G302" s="348"/>
      <c r="H302" s="111">
        <f t="shared" si="153"/>
        <v>13812515</v>
      </c>
      <c r="I302" s="9">
        <f t="shared" si="124"/>
        <v>42576904.100000009</v>
      </c>
      <c r="J302" s="33">
        <f t="shared" si="125"/>
        <v>34163893</v>
      </c>
      <c r="K302" s="9">
        <f t="shared" si="126"/>
        <v>8413011</v>
      </c>
      <c r="L302" s="112">
        <f t="shared" si="127"/>
        <v>0</v>
      </c>
      <c r="M302" s="458">
        <f>ROUND(100-'Townwide Contributions'!L301,2)</f>
        <v>17.5</v>
      </c>
      <c r="N302" s="9">
        <v>3249</v>
      </c>
      <c r="O302" s="9">
        <f t="shared" si="128"/>
        <v>3258</v>
      </c>
      <c r="P302" s="9">
        <f t="shared" si="129"/>
        <v>0</v>
      </c>
      <c r="Q302" s="28">
        <f t="shared" si="130"/>
        <v>338832</v>
      </c>
      <c r="R302" s="382">
        <f t="shared" si="131"/>
        <v>338832</v>
      </c>
      <c r="S302" s="28">
        <v>13812515</v>
      </c>
      <c r="T302" s="33">
        <f t="shared" si="132"/>
        <v>13910255</v>
      </c>
      <c r="U302" s="9">
        <f t="shared" si="133"/>
        <v>0</v>
      </c>
      <c r="V302" s="33">
        <f t="shared" si="134"/>
        <v>14151347</v>
      </c>
      <c r="W302" s="33">
        <f t="shared" si="135"/>
        <v>0</v>
      </c>
      <c r="X302" s="33">
        <v>0</v>
      </c>
      <c r="Y302" s="113">
        <f t="shared" si="136"/>
        <v>14151347</v>
      </c>
      <c r="Z302" s="155">
        <f t="shared" si="137"/>
        <v>33.237144172725323</v>
      </c>
      <c r="AA302" s="33">
        <f t="shared" si="138"/>
        <v>48315240</v>
      </c>
      <c r="AB302" s="114">
        <f t="shared" si="139"/>
        <v>113.47757903327684</v>
      </c>
      <c r="AC302" s="28">
        <f t="shared" si="140"/>
        <v>1385656.0800000131</v>
      </c>
      <c r="AD302" s="28">
        <f t="shared" si="141"/>
        <v>338832</v>
      </c>
      <c r="AE302" s="28">
        <f t="shared" si="142"/>
        <v>6700388.7824999988</v>
      </c>
      <c r="AF302" s="115">
        <f t="shared" si="143"/>
        <v>15.737144172725323</v>
      </c>
      <c r="AG302" s="28">
        <f t="shared" si="144"/>
        <v>13068.42</v>
      </c>
      <c r="AI302" s="28">
        <f t="shared" si="145"/>
        <v>0</v>
      </c>
      <c r="AJ302" s="28"/>
      <c r="AK302" s="28">
        <f t="shared" si="146"/>
        <v>104</v>
      </c>
      <c r="AL302" s="156"/>
      <c r="AM302" s="6">
        <f t="shared" si="147"/>
        <v>295</v>
      </c>
      <c r="AN302" s="6" t="str">
        <f t="shared" si="148"/>
        <v xml:space="preserve">Tewksbury                    </v>
      </c>
      <c r="AO302" s="6">
        <f t="shared" si="149"/>
        <v>1</v>
      </c>
      <c r="AP302" s="9">
        <f t="shared" si="154"/>
        <v>3258</v>
      </c>
      <c r="AQ302" s="9">
        <f t="shared" si="150"/>
        <v>42576904.100000009</v>
      </c>
      <c r="AR302" s="33">
        <f t="shared" si="151"/>
        <v>34163893</v>
      </c>
      <c r="AS302" s="33">
        <f t="shared" si="152"/>
        <v>14151347</v>
      </c>
      <c r="AU302" s="28"/>
      <c r="AV302" s="9"/>
      <c r="AW302" s="519"/>
    </row>
    <row r="303" spans="1:49">
      <c r="A303" s="6">
        <v>296</v>
      </c>
      <c r="B303" s="6" t="s">
        <v>1414</v>
      </c>
      <c r="C303" s="7">
        <v>1</v>
      </c>
      <c r="D303" s="9">
        <v>5475942.1799999988</v>
      </c>
      <c r="E303" s="9">
        <v>3835613</v>
      </c>
      <c r="F303" s="9">
        <v>1640329</v>
      </c>
      <c r="G303" s="348"/>
      <c r="H303" s="111">
        <f t="shared" si="153"/>
        <v>1640329</v>
      </c>
      <c r="I303" s="9">
        <f t="shared" si="124"/>
        <v>5499468.6799999997</v>
      </c>
      <c r="J303" s="33">
        <f t="shared" si="125"/>
        <v>4537062</v>
      </c>
      <c r="K303" s="9">
        <f t="shared" si="126"/>
        <v>962407</v>
      </c>
      <c r="L303" s="112">
        <f t="shared" si="127"/>
        <v>0</v>
      </c>
      <c r="M303" s="458">
        <f>ROUND(100-'Townwide Contributions'!L302,2)</f>
        <v>17.5</v>
      </c>
      <c r="N303" s="9">
        <v>360</v>
      </c>
      <c r="O303" s="9">
        <f t="shared" si="128"/>
        <v>355</v>
      </c>
      <c r="P303" s="9">
        <f t="shared" si="129"/>
        <v>0</v>
      </c>
      <c r="Q303" s="28">
        <f t="shared" si="130"/>
        <v>36920</v>
      </c>
      <c r="R303" s="382">
        <f t="shared" si="131"/>
        <v>36920</v>
      </c>
      <c r="S303" s="28">
        <v>1640329</v>
      </c>
      <c r="T303" s="33">
        <f t="shared" si="132"/>
        <v>1650979</v>
      </c>
      <c r="U303" s="9">
        <f t="shared" si="133"/>
        <v>0</v>
      </c>
      <c r="V303" s="33">
        <f t="shared" si="134"/>
        <v>1677249</v>
      </c>
      <c r="W303" s="33">
        <f t="shared" si="135"/>
        <v>0</v>
      </c>
      <c r="X303" s="33">
        <v>0</v>
      </c>
      <c r="Y303" s="113">
        <f t="shared" si="136"/>
        <v>1677249</v>
      </c>
      <c r="Z303" s="155">
        <f t="shared" si="137"/>
        <v>30.4983826183005</v>
      </c>
      <c r="AA303" s="33">
        <f t="shared" si="138"/>
        <v>6214311</v>
      </c>
      <c r="AB303" s="114">
        <f t="shared" si="139"/>
        <v>112.99838878253236</v>
      </c>
      <c r="AC303" s="28">
        <f t="shared" si="140"/>
        <v>23526.500000000931</v>
      </c>
      <c r="AD303" s="28">
        <f t="shared" si="141"/>
        <v>36920</v>
      </c>
      <c r="AE303" s="28">
        <f t="shared" si="142"/>
        <v>714841.98100000015</v>
      </c>
      <c r="AF303" s="115">
        <f t="shared" si="143"/>
        <v>12.9983826183005</v>
      </c>
      <c r="AG303" s="28">
        <f t="shared" si="144"/>
        <v>15491.46</v>
      </c>
      <c r="AI303" s="28">
        <f t="shared" si="145"/>
        <v>0</v>
      </c>
      <c r="AJ303" s="28"/>
      <c r="AK303" s="28">
        <f t="shared" si="146"/>
        <v>104</v>
      </c>
      <c r="AL303" s="156"/>
      <c r="AM303" s="6">
        <f t="shared" si="147"/>
        <v>296</v>
      </c>
      <c r="AN303" s="6" t="str">
        <f t="shared" si="148"/>
        <v xml:space="preserve">Tisbury                      </v>
      </c>
      <c r="AO303" s="6">
        <f t="shared" si="149"/>
        <v>1</v>
      </c>
      <c r="AP303" s="9">
        <f t="shared" si="154"/>
        <v>355</v>
      </c>
      <c r="AQ303" s="9">
        <f t="shared" si="150"/>
        <v>5499468.6799999997</v>
      </c>
      <c r="AR303" s="33">
        <f t="shared" si="151"/>
        <v>4537062</v>
      </c>
      <c r="AS303" s="33">
        <f t="shared" si="152"/>
        <v>1677249</v>
      </c>
      <c r="AU303" s="28"/>
      <c r="AV303" s="9"/>
      <c r="AW303" s="519"/>
    </row>
    <row r="304" spans="1:49">
      <c r="A304" s="6">
        <v>297</v>
      </c>
      <c r="B304" s="6" t="s">
        <v>1415</v>
      </c>
      <c r="C304" s="7">
        <v>0</v>
      </c>
      <c r="D304" s="9">
        <v>0</v>
      </c>
      <c r="E304" s="9">
        <v>0</v>
      </c>
      <c r="F304" s="9">
        <v>0</v>
      </c>
      <c r="G304" s="348"/>
      <c r="H304" s="111">
        <f t="shared" si="153"/>
        <v>0</v>
      </c>
      <c r="I304" s="9">
        <f t="shared" si="124"/>
        <v>0</v>
      </c>
      <c r="J304" s="33">
        <f t="shared" si="125"/>
        <v>0</v>
      </c>
      <c r="K304" s="9">
        <f t="shared" si="126"/>
        <v>0</v>
      </c>
      <c r="L304" s="112">
        <f t="shared" si="127"/>
        <v>0</v>
      </c>
      <c r="M304" s="458">
        <f>ROUND(100-'Townwide Contributions'!L303,2)</f>
        <v>17.5</v>
      </c>
      <c r="N304" s="9">
        <v>0</v>
      </c>
      <c r="O304" s="9">
        <f t="shared" si="128"/>
        <v>0</v>
      </c>
      <c r="P304" s="9">
        <f t="shared" si="129"/>
        <v>0</v>
      </c>
      <c r="Q304" s="28">
        <f t="shared" si="130"/>
        <v>0</v>
      </c>
      <c r="R304" s="382">
        <f t="shared" si="131"/>
        <v>0</v>
      </c>
      <c r="S304" s="28">
        <v>0</v>
      </c>
      <c r="T304" s="33">
        <f t="shared" si="132"/>
        <v>0</v>
      </c>
      <c r="U304" s="9">
        <f t="shared" si="133"/>
        <v>0</v>
      </c>
      <c r="V304" s="33">
        <f t="shared" si="134"/>
        <v>0</v>
      </c>
      <c r="W304" s="33">
        <f t="shared" si="135"/>
        <v>0</v>
      </c>
      <c r="X304" s="33">
        <v>0</v>
      </c>
      <c r="Y304" s="113">
        <f t="shared" si="136"/>
        <v>0</v>
      </c>
      <c r="Z304" s="155">
        <f t="shared" si="137"/>
        <v>0</v>
      </c>
      <c r="AA304" s="33">
        <f t="shared" si="138"/>
        <v>0</v>
      </c>
      <c r="AB304" s="114">
        <f t="shared" si="139"/>
        <v>0</v>
      </c>
      <c r="AC304" s="28">
        <f t="shared" si="140"/>
        <v>0</v>
      </c>
      <c r="AD304" s="28">
        <f t="shared" si="141"/>
        <v>0</v>
      </c>
      <c r="AE304" s="28">
        <f t="shared" si="142"/>
        <v>0</v>
      </c>
      <c r="AF304" s="115" t="str">
        <f t="shared" si="143"/>
        <v/>
      </c>
      <c r="AG304" s="28">
        <f t="shared" si="144"/>
        <v>0</v>
      </c>
      <c r="AI304" s="28">
        <f t="shared" si="145"/>
        <v>0</v>
      </c>
      <c r="AJ304" s="28"/>
      <c r="AK304" s="28">
        <f t="shared" si="146"/>
        <v>0</v>
      </c>
      <c r="AL304" s="156"/>
      <c r="AM304" s="6">
        <f t="shared" si="147"/>
        <v>297</v>
      </c>
      <c r="AN304" s="6" t="str">
        <f t="shared" si="148"/>
        <v xml:space="preserve">Tolland                      </v>
      </c>
      <c r="AO304" s="6">
        <f t="shared" si="149"/>
        <v>0</v>
      </c>
      <c r="AP304" s="9">
        <f t="shared" si="154"/>
        <v>0</v>
      </c>
      <c r="AQ304" s="9">
        <f t="shared" si="150"/>
        <v>0</v>
      </c>
      <c r="AR304" s="33">
        <f t="shared" si="151"/>
        <v>0</v>
      </c>
      <c r="AS304" s="33">
        <f t="shared" si="152"/>
        <v>0</v>
      </c>
      <c r="AU304" s="28"/>
      <c r="AW304" s="519"/>
    </row>
    <row r="305" spans="1:49">
      <c r="A305" s="6">
        <v>298</v>
      </c>
      <c r="B305" s="6" t="s">
        <v>1416</v>
      </c>
      <c r="C305" s="7">
        <v>1</v>
      </c>
      <c r="D305" s="9">
        <v>6737747.4920000006</v>
      </c>
      <c r="E305" s="9">
        <v>5269483</v>
      </c>
      <c r="F305" s="9">
        <v>1468264</v>
      </c>
      <c r="G305" s="348"/>
      <c r="H305" s="111">
        <f t="shared" si="153"/>
        <v>1468264</v>
      </c>
      <c r="I305" s="9">
        <f t="shared" si="124"/>
        <v>7135071.2786099995</v>
      </c>
      <c r="J305" s="33">
        <f t="shared" si="125"/>
        <v>5582684</v>
      </c>
      <c r="K305" s="9">
        <f t="shared" si="126"/>
        <v>1552387</v>
      </c>
      <c r="L305" s="112">
        <f t="shared" si="127"/>
        <v>84123</v>
      </c>
      <c r="M305" s="458">
        <f>ROUND(100-'Townwide Contributions'!L304,2)</f>
        <v>17.5</v>
      </c>
      <c r="N305" s="9">
        <v>574</v>
      </c>
      <c r="O305" s="9">
        <f t="shared" si="128"/>
        <v>589</v>
      </c>
      <c r="P305" s="9">
        <f t="shared" si="129"/>
        <v>1</v>
      </c>
      <c r="Q305" s="28">
        <f t="shared" si="130"/>
        <v>61256</v>
      </c>
      <c r="R305" s="382">
        <f t="shared" si="131"/>
        <v>0</v>
      </c>
      <c r="S305" s="28">
        <v>1468264</v>
      </c>
      <c r="T305" s="33">
        <f t="shared" si="132"/>
        <v>1485934</v>
      </c>
      <c r="U305" s="9">
        <f t="shared" si="133"/>
        <v>0</v>
      </c>
      <c r="V305" s="33">
        <f t="shared" si="134"/>
        <v>1552387</v>
      </c>
      <c r="W305" s="33">
        <f t="shared" si="135"/>
        <v>0</v>
      </c>
      <c r="X305" s="33">
        <v>0</v>
      </c>
      <c r="Y305" s="113">
        <f t="shared" si="136"/>
        <v>1552387</v>
      </c>
      <c r="Z305" s="155">
        <f t="shared" si="137"/>
        <v>21.757133732550802</v>
      </c>
      <c r="AA305" s="33">
        <f t="shared" si="138"/>
        <v>7135071</v>
      </c>
      <c r="AB305" s="114">
        <f t="shared" si="139"/>
        <v>99.999996095203699</v>
      </c>
      <c r="AC305" s="28">
        <f t="shared" si="140"/>
        <v>397323.7866099989</v>
      </c>
      <c r="AD305" s="28">
        <f t="shared" si="141"/>
        <v>84123</v>
      </c>
      <c r="AE305" s="28">
        <f t="shared" si="142"/>
        <v>303749.52624325012</v>
      </c>
      <c r="AF305" s="115">
        <f t="shared" si="143"/>
        <v>4.2571337325508019</v>
      </c>
      <c r="AG305" s="28">
        <f t="shared" si="144"/>
        <v>12113.87</v>
      </c>
      <c r="AI305" s="28">
        <f t="shared" si="145"/>
        <v>0</v>
      </c>
      <c r="AJ305" s="28"/>
      <c r="AK305" s="28">
        <f t="shared" si="146"/>
        <v>142.82342954159591</v>
      </c>
      <c r="AL305" s="156"/>
      <c r="AM305" s="6">
        <f t="shared" si="147"/>
        <v>298</v>
      </c>
      <c r="AN305" s="6" t="str">
        <f t="shared" si="148"/>
        <v xml:space="preserve">Topsfield                    </v>
      </c>
      <c r="AO305" s="6">
        <f t="shared" si="149"/>
        <v>1</v>
      </c>
      <c r="AP305" s="9">
        <f t="shared" si="154"/>
        <v>589</v>
      </c>
      <c r="AQ305" s="9">
        <f t="shared" si="150"/>
        <v>7135071.2786099995</v>
      </c>
      <c r="AR305" s="33">
        <f t="shared" si="151"/>
        <v>5582684</v>
      </c>
      <c r="AS305" s="33">
        <f t="shared" si="152"/>
        <v>1552387</v>
      </c>
      <c r="AU305" s="28"/>
      <c r="AV305" s="9"/>
      <c r="AW305" s="519"/>
    </row>
    <row r="306" spans="1:49">
      <c r="A306" s="6">
        <v>299</v>
      </c>
      <c r="B306" s="6" t="s">
        <v>1417</v>
      </c>
      <c r="C306" s="7">
        <v>0</v>
      </c>
      <c r="D306" s="9">
        <v>0</v>
      </c>
      <c r="E306" s="9">
        <v>0</v>
      </c>
      <c r="F306" s="9">
        <v>0</v>
      </c>
      <c r="G306" s="348"/>
      <c r="H306" s="111">
        <f t="shared" si="153"/>
        <v>0</v>
      </c>
      <c r="I306" s="9">
        <f t="shared" si="124"/>
        <v>0</v>
      </c>
      <c r="J306" s="33">
        <f t="shared" si="125"/>
        <v>0</v>
      </c>
      <c r="K306" s="9">
        <f t="shared" si="126"/>
        <v>0</v>
      </c>
      <c r="L306" s="112">
        <f t="shared" si="127"/>
        <v>0</v>
      </c>
      <c r="M306" s="458">
        <f>ROUND(100-'Townwide Contributions'!L305,2)</f>
        <v>46.06</v>
      </c>
      <c r="N306" s="9">
        <v>0</v>
      </c>
      <c r="O306" s="9">
        <f t="shared" si="128"/>
        <v>0</v>
      </c>
      <c r="P306" s="9">
        <f t="shared" si="129"/>
        <v>0</v>
      </c>
      <c r="Q306" s="28">
        <f t="shared" si="130"/>
        <v>0</v>
      </c>
      <c r="R306" s="382">
        <f t="shared" si="131"/>
        <v>0</v>
      </c>
      <c r="S306" s="28">
        <v>0</v>
      </c>
      <c r="T306" s="33">
        <f t="shared" si="132"/>
        <v>0</v>
      </c>
      <c r="U306" s="9">
        <f t="shared" si="133"/>
        <v>0</v>
      </c>
      <c r="V306" s="33">
        <f t="shared" si="134"/>
        <v>0</v>
      </c>
      <c r="W306" s="33">
        <f t="shared" si="135"/>
        <v>0</v>
      </c>
      <c r="X306" s="33">
        <v>0</v>
      </c>
      <c r="Y306" s="113">
        <f t="shared" si="136"/>
        <v>0</v>
      </c>
      <c r="Z306" s="155">
        <f t="shared" si="137"/>
        <v>0</v>
      </c>
      <c r="AA306" s="33">
        <f t="shared" si="138"/>
        <v>0</v>
      </c>
      <c r="AB306" s="114">
        <f t="shared" si="139"/>
        <v>0</v>
      </c>
      <c r="AC306" s="28">
        <f t="shared" si="140"/>
        <v>0</v>
      </c>
      <c r="AD306" s="28">
        <f t="shared" si="141"/>
        <v>0</v>
      </c>
      <c r="AE306" s="28">
        <f t="shared" si="142"/>
        <v>0</v>
      </c>
      <c r="AF306" s="115" t="str">
        <f t="shared" si="143"/>
        <v/>
      </c>
      <c r="AG306" s="28">
        <f t="shared" si="144"/>
        <v>0</v>
      </c>
      <c r="AI306" s="28">
        <f t="shared" si="145"/>
        <v>0</v>
      </c>
      <c r="AJ306" s="28"/>
      <c r="AK306" s="28">
        <f t="shared" si="146"/>
        <v>0</v>
      </c>
      <c r="AL306" s="156"/>
      <c r="AM306" s="6">
        <f t="shared" si="147"/>
        <v>299</v>
      </c>
      <c r="AN306" s="6" t="str">
        <f t="shared" si="148"/>
        <v xml:space="preserve">Townsend                     </v>
      </c>
      <c r="AO306" s="6">
        <f t="shared" si="149"/>
        <v>0</v>
      </c>
      <c r="AP306" s="9">
        <f t="shared" si="154"/>
        <v>0</v>
      </c>
      <c r="AQ306" s="9">
        <f t="shared" si="150"/>
        <v>0</v>
      </c>
      <c r="AR306" s="33">
        <f t="shared" si="151"/>
        <v>0</v>
      </c>
      <c r="AS306" s="33">
        <f t="shared" si="152"/>
        <v>0</v>
      </c>
      <c r="AU306" s="28"/>
      <c r="AW306" s="519"/>
    </row>
    <row r="307" spans="1:49">
      <c r="A307" s="6">
        <v>300</v>
      </c>
      <c r="B307" s="6" t="s">
        <v>1418</v>
      </c>
      <c r="C307" s="7">
        <v>1</v>
      </c>
      <c r="D307" s="9">
        <v>2300504.7399999998</v>
      </c>
      <c r="E307" s="9">
        <v>1897916</v>
      </c>
      <c r="F307" s="9">
        <v>429896</v>
      </c>
      <c r="G307" s="348"/>
      <c r="H307" s="111">
        <f t="shared" si="153"/>
        <v>429896</v>
      </c>
      <c r="I307" s="9">
        <f t="shared" si="124"/>
        <v>2291577.2599999998</v>
      </c>
      <c r="J307" s="33">
        <f t="shared" si="125"/>
        <v>1890551</v>
      </c>
      <c r="K307" s="9">
        <f t="shared" si="126"/>
        <v>401026</v>
      </c>
      <c r="L307" s="112">
        <f t="shared" si="127"/>
        <v>0</v>
      </c>
      <c r="M307" s="458">
        <f>ROUND(100-'Townwide Contributions'!L306,2)</f>
        <v>17.5</v>
      </c>
      <c r="N307" s="9">
        <v>173</v>
      </c>
      <c r="O307" s="9">
        <f t="shared" si="128"/>
        <v>170</v>
      </c>
      <c r="P307" s="9">
        <f t="shared" si="129"/>
        <v>0</v>
      </c>
      <c r="Q307" s="28">
        <f t="shared" si="130"/>
        <v>17680</v>
      </c>
      <c r="R307" s="382">
        <f t="shared" si="131"/>
        <v>17680</v>
      </c>
      <c r="S307" s="28">
        <v>429896</v>
      </c>
      <c r="T307" s="33">
        <f t="shared" si="132"/>
        <v>434996</v>
      </c>
      <c r="U307" s="9">
        <f t="shared" si="133"/>
        <v>0</v>
      </c>
      <c r="V307" s="33">
        <f t="shared" si="134"/>
        <v>447576</v>
      </c>
      <c r="W307" s="33">
        <f t="shared" si="135"/>
        <v>0</v>
      </c>
      <c r="X307" s="33">
        <v>0</v>
      </c>
      <c r="Y307" s="113">
        <f t="shared" si="136"/>
        <v>447576</v>
      </c>
      <c r="Z307" s="155">
        <f t="shared" si="137"/>
        <v>19.53135108348911</v>
      </c>
      <c r="AA307" s="33">
        <f t="shared" si="138"/>
        <v>2338127</v>
      </c>
      <c r="AB307" s="114">
        <f t="shared" si="139"/>
        <v>102.03134063217227</v>
      </c>
      <c r="AC307" s="28">
        <f t="shared" si="140"/>
        <v>-8927.4799999999814</v>
      </c>
      <c r="AD307" s="28">
        <f t="shared" si="141"/>
        <v>17680</v>
      </c>
      <c r="AE307" s="28">
        <f t="shared" si="142"/>
        <v>46549.979500000074</v>
      </c>
      <c r="AF307" s="115">
        <f t="shared" si="143"/>
        <v>2.0313510834891098</v>
      </c>
      <c r="AG307" s="28">
        <f t="shared" si="144"/>
        <v>13479.87</v>
      </c>
      <c r="AI307" s="28">
        <f t="shared" si="145"/>
        <v>0</v>
      </c>
      <c r="AJ307" s="28"/>
      <c r="AK307" s="28">
        <f t="shared" si="146"/>
        <v>104</v>
      </c>
      <c r="AL307" s="156"/>
      <c r="AM307" s="6">
        <f t="shared" si="147"/>
        <v>300</v>
      </c>
      <c r="AN307" s="6" t="str">
        <f t="shared" si="148"/>
        <v xml:space="preserve">Truro                        </v>
      </c>
      <c r="AO307" s="6">
        <f t="shared" si="149"/>
        <v>1</v>
      </c>
      <c r="AP307" s="9">
        <f t="shared" si="154"/>
        <v>170</v>
      </c>
      <c r="AQ307" s="9">
        <f t="shared" si="150"/>
        <v>2291577.2599999998</v>
      </c>
      <c r="AR307" s="33">
        <f t="shared" si="151"/>
        <v>1890551</v>
      </c>
      <c r="AS307" s="33">
        <f t="shared" si="152"/>
        <v>447576</v>
      </c>
      <c r="AU307" s="28"/>
      <c r="AV307" s="9"/>
      <c r="AW307" s="519"/>
    </row>
    <row r="308" spans="1:49">
      <c r="A308" s="6">
        <v>301</v>
      </c>
      <c r="B308" s="6" t="s">
        <v>1419</v>
      </c>
      <c r="C308" s="7">
        <v>1</v>
      </c>
      <c r="D308" s="9">
        <v>21286361.979999997</v>
      </c>
      <c r="E308" s="9">
        <v>13961757</v>
      </c>
      <c r="F308" s="9">
        <v>7654834</v>
      </c>
      <c r="G308" s="348"/>
      <c r="H308" s="111">
        <f t="shared" si="153"/>
        <v>7654834</v>
      </c>
      <c r="I308" s="9">
        <f t="shared" si="124"/>
        <v>21384094.800000001</v>
      </c>
      <c r="J308" s="33">
        <f t="shared" si="125"/>
        <v>14900523</v>
      </c>
      <c r="K308" s="9">
        <f t="shared" si="126"/>
        <v>6483572</v>
      </c>
      <c r="L308" s="112">
        <f t="shared" si="127"/>
        <v>0</v>
      </c>
      <c r="M308" s="458">
        <f>ROUND(100-'Townwide Contributions'!L307,2)</f>
        <v>22.03</v>
      </c>
      <c r="N308" s="9">
        <v>1619</v>
      </c>
      <c r="O308" s="9">
        <f t="shared" si="128"/>
        <v>1594</v>
      </c>
      <c r="P308" s="9">
        <f t="shared" si="129"/>
        <v>0</v>
      </c>
      <c r="Q308" s="28">
        <f t="shared" si="130"/>
        <v>165776</v>
      </c>
      <c r="R308" s="382">
        <f t="shared" si="131"/>
        <v>165776</v>
      </c>
      <c r="S308" s="28">
        <v>7654834</v>
      </c>
      <c r="T308" s="33">
        <f t="shared" si="132"/>
        <v>7702654</v>
      </c>
      <c r="U308" s="9">
        <f t="shared" si="133"/>
        <v>0</v>
      </c>
      <c r="V308" s="33">
        <f t="shared" si="134"/>
        <v>7820610</v>
      </c>
      <c r="W308" s="33">
        <f t="shared" si="135"/>
        <v>0</v>
      </c>
      <c r="X308" s="33">
        <v>0</v>
      </c>
      <c r="Y308" s="113">
        <f t="shared" si="136"/>
        <v>7820610</v>
      </c>
      <c r="Z308" s="155">
        <f t="shared" si="137"/>
        <v>36.572088148430765</v>
      </c>
      <c r="AA308" s="33">
        <f t="shared" si="138"/>
        <v>22721133</v>
      </c>
      <c r="AB308" s="114">
        <f t="shared" si="139"/>
        <v>106.25248911635015</v>
      </c>
      <c r="AC308" s="28">
        <f t="shared" si="140"/>
        <v>97732.820000004023</v>
      </c>
      <c r="AD308" s="28">
        <f t="shared" si="141"/>
        <v>165776</v>
      </c>
      <c r="AE308" s="28">
        <f t="shared" si="142"/>
        <v>3109693.9155599996</v>
      </c>
      <c r="AF308" s="115">
        <f t="shared" si="143"/>
        <v>14.542088148430764</v>
      </c>
      <c r="AG308" s="28">
        <f t="shared" si="144"/>
        <v>13415.37</v>
      </c>
      <c r="AI308" s="28">
        <f t="shared" si="145"/>
        <v>0</v>
      </c>
      <c r="AJ308" s="28"/>
      <c r="AK308" s="28">
        <f t="shared" si="146"/>
        <v>104</v>
      </c>
      <c r="AL308" s="156"/>
      <c r="AM308" s="6">
        <f t="shared" si="147"/>
        <v>301</v>
      </c>
      <c r="AN308" s="6" t="str">
        <f t="shared" si="148"/>
        <v xml:space="preserve">Tyngsborough                 </v>
      </c>
      <c r="AO308" s="6">
        <f t="shared" si="149"/>
        <v>1</v>
      </c>
      <c r="AP308" s="9">
        <f t="shared" si="154"/>
        <v>1594</v>
      </c>
      <c r="AQ308" s="9">
        <f t="shared" si="150"/>
        <v>21384094.800000001</v>
      </c>
      <c r="AR308" s="33">
        <f t="shared" si="151"/>
        <v>14900523</v>
      </c>
      <c r="AS308" s="33">
        <f t="shared" si="152"/>
        <v>7820610</v>
      </c>
      <c r="AU308" s="28"/>
      <c r="AV308" s="9"/>
      <c r="AW308" s="519"/>
    </row>
    <row r="309" spans="1:49">
      <c r="A309" s="6">
        <v>302</v>
      </c>
      <c r="B309" s="6" t="s">
        <v>1420</v>
      </c>
      <c r="C309" s="7">
        <v>0</v>
      </c>
      <c r="D309" s="9">
        <v>268153.68999999994</v>
      </c>
      <c r="E309" s="9">
        <v>221227</v>
      </c>
      <c r="F309" s="9">
        <v>57162</v>
      </c>
      <c r="G309" s="348"/>
      <c r="H309" s="111">
        <f t="shared" si="153"/>
        <v>57162</v>
      </c>
      <c r="I309" s="9">
        <f t="shared" si="124"/>
        <v>322864.62</v>
      </c>
      <c r="J309" s="33">
        <f t="shared" si="125"/>
        <v>266363</v>
      </c>
      <c r="K309" s="9">
        <f t="shared" si="126"/>
        <v>56502</v>
      </c>
      <c r="L309" s="112">
        <f t="shared" si="127"/>
        <v>0</v>
      </c>
      <c r="M309" s="458">
        <f>ROUND(100-'Townwide Contributions'!L308,2)</f>
        <v>17.5</v>
      </c>
      <c r="N309" s="9">
        <v>24</v>
      </c>
      <c r="O309" s="9">
        <f t="shared" si="128"/>
        <v>28</v>
      </c>
      <c r="P309" s="9">
        <f t="shared" si="129"/>
        <v>0</v>
      </c>
      <c r="Q309" s="28">
        <f t="shared" si="130"/>
        <v>0</v>
      </c>
      <c r="R309" s="382">
        <f t="shared" si="131"/>
        <v>0</v>
      </c>
      <c r="S309" s="28">
        <v>57162</v>
      </c>
      <c r="T309" s="33">
        <f t="shared" si="132"/>
        <v>58002</v>
      </c>
      <c r="U309" s="9">
        <f t="shared" si="133"/>
        <v>0</v>
      </c>
      <c r="V309" s="33">
        <f t="shared" si="134"/>
        <v>57162</v>
      </c>
      <c r="W309" s="33">
        <f t="shared" si="135"/>
        <v>0</v>
      </c>
      <c r="X309" s="33">
        <v>0</v>
      </c>
      <c r="Y309" s="113">
        <f t="shared" si="136"/>
        <v>57162</v>
      </c>
      <c r="Z309" s="155">
        <f t="shared" si="137"/>
        <v>0</v>
      </c>
      <c r="AA309" s="33">
        <f t="shared" si="138"/>
        <v>323525</v>
      </c>
      <c r="AB309" s="114">
        <f t="shared" si="139"/>
        <v>100.20453774092684</v>
      </c>
      <c r="AC309" s="28">
        <f t="shared" si="140"/>
        <v>54710.930000000051</v>
      </c>
      <c r="AD309" s="28">
        <f t="shared" si="141"/>
        <v>0</v>
      </c>
      <c r="AE309" s="28">
        <f t="shared" si="142"/>
        <v>660.69150000000081</v>
      </c>
      <c r="AF309" s="115" t="str">
        <f t="shared" si="143"/>
        <v/>
      </c>
      <c r="AG309" s="28">
        <f t="shared" si="144"/>
        <v>11530.88</v>
      </c>
      <c r="AI309" s="28">
        <f t="shared" si="145"/>
        <v>0</v>
      </c>
      <c r="AJ309" s="28"/>
      <c r="AK309" s="28">
        <f t="shared" si="146"/>
        <v>0</v>
      </c>
      <c r="AL309" s="156"/>
      <c r="AM309" s="6">
        <f t="shared" si="147"/>
        <v>302</v>
      </c>
      <c r="AN309" s="6" t="str">
        <f t="shared" si="148"/>
        <v xml:space="preserve">Tyringham                    </v>
      </c>
      <c r="AO309" s="6">
        <f t="shared" si="149"/>
        <v>0</v>
      </c>
      <c r="AP309" s="9">
        <f t="shared" si="154"/>
        <v>28</v>
      </c>
      <c r="AQ309" s="9">
        <f t="shared" si="150"/>
        <v>322864.62</v>
      </c>
      <c r="AR309" s="33">
        <f t="shared" si="151"/>
        <v>266363</v>
      </c>
      <c r="AS309" s="33">
        <f t="shared" si="152"/>
        <v>57162</v>
      </c>
      <c r="AU309" s="28"/>
      <c r="AV309" s="9"/>
      <c r="AW309" s="519"/>
    </row>
    <row r="310" spans="1:49">
      <c r="A310" s="6">
        <v>303</v>
      </c>
      <c r="B310" s="6" t="s">
        <v>1421</v>
      </c>
      <c r="C310" s="7">
        <v>0</v>
      </c>
      <c r="D310" s="9">
        <v>82453.8</v>
      </c>
      <c r="E310" s="9">
        <v>61452</v>
      </c>
      <c r="F310" s="9">
        <v>39979</v>
      </c>
      <c r="G310" s="348"/>
      <c r="H310" s="111">
        <f t="shared" si="153"/>
        <v>39979</v>
      </c>
      <c r="I310" s="9">
        <f t="shared" si="124"/>
        <v>84301.650000000009</v>
      </c>
      <c r="J310" s="33">
        <f t="shared" si="125"/>
        <v>65499</v>
      </c>
      <c r="K310" s="9">
        <f t="shared" si="126"/>
        <v>18803</v>
      </c>
      <c r="L310" s="112">
        <f t="shared" si="127"/>
        <v>0</v>
      </c>
      <c r="M310" s="458">
        <f>ROUND(100-'Townwide Contributions'!L309,2)</f>
        <v>17.5</v>
      </c>
      <c r="N310" s="9">
        <v>5</v>
      </c>
      <c r="O310" s="9">
        <f t="shared" si="128"/>
        <v>5</v>
      </c>
      <c r="P310" s="9">
        <f t="shared" si="129"/>
        <v>0</v>
      </c>
      <c r="Q310" s="28">
        <f t="shared" si="130"/>
        <v>0</v>
      </c>
      <c r="R310" s="382">
        <f t="shared" si="131"/>
        <v>0</v>
      </c>
      <c r="S310" s="28">
        <v>39979</v>
      </c>
      <c r="T310" s="33">
        <f t="shared" si="132"/>
        <v>40129</v>
      </c>
      <c r="U310" s="9">
        <f t="shared" si="133"/>
        <v>0</v>
      </c>
      <c r="V310" s="33">
        <f t="shared" si="134"/>
        <v>39979</v>
      </c>
      <c r="W310" s="33">
        <f t="shared" si="135"/>
        <v>0</v>
      </c>
      <c r="X310" s="33">
        <v>0</v>
      </c>
      <c r="Y310" s="113">
        <f t="shared" si="136"/>
        <v>39979</v>
      </c>
      <c r="Z310" s="155">
        <f t="shared" si="137"/>
        <v>0</v>
      </c>
      <c r="AA310" s="33">
        <f t="shared" si="138"/>
        <v>105478</v>
      </c>
      <c r="AB310" s="114">
        <f t="shared" si="139"/>
        <v>125.11973371814192</v>
      </c>
      <c r="AC310" s="28">
        <f t="shared" si="140"/>
        <v>1847.8500000000058</v>
      </c>
      <c r="AD310" s="28">
        <f t="shared" si="141"/>
        <v>0</v>
      </c>
      <c r="AE310" s="28">
        <f t="shared" si="142"/>
        <v>25226.21125</v>
      </c>
      <c r="AF310" s="115" t="str">
        <f t="shared" si="143"/>
        <v/>
      </c>
      <c r="AG310" s="28">
        <f t="shared" si="144"/>
        <v>16860.330000000002</v>
      </c>
      <c r="AI310" s="28">
        <f t="shared" si="145"/>
        <v>0</v>
      </c>
      <c r="AJ310" s="28"/>
      <c r="AK310" s="28">
        <f t="shared" si="146"/>
        <v>0</v>
      </c>
      <c r="AL310" s="156"/>
      <c r="AM310" s="6">
        <f t="shared" si="147"/>
        <v>303</v>
      </c>
      <c r="AN310" s="6" t="str">
        <f t="shared" si="148"/>
        <v xml:space="preserve">Upton                        </v>
      </c>
      <c r="AO310" s="6">
        <f t="shared" si="149"/>
        <v>0</v>
      </c>
      <c r="AP310" s="9">
        <f t="shared" si="154"/>
        <v>5</v>
      </c>
      <c r="AQ310" s="9">
        <f t="shared" si="150"/>
        <v>84301.650000000009</v>
      </c>
      <c r="AR310" s="33">
        <f t="shared" si="151"/>
        <v>65499</v>
      </c>
      <c r="AS310" s="33">
        <f t="shared" si="152"/>
        <v>39979</v>
      </c>
      <c r="AU310" s="28"/>
      <c r="AV310" s="9"/>
      <c r="AW310" s="519"/>
    </row>
    <row r="311" spans="1:49">
      <c r="A311" s="6">
        <v>304</v>
      </c>
      <c r="B311" s="6" t="s">
        <v>1422</v>
      </c>
      <c r="C311" s="7">
        <v>1</v>
      </c>
      <c r="D311" s="9">
        <v>22214657.669999998</v>
      </c>
      <c r="E311" s="9">
        <v>14882274</v>
      </c>
      <c r="F311" s="9">
        <v>9689924</v>
      </c>
      <c r="G311" s="348"/>
      <c r="H311" s="111">
        <f t="shared" si="153"/>
        <v>9689924</v>
      </c>
      <c r="I311" s="9">
        <f t="shared" si="124"/>
        <v>22397904.870000001</v>
      </c>
      <c r="J311" s="33">
        <f t="shared" si="125"/>
        <v>15614534</v>
      </c>
      <c r="K311" s="9">
        <f t="shared" si="126"/>
        <v>6783371</v>
      </c>
      <c r="L311" s="112">
        <f t="shared" si="127"/>
        <v>0</v>
      </c>
      <c r="M311" s="458">
        <f>ROUND(100-'Townwide Contributions'!L310,2)</f>
        <v>26.72</v>
      </c>
      <c r="N311" s="9">
        <v>1690</v>
      </c>
      <c r="O311" s="9">
        <f t="shared" si="128"/>
        <v>1649</v>
      </c>
      <c r="P311" s="9">
        <f t="shared" si="129"/>
        <v>0</v>
      </c>
      <c r="Q311" s="28">
        <f t="shared" si="130"/>
        <v>171496</v>
      </c>
      <c r="R311" s="382">
        <f t="shared" si="131"/>
        <v>171496</v>
      </c>
      <c r="S311" s="28">
        <v>9689924</v>
      </c>
      <c r="T311" s="33">
        <f t="shared" si="132"/>
        <v>9739394</v>
      </c>
      <c r="U311" s="9">
        <f t="shared" si="133"/>
        <v>0</v>
      </c>
      <c r="V311" s="33">
        <f t="shared" si="134"/>
        <v>9861420</v>
      </c>
      <c r="W311" s="33">
        <f t="shared" si="135"/>
        <v>0</v>
      </c>
      <c r="X311" s="33">
        <v>0</v>
      </c>
      <c r="Y311" s="113">
        <f t="shared" si="136"/>
        <v>9861420</v>
      </c>
      <c r="Z311" s="155">
        <f t="shared" si="137"/>
        <v>44.02831451082951</v>
      </c>
      <c r="AA311" s="33">
        <f t="shared" si="138"/>
        <v>25475954</v>
      </c>
      <c r="AB311" s="114">
        <f t="shared" si="139"/>
        <v>113.74257613765818</v>
      </c>
      <c r="AC311" s="28">
        <f t="shared" si="140"/>
        <v>183247.20000000298</v>
      </c>
      <c r="AD311" s="28">
        <f t="shared" si="141"/>
        <v>171496</v>
      </c>
      <c r="AE311" s="28">
        <f t="shared" si="142"/>
        <v>3876699.818736</v>
      </c>
      <c r="AF311" s="115">
        <f t="shared" si="143"/>
        <v>17.308314510829511</v>
      </c>
      <c r="AG311" s="28">
        <f t="shared" si="144"/>
        <v>13582.72</v>
      </c>
      <c r="AI311" s="28">
        <f t="shared" si="145"/>
        <v>0</v>
      </c>
      <c r="AJ311" s="28"/>
      <c r="AK311" s="28">
        <f t="shared" si="146"/>
        <v>104</v>
      </c>
      <c r="AL311" s="156"/>
      <c r="AM311" s="6">
        <f t="shared" si="147"/>
        <v>304</v>
      </c>
      <c r="AN311" s="6" t="str">
        <f t="shared" si="148"/>
        <v xml:space="preserve">Uxbridge                     </v>
      </c>
      <c r="AO311" s="6">
        <f t="shared" si="149"/>
        <v>1</v>
      </c>
      <c r="AP311" s="9">
        <f t="shared" si="154"/>
        <v>1649</v>
      </c>
      <c r="AQ311" s="9">
        <f t="shared" si="150"/>
        <v>22397904.870000001</v>
      </c>
      <c r="AR311" s="33">
        <f t="shared" si="151"/>
        <v>15614534</v>
      </c>
      <c r="AS311" s="33">
        <f t="shared" si="152"/>
        <v>9861420</v>
      </c>
      <c r="AU311" s="28"/>
      <c r="AV311" s="9"/>
      <c r="AW311" s="519"/>
    </row>
    <row r="312" spans="1:49">
      <c r="A312" s="6">
        <v>305</v>
      </c>
      <c r="B312" s="6" t="s">
        <v>1423</v>
      </c>
      <c r="C312" s="7">
        <v>1</v>
      </c>
      <c r="D312" s="9">
        <v>43061534.5506</v>
      </c>
      <c r="E312" s="9">
        <v>34517798</v>
      </c>
      <c r="F312" s="9">
        <v>8543737</v>
      </c>
      <c r="G312" s="348"/>
      <c r="H312" s="111">
        <f t="shared" si="153"/>
        <v>8543737</v>
      </c>
      <c r="I312" s="9">
        <f t="shared" si="124"/>
        <v>44741734.350440003</v>
      </c>
      <c r="J312" s="33">
        <f t="shared" si="125"/>
        <v>36213785</v>
      </c>
      <c r="K312" s="9">
        <f t="shared" si="126"/>
        <v>8527949</v>
      </c>
      <c r="L312" s="112">
        <f t="shared" si="127"/>
        <v>0</v>
      </c>
      <c r="M312" s="458">
        <f>ROUND(100-'Townwide Contributions'!L311,2)</f>
        <v>17.5</v>
      </c>
      <c r="N312" s="9">
        <v>3317</v>
      </c>
      <c r="O312" s="9">
        <f t="shared" si="128"/>
        <v>3359</v>
      </c>
      <c r="P312" s="9">
        <f t="shared" si="129"/>
        <v>0</v>
      </c>
      <c r="Q312" s="28">
        <f t="shared" si="130"/>
        <v>349336</v>
      </c>
      <c r="R312" s="382">
        <f t="shared" si="131"/>
        <v>349336</v>
      </c>
      <c r="S312" s="28">
        <v>8543737</v>
      </c>
      <c r="T312" s="33">
        <f t="shared" si="132"/>
        <v>8644507</v>
      </c>
      <c r="U312" s="9">
        <f t="shared" si="133"/>
        <v>0</v>
      </c>
      <c r="V312" s="33">
        <f t="shared" si="134"/>
        <v>8893073</v>
      </c>
      <c r="W312" s="33">
        <f t="shared" si="135"/>
        <v>0</v>
      </c>
      <c r="X312" s="33">
        <v>0</v>
      </c>
      <c r="Y312" s="113">
        <f t="shared" si="136"/>
        <v>8893073</v>
      </c>
      <c r="Z312" s="155">
        <f t="shared" si="137"/>
        <v>19.876460153164675</v>
      </c>
      <c r="AA312" s="33">
        <f t="shared" si="138"/>
        <v>45106858</v>
      </c>
      <c r="AB312" s="114">
        <f t="shared" si="139"/>
        <v>100.81606950392259</v>
      </c>
      <c r="AC312" s="28">
        <f t="shared" si="140"/>
        <v>1680199.7998400033</v>
      </c>
      <c r="AD312" s="28">
        <f t="shared" si="141"/>
        <v>349336</v>
      </c>
      <c r="AE312" s="28">
        <f t="shared" si="142"/>
        <v>1063269.4886729997</v>
      </c>
      <c r="AF312" s="115">
        <f t="shared" si="143"/>
        <v>2.3764601531646754</v>
      </c>
      <c r="AG312" s="28">
        <f t="shared" si="144"/>
        <v>13319.96</v>
      </c>
      <c r="AI312" s="28">
        <f t="shared" si="145"/>
        <v>0</v>
      </c>
      <c r="AJ312" s="28"/>
      <c r="AK312" s="28">
        <f t="shared" si="146"/>
        <v>104</v>
      </c>
      <c r="AL312" s="156"/>
      <c r="AM312" s="6">
        <f t="shared" si="147"/>
        <v>305</v>
      </c>
      <c r="AN312" s="6" t="str">
        <f t="shared" si="148"/>
        <v xml:space="preserve">Wakefield                    </v>
      </c>
      <c r="AO312" s="6">
        <f t="shared" si="149"/>
        <v>1</v>
      </c>
      <c r="AP312" s="9">
        <f t="shared" si="154"/>
        <v>3359</v>
      </c>
      <c r="AQ312" s="9">
        <f t="shared" si="150"/>
        <v>44741734.350440003</v>
      </c>
      <c r="AR312" s="33">
        <f t="shared" si="151"/>
        <v>36213785</v>
      </c>
      <c r="AS312" s="33">
        <f t="shared" si="152"/>
        <v>8893073</v>
      </c>
      <c r="AU312" s="28"/>
      <c r="AV312" s="9"/>
      <c r="AW312" s="519"/>
    </row>
    <row r="313" spans="1:49">
      <c r="A313" s="6">
        <v>306</v>
      </c>
      <c r="B313" s="6" t="s">
        <v>1424</v>
      </c>
      <c r="C313" s="7">
        <v>1</v>
      </c>
      <c r="D313" s="9">
        <v>1628374.74</v>
      </c>
      <c r="E313" s="9">
        <v>566808</v>
      </c>
      <c r="F313" s="9">
        <v>1177348</v>
      </c>
      <c r="G313" s="348"/>
      <c r="H313" s="111">
        <f t="shared" si="153"/>
        <v>1177348</v>
      </c>
      <c r="I313" s="9">
        <f t="shared" si="124"/>
        <v>1625333.8399999999</v>
      </c>
      <c r="J313" s="33">
        <f t="shared" si="125"/>
        <v>599401</v>
      </c>
      <c r="K313" s="9">
        <f t="shared" si="126"/>
        <v>1025933</v>
      </c>
      <c r="L313" s="112">
        <f t="shared" si="127"/>
        <v>0</v>
      </c>
      <c r="M313" s="458">
        <f>ROUND(100-'Townwide Contributions'!L312,2)</f>
        <v>58.96</v>
      </c>
      <c r="N313" s="9">
        <v>111</v>
      </c>
      <c r="O313" s="9">
        <f t="shared" si="128"/>
        <v>105</v>
      </c>
      <c r="P313" s="9">
        <f t="shared" si="129"/>
        <v>0</v>
      </c>
      <c r="Q313" s="28">
        <f t="shared" si="130"/>
        <v>10920</v>
      </c>
      <c r="R313" s="382">
        <f t="shared" si="131"/>
        <v>10920</v>
      </c>
      <c r="S313" s="28">
        <v>1177348</v>
      </c>
      <c r="T313" s="33">
        <f t="shared" si="132"/>
        <v>1180498</v>
      </c>
      <c r="U313" s="9">
        <f t="shared" si="133"/>
        <v>0</v>
      </c>
      <c r="V313" s="33">
        <f t="shared" si="134"/>
        <v>1188268</v>
      </c>
      <c r="W313" s="33">
        <f t="shared" si="135"/>
        <v>0</v>
      </c>
      <c r="X313" s="33">
        <v>0</v>
      </c>
      <c r="Y313" s="113">
        <f t="shared" si="136"/>
        <v>1188268</v>
      </c>
      <c r="Z313" s="155">
        <f t="shared" si="137"/>
        <v>73.109165068512951</v>
      </c>
      <c r="AA313" s="33">
        <f t="shared" si="138"/>
        <v>1787669</v>
      </c>
      <c r="AB313" s="114">
        <f t="shared" si="139"/>
        <v>109.98780410552457</v>
      </c>
      <c r="AC313" s="28">
        <f t="shared" si="140"/>
        <v>-3040.9000000001397</v>
      </c>
      <c r="AD313" s="28">
        <f t="shared" si="141"/>
        <v>10920</v>
      </c>
      <c r="AE313" s="28">
        <f t="shared" si="142"/>
        <v>229971.16793600004</v>
      </c>
      <c r="AF313" s="115">
        <f t="shared" si="143"/>
        <v>14.14916506851295</v>
      </c>
      <c r="AG313" s="28">
        <f t="shared" si="144"/>
        <v>15479.37</v>
      </c>
      <c r="AI313" s="28">
        <f t="shared" si="145"/>
        <v>0</v>
      </c>
      <c r="AJ313" s="28"/>
      <c r="AK313" s="28">
        <f t="shared" si="146"/>
        <v>104</v>
      </c>
      <c r="AL313" s="156"/>
      <c r="AM313" s="6">
        <f t="shared" si="147"/>
        <v>306</v>
      </c>
      <c r="AN313" s="6" t="str">
        <f t="shared" si="148"/>
        <v xml:space="preserve">Wales                        </v>
      </c>
      <c r="AO313" s="6">
        <f t="shared" si="149"/>
        <v>1</v>
      </c>
      <c r="AP313" s="9">
        <f t="shared" si="154"/>
        <v>105</v>
      </c>
      <c r="AQ313" s="9">
        <f t="shared" si="150"/>
        <v>1625333.8399999999</v>
      </c>
      <c r="AR313" s="33">
        <f t="shared" si="151"/>
        <v>599401</v>
      </c>
      <c r="AS313" s="33">
        <f t="shared" si="152"/>
        <v>1188268</v>
      </c>
      <c r="AU313" s="28"/>
      <c r="AV313" s="9"/>
      <c r="AW313" s="519"/>
    </row>
    <row r="314" spans="1:49">
      <c r="A314" s="6">
        <v>307</v>
      </c>
      <c r="B314" s="6" t="s">
        <v>1425</v>
      </c>
      <c r="C314" s="7">
        <v>1</v>
      </c>
      <c r="D314" s="9">
        <v>47191402.9124</v>
      </c>
      <c r="E314" s="9">
        <v>37306825</v>
      </c>
      <c r="F314" s="9">
        <v>9884578</v>
      </c>
      <c r="G314" s="348"/>
      <c r="H314" s="111">
        <f t="shared" si="153"/>
        <v>9884578</v>
      </c>
      <c r="I314" s="9">
        <f t="shared" si="124"/>
        <v>47733569.965189993</v>
      </c>
      <c r="J314" s="33">
        <f t="shared" si="125"/>
        <v>39164094</v>
      </c>
      <c r="K314" s="9">
        <f t="shared" si="126"/>
        <v>8569476</v>
      </c>
      <c r="L314" s="112">
        <f t="shared" si="127"/>
        <v>0</v>
      </c>
      <c r="M314" s="458">
        <f>ROUND(100-'Townwide Contributions'!L313,2)</f>
        <v>17.5</v>
      </c>
      <c r="N314" s="9">
        <v>3680</v>
      </c>
      <c r="O314" s="9">
        <f t="shared" si="128"/>
        <v>3643</v>
      </c>
      <c r="P314" s="9">
        <f t="shared" si="129"/>
        <v>0</v>
      </c>
      <c r="Q314" s="28">
        <f t="shared" si="130"/>
        <v>378872</v>
      </c>
      <c r="R314" s="382">
        <f t="shared" si="131"/>
        <v>378872</v>
      </c>
      <c r="S314" s="28">
        <v>9884578</v>
      </c>
      <c r="T314" s="33">
        <f t="shared" si="132"/>
        <v>9993868</v>
      </c>
      <c r="U314" s="9">
        <f t="shared" si="133"/>
        <v>0</v>
      </c>
      <c r="V314" s="33">
        <f t="shared" si="134"/>
        <v>10263450</v>
      </c>
      <c r="W314" s="33">
        <f t="shared" si="135"/>
        <v>0</v>
      </c>
      <c r="X314" s="33">
        <v>0</v>
      </c>
      <c r="Y314" s="113">
        <f t="shared" si="136"/>
        <v>10263450</v>
      </c>
      <c r="Z314" s="155">
        <f t="shared" si="137"/>
        <v>21.501534470362653</v>
      </c>
      <c r="AA314" s="33">
        <f t="shared" si="138"/>
        <v>49427544</v>
      </c>
      <c r="AB314" s="114">
        <f t="shared" si="139"/>
        <v>103.54881069244422</v>
      </c>
      <c r="AC314" s="28">
        <f t="shared" si="140"/>
        <v>542167.05278999358</v>
      </c>
      <c r="AD314" s="28">
        <f t="shared" si="141"/>
        <v>378872</v>
      </c>
      <c r="AE314" s="28">
        <f t="shared" si="142"/>
        <v>1910075.2560917521</v>
      </c>
      <c r="AF314" s="115">
        <f t="shared" si="143"/>
        <v>4.0015344703626532</v>
      </c>
      <c r="AG314" s="28">
        <f t="shared" si="144"/>
        <v>13102.82</v>
      </c>
      <c r="AI314" s="28">
        <f t="shared" si="145"/>
        <v>0</v>
      </c>
      <c r="AJ314" s="28"/>
      <c r="AK314" s="28">
        <f t="shared" si="146"/>
        <v>104</v>
      </c>
      <c r="AL314" s="156"/>
      <c r="AM314" s="6">
        <f t="shared" si="147"/>
        <v>307</v>
      </c>
      <c r="AN314" s="6" t="str">
        <f t="shared" si="148"/>
        <v xml:space="preserve">Walpole                      </v>
      </c>
      <c r="AO314" s="6">
        <f t="shared" si="149"/>
        <v>1</v>
      </c>
      <c r="AP314" s="9">
        <f t="shared" si="154"/>
        <v>3643</v>
      </c>
      <c r="AQ314" s="9">
        <f t="shared" si="150"/>
        <v>47733569.965189993</v>
      </c>
      <c r="AR314" s="33">
        <f t="shared" si="151"/>
        <v>39164094</v>
      </c>
      <c r="AS314" s="33">
        <f t="shared" si="152"/>
        <v>10263450</v>
      </c>
      <c r="AU314" s="28"/>
      <c r="AV314" s="9"/>
      <c r="AW314" s="519"/>
    </row>
    <row r="315" spans="1:49">
      <c r="A315" s="6">
        <v>308</v>
      </c>
      <c r="B315" s="6" t="s">
        <v>1426</v>
      </c>
      <c r="C315" s="7">
        <v>1</v>
      </c>
      <c r="D315" s="9">
        <v>98129290.060850009</v>
      </c>
      <c r="E315" s="9">
        <v>74508112</v>
      </c>
      <c r="F315" s="9">
        <v>23621178</v>
      </c>
      <c r="G315" s="348"/>
      <c r="H315" s="111">
        <f t="shared" si="153"/>
        <v>23621178</v>
      </c>
      <c r="I315" s="9">
        <f t="shared" si="124"/>
        <v>103566216.31179999</v>
      </c>
      <c r="J315" s="33">
        <f t="shared" si="125"/>
        <v>79254279</v>
      </c>
      <c r="K315" s="9">
        <f t="shared" si="126"/>
        <v>24311937</v>
      </c>
      <c r="L315" s="112">
        <f t="shared" si="127"/>
        <v>690759</v>
      </c>
      <c r="M315" s="458">
        <f>ROUND(100-'Townwide Contributions'!L314,2)</f>
        <v>17.5</v>
      </c>
      <c r="N315" s="9">
        <v>5657</v>
      </c>
      <c r="O315" s="9">
        <f t="shared" si="128"/>
        <v>5718</v>
      </c>
      <c r="P315" s="9">
        <f t="shared" si="129"/>
        <v>1</v>
      </c>
      <c r="Q315" s="28">
        <f t="shared" si="130"/>
        <v>594672</v>
      </c>
      <c r="R315" s="382">
        <f t="shared" si="131"/>
        <v>0</v>
      </c>
      <c r="S315" s="28">
        <v>23621178</v>
      </c>
      <c r="T315" s="33">
        <f t="shared" si="132"/>
        <v>23792718</v>
      </c>
      <c r="U315" s="9">
        <f t="shared" si="133"/>
        <v>0</v>
      </c>
      <c r="V315" s="33">
        <f t="shared" si="134"/>
        <v>24311937</v>
      </c>
      <c r="W315" s="33">
        <f t="shared" si="135"/>
        <v>0</v>
      </c>
      <c r="X315" s="33">
        <v>0</v>
      </c>
      <c r="Y315" s="113">
        <f t="shared" si="136"/>
        <v>24311937</v>
      </c>
      <c r="Z315" s="155">
        <f t="shared" si="137"/>
        <v>23.474775719145374</v>
      </c>
      <c r="AA315" s="33">
        <f t="shared" si="138"/>
        <v>103566216</v>
      </c>
      <c r="AB315" s="114">
        <f t="shared" si="139"/>
        <v>99.999999698936591</v>
      </c>
      <c r="AC315" s="28">
        <f t="shared" si="140"/>
        <v>5436926.2509499788</v>
      </c>
      <c r="AD315" s="28">
        <f t="shared" si="141"/>
        <v>690759</v>
      </c>
      <c r="AE315" s="28">
        <f t="shared" si="142"/>
        <v>6187849.1454350017</v>
      </c>
      <c r="AF315" s="115">
        <f t="shared" si="143"/>
        <v>5.9747757191453736</v>
      </c>
      <c r="AG315" s="28">
        <f t="shared" si="144"/>
        <v>18112.310000000001</v>
      </c>
      <c r="AI315" s="28">
        <f t="shared" si="145"/>
        <v>0</v>
      </c>
      <c r="AJ315" s="28"/>
      <c r="AK315" s="28">
        <f t="shared" si="146"/>
        <v>120.80430220356769</v>
      </c>
      <c r="AL315" s="156"/>
      <c r="AM315" s="6">
        <f t="shared" si="147"/>
        <v>308</v>
      </c>
      <c r="AN315" s="6" t="str">
        <f t="shared" si="148"/>
        <v xml:space="preserve">Waltham                      </v>
      </c>
      <c r="AO315" s="6">
        <f t="shared" si="149"/>
        <v>1</v>
      </c>
      <c r="AP315" s="9">
        <f t="shared" si="154"/>
        <v>5718</v>
      </c>
      <c r="AQ315" s="9">
        <f t="shared" si="150"/>
        <v>103566216.31179999</v>
      </c>
      <c r="AR315" s="33">
        <f t="shared" si="151"/>
        <v>79254279</v>
      </c>
      <c r="AS315" s="33">
        <f t="shared" si="152"/>
        <v>24311937</v>
      </c>
      <c r="AU315" s="28"/>
      <c r="AV315" s="9"/>
      <c r="AW315" s="519"/>
    </row>
    <row r="316" spans="1:49">
      <c r="A316" s="6">
        <v>309</v>
      </c>
      <c r="B316" s="6" t="s">
        <v>1427</v>
      </c>
      <c r="C316" s="7">
        <v>1</v>
      </c>
      <c r="D316" s="9">
        <v>19400007.25</v>
      </c>
      <c r="E316" s="9">
        <v>5872745</v>
      </c>
      <c r="F316" s="9">
        <v>13527262</v>
      </c>
      <c r="G316" s="348"/>
      <c r="H316" s="111">
        <f t="shared" si="153"/>
        <v>13527262</v>
      </c>
      <c r="I316" s="9">
        <f t="shared" si="124"/>
        <v>20308799.120000001</v>
      </c>
      <c r="J316" s="33">
        <f t="shared" si="125"/>
        <v>6201461</v>
      </c>
      <c r="K316" s="9">
        <f t="shared" si="126"/>
        <v>14107338</v>
      </c>
      <c r="L316" s="112">
        <f t="shared" si="127"/>
        <v>580076</v>
      </c>
      <c r="M316" s="458">
        <f>ROUND(100-'Townwide Contributions'!L315,2)</f>
        <v>66.72</v>
      </c>
      <c r="N316" s="9">
        <v>1264</v>
      </c>
      <c r="O316" s="9">
        <f t="shared" si="128"/>
        <v>1266</v>
      </c>
      <c r="P316" s="9">
        <f t="shared" si="129"/>
        <v>1</v>
      </c>
      <c r="Q316" s="28">
        <f t="shared" si="130"/>
        <v>131664</v>
      </c>
      <c r="R316" s="382">
        <f t="shared" si="131"/>
        <v>0</v>
      </c>
      <c r="S316" s="28">
        <v>13527262</v>
      </c>
      <c r="T316" s="33">
        <f t="shared" si="132"/>
        <v>13565242</v>
      </c>
      <c r="U316" s="9">
        <f t="shared" si="133"/>
        <v>0</v>
      </c>
      <c r="V316" s="33">
        <f t="shared" si="134"/>
        <v>14107338</v>
      </c>
      <c r="W316" s="33">
        <f t="shared" si="135"/>
        <v>0</v>
      </c>
      <c r="X316" s="33">
        <v>0</v>
      </c>
      <c r="Y316" s="113">
        <f t="shared" si="136"/>
        <v>14107338</v>
      </c>
      <c r="Z316" s="155">
        <f t="shared" si="137"/>
        <v>69.46416632831415</v>
      </c>
      <c r="AA316" s="33">
        <f t="shared" si="138"/>
        <v>20308799</v>
      </c>
      <c r="AB316" s="114">
        <f t="shared" si="139"/>
        <v>99.999999409123106</v>
      </c>
      <c r="AC316" s="28">
        <f t="shared" si="140"/>
        <v>908791.87000000104</v>
      </c>
      <c r="AD316" s="28">
        <f t="shared" si="141"/>
        <v>580076</v>
      </c>
      <c r="AE316" s="28">
        <f t="shared" si="142"/>
        <v>557307.22713599913</v>
      </c>
      <c r="AF316" s="115">
        <f t="shared" si="143"/>
        <v>2.7441663283141509</v>
      </c>
      <c r="AG316" s="28">
        <f t="shared" si="144"/>
        <v>16041.71</v>
      </c>
      <c r="AI316" s="28">
        <f t="shared" si="145"/>
        <v>0</v>
      </c>
      <c r="AJ316" s="28"/>
      <c r="AK316" s="28">
        <f t="shared" si="146"/>
        <v>458.19589257503952</v>
      </c>
      <c r="AL316" s="156"/>
      <c r="AM316" s="6">
        <f t="shared" si="147"/>
        <v>309</v>
      </c>
      <c r="AN316" s="6" t="str">
        <f t="shared" si="148"/>
        <v xml:space="preserve">Ware                         </v>
      </c>
      <c r="AO316" s="6">
        <f t="shared" si="149"/>
        <v>1</v>
      </c>
      <c r="AP316" s="9">
        <f t="shared" si="154"/>
        <v>1266</v>
      </c>
      <c r="AQ316" s="9">
        <f t="shared" si="150"/>
        <v>20308799.120000001</v>
      </c>
      <c r="AR316" s="33">
        <f t="shared" si="151"/>
        <v>6201461</v>
      </c>
      <c r="AS316" s="33">
        <f t="shared" si="152"/>
        <v>14107338</v>
      </c>
      <c r="AU316" s="28"/>
      <c r="AV316" s="9"/>
      <c r="AW316" s="519"/>
    </row>
    <row r="317" spans="1:49">
      <c r="A317" s="6">
        <v>310</v>
      </c>
      <c r="B317" s="6" t="s">
        <v>1428</v>
      </c>
      <c r="C317" s="7">
        <v>1</v>
      </c>
      <c r="D317" s="9">
        <v>37763668.480000004</v>
      </c>
      <c r="E317" s="9">
        <v>21536212</v>
      </c>
      <c r="F317" s="9">
        <v>16227456</v>
      </c>
      <c r="G317" s="348"/>
      <c r="H317" s="111">
        <f t="shared" si="153"/>
        <v>16227456</v>
      </c>
      <c r="I317" s="9">
        <f t="shared" si="124"/>
        <v>37911821.280000001</v>
      </c>
      <c r="J317" s="33">
        <f t="shared" si="125"/>
        <v>22749870</v>
      </c>
      <c r="K317" s="9">
        <f t="shared" si="126"/>
        <v>15161951</v>
      </c>
      <c r="L317" s="112">
        <f t="shared" si="127"/>
        <v>0</v>
      </c>
      <c r="M317" s="458">
        <f>ROUND(100-'Townwide Contributions'!L316,2)</f>
        <v>33.57</v>
      </c>
      <c r="N317" s="9">
        <v>2307</v>
      </c>
      <c r="O317" s="9">
        <f t="shared" si="128"/>
        <v>2244</v>
      </c>
      <c r="P317" s="9">
        <f t="shared" si="129"/>
        <v>0</v>
      </c>
      <c r="Q317" s="28">
        <f t="shared" si="130"/>
        <v>233376</v>
      </c>
      <c r="R317" s="382">
        <f t="shared" si="131"/>
        <v>233376</v>
      </c>
      <c r="S317" s="28">
        <v>16227456</v>
      </c>
      <c r="T317" s="33">
        <f t="shared" si="132"/>
        <v>16294776</v>
      </c>
      <c r="U317" s="9">
        <f t="shared" si="133"/>
        <v>0</v>
      </c>
      <c r="V317" s="33">
        <f t="shared" si="134"/>
        <v>16460832</v>
      </c>
      <c r="W317" s="33">
        <f t="shared" si="135"/>
        <v>0</v>
      </c>
      <c r="X317" s="33">
        <v>0</v>
      </c>
      <c r="Y317" s="113">
        <f t="shared" si="136"/>
        <v>16460832</v>
      </c>
      <c r="Z317" s="155">
        <f t="shared" si="137"/>
        <v>43.41873179457022</v>
      </c>
      <c r="AA317" s="33">
        <f t="shared" si="138"/>
        <v>39210702</v>
      </c>
      <c r="AB317" s="114">
        <f t="shared" si="139"/>
        <v>103.42605729861152</v>
      </c>
      <c r="AC317" s="28">
        <f t="shared" si="140"/>
        <v>148152.79999999702</v>
      </c>
      <c r="AD317" s="28">
        <f t="shared" si="141"/>
        <v>233376</v>
      </c>
      <c r="AE317" s="28">
        <f t="shared" si="142"/>
        <v>3733833.5963039994</v>
      </c>
      <c r="AF317" s="115">
        <f t="shared" si="143"/>
        <v>9.8487317945702202</v>
      </c>
      <c r="AG317" s="28">
        <f t="shared" si="144"/>
        <v>16894.75</v>
      </c>
      <c r="AI317" s="28">
        <f t="shared" si="145"/>
        <v>0</v>
      </c>
      <c r="AJ317" s="28"/>
      <c r="AK317" s="28">
        <f t="shared" si="146"/>
        <v>104</v>
      </c>
      <c r="AL317" s="156"/>
      <c r="AM317" s="6">
        <f t="shared" si="147"/>
        <v>310</v>
      </c>
      <c r="AN317" s="6" t="str">
        <f t="shared" si="148"/>
        <v xml:space="preserve">Wareham                      </v>
      </c>
      <c r="AO317" s="6">
        <f t="shared" si="149"/>
        <v>1</v>
      </c>
      <c r="AP317" s="9">
        <f t="shared" si="154"/>
        <v>2244</v>
      </c>
      <c r="AQ317" s="9">
        <f t="shared" si="150"/>
        <v>37911821.280000001</v>
      </c>
      <c r="AR317" s="33">
        <f t="shared" si="151"/>
        <v>22749870</v>
      </c>
      <c r="AS317" s="33">
        <f t="shared" si="152"/>
        <v>16460832</v>
      </c>
      <c r="AU317" s="28"/>
      <c r="AV317" s="9"/>
      <c r="AW317" s="519"/>
    </row>
    <row r="318" spans="1:49">
      <c r="A318" s="6">
        <v>311</v>
      </c>
      <c r="B318" s="6" t="s">
        <v>1429</v>
      </c>
      <c r="C318" s="7">
        <v>0</v>
      </c>
      <c r="D318" s="9">
        <v>16490.760000000002</v>
      </c>
      <c r="E318" s="9">
        <v>4845</v>
      </c>
      <c r="F318" s="9">
        <v>11646</v>
      </c>
      <c r="G318" s="348"/>
      <c r="H318" s="111">
        <f t="shared" si="153"/>
        <v>11646</v>
      </c>
      <c r="I318" s="9">
        <f t="shared" si="124"/>
        <v>16860.330000000002</v>
      </c>
      <c r="J318" s="33">
        <f t="shared" si="125"/>
        <v>5405</v>
      </c>
      <c r="K318" s="9">
        <f t="shared" si="126"/>
        <v>11455</v>
      </c>
      <c r="L318" s="112">
        <f t="shared" si="127"/>
        <v>0</v>
      </c>
      <c r="M318" s="458">
        <f>ROUND(100-'Townwide Contributions'!L317,2)</f>
        <v>65.61</v>
      </c>
      <c r="N318" s="9">
        <v>1</v>
      </c>
      <c r="O318" s="9">
        <f t="shared" si="128"/>
        <v>1</v>
      </c>
      <c r="P318" s="9">
        <f t="shared" si="129"/>
        <v>0</v>
      </c>
      <c r="Q318" s="28">
        <f t="shared" si="130"/>
        <v>0</v>
      </c>
      <c r="R318" s="382">
        <f t="shared" si="131"/>
        <v>0</v>
      </c>
      <c r="S318" s="28">
        <v>11646</v>
      </c>
      <c r="T318" s="33">
        <f t="shared" si="132"/>
        <v>11676</v>
      </c>
      <c r="U318" s="9">
        <f t="shared" si="133"/>
        <v>0</v>
      </c>
      <c r="V318" s="33">
        <f t="shared" si="134"/>
        <v>11646</v>
      </c>
      <c r="W318" s="33">
        <f t="shared" si="135"/>
        <v>0</v>
      </c>
      <c r="X318" s="33">
        <v>0</v>
      </c>
      <c r="Y318" s="113">
        <f t="shared" si="136"/>
        <v>11646</v>
      </c>
      <c r="Z318" s="155">
        <f t="shared" si="137"/>
        <v>0</v>
      </c>
      <c r="AA318" s="33">
        <f t="shared" si="138"/>
        <v>17051</v>
      </c>
      <c r="AB318" s="114">
        <f t="shared" si="139"/>
        <v>101.13087940746117</v>
      </c>
      <c r="AC318" s="28">
        <f t="shared" si="140"/>
        <v>369.56999999999971</v>
      </c>
      <c r="AD318" s="28">
        <f t="shared" si="141"/>
        <v>0</v>
      </c>
      <c r="AE318" s="28">
        <f t="shared" si="142"/>
        <v>583.93748699999924</v>
      </c>
      <c r="AF318" s="115" t="str">
        <f t="shared" si="143"/>
        <v/>
      </c>
      <c r="AG318" s="28">
        <f t="shared" si="144"/>
        <v>16860.330000000002</v>
      </c>
      <c r="AI318" s="28">
        <f t="shared" si="145"/>
        <v>0</v>
      </c>
      <c r="AJ318" s="28"/>
      <c r="AK318" s="28">
        <f t="shared" si="146"/>
        <v>0</v>
      </c>
      <c r="AL318" s="156"/>
      <c r="AM318" s="6">
        <f t="shared" si="147"/>
        <v>311</v>
      </c>
      <c r="AN318" s="6" t="str">
        <f t="shared" si="148"/>
        <v xml:space="preserve">Warren                       </v>
      </c>
      <c r="AO318" s="6">
        <f t="shared" si="149"/>
        <v>0</v>
      </c>
      <c r="AP318" s="9">
        <f t="shared" si="154"/>
        <v>1</v>
      </c>
      <c r="AQ318" s="9">
        <f t="shared" si="150"/>
        <v>16860.330000000002</v>
      </c>
      <c r="AR318" s="33">
        <f t="shared" si="151"/>
        <v>5405</v>
      </c>
      <c r="AS318" s="33">
        <f t="shared" si="152"/>
        <v>11646</v>
      </c>
      <c r="AU318" s="28"/>
      <c r="AV318" s="9"/>
      <c r="AW318" s="519"/>
    </row>
    <row r="319" spans="1:49">
      <c r="A319" s="6">
        <v>312</v>
      </c>
      <c r="B319" s="6" t="s">
        <v>1430</v>
      </c>
      <c r="C319" s="7">
        <v>1</v>
      </c>
      <c r="D319" s="9">
        <v>860882.41</v>
      </c>
      <c r="E319" s="9">
        <v>480702</v>
      </c>
      <c r="F319" s="510">
        <v>380180</v>
      </c>
      <c r="G319" s="348"/>
      <c r="H319" s="111">
        <f t="shared" si="153"/>
        <v>380180</v>
      </c>
      <c r="I319" s="9">
        <f t="shared" si="124"/>
        <v>700343.84</v>
      </c>
      <c r="J319" s="33">
        <f t="shared" si="125"/>
        <v>501075</v>
      </c>
      <c r="K319" s="9">
        <f t="shared" si="126"/>
        <v>199269</v>
      </c>
      <c r="L319" s="112">
        <f t="shared" si="127"/>
        <v>0</v>
      </c>
      <c r="M319" s="458">
        <f>ROUND(100-'Townwide Contributions'!L318,2)</f>
        <v>17.5</v>
      </c>
      <c r="N319" s="9">
        <v>58</v>
      </c>
      <c r="O319" s="9">
        <f t="shared" si="128"/>
        <v>51</v>
      </c>
      <c r="P319" s="9">
        <f t="shared" si="129"/>
        <v>0</v>
      </c>
      <c r="Q319" s="28">
        <f t="shared" si="130"/>
        <v>5304</v>
      </c>
      <c r="R319" s="382">
        <f t="shared" si="131"/>
        <v>5304</v>
      </c>
      <c r="S319" s="28">
        <v>380180</v>
      </c>
      <c r="T319" s="33">
        <f t="shared" si="132"/>
        <v>381710</v>
      </c>
      <c r="U319" s="9">
        <f t="shared" si="133"/>
        <v>0</v>
      </c>
      <c r="V319" s="33">
        <f t="shared" si="134"/>
        <v>385484</v>
      </c>
      <c r="W319" s="33">
        <f t="shared" si="135"/>
        <v>0</v>
      </c>
      <c r="X319" s="33">
        <v>0</v>
      </c>
      <c r="Y319" s="113">
        <f t="shared" si="136"/>
        <v>385484</v>
      </c>
      <c r="Z319" s="155">
        <f t="shared" si="137"/>
        <v>55.042106174589897</v>
      </c>
      <c r="AA319" s="33">
        <f t="shared" si="138"/>
        <v>886559</v>
      </c>
      <c r="AB319" s="114">
        <f t="shared" si="139"/>
        <v>126.58910514583809</v>
      </c>
      <c r="AC319" s="28">
        <f t="shared" si="140"/>
        <v>-160538.57000000007</v>
      </c>
      <c r="AD319" s="28">
        <f t="shared" si="141"/>
        <v>5304</v>
      </c>
      <c r="AE319" s="28">
        <f t="shared" si="142"/>
        <v>262923.82799999998</v>
      </c>
      <c r="AF319" s="115">
        <f t="shared" si="143"/>
        <v>37.542106174589897</v>
      </c>
      <c r="AG319" s="28">
        <f t="shared" si="144"/>
        <v>13732.23</v>
      </c>
      <c r="AI319" s="28">
        <f t="shared" si="145"/>
        <v>0</v>
      </c>
      <c r="AJ319" s="28"/>
      <c r="AK319" s="28">
        <f t="shared" si="146"/>
        <v>104</v>
      </c>
      <c r="AL319" s="156"/>
      <c r="AM319" s="6">
        <f t="shared" si="147"/>
        <v>312</v>
      </c>
      <c r="AN319" s="6" t="str">
        <f t="shared" si="148"/>
        <v xml:space="preserve">Warwick                      </v>
      </c>
      <c r="AO319" s="6">
        <f t="shared" si="149"/>
        <v>1</v>
      </c>
      <c r="AP319" s="9">
        <f t="shared" si="154"/>
        <v>51</v>
      </c>
      <c r="AQ319" s="9">
        <f t="shared" si="150"/>
        <v>700343.84</v>
      </c>
      <c r="AR319" s="33">
        <f t="shared" si="151"/>
        <v>501075</v>
      </c>
      <c r="AS319" s="33">
        <f t="shared" si="152"/>
        <v>385484</v>
      </c>
      <c r="AU319" s="28"/>
      <c r="AV319" s="9"/>
      <c r="AW319" s="519"/>
    </row>
    <row r="320" spans="1:49">
      <c r="A320" s="6">
        <v>313</v>
      </c>
      <c r="B320" s="6" t="s">
        <v>1431</v>
      </c>
      <c r="C320" s="7">
        <v>0</v>
      </c>
      <c r="D320" s="9">
        <v>65963.040000000008</v>
      </c>
      <c r="E320" s="9">
        <v>45577</v>
      </c>
      <c r="F320" s="9">
        <v>20386</v>
      </c>
      <c r="G320" s="348"/>
      <c r="H320" s="111">
        <f t="shared" si="153"/>
        <v>20386</v>
      </c>
      <c r="I320" s="9">
        <f t="shared" si="124"/>
        <v>101161.98000000001</v>
      </c>
      <c r="J320" s="33">
        <f t="shared" si="125"/>
        <v>63929</v>
      </c>
      <c r="K320" s="9">
        <f t="shared" si="126"/>
        <v>37233</v>
      </c>
      <c r="L320" s="112">
        <f t="shared" si="127"/>
        <v>16847</v>
      </c>
      <c r="M320" s="458">
        <f>ROUND(100-'Townwide Contributions'!L319,2)</f>
        <v>34.49</v>
      </c>
      <c r="N320" s="9">
        <v>4</v>
      </c>
      <c r="O320" s="9">
        <f t="shared" si="128"/>
        <v>6</v>
      </c>
      <c r="P320" s="9">
        <f t="shared" si="129"/>
        <v>0</v>
      </c>
      <c r="Q320" s="28">
        <f t="shared" si="130"/>
        <v>0</v>
      </c>
      <c r="R320" s="382">
        <f t="shared" si="131"/>
        <v>0</v>
      </c>
      <c r="S320" s="28">
        <v>37793</v>
      </c>
      <c r="T320" s="33">
        <f t="shared" si="132"/>
        <v>37973</v>
      </c>
      <c r="U320" s="9">
        <f t="shared" si="133"/>
        <v>0</v>
      </c>
      <c r="V320" s="33">
        <f t="shared" si="134"/>
        <v>37233</v>
      </c>
      <c r="W320" s="33">
        <f t="shared" si="135"/>
        <v>0</v>
      </c>
      <c r="X320" s="33">
        <v>0</v>
      </c>
      <c r="Y320" s="113">
        <f t="shared" si="136"/>
        <v>37233</v>
      </c>
      <c r="Z320" s="155">
        <f t="shared" si="137"/>
        <v>0</v>
      </c>
      <c r="AA320" s="33">
        <f t="shared" si="138"/>
        <v>101162</v>
      </c>
      <c r="AB320" s="114">
        <f t="shared" si="139"/>
        <v>100.00001977027337</v>
      </c>
      <c r="AC320" s="28">
        <f t="shared" si="140"/>
        <v>35198.94</v>
      </c>
      <c r="AD320" s="28">
        <f t="shared" si="141"/>
        <v>16847</v>
      </c>
      <c r="AE320" s="28">
        <f t="shared" si="142"/>
        <v>2342.2330979999897</v>
      </c>
      <c r="AF320" s="115" t="str">
        <f t="shared" si="143"/>
        <v/>
      </c>
      <c r="AG320" s="28">
        <f t="shared" si="144"/>
        <v>16860.330000000002</v>
      </c>
      <c r="AI320" s="28">
        <f t="shared" si="145"/>
        <v>0</v>
      </c>
      <c r="AJ320" s="28"/>
      <c r="AK320" s="28">
        <f t="shared" si="146"/>
        <v>2807.8333333333335</v>
      </c>
      <c r="AL320" s="156"/>
      <c r="AM320" s="6">
        <f t="shared" si="147"/>
        <v>313</v>
      </c>
      <c r="AN320" s="6" t="str">
        <f t="shared" si="148"/>
        <v xml:space="preserve">Washington                   </v>
      </c>
      <c r="AO320" s="6">
        <f t="shared" si="149"/>
        <v>0</v>
      </c>
      <c r="AP320" s="9">
        <f t="shared" si="154"/>
        <v>6</v>
      </c>
      <c r="AQ320" s="9">
        <f t="shared" si="150"/>
        <v>101161.98000000001</v>
      </c>
      <c r="AR320" s="33">
        <f t="shared" si="151"/>
        <v>63929</v>
      </c>
      <c r="AS320" s="33">
        <f t="shared" si="152"/>
        <v>37233</v>
      </c>
      <c r="AU320" s="28"/>
      <c r="AV320" s="9"/>
      <c r="AW320" s="519"/>
    </row>
    <row r="321" spans="1:49">
      <c r="A321" s="6">
        <v>314</v>
      </c>
      <c r="B321" s="6" t="s">
        <v>1432</v>
      </c>
      <c r="C321" s="7">
        <v>1</v>
      </c>
      <c r="D321" s="9">
        <v>39855550.60148</v>
      </c>
      <c r="E321" s="9">
        <v>32047587</v>
      </c>
      <c r="F321" s="9">
        <v>7807964</v>
      </c>
      <c r="G321" s="348"/>
      <c r="H321" s="111">
        <f t="shared" si="153"/>
        <v>7807964</v>
      </c>
      <c r="I321" s="9">
        <f t="shared" si="124"/>
        <v>42285807.326579988</v>
      </c>
      <c r="J321" s="33">
        <f t="shared" si="125"/>
        <v>34885791</v>
      </c>
      <c r="K321" s="9">
        <f t="shared" si="126"/>
        <v>7400016</v>
      </c>
      <c r="L321" s="112">
        <f t="shared" si="127"/>
        <v>0</v>
      </c>
      <c r="M321" s="458">
        <f>ROUND(100-'Townwide Contributions'!L320,2)</f>
        <v>17.5</v>
      </c>
      <c r="N321" s="9">
        <v>2661</v>
      </c>
      <c r="O321" s="9">
        <f t="shared" si="128"/>
        <v>2713</v>
      </c>
      <c r="P321" s="9">
        <f t="shared" si="129"/>
        <v>0</v>
      </c>
      <c r="Q321" s="28">
        <f t="shared" si="130"/>
        <v>282152</v>
      </c>
      <c r="R321" s="382">
        <f t="shared" si="131"/>
        <v>282152</v>
      </c>
      <c r="S321" s="28">
        <v>7807964</v>
      </c>
      <c r="T321" s="33">
        <f t="shared" si="132"/>
        <v>7889354</v>
      </c>
      <c r="U321" s="9">
        <f t="shared" si="133"/>
        <v>0</v>
      </c>
      <c r="V321" s="33">
        <f t="shared" si="134"/>
        <v>8090116</v>
      </c>
      <c r="W321" s="33">
        <f t="shared" si="135"/>
        <v>0</v>
      </c>
      <c r="X321" s="33">
        <v>0</v>
      </c>
      <c r="Y321" s="113">
        <f t="shared" si="136"/>
        <v>8090116</v>
      </c>
      <c r="Z321" s="155">
        <f t="shared" si="137"/>
        <v>19.131988985142822</v>
      </c>
      <c r="AA321" s="33">
        <f t="shared" si="138"/>
        <v>42975907</v>
      </c>
      <c r="AB321" s="114">
        <f t="shared" si="139"/>
        <v>101.63198888007568</v>
      </c>
      <c r="AC321" s="28">
        <f t="shared" si="140"/>
        <v>2430256.7250999883</v>
      </c>
      <c r="AD321" s="28">
        <f t="shared" si="141"/>
        <v>282152</v>
      </c>
      <c r="AE321" s="28">
        <f t="shared" si="142"/>
        <v>690099.71784850303</v>
      </c>
      <c r="AF321" s="115">
        <f t="shared" si="143"/>
        <v>1.6319889851428222</v>
      </c>
      <c r="AG321" s="28">
        <f t="shared" si="144"/>
        <v>15586.36</v>
      </c>
      <c r="AI321" s="28">
        <f t="shared" si="145"/>
        <v>0</v>
      </c>
      <c r="AJ321" s="28"/>
      <c r="AK321" s="28">
        <f t="shared" si="146"/>
        <v>104</v>
      </c>
      <c r="AL321" s="156"/>
      <c r="AM321" s="6">
        <f t="shared" si="147"/>
        <v>314</v>
      </c>
      <c r="AN321" s="6" t="str">
        <f t="shared" si="148"/>
        <v xml:space="preserve">Watertown                    </v>
      </c>
      <c r="AO321" s="6">
        <f t="shared" si="149"/>
        <v>1</v>
      </c>
      <c r="AP321" s="9">
        <f t="shared" si="154"/>
        <v>2713</v>
      </c>
      <c r="AQ321" s="9">
        <f t="shared" si="150"/>
        <v>42285807.326579988</v>
      </c>
      <c r="AR321" s="33">
        <f t="shared" si="151"/>
        <v>34885791</v>
      </c>
      <c r="AS321" s="33">
        <f t="shared" si="152"/>
        <v>8090116</v>
      </c>
      <c r="AU321" s="28"/>
      <c r="AV321" s="9"/>
      <c r="AW321" s="519"/>
    </row>
    <row r="322" spans="1:49">
      <c r="A322" s="6">
        <v>315</v>
      </c>
      <c r="B322" s="6" t="s">
        <v>1433</v>
      </c>
      <c r="C322" s="7">
        <v>1</v>
      </c>
      <c r="D322" s="9">
        <v>33119434.224909998</v>
      </c>
      <c r="E322" s="9">
        <v>25852462</v>
      </c>
      <c r="F322" s="9">
        <v>7266972</v>
      </c>
      <c r="G322" s="348"/>
      <c r="H322" s="111">
        <f t="shared" si="153"/>
        <v>7266972</v>
      </c>
      <c r="I322" s="9">
        <f t="shared" si="124"/>
        <v>33905314.106570005</v>
      </c>
      <c r="J322" s="33">
        <f t="shared" si="125"/>
        <v>27971884</v>
      </c>
      <c r="K322" s="9">
        <f t="shared" si="126"/>
        <v>5933430</v>
      </c>
      <c r="L322" s="112">
        <f t="shared" si="127"/>
        <v>0</v>
      </c>
      <c r="M322" s="458">
        <f>ROUND(100-'Townwide Contributions'!L321,2)</f>
        <v>17.5</v>
      </c>
      <c r="N322" s="9">
        <v>2681</v>
      </c>
      <c r="O322" s="9">
        <f t="shared" si="128"/>
        <v>2672</v>
      </c>
      <c r="P322" s="9">
        <f t="shared" si="129"/>
        <v>0</v>
      </c>
      <c r="Q322" s="28">
        <f t="shared" si="130"/>
        <v>277888</v>
      </c>
      <c r="R322" s="382">
        <f t="shared" si="131"/>
        <v>277888</v>
      </c>
      <c r="S322" s="28">
        <v>7266972</v>
      </c>
      <c r="T322" s="33">
        <f t="shared" si="132"/>
        <v>7347132</v>
      </c>
      <c r="U322" s="9">
        <f t="shared" si="133"/>
        <v>0</v>
      </c>
      <c r="V322" s="33">
        <f t="shared" si="134"/>
        <v>7544860</v>
      </c>
      <c r="W322" s="33">
        <f t="shared" si="135"/>
        <v>0</v>
      </c>
      <c r="X322" s="33">
        <v>0</v>
      </c>
      <c r="Y322" s="113">
        <f t="shared" si="136"/>
        <v>7544860</v>
      </c>
      <c r="Z322" s="155">
        <f t="shared" si="137"/>
        <v>22.25273588761118</v>
      </c>
      <c r="AA322" s="33">
        <f t="shared" si="138"/>
        <v>35516744</v>
      </c>
      <c r="AB322" s="114">
        <f t="shared" si="139"/>
        <v>104.75273548083054</v>
      </c>
      <c r="AC322" s="28">
        <f t="shared" si="140"/>
        <v>785879.88166000694</v>
      </c>
      <c r="AD322" s="28">
        <f t="shared" si="141"/>
        <v>277888</v>
      </c>
      <c r="AE322" s="28">
        <f t="shared" si="142"/>
        <v>1611430.0313502494</v>
      </c>
      <c r="AF322" s="115">
        <f t="shared" si="143"/>
        <v>4.7527358876111805</v>
      </c>
      <c r="AG322" s="28">
        <f t="shared" si="144"/>
        <v>12689.11</v>
      </c>
      <c r="AI322" s="28">
        <f t="shared" si="145"/>
        <v>0</v>
      </c>
      <c r="AJ322" s="28"/>
      <c r="AK322" s="28">
        <f t="shared" si="146"/>
        <v>104</v>
      </c>
      <c r="AL322" s="156"/>
      <c r="AM322" s="6">
        <f t="shared" si="147"/>
        <v>315</v>
      </c>
      <c r="AN322" s="6" t="str">
        <f t="shared" si="148"/>
        <v xml:space="preserve">Wayland                      </v>
      </c>
      <c r="AO322" s="6">
        <f t="shared" si="149"/>
        <v>1</v>
      </c>
      <c r="AP322" s="9">
        <f t="shared" si="154"/>
        <v>2672</v>
      </c>
      <c r="AQ322" s="9">
        <f t="shared" si="150"/>
        <v>33905314.106570005</v>
      </c>
      <c r="AR322" s="33">
        <f t="shared" si="151"/>
        <v>27971884</v>
      </c>
      <c r="AS322" s="33">
        <f t="shared" si="152"/>
        <v>7544860</v>
      </c>
      <c r="AU322" s="28"/>
      <c r="AV322" s="9"/>
      <c r="AW322" s="519"/>
    </row>
    <row r="323" spans="1:49">
      <c r="A323" s="6">
        <v>316</v>
      </c>
      <c r="B323" s="6" t="s">
        <v>1434</v>
      </c>
      <c r="C323" s="7">
        <v>1</v>
      </c>
      <c r="D323" s="9">
        <v>31971769.840000004</v>
      </c>
      <c r="E323" s="9">
        <v>12851534</v>
      </c>
      <c r="F323" s="9">
        <v>19120236</v>
      </c>
      <c r="G323" s="348"/>
      <c r="H323" s="111">
        <f t="shared" si="153"/>
        <v>19120236</v>
      </c>
      <c r="I323" s="9">
        <f t="shared" si="124"/>
        <v>33656707.75</v>
      </c>
      <c r="J323" s="33">
        <f t="shared" si="125"/>
        <v>13578012</v>
      </c>
      <c r="K323" s="9">
        <f t="shared" si="126"/>
        <v>20078696</v>
      </c>
      <c r="L323" s="112">
        <f t="shared" si="127"/>
        <v>958460</v>
      </c>
      <c r="M323" s="458">
        <f>ROUND(100-'Townwide Contributions'!L322,2)</f>
        <v>53.89</v>
      </c>
      <c r="N323" s="9">
        <v>1907</v>
      </c>
      <c r="O323" s="9">
        <f t="shared" si="128"/>
        <v>1921</v>
      </c>
      <c r="P323" s="9">
        <f t="shared" si="129"/>
        <v>1</v>
      </c>
      <c r="Q323" s="28">
        <f t="shared" si="130"/>
        <v>199784</v>
      </c>
      <c r="R323" s="382">
        <f t="shared" si="131"/>
        <v>0</v>
      </c>
      <c r="S323" s="28">
        <v>19120236</v>
      </c>
      <c r="T323" s="33">
        <f t="shared" si="132"/>
        <v>19177866</v>
      </c>
      <c r="U323" s="9">
        <f t="shared" si="133"/>
        <v>0</v>
      </c>
      <c r="V323" s="33">
        <f t="shared" si="134"/>
        <v>20078696</v>
      </c>
      <c r="W323" s="33">
        <f t="shared" si="135"/>
        <v>0</v>
      </c>
      <c r="X323" s="33">
        <v>0</v>
      </c>
      <c r="Y323" s="113">
        <f t="shared" si="136"/>
        <v>20078696</v>
      </c>
      <c r="Z323" s="155">
        <f t="shared" si="137"/>
        <v>59.657338290908747</v>
      </c>
      <c r="AA323" s="33">
        <f t="shared" si="138"/>
        <v>33656708</v>
      </c>
      <c r="AB323" s="114">
        <f t="shared" si="139"/>
        <v>100.00000074279399</v>
      </c>
      <c r="AC323" s="28">
        <f t="shared" si="140"/>
        <v>1684937.9099999964</v>
      </c>
      <c r="AD323" s="28">
        <f t="shared" si="141"/>
        <v>958460</v>
      </c>
      <c r="AE323" s="28">
        <f t="shared" si="142"/>
        <v>1941096.1935249977</v>
      </c>
      <c r="AF323" s="115">
        <f t="shared" si="143"/>
        <v>5.7673382909087465</v>
      </c>
      <c r="AG323" s="28">
        <f t="shared" si="144"/>
        <v>17520.41</v>
      </c>
      <c r="AI323" s="28">
        <f t="shared" si="145"/>
        <v>0</v>
      </c>
      <c r="AJ323" s="28"/>
      <c r="AK323" s="28">
        <f t="shared" si="146"/>
        <v>498.93805309734512</v>
      </c>
      <c r="AL323" s="156"/>
      <c r="AM323" s="6">
        <f t="shared" si="147"/>
        <v>316</v>
      </c>
      <c r="AN323" s="6" t="str">
        <f t="shared" si="148"/>
        <v xml:space="preserve">Webster                      </v>
      </c>
      <c r="AO323" s="6">
        <f t="shared" si="149"/>
        <v>1</v>
      </c>
      <c r="AP323" s="9">
        <f t="shared" si="154"/>
        <v>1921</v>
      </c>
      <c r="AQ323" s="9">
        <f t="shared" si="150"/>
        <v>33656707.75</v>
      </c>
      <c r="AR323" s="33">
        <f t="shared" si="151"/>
        <v>13578012</v>
      </c>
      <c r="AS323" s="33">
        <f t="shared" si="152"/>
        <v>20078696</v>
      </c>
      <c r="AU323" s="28"/>
      <c r="AV323" s="9"/>
      <c r="AW323" s="519"/>
    </row>
    <row r="324" spans="1:49">
      <c r="A324" s="6">
        <v>317</v>
      </c>
      <c r="B324" s="6" t="s">
        <v>1435</v>
      </c>
      <c r="C324" s="7">
        <v>1</v>
      </c>
      <c r="D324" s="9">
        <v>52634797.2425</v>
      </c>
      <c r="E324" s="9">
        <v>43423707</v>
      </c>
      <c r="F324" s="9">
        <v>9916764</v>
      </c>
      <c r="G324" s="348"/>
      <c r="H324" s="111">
        <f t="shared" si="153"/>
        <v>9916764</v>
      </c>
      <c r="I324" s="9">
        <f t="shared" si="124"/>
        <v>53567076.591169998</v>
      </c>
      <c r="J324" s="33">
        <f t="shared" si="125"/>
        <v>44192838</v>
      </c>
      <c r="K324" s="9">
        <f t="shared" si="126"/>
        <v>9374239</v>
      </c>
      <c r="L324" s="112">
        <f t="shared" si="127"/>
        <v>0</v>
      </c>
      <c r="M324" s="458">
        <f>ROUND(100-'Townwide Contributions'!L323,2)</f>
        <v>17.5</v>
      </c>
      <c r="N324" s="9">
        <v>4180</v>
      </c>
      <c r="O324" s="9">
        <f t="shared" si="128"/>
        <v>4118</v>
      </c>
      <c r="P324" s="9">
        <f t="shared" si="129"/>
        <v>0</v>
      </c>
      <c r="Q324" s="28">
        <f t="shared" si="130"/>
        <v>428272</v>
      </c>
      <c r="R324" s="382">
        <f t="shared" si="131"/>
        <v>428272</v>
      </c>
      <c r="S324" s="28">
        <v>9916764</v>
      </c>
      <c r="T324" s="33">
        <f t="shared" si="132"/>
        <v>10040304</v>
      </c>
      <c r="U324" s="9">
        <f t="shared" si="133"/>
        <v>0</v>
      </c>
      <c r="V324" s="33">
        <f t="shared" si="134"/>
        <v>10345036</v>
      </c>
      <c r="W324" s="33">
        <f t="shared" si="135"/>
        <v>0</v>
      </c>
      <c r="X324" s="33">
        <v>0</v>
      </c>
      <c r="Y324" s="113">
        <f t="shared" si="136"/>
        <v>10345036</v>
      </c>
      <c r="Z324" s="155">
        <f t="shared" si="137"/>
        <v>19.312302739525038</v>
      </c>
      <c r="AA324" s="33">
        <f t="shared" si="138"/>
        <v>54537874</v>
      </c>
      <c r="AB324" s="114">
        <f t="shared" si="139"/>
        <v>101.81230238909478</v>
      </c>
      <c r="AC324" s="28">
        <f t="shared" si="140"/>
        <v>932279.34866999835</v>
      </c>
      <c r="AD324" s="28">
        <f t="shared" si="141"/>
        <v>428272</v>
      </c>
      <c r="AE324" s="28">
        <f t="shared" si="142"/>
        <v>970797.59654525109</v>
      </c>
      <c r="AF324" s="115">
        <f t="shared" si="143"/>
        <v>1.8123027395250375</v>
      </c>
      <c r="AG324" s="28">
        <f t="shared" si="144"/>
        <v>13008.03</v>
      </c>
      <c r="AI324" s="28">
        <f t="shared" si="145"/>
        <v>0</v>
      </c>
      <c r="AJ324" s="28"/>
      <c r="AK324" s="28">
        <f t="shared" si="146"/>
        <v>104</v>
      </c>
      <c r="AL324" s="156"/>
      <c r="AM324" s="6">
        <f t="shared" si="147"/>
        <v>317</v>
      </c>
      <c r="AN324" s="6" t="str">
        <f t="shared" si="148"/>
        <v xml:space="preserve">Wellesley                    </v>
      </c>
      <c r="AO324" s="6">
        <f t="shared" si="149"/>
        <v>1</v>
      </c>
      <c r="AP324" s="9">
        <f t="shared" si="154"/>
        <v>4118</v>
      </c>
      <c r="AQ324" s="9">
        <f t="shared" si="150"/>
        <v>53567076.591169998</v>
      </c>
      <c r="AR324" s="33">
        <f t="shared" si="151"/>
        <v>44192838</v>
      </c>
      <c r="AS324" s="33">
        <f t="shared" si="152"/>
        <v>10345036</v>
      </c>
      <c r="AU324" s="28"/>
      <c r="AV324" s="9"/>
      <c r="AW324" s="519"/>
    </row>
    <row r="325" spans="1:49">
      <c r="A325" s="6">
        <v>318</v>
      </c>
      <c r="B325" s="6" t="s">
        <v>1436</v>
      </c>
      <c r="C325" s="7">
        <v>1</v>
      </c>
      <c r="D325" s="9">
        <v>1610248.3900000004</v>
      </c>
      <c r="E325" s="9">
        <v>1328455</v>
      </c>
      <c r="F325" s="9">
        <v>302393</v>
      </c>
      <c r="G325" s="348"/>
      <c r="H325" s="111">
        <f t="shared" si="153"/>
        <v>302393</v>
      </c>
      <c r="I325" s="9">
        <f t="shared" si="124"/>
        <v>1446546.9000000001</v>
      </c>
      <c r="J325" s="33">
        <f t="shared" si="125"/>
        <v>1193401</v>
      </c>
      <c r="K325" s="9">
        <f t="shared" si="126"/>
        <v>253146</v>
      </c>
      <c r="L325" s="112">
        <f t="shared" si="127"/>
        <v>0</v>
      </c>
      <c r="M325" s="458">
        <f>ROUND(100-'Townwide Contributions'!L324,2)</f>
        <v>17.5</v>
      </c>
      <c r="N325" s="9">
        <v>116</v>
      </c>
      <c r="O325" s="9">
        <f t="shared" si="128"/>
        <v>105</v>
      </c>
      <c r="P325" s="9">
        <f t="shared" si="129"/>
        <v>0</v>
      </c>
      <c r="Q325" s="28">
        <f t="shared" si="130"/>
        <v>10920</v>
      </c>
      <c r="R325" s="382">
        <f t="shared" si="131"/>
        <v>10920</v>
      </c>
      <c r="S325" s="28">
        <v>302393</v>
      </c>
      <c r="T325" s="33">
        <f t="shared" si="132"/>
        <v>305543</v>
      </c>
      <c r="U325" s="9">
        <f t="shared" si="133"/>
        <v>0</v>
      </c>
      <c r="V325" s="33">
        <f t="shared" si="134"/>
        <v>313313</v>
      </c>
      <c r="W325" s="33">
        <f t="shared" si="135"/>
        <v>0</v>
      </c>
      <c r="X325" s="33">
        <v>0</v>
      </c>
      <c r="Y325" s="113">
        <f t="shared" si="136"/>
        <v>313313</v>
      </c>
      <c r="Z325" s="155">
        <f t="shared" si="137"/>
        <v>21.659373781797186</v>
      </c>
      <c r="AA325" s="33">
        <f t="shared" si="138"/>
        <v>1506714</v>
      </c>
      <c r="AB325" s="114">
        <f t="shared" si="139"/>
        <v>104.15936047424385</v>
      </c>
      <c r="AC325" s="28">
        <f t="shared" si="140"/>
        <v>-163701.49000000022</v>
      </c>
      <c r="AD325" s="28">
        <f t="shared" si="141"/>
        <v>10920</v>
      </c>
      <c r="AE325" s="28">
        <f t="shared" si="142"/>
        <v>60167.292499999981</v>
      </c>
      <c r="AF325" s="115">
        <f t="shared" si="143"/>
        <v>4.1593737817971856</v>
      </c>
      <c r="AG325" s="28">
        <f t="shared" si="144"/>
        <v>13776.64</v>
      </c>
      <c r="AI325" s="28">
        <f t="shared" si="145"/>
        <v>0</v>
      </c>
      <c r="AJ325" s="28"/>
      <c r="AK325" s="28">
        <f t="shared" si="146"/>
        <v>104</v>
      </c>
      <c r="AL325" s="156"/>
      <c r="AM325" s="6">
        <f t="shared" si="147"/>
        <v>318</v>
      </c>
      <c r="AN325" s="6" t="str">
        <f t="shared" si="148"/>
        <v xml:space="preserve">Wellfleet                    </v>
      </c>
      <c r="AO325" s="6">
        <f t="shared" si="149"/>
        <v>1</v>
      </c>
      <c r="AP325" s="9">
        <f t="shared" si="154"/>
        <v>105</v>
      </c>
      <c r="AQ325" s="9">
        <f t="shared" si="150"/>
        <v>1446546.9000000001</v>
      </c>
      <c r="AR325" s="33">
        <f t="shared" si="151"/>
        <v>1193401</v>
      </c>
      <c r="AS325" s="33">
        <f t="shared" si="152"/>
        <v>313313</v>
      </c>
      <c r="AU325" s="28"/>
      <c r="AV325" s="9"/>
      <c r="AW325" s="519"/>
    </row>
    <row r="326" spans="1:49">
      <c r="A326" s="6">
        <v>319</v>
      </c>
      <c r="B326" s="6" t="s">
        <v>1437</v>
      </c>
      <c r="C326" s="7">
        <v>0</v>
      </c>
      <c r="D326" s="9">
        <v>0</v>
      </c>
      <c r="E326" s="9">
        <v>0</v>
      </c>
      <c r="F326" s="9">
        <v>0</v>
      </c>
      <c r="G326" s="348"/>
      <c r="H326" s="111">
        <f t="shared" si="153"/>
        <v>0</v>
      </c>
      <c r="I326" s="9">
        <f t="shared" si="124"/>
        <v>0</v>
      </c>
      <c r="J326" s="33">
        <f t="shared" si="125"/>
        <v>0</v>
      </c>
      <c r="K326" s="9">
        <f t="shared" si="126"/>
        <v>0</v>
      </c>
      <c r="L326" s="112">
        <f t="shared" si="127"/>
        <v>0</v>
      </c>
      <c r="M326" s="458">
        <f>ROUND(100-'Townwide Contributions'!L325,2)</f>
        <v>57.59</v>
      </c>
      <c r="N326" s="9">
        <v>0</v>
      </c>
      <c r="O326" s="9">
        <f t="shared" si="128"/>
        <v>0</v>
      </c>
      <c r="P326" s="9">
        <f t="shared" si="129"/>
        <v>0</v>
      </c>
      <c r="Q326" s="28">
        <f t="shared" si="130"/>
        <v>0</v>
      </c>
      <c r="R326" s="382">
        <f t="shared" si="131"/>
        <v>0</v>
      </c>
      <c r="S326" s="28">
        <v>0</v>
      </c>
      <c r="T326" s="33">
        <f t="shared" si="132"/>
        <v>0</v>
      </c>
      <c r="U326" s="9">
        <f t="shared" si="133"/>
        <v>0</v>
      </c>
      <c r="V326" s="33">
        <f t="shared" si="134"/>
        <v>0</v>
      </c>
      <c r="W326" s="33">
        <f t="shared" si="135"/>
        <v>0</v>
      </c>
      <c r="X326" s="33">
        <v>0</v>
      </c>
      <c r="Y326" s="113">
        <f t="shared" si="136"/>
        <v>0</v>
      </c>
      <c r="Z326" s="155">
        <f t="shared" si="137"/>
        <v>0</v>
      </c>
      <c r="AA326" s="33">
        <f t="shared" si="138"/>
        <v>0</v>
      </c>
      <c r="AB326" s="114">
        <f t="shared" si="139"/>
        <v>0</v>
      </c>
      <c r="AC326" s="28">
        <f t="shared" si="140"/>
        <v>0</v>
      </c>
      <c r="AD326" s="28">
        <f t="shared" si="141"/>
        <v>0</v>
      </c>
      <c r="AE326" s="28">
        <f t="shared" si="142"/>
        <v>0</v>
      </c>
      <c r="AF326" s="115" t="str">
        <f t="shared" si="143"/>
        <v/>
      </c>
      <c r="AG326" s="28">
        <f t="shared" si="144"/>
        <v>0</v>
      </c>
      <c r="AI326" s="28">
        <f t="shared" si="145"/>
        <v>0</v>
      </c>
      <c r="AJ326" s="28"/>
      <c r="AK326" s="28">
        <f t="shared" si="146"/>
        <v>0</v>
      </c>
      <c r="AL326" s="156"/>
      <c r="AM326" s="6">
        <f t="shared" si="147"/>
        <v>319</v>
      </c>
      <c r="AN326" s="6" t="str">
        <f t="shared" si="148"/>
        <v xml:space="preserve">Wendell                      </v>
      </c>
      <c r="AO326" s="6">
        <f t="shared" si="149"/>
        <v>0</v>
      </c>
      <c r="AP326" s="9">
        <f t="shared" si="154"/>
        <v>0</v>
      </c>
      <c r="AQ326" s="9">
        <f t="shared" si="150"/>
        <v>0</v>
      </c>
      <c r="AR326" s="33">
        <f t="shared" si="151"/>
        <v>0</v>
      </c>
      <c r="AS326" s="33">
        <f t="shared" si="152"/>
        <v>0</v>
      </c>
      <c r="AU326" s="28"/>
      <c r="AW326" s="519"/>
    </row>
    <row r="327" spans="1:49">
      <c r="A327" s="6">
        <v>320</v>
      </c>
      <c r="B327" s="6" t="s">
        <v>1438</v>
      </c>
      <c r="C327" s="7">
        <v>0</v>
      </c>
      <c r="D327" s="9">
        <v>0</v>
      </c>
      <c r="E327" s="9">
        <v>0</v>
      </c>
      <c r="F327" s="9">
        <v>0</v>
      </c>
      <c r="G327" s="348"/>
      <c r="H327" s="111">
        <f t="shared" si="153"/>
        <v>0</v>
      </c>
      <c r="I327" s="9">
        <f t="shared" si="124"/>
        <v>0</v>
      </c>
      <c r="J327" s="33">
        <f t="shared" si="125"/>
        <v>0</v>
      </c>
      <c r="K327" s="9">
        <f t="shared" si="126"/>
        <v>0</v>
      </c>
      <c r="L327" s="112">
        <f t="shared" si="127"/>
        <v>0</v>
      </c>
      <c r="M327" s="458">
        <f>ROUND(100-'Townwide Contributions'!L326,2)</f>
        <v>17.5</v>
      </c>
      <c r="N327" s="9">
        <v>0</v>
      </c>
      <c r="O327" s="9">
        <f t="shared" si="128"/>
        <v>0</v>
      </c>
      <c r="P327" s="9">
        <f t="shared" si="129"/>
        <v>0</v>
      </c>
      <c r="Q327" s="28">
        <f t="shared" si="130"/>
        <v>0</v>
      </c>
      <c r="R327" s="382">
        <f t="shared" si="131"/>
        <v>0</v>
      </c>
      <c r="S327" s="28">
        <v>0</v>
      </c>
      <c r="T327" s="33">
        <f t="shared" si="132"/>
        <v>0</v>
      </c>
      <c r="U327" s="9">
        <f t="shared" si="133"/>
        <v>0</v>
      </c>
      <c r="V327" s="33">
        <f t="shared" si="134"/>
        <v>0</v>
      </c>
      <c r="W327" s="33">
        <f t="shared" si="135"/>
        <v>0</v>
      </c>
      <c r="X327" s="33">
        <v>0</v>
      </c>
      <c r="Y327" s="113">
        <f t="shared" si="136"/>
        <v>0</v>
      </c>
      <c r="Z327" s="155">
        <f t="shared" si="137"/>
        <v>0</v>
      </c>
      <c r="AA327" s="33">
        <f t="shared" si="138"/>
        <v>0</v>
      </c>
      <c r="AB327" s="114">
        <f t="shared" si="139"/>
        <v>0</v>
      </c>
      <c r="AC327" s="28">
        <f t="shared" si="140"/>
        <v>0</v>
      </c>
      <c r="AD327" s="28">
        <f t="shared" si="141"/>
        <v>0</v>
      </c>
      <c r="AE327" s="28">
        <f t="shared" si="142"/>
        <v>0</v>
      </c>
      <c r="AF327" s="115" t="str">
        <f t="shared" si="143"/>
        <v/>
      </c>
      <c r="AG327" s="28">
        <f t="shared" si="144"/>
        <v>0</v>
      </c>
      <c r="AI327" s="28">
        <f t="shared" si="145"/>
        <v>0</v>
      </c>
      <c r="AJ327" s="28"/>
      <c r="AK327" s="28">
        <f t="shared" si="146"/>
        <v>0</v>
      </c>
      <c r="AL327" s="156"/>
      <c r="AM327" s="6">
        <f t="shared" si="147"/>
        <v>320</v>
      </c>
      <c r="AN327" s="6" t="str">
        <f t="shared" si="148"/>
        <v xml:space="preserve">Wenham                       </v>
      </c>
      <c r="AO327" s="6">
        <f t="shared" si="149"/>
        <v>0</v>
      </c>
      <c r="AP327" s="9">
        <f t="shared" si="154"/>
        <v>0</v>
      </c>
      <c r="AQ327" s="9">
        <f t="shared" si="150"/>
        <v>0</v>
      </c>
      <c r="AR327" s="33">
        <f t="shared" si="151"/>
        <v>0</v>
      </c>
      <c r="AS327" s="33">
        <f t="shared" si="152"/>
        <v>0</v>
      </c>
      <c r="AU327" s="28"/>
      <c r="AW327" s="519"/>
    </row>
    <row r="328" spans="1:49">
      <c r="A328" s="6">
        <v>321</v>
      </c>
      <c r="B328" s="6" t="s">
        <v>1439</v>
      </c>
      <c r="C328" s="7">
        <v>1</v>
      </c>
      <c r="D328" s="9">
        <v>47373904.239999995</v>
      </c>
      <c r="E328" s="9">
        <v>35784512</v>
      </c>
      <c r="F328" s="9">
        <v>11912580</v>
      </c>
      <c r="G328" s="348"/>
      <c r="H328" s="111">
        <f t="shared" si="153"/>
        <v>11912580</v>
      </c>
      <c r="I328" s="9">
        <f t="shared" ref="I328:I391" si="155">SUMIF(dist1755,A328,found1755)</f>
        <v>49809693.649999991</v>
      </c>
      <c r="J328" s="33">
        <f t="shared" ref="J328:J391" si="156">SUMIF(dist1755,A328,prelcont1755)</f>
        <v>38095421</v>
      </c>
      <c r="K328" s="9">
        <f t="shared" ref="K328:K391" si="157">ROUND(MAX(found-prelcont436,0),0)</f>
        <v>11714273</v>
      </c>
      <c r="L328" s="112">
        <f t="shared" ref="L328:L391" si="158">IF(foundaid&gt;priorc70,foundaid-priorc70,0)</f>
        <v>0</v>
      </c>
      <c r="M328" s="458">
        <f>ROUND(100-'Townwide Contributions'!L327,2)</f>
        <v>17.5</v>
      </c>
      <c r="N328" s="9">
        <v>3764</v>
      </c>
      <c r="O328" s="9">
        <f t="shared" ref="O328:O391" si="159">SUMIF(dist1755,A328,enro1755)</f>
        <v>3819</v>
      </c>
      <c r="P328" s="9">
        <f t="shared" ref="P328:P391" si="160">IF(AND(C328=1,L328&gt;0),1,0)</f>
        <v>0</v>
      </c>
      <c r="Q328" s="28">
        <f t="shared" ref="Q328:Q391" si="161">IF(nonop=1,enro*$Q$6,0)</f>
        <v>397176</v>
      </c>
      <c r="R328" s="382">
        <f t="shared" ref="R328:R391" si="162">IF((foundinc)&lt;Q328,Q328-(foundinc),0)</f>
        <v>397176</v>
      </c>
      <c r="S328" s="28">
        <v>11912580</v>
      </c>
      <c r="T328" s="33">
        <f t="shared" ref="T328:T391" si="163">S328+30*enro</f>
        <v>12027150</v>
      </c>
      <c r="U328" s="9">
        <f t="shared" ref="U328:U391" si="164">IF(AND(T328-priorc70-foundinc-minaid&gt;0,nonop=1), T328-priorc70-foundinc-minaid,0)</f>
        <v>0</v>
      </c>
      <c r="V328" s="33">
        <f t="shared" ref="V328:V391" si="165">priorc70+ foundinc+minaidadjincrement+minaid</f>
        <v>12309756</v>
      </c>
      <c r="W328" s="33">
        <f t="shared" ref="W328:W391" si="166">IF(AND(C328=0,V328&gt;found),V328-found,0)</f>
        <v>0</v>
      </c>
      <c r="X328" s="33">
        <v>0</v>
      </c>
      <c r="Y328" s="113">
        <f t="shared" ref="Y328:Y391" si="167">priorc70+foundinc+minaidadjincrement+minaid-rednonop+holdharmlessaid</f>
        <v>12309756</v>
      </c>
      <c r="Z328" s="155">
        <f t="shared" ref="Z328:Z391" si="168">IF(C328=1, Y328/I328*100, 0)</f>
        <v>24.713575005093418</v>
      </c>
      <c r="AA328" s="33">
        <f t="shared" ref="AA328:AA391" si="169">prelcont436+chapter70</f>
        <v>50405177</v>
      </c>
      <c r="AB328" s="114">
        <f t="shared" ref="AB328:AB391" si="170">IF(found&gt;0,AA328*100/found,0)</f>
        <v>101.19551698949269</v>
      </c>
      <c r="AC328" s="28">
        <f t="shared" ref="AC328:AC391" si="171">I328-D328</f>
        <v>2435789.4099999964</v>
      </c>
      <c r="AD328" s="28">
        <f t="shared" ref="AD328:AD391" si="172">Y328-F328</f>
        <v>397176</v>
      </c>
      <c r="AE328" s="28">
        <f t="shared" ref="AE328:AE391" si="173">Y328-((M328/100)*I328)</f>
        <v>3593059.6112500019</v>
      </c>
      <c r="AF328" s="115">
        <f t="shared" ref="AF328:AF391" si="174">IF(C328=1, (Y328/I328*100)-M328, "")</f>
        <v>7.2135750050934178</v>
      </c>
      <c r="AG328" s="28">
        <f t="shared" ref="AG328:AG391" si="175">IFERROR(ROUND(I328/O328, 2), 0)</f>
        <v>13042.6</v>
      </c>
      <c r="AI328" s="28">
        <f t="shared" ref="AI328:AI391" si="176">VLOOKUP(A328, disthist, 37, FALSE)*$H$6</f>
        <v>0</v>
      </c>
      <c r="AJ328" s="28"/>
      <c r="AK328" s="28">
        <f t="shared" ref="AK328:AK391" si="177">IFERROR(AD328/O328, 0)</f>
        <v>104</v>
      </c>
      <c r="AL328" s="156"/>
      <c r="AM328" s="6">
        <f t="shared" ref="AM328:AM391" si="178">A328</f>
        <v>321</v>
      </c>
      <c r="AN328" s="6" t="str">
        <f t="shared" ref="AN328:AN391" si="179">B328</f>
        <v xml:space="preserve">Westborough                  </v>
      </c>
      <c r="AO328" s="6">
        <f t="shared" ref="AO328:AO391" si="180">C328</f>
        <v>1</v>
      </c>
      <c r="AP328" s="9">
        <f t="shared" si="154"/>
        <v>3819</v>
      </c>
      <c r="AQ328" s="9">
        <f t="shared" ref="AQ328:AQ391" si="181">I328</f>
        <v>49809693.649999991</v>
      </c>
      <c r="AR328" s="33">
        <f t="shared" ref="AR328:AR391" si="182">J328</f>
        <v>38095421</v>
      </c>
      <c r="AS328" s="33">
        <f t="shared" ref="AS328:AS391" si="183">Y328</f>
        <v>12309756</v>
      </c>
      <c r="AU328" s="28"/>
      <c r="AV328" s="9"/>
      <c r="AW328" s="519"/>
    </row>
    <row r="329" spans="1:49">
      <c r="A329" s="6">
        <v>322</v>
      </c>
      <c r="B329" s="6" t="s">
        <v>1440</v>
      </c>
      <c r="C329" s="7">
        <v>1</v>
      </c>
      <c r="D329" s="9">
        <v>11278495.76</v>
      </c>
      <c r="E329" s="9">
        <v>8476196</v>
      </c>
      <c r="F329" s="9">
        <v>3158025</v>
      </c>
      <c r="G329" s="348"/>
      <c r="H329" s="111">
        <f t="shared" ref="H329:H392" si="184">F329</f>
        <v>3158025</v>
      </c>
      <c r="I329" s="9">
        <f t="shared" si="155"/>
        <v>11804797.720000001</v>
      </c>
      <c r="J329" s="33">
        <f t="shared" si="156"/>
        <v>8971206</v>
      </c>
      <c r="K329" s="9">
        <f t="shared" si="157"/>
        <v>2833592</v>
      </c>
      <c r="L329" s="112">
        <f t="shared" si="158"/>
        <v>0</v>
      </c>
      <c r="M329" s="458">
        <f>ROUND(100-'Townwide Contributions'!L328,2)</f>
        <v>17.5</v>
      </c>
      <c r="N329" s="9">
        <v>826</v>
      </c>
      <c r="O329" s="9">
        <f t="shared" si="159"/>
        <v>830</v>
      </c>
      <c r="P329" s="9">
        <f t="shared" si="160"/>
        <v>0</v>
      </c>
      <c r="Q329" s="28">
        <f t="shared" si="161"/>
        <v>86320</v>
      </c>
      <c r="R329" s="382">
        <f t="shared" si="162"/>
        <v>86320</v>
      </c>
      <c r="S329" s="28">
        <v>3158025</v>
      </c>
      <c r="T329" s="33">
        <f t="shared" si="163"/>
        <v>3182925</v>
      </c>
      <c r="U329" s="9">
        <f t="shared" si="164"/>
        <v>0</v>
      </c>
      <c r="V329" s="33">
        <f t="shared" si="165"/>
        <v>3244345</v>
      </c>
      <c r="W329" s="33">
        <f t="shared" si="166"/>
        <v>0</v>
      </c>
      <c r="X329" s="33">
        <v>0</v>
      </c>
      <c r="Y329" s="113">
        <f t="shared" si="167"/>
        <v>3244345</v>
      </c>
      <c r="Z329" s="155">
        <f t="shared" si="168"/>
        <v>27.483274825652838</v>
      </c>
      <c r="AA329" s="33">
        <f t="shared" si="169"/>
        <v>12215551</v>
      </c>
      <c r="AB329" s="114">
        <f t="shared" si="170"/>
        <v>103.4795452640759</v>
      </c>
      <c r="AC329" s="28">
        <f t="shared" si="171"/>
        <v>526301.96000000089</v>
      </c>
      <c r="AD329" s="28">
        <f t="shared" si="172"/>
        <v>86320</v>
      </c>
      <c r="AE329" s="28">
        <f t="shared" si="173"/>
        <v>1178505.399</v>
      </c>
      <c r="AF329" s="115">
        <f t="shared" si="174"/>
        <v>9.9832748256528383</v>
      </c>
      <c r="AG329" s="28">
        <f t="shared" si="175"/>
        <v>14222.65</v>
      </c>
      <c r="AI329" s="28">
        <f t="shared" si="176"/>
        <v>0</v>
      </c>
      <c r="AJ329" s="28"/>
      <c r="AK329" s="28">
        <f t="shared" si="177"/>
        <v>104</v>
      </c>
      <c r="AL329" s="156"/>
      <c r="AM329" s="6">
        <f t="shared" si="178"/>
        <v>322</v>
      </c>
      <c r="AN329" s="6" t="str">
        <f t="shared" si="179"/>
        <v xml:space="preserve">West Boylston                </v>
      </c>
      <c r="AO329" s="6">
        <f t="shared" si="180"/>
        <v>1</v>
      </c>
      <c r="AP329" s="9">
        <f t="shared" ref="AP329:AP392" si="185">O329</f>
        <v>830</v>
      </c>
      <c r="AQ329" s="9">
        <f t="shared" si="181"/>
        <v>11804797.720000001</v>
      </c>
      <c r="AR329" s="33">
        <f t="shared" si="182"/>
        <v>8971206</v>
      </c>
      <c r="AS329" s="33">
        <f t="shared" si="183"/>
        <v>3244345</v>
      </c>
      <c r="AU329" s="28"/>
      <c r="AV329" s="9"/>
      <c r="AW329" s="519"/>
    </row>
    <row r="330" spans="1:49">
      <c r="A330" s="6">
        <v>323</v>
      </c>
      <c r="B330" s="6" t="s">
        <v>1441</v>
      </c>
      <c r="C330" s="7">
        <v>1</v>
      </c>
      <c r="D330" s="9">
        <v>15250441.900000002</v>
      </c>
      <c r="E330" s="9">
        <v>8732058</v>
      </c>
      <c r="F330" s="9">
        <v>6518384</v>
      </c>
      <c r="G330" s="348"/>
      <c r="H330" s="111">
        <f t="shared" si="184"/>
        <v>6518384</v>
      </c>
      <c r="I330" s="9">
        <f t="shared" si="155"/>
        <v>15992142.17</v>
      </c>
      <c r="J330" s="33">
        <f t="shared" si="156"/>
        <v>9060869</v>
      </c>
      <c r="K330" s="9">
        <f t="shared" si="157"/>
        <v>6931273</v>
      </c>
      <c r="L330" s="112">
        <f t="shared" si="158"/>
        <v>412889</v>
      </c>
      <c r="M330" s="458">
        <f>ROUND(100-'Townwide Contributions'!L329,2)</f>
        <v>40.130000000000003</v>
      </c>
      <c r="N330" s="9">
        <v>1130</v>
      </c>
      <c r="O330" s="9">
        <f t="shared" si="159"/>
        <v>1154</v>
      </c>
      <c r="P330" s="9">
        <f t="shared" si="160"/>
        <v>1</v>
      </c>
      <c r="Q330" s="28">
        <f t="shared" si="161"/>
        <v>120016</v>
      </c>
      <c r="R330" s="382">
        <f t="shared" si="162"/>
        <v>0</v>
      </c>
      <c r="S330" s="28">
        <v>6570560</v>
      </c>
      <c r="T330" s="33">
        <f t="shared" si="163"/>
        <v>6605180</v>
      </c>
      <c r="U330" s="9">
        <f t="shared" si="164"/>
        <v>0</v>
      </c>
      <c r="V330" s="33">
        <f t="shared" si="165"/>
        <v>6931273</v>
      </c>
      <c r="W330" s="33">
        <f t="shared" si="166"/>
        <v>0</v>
      </c>
      <c r="X330" s="33">
        <v>0</v>
      </c>
      <c r="Y330" s="113">
        <f t="shared" si="167"/>
        <v>6931273</v>
      </c>
      <c r="Z330" s="155">
        <f t="shared" si="168"/>
        <v>43.341742002534986</v>
      </c>
      <c r="AA330" s="33">
        <f t="shared" si="169"/>
        <v>15992142</v>
      </c>
      <c r="AB330" s="114">
        <f t="shared" si="170"/>
        <v>99.999998936977931</v>
      </c>
      <c r="AC330" s="28">
        <f t="shared" si="171"/>
        <v>741700.26999999769</v>
      </c>
      <c r="AD330" s="28">
        <f t="shared" si="172"/>
        <v>412889</v>
      </c>
      <c r="AE330" s="28">
        <f t="shared" si="173"/>
        <v>513626.34717899933</v>
      </c>
      <c r="AF330" s="115">
        <f t="shared" si="174"/>
        <v>3.211742002534983</v>
      </c>
      <c r="AG330" s="28">
        <f t="shared" si="175"/>
        <v>13858.01</v>
      </c>
      <c r="AI330" s="28">
        <f t="shared" si="176"/>
        <v>0</v>
      </c>
      <c r="AJ330" s="28"/>
      <c r="AK330" s="28">
        <f t="shared" si="177"/>
        <v>357.78942807625651</v>
      </c>
      <c r="AL330" s="156"/>
      <c r="AM330" s="6">
        <f t="shared" si="178"/>
        <v>323</v>
      </c>
      <c r="AN330" s="6" t="str">
        <f t="shared" si="179"/>
        <v xml:space="preserve">West Bridgewater             </v>
      </c>
      <c r="AO330" s="6">
        <f t="shared" si="180"/>
        <v>1</v>
      </c>
      <c r="AP330" s="9">
        <f t="shared" si="185"/>
        <v>1154</v>
      </c>
      <c r="AQ330" s="9">
        <f t="shared" si="181"/>
        <v>15992142.17</v>
      </c>
      <c r="AR330" s="33">
        <f t="shared" si="182"/>
        <v>9060869</v>
      </c>
      <c r="AS330" s="33">
        <f t="shared" si="183"/>
        <v>6931273</v>
      </c>
      <c r="AU330" s="28"/>
      <c r="AV330" s="9"/>
      <c r="AW330" s="519"/>
    </row>
    <row r="331" spans="1:49">
      <c r="A331" s="6">
        <v>324</v>
      </c>
      <c r="B331" s="6" t="s">
        <v>1442</v>
      </c>
      <c r="C331" s="7">
        <v>0</v>
      </c>
      <c r="D331" s="9">
        <v>393567.83999999997</v>
      </c>
      <c r="E331" s="9">
        <v>200356</v>
      </c>
      <c r="F331" s="9">
        <v>328719</v>
      </c>
      <c r="G331" s="348"/>
      <c r="H331" s="111">
        <f t="shared" si="184"/>
        <v>328719</v>
      </c>
      <c r="I331" s="9">
        <f t="shared" si="155"/>
        <v>469702.2</v>
      </c>
      <c r="J331" s="33">
        <f t="shared" si="156"/>
        <v>266402</v>
      </c>
      <c r="K331" s="9">
        <f t="shared" si="157"/>
        <v>203300</v>
      </c>
      <c r="L331" s="112">
        <f t="shared" si="158"/>
        <v>0</v>
      </c>
      <c r="M331" s="458">
        <f>ROUND(100-'Townwide Contributions'!L330,2)</f>
        <v>35.65</v>
      </c>
      <c r="N331" s="9">
        <v>22</v>
      </c>
      <c r="O331" s="9">
        <f t="shared" si="159"/>
        <v>26</v>
      </c>
      <c r="P331" s="9">
        <f t="shared" si="160"/>
        <v>0</v>
      </c>
      <c r="Q331" s="28">
        <f t="shared" si="161"/>
        <v>0</v>
      </c>
      <c r="R331" s="382">
        <f t="shared" si="162"/>
        <v>0</v>
      </c>
      <c r="S331" s="28">
        <v>328719</v>
      </c>
      <c r="T331" s="33">
        <f t="shared" si="163"/>
        <v>329499</v>
      </c>
      <c r="U331" s="9">
        <f t="shared" si="164"/>
        <v>0</v>
      </c>
      <c r="V331" s="33">
        <f t="shared" si="165"/>
        <v>328719</v>
      </c>
      <c r="W331" s="33">
        <f t="shared" si="166"/>
        <v>0</v>
      </c>
      <c r="X331" s="33">
        <v>0</v>
      </c>
      <c r="Y331" s="113">
        <f t="shared" si="167"/>
        <v>328719</v>
      </c>
      <c r="Z331" s="155">
        <f t="shared" si="168"/>
        <v>0</v>
      </c>
      <c r="AA331" s="33">
        <f t="shared" si="169"/>
        <v>595121</v>
      </c>
      <c r="AB331" s="114">
        <f t="shared" si="170"/>
        <v>126.7017697596477</v>
      </c>
      <c r="AC331" s="28">
        <f t="shared" si="171"/>
        <v>76134.360000000044</v>
      </c>
      <c r="AD331" s="28">
        <f t="shared" si="172"/>
        <v>0</v>
      </c>
      <c r="AE331" s="28">
        <f t="shared" si="173"/>
        <v>161270.16570000001</v>
      </c>
      <c r="AF331" s="115" t="str">
        <f t="shared" si="174"/>
        <v/>
      </c>
      <c r="AG331" s="28">
        <f t="shared" si="175"/>
        <v>18065.47</v>
      </c>
      <c r="AI331" s="28">
        <f t="shared" si="176"/>
        <v>0</v>
      </c>
      <c r="AJ331" s="28"/>
      <c r="AK331" s="28">
        <f t="shared" si="177"/>
        <v>0</v>
      </c>
      <c r="AL331" s="156"/>
      <c r="AM331" s="6">
        <f t="shared" si="178"/>
        <v>324</v>
      </c>
      <c r="AN331" s="6" t="str">
        <f t="shared" si="179"/>
        <v xml:space="preserve">West Brookfield              </v>
      </c>
      <c r="AO331" s="6">
        <f t="shared" si="180"/>
        <v>0</v>
      </c>
      <c r="AP331" s="9">
        <f t="shared" si="185"/>
        <v>26</v>
      </c>
      <c r="AQ331" s="9">
        <f t="shared" si="181"/>
        <v>469702.2</v>
      </c>
      <c r="AR331" s="33">
        <f t="shared" si="182"/>
        <v>266402</v>
      </c>
      <c r="AS331" s="33">
        <f t="shared" si="183"/>
        <v>328719</v>
      </c>
      <c r="AU331" s="28"/>
      <c r="AV331" s="9"/>
      <c r="AW331" s="519"/>
    </row>
    <row r="332" spans="1:49">
      <c r="A332" s="6">
        <v>325</v>
      </c>
      <c r="B332" s="6" t="s">
        <v>1443</v>
      </c>
      <c r="C332" s="7">
        <v>1</v>
      </c>
      <c r="D332" s="9">
        <v>75008744.25999999</v>
      </c>
      <c r="E332" s="9">
        <v>32011961</v>
      </c>
      <c r="F332" s="9">
        <v>42996783</v>
      </c>
      <c r="G332" s="348"/>
      <c r="H332" s="111">
        <f t="shared" si="184"/>
        <v>42996783</v>
      </c>
      <c r="I332" s="9">
        <f t="shared" si="155"/>
        <v>77785675.980000004</v>
      </c>
      <c r="J332" s="33">
        <f t="shared" si="156"/>
        <v>33756613</v>
      </c>
      <c r="K332" s="9">
        <f t="shared" si="157"/>
        <v>44029063</v>
      </c>
      <c r="L332" s="112">
        <f t="shared" si="158"/>
        <v>1032280</v>
      </c>
      <c r="M332" s="458">
        <f>ROUND(100-'Townwide Contributions'!L331,2)</f>
        <v>54.4</v>
      </c>
      <c r="N332" s="9">
        <v>4849</v>
      </c>
      <c r="O332" s="9">
        <f t="shared" si="159"/>
        <v>4815</v>
      </c>
      <c r="P332" s="9">
        <f t="shared" si="160"/>
        <v>1</v>
      </c>
      <c r="Q332" s="28">
        <f t="shared" si="161"/>
        <v>500760</v>
      </c>
      <c r="R332" s="382">
        <f t="shared" si="162"/>
        <v>0</v>
      </c>
      <c r="S332" s="28">
        <v>42996783</v>
      </c>
      <c r="T332" s="33">
        <f t="shared" si="163"/>
        <v>43141233</v>
      </c>
      <c r="U332" s="9">
        <f t="shared" si="164"/>
        <v>0</v>
      </c>
      <c r="V332" s="33">
        <f t="shared" si="165"/>
        <v>44029063</v>
      </c>
      <c r="W332" s="33">
        <f t="shared" si="166"/>
        <v>0</v>
      </c>
      <c r="X332" s="33">
        <v>0</v>
      </c>
      <c r="Y332" s="113">
        <f t="shared" si="167"/>
        <v>44029063</v>
      </c>
      <c r="Z332" s="155">
        <f t="shared" si="168"/>
        <v>56.603047341673296</v>
      </c>
      <c r="AA332" s="33">
        <f t="shared" si="169"/>
        <v>77785676</v>
      </c>
      <c r="AB332" s="114">
        <f t="shared" si="170"/>
        <v>100.00000002571167</v>
      </c>
      <c r="AC332" s="28">
        <f t="shared" si="171"/>
        <v>2776931.7200000137</v>
      </c>
      <c r="AD332" s="28">
        <f t="shared" si="172"/>
        <v>1032280</v>
      </c>
      <c r="AE332" s="28">
        <f t="shared" si="173"/>
        <v>1713655.2668799981</v>
      </c>
      <c r="AF332" s="115">
        <f t="shared" si="174"/>
        <v>2.2030473416732974</v>
      </c>
      <c r="AG332" s="28">
        <f t="shared" si="175"/>
        <v>16154.87</v>
      </c>
      <c r="AI332" s="28">
        <f t="shared" si="176"/>
        <v>0</v>
      </c>
      <c r="AJ332" s="28"/>
      <c r="AK332" s="28">
        <f t="shared" si="177"/>
        <v>214.3883696780893</v>
      </c>
      <c r="AL332" s="156"/>
      <c r="AM332" s="6">
        <f t="shared" si="178"/>
        <v>325</v>
      </c>
      <c r="AN332" s="6" t="str">
        <f t="shared" si="179"/>
        <v xml:space="preserve">Westfield                    </v>
      </c>
      <c r="AO332" s="6">
        <f t="shared" si="180"/>
        <v>1</v>
      </c>
      <c r="AP332" s="9">
        <f t="shared" si="185"/>
        <v>4815</v>
      </c>
      <c r="AQ332" s="9">
        <f t="shared" si="181"/>
        <v>77785675.980000004</v>
      </c>
      <c r="AR332" s="33">
        <f t="shared" si="182"/>
        <v>33756613</v>
      </c>
      <c r="AS332" s="33">
        <f t="shared" si="183"/>
        <v>44029063</v>
      </c>
      <c r="AU332" s="28"/>
      <c r="AV332" s="9"/>
      <c r="AW332" s="519"/>
    </row>
    <row r="333" spans="1:49">
      <c r="A333" s="6">
        <v>326</v>
      </c>
      <c r="B333" s="6" t="s">
        <v>1444</v>
      </c>
      <c r="C333" s="7">
        <v>1</v>
      </c>
      <c r="D333" s="9">
        <v>56419497.774939992</v>
      </c>
      <c r="E333" s="9">
        <v>42434964</v>
      </c>
      <c r="F333" s="9">
        <v>17830755</v>
      </c>
      <c r="G333" s="348"/>
      <c r="H333" s="111">
        <f t="shared" si="184"/>
        <v>17830755</v>
      </c>
      <c r="I333" s="9">
        <f t="shared" si="155"/>
        <v>56506301.348869994</v>
      </c>
      <c r="J333" s="33">
        <f t="shared" si="156"/>
        <v>43815994</v>
      </c>
      <c r="K333" s="9">
        <f t="shared" si="157"/>
        <v>12690307</v>
      </c>
      <c r="L333" s="112">
        <f t="shared" si="158"/>
        <v>0</v>
      </c>
      <c r="M333" s="458">
        <f>ROUND(100-'Townwide Contributions'!L332,2)</f>
        <v>17.5</v>
      </c>
      <c r="N333" s="9">
        <v>4658</v>
      </c>
      <c r="O333" s="9">
        <f t="shared" si="159"/>
        <v>4566</v>
      </c>
      <c r="P333" s="9">
        <f t="shared" si="160"/>
        <v>0</v>
      </c>
      <c r="Q333" s="28">
        <f t="shared" si="161"/>
        <v>474864</v>
      </c>
      <c r="R333" s="382">
        <f t="shared" si="162"/>
        <v>474864</v>
      </c>
      <c r="S333" s="28">
        <v>17830755</v>
      </c>
      <c r="T333" s="33">
        <f t="shared" si="163"/>
        <v>17967735</v>
      </c>
      <c r="U333" s="9">
        <f t="shared" si="164"/>
        <v>0</v>
      </c>
      <c r="V333" s="33">
        <f t="shared" si="165"/>
        <v>18305619</v>
      </c>
      <c r="W333" s="33">
        <f t="shared" si="166"/>
        <v>0</v>
      </c>
      <c r="X333" s="33">
        <v>0</v>
      </c>
      <c r="Y333" s="113">
        <f t="shared" si="167"/>
        <v>18305619</v>
      </c>
      <c r="Z333" s="155">
        <f t="shared" si="168"/>
        <v>32.395712625006333</v>
      </c>
      <c r="AA333" s="33">
        <f t="shared" si="169"/>
        <v>62121613</v>
      </c>
      <c r="AB333" s="114">
        <f t="shared" si="170"/>
        <v>109.93749638020203</v>
      </c>
      <c r="AC333" s="28">
        <f t="shared" si="171"/>
        <v>86803.573930002749</v>
      </c>
      <c r="AD333" s="28">
        <f t="shared" si="172"/>
        <v>474864</v>
      </c>
      <c r="AE333" s="28">
        <f t="shared" si="173"/>
        <v>8417016.2639477514</v>
      </c>
      <c r="AF333" s="115">
        <f t="shared" si="174"/>
        <v>14.895712625006333</v>
      </c>
      <c r="AG333" s="28">
        <f t="shared" si="175"/>
        <v>12375.45</v>
      </c>
      <c r="AI333" s="28">
        <f t="shared" si="176"/>
        <v>0</v>
      </c>
      <c r="AJ333" s="28"/>
      <c r="AK333" s="28">
        <f t="shared" si="177"/>
        <v>104</v>
      </c>
      <c r="AL333" s="156"/>
      <c r="AM333" s="6">
        <f t="shared" si="178"/>
        <v>326</v>
      </c>
      <c r="AN333" s="6" t="str">
        <f t="shared" si="179"/>
        <v xml:space="preserve">Westford                     </v>
      </c>
      <c r="AO333" s="6">
        <f t="shared" si="180"/>
        <v>1</v>
      </c>
      <c r="AP333" s="9">
        <f t="shared" si="185"/>
        <v>4566</v>
      </c>
      <c r="AQ333" s="9">
        <f t="shared" si="181"/>
        <v>56506301.348869994</v>
      </c>
      <c r="AR333" s="33">
        <f t="shared" si="182"/>
        <v>43815994</v>
      </c>
      <c r="AS333" s="33">
        <f t="shared" si="183"/>
        <v>18305619</v>
      </c>
      <c r="AU333" s="28"/>
      <c r="AV333" s="9"/>
      <c r="AW333" s="519"/>
    </row>
    <row r="334" spans="1:49">
      <c r="A334" s="6">
        <v>327</v>
      </c>
      <c r="B334" s="6" t="s">
        <v>1445</v>
      </c>
      <c r="C334" s="7">
        <v>1</v>
      </c>
      <c r="D334" s="9">
        <v>1280165.0299999996</v>
      </c>
      <c r="E334" s="9">
        <v>1028923</v>
      </c>
      <c r="F334" s="9">
        <v>491630</v>
      </c>
      <c r="G334" s="348"/>
      <c r="H334" s="111">
        <f t="shared" si="184"/>
        <v>491630</v>
      </c>
      <c r="I334" s="9">
        <f t="shared" si="155"/>
        <v>1321578.7600000002</v>
      </c>
      <c r="J334" s="33">
        <f t="shared" si="156"/>
        <v>1072012</v>
      </c>
      <c r="K334" s="9">
        <f t="shared" si="157"/>
        <v>249567</v>
      </c>
      <c r="L334" s="112">
        <f t="shared" si="158"/>
        <v>0</v>
      </c>
      <c r="M334" s="458">
        <f>ROUND(100-'Townwide Contributions'!L333,2)</f>
        <v>17.5</v>
      </c>
      <c r="N334" s="9">
        <v>92</v>
      </c>
      <c r="O334" s="9">
        <f t="shared" si="159"/>
        <v>92</v>
      </c>
      <c r="P334" s="9">
        <f t="shared" si="160"/>
        <v>0</v>
      </c>
      <c r="Q334" s="28">
        <f t="shared" si="161"/>
        <v>9568</v>
      </c>
      <c r="R334" s="382">
        <f t="shared" si="162"/>
        <v>9568</v>
      </c>
      <c r="S334" s="28">
        <v>491630</v>
      </c>
      <c r="T334" s="33">
        <f t="shared" si="163"/>
        <v>494390</v>
      </c>
      <c r="U334" s="9">
        <f t="shared" si="164"/>
        <v>0</v>
      </c>
      <c r="V334" s="33">
        <f t="shared" si="165"/>
        <v>501198</v>
      </c>
      <c r="W334" s="33">
        <f t="shared" si="166"/>
        <v>0</v>
      </c>
      <c r="X334" s="33">
        <v>0</v>
      </c>
      <c r="Y334" s="113">
        <f t="shared" si="167"/>
        <v>501198</v>
      </c>
      <c r="Z334" s="155">
        <f t="shared" si="168"/>
        <v>37.924186977702327</v>
      </c>
      <c r="AA334" s="33">
        <f t="shared" si="169"/>
        <v>1573210</v>
      </c>
      <c r="AB334" s="114">
        <f t="shared" si="170"/>
        <v>119.04020007101201</v>
      </c>
      <c r="AC334" s="28">
        <f t="shared" si="171"/>
        <v>41413.73000000068</v>
      </c>
      <c r="AD334" s="28">
        <f t="shared" si="172"/>
        <v>9568</v>
      </c>
      <c r="AE334" s="28">
        <f t="shared" si="173"/>
        <v>269921.71699999995</v>
      </c>
      <c r="AF334" s="115">
        <f t="shared" si="174"/>
        <v>20.424186977702327</v>
      </c>
      <c r="AG334" s="28">
        <f t="shared" si="175"/>
        <v>14364.99</v>
      </c>
      <c r="AI334" s="28">
        <f t="shared" si="176"/>
        <v>0</v>
      </c>
      <c r="AJ334" s="28"/>
      <c r="AK334" s="28">
        <f t="shared" si="177"/>
        <v>104</v>
      </c>
      <c r="AL334" s="156"/>
      <c r="AM334" s="6">
        <f t="shared" si="178"/>
        <v>327</v>
      </c>
      <c r="AN334" s="6" t="str">
        <f t="shared" si="179"/>
        <v xml:space="preserve">Westhampton                  </v>
      </c>
      <c r="AO334" s="6">
        <f t="shared" si="180"/>
        <v>1</v>
      </c>
      <c r="AP334" s="9">
        <f t="shared" si="185"/>
        <v>92</v>
      </c>
      <c r="AQ334" s="9">
        <f t="shared" si="181"/>
        <v>1321578.7600000002</v>
      </c>
      <c r="AR334" s="33">
        <f t="shared" si="182"/>
        <v>1072012</v>
      </c>
      <c r="AS334" s="33">
        <f t="shared" si="183"/>
        <v>501198</v>
      </c>
      <c r="AU334" s="28"/>
      <c r="AV334" s="9"/>
      <c r="AW334" s="519"/>
    </row>
    <row r="335" spans="1:49">
      <c r="A335" s="6">
        <v>328</v>
      </c>
      <c r="B335" s="6" t="s">
        <v>1446</v>
      </c>
      <c r="C335" s="7">
        <v>0</v>
      </c>
      <c r="D335" s="9">
        <v>0</v>
      </c>
      <c r="E335" s="9">
        <v>0</v>
      </c>
      <c r="F335" s="9">
        <v>0</v>
      </c>
      <c r="G335" s="348"/>
      <c r="H335" s="111">
        <f t="shared" si="184"/>
        <v>0</v>
      </c>
      <c r="I335" s="9">
        <f t="shared" si="155"/>
        <v>0</v>
      </c>
      <c r="J335" s="33">
        <f t="shared" si="156"/>
        <v>0</v>
      </c>
      <c r="K335" s="9">
        <f t="shared" si="157"/>
        <v>0</v>
      </c>
      <c r="L335" s="112">
        <f t="shared" si="158"/>
        <v>0</v>
      </c>
      <c r="M335" s="458">
        <f>ROUND(100-'Townwide Contributions'!L334,2)</f>
        <v>39.29</v>
      </c>
      <c r="N335" s="9">
        <v>0</v>
      </c>
      <c r="O335" s="9">
        <f t="shared" si="159"/>
        <v>0</v>
      </c>
      <c r="P335" s="9">
        <f t="shared" si="160"/>
        <v>0</v>
      </c>
      <c r="Q335" s="28">
        <f t="shared" si="161"/>
        <v>0</v>
      </c>
      <c r="R335" s="382">
        <f t="shared" si="162"/>
        <v>0</v>
      </c>
      <c r="S335" s="28">
        <v>0</v>
      </c>
      <c r="T335" s="33">
        <f t="shared" si="163"/>
        <v>0</v>
      </c>
      <c r="U335" s="9">
        <f t="shared" si="164"/>
        <v>0</v>
      </c>
      <c r="V335" s="33">
        <f t="shared" si="165"/>
        <v>0</v>
      </c>
      <c r="W335" s="33">
        <f t="shared" si="166"/>
        <v>0</v>
      </c>
      <c r="X335" s="33">
        <v>0</v>
      </c>
      <c r="Y335" s="113">
        <f t="shared" si="167"/>
        <v>0</v>
      </c>
      <c r="Z335" s="155">
        <f t="shared" si="168"/>
        <v>0</v>
      </c>
      <c r="AA335" s="33">
        <f t="shared" si="169"/>
        <v>0</v>
      </c>
      <c r="AB335" s="114">
        <f t="shared" si="170"/>
        <v>0</v>
      </c>
      <c r="AC335" s="28">
        <f t="shared" si="171"/>
        <v>0</v>
      </c>
      <c r="AD335" s="28">
        <f t="shared" si="172"/>
        <v>0</v>
      </c>
      <c r="AE335" s="28">
        <f t="shared" si="173"/>
        <v>0</v>
      </c>
      <c r="AF335" s="115" t="str">
        <f t="shared" si="174"/>
        <v/>
      </c>
      <c r="AG335" s="28">
        <f t="shared" si="175"/>
        <v>0</v>
      </c>
      <c r="AI335" s="28">
        <f t="shared" si="176"/>
        <v>0</v>
      </c>
      <c r="AJ335" s="28"/>
      <c r="AK335" s="28">
        <f t="shared" si="177"/>
        <v>0</v>
      </c>
      <c r="AL335" s="156"/>
      <c r="AM335" s="6">
        <f t="shared" si="178"/>
        <v>328</v>
      </c>
      <c r="AN335" s="6" t="str">
        <f t="shared" si="179"/>
        <v xml:space="preserve">Westminster                  </v>
      </c>
      <c r="AO335" s="6">
        <f t="shared" si="180"/>
        <v>0</v>
      </c>
      <c r="AP335" s="9">
        <f t="shared" si="185"/>
        <v>0</v>
      </c>
      <c r="AQ335" s="9">
        <f t="shared" si="181"/>
        <v>0</v>
      </c>
      <c r="AR335" s="33">
        <f t="shared" si="182"/>
        <v>0</v>
      </c>
      <c r="AS335" s="33">
        <f t="shared" si="183"/>
        <v>0</v>
      </c>
      <c r="AU335" s="28"/>
      <c r="AW335" s="519"/>
    </row>
    <row r="336" spans="1:49">
      <c r="A336" s="6">
        <v>329</v>
      </c>
      <c r="B336" s="6" t="s">
        <v>1447</v>
      </c>
      <c r="C336" s="7">
        <v>0</v>
      </c>
      <c r="D336" s="9">
        <v>32981.520000000004</v>
      </c>
      <c r="E336" s="9">
        <v>26579</v>
      </c>
      <c r="F336" s="9">
        <v>6403</v>
      </c>
      <c r="G336" s="348"/>
      <c r="H336" s="111">
        <f t="shared" si="184"/>
        <v>6403</v>
      </c>
      <c r="I336" s="9">
        <f t="shared" si="155"/>
        <v>67441.320000000007</v>
      </c>
      <c r="J336" s="33">
        <f t="shared" si="156"/>
        <v>54290</v>
      </c>
      <c r="K336" s="9">
        <f t="shared" si="157"/>
        <v>13151</v>
      </c>
      <c r="L336" s="112">
        <f t="shared" si="158"/>
        <v>6748</v>
      </c>
      <c r="M336" s="458">
        <f>ROUND(100-'Townwide Contributions'!L335,2)</f>
        <v>17.5</v>
      </c>
      <c r="N336" s="9">
        <v>2</v>
      </c>
      <c r="O336" s="9">
        <f t="shared" si="159"/>
        <v>4</v>
      </c>
      <c r="P336" s="9">
        <f t="shared" si="160"/>
        <v>0</v>
      </c>
      <c r="Q336" s="28">
        <f t="shared" si="161"/>
        <v>0</v>
      </c>
      <c r="R336" s="382">
        <f t="shared" si="162"/>
        <v>0</v>
      </c>
      <c r="S336" s="28">
        <v>11516</v>
      </c>
      <c r="T336" s="33">
        <f t="shared" si="163"/>
        <v>11636</v>
      </c>
      <c r="U336" s="9">
        <f t="shared" si="164"/>
        <v>0</v>
      </c>
      <c r="V336" s="33">
        <f t="shared" si="165"/>
        <v>13151</v>
      </c>
      <c r="W336" s="33">
        <f t="shared" si="166"/>
        <v>0</v>
      </c>
      <c r="X336" s="33">
        <v>0</v>
      </c>
      <c r="Y336" s="113">
        <f t="shared" si="167"/>
        <v>13151</v>
      </c>
      <c r="Z336" s="155">
        <f t="shared" si="168"/>
        <v>0</v>
      </c>
      <c r="AA336" s="33">
        <f t="shared" si="169"/>
        <v>67441</v>
      </c>
      <c r="AB336" s="114">
        <f t="shared" si="170"/>
        <v>99.999525513438925</v>
      </c>
      <c r="AC336" s="28">
        <f t="shared" si="171"/>
        <v>34459.800000000003</v>
      </c>
      <c r="AD336" s="28">
        <f t="shared" si="172"/>
        <v>6748</v>
      </c>
      <c r="AE336" s="28">
        <f t="shared" si="173"/>
        <v>1348.7690000000002</v>
      </c>
      <c r="AF336" s="115" t="str">
        <f t="shared" si="174"/>
        <v/>
      </c>
      <c r="AG336" s="28">
        <f t="shared" si="175"/>
        <v>16860.330000000002</v>
      </c>
      <c r="AI336" s="28">
        <f t="shared" si="176"/>
        <v>0</v>
      </c>
      <c r="AJ336" s="28"/>
      <c r="AK336" s="28">
        <f t="shared" si="177"/>
        <v>1687</v>
      </c>
      <c r="AL336" s="156"/>
      <c r="AM336" s="6">
        <f t="shared" si="178"/>
        <v>329</v>
      </c>
      <c r="AN336" s="6" t="str">
        <f t="shared" si="179"/>
        <v xml:space="preserve">West Newbury                 </v>
      </c>
      <c r="AO336" s="6">
        <f t="shared" si="180"/>
        <v>0</v>
      </c>
      <c r="AP336" s="9">
        <f t="shared" si="185"/>
        <v>4</v>
      </c>
      <c r="AQ336" s="9">
        <f t="shared" si="181"/>
        <v>67441.320000000007</v>
      </c>
      <c r="AR336" s="33">
        <f t="shared" si="182"/>
        <v>54290</v>
      </c>
      <c r="AS336" s="33">
        <f t="shared" si="183"/>
        <v>13151</v>
      </c>
      <c r="AU336" s="28"/>
      <c r="AV336" s="9"/>
      <c r="AW336" s="519"/>
    </row>
    <row r="337" spans="1:49">
      <c r="A337" s="6">
        <v>330</v>
      </c>
      <c r="B337" s="6" t="s">
        <v>1448</v>
      </c>
      <c r="C337" s="7">
        <v>1</v>
      </c>
      <c r="D337" s="9">
        <v>25392258.954960003</v>
      </c>
      <c r="E337" s="9">
        <v>20948614</v>
      </c>
      <c r="F337" s="9">
        <v>4443645</v>
      </c>
      <c r="G337" s="348"/>
      <c r="H337" s="111">
        <f t="shared" si="184"/>
        <v>4443645</v>
      </c>
      <c r="I337" s="9">
        <f t="shared" si="155"/>
        <v>26381907.903000001</v>
      </c>
      <c r="J337" s="33">
        <f t="shared" si="156"/>
        <v>21765074</v>
      </c>
      <c r="K337" s="9">
        <f t="shared" si="157"/>
        <v>4616834</v>
      </c>
      <c r="L337" s="112">
        <f t="shared" si="158"/>
        <v>173189</v>
      </c>
      <c r="M337" s="458">
        <f>ROUND(100-'Townwide Contributions'!L336,2)</f>
        <v>17.5</v>
      </c>
      <c r="N337" s="9">
        <v>2010</v>
      </c>
      <c r="O337" s="9">
        <f t="shared" si="159"/>
        <v>2041</v>
      </c>
      <c r="P337" s="9">
        <f t="shared" si="160"/>
        <v>1</v>
      </c>
      <c r="Q337" s="28">
        <f t="shared" si="161"/>
        <v>212264</v>
      </c>
      <c r="R337" s="382">
        <f t="shared" si="162"/>
        <v>39075</v>
      </c>
      <c r="S337" s="28">
        <v>4443645</v>
      </c>
      <c r="T337" s="33">
        <f t="shared" si="163"/>
        <v>4504875</v>
      </c>
      <c r="U337" s="9">
        <f t="shared" si="164"/>
        <v>0</v>
      </c>
      <c r="V337" s="33">
        <f t="shared" si="165"/>
        <v>4655909</v>
      </c>
      <c r="W337" s="33">
        <f t="shared" si="166"/>
        <v>0</v>
      </c>
      <c r="X337" s="33">
        <v>0</v>
      </c>
      <c r="Y337" s="113">
        <f t="shared" si="167"/>
        <v>4655909</v>
      </c>
      <c r="Z337" s="155">
        <f t="shared" si="168"/>
        <v>17.648113309767702</v>
      </c>
      <c r="AA337" s="33">
        <f t="shared" si="169"/>
        <v>26420983</v>
      </c>
      <c r="AB337" s="114">
        <f t="shared" si="170"/>
        <v>100.14811323405293</v>
      </c>
      <c r="AC337" s="28">
        <f t="shared" si="171"/>
        <v>989648.94803999737</v>
      </c>
      <c r="AD337" s="28">
        <f t="shared" si="172"/>
        <v>212264</v>
      </c>
      <c r="AE337" s="28">
        <f t="shared" si="173"/>
        <v>39075.116975000128</v>
      </c>
      <c r="AF337" s="115">
        <f t="shared" si="174"/>
        <v>0.14811330976770165</v>
      </c>
      <c r="AG337" s="28">
        <f t="shared" si="175"/>
        <v>12925.97</v>
      </c>
      <c r="AI337" s="28">
        <f t="shared" si="176"/>
        <v>0</v>
      </c>
      <c r="AJ337" s="28"/>
      <c r="AK337" s="28">
        <f t="shared" si="177"/>
        <v>104</v>
      </c>
      <c r="AL337" s="156"/>
      <c r="AM337" s="6">
        <f t="shared" si="178"/>
        <v>330</v>
      </c>
      <c r="AN337" s="6" t="str">
        <f t="shared" si="179"/>
        <v xml:space="preserve">Weston                       </v>
      </c>
      <c r="AO337" s="6">
        <f t="shared" si="180"/>
        <v>1</v>
      </c>
      <c r="AP337" s="9">
        <f t="shared" si="185"/>
        <v>2041</v>
      </c>
      <c r="AQ337" s="9">
        <f t="shared" si="181"/>
        <v>26381907.903000001</v>
      </c>
      <c r="AR337" s="33">
        <f t="shared" si="182"/>
        <v>21765074</v>
      </c>
      <c r="AS337" s="33">
        <f t="shared" si="183"/>
        <v>4655909</v>
      </c>
      <c r="AU337" s="28"/>
      <c r="AV337" s="9"/>
      <c r="AW337" s="519"/>
    </row>
    <row r="338" spans="1:49">
      <c r="A338" s="6">
        <v>331</v>
      </c>
      <c r="B338" s="6" t="s">
        <v>1449</v>
      </c>
      <c r="C338" s="7">
        <v>1</v>
      </c>
      <c r="D338" s="9">
        <v>20926189.139999997</v>
      </c>
      <c r="E338" s="9">
        <v>15677019</v>
      </c>
      <c r="F338" s="9">
        <v>5249170</v>
      </c>
      <c r="G338" s="348"/>
      <c r="H338" s="111">
        <f t="shared" si="184"/>
        <v>5249170</v>
      </c>
      <c r="I338" s="9">
        <f t="shared" si="155"/>
        <v>22168976.699999999</v>
      </c>
      <c r="J338" s="33">
        <f t="shared" si="156"/>
        <v>16573075</v>
      </c>
      <c r="K338" s="9">
        <f t="shared" si="157"/>
        <v>5595902</v>
      </c>
      <c r="L338" s="112">
        <f t="shared" si="158"/>
        <v>346732</v>
      </c>
      <c r="M338" s="458">
        <f>ROUND(100-'Townwide Contributions'!L337,2)</f>
        <v>17.5</v>
      </c>
      <c r="N338" s="9">
        <v>1560</v>
      </c>
      <c r="O338" s="9">
        <f t="shared" si="159"/>
        <v>1595</v>
      </c>
      <c r="P338" s="9">
        <f t="shared" si="160"/>
        <v>1</v>
      </c>
      <c r="Q338" s="28">
        <f t="shared" si="161"/>
        <v>165880</v>
      </c>
      <c r="R338" s="382">
        <f t="shared" si="162"/>
        <v>0</v>
      </c>
      <c r="S338" s="28">
        <v>5249170</v>
      </c>
      <c r="T338" s="33">
        <f t="shared" si="163"/>
        <v>5297020</v>
      </c>
      <c r="U338" s="9">
        <f t="shared" si="164"/>
        <v>0</v>
      </c>
      <c r="V338" s="33">
        <f t="shared" si="165"/>
        <v>5595902</v>
      </c>
      <c r="W338" s="33">
        <f t="shared" si="166"/>
        <v>0</v>
      </c>
      <c r="X338" s="33">
        <v>0</v>
      </c>
      <c r="Y338" s="113">
        <f t="shared" si="167"/>
        <v>5595902</v>
      </c>
      <c r="Z338" s="155">
        <f t="shared" si="168"/>
        <v>25.242040152444208</v>
      </c>
      <c r="AA338" s="33">
        <f t="shared" si="169"/>
        <v>22168977</v>
      </c>
      <c r="AB338" s="114">
        <f t="shared" si="170"/>
        <v>100.00000135324244</v>
      </c>
      <c r="AC338" s="28">
        <f t="shared" si="171"/>
        <v>1242787.5600000024</v>
      </c>
      <c r="AD338" s="28">
        <f t="shared" si="172"/>
        <v>346732</v>
      </c>
      <c r="AE338" s="28">
        <f t="shared" si="173"/>
        <v>1716331.0775000006</v>
      </c>
      <c r="AF338" s="115">
        <f t="shared" si="174"/>
        <v>7.7420401524442077</v>
      </c>
      <c r="AG338" s="28">
        <f t="shared" si="175"/>
        <v>13899.04</v>
      </c>
      <c r="AI338" s="28">
        <f t="shared" si="176"/>
        <v>0</v>
      </c>
      <c r="AJ338" s="28"/>
      <c r="AK338" s="28">
        <f t="shared" si="177"/>
        <v>217.38683385579938</v>
      </c>
      <c r="AL338" s="156"/>
      <c r="AM338" s="6">
        <f t="shared" si="178"/>
        <v>331</v>
      </c>
      <c r="AN338" s="6" t="str">
        <f t="shared" si="179"/>
        <v xml:space="preserve">Westport                     </v>
      </c>
      <c r="AO338" s="6">
        <f t="shared" si="180"/>
        <v>1</v>
      </c>
      <c r="AP338" s="9">
        <f t="shared" si="185"/>
        <v>1595</v>
      </c>
      <c r="AQ338" s="9">
        <f t="shared" si="181"/>
        <v>22168976.699999999</v>
      </c>
      <c r="AR338" s="33">
        <f t="shared" si="182"/>
        <v>16573075</v>
      </c>
      <c r="AS338" s="33">
        <f t="shared" si="183"/>
        <v>5595902</v>
      </c>
      <c r="AU338" s="28"/>
      <c r="AV338" s="9"/>
      <c r="AW338" s="519"/>
    </row>
    <row r="339" spans="1:49">
      <c r="A339" s="6">
        <v>332</v>
      </c>
      <c r="B339" s="6" t="s">
        <v>1450</v>
      </c>
      <c r="C339" s="7">
        <v>1</v>
      </c>
      <c r="D339" s="9">
        <v>63567924.089999989</v>
      </c>
      <c r="E339" s="9">
        <v>22906588</v>
      </c>
      <c r="F339" s="9">
        <v>40661336</v>
      </c>
      <c r="G339" s="348"/>
      <c r="H339" s="111">
        <f t="shared" si="184"/>
        <v>40661336</v>
      </c>
      <c r="I339" s="9">
        <f t="shared" si="155"/>
        <v>68366792.900000006</v>
      </c>
      <c r="J339" s="33">
        <f t="shared" si="156"/>
        <v>24010686</v>
      </c>
      <c r="K339" s="9">
        <f t="shared" si="157"/>
        <v>44356107</v>
      </c>
      <c r="L339" s="112">
        <f t="shared" si="158"/>
        <v>3694771</v>
      </c>
      <c r="M339" s="458">
        <f>ROUND(100-'Townwide Contributions'!L338,2)</f>
        <v>59.42</v>
      </c>
      <c r="N339" s="9">
        <v>3982</v>
      </c>
      <c r="O339" s="9">
        <f t="shared" si="159"/>
        <v>4087</v>
      </c>
      <c r="P339" s="9">
        <f t="shared" si="160"/>
        <v>1</v>
      </c>
      <c r="Q339" s="28">
        <f t="shared" si="161"/>
        <v>425048</v>
      </c>
      <c r="R339" s="382">
        <f t="shared" si="162"/>
        <v>0</v>
      </c>
      <c r="S339" s="28">
        <v>40661336</v>
      </c>
      <c r="T339" s="33">
        <f t="shared" si="163"/>
        <v>40783946</v>
      </c>
      <c r="U339" s="9">
        <f t="shared" si="164"/>
        <v>0</v>
      </c>
      <c r="V339" s="33">
        <f t="shared" si="165"/>
        <v>44356107</v>
      </c>
      <c r="W339" s="33">
        <f t="shared" si="166"/>
        <v>0</v>
      </c>
      <c r="X339" s="33">
        <v>0</v>
      </c>
      <c r="Y339" s="113">
        <f t="shared" si="167"/>
        <v>44356107</v>
      </c>
      <c r="Z339" s="155">
        <f t="shared" si="168"/>
        <v>64.87960765525392</v>
      </c>
      <c r="AA339" s="33">
        <f t="shared" si="169"/>
        <v>68366793</v>
      </c>
      <c r="AB339" s="114">
        <f t="shared" si="170"/>
        <v>100.00000014626983</v>
      </c>
      <c r="AC339" s="28">
        <f t="shared" si="171"/>
        <v>4798868.8100000173</v>
      </c>
      <c r="AD339" s="28">
        <f t="shared" si="172"/>
        <v>3694771</v>
      </c>
      <c r="AE339" s="28">
        <f t="shared" si="173"/>
        <v>3732558.6588199958</v>
      </c>
      <c r="AF339" s="115">
        <f t="shared" si="174"/>
        <v>5.4596076552539188</v>
      </c>
      <c r="AG339" s="28">
        <f t="shared" si="175"/>
        <v>16727.87</v>
      </c>
      <c r="AI339" s="28">
        <f t="shared" si="176"/>
        <v>0</v>
      </c>
      <c r="AJ339" s="28"/>
      <c r="AK339" s="28">
        <f t="shared" si="177"/>
        <v>904.03009542451673</v>
      </c>
      <c r="AL339" s="156"/>
      <c r="AM339" s="6">
        <f t="shared" si="178"/>
        <v>332</v>
      </c>
      <c r="AN339" s="6" t="str">
        <f t="shared" si="179"/>
        <v xml:space="preserve">West Springfield             </v>
      </c>
      <c r="AO339" s="6">
        <f t="shared" si="180"/>
        <v>1</v>
      </c>
      <c r="AP339" s="9">
        <f t="shared" si="185"/>
        <v>4087</v>
      </c>
      <c r="AQ339" s="9">
        <f t="shared" si="181"/>
        <v>68366792.900000006</v>
      </c>
      <c r="AR339" s="33">
        <f t="shared" si="182"/>
        <v>24010686</v>
      </c>
      <c r="AS339" s="33">
        <f t="shared" si="183"/>
        <v>44356107</v>
      </c>
      <c r="AU339" s="28"/>
      <c r="AV339" s="9"/>
      <c r="AW339" s="519"/>
    </row>
    <row r="340" spans="1:49">
      <c r="A340" s="6">
        <v>333</v>
      </c>
      <c r="B340" s="6" t="s">
        <v>1451</v>
      </c>
      <c r="C340" s="7">
        <v>0</v>
      </c>
      <c r="D340" s="9">
        <v>0</v>
      </c>
      <c r="E340" s="9">
        <v>0</v>
      </c>
      <c r="F340" s="9">
        <v>0</v>
      </c>
      <c r="G340" s="348"/>
      <c r="H340" s="111">
        <f t="shared" si="184"/>
        <v>0</v>
      </c>
      <c r="I340" s="9">
        <f t="shared" si="155"/>
        <v>0</v>
      </c>
      <c r="J340" s="33">
        <f t="shared" si="156"/>
        <v>0</v>
      </c>
      <c r="K340" s="9">
        <f t="shared" si="157"/>
        <v>0</v>
      </c>
      <c r="L340" s="112">
        <f t="shared" si="158"/>
        <v>0</v>
      </c>
      <c r="M340" s="458">
        <f>ROUND(100-'Townwide Contributions'!L339,2)</f>
        <v>17.5</v>
      </c>
      <c r="N340" s="9">
        <v>0</v>
      </c>
      <c r="O340" s="9">
        <f t="shared" si="159"/>
        <v>0</v>
      </c>
      <c r="P340" s="9">
        <f t="shared" si="160"/>
        <v>0</v>
      </c>
      <c r="Q340" s="28">
        <f t="shared" si="161"/>
        <v>0</v>
      </c>
      <c r="R340" s="382">
        <f t="shared" si="162"/>
        <v>0</v>
      </c>
      <c r="S340" s="28">
        <v>0</v>
      </c>
      <c r="T340" s="33">
        <f t="shared" si="163"/>
        <v>0</v>
      </c>
      <c r="U340" s="9">
        <f t="shared" si="164"/>
        <v>0</v>
      </c>
      <c r="V340" s="33">
        <f t="shared" si="165"/>
        <v>0</v>
      </c>
      <c r="W340" s="33">
        <f t="shared" si="166"/>
        <v>0</v>
      </c>
      <c r="X340" s="33">
        <v>0</v>
      </c>
      <c r="Y340" s="113">
        <f t="shared" si="167"/>
        <v>0</v>
      </c>
      <c r="Z340" s="155">
        <f t="shared" si="168"/>
        <v>0</v>
      </c>
      <c r="AA340" s="33">
        <f t="shared" si="169"/>
        <v>0</v>
      </c>
      <c r="AB340" s="114">
        <f t="shared" si="170"/>
        <v>0</v>
      </c>
      <c r="AC340" s="28">
        <f t="shared" si="171"/>
        <v>0</v>
      </c>
      <c r="AD340" s="28">
        <f t="shared" si="172"/>
        <v>0</v>
      </c>
      <c r="AE340" s="28">
        <f t="shared" si="173"/>
        <v>0</v>
      </c>
      <c r="AF340" s="115" t="str">
        <f t="shared" si="174"/>
        <v/>
      </c>
      <c r="AG340" s="28">
        <f t="shared" si="175"/>
        <v>0</v>
      </c>
      <c r="AI340" s="28">
        <f t="shared" si="176"/>
        <v>0</v>
      </c>
      <c r="AJ340" s="28"/>
      <c r="AK340" s="28">
        <f t="shared" si="177"/>
        <v>0</v>
      </c>
      <c r="AL340" s="156"/>
      <c r="AM340" s="6">
        <f t="shared" si="178"/>
        <v>333</v>
      </c>
      <c r="AN340" s="6" t="str">
        <f t="shared" si="179"/>
        <v xml:space="preserve">West Stockbridge             </v>
      </c>
      <c r="AO340" s="6">
        <f t="shared" si="180"/>
        <v>0</v>
      </c>
      <c r="AP340" s="9">
        <f t="shared" si="185"/>
        <v>0</v>
      </c>
      <c r="AQ340" s="9">
        <f t="shared" si="181"/>
        <v>0</v>
      </c>
      <c r="AR340" s="33">
        <f t="shared" si="182"/>
        <v>0</v>
      </c>
      <c r="AS340" s="33">
        <f t="shared" si="183"/>
        <v>0</v>
      </c>
      <c r="AU340" s="28"/>
      <c r="AW340" s="519"/>
    </row>
    <row r="341" spans="1:49">
      <c r="A341" s="6">
        <v>334</v>
      </c>
      <c r="B341" s="6" t="s">
        <v>1452</v>
      </c>
      <c r="C341" s="7">
        <v>0</v>
      </c>
      <c r="D341" s="9">
        <v>0</v>
      </c>
      <c r="E341" s="9">
        <v>0</v>
      </c>
      <c r="F341" s="9">
        <v>0</v>
      </c>
      <c r="G341" s="348"/>
      <c r="H341" s="111">
        <f t="shared" si="184"/>
        <v>0</v>
      </c>
      <c r="I341" s="9">
        <f t="shared" si="155"/>
        <v>0</v>
      </c>
      <c r="J341" s="33">
        <f t="shared" si="156"/>
        <v>0</v>
      </c>
      <c r="K341" s="9">
        <f t="shared" si="157"/>
        <v>0</v>
      </c>
      <c r="L341" s="112">
        <f t="shared" si="158"/>
        <v>0</v>
      </c>
      <c r="M341" s="458">
        <f>ROUND(100-'Townwide Contributions'!L340,2)</f>
        <v>17.5</v>
      </c>
      <c r="N341" s="9">
        <v>0</v>
      </c>
      <c r="O341" s="9">
        <f t="shared" si="159"/>
        <v>0</v>
      </c>
      <c r="P341" s="9">
        <f t="shared" si="160"/>
        <v>0</v>
      </c>
      <c r="Q341" s="28">
        <f t="shared" si="161"/>
        <v>0</v>
      </c>
      <c r="R341" s="382">
        <f t="shared" si="162"/>
        <v>0</v>
      </c>
      <c r="S341" s="28">
        <v>0</v>
      </c>
      <c r="T341" s="33">
        <f t="shared" si="163"/>
        <v>0</v>
      </c>
      <c r="U341" s="9">
        <f t="shared" si="164"/>
        <v>0</v>
      </c>
      <c r="V341" s="33">
        <f t="shared" si="165"/>
        <v>0</v>
      </c>
      <c r="W341" s="33">
        <f t="shared" si="166"/>
        <v>0</v>
      </c>
      <c r="X341" s="33">
        <v>0</v>
      </c>
      <c r="Y341" s="113">
        <f t="shared" si="167"/>
        <v>0</v>
      </c>
      <c r="Z341" s="155">
        <f t="shared" si="168"/>
        <v>0</v>
      </c>
      <c r="AA341" s="33">
        <f t="shared" si="169"/>
        <v>0</v>
      </c>
      <c r="AB341" s="114">
        <f t="shared" si="170"/>
        <v>0</v>
      </c>
      <c r="AC341" s="28">
        <f t="shared" si="171"/>
        <v>0</v>
      </c>
      <c r="AD341" s="28">
        <f t="shared" si="172"/>
        <v>0</v>
      </c>
      <c r="AE341" s="28">
        <f t="shared" si="173"/>
        <v>0</v>
      </c>
      <c r="AF341" s="115" t="str">
        <f t="shared" si="174"/>
        <v/>
      </c>
      <c r="AG341" s="28">
        <f t="shared" si="175"/>
        <v>0</v>
      </c>
      <c r="AI341" s="28">
        <f t="shared" si="176"/>
        <v>0</v>
      </c>
      <c r="AJ341" s="28"/>
      <c r="AK341" s="28">
        <f t="shared" si="177"/>
        <v>0</v>
      </c>
      <c r="AL341" s="156"/>
      <c r="AM341" s="6">
        <f t="shared" si="178"/>
        <v>334</v>
      </c>
      <c r="AN341" s="6" t="str">
        <f t="shared" si="179"/>
        <v xml:space="preserve">West Tisbury                 </v>
      </c>
      <c r="AO341" s="6">
        <f t="shared" si="180"/>
        <v>0</v>
      </c>
      <c r="AP341" s="9">
        <f t="shared" si="185"/>
        <v>0</v>
      </c>
      <c r="AQ341" s="9">
        <f t="shared" si="181"/>
        <v>0</v>
      </c>
      <c r="AR341" s="33">
        <f t="shared" si="182"/>
        <v>0</v>
      </c>
      <c r="AS341" s="33">
        <f t="shared" si="183"/>
        <v>0</v>
      </c>
      <c r="AU341" s="28"/>
      <c r="AW341" s="519"/>
    </row>
    <row r="342" spans="1:49">
      <c r="A342" s="6">
        <v>335</v>
      </c>
      <c r="B342" s="6" t="s">
        <v>1453</v>
      </c>
      <c r="C342" s="7">
        <v>1</v>
      </c>
      <c r="D342" s="9">
        <v>36039140.915650003</v>
      </c>
      <c r="E342" s="9">
        <v>28969675</v>
      </c>
      <c r="F342" s="9">
        <v>7069466</v>
      </c>
      <c r="G342" s="348"/>
      <c r="H342" s="111">
        <f t="shared" si="184"/>
        <v>7069466</v>
      </c>
      <c r="I342" s="9">
        <f t="shared" si="155"/>
        <v>36920748.450279996</v>
      </c>
      <c r="J342" s="33">
        <f t="shared" si="156"/>
        <v>30155173</v>
      </c>
      <c r="K342" s="9">
        <f t="shared" si="157"/>
        <v>6765575</v>
      </c>
      <c r="L342" s="112">
        <f t="shared" si="158"/>
        <v>0</v>
      </c>
      <c r="M342" s="458">
        <f>ROUND(100-'Townwide Contributions'!L341,2)</f>
        <v>17.5</v>
      </c>
      <c r="N342" s="9">
        <v>2893</v>
      </c>
      <c r="O342" s="9">
        <f t="shared" si="159"/>
        <v>2890</v>
      </c>
      <c r="P342" s="9">
        <f t="shared" si="160"/>
        <v>0</v>
      </c>
      <c r="Q342" s="28">
        <f t="shared" si="161"/>
        <v>300560</v>
      </c>
      <c r="R342" s="382">
        <f t="shared" si="162"/>
        <v>300560</v>
      </c>
      <c r="S342" s="28">
        <v>7069466</v>
      </c>
      <c r="T342" s="33">
        <f t="shared" si="163"/>
        <v>7156166</v>
      </c>
      <c r="U342" s="9">
        <f t="shared" si="164"/>
        <v>0</v>
      </c>
      <c r="V342" s="33">
        <f t="shared" si="165"/>
        <v>7370026</v>
      </c>
      <c r="W342" s="33">
        <f t="shared" si="166"/>
        <v>0</v>
      </c>
      <c r="X342" s="33">
        <v>0</v>
      </c>
      <c r="Y342" s="113">
        <f t="shared" si="167"/>
        <v>7370026</v>
      </c>
      <c r="Z342" s="155">
        <f t="shared" si="168"/>
        <v>19.961745927022527</v>
      </c>
      <c r="AA342" s="33">
        <f t="shared" si="169"/>
        <v>37525199</v>
      </c>
      <c r="AB342" s="114">
        <f t="shared" si="170"/>
        <v>101.63715681585924</v>
      </c>
      <c r="AC342" s="28">
        <f t="shared" si="171"/>
        <v>881607.53462999314</v>
      </c>
      <c r="AD342" s="28">
        <f t="shared" si="172"/>
        <v>300560</v>
      </c>
      <c r="AE342" s="28">
        <f t="shared" si="173"/>
        <v>908895.02120100148</v>
      </c>
      <c r="AF342" s="115">
        <f t="shared" si="174"/>
        <v>2.4617459270225268</v>
      </c>
      <c r="AG342" s="28">
        <f t="shared" si="175"/>
        <v>12775.35</v>
      </c>
      <c r="AI342" s="28">
        <f t="shared" si="176"/>
        <v>0</v>
      </c>
      <c r="AJ342" s="28"/>
      <c r="AK342" s="28">
        <f t="shared" si="177"/>
        <v>104</v>
      </c>
      <c r="AL342" s="156"/>
      <c r="AM342" s="6">
        <f t="shared" si="178"/>
        <v>335</v>
      </c>
      <c r="AN342" s="6" t="str">
        <f t="shared" si="179"/>
        <v xml:space="preserve">Westwood                     </v>
      </c>
      <c r="AO342" s="6">
        <f t="shared" si="180"/>
        <v>1</v>
      </c>
      <c r="AP342" s="9">
        <f t="shared" si="185"/>
        <v>2890</v>
      </c>
      <c r="AQ342" s="9">
        <f t="shared" si="181"/>
        <v>36920748.450279996</v>
      </c>
      <c r="AR342" s="33">
        <f t="shared" si="182"/>
        <v>30155173</v>
      </c>
      <c r="AS342" s="33">
        <f t="shared" si="183"/>
        <v>7370026</v>
      </c>
      <c r="AU342" s="28"/>
      <c r="AV342" s="9"/>
      <c r="AW342" s="519"/>
    </row>
    <row r="343" spans="1:49">
      <c r="A343" s="6">
        <v>336</v>
      </c>
      <c r="B343" s="6" t="s">
        <v>1454</v>
      </c>
      <c r="C343" s="7">
        <v>1</v>
      </c>
      <c r="D343" s="9">
        <v>89980250.507149994</v>
      </c>
      <c r="E343" s="9">
        <v>65671537</v>
      </c>
      <c r="F343" s="9">
        <v>29315975</v>
      </c>
      <c r="G343" s="348"/>
      <c r="H343" s="111">
        <f t="shared" si="184"/>
        <v>29315975</v>
      </c>
      <c r="I343" s="9">
        <f t="shared" si="155"/>
        <v>92545801.942100003</v>
      </c>
      <c r="J343" s="33">
        <f t="shared" si="156"/>
        <v>69831655</v>
      </c>
      <c r="K343" s="9">
        <f t="shared" si="157"/>
        <v>22714147</v>
      </c>
      <c r="L343" s="112">
        <f t="shared" si="158"/>
        <v>0</v>
      </c>
      <c r="M343" s="458">
        <f>ROUND(100-'Townwide Contributions'!L342,2)</f>
        <v>17.5</v>
      </c>
      <c r="N343" s="9">
        <v>5863</v>
      </c>
      <c r="O343" s="9">
        <f t="shared" si="159"/>
        <v>5877</v>
      </c>
      <c r="P343" s="9">
        <f t="shared" si="160"/>
        <v>0</v>
      </c>
      <c r="Q343" s="28">
        <f t="shared" si="161"/>
        <v>611208</v>
      </c>
      <c r="R343" s="382">
        <f t="shared" si="162"/>
        <v>611208</v>
      </c>
      <c r="S343" s="28">
        <v>29315975</v>
      </c>
      <c r="T343" s="33">
        <f t="shared" si="163"/>
        <v>29492285</v>
      </c>
      <c r="U343" s="9">
        <f t="shared" si="164"/>
        <v>0</v>
      </c>
      <c r="V343" s="33">
        <f t="shared" si="165"/>
        <v>29927183</v>
      </c>
      <c r="W343" s="33">
        <f t="shared" si="166"/>
        <v>0</v>
      </c>
      <c r="X343" s="33">
        <v>0</v>
      </c>
      <c r="Y343" s="113">
        <f t="shared" si="167"/>
        <v>29927183</v>
      </c>
      <c r="Z343" s="155">
        <f t="shared" si="168"/>
        <v>32.337699141365192</v>
      </c>
      <c r="AA343" s="33">
        <f t="shared" si="169"/>
        <v>99758838</v>
      </c>
      <c r="AB343" s="114">
        <f t="shared" si="170"/>
        <v>107.79401756377099</v>
      </c>
      <c r="AC343" s="28">
        <f t="shared" si="171"/>
        <v>2565551.434950009</v>
      </c>
      <c r="AD343" s="28">
        <f t="shared" si="172"/>
        <v>611208</v>
      </c>
      <c r="AE343" s="28">
        <f t="shared" si="173"/>
        <v>13731667.660132501</v>
      </c>
      <c r="AF343" s="115">
        <f t="shared" si="174"/>
        <v>14.837699141365192</v>
      </c>
      <c r="AG343" s="28">
        <f t="shared" si="175"/>
        <v>15747.12</v>
      </c>
      <c r="AI343" s="28">
        <f t="shared" si="176"/>
        <v>0</v>
      </c>
      <c r="AJ343" s="28"/>
      <c r="AK343" s="28">
        <f t="shared" si="177"/>
        <v>104</v>
      </c>
      <c r="AL343" s="156"/>
      <c r="AM343" s="6">
        <f t="shared" si="178"/>
        <v>336</v>
      </c>
      <c r="AN343" s="6" t="str">
        <f t="shared" si="179"/>
        <v xml:space="preserve">Weymouth                     </v>
      </c>
      <c r="AO343" s="6">
        <f t="shared" si="180"/>
        <v>1</v>
      </c>
      <c r="AP343" s="9">
        <f t="shared" si="185"/>
        <v>5877</v>
      </c>
      <c r="AQ343" s="9">
        <f t="shared" si="181"/>
        <v>92545801.942100003</v>
      </c>
      <c r="AR343" s="33">
        <f t="shared" si="182"/>
        <v>69831655</v>
      </c>
      <c r="AS343" s="33">
        <f t="shared" si="183"/>
        <v>29927183</v>
      </c>
      <c r="AU343" s="28"/>
      <c r="AV343" s="9"/>
      <c r="AW343" s="519"/>
    </row>
    <row r="344" spans="1:49">
      <c r="A344" s="6">
        <v>337</v>
      </c>
      <c r="B344" s="6" t="s">
        <v>1455</v>
      </c>
      <c r="C344" s="7">
        <v>1</v>
      </c>
      <c r="D344" s="9">
        <v>1127263.1800000002</v>
      </c>
      <c r="E344" s="9">
        <v>797920</v>
      </c>
      <c r="F344" s="9">
        <v>329343</v>
      </c>
      <c r="G344" s="348"/>
      <c r="H344" s="111">
        <f t="shared" si="184"/>
        <v>329343</v>
      </c>
      <c r="I344" s="9">
        <f t="shared" si="155"/>
        <v>1124388.7500000002</v>
      </c>
      <c r="J344" s="33">
        <f t="shared" si="156"/>
        <v>859258</v>
      </c>
      <c r="K344" s="9">
        <f t="shared" si="157"/>
        <v>265131</v>
      </c>
      <c r="L344" s="112">
        <f t="shared" si="158"/>
        <v>0</v>
      </c>
      <c r="M344" s="458">
        <f>ROUND(100-'Townwide Contributions'!L343,2)</f>
        <v>17.5</v>
      </c>
      <c r="N344" s="9">
        <v>85</v>
      </c>
      <c r="O344" s="9">
        <f t="shared" si="159"/>
        <v>85</v>
      </c>
      <c r="P344" s="9">
        <f t="shared" si="160"/>
        <v>0</v>
      </c>
      <c r="Q344" s="28">
        <f t="shared" si="161"/>
        <v>8840</v>
      </c>
      <c r="R344" s="382">
        <f t="shared" si="162"/>
        <v>8840</v>
      </c>
      <c r="S344" s="28">
        <v>329343</v>
      </c>
      <c r="T344" s="33">
        <f t="shared" si="163"/>
        <v>331893</v>
      </c>
      <c r="U344" s="9">
        <f t="shared" si="164"/>
        <v>0</v>
      </c>
      <c r="V344" s="33">
        <f t="shared" si="165"/>
        <v>338183</v>
      </c>
      <c r="W344" s="33">
        <f t="shared" si="166"/>
        <v>0</v>
      </c>
      <c r="X344" s="33">
        <v>0</v>
      </c>
      <c r="Y344" s="113">
        <f t="shared" si="167"/>
        <v>338183</v>
      </c>
      <c r="Z344" s="155">
        <f t="shared" si="168"/>
        <v>30.077052976561703</v>
      </c>
      <c r="AA344" s="33">
        <f t="shared" si="169"/>
        <v>1197441</v>
      </c>
      <c r="AB344" s="114">
        <f t="shared" si="170"/>
        <v>106.49706340444973</v>
      </c>
      <c r="AC344" s="28">
        <f t="shared" si="171"/>
        <v>-2874.4299999999348</v>
      </c>
      <c r="AD344" s="28">
        <f t="shared" si="172"/>
        <v>8840</v>
      </c>
      <c r="AE344" s="28">
        <f t="shared" si="173"/>
        <v>141414.96874999997</v>
      </c>
      <c r="AF344" s="115">
        <f t="shared" si="174"/>
        <v>12.577052976561703</v>
      </c>
      <c r="AG344" s="28">
        <f t="shared" si="175"/>
        <v>13228.1</v>
      </c>
      <c r="AI344" s="28">
        <f t="shared" si="176"/>
        <v>0</v>
      </c>
      <c r="AJ344" s="28"/>
      <c r="AK344" s="28">
        <f t="shared" si="177"/>
        <v>104</v>
      </c>
      <c r="AL344" s="156"/>
      <c r="AM344" s="6">
        <f t="shared" si="178"/>
        <v>337</v>
      </c>
      <c r="AN344" s="6" t="str">
        <f t="shared" si="179"/>
        <v xml:space="preserve">Whately                      </v>
      </c>
      <c r="AO344" s="6">
        <f t="shared" si="180"/>
        <v>1</v>
      </c>
      <c r="AP344" s="9">
        <f t="shared" si="185"/>
        <v>85</v>
      </c>
      <c r="AQ344" s="9">
        <f t="shared" si="181"/>
        <v>1124388.7500000002</v>
      </c>
      <c r="AR344" s="33">
        <f t="shared" si="182"/>
        <v>859258</v>
      </c>
      <c r="AS344" s="33">
        <f t="shared" si="183"/>
        <v>338183</v>
      </c>
      <c r="AU344" s="28"/>
      <c r="AV344" s="9"/>
      <c r="AW344" s="519"/>
    </row>
    <row r="345" spans="1:49">
      <c r="A345" s="6">
        <v>338</v>
      </c>
      <c r="B345" s="6" t="s">
        <v>1456</v>
      </c>
      <c r="C345" s="7">
        <v>0</v>
      </c>
      <c r="D345" s="9">
        <v>245151</v>
      </c>
      <c r="E345" s="9">
        <v>105688</v>
      </c>
      <c r="F345" s="9">
        <v>139463</v>
      </c>
      <c r="G345" s="348"/>
      <c r="H345" s="111">
        <f t="shared" si="184"/>
        <v>139463</v>
      </c>
      <c r="I345" s="9">
        <f t="shared" si="155"/>
        <v>250517.91</v>
      </c>
      <c r="J345" s="33">
        <f t="shared" si="156"/>
        <v>110381</v>
      </c>
      <c r="K345" s="9">
        <f t="shared" si="157"/>
        <v>140137</v>
      </c>
      <c r="L345" s="112">
        <f t="shared" si="158"/>
        <v>674</v>
      </c>
      <c r="M345" s="458">
        <f>ROUND(100-'Townwide Contributions'!L344,2)</f>
        <v>50.62</v>
      </c>
      <c r="N345" s="9">
        <v>13</v>
      </c>
      <c r="O345" s="9">
        <f t="shared" si="159"/>
        <v>13</v>
      </c>
      <c r="P345" s="9">
        <f t="shared" si="160"/>
        <v>0</v>
      </c>
      <c r="Q345" s="28">
        <f t="shared" si="161"/>
        <v>0</v>
      </c>
      <c r="R345" s="382">
        <f t="shared" si="162"/>
        <v>0</v>
      </c>
      <c r="S345" s="28">
        <v>139463</v>
      </c>
      <c r="T345" s="33">
        <f t="shared" si="163"/>
        <v>139853</v>
      </c>
      <c r="U345" s="9">
        <f t="shared" si="164"/>
        <v>0</v>
      </c>
      <c r="V345" s="33">
        <f t="shared" si="165"/>
        <v>140137</v>
      </c>
      <c r="W345" s="33">
        <f t="shared" si="166"/>
        <v>0</v>
      </c>
      <c r="X345" s="33">
        <v>0</v>
      </c>
      <c r="Y345" s="113">
        <f t="shared" si="167"/>
        <v>140137</v>
      </c>
      <c r="Z345" s="155">
        <f t="shared" si="168"/>
        <v>0</v>
      </c>
      <c r="AA345" s="33">
        <f t="shared" si="169"/>
        <v>250518</v>
      </c>
      <c r="AB345" s="114">
        <f t="shared" si="170"/>
        <v>100.00003592557513</v>
      </c>
      <c r="AC345" s="28">
        <f t="shared" si="171"/>
        <v>5366.9100000000035</v>
      </c>
      <c r="AD345" s="28">
        <f t="shared" si="172"/>
        <v>674</v>
      </c>
      <c r="AE345" s="28">
        <f t="shared" si="173"/>
        <v>13324.833958000003</v>
      </c>
      <c r="AF345" s="115" t="str">
        <f t="shared" si="174"/>
        <v/>
      </c>
      <c r="AG345" s="28">
        <f t="shared" si="175"/>
        <v>19270.61</v>
      </c>
      <c r="AI345" s="28">
        <f t="shared" si="176"/>
        <v>0</v>
      </c>
      <c r="AJ345" s="28"/>
      <c r="AK345" s="28">
        <f t="shared" si="177"/>
        <v>51.846153846153847</v>
      </c>
      <c r="AL345" s="156"/>
      <c r="AM345" s="6">
        <f t="shared" si="178"/>
        <v>338</v>
      </c>
      <c r="AN345" s="6" t="str">
        <f t="shared" si="179"/>
        <v xml:space="preserve">Whitman                      </v>
      </c>
      <c r="AO345" s="6">
        <f t="shared" si="180"/>
        <v>0</v>
      </c>
      <c r="AP345" s="9">
        <f t="shared" si="185"/>
        <v>13</v>
      </c>
      <c r="AQ345" s="9">
        <f t="shared" si="181"/>
        <v>250517.91</v>
      </c>
      <c r="AR345" s="33">
        <f t="shared" si="182"/>
        <v>110381</v>
      </c>
      <c r="AS345" s="33">
        <f t="shared" si="183"/>
        <v>140137</v>
      </c>
      <c r="AU345" s="28"/>
      <c r="AV345" s="9"/>
      <c r="AW345" s="519"/>
    </row>
    <row r="346" spans="1:49">
      <c r="A346" s="6">
        <v>339</v>
      </c>
      <c r="B346" s="6" t="s">
        <v>1457</v>
      </c>
      <c r="C346" s="7">
        <v>0</v>
      </c>
      <c r="D346" s="9">
        <v>0</v>
      </c>
      <c r="E346" s="9">
        <v>0</v>
      </c>
      <c r="F346" s="9">
        <v>0</v>
      </c>
      <c r="G346" s="348"/>
      <c r="H346" s="111">
        <f t="shared" si="184"/>
        <v>0</v>
      </c>
      <c r="I346" s="9">
        <f t="shared" si="155"/>
        <v>0</v>
      </c>
      <c r="J346" s="33">
        <f t="shared" si="156"/>
        <v>0</v>
      </c>
      <c r="K346" s="9">
        <f t="shared" si="157"/>
        <v>0</v>
      </c>
      <c r="L346" s="112">
        <f t="shared" si="158"/>
        <v>0</v>
      </c>
      <c r="M346" s="458">
        <f>ROUND(100-'Townwide Contributions'!L345,2)</f>
        <v>33.72</v>
      </c>
      <c r="N346" s="9">
        <v>0</v>
      </c>
      <c r="O346" s="9">
        <f t="shared" si="159"/>
        <v>0</v>
      </c>
      <c r="P346" s="9">
        <f t="shared" si="160"/>
        <v>0</v>
      </c>
      <c r="Q346" s="28">
        <f t="shared" si="161"/>
        <v>0</v>
      </c>
      <c r="R346" s="382">
        <f t="shared" si="162"/>
        <v>0</v>
      </c>
      <c r="S346" s="28">
        <v>0</v>
      </c>
      <c r="T346" s="33">
        <f t="shared" si="163"/>
        <v>0</v>
      </c>
      <c r="U346" s="9">
        <f t="shared" si="164"/>
        <v>0</v>
      </c>
      <c r="V346" s="33">
        <f t="shared" si="165"/>
        <v>0</v>
      </c>
      <c r="W346" s="33">
        <f t="shared" si="166"/>
        <v>0</v>
      </c>
      <c r="X346" s="33">
        <v>0</v>
      </c>
      <c r="Y346" s="113">
        <f t="shared" si="167"/>
        <v>0</v>
      </c>
      <c r="Z346" s="155">
        <f t="shared" si="168"/>
        <v>0</v>
      </c>
      <c r="AA346" s="33">
        <f t="shared" si="169"/>
        <v>0</v>
      </c>
      <c r="AB346" s="114">
        <f t="shared" si="170"/>
        <v>0</v>
      </c>
      <c r="AC346" s="28">
        <f t="shared" si="171"/>
        <v>0</v>
      </c>
      <c r="AD346" s="28">
        <f t="shared" si="172"/>
        <v>0</v>
      </c>
      <c r="AE346" s="28">
        <f t="shared" si="173"/>
        <v>0</v>
      </c>
      <c r="AF346" s="115" t="str">
        <f t="shared" si="174"/>
        <v/>
      </c>
      <c r="AG346" s="28">
        <f t="shared" si="175"/>
        <v>0</v>
      </c>
      <c r="AI346" s="28">
        <f t="shared" si="176"/>
        <v>0</v>
      </c>
      <c r="AJ346" s="28"/>
      <c r="AK346" s="28">
        <f t="shared" si="177"/>
        <v>0</v>
      </c>
      <c r="AL346" s="156"/>
      <c r="AM346" s="6">
        <f t="shared" si="178"/>
        <v>339</v>
      </c>
      <c r="AN346" s="6" t="str">
        <f t="shared" si="179"/>
        <v xml:space="preserve">Wilbraham                    </v>
      </c>
      <c r="AO346" s="6">
        <f t="shared" si="180"/>
        <v>0</v>
      </c>
      <c r="AP346" s="9">
        <f t="shared" si="185"/>
        <v>0</v>
      </c>
      <c r="AQ346" s="9">
        <f t="shared" si="181"/>
        <v>0</v>
      </c>
      <c r="AR346" s="33">
        <f t="shared" si="182"/>
        <v>0</v>
      </c>
      <c r="AS346" s="33">
        <f t="shared" si="183"/>
        <v>0</v>
      </c>
      <c r="AU346" s="28"/>
      <c r="AW346" s="519"/>
    </row>
    <row r="347" spans="1:49">
      <c r="A347" s="6">
        <v>340</v>
      </c>
      <c r="B347" s="6" t="s">
        <v>1458</v>
      </c>
      <c r="C347" s="7">
        <v>1</v>
      </c>
      <c r="D347" s="9">
        <v>2130357.6900000004</v>
      </c>
      <c r="E347" s="9">
        <v>1343356</v>
      </c>
      <c r="F347" s="9">
        <v>843437</v>
      </c>
      <c r="G347" s="348"/>
      <c r="H347" s="111">
        <f t="shared" si="184"/>
        <v>843437</v>
      </c>
      <c r="I347" s="9">
        <f t="shared" si="155"/>
        <v>2006164.9200000002</v>
      </c>
      <c r="J347" s="33">
        <f t="shared" si="156"/>
        <v>1353300</v>
      </c>
      <c r="K347" s="9">
        <f t="shared" si="157"/>
        <v>652865</v>
      </c>
      <c r="L347" s="112">
        <f t="shared" si="158"/>
        <v>0</v>
      </c>
      <c r="M347" s="458">
        <f>ROUND(100-'Townwide Contributions'!L346,2)</f>
        <v>26.97</v>
      </c>
      <c r="N347" s="9">
        <v>154</v>
      </c>
      <c r="O347" s="9">
        <f t="shared" si="159"/>
        <v>136</v>
      </c>
      <c r="P347" s="9">
        <f t="shared" si="160"/>
        <v>0</v>
      </c>
      <c r="Q347" s="28">
        <f t="shared" si="161"/>
        <v>14144</v>
      </c>
      <c r="R347" s="382">
        <f t="shared" si="162"/>
        <v>14144</v>
      </c>
      <c r="S347" s="28">
        <v>843437</v>
      </c>
      <c r="T347" s="33">
        <f t="shared" si="163"/>
        <v>847517</v>
      </c>
      <c r="U347" s="9">
        <f t="shared" si="164"/>
        <v>0</v>
      </c>
      <c r="V347" s="33">
        <f t="shared" si="165"/>
        <v>857581</v>
      </c>
      <c r="W347" s="33">
        <f t="shared" si="166"/>
        <v>0</v>
      </c>
      <c r="X347" s="33">
        <v>0</v>
      </c>
      <c r="Y347" s="113">
        <f t="shared" si="167"/>
        <v>857581</v>
      </c>
      <c r="Z347" s="155">
        <f t="shared" si="168"/>
        <v>42.747283209398354</v>
      </c>
      <c r="AA347" s="33">
        <f t="shared" si="169"/>
        <v>2210881</v>
      </c>
      <c r="AB347" s="114">
        <f t="shared" si="170"/>
        <v>110.20434950083764</v>
      </c>
      <c r="AC347" s="28">
        <f t="shared" si="171"/>
        <v>-124192.77000000025</v>
      </c>
      <c r="AD347" s="28">
        <f t="shared" si="172"/>
        <v>14144</v>
      </c>
      <c r="AE347" s="28">
        <f t="shared" si="173"/>
        <v>316518.32107599999</v>
      </c>
      <c r="AF347" s="115">
        <f t="shared" si="174"/>
        <v>15.777283209398355</v>
      </c>
      <c r="AG347" s="28">
        <f t="shared" si="175"/>
        <v>14751.21</v>
      </c>
      <c r="AI347" s="28">
        <f t="shared" si="176"/>
        <v>0</v>
      </c>
      <c r="AJ347" s="28"/>
      <c r="AK347" s="28">
        <f t="shared" si="177"/>
        <v>104</v>
      </c>
      <c r="AL347" s="156"/>
      <c r="AM347" s="6">
        <f t="shared" si="178"/>
        <v>340</v>
      </c>
      <c r="AN347" s="6" t="str">
        <f t="shared" si="179"/>
        <v xml:space="preserve">Williamsburg                 </v>
      </c>
      <c r="AO347" s="6">
        <f t="shared" si="180"/>
        <v>1</v>
      </c>
      <c r="AP347" s="9">
        <f t="shared" si="185"/>
        <v>136</v>
      </c>
      <c r="AQ347" s="9">
        <f t="shared" si="181"/>
        <v>2006164.9200000002</v>
      </c>
      <c r="AR347" s="33">
        <f t="shared" si="182"/>
        <v>1353300</v>
      </c>
      <c r="AS347" s="33">
        <f t="shared" si="183"/>
        <v>857581</v>
      </c>
      <c r="AU347" s="28"/>
      <c r="AV347" s="9"/>
      <c r="AW347" s="519"/>
    </row>
    <row r="348" spans="1:49">
      <c r="A348" s="6">
        <v>341</v>
      </c>
      <c r="B348" s="6" t="s">
        <v>1459</v>
      </c>
      <c r="C348" s="7">
        <v>0</v>
      </c>
      <c r="D348" s="9">
        <v>0</v>
      </c>
      <c r="E348" s="9">
        <v>0</v>
      </c>
      <c r="F348" s="9">
        <v>0</v>
      </c>
      <c r="G348" s="348"/>
      <c r="H348" s="111">
        <f t="shared" si="184"/>
        <v>0</v>
      </c>
      <c r="I348" s="9">
        <f t="shared" si="155"/>
        <v>0</v>
      </c>
      <c r="J348" s="33">
        <f t="shared" si="156"/>
        <v>0</v>
      </c>
      <c r="K348" s="9">
        <f t="shared" si="157"/>
        <v>0</v>
      </c>
      <c r="L348" s="112">
        <f t="shared" si="158"/>
        <v>0</v>
      </c>
      <c r="M348" s="458">
        <f>ROUND(100-'Townwide Contributions'!L347,2)</f>
        <v>17.5</v>
      </c>
      <c r="N348" s="9">
        <v>0</v>
      </c>
      <c r="O348" s="9">
        <f t="shared" si="159"/>
        <v>0</v>
      </c>
      <c r="P348" s="9">
        <f t="shared" si="160"/>
        <v>0</v>
      </c>
      <c r="Q348" s="28">
        <f t="shared" si="161"/>
        <v>0</v>
      </c>
      <c r="R348" s="382">
        <f t="shared" si="162"/>
        <v>0</v>
      </c>
      <c r="S348" s="28">
        <v>0</v>
      </c>
      <c r="T348" s="33">
        <f t="shared" si="163"/>
        <v>0</v>
      </c>
      <c r="U348" s="9">
        <f t="shared" si="164"/>
        <v>0</v>
      </c>
      <c r="V348" s="33">
        <f t="shared" si="165"/>
        <v>0</v>
      </c>
      <c r="W348" s="33">
        <f t="shared" si="166"/>
        <v>0</v>
      </c>
      <c r="X348" s="33">
        <v>0</v>
      </c>
      <c r="Y348" s="113">
        <f t="shared" si="167"/>
        <v>0</v>
      </c>
      <c r="Z348" s="155">
        <f t="shared" si="168"/>
        <v>0</v>
      </c>
      <c r="AA348" s="33">
        <f t="shared" si="169"/>
        <v>0</v>
      </c>
      <c r="AB348" s="114">
        <f t="shared" si="170"/>
        <v>0</v>
      </c>
      <c r="AC348" s="28">
        <f t="shared" si="171"/>
        <v>0</v>
      </c>
      <c r="AD348" s="28">
        <f t="shared" si="172"/>
        <v>0</v>
      </c>
      <c r="AE348" s="28">
        <f t="shared" si="173"/>
        <v>0</v>
      </c>
      <c r="AF348" s="115" t="str">
        <f t="shared" si="174"/>
        <v/>
      </c>
      <c r="AG348" s="28">
        <f t="shared" si="175"/>
        <v>0</v>
      </c>
      <c r="AI348" s="28">
        <f t="shared" si="176"/>
        <v>0</v>
      </c>
      <c r="AJ348" s="28"/>
      <c r="AK348" s="28">
        <f t="shared" si="177"/>
        <v>0</v>
      </c>
      <c r="AL348" s="156"/>
      <c r="AM348" s="6">
        <f t="shared" si="178"/>
        <v>341</v>
      </c>
      <c r="AN348" s="6" t="str">
        <f t="shared" si="179"/>
        <v xml:space="preserve">Williamstown                 </v>
      </c>
      <c r="AO348" s="6">
        <f t="shared" si="180"/>
        <v>0</v>
      </c>
      <c r="AP348" s="9">
        <f t="shared" si="185"/>
        <v>0</v>
      </c>
      <c r="AQ348" s="9">
        <f t="shared" si="181"/>
        <v>0</v>
      </c>
      <c r="AR348" s="33">
        <f t="shared" si="182"/>
        <v>0</v>
      </c>
      <c r="AS348" s="33">
        <f t="shared" si="183"/>
        <v>0</v>
      </c>
      <c r="AU348" s="28"/>
      <c r="AW348" s="519"/>
    </row>
    <row r="349" spans="1:49">
      <c r="A349" s="6">
        <v>342</v>
      </c>
      <c r="B349" s="6" t="s">
        <v>1460</v>
      </c>
      <c r="C349" s="7">
        <v>1</v>
      </c>
      <c r="D349" s="9">
        <v>36154606.173280001</v>
      </c>
      <c r="E349" s="9">
        <v>28577249</v>
      </c>
      <c r="F349" s="9">
        <v>11894150</v>
      </c>
      <c r="G349" s="348"/>
      <c r="H349" s="111">
        <f t="shared" si="184"/>
        <v>11894150</v>
      </c>
      <c r="I349" s="9">
        <f t="shared" si="155"/>
        <v>36803962.054719999</v>
      </c>
      <c r="J349" s="33">
        <f t="shared" si="156"/>
        <v>29777494</v>
      </c>
      <c r="K349" s="9">
        <f t="shared" si="157"/>
        <v>7026468</v>
      </c>
      <c r="L349" s="112">
        <f t="shared" si="158"/>
        <v>0</v>
      </c>
      <c r="M349" s="458">
        <f>ROUND(100-'Townwide Contributions'!L348,2)</f>
        <v>17.5</v>
      </c>
      <c r="N349" s="9">
        <v>2832</v>
      </c>
      <c r="O349" s="9">
        <f t="shared" si="159"/>
        <v>2805</v>
      </c>
      <c r="P349" s="9">
        <f t="shared" si="160"/>
        <v>0</v>
      </c>
      <c r="Q349" s="28">
        <f t="shared" si="161"/>
        <v>291720</v>
      </c>
      <c r="R349" s="382">
        <f t="shared" si="162"/>
        <v>291720</v>
      </c>
      <c r="S349" s="28">
        <v>11894150</v>
      </c>
      <c r="T349" s="33">
        <f t="shared" si="163"/>
        <v>11978300</v>
      </c>
      <c r="U349" s="9">
        <f t="shared" si="164"/>
        <v>0</v>
      </c>
      <c r="V349" s="33">
        <f t="shared" si="165"/>
        <v>12185870</v>
      </c>
      <c r="W349" s="33">
        <f t="shared" si="166"/>
        <v>0</v>
      </c>
      <c r="X349" s="33">
        <v>0</v>
      </c>
      <c r="Y349" s="113">
        <f t="shared" si="167"/>
        <v>12185870</v>
      </c>
      <c r="Z349" s="155">
        <f t="shared" si="168"/>
        <v>33.110212378444729</v>
      </c>
      <c r="AA349" s="33">
        <f t="shared" si="169"/>
        <v>41963364</v>
      </c>
      <c r="AB349" s="114">
        <f t="shared" si="170"/>
        <v>114.01860467524942</v>
      </c>
      <c r="AC349" s="28">
        <f t="shared" si="171"/>
        <v>649355.88143999875</v>
      </c>
      <c r="AD349" s="28">
        <f t="shared" si="172"/>
        <v>291720</v>
      </c>
      <c r="AE349" s="28">
        <f t="shared" si="173"/>
        <v>5745176.6404240001</v>
      </c>
      <c r="AF349" s="115">
        <f t="shared" si="174"/>
        <v>15.610212378444729</v>
      </c>
      <c r="AG349" s="28">
        <f t="shared" si="175"/>
        <v>13120.84</v>
      </c>
      <c r="AI349" s="28">
        <f t="shared" si="176"/>
        <v>0</v>
      </c>
      <c r="AJ349" s="28"/>
      <c r="AK349" s="28">
        <f t="shared" si="177"/>
        <v>104</v>
      </c>
      <c r="AL349" s="156"/>
      <c r="AM349" s="6">
        <f t="shared" si="178"/>
        <v>342</v>
      </c>
      <c r="AN349" s="6" t="str">
        <f t="shared" si="179"/>
        <v xml:space="preserve">Wilmington                   </v>
      </c>
      <c r="AO349" s="6">
        <f t="shared" si="180"/>
        <v>1</v>
      </c>
      <c r="AP349" s="9">
        <f t="shared" si="185"/>
        <v>2805</v>
      </c>
      <c r="AQ349" s="9">
        <f t="shared" si="181"/>
        <v>36803962.054719999</v>
      </c>
      <c r="AR349" s="33">
        <f t="shared" si="182"/>
        <v>29777494</v>
      </c>
      <c r="AS349" s="33">
        <f t="shared" si="183"/>
        <v>12185870</v>
      </c>
      <c r="AU349" s="28"/>
      <c r="AV349" s="9"/>
      <c r="AW349" s="519"/>
    </row>
    <row r="350" spans="1:49">
      <c r="A350" s="6">
        <v>343</v>
      </c>
      <c r="B350" s="6" t="s">
        <v>1461</v>
      </c>
      <c r="C350" s="7">
        <v>1</v>
      </c>
      <c r="D350" s="9">
        <v>20130691.019999996</v>
      </c>
      <c r="E350" s="9">
        <v>6129765</v>
      </c>
      <c r="F350" s="9">
        <v>14000926</v>
      </c>
      <c r="G350" s="348"/>
      <c r="H350" s="111">
        <f t="shared" si="184"/>
        <v>14000926</v>
      </c>
      <c r="I350" s="9">
        <f t="shared" si="155"/>
        <v>20484346.350000001</v>
      </c>
      <c r="J350" s="33">
        <f t="shared" si="156"/>
        <v>6462904</v>
      </c>
      <c r="K350" s="9">
        <f t="shared" si="157"/>
        <v>14021442</v>
      </c>
      <c r="L350" s="112">
        <f t="shared" si="158"/>
        <v>20516</v>
      </c>
      <c r="M350" s="458">
        <f>ROUND(100-'Townwide Contributions'!L349,2)</f>
        <v>64.760000000000005</v>
      </c>
      <c r="N350" s="9">
        <v>1319</v>
      </c>
      <c r="O350" s="9">
        <f t="shared" si="159"/>
        <v>1294</v>
      </c>
      <c r="P350" s="9">
        <f t="shared" si="160"/>
        <v>1</v>
      </c>
      <c r="Q350" s="28">
        <f t="shared" si="161"/>
        <v>134576</v>
      </c>
      <c r="R350" s="382">
        <f t="shared" si="162"/>
        <v>114060</v>
      </c>
      <c r="S350" s="28">
        <v>14000926</v>
      </c>
      <c r="T350" s="33">
        <f t="shared" si="163"/>
        <v>14039746</v>
      </c>
      <c r="U350" s="9">
        <f t="shared" si="164"/>
        <v>0</v>
      </c>
      <c r="V350" s="33">
        <f t="shared" si="165"/>
        <v>14135502</v>
      </c>
      <c r="W350" s="33">
        <f t="shared" si="166"/>
        <v>0</v>
      </c>
      <c r="X350" s="33">
        <v>0</v>
      </c>
      <c r="Y350" s="113">
        <f t="shared" si="167"/>
        <v>14135502</v>
      </c>
      <c r="Z350" s="155">
        <f t="shared" si="168"/>
        <v>69.00636104505233</v>
      </c>
      <c r="AA350" s="33">
        <f t="shared" si="169"/>
        <v>20598406</v>
      </c>
      <c r="AB350" s="114">
        <f t="shared" si="170"/>
        <v>100.55681371546424</v>
      </c>
      <c r="AC350" s="28">
        <f t="shared" si="171"/>
        <v>353655.33000000566</v>
      </c>
      <c r="AD350" s="28">
        <f t="shared" si="172"/>
        <v>134576</v>
      </c>
      <c r="AE350" s="28">
        <f t="shared" si="173"/>
        <v>869839.30373999849</v>
      </c>
      <c r="AF350" s="115">
        <f t="shared" si="174"/>
        <v>4.2463610450523248</v>
      </c>
      <c r="AG350" s="28">
        <f t="shared" si="175"/>
        <v>15830.25</v>
      </c>
      <c r="AI350" s="28">
        <f t="shared" si="176"/>
        <v>0</v>
      </c>
      <c r="AJ350" s="28"/>
      <c r="AK350" s="28">
        <f t="shared" si="177"/>
        <v>104</v>
      </c>
      <c r="AL350" s="156"/>
      <c r="AM350" s="6">
        <f t="shared" si="178"/>
        <v>343</v>
      </c>
      <c r="AN350" s="6" t="str">
        <f t="shared" si="179"/>
        <v xml:space="preserve">Winchendon                   </v>
      </c>
      <c r="AO350" s="6">
        <f t="shared" si="180"/>
        <v>1</v>
      </c>
      <c r="AP350" s="9">
        <f t="shared" si="185"/>
        <v>1294</v>
      </c>
      <c r="AQ350" s="9">
        <f t="shared" si="181"/>
        <v>20484346.350000001</v>
      </c>
      <c r="AR350" s="33">
        <f t="shared" si="182"/>
        <v>6462904</v>
      </c>
      <c r="AS350" s="33">
        <f t="shared" si="183"/>
        <v>14135502</v>
      </c>
      <c r="AU350" s="28"/>
      <c r="AV350" s="9"/>
      <c r="AW350" s="519"/>
    </row>
    <row r="351" spans="1:49">
      <c r="A351" s="6">
        <v>344</v>
      </c>
      <c r="B351" s="6" t="s">
        <v>1462</v>
      </c>
      <c r="C351" s="7">
        <v>1</v>
      </c>
      <c r="D351" s="9">
        <v>53860981.504270002</v>
      </c>
      <c r="E351" s="9">
        <v>43974784</v>
      </c>
      <c r="F351" s="9">
        <v>10277119</v>
      </c>
      <c r="G351" s="348"/>
      <c r="H351" s="111">
        <f t="shared" si="184"/>
        <v>10277119</v>
      </c>
      <c r="I351" s="9">
        <f t="shared" si="155"/>
        <v>55351171.165500008</v>
      </c>
      <c r="J351" s="33">
        <f t="shared" si="156"/>
        <v>45664717</v>
      </c>
      <c r="K351" s="9">
        <f t="shared" si="157"/>
        <v>9686454</v>
      </c>
      <c r="L351" s="112">
        <f t="shared" si="158"/>
        <v>0</v>
      </c>
      <c r="M351" s="458">
        <f>ROUND(100-'Townwide Contributions'!L350,2)</f>
        <v>17.5</v>
      </c>
      <c r="N351" s="9">
        <v>4346</v>
      </c>
      <c r="O351" s="9">
        <f t="shared" si="159"/>
        <v>4346</v>
      </c>
      <c r="P351" s="9">
        <f t="shared" si="160"/>
        <v>0</v>
      </c>
      <c r="Q351" s="28">
        <f t="shared" si="161"/>
        <v>451984</v>
      </c>
      <c r="R351" s="382">
        <f t="shared" si="162"/>
        <v>451984</v>
      </c>
      <c r="S351" s="28">
        <v>10277119</v>
      </c>
      <c r="T351" s="33">
        <f t="shared" si="163"/>
        <v>10407499</v>
      </c>
      <c r="U351" s="9">
        <f t="shared" si="164"/>
        <v>0</v>
      </c>
      <c r="V351" s="33">
        <f t="shared" si="165"/>
        <v>10729103</v>
      </c>
      <c r="W351" s="33">
        <f t="shared" si="166"/>
        <v>0</v>
      </c>
      <c r="X351" s="33">
        <v>0</v>
      </c>
      <c r="Y351" s="113">
        <f t="shared" si="167"/>
        <v>10729103</v>
      </c>
      <c r="Z351" s="155">
        <f t="shared" si="168"/>
        <v>19.383696449565594</v>
      </c>
      <c r="AA351" s="33">
        <f t="shared" si="169"/>
        <v>56393820</v>
      </c>
      <c r="AB351" s="114">
        <f t="shared" si="170"/>
        <v>101.8836978740386</v>
      </c>
      <c r="AC351" s="28">
        <f t="shared" si="171"/>
        <v>1490189.6612300053</v>
      </c>
      <c r="AD351" s="28">
        <f t="shared" si="172"/>
        <v>451984</v>
      </c>
      <c r="AE351" s="28">
        <f t="shared" si="173"/>
        <v>1042648.0460374989</v>
      </c>
      <c r="AF351" s="115">
        <f t="shared" si="174"/>
        <v>1.8836964495655941</v>
      </c>
      <c r="AG351" s="28">
        <f t="shared" si="175"/>
        <v>12736.12</v>
      </c>
      <c r="AI351" s="28">
        <f t="shared" si="176"/>
        <v>0</v>
      </c>
      <c r="AJ351" s="28"/>
      <c r="AK351" s="28">
        <f t="shared" si="177"/>
        <v>104</v>
      </c>
      <c r="AL351" s="156"/>
      <c r="AM351" s="6">
        <f t="shared" si="178"/>
        <v>344</v>
      </c>
      <c r="AN351" s="6" t="str">
        <f t="shared" si="179"/>
        <v xml:space="preserve">Winchester                   </v>
      </c>
      <c r="AO351" s="6">
        <f t="shared" si="180"/>
        <v>1</v>
      </c>
      <c r="AP351" s="9">
        <f t="shared" si="185"/>
        <v>4346</v>
      </c>
      <c r="AQ351" s="9">
        <f t="shared" si="181"/>
        <v>55351171.165500008</v>
      </c>
      <c r="AR351" s="33">
        <f t="shared" si="182"/>
        <v>45664717</v>
      </c>
      <c r="AS351" s="33">
        <f t="shared" si="183"/>
        <v>10729103</v>
      </c>
      <c r="AU351" s="28"/>
      <c r="AV351" s="9"/>
      <c r="AW351" s="519"/>
    </row>
    <row r="352" spans="1:49">
      <c r="A352" s="6">
        <v>345</v>
      </c>
      <c r="B352" s="6" t="s">
        <v>1463</v>
      </c>
      <c r="C352" s="7">
        <v>0</v>
      </c>
      <c r="D352" s="9">
        <v>65963.040000000008</v>
      </c>
      <c r="E352" s="9">
        <v>48534</v>
      </c>
      <c r="F352" s="9">
        <v>26462</v>
      </c>
      <c r="G352" s="348"/>
      <c r="H352" s="111">
        <f t="shared" si="184"/>
        <v>26462</v>
      </c>
      <c r="I352" s="9">
        <f t="shared" si="155"/>
        <v>84301.650000000009</v>
      </c>
      <c r="J352" s="33">
        <f t="shared" si="156"/>
        <v>68029</v>
      </c>
      <c r="K352" s="9">
        <f t="shared" si="157"/>
        <v>16273</v>
      </c>
      <c r="L352" s="112">
        <f t="shared" si="158"/>
        <v>0</v>
      </c>
      <c r="M352" s="458">
        <f>ROUND(100-'Townwide Contributions'!L351,2)</f>
        <v>17.5</v>
      </c>
      <c r="N352" s="9">
        <v>4</v>
      </c>
      <c r="O352" s="9">
        <f t="shared" si="159"/>
        <v>5</v>
      </c>
      <c r="P352" s="9">
        <f t="shared" si="160"/>
        <v>0</v>
      </c>
      <c r="Q352" s="28">
        <f t="shared" si="161"/>
        <v>0</v>
      </c>
      <c r="R352" s="382">
        <f t="shared" si="162"/>
        <v>0</v>
      </c>
      <c r="S352" s="28">
        <v>26462</v>
      </c>
      <c r="T352" s="33">
        <f t="shared" si="163"/>
        <v>26612</v>
      </c>
      <c r="U352" s="9">
        <f t="shared" si="164"/>
        <v>0</v>
      </c>
      <c r="V352" s="33">
        <f t="shared" si="165"/>
        <v>26462</v>
      </c>
      <c r="W352" s="33">
        <f t="shared" si="166"/>
        <v>0</v>
      </c>
      <c r="X352" s="33">
        <v>0</v>
      </c>
      <c r="Y352" s="113">
        <f t="shared" si="167"/>
        <v>26462</v>
      </c>
      <c r="Z352" s="155">
        <f t="shared" si="168"/>
        <v>0</v>
      </c>
      <c r="AA352" s="33">
        <f t="shared" si="169"/>
        <v>94491</v>
      </c>
      <c r="AB352" s="114">
        <f t="shared" si="170"/>
        <v>112.08677410228624</v>
      </c>
      <c r="AC352" s="28">
        <f t="shared" si="171"/>
        <v>18338.61</v>
      </c>
      <c r="AD352" s="28">
        <f t="shared" si="172"/>
        <v>0</v>
      </c>
      <c r="AE352" s="28">
        <f t="shared" si="173"/>
        <v>11709.21125</v>
      </c>
      <c r="AF352" s="115" t="str">
        <f t="shared" si="174"/>
        <v/>
      </c>
      <c r="AG352" s="28">
        <f t="shared" si="175"/>
        <v>16860.330000000002</v>
      </c>
      <c r="AI352" s="28">
        <f t="shared" si="176"/>
        <v>0</v>
      </c>
      <c r="AJ352" s="28"/>
      <c r="AK352" s="28">
        <f t="shared" si="177"/>
        <v>0</v>
      </c>
      <c r="AL352" s="156"/>
      <c r="AM352" s="6">
        <f t="shared" si="178"/>
        <v>345</v>
      </c>
      <c r="AN352" s="6" t="str">
        <f t="shared" si="179"/>
        <v xml:space="preserve">Windsor                      </v>
      </c>
      <c r="AO352" s="6">
        <f t="shared" si="180"/>
        <v>0</v>
      </c>
      <c r="AP352" s="9">
        <f t="shared" si="185"/>
        <v>5</v>
      </c>
      <c r="AQ352" s="9">
        <f t="shared" si="181"/>
        <v>84301.650000000009</v>
      </c>
      <c r="AR352" s="33">
        <f t="shared" si="182"/>
        <v>68029</v>
      </c>
      <c r="AS352" s="33">
        <f t="shared" si="183"/>
        <v>26462</v>
      </c>
      <c r="AU352" s="28"/>
      <c r="AV352" s="9"/>
      <c r="AW352" s="519"/>
    </row>
    <row r="353" spans="1:49">
      <c r="A353" s="6">
        <v>346</v>
      </c>
      <c r="B353" s="6" t="s">
        <v>1464</v>
      </c>
      <c r="C353" s="7">
        <v>1</v>
      </c>
      <c r="D353" s="9">
        <v>28718694.131870005</v>
      </c>
      <c r="E353" s="9">
        <v>18971710</v>
      </c>
      <c r="F353" s="9">
        <v>9746984</v>
      </c>
      <c r="G353" s="348"/>
      <c r="H353" s="111">
        <f t="shared" si="184"/>
        <v>9746984</v>
      </c>
      <c r="I353" s="9">
        <f t="shared" si="155"/>
        <v>30384003.300080005</v>
      </c>
      <c r="J353" s="33">
        <f t="shared" si="156"/>
        <v>20235207</v>
      </c>
      <c r="K353" s="9">
        <f t="shared" si="157"/>
        <v>10148796</v>
      </c>
      <c r="L353" s="112">
        <f t="shared" si="158"/>
        <v>401812</v>
      </c>
      <c r="M353" s="458">
        <f>ROUND(100-'Townwide Contributions'!L352,2)</f>
        <v>23.38</v>
      </c>
      <c r="N353" s="9">
        <v>1957</v>
      </c>
      <c r="O353" s="9">
        <f t="shared" si="159"/>
        <v>1995</v>
      </c>
      <c r="P353" s="9">
        <f t="shared" si="160"/>
        <v>1</v>
      </c>
      <c r="Q353" s="28">
        <f t="shared" si="161"/>
        <v>207480</v>
      </c>
      <c r="R353" s="382">
        <f t="shared" si="162"/>
        <v>0</v>
      </c>
      <c r="S353" s="28">
        <v>9746984</v>
      </c>
      <c r="T353" s="33">
        <f t="shared" si="163"/>
        <v>9806834</v>
      </c>
      <c r="U353" s="9">
        <f t="shared" si="164"/>
        <v>0</v>
      </c>
      <c r="V353" s="33">
        <f t="shared" si="165"/>
        <v>10148796</v>
      </c>
      <c r="W353" s="33">
        <f t="shared" si="166"/>
        <v>0</v>
      </c>
      <c r="X353" s="33">
        <v>0</v>
      </c>
      <c r="Y353" s="113">
        <f t="shared" si="167"/>
        <v>10148796</v>
      </c>
      <c r="Z353" s="155">
        <f t="shared" si="168"/>
        <v>33.401773623337114</v>
      </c>
      <c r="AA353" s="33">
        <f t="shared" si="169"/>
        <v>30384003</v>
      </c>
      <c r="AB353" s="114">
        <f t="shared" si="170"/>
        <v>99.999999012375028</v>
      </c>
      <c r="AC353" s="28">
        <f t="shared" si="171"/>
        <v>1665309.1682099998</v>
      </c>
      <c r="AD353" s="28">
        <f t="shared" si="172"/>
        <v>401812</v>
      </c>
      <c r="AE353" s="28">
        <f t="shared" si="173"/>
        <v>3045016.028441295</v>
      </c>
      <c r="AF353" s="115">
        <f t="shared" si="174"/>
        <v>10.021773623337115</v>
      </c>
      <c r="AG353" s="28">
        <f t="shared" si="175"/>
        <v>15230.08</v>
      </c>
      <c r="AI353" s="28">
        <f t="shared" si="176"/>
        <v>0</v>
      </c>
      <c r="AJ353" s="28"/>
      <c r="AK353" s="28">
        <f t="shared" si="177"/>
        <v>201.40952380952382</v>
      </c>
      <c r="AL353" s="156"/>
      <c r="AM353" s="6">
        <f t="shared" si="178"/>
        <v>346</v>
      </c>
      <c r="AN353" s="6" t="str">
        <f t="shared" si="179"/>
        <v xml:space="preserve">Winthrop                     </v>
      </c>
      <c r="AO353" s="6">
        <f t="shared" si="180"/>
        <v>1</v>
      </c>
      <c r="AP353" s="9">
        <f t="shared" si="185"/>
        <v>1995</v>
      </c>
      <c r="AQ353" s="9">
        <f t="shared" si="181"/>
        <v>30384003.300080005</v>
      </c>
      <c r="AR353" s="33">
        <f t="shared" si="182"/>
        <v>20235207</v>
      </c>
      <c r="AS353" s="33">
        <f t="shared" si="183"/>
        <v>10148796</v>
      </c>
      <c r="AU353" s="28"/>
      <c r="AV353" s="9"/>
      <c r="AW353" s="519"/>
    </row>
    <row r="354" spans="1:49">
      <c r="A354" s="6">
        <v>347</v>
      </c>
      <c r="B354" s="6" t="s">
        <v>1028</v>
      </c>
      <c r="C354" s="7">
        <v>1</v>
      </c>
      <c r="D354" s="9">
        <v>65492150.344600007</v>
      </c>
      <c r="E354" s="9">
        <v>51893336</v>
      </c>
      <c r="F354" s="9">
        <v>13598814</v>
      </c>
      <c r="G354" s="348"/>
      <c r="H354" s="111">
        <f t="shared" si="184"/>
        <v>13598814</v>
      </c>
      <c r="I354" s="9">
        <f t="shared" si="155"/>
        <v>70723977.379679993</v>
      </c>
      <c r="J354" s="33">
        <f t="shared" si="156"/>
        <v>55994588</v>
      </c>
      <c r="K354" s="9">
        <f t="shared" si="157"/>
        <v>14729389</v>
      </c>
      <c r="L354" s="112">
        <f t="shared" si="158"/>
        <v>1130575</v>
      </c>
      <c r="M354" s="458">
        <f>ROUND(100-'Townwide Contributions'!L353,2)</f>
        <v>17.5</v>
      </c>
      <c r="N354" s="9">
        <v>4388</v>
      </c>
      <c r="O354" s="9">
        <f t="shared" si="159"/>
        <v>4533</v>
      </c>
      <c r="P354" s="9">
        <f t="shared" si="160"/>
        <v>1</v>
      </c>
      <c r="Q354" s="28">
        <f t="shared" si="161"/>
        <v>471432</v>
      </c>
      <c r="R354" s="382">
        <f t="shared" si="162"/>
        <v>0</v>
      </c>
      <c r="S354" s="28">
        <v>13598814</v>
      </c>
      <c r="T354" s="33">
        <f t="shared" si="163"/>
        <v>13734804</v>
      </c>
      <c r="U354" s="9">
        <f t="shared" si="164"/>
        <v>0</v>
      </c>
      <c r="V354" s="33">
        <f t="shared" si="165"/>
        <v>14729389</v>
      </c>
      <c r="W354" s="33">
        <f t="shared" si="166"/>
        <v>0</v>
      </c>
      <c r="X354" s="33">
        <v>0</v>
      </c>
      <c r="Y354" s="113">
        <f t="shared" si="167"/>
        <v>14729389</v>
      </c>
      <c r="Z354" s="155">
        <f t="shared" si="168"/>
        <v>20.826584626209051</v>
      </c>
      <c r="AA354" s="33">
        <f t="shared" si="169"/>
        <v>70723977</v>
      </c>
      <c r="AB354" s="114">
        <f t="shared" si="170"/>
        <v>99.999999463152378</v>
      </c>
      <c r="AC354" s="28">
        <f t="shared" si="171"/>
        <v>5231827.0350799859</v>
      </c>
      <c r="AD354" s="28">
        <f t="shared" si="172"/>
        <v>1130575</v>
      </c>
      <c r="AE354" s="28">
        <f t="shared" si="173"/>
        <v>2352692.958556002</v>
      </c>
      <c r="AF354" s="115">
        <f t="shared" si="174"/>
        <v>3.3265846262090513</v>
      </c>
      <c r="AG354" s="28">
        <f t="shared" si="175"/>
        <v>15602.02</v>
      </c>
      <c r="AI354" s="28">
        <f t="shared" si="176"/>
        <v>0</v>
      </c>
      <c r="AJ354" s="28"/>
      <c r="AK354" s="28">
        <f t="shared" si="177"/>
        <v>249.40988307963821</v>
      </c>
      <c r="AL354" s="156"/>
      <c r="AM354" s="6">
        <f t="shared" si="178"/>
        <v>347</v>
      </c>
      <c r="AN354" s="6" t="str">
        <f t="shared" si="179"/>
        <v>Woburn</v>
      </c>
      <c r="AO354" s="6">
        <f t="shared" si="180"/>
        <v>1</v>
      </c>
      <c r="AP354" s="9">
        <f t="shared" si="185"/>
        <v>4533</v>
      </c>
      <c r="AQ354" s="9">
        <f t="shared" si="181"/>
        <v>70723977.379679993</v>
      </c>
      <c r="AR354" s="33">
        <f t="shared" si="182"/>
        <v>55994588</v>
      </c>
      <c r="AS354" s="33">
        <f t="shared" si="183"/>
        <v>14729389</v>
      </c>
      <c r="AU354" s="28"/>
      <c r="AV354" s="9"/>
      <c r="AW354" s="519"/>
    </row>
    <row r="355" spans="1:49">
      <c r="A355" s="6">
        <v>348</v>
      </c>
      <c r="B355" s="6" t="s">
        <v>1465</v>
      </c>
      <c r="C355" s="7">
        <v>1</v>
      </c>
      <c r="D355" s="9">
        <v>477974878.60999995</v>
      </c>
      <c r="E355" s="9">
        <v>120432974</v>
      </c>
      <c r="F355" s="9">
        <v>357541905</v>
      </c>
      <c r="G355" s="348"/>
      <c r="H355" s="111">
        <f t="shared" si="184"/>
        <v>357541905</v>
      </c>
      <c r="I355" s="9">
        <f t="shared" si="155"/>
        <v>505110665.75</v>
      </c>
      <c r="J355" s="33">
        <f t="shared" si="156"/>
        <v>127670996</v>
      </c>
      <c r="K355" s="9">
        <f t="shared" si="157"/>
        <v>377439670</v>
      </c>
      <c r="L355" s="112">
        <f t="shared" si="158"/>
        <v>19897765</v>
      </c>
      <c r="M355" s="458">
        <f>ROUND(100-'Townwide Contributions'!L354,2)</f>
        <v>70.709999999999994</v>
      </c>
      <c r="N355" s="9">
        <v>26552</v>
      </c>
      <c r="O355" s="9">
        <f t="shared" si="159"/>
        <v>26667</v>
      </c>
      <c r="P355" s="9">
        <f t="shared" si="160"/>
        <v>1</v>
      </c>
      <c r="Q355" s="28">
        <f t="shared" si="161"/>
        <v>2773368</v>
      </c>
      <c r="R355" s="382">
        <f t="shared" si="162"/>
        <v>0</v>
      </c>
      <c r="S355" s="28">
        <v>357541905</v>
      </c>
      <c r="T355" s="33">
        <f t="shared" si="163"/>
        <v>358341915</v>
      </c>
      <c r="U355" s="9">
        <f t="shared" si="164"/>
        <v>0</v>
      </c>
      <c r="V355" s="33">
        <f t="shared" si="165"/>
        <v>377439670</v>
      </c>
      <c r="W355" s="33">
        <f t="shared" si="166"/>
        <v>0</v>
      </c>
      <c r="X355" s="33">
        <v>0</v>
      </c>
      <c r="Y355" s="113">
        <f t="shared" si="167"/>
        <v>377439670</v>
      </c>
      <c r="Z355" s="155">
        <f t="shared" si="168"/>
        <v>74.724153654441011</v>
      </c>
      <c r="AA355" s="33">
        <f t="shared" si="169"/>
        <v>505110666</v>
      </c>
      <c r="AB355" s="114">
        <f t="shared" si="170"/>
        <v>100.0000000494941</v>
      </c>
      <c r="AC355" s="28">
        <f t="shared" si="171"/>
        <v>27135787.140000045</v>
      </c>
      <c r="AD355" s="28">
        <f t="shared" si="172"/>
        <v>19897765</v>
      </c>
      <c r="AE355" s="28">
        <f t="shared" si="173"/>
        <v>20275918.248175025</v>
      </c>
      <c r="AF355" s="115">
        <f t="shared" si="174"/>
        <v>4.0141536544410172</v>
      </c>
      <c r="AG355" s="28">
        <f t="shared" si="175"/>
        <v>18941.41</v>
      </c>
      <c r="AI355" s="28">
        <f t="shared" si="176"/>
        <v>0</v>
      </c>
      <c r="AJ355" s="28"/>
      <c r="AK355" s="28">
        <f t="shared" si="177"/>
        <v>746.15686053924321</v>
      </c>
      <c r="AL355" s="156"/>
      <c r="AM355" s="6">
        <f t="shared" si="178"/>
        <v>348</v>
      </c>
      <c r="AN355" s="6" t="str">
        <f t="shared" si="179"/>
        <v xml:space="preserve">Worcester                    </v>
      </c>
      <c r="AO355" s="6">
        <f t="shared" si="180"/>
        <v>1</v>
      </c>
      <c r="AP355" s="9">
        <f t="shared" si="185"/>
        <v>26667</v>
      </c>
      <c r="AQ355" s="9">
        <f t="shared" si="181"/>
        <v>505110665.75</v>
      </c>
      <c r="AR355" s="33">
        <f t="shared" si="182"/>
        <v>127670996</v>
      </c>
      <c r="AS355" s="33">
        <f t="shared" si="183"/>
        <v>377439670</v>
      </c>
      <c r="AU355" s="28"/>
      <c r="AV355" s="9"/>
      <c r="AW355" s="519"/>
    </row>
    <row r="356" spans="1:49">
      <c r="A356" s="6">
        <v>349</v>
      </c>
      <c r="B356" s="6" t="s">
        <v>1466</v>
      </c>
      <c r="C356" s="7">
        <v>1</v>
      </c>
      <c r="D356" s="9">
        <v>1568790.0099999995</v>
      </c>
      <c r="E356" s="9">
        <v>1103824</v>
      </c>
      <c r="F356" s="9">
        <v>464966</v>
      </c>
      <c r="G356" s="348"/>
      <c r="H356" s="111">
        <f t="shared" si="184"/>
        <v>464966</v>
      </c>
      <c r="I356" s="9">
        <f t="shared" si="155"/>
        <v>1599602.0399999998</v>
      </c>
      <c r="J356" s="33">
        <f t="shared" si="156"/>
        <v>1175020</v>
      </c>
      <c r="K356" s="9">
        <f t="shared" si="157"/>
        <v>424582</v>
      </c>
      <c r="L356" s="112">
        <f t="shared" si="158"/>
        <v>0</v>
      </c>
      <c r="M356" s="458">
        <f>ROUND(100-'Townwide Contributions'!L355,2)</f>
        <v>17.5</v>
      </c>
      <c r="N356" s="9">
        <v>120</v>
      </c>
      <c r="O356" s="9">
        <f t="shared" si="159"/>
        <v>119</v>
      </c>
      <c r="P356" s="9">
        <f t="shared" si="160"/>
        <v>0</v>
      </c>
      <c r="Q356" s="28">
        <f t="shared" si="161"/>
        <v>12376</v>
      </c>
      <c r="R356" s="382">
        <f t="shared" si="162"/>
        <v>12376</v>
      </c>
      <c r="S356" s="28">
        <v>464966</v>
      </c>
      <c r="T356" s="33">
        <f t="shared" si="163"/>
        <v>468536</v>
      </c>
      <c r="U356" s="9">
        <f t="shared" si="164"/>
        <v>0</v>
      </c>
      <c r="V356" s="33">
        <f t="shared" si="165"/>
        <v>477342</v>
      </c>
      <c r="W356" s="33">
        <f t="shared" si="166"/>
        <v>0</v>
      </c>
      <c r="X356" s="33">
        <v>0</v>
      </c>
      <c r="Y356" s="113">
        <f t="shared" si="167"/>
        <v>477342</v>
      </c>
      <c r="Z356" s="155">
        <f t="shared" si="168"/>
        <v>29.841297276665141</v>
      </c>
      <c r="AA356" s="33">
        <f t="shared" si="169"/>
        <v>1652362</v>
      </c>
      <c r="AB356" s="114">
        <f t="shared" si="170"/>
        <v>103.29831787411325</v>
      </c>
      <c r="AC356" s="28">
        <f t="shared" si="171"/>
        <v>30812.030000000261</v>
      </c>
      <c r="AD356" s="28">
        <f t="shared" si="172"/>
        <v>12376</v>
      </c>
      <c r="AE356" s="28">
        <f t="shared" si="173"/>
        <v>197411.64300000004</v>
      </c>
      <c r="AF356" s="115">
        <f t="shared" si="174"/>
        <v>12.341297276665141</v>
      </c>
      <c r="AG356" s="28">
        <f t="shared" si="175"/>
        <v>13442.03</v>
      </c>
      <c r="AI356" s="28">
        <f t="shared" si="176"/>
        <v>0</v>
      </c>
      <c r="AJ356" s="28"/>
      <c r="AK356" s="28">
        <f t="shared" si="177"/>
        <v>104</v>
      </c>
      <c r="AL356" s="156"/>
      <c r="AM356" s="6">
        <f t="shared" si="178"/>
        <v>349</v>
      </c>
      <c r="AN356" s="6" t="str">
        <f t="shared" si="179"/>
        <v xml:space="preserve">Worthington                  </v>
      </c>
      <c r="AO356" s="6">
        <f t="shared" si="180"/>
        <v>1</v>
      </c>
      <c r="AP356" s="9">
        <f t="shared" si="185"/>
        <v>119</v>
      </c>
      <c r="AQ356" s="9">
        <f t="shared" si="181"/>
        <v>1599602.0399999998</v>
      </c>
      <c r="AR356" s="33">
        <f t="shared" si="182"/>
        <v>1175020</v>
      </c>
      <c r="AS356" s="33">
        <f t="shared" si="183"/>
        <v>477342</v>
      </c>
      <c r="AU356" s="28"/>
      <c r="AV356" s="9"/>
      <c r="AW356" s="519"/>
    </row>
    <row r="357" spans="1:49">
      <c r="A357" s="6">
        <v>350</v>
      </c>
      <c r="B357" s="6" t="s">
        <v>1467</v>
      </c>
      <c r="C357" s="7">
        <v>1</v>
      </c>
      <c r="D357" s="9">
        <v>11250378.938039999</v>
      </c>
      <c r="E357" s="9">
        <v>8771480</v>
      </c>
      <c r="F357" s="9">
        <v>3924073</v>
      </c>
      <c r="G357" s="348"/>
      <c r="H357" s="111">
        <f t="shared" si="184"/>
        <v>3924073</v>
      </c>
      <c r="I357" s="9">
        <f t="shared" si="155"/>
        <v>12020258.945529999</v>
      </c>
      <c r="J357" s="33">
        <f t="shared" si="156"/>
        <v>9445383</v>
      </c>
      <c r="K357" s="9">
        <f t="shared" si="157"/>
        <v>2574876</v>
      </c>
      <c r="L357" s="112">
        <f t="shared" si="158"/>
        <v>0</v>
      </c>
      <c r="M357" s="458">
        <f>ROUND(100-'Townwide Contributions'!L356,2)</f>
        <v>17.5</v>
      </c>
      <c r="N357" s="9">
        <v>925</v>
      </c>
      <c r="O357" s="9">
        <f t="shared" si="159"/>
        <v>956</v>
      </c>
      <c r="P357" s="9">
        <f t="shared" si="160"/>
        <v>0</v>
      </c>
      <c r="Q357" s="28">
        <f t="shared" si="161"/>
        <v>99424</v>
      </c>
      <c r="R357" s="382">
        <f t="shared" si="162"/>
        <v>99424</v>
      </c>
      <c r="S357" s="28">
        <v>3924073</v>
      </c>
      <c r="T357" s="33">
        <f t="shared" si="163"/>
        <v>3952753</v>
      </c>
      <c r="U357" s="9">
        <f t="shared" si="164"/>
        <v>0</v>
      </c>
      <c r="V357" s="33">
        <f t="shared" si="165"/>
        <v>4023497</v>
      </c>
      <c r="W357" s="33">
        <f t="shared" si="166"/>
        <v>0</v>
      </c>
      <c r="X357" s="33">
        <v>0</v>
      </c>
      <c r="Y357" s="113">
        <f t="shared" si="167"/>
        <v>4023497</v>
      </c>
      <c r="Z357" s="155">
        <f t="shared" si="168"/>
        <v>33.472631648224407</v>
      </c>
      <c r="AA357" s="33">
        <f t="shared" si="169"/>
        <v>13468880</v>
      </c>
      <c r="AB357" s="114">
        <f t="shared" si="170"/>
        <v>112.05149623676537</v>
      </c>
      <c r="AC357" s="28">
        <f t="shared" si="171"/>
        <v>769880.00748999976</v>
      </c>
      <c r="AD357" s="28">
        <f t="shared" si="172"/>
        <v>99424</v>
      </c>
      <c r="AE357" s="28">
        <f t="shared" si="173"/>
        <v>1919951.6845322503</v>
      </c>
      <c r="AF357" s="115">
        <f t="shared" si="174"/>
        <v>15.972631648224407</v>
      </c>
      <c r="AG357" s="28">
        <f t="shared" si="175"/>
        <v>12573.49</v>
      </c>
      <c r="AI357" s="28">
        <f t="shared" si="176"/>
        <v>0</v>
      </c>
      <c r="AJ357" s="28"/>
      <c r="AK357" s="28">
        <f t="shared" si="177"/>
        <v>104</v>
      </c>
      <c r="AL357" s="156"/>
      <c r="AM357" s="6">
        <f t="shared" si="178"/>
        <v>350</v>
      </c>
      <c r="AN357" s="6" t="str">
        <f t="shared" si="179"/>
        <v xml:space="preserve">Wrentham                     </v>
      </c>
      <c r="AO357" s="6">
        <f t="shared" si="180"/>
        <v>1</v>
      </c>
      <c r="AP357" s="9">
        <f t="shared" si="185"/>
        <v>956</v>
      </c>
      <c r="AQ357" s="9">
        <f t="shared" si="181"/>
        <v>12020258.945529999</v>
      </c>
      <c r="AR357" s="33">
        <f t="shared" si="182"/>
        <v>9445383</v>
      </c>
      <c r="AS357" s="33">
        <f t="shared" si="183"/>
        <v>4023497</v>
      </c>
      <c r="AU357" s="28"/>
      <c r="AV357" s="9"/>
      <c r="AW357" s="519"/>
    </row>
    <row r="358" spans="1:49">
      <c r="A358" s="6">
        <v>351</v>
      </c>
      <c r="B358" s="6" t="s">
        <v>1468</v>
      </c>
      <c r="C358" s="7">
        <v>0</v>
      </c>
      <c r="D358" s="9">
        <v>0</v>
      </c>
      <c r="E358" s="9">
        <v>0</v>
      </c>
      <c r="F358" s="9">
        <v>0</v>
      </c>
      <c r="G358" s="348"/>
      <c r="H358" s="111">
        <f t="shared" si="184"/>
        <v>0</v>
      </c>
      <c r="I358" s="9">
        <f t="shared" si="155"/>
        <v>0</v>
      </c>
      <c r="J358" s="33">
        <f t="shared" si="156"/>
        <v>0</v>
      </c>
      <c r="K358" s="9">
        <f t="shared" si="157"/>
        <v>0</v>
      </c>
      <c r="L358" s="112">
        <f t="shared" si="158"/>
        <v>0</v>
      </c>
      <c r="M358" s="458">
        <f>ROUND(100-'Townwide Contributions'!L357,2)</f>
        <v>17.5</v>
      </c>
      <c r="N358" s="9">
        <v>0</v>
      </c>
      <c r="O358" s="9">
        <f t="shared" si="159"/>
        <v>0</v>
      </c>
      <c r="P358" s="9">
        <f t="shared" si="160"/>
        <v>0</v>
      </c>
      <c r="Q358" s="28">
        <f t="shared" si="161"/>
        <v>0</v>
      </c>
      <c r="R358" s="382">
        <f t="shared" si="162"/>
        <v>0</v>
      </c>
      <c r="S358" s="28">
        <v>0</v>
      </c>
      <c r="T358" s="33">
        <f t="shared" si="163"/>
        <v>0</v>
      </c>
      <c r="U358" s="9">
        <f t="shared" si="164"/>
        <v>0</v>
      </c>
      <c r="V358" s="33">
        <f t="shared" si="165"/>
        <v>0</v>
      </c>
      <c r="W358" s="33">
        <f t="shared" si="166"/>
        <v>0</v>
      </c>
      <c r="X358" s="33">
        <v>0</v>
      </c>
      <c r="Y358" s="113">
        <f t="shared" si="167"/>
        <v>0</v>
      </c>
      <c r="Z358" s="155">
        <f t="shared" si="168"/>
        <v>0</v>
      </c>
      <c r="AA358" s="33">
        <f t="shared" si="169"/>
        <v>0</v>
      </c>
      <c r="AB358" s="114">
        <f t="shared" si="170"/>
        <v>0</v>
      </c>
      <c r="AC358" s="28">
        <f t="shared" si="171"/>
        <v>0</v>
      </c>
      <c r="AD358" s="28">
        <f t="shared" si="172"/>
        <v>0</v>
      </c>
      <c r="AE358" s="28">
        <f t="shared" si="173"/>
        <v>0</v>
      </c>
      <c r="AF358" s="115" t="str">
        <f t="shared" si="174"/>
        <v/>
      </c>
      <c r="AG358" s="28">
        <f t="shared" si="175"/>
        <v>0</v>
      </c>
      <c r="AI358" s="28">
        <f t="shared" si="176"/>
        <v>0</v>
      </c>
      <c r="AJ358" s="28"/>
      <c r="AK358" s="28">
        <f t="shared" si="177"/>
        <v>0</v>
      </c>
      <c r="AL358" s="156"/>
      <c r="AM358" s="6">
        <f t="shared" si="178"/>
        <v>351</v>
      </c>
      <c r="AN358" s="6" t="str">
        <f t="shared" si="179"/>
        <v xml:space="preserve">Yarmouth                     </v>
      </c>
      <c r="AO358" s="6">
        <f t="shared" si="180"/>
        <v>0</v>
      </c>
      <c r="AP358" s="9">
        <f t="shared" si="185"/>
        <v>0</v>
      </c>
      <c r="AQ358" s="9">
        <f t="shared" si="181"/>
        <v>0</v>
      </c>
      <c r="AR358" s="33">
        <f t="shared" si="182"/>
        <v>0</v>
      </c>
      <c r="AS358" s="33">
        <f t="shared" si="183"/>
        <v>0</v>
      </c>
      <c r="AU358" s="28"/>
      <c r="AW358" s="519"/>
    </row>
    <row r="359" spans="1:49">
      <c r="A359" s="6">
        <v>406</v>
      </c>
      <c r="B359" s="6" t="s">
        <v>1469</v>
      </c>
      <c r="C359" s="7">
        <v>1</v>
      </c>
      <c r="D359" s="9">
        <v>3641524.6399999997</v>
      </c>
      <c r="E359" s="9">
        <v>2870492</v>
      </c>
      <c r="F359" s="9">
        <v>930545</v>
      </c>
      <c r="G359" s="348"/>
      <c r="H359" s="111">
        <f t="shared" si="184"/>
        <v>930545</v>
      </c>
      <c r="I359" s="9">
        <f t="shared" si="155"/>
        <v>3830697.23</v>
      </c>
      <c r="J359" s="33">
        <f t="shared" si="156"/>
        <v>3095469</v>
      </c>
      <c r="K359" s="9">
        <f t="shared" si="157"/>
        <v>735228</v>
      </c>
      <c r="L359" s="112">
        <f t="shared" si="158"/>
        <v>0</v>
      </c>
      <c r="M359" s="458">
        <f t="shared" ref="M359:M390" si="186">ROUND(100-SUMIF(fraclea,A359,memeffpct),2)</f>
        <v>17.5</v>
      </c>
      <c r="N359" s="9">
        <v>115</v>
      </c>
      <c r="O359" s="9">
        <f t="shared" si="159"/>
        <v>119</v>
      </c>
      <c r="P359" s="9">
        <f t="shared" si="160"/>
        <v>0</v>
      </c>
      <c r="Q359" s="28">
        <f t="shared" si="161"/>
        <v>12376</v>
      </c>
      <c r="R359" s="382">
        <f t="shared" si="162"/>
        <v>12376</v>
      </c>
      <c r="S359" s="28">
        <v>930545</v>
      </c>
      <c r="T359" s="33">
        <f t="shared" si="163"/>
        <v>934115</v>
      </c>
      <c r="U359" s="9">
        <f t="shared" si="164"/>
        <v>0</v>
      </c>
      <c r="V359" s="33">
        <f t="shared" si="165"/>
        <v>942921</v>
      </c>
      <c r="W359" s="33">
        <f t="shared" si="166"/>
        <v>0</v>
      </c>
      <c r="X359" s="33">
        <v>0</v>
      </c>
      <c r="Y359" s="113">
        <f t="shared" si="167"/>
        <v>942921</v>
      </c>
      <c r="Z359" s="155">
        <f t="shared" si="168"/>
        <v>24.614866260260406</v>
      </c>
      <c r="AA359" s="33">
        <f t="shared" si="169"/>
        <v>4038390</v>
      </c>
      <c r="AB359" s="114">
        <f t="shared" si="170"/>
        <v>105.42180072007413</v>
      </c>
      <c r="AC359" s="28">
        <f t="shared" si="171"/>
        <v>189172.59000000032</v>
      </c>
      <c r="AD359" s="28">
        <f t="shared" si="172"/>
        <v>12376</v>
      </c>
      <c r="AE359" s="28">
        <f t="shared" si="173"/>
        <v>272548.98475000006</v>
      </c>
      <c r="AF359" s="115">
        <f t="shared" si="174"/>
        <v>7.1148662602604062</v>
      </c>
      <c r="AG359" s="28">
        <f t="shared" si="175"/>
        <v>32190.73</v>
      </c>
      <c r="AI359" s="28">
        <f t="shared" si="176"/>
        <v>0</v>
      </c>
      <c r="AJ359" s="28"/>
      <c r="AK359" s="28">
        <f t="shared" si="177"/>
        <v>104</v>
      </c>
      <c r="AL359" s="156"/>
      <c r="AM359" s="6">
        <f t="shared" si="178"/>
        <v>406</v>
      </c>
      <c r="AN359" s="6" t="str">
        <f t="shared" si="179"/>
        <v xml:space="preserve">Northampton Smith            </v>
      </c>
      <c r="AO359" s="6">
        <f t="shared" si="180"/>
        <v>1</v>
      </c>
      <c r="AP359" s="9">
        <f t="shared" si="185"/>
        <v>119</v>
      </c>
      <c r="AQ359" s="9">
        <f t="shared" si="181"/>
        <v>3830697.23</v>
      </c>
      <c r="AR359" s="33">
        <f t="shared" si="182"/>
        <v>3095469</v>
      </c>
      <c r="AS359" s="33">
        <f t="shared" si="183"/>
        <v>942921</v>
      </c>
      <c r="AU359" s="28"/>
      <c r="AV359" s="9"/>
      <c r="AW359" s="519"/>
    </row>
    <row r="360" spans="1:49">
      <c r="A360" s="6">
        <v>600</v>
      </c>
      <c r="B360" s="6" t="s">
        <v>1470</v>
      </c>
      <c r="C360" s="7">
        <v>1</v>
      </c>
      <c r="D360" s="9">
        <v>64406283.823839992</v>
      </c>
      <c r="E360" s="9">
        <v>50399193</v>
      </c>
      <c r="F360" s="9">
        <v>15942931</v>
      </c>
      <c r="G360" s="348"/>
      <c r="H360" s="111">
        <f t="shared" si="184"/>
        <v>15942931</v>
      </c>
      <c r="I360" s="9">
        <f t="shared" si="155"/>
        <v>65611192.994459994</v>
      </c>
      <c r="J360" s="33">
        <f t="shared" si="156"/>
        <v>52313929</v>
      </c>
      <c r="K360" s="9">
        <f t="shared" si="157"/>
        <v>13297264</v>
      </c>
      <c r="L360" s="112">
        <f t="shared" si="158"/>
        <v>0</v>
      </c>
      <c r="M360" s="458">
        <f t="shared" si="186"/>
        <v>17.5</v>
      </c>
      <c r="N360" s="9">
        <v>5020</v>
      </c>
      <c r="O360" s="9">
        <f t="shared" si="159"/>
        <v>4960</v>
      </c>
      <c r="P360" s="9">
        <f t="shared" si="160"/>
        <v>0</v>
      </c>
      <c r="Q360" s="28">
        <f t="shared" si="161"/>
        <v>515840</v>
      </c>
      <c r="R360" s="382">
        <f t="shared" si="162"/>
        <v>515840</v>
      </c>
      <c r="S360" s="28">
        <v>15942931</v>
      </c>
      <c r="T360" s="33">
        <f t="shared" si="163"/>
        <v>16091731</v>
      </c>
      <c r="U360" s="9">
        <f t="shared" si="164"/>
        <v>0</v>
      </c>
      <c r="V360" s="33">
        <f t="shared" si="165"/>
        <v>16458771</v>
      </c>
      <c r="W360" s="33">
        <f t="shared" si="166"/>
        <v>0</v>
      </c>
      <c r="X360" s="33">
        <v>0</v>
      </c>
      <c r="Y360" s="113">
        <f t="shared" si="167"/>
        <v>16458771</v>
      </c>
      <c r="Z360" s="155">
        <f t="shared" si="168"/>
        <v>25.085309760165046</v>
      </c>
      <c r="AA360" s="33">
        <f t="shared" si="169"/>
        <v>68772700</v>
      </c>
      <c r="AB360" s="114">
        <f t="shared" si="170"/>
        <v>104.81854827088262</v>
      </c>
      <c r="AC360" s="28">
        <f t="shared" si="171"/>
        <v>1204909.1706200019</v>
      </c>
      <c r="AD360" s="28">
        <f t="shared" si="172"/>
        <v>515840</v>
      </c>
      <c r="AE360" s="28">
        <f t="shared" si="173"/>
        <v>4976812.2259695008</v>
      </c>
      <c r="AF360" s="115">
        <f t="shared" si="174"/>
        <v>7.5853097601650461</v>
      </c>
      <c r="AG360" s="28">
        <f t="shared" si="175"/>
        <v>13228.06</v>
      </c>
      <c r="AI360" s="28">
        <f t="shared" si="176"/>
        <v>0</v>
      </c>
      <c r="AJ360" s="28"/>
      <c r="AK360" s="28">
        <f t="shared" si="177"/>
        <v>104</v>
      </c>
      <c r="AL360" s="156"/>
      <c r="AM360" s="6">
        <f t="shared" si="178"/>
        <v>600</v>
      </c>
      <c r="AN360" s="6" t="str">
        <f t="shared" si="179"/>
        <v xml:space="preserve">Acton Boxborough             </v>
      </c>
      <c r="AO360" s="6">
        <f t="shared" si="180"/>
        <v>1</v>
      </c>
      <c r="AP360" s="9">
        <f t="shared" si="185"/>
        <v>4960</v>
      </c>
      <c r="AQ360" s="9">
        <f t="shared" si="181"/>
        <v>65611192.994459994</v>
      </c>
      <c r="AR360" s="33">
        <f t="shared" si="182"/>
        <v>52313929</v>
      </c>
      <c r="AS360" s="33">
        <f t="shared" si="183"/>
        <v>16458771</v>
      </c>
      <c r="AU360" s="28"/>
      <c r="AV360" s="9"/>
      <c r="AW360" s="519"/>
    </row>
    <row r="361" spans="1:49">
      <c r="A361" s="6">
        <v>603</v>
      </c>
      <c r="B361" s="6" t="s">
        <v>2176</v>
      </c>
      <c r="C361" s="7">
        <v>1</v>
      </c>
      <c r="D361" s="9">
        <v>17400551.630000003</v>
      </c>
      <c r="E361" s="9">
        <v>6167321</v>
      </c>
      <c r="F361" s="9">
        <v>11233231</v>
      </c>
      <c r="G361" s="348"/>
      <c r="H361" s="111">
        <f t="shared" si="184"/>
        <v>11233231</v>
      </c>
      <c r="I361" s="9">
        <f t="shared" si="155"/>
        <v>18240972.630000003</v>
      </c>
      <c r="J361" s="33">
        <f t="shared" si="156"/>
        <v>6410290</v>
      </c>
      <c r="K361" s="9">
        <f t="shared" si="157"/>
        <v>11830683</v>
      </c>
      <c r="L361" s="112">
        <f t="shared" si="158"/>
        <v>597452</v>
      </c>
      <c r="M361" s="458">
        <f t="shared" si="186"/>
        <v>61.87</v>
      </c>
      <c r="N361" s="9">
        <v>1146</v>
      </c>
      <c r="O361" s="9">
        <f t="shared" si="159"/>
        <v>1157</v>
      </c>
      <c r="P361" s="9">
        <f t="shared" si="160"/>
        <v>1</v>
      </c>
      <c r="Q361" s="28">
        <f t="shared" si="161"/>
        <v>120328</v>
      </c>
      <c r="R361" s="382">
        <f t="shared" si="162"/>
        <v>0</v>
      </c>
      <c r="S361" s="28">
        <v>11233231</v>
      </c>
      <c r="T361" s="33">
        <f t="shared" si="163"/>
        <v>11267941</v>
      </c>
      <c r="U361" s="9">
        <f t="shared" si="164"/>
        <v>0</v>
      </c>
      <c r="V361" s="33">
        <f t="shared" si="165"/>
        <v>11830683</v>
      </c>
      <c r="W361" s="33">
        <f t="shared" si="166"/>
        <v>0</v>
      </c>
      <c r="X361" s="33">
        <v>0</v>
      </c>
      <c r="Y361" s="113">
        <f t="shared" si="167"/>
        <v>11830683</v>
      </c>
      <c r="Z361" s="155">
        <f t="shared" si="168"/>
        <v>64.857742182797182</v>
      </c>
      <c r="AA361" s="33">
        <f t="shared" si="169"/>
        <v>18240973</v>
      </c>
      <c r="AB361" s="114">
        <f t="shared" si="170"/>
        <v>100.0000020284006</v>
      </c>
      <c r="AC361" s="28">
        <f t="shared" si="171"/>
        <v>840421</v>
      </c>
      <c r="AD361" s="28">
        <f t="shared" si="172"/>
        <v>597452</v>
      </c>
      <c r="AE361" s="28">
        <f t="shared" si="173"/>
        <v>544993.23381899856</v>
      </c>
      <c r="AF361" s="115">
        <f t="shared" si="174"/>
        <v>2.9877421827971844</v>
      </c>
      <c r="AG361" s="28">
        <f t="shared" si="175"/>
        <v>15765.75</v>
      </c>
      <c r="AI361" s="28">
        <f t="shared" si="176"/>
        <v>0</v>
      </c>
      <c r="AJ361" s="28"/>
      <c r="AK361" s="28">
        <f t="shared" si="177"/>
        <v>516.38029386343987</v>
      </c>
      <c r="AL361" s="156"/>
      <c r="AM361" s="6">
        <f t="shared" si="178"/>
        <v>603</v>
      </c>
      <c r="AN361" s="6" t="str">
        <f t="shared" si="179"/>
        <v>Hoosac Valley</v>
      </c>
      <c r="AO361" s="6">
        <f t="shared" si="180"/>
        <v>1</v>
      </c>
      <c r="AP361" s="9">
        <f t="shared" si="185"/>
        <v>1157</v>
      </c>
      <c r="AQ361" s="9">
        <f t="shared" si="181"/>
        <v>18240972.630000003</v>
      </c>
      <c r="AR361" s="33">
        <f t="shared" si="182"/>
        <v>6410290</v>
      </c>
      <c r="AS361" s="33">
        <f t="shared" si="183"/>
        <v>11830683</v>
      </c>
      <c r="AU361" s="28"/>
      <c r="AV361" s="9"/>
      <c r="AW361" s="519"/>
    </row>
    <row r="362" spans="1:49">
      <c r="A362" s="6">
        <v>605</v>
      </c>
      <c r="B362" s="6" t="s">
        <v>1472</v>
      </c>
      <c r="C362" s="7">
        <v>1</v>
      </c>
      <c r="D362" s="9">
        <v>18078526.210000001</v>
      </c>
      <c r="E362" s="9">
        <v>13803543</v>
      </c>
      <c r="F362" s="9">
        <v>9756397.0000003986</v>
      </c>
      <c r="G362" s="348"/>
      <c r="H362" s="111">
        <f t="shared" si="184"/>
        <v>9756397.0000003986</v>
      </c>
      <c r="I362" s="9">
        <f t="shared" si="155"/>
        <v>17938493.399820615</v>
      </c>
      <c r="J362" s="33">
        <f t="shared" si="156"/>
        <v>14305435</v>
      </c>
      <c r="K362" s="9">
        <f t="shared" si="157"/>
        <v>3633058</v>
      </c>
      <c r="L362" s="112">
        <f t="shared" si="158"/>
        <v>0</v>
      </c>
      <c r="M362" s="458">
        <f t="shared" si="186"/>
        <v>18.739999999999998</v>
      </c>
      <c r="N362" s="9">
        <v>1274.0000000000002</v>
      </c>
      <c r="O362" s="9">
        <f t="shared" si="159"/>
        <v>1240.9999999875899</v>
      </c>
      <c r="P362" s="9">
        <f t="shared" si="160"/>
        <v>0</v>
      </c>
      <c r="Q362" s="28">
        <f t="shared" si="161"/>
        <v>129063.99999870936</v>
      </c>
      <c r="R362" s="382">
        <f t="shared" si="162"/>
        <v>129063.99999870936</v>
      </c>
      <c r="S362" s="28">
        <v>9756397.0000003986</v>
      </c>
      <c r="T362" s="33">
        <f t="shared" si="163"/>
        <v>9793627.0000000261</v>
      </c>
      <c r="U362" s="9">
        <f t="shared" si="164"/>
        <v>0</v>
      </c>
      <c r="V362" s="33">
        <f t="shared" si="165"/>
        <v>9885460.9999991078</v>
      </c>
      <c r="W362" s="33">
        <f t="shared" si="166"/>
        <v>0</v>
      </c>
      <c r="X362" s="33">
        <v>0</v>
      </c>
      <c r="Y362" s="113">
        <f t="shared" si="167"/>
        <v>9885460.9999991078</v>
      </c>
      <c r="Z362" s="155">
        <f t="shared" si="168"/>
        <v>55.107532052262329</v>
      </c>
      <c r="AA362" s="33">
        <f t="shared" si="169"/>
        <v>24190895.999999106</v>
      </c>
      <c r="AB362" s="114">
        <f t="shared" si="170"/>
        <v>134.85466956907882</v>
      </c>
      <c r="AC362" s="28">
        <f t="shared" si="171"/>
        <v>-140032.81017938629</v>
      </c>
      <c r="AD362" s="28">
        <f t="shared" si="172"/>
        <v>129063.99999870919</v>
      </c>
      <c r="AE362" s="28">
        <f t="shared" si="173"/>
        <v>6523787.3368727248</v>
      </c>
      <c r="AF362" s="115">
        <f t="shared" si="174"/>
        <v>36.367532052262334</v>
      </c>
      <c r="AG362" s="28">
        <f t="shared" si="175"/>
        <v>14454.87</v>
      </c>
      <c r="AI362" s="28">
        <f t="shared" si="176"/>
        <v>0</v>
      </c>
      <c r="AJ362" s="28"/>
      <c r="AK362" s="28">
        <f t="shared" si="177"/>
        <v>103.99999999999987</v>
      </c>
      <c r="AL362" s="156"/>
      <c r="AM362" s="6">
        <f t="shared" si="178"/>
        <v>605</v>
      </c>
      <c r="AN362" s="6" t="str">
        <f t="shared" si="179"/>
        <v xml:space="preserve">Amherst Pelham               </v>
      </c>
      <c r="AO362" s="6">
        <f t="shared" si="180"/>
        <v>1</v>
      </c>
      <c r="AP362" s="9">
        <f t="shared" si="185"/>
        <v>1240.9999999875899</v>
      </c>
      <c r="AQ362" s="9">
        <f t="shared" si="181"/>
        <v>17938493.399820615</v>
      </c>
      <c r="AR362" s="33">
        <f t="shared" si="182"/>
        <v>14305435</v>
      </c>
      <c r="AS362" s="33">
        <f t="shared" si="183"/>
        <v>9885460.9999991078</v>
      </c>
      <c r="AU362" s="28"/>
      <c r="AV362" s="9"/>
      <c r="AW362" s="519"/>
    </row>
    <row r="363" spans="1:49">
      <c r="A363" s="6">
        <v>610</v>
      </c>
      <c r="B363" s="6" t="s">
        <v>1473</v>
      </c>
      <c r="C363" s="7">
        <v>1</v>
      </c>
      <c r="D363" s="9">
        <v>29646112.5</v>
      </c>
      <c r="E363" s="9">
        <v>13950290</v>
      </c>
      <c r="F363" s="9">
        <v>15695823</v>
      </c>
      <c r="G363" s="348"/>
      <c r="H363" s="111">
        <f t="shared" si="184"/>
        <v>15695823</v>
      </c>
      <c r="I363" s="9">
        <f t="shared" si="155"/>
        <v>29665602.809999995</v>
      </c>
      <c r="J363" s="33">
        <f t="shared" si="156"/>
        <v>14854145</v>
      </c>
      <c r="K363" s="9">
        <f t="shared" si="157"/>
        <v>14811458</v>
      </c>
      <c r="L363" s="112">
        <f t="shared" si="158"/>
        <v>0</v>
      </c>
      <c r="M363" s="458">
        <f t="shared" si="186"/>
        <v>44.65</v>
      </c>
      <c r="N363" s="9">
        <v>2282</v>
      </c>
      <c r="O363" s="9">
        <f t="shared" si="159"/>
        <v>2241</v>
      </c>
      <c r="P363" s="9">
        <f t="shared" si="160"/>
        <v>0</v>
      </c>
      <c r="Q363" s="28">
        <f t="shared" si="161"/>
        <v>233064</v>
      </c>
      <c r="R363" s="382">
        <f t="shared" si="162"/>
        <v>233064</v>
      </c>
      <c r="S363" s="28">
        <v>15695823</v>
      </c>
      <c r="T363" s="33">
        <f t="shared" si="163"/>
        <v>15763053</v>
      </c>
      <c r="U363" s="9">
        <f t="shared" si="164"/>
        <v>0</v>
      </c>
      <c r="V363" s="33">
        <f t="shared" si="165"/>
        <v>15928887</v>
      </c>
      <c r="W363" s="33">
        <f t="shared" si="166"/>
        <v>0</v>
      </c>
      <c r="X363" s="33">
        <v>0</v>
      </c>
      <c r="Y363" s="113">
        <f t="shared" si="167"/>
        <v>15928887</v>
      </c>
      <c r="Z363" s="155">
        <f t="shared" si="168"/>
        <v>53.694803041826347</v>
      </c>
      <c r="AA363" s="33">
        <f t="shared" si="169"/>
        <v>30783032</v>
      </c>
      <c r="AB363" s="114">
        <f t="shared" si="170"/>
        <v>103.76675032412734</v>
      </c>
      <c r="AC363" s="28">
        <f t="shared" si="171"/>
        <v>19490.309999994934</v>
      </c>
      <c r="AD363" s="28">
        <f t="shared" si="172"/>
        <v>233064</v>
      </c>
      <c r="AE363" s="28">
        <f t="shared" si="173"/>
        <v>2683195.3453350011</v>
      </c>
      <c r="AF363" s="115">
        <f t="shared" si="174"/>
        <v>9.0448030418263485</v>
      </c>
      <c r="AG363" s="28">
        <f t="shared" si="175"/>
        <v>13237.66</v>
      </c>
      <c r="AI363" s="28">
        <f t="shared" si="176"/>
        <v>0</v>
      </c>
      <c r="AJ363" s="28"/>
      <c r="AK363" s="28">
        <f t="shared" si="177"/>
        <v>104</v>
      </c>
      <c r="AL363" s="156"/>
      <c r="AM363" s="6">
        <f t="shared" si="178"/>
        <v>610</v>
      </c>
      <c r="AN363" s="6" t="str">
        <f t="shared" si="179"/>
        <v xml:space="preserve">Ashburnham Westminster       </v>
      </c>
      <c r="AO363" s="6">
        <f t="shared" si="180"/>
        <v>1</v>
      </c>
      <c r="AP363" s="9">
        <f t="shared" si="185"/>
        <v>2241</v>
      </c>
      <c r="AQ363" s="9">
        <f t="shared" si="181"/>
        <v>29665602.809999995</v>
      </c>
      <c r="AR363" s="33">
        <f t="shared" si="182"/>
        <v>14854145</v>
      </c>
      <c r="AS363" s="33">
        <f t="shared" si="183"/>
        <v>15928887</v>
      </c>
      <c r="AU363" s="28"/>
      <c r="AV363" s="9"/>
      <c r="AW363" s="519"/>
    </row>
    <row r="364" spans="1:49">
      <c r="A364" s="6">
        <v>615</v>
      </c>
      <c r="B364" s="6" t="s">
        <v>1474</v>
      </c>
      <c r="C364" s="7">
        <v>1</v>
      </c>
      <c r="D364" s="9">
        <v>27758995.789999995</v>
      </c>
      <c r="E364" s="9">
        <v>4374330</v>
      </c>
      <c r="F364" s="9">
        <v>23384666</v>
      </c>
      <c r="G364" s="348"/>
      <c r="H364" s="111">
        <f t="shared" si="184"/>
        <v>23384666</v>
      </c>
      <c r="I364" s="9">
        <f t="shared" si="155"/>
        <v>28689338.050000004</v>
      </c>
      <c r="J364" s="33">
        <f t="shared" si="156"/>
        <v>4712028</v>
      </c>
      <c r="K364" s="9">
        <f t="shared" si="157"/>
        <v>23977310</v>
      </c>
      <c r="L364" s="112">
        <f t="shared" si="158"/>
        <v>592644</v>
      </c>
      <c r="M364" s="458">
        <f t="shared" si="186"/>
        <v>69.06</v>
      </c>
      <c r="N364" s="9">
        <v>1746</v>
      </c>
      <c r="O364" s="9">
        <f t="shared" si="159"/>
        <v>1773</v>
      </c>
      <c r="P364" s="9">
        <f t="shared" si="160"/>
        <v>1</v>
      </c>
      <c r="Q364" s="28">
        <f t="shared" si="161"/>
        <v>184392</v>
      </c>
      <c r="R364" s="382">
        <f t="shared" si="162"/>
        <v>0</v>
      </c>
      <c r="S364" s="28">
        <v>23384666</v>
      </c>
      <c r="T364" s="33">
        <f t="shared" si="163"/>
        <v>23437856</v>
      </c>
      <c r="U364" s="9">
        <f t="shared" si="164"/>
        <v>0</v>
      </c>
      <c r="V364" s="33">
        <f t="shared" si="165"/>
        <v>23977310</v>
      </c>
      <c r="W364" s="33">
        <f t="shared" si="166"/>
        <v>0</v>
      </c>
      <c r="X364" s="33">
        <v>786839</v>
      </c>
      <c r="Y364" s="113">
        <f t="shared" si="167"/>
        <v>24764149</v>
      </c>
      <c r="Z364" s="155">
        <f t="shared" si="168"/>
        <v>86.318300397314303</v>
      </c>
      <c r="AA364" s="33">
        <f t="shared" si="169"/>
        <v>29476177</v>
      </c>
      <c r="AB364" s="114">
        <f t="shared" si="170"/>
        <v>102.74261800195141</v>
      </c>
      <c r="AC364" s="28">
        <f t="shared" si="171"/>
        <v>930342.26000000909</v>
      </c>
      <c r="AD364" s="28">
        <f t="shared" si="172"/>
        <v>1379483</v>
      </c>
      <c r="AE364" s="28">
        <f t="shared" si="173"/>
        <v>4951292.1426699981</v>
      </c>
      <c r="AF364" s="115">
        <f t="shared" si="174"/>
        <v>17.258300397314301</v>
      </c>
      <c r="AG364" s="28">
        <f t="shared" si="175"/>
        <v>16181.24</v>
      </c>
      <c r="AI364" s="28">
        <f t="shared" si="176"/>
        <v>0</v>
      </c>
      <c r="AJ364" s="28"/>
      <c r="AK364" s="28">
        <f t="shared" si="177"/>
        <v>778.05019740552734</v>
      </c>
      <c r="AL364" s="156"/>
      <c r="AM364" s="6">
        <f t="shared" si="178"/>
        <v>615</v>
      </c>
      <c r="AN364" s="6" t="str">
        <f t="shared" si="179"/>
        <v xml:space="preserve">Athol Royalston              </v>
      </c>
      <c r="AO364" s="6">
        <f t="shared" si="180"/>
        <v>1</v>
      </c>
      <c r="AP364" s="9">
        <f t="shared" si="185"/>
        <v>1773</v>
      </c>
      <c r="AQ364" s="9">
        <f t="shared" si="181"/>
        <v>28689338.050000004</v>
      </c>
      <c r="AR364" s="33">
        <f t="shared" si="182"/>
        <v>4712028</v>
      </c>
      <c r="AS364" s="33">
        <f t="shared" si="183"/>
        <v>24764149</v>
      </c>
      <c r="AU364" s="28"/>
      <c r="AV364" s="9"/>
      <c r="AW364" s="519"/>
    </row>
    <row r="365" spans="1:49">
      <c r="A365" s="6">
        <v>616</v>
      </c>
      <c r="B365" s="6" t="s">
        <v>1039</v>
      </c>
      <c r="C365" s="7">
        <v>1</v>
      </c>
      <c r="D365" s="9">
        <v>23119470.369999997</v>
      </c>
      <c r="E365" s="9">
        <v>14814575</v>
      </c>
      <c r="F365" s="9">
        <v>8552891</v>
      </c>
      <c r="G365" s="348"/>
      <c r="H365" s="111">
        <f t="shared" si="184"/>
        <v>8552891</v>
      </c>
      <c r="I365" s="9">
        <f t="shared" si="155"/>
        <v>23852633.539999999</v>
      </c>
      <c r="J365" s="33">
        <f t="shared" si="156"/>
        <v>15653161</v>
      </c>
      <c r="K365" s="9">
        <f t="shared" si="157"/>
        <v>8199473</v>
      </c>
      <c r="L365" s="112">
        <f t="shared" si="158"/>
        <v>0</v>
      </c>
      <c r="M365" s="458">
        <f t="shared" si="186"/>
        <v>29.55</v>
      </c>
      <c r="N365" s="9">
        <v>1712</v>
      </c>
      <c r="O365" s="9">
        <f t="shared" si="159"/>
        <v>1698</v>
      </c>
      <c r="P365" s="9">
        <f t="shared" si="160"/>
        <v>0</v>
      </c>
      <c r="Q365" s="28">
        <f t="shared" si="161"/>
        <v>176592</v>
      </c>
      <c r="R365" s="382">
        <f t="shared" si="162"/>
        <v>176592</v>
      </c>
      <c r="S365" s="28">
        <v>8552891</v>
      </c>
      <c r="T365" s="33">
        <f t="shared" si="163"/>
        <v>8603831</v>
      </c>
      <c r="U365" s="9">
        <f t="shared" si="164"/>
        <v>0</v>
      </c>
      <c r="V365" s="33">
        <f t="shared" si="165"/>
        <v>8729483</v>
      </c>
      <c r="W365" s="33">
        <f t="shared" si="166"/>
        <v>0</v>
      </c>
      <c r="X365" s="33">
        <v>0</v>
      </c>
      <c r="Y365" s="113">
        <f t="shared" si="167"/>
        <v>8729483</v>
      </c>
      <c r="Z365" s="155">
        <f t="shared" si="168"/>
        <v>36.597564731630051</v>
      </c>
      <c r="AA365" s="33">
        <f t="shared" si="169"/>
        <v>24382644</v>
      </c>
      <c r="AB365" s="114">
        <f t="shared" si="170"/>
        <v>102.22202072199362</v>
      </c>
      <c r="AC365" s="28">
        <f t="shared" si="171"/>
        <v>733163.17000000179</v>
      </c>
      <c r="AD365" s="28">
        <f t="shared" si="172"/>
        <v>176592</v>
      </c>
      <c r="AE365" s="28">
        <f t="shared" si="173"/>
        <v>1681029.7889300007</v>
      </c>
      <c r="AF365" s="115">
        <f t="shared" si="174"/>
        <v>7.0475647316300503</v>
      </c>
      <c r="AG365" s="28">
        <f t="shared" si="175"/>
        <v>14047.49</v>
      </c>
      <c r="AI365" s="28">
        <f t="shared" si="176"/>
        <v>0</v>
      </c>
      <c r="AJ365" s="28"/>
      <c r="AK365" s="28">
        <f t="shared" si="177"/>
        <v>104</v>
      </c>
      <c r="AL365" s="156"/>
      <c r="AM365" s="6">
        <f t="shared" si="178"/>
        <v>616</v>
      </c>
      <c r="AN365" s="6" t="str">
        <f t="shared" si="179"/>
        <v>Ayer Shirley</v>
      </c>
      <c r="AO365" s="6">
        <f t="shared" si="180"/>
        <v>1</v>
      </c>
      <c r="AP365" s="9">
        <f t="shared" si="185"/>
        <v>1698</v>
      </c>
      <c r="AQ365" s="9">
        <f t="shared" si="181"/>
        <v>23852633.539999999</v>
      </c>
      <c r="AR365" s="33">
        <f t="shared" si="182"/>
        <v>15653161</v>
      </c>
      <c r="AS365" s="33">
        <f t="shared" si="183"/>
        <v>8729483</v>
      </c>
      <c r="AU365" s="28"/>
      <c r="AV365" s="9"/>
      <c r="AW365" s="519"/>
    </row>
    <row r="366" spans="1:49">
      <c r="A366" s="6">
        <v>618</v>
      </c>
      <c r="B366" s="6" t="s">
        <v>1475</v>
      </c>
      <c r="C366" s="7">
        <v>1</v>
      </c>
      <c r="D366" s="9">
        <v>14027795.750000002</v>
      </c>
      <c r="E366" s="9">
        <v>11020467</v>
      </c>
      <c r="F366" s="9">
        <v>3072618</v>
      </c>
      <c r="G366" s="348"/>
      <c r="H366" s="111">
        <f t="shared" si="184"/>
        <v>3072618</v>
      </c>
      <c r="I366" s="9">
        <f t="shared" si="155"/>
        <v>15185337.219999997</v>
      </c>
      <c r="J366" s="33">
        <f t="shared" si="156"/>
        <v>11787069</v>
      </c>
      <c r="K366" s="9">
        <f t="shared" si="157"/>
        <v>3398268</v>
      </c>
      <c r="L366" s="112">
        <f t="shared" si="158"/>
        <v>325650</v>
      </c>
      <c r="M366" s="458">
        <f t="shared" si="186"/>
        <v>17.5</v>
      </c>
      <c r="N366" s="9">
        <v>917.99999999999989</v>
      </c>
      <c r="O366" s="9">
        <f t="shared" si="159"/>
        <v>945.99999999999989</v>
      </c>
      <c r="P366" s="9">
        <f t="shared" si="160"/>
        <v>1</v>
      </c>
      <c r="Q366" s="28">
        <f t="shared" si="161"/>
        <v>98383.999999999985</v>
      </c>
      <c r="R366" s="382">
        <f t="shared" si="162"/>
        <v>0</v>
      </c>
      <c r="S366" s="28">
        <v>3072618</v>
      </c>
      <c r="T366" s="33">
        <f t="shared" si="163"/>
        <v>3100998</v>
      </c>
      <c r="U366" s="9">
        <f t="shared" si="164"/>
        <v>0</v>
      </c>
      <c r="V366" s="33">
        <f t="shared" si="165"/>
        <v>3398268</v>
      </c>
      <c r="W366" s="33">
        <f t="shared" si="166"/>
        <v>0</v>
      </c>
      <c r="X366" s="33">
        <v>0</v>
      </c>
      <c r="Y366" s="113">
        <f t="shared" si="167"/>
        <v>3398268</v>
      </c>
      <c r="Z366" s="155">
        <f t="shared" si="168"/>
        <v>22.378613993005555</v>
      </c>
      <c r="AA366" s="33">
        <f t="shared" si="169"/>
        <v>15185337</v>
      </c>
      <c r="AB366" s="114">
        <f t="shared" si="170"/>
        <v>99.999998551234043</v>
      </c>
      <c r="AC366" s="28">
        <f t="shared" si="171"/>
        <v>1157541.4699999951</v>
      </c>
      <c r="AD366" s="28">
        <f t="shared" si="172"/>
        <v>325650</v>
      </c>
      <c r="AE366" s="28">
        <f t="shared" si="173"/>
        <v>740833.98650000058</v>
      </c>
      <c r="AF366" s="115">
        <f t="shared" si="174"/>
        <v>4.8786139930055548</v>
      </c>
      <c r="AG366" s="28">
        <f t="shared" si="175"/>
        <v>16052.15</v>
      </c>
      <c r="AI366" s="28">
        <f t="shared" si="176"/>
        <v>0</v>
      </c>
      <c r="AJ366" s="28"/>
      <c r="AK366" s="28">
        <f t="shared" si="177"/>
        <v>344.23890063424949</v>
      </c>
      <c r="AL366" s="156"/>
      <c r="AM366" s="6">
        <f t="shared" si="178"/>
        <v>618</v>
      </c>
      <c r="AN366" s="6" t="str">
        <f t="shared" si="179"/>
        <v xml:space="preserve">Berkshire Hills              </v>
      </c>
      <c r="AO366" s="6">
        <f t="shared" si="180"/>
        <v>1</v>
      </c>
      <c r="AP366" s="9">
        <f t="shared" si="185"/>
        <v>945.99999999999989</v>
      </c>
      <c r="AQ366" s="9">
        <f t="shared" si="181"/>
        <v>15185337.219999997</v>
      </c>
      <c r="AR366" s="33">
        <f t="shared" si="182"/>
        <v>11787069</v>
      </c>
      <c r="AS366" s="33">
        <f t="shared" si="183"/>
        <v>3398268</v>
      </c>
      <c r="AU366" s="28"/>
      <c r="AV366" s="9"/>
      <c r="AW366" s="519"/>
    </row>
    <row r="367" spans="1:49">
      <c r="A367" s="6">
        <v>620</v>
      </c>
      <c r="B367" s="6" t="s">
        <v>1476</v>
      </c>
      <c r="C367" s="7">
        <v>1</v>
      </c>
      <c r="D367" s="9">
        <v>12479595.730000002</v>
      </c>
      <c r="E367" s="9">
        <v>9682981</v>
      </c>
      <c r="F367" s="9">
        <v>2796615</v>
      </c>
      <c r="G367" s="348"/>
      <c r="H367" s="111">
        <f t="shared" si="184"/>
        <v>2796615</v>
      </c>
      <c r="I367" s="9">
        <f t="shared" si="155"/>
        <v>13467608.219999999</v>
      </c>
      <c r="J367" s="33">
        <f t="shared" si="156"/>
        <v>10476087</v>
      </c>
      <c r="K367" s="9">
        <f t="shared" si="157"/>
        <v>2991521</v>
      </c>
      <c r="L367" s="112">
        <f t="shared" si="158"/>
        <v>194906</v>
      </c>
      <c r="M367" s="458">
        <f t="shared" si="186"/>
        <v>17.5</v>
      </c>
      <c r="N367" s="9">
        <v>1004.0000000000001</v>
      </c>
      <c r="O367" s="9">
        <f t="shared" si="159"/>
        <v>1053</v>
      </c>
      <c r="P367" s="9">
        <f t="shared" si="160"/>
        <v>1</v>
      </c>
      <c r="Q367" s="28">
        <f t="shared" si="161"/>
        <v>109512</v>
      </c>
      <c r="R367" s="382">
        <f t="shared" si="162"/>
        <v>0</v>
      </c>
      <c r="S367" s="28">
        <v>2796615</v>
      </c>
      <c r="T367" s="33">
        <f t="shared" si="163"/>
        <v>2828205</v>
      </c>
      <c r="U367" s="9">
        <f t="shared" si="164"/>
        <v>0</v>
      </c>
      <c r="V367" s="33">
        <f t="shared" si="165"/>
        <v>2991521</v>
      </c>
      <c r="W367" s="33">
        <f t="shared" si="166"/>
        <v>0</v>
      </c>
      <c r="X367" s="33">
        <v>0</v>
      </c>
      <c r="Y367" s="113">
        <f t="shared" si="167"/>
        <v>2991521</v>
      </c>
      <c r="Z367" s="155">
        <f t="shared" si="168"/>
        <v>22.212711798056748</v>
      </c>
      <c r="AA367" s="33">
        <f t="shared" si="169"/>
        <v>13467608</v>
      </c>
      <c r="AB367" s="114">
        <f t="shared" si="170"/>
        <v>99.999998366450853</v>
      </c>
      <c r="AC367" s="28">
        <f t="shared" si="171"/>
        <v>988012.4899999965</v>
      </c>
      <c r="AD367" s="28">
        <f t="shared" si="172"/>
        <v>194906</v>
      </c>
      <c r="AE367" s="28">
        <f t="shared" si="173"/>
        <v>634689.5615000003</v>
      </c>
      <c r="AF367" s="115">
        <f t="shared" si="174"/>
        <v>4.7127117980567483</v>
      </c>
      <c r="AG367" s="28">
        <f t="shared" si="175"/>
        <v>12789.75</v>
      </c>
      <c r="AI367" s="28">
        <f t="shared" si="176"/>
        <v>0</v>
      </c>
      <c r="AJ367" s="28"/>
      <c r="AK367" s="28">
        <f t="shared" si="177"/>
        <v>185.09591642924977</v>
      </c>
      <c r="AL367" s="156"/>
      <c r="AM367" s="6">
        <f t="shared" si="178"/>
        <v>620</v>
      </c>
      <c r="AN367" s="6" t="str">
        <f t="shared" si="179"/>
        <v xml:space="preserve">Berlin Boylston              </v>
      </c>
      <c r="AO367" s="6">
        <f t="shared" si="180"/>
        <v>1</v>
      </c>
      <c r="AP367" s="9">
        <f t="shared" si="185"/>
        <v>1053</v>
      </c>
      <c r="AQ367" s="9">
        <f t="shared" si="181"/>
        <v>13467608.219999999</v>
      </c>
      <c r="AR367" s="33">
        <f t="shared" si="182"/>
        <v>10476087</v>
      </c>
      <c r="AS367" s="33">
        <f t="shared" si="183"/>
        <v>2991521</v>
      </c>
      <c r="AU367" s="28"/>
      <c r="AV367" s="9"/>
      <c r="AW367" s="519"/>
    </row>
    <row r="368" spans="1:49">
      <c r="A368" s="6">
        <v>622</v>
      </c>
      <c r="B368" s="6" t="s">
        <v>1477</v>
      </c>
      <c r="C368" s="7">
        <v>1</v>
      </c>
      <c r="D368" s="9">
        <v>21242438.940000005</v>
      </c>
      <c r="E368" s="9">
        <v>10531596</v>
      </c>
      <c r="F368" s="9">
        <v>11228029</v>
      </c>
      <c r="G368" s="348"/>
      <c r="H368" s="111">
        <f t="shared" si="184"/>
        <v>11228029</v>
      </c>
      <c r="I368" s="9">
        <f t="shared" si="155"/>
        <v>22150137.41</v>
      </c>
      <c r="J368" s="33">
        <f t="shared" si="156"/>
        <v>11211778</v>
      </c>
      <c r="K368" s="9">
        <f t="shared" si="157"/>
        <v>10938359</v>
      </c>
      <c r="L368" s="112">
        <f t="shared" si="158"/>
        <v>0</v>
      </c>
      <c r="M368" s="458">
        <f t="shared" si="186"/>
        <v>45.62</v>
      </c>
      <c r="N368" s="9">
        <v>1581</v>
      </c>
      <c r="O368" s="9">
        <f t="shared" si="159"/>
        <v>1597</v>
      </c>
      <c r="P368" s="9">
        <f t="shared" si="160"/>
        <v>0</v>
      </c>
      <c r="Q368" s="28">
        <f t="shared" si="161"/>
        <v>166088</v>
      </c>
      <c r="R368" s="382">
        <f t="shared" si="162"/>
        <v>166088</v>
      </c>
      <c r="S368" s="28">
        <v>11228029</v>
      </c>
      <c r="T368" s="33">
        <f t="shared" si="163"/>
        <v>11275939</v>
      </c>
      <c r="U368" s="9">
        <f t="shared" si="164"/>
        <v>0</v>
      </c>
      <c r="V368" s="33">
        <f t="shared" si="165"/>
        <v>11394117</v>
      </c>
      <c r="W368" s="33">
        <f t="shared" si="166"/>
        <v>0</v>
      </c>
      <c r="X368" s="33">
        <v>0</v>
      </c>
      <c r="Y368" s="113">
        <f t="shared" si="167"/>
        <v>11394117</v>
      </c>
      <c r="Z368" s="155">
        <f t="shared" si="168"/>
        <v>51.440389687406466</v>
      </c>
      <c r="AA368" s="33">
        <f t="shared" si="169"/>
        <v>22605895</v>
      </c>
      <c r="AB368" s="114">
        <f t="shared" si="170"/>
        <v>102.05758357866549</v>
      </c>
      <c r="AC368" s="28">
        <f t="shared" si="171"/>
        <v>907698.46999999508</v>
      </c>
      <c r="AD368" s="28">
        <f t="shared" si="172"/>
        <v>166088</v>
      </c>
      <c r="AE368" s="28">
        <f t="shared" si="173"/>
        <v>1289224.3135579992</v>
      </c>
      <c r="AF368" s="115">
        <f t="shared" si="174"/>
        <v>5.8203896874064682</v>
      </c>
      <c r="AG368" s="28">
        <f t="shared" si="175"/>
        <v>13869.84</v>
      </c>
      <c r="AI368" s="28">
        <f t="shared" si="176"/>
        <v>0</v>
      </c>
      <c r="AJ368" s="28"/>
      <c r="AK368" s="28">
        <f t="shared" si="177"/>
        <v>104</v>
      </c>
      <c r="AL368" s="156"/>
      <c r="AM368" s="6">
        <f t="shared" si="178"/>
        <v>622</v>
      </c>
      <c r="AN368" s="6" t="str">
        <f t="shared" si="179"/>
        <v xml:space="preserve">Blackstone Millville         </v>
      </c>
      <c r="AO368" s="6">
        <f t="shared" si="180"/>
        <v>1</v>
      </c>
      <c r="AP368" s="9">
        <f t="shared" si="185"/>
        <v>1597</v>
      </c>
      <c r="AQ368" s="9">
        <f t="shared" si="181"/>
        <v>22150137.41</v>
      </c>
      <c r="AR368" s="33">
        <f t="shared" si="182"/>
        <v>11211778</v>
      </c>
      <c r="AS368" s="33">
        <f t="shared" si="183"/>
        <v>11394117</v>
      </c>
      <c r="AU368" s="28"/>
      <c r="AV368" s="9"/>
      <c r="AW368" s="519"/>
    </row>
    <row r="369" spans="1:49">
      <c r="A369" s="6">
        <v>625</v>
      </c>
      <c r="B369" s="6" t="s">
        <v>1478</v>
      </c>
      <c r="C369" s="7">
        <v>1</v>
      </c>
      <c r="D369" s="9">
        <v>73247622.790000021</v>
      </c>
      <c r="E369" s="9">
        <v>42311090</v>
      </c>
      <c r="F369" s="9">
        <v>30936533</v>
      </c>
      <c r="G369" s="348"/>
      <c r="H369" s="111">
        <f t="shared" si="184"/>
        <v>30936533</v>
      </c>
      <c r="I369" s="9">
        <f t="shared" si="155"/>
        <v>76500993.25</v>
      </c>
      <c r="J369" s="33">
        <f t="shared" si="156"/>
        <v>44978242</v>
      </c>
      <c r="K369" s="9">
        <f t="shared" si="157"/>
        <v>31522751</v>
      </c>
      <c r="L369" s="112">
        <f t="shared" si="158"/>
        <v>586218</v>
      </c>
      <c r="M369" s="458">
        <f t="shared" si="186"/>
        <v>35.880000000000003</v>
      </c>
      <c r="N369" s="9">
        <v>5609</v>
      </c>
      <c r="O369" s="9">
        <f t="shared" si="159"/>
        <v>5694</v>
      </c>
      <c r="P369" s="9">
        <f t="shared" si="160"/>
        <v>1</v>
      </c>
      <c r="Q369" s="28">
        <f t="shared" si="161"/>
        <v>592176</v>
      </c>
      <c r="R369" s="382">
        <f t="shared" si="162"/>
        <v>5958</v>
      </c>
      <c r="S369" s="28">
        <v>30936533</v>
      </c>
      <c r="T369" s="33">
        <f t="shared" si="163"/>
        <v>31107353</v>
      </c>
      <c r="U369" s="9">
        <f t="shared" si="164"/>
        <v>0</v>
      </c>
      <c r="V369" s="33">
        <f t="shared" si="165"/>
        <v>31528709</v>
      </c>
      <c r="W369" s="33">
        <f t="shared" si="166"/>
        <v>0</v>
      </c>
      <c r="X369" s="33">
        <v>0</v>
      </c>
      <c r="Y369" s="113">
        <f t="shared" si="167"/>
        <v>31528709</v>
      </c>
      <c r="Z369" s="155">
        <f t="shared" si="168"/>
        <v>41.213463591206377</v>
      </c>
      <c r="AA369" s="33">
        <f t="shared" si="169"/>
        <v>76506951</v>
      </c>
      <c r="AB369" s="114">
        <f t="shared" si="170"/>
        <v>100.00778780738248</v>
      </c>
      <c r="AC369" s="28">
        <f t="shared" si="171"/>
        <v>3253370.4599999785</v>
      </c>
      <c r="AD369" s="28">
        <f t="shared" si="172"/>
        <v>592176</v>
      </c>
      <c r="AE369" s="28">
        <f t="shared" si="173"/>
        <v>4080152.6218999997</v>
      </c>
      <c r="AF369" s="115">
        <f t="shared" si="174"/>
        <v>5.3334635912063746</v>
      </c>
      <c r="AG369" s="28">
        <f t="shared" si="175"/>
        <v>13435.37</v>
      </c>
      <c r="AI369" s="28">
        <f t="shared" si="176"/>
        <v>0</v>
      </c>
      <c r="AJ369" s="28"/>
      <c r="AK369" s="28">
        <f t="shared" si="177"/>
        <v>104</v>
      </c>
      <c r="AL369" s="156"/>
      <c r="AM369" s="6">
        <f t="shared" si="178"/>
        <v>625</v>
      </c>
      <c r="AN369" s="6" t="str">
        <f t="shared" si="179"/>
        <v xml:space="preserve">Bridgewater Raynham          </v>
      </c>
      <c r="AO369" s="6">
        <f t="shared" si="180"/>
        <v>1</v>
      </c>
      <c r="AP369" s="9">
        <f t="shared" si="185"/>
        <v>5694</v>
      </c>
      <c r="AQ369" s="9">
        <f t="shared" si="181"/>
        <v>76500993.25</v>
      </c>
      <c r="AR369" s="33">
        <f t="shared" si="182"/>
        <v>44978242</v>
      </c>
      <c r="AS369" s="33">
        <f t="shared" si="183"/>
        <v>31528709</v>
      </c>
      <c r="AU369" s="28"/>
      <c r="AV369" s="9"/>
      <c r="AW369" s="519"/>
    </row>
    <row r="370" spans="1:49">
      <c r="A370" s="6">
        <v>632</v>
      </c>
      <c r="B370" s="6" t="s">
        <v>1044</v>
      </c>
      <c r="C370" s="7">
        <v>1</v>
      </c>
      <c r="D370" s="9">
        <v>1596663.71</v>
      </c>
      <c r="E370" s="9">
        <v>1065120</v>
      </c>
      <c r="F370" s="9">
        <v>769270</v>
      </c>
      <c r="G370" s="348"/>
      <c r="H370" s="111">
        <f t="shared" si="184"/>
        <v>769270</v>
      </c>
      <c r="I370" s="9">
        <f t="shared" si="155"/>
        <v>1573384.0799999998</v>
      </c>
      <c r="J370" s="33">
        <f t="shared" si="156"/>
        <v>1124623</v>
      </c>
      <c r="K370" s="9">
        <f t="shared" si="157"/>
        <v>448761</v>
      </c>
      <c r="L370" s="112">
        <f t="shared" si="158"/>
        <v>0</v>
      </c>
      <c r="M370" s="458">
        <f t="shared" si="186"/>
        <v>24.11</v>
      </c>
      <c r="N370" s="9">
        <v>117</v>
      </c>
      <c r="O370" s="9">
        <f t="shared" si="159"/>
        <v>113</v>
      </c>
      <c r="P370" s="9">
        <f t="shared" si="160"/>
        <v>0</v>
      </c>
      <c r="Q370" s="28">
        <f t="shared" si="161"/>
        <v>11752</v>
      </c>
      <c r="R370" s="382">
        <f t="shared" si="162"/>
        <v>11752</v>
      </c>
      <c r="S370" s="28">
        <v>769270</v>
      </c>
      <c r="T370" s="33">
        <f t="shared" si="163"/>
        <v>772660</v>
      </c>
      <c r="U370" s="9">
        <f t="shared" si="164"/>
        <v>0</v>
      </c>
      <c r="V370" s="33">
        <f t="shared" si="165"/>
        <v>781022</v>
      </c>
      <c r="W370" s="33">
        <f t="shared" si="166"/>
        <v>0</v>
      </c>
      <c r="X370" s="33">
        <v>0</v>
      </c>
      <c r="Y370" s="113">
        <f t="shared" si="167"/>
        <v>781022</v>
      </c>
      <c r="Z370" s="155">
        <f t="shared" si="168"/>
        <v>49.639627725227783</v>
      </c>
      <c r="AA370" s="33">
        <f t="shared" si="169"/>
        <v>1905645</v>
      </c>
      <c r="AB370" s="114">
        <f t="shared" si="170"/>
        <v>121.11759768155275</v>
      </c>
      <c r="AC370" s="28">
        <f t="shared" si="171"/>
        <v>-23279.630000000121</v>
      </c>
      <c r="AD370" s="28">
        <f t="shared" si="172"/>
        <v>11752</v>
      </c>
      <c r="AE370" s="28">
        <f t="shared" si="173"/>
        <v>401679.09831200005</v>
      </c>
      <c r="AF370" s="115">
        <f t="shared" si="174"/>
        <v>25.529627725227783</v>
      </c>
      <c r="AG370" s="28">
        <f t="shared" si="175"/>
        <v>13923.75</v>
      </c>
      <c r="AI370" s="28">
        <f t="shared" si="176"/>
        <v>0</v>
      </c>
      <c r="AJ370" s="28"/>
      <c r="AK370" s="28">
        <f t="shared" si="177"/>
        <v>104</v>
      </c>
      <c r="AL370" s="156"/>
      <c r="AM370" s="6">
        <f t="shared" si="178"/>
        <v>632</v>
      </c>
      <c r="AN370" s="6" t="str">
        <f t="shared" si="179"/>
        <v>Chesterfield Goshen</v>
      </c>
      <c r="AO370" s="6">
        <f t="shared" si="180"/>
        <v>1</v>
      </c>
      <c r="AP370" s="9">
        <f t="shared" si="185"/>
        <v>113</v>
      </c>
      <c r="AQ370" s="9">
        <f t="shared" si="181"/>
        <v>1573384.0799999998</v>
      </c>
      <c r="AR370" s="33">
        <f t="shared" si="182"/>
        <v>1124623</v>
      </c>
      <c r="AS370" s="33">
        <f t="shared" si="183"/>
        <v>781022</v>
      </c>
      <c r="AU370" s="28"/>
      <c r="AV370" s="9"/>
      <c r="AW370" s="519"/>
    </row>
    <row r="371" spans="1:49">
      <c r="A371" s="6">
        <v>635</v>
      </c>
      <c r="B371" s="6" t="s">
        <v>1479</v>
      </c>
      <c r="C371" s="7">
        <v>1</v>
      </c>
      <c r="D371" s="9">
        <v>21682070.819999997</v>
      </c>
      <c r="E371" s="9">
        <v>12180728</v>
      </c>
      <c r="F371" s="9">
        <v>9501343</v>
      </c>
      <c r="G371" s="348"/>
      <c r="H371" s="111">
        <f t="shared" si="184"/>
        <v>9501343</v>
      </c>
      <c r="I371" s="9">
        <f t="shared" si="155"/>
        <v>22485789.989999998</v>
      </c>
      <c r="J371" s="33">
        <f t="shared" si="156"/>
        <v>12628653</v>
      </c>
      <c r="K371" s="9">
        <f t="shared" si="157"/>
        <v>9857137</v>
      </c>
      <c r="L371" s="112">
        <f t="shared" si="158"/>
        <v>355794</v>
      </c>
      <c r="M371" s="458">
        <f t="shared" si="186"/>
        <v>40.28</v>
      </c>
      <c r="N371" s="9">
        <v>1516</v>
      </c>
      <c r="O371" s="9">
        <f t="shared" si="159"/>
        <v>1528</v>
      </c>
      <c r="P371" s="9">
        <f t="shared" si="160"/>
        <v>1</v>
      </c>
      <c r="Q371" s="28">
        <f t="shared" si="161"/>
        <v>158912</v>
      </c>
      <c r="R371" s="382">
        <f t="shared" si="162"/>
        <v>0</v>
      </c>
      <c r="S371" s="28">
        <v>9501343</v>
      </c>
      <c r="T371" s="33">
        <f t="shared" si="163"/>
        <v>9547183</v>
      </c>
      <c r="U371" s="9">
        <f t="shared" si="164"/>
        <v>0</v>
      </c>
      <c r="V371" s="33">
        <f t="shared" si="165"/>
        <v>9857137</v>
      </c>
      <c r="W371" s="33">
        <f t="shared" si="166"/>
        <v>0</v>
      </c>
      <c r="X371" s="33">
        <v>0</v>
      </c>
      <c r="Y371" s="113">
        <f t="shared" si="167"/>
        <v>9857137</v>
      </c>
      <c r="Z371" s="155">
        <f t="shared" si="168"/>
        <v>43.837183413985983</v>
      </c>
      <c r="AA371" s="33">
        <f t="shared" si="169"/>
        <v>22485790</v>
      </c>
      <c r="AB371" s="114">
        <f t="shared" si="170"/>
        <v>100.00000004447254</v>
      </c>
      <c r="AC371" s="28">
        <f t="shared" si="171"/>
        <v>803719.17000000179</v>
      </c>
      <c r="AD371" s="28">
        <f t="shared" si="172"/>
        <v>355794</v>
      </c>
      <c r="AE371" s="28">
        <f t="shared" si="173"/>
        <v>799860.79202800058</v>
      </c>
      <c r="AF371" s="115">
        <f t="shared" si="174"/>
        <v>3.5571834139859817</v>
      </c>
      <c r="AG371" s="28">
        <f t="shared" si="175"/>
        <v>14715.83</v>
      </c>
      <c r="AI371" s="28">
        <f t="shared" si="176"/>
        <v>0</v>
      </c>
      <c r="AJ371" s="28"/>
      <c r="AK371" s="28">
        <f t="shared" si="177"/>
        <v>232.84947643979058</v>
      </c>
      <c r="AL371" s="156"/>
      <c r="AM371" s="6">
        <f t="shared" si="178"/>
        <v>635</v>
      </c>
      <c r="AN371" s="6" t="str">
        <f t="shared" si="179"/>
        <v xml:space="preserve">Central Berkshire            </v>
      </c>
      <c r="AO371" s="6">
        <f t="shared" si="180"/>
        <v>1</v>
      </c>
      <c r="AP371" s="9">
        <f t="shared" si="185"/>
        <v>1528</v>
      </c>
      <c r="AQ371" s="9">
        <f t="shared" si="181"/>
        <v>22485789.989999998</v>
      </c>
      <c r="AR371" s="33">
        <f t="shared" si="182"/>
        <v>12628653</v>
      </c>
      <c r="AS371" s="33">
        <f t="shared" si="183"/>
        <v>9857137</v>
      </c>
      <c r="AU371" s="28"/>
      <c r="AV371" s="9"/>
      <c r="AW371" s="519"/>
    </row>
    <row r="372" spans="1:49">
      <c r="A372" s="6">
        <v>640</v>
      </c>
      <c r="B372" s="6" t="s">
        <v>1480</v>
      </c>
      <c r="C372" s="7">
        <v>1</v>
      </c>
      <c r="D372" s="9">
        <v>18206295.725200001</v>
      </c>
      <c r="E372" s="9">
        <v>15020194</v>
      </c>
      <c r="F372" s="9">
        <v>3294009</v>
      </c>
      <c r="G372" s="348"/>
      <c r="H372" s="111">
        <f t="shared" si="184"/>
        <v>3294009</v>
      </c>
      <c r="I372" s="9">
        <f t="shared" si="155"/>
        <v>17738546.515740003</v>
      </c>
      <c r="J372" s="33">
        <f t="shared" si="156"/>
        <v>14634301</v>
      </c>
      <c r="K372" s="9">
        <f t="shared" si="157"/>
        <v>3104246</v>
      </c>
      <c r="L372" s="112">
        <f t="shared" si="158"/>
        <v>0</v>
      </c>
      <c r="M372" s="458">
        <f t="shared" si="186"/>
        <v>17.5</v>
      </c>
      <c r="N372" s="9">
        <v>1335</v>
      </c>
      <c r="O372" s="9">
        <f t="shared" si="159"/>
        <v>1266</v>
      </c>
      <c r="P372" s="9">
        <f t="shared" si="160"/>
        <v>0</v>
      </c>
      <c r="Q372" s="28">
        <f t="shared" si="161"/>
        <v>131664</v>
      </c>
      <c r="R372" s="382">
        <f t="shared" si="162"/>
        <v>131664</v>
      </c>
      <c r="S372" s="28">
        <v>3294009</v>
      </c>
      <c r="T372" s="33">
        <f t="shared" si="163"/>
        <v>3331989</v>
      </c>
      <c r="U372" s="9">
        <f t="shared" si="164"/>
        <v>0</v>
      </c>
      <c r="V372" s="33">
        <f t="shared" si="165"/>
        <v>3425673</v>
      </c>
      <c r="W372" s="33">
        <f t="shared" si="166"/>
        <v>0</v>
      </c>
      <c r="X372" s="33">
        <v>0</v>
      </c>
      <c r="Y372" s="113">
        <f t="shared" si="167"/>
        <v>3425673</v>
      </c>
      <c r="Z372" s="155">
        <f t="shared" si="168"/>
        <v>19.312027605871123</v>
      </c>
      <c r="AA372" s="33">
        <f t="shared" si="169"/>
        <v>18059974</v>
      </c>
      <c r="AB372" s="114">
        <f t="shared" si="170"/>
        <v>101.81202830781419</v>
      </c>
      <c r="AC372" s="28">
        <f t="shared" si="171"/>
        <v>-467749.20945999771</v>
      </c>
      <c r="AD372" s="28">
        <f t="shared" si="172"/>
        <v>131664</v>
      </c>
      <c r="AE372" s="28">
        <f t="shared" si="173"/>
        <v>321427.35974549968</v>
      </c>
      <c r="AF372" s="115">
        <f t="shared" si="174"/>
        <v>1.8120276058711227</v>
      </c>
      <c r="AG372" s="28">
        <f t="shared" si="175"/>
        <v>14011.49</v>
      </c>
      <c r="AI372" s="28">
        <f t="shared" si="176"/>
        <v>0</v>
      </c>
      <c r="AJ372" s="28"/>
      <c r="AK372" s="28">
        <f t="shared" si="177"/>
        <v>104</v>
      </c>
      <c r="AL372" s="156"/>
      <c r="AM372" s="6">
        <f t="shared" si="178"/>
        <v>640</v>
      </c>
      <c r="AN372" s="6" t="str">
        <f t="shared" si="179"/>
        <v xml:space="preserve">Concord Carlisle             </v>
      </c>
      <c r="AO372" s="6">
        <f t="shared" si="180"/>
        <v>1</v>
      </c>
      <c r="AP372" s="9">
        <f t="shared" si="185"/>
        <v>1266</v>
      </c>
      <c r="AQ372" s="9">
        <f t="shared" si="181"/>
        <v>17738546.515740003</v>
      </c>
      <c r="AR372" s="33">
        <f t="shared" si="182"/>
        <v>14634301</v>
      </c>
      <c r="AS372" s="33">
        <f t="shared" si="183"/>
        <v>3425673</v>
      </c>
      <c r="AU372" s="28"/>
      <c r="AV372" s="9"/>
      <c r="AW372" s="519"/>
    </row>
    <row r="373" spans="1:49">
      <c r="A373" s="6">
        <v>645</v>
      </c>
      <c r="B373" s="6" t="s">
        <v>1481</v>
      </c>
      <c r="C373" s="7">
        <v>1</v>
      </c>
      <c r="D373" s="9">
        <v>49764294.759999998</v>
      </c>
      <c r="E373" s="9">
        <v>38104613</v>
      </c>
      <c r="F373" s="9">
        <v>11659682</v>
      </c>
      <c r="G373" s="348"/>
      <c r="H373" s="111">
        <f t="shared" si="184"/>
        <v>11659682</v>
      </c>
      <c r="I373" s="9">
        <f t="shared" si="155"/>
        <v>53177397.429999992</v>
      </c>
      <c r="J373" s="33">
        <f t="shared" si="156"/>
        <v>40603887</v>
      </c>
      <c r="K373" s="9">
        <f t="shared" si="157"/>
        <v>12573510</v>
      </c>
      <c r="L373" s="112">
        <f t="shared" si="158"/>
        <v>913828</v>
      </c>
      <c r="M373" s="458">
        <f t="shared" si="186"/>
        <v>17.5</v>
      </c>
      <c r="N373" s="9">
        <v>3203</v>
      </c>
      <c r="O373" s="9">
        <f t="shared" si="159"/>
        <v>3261</v>
      </c>
      <c r="P373" s="9">
        <f t="shared" si="160"/>
        <v>1</v>
      </c>
      <c r="Q373" s="28">
        <f t="shared" si="161"/>
        <v>339144</v>
      </c>
      <c r="R373" s="382">
        <f t="shared" si="162"/>
        <v>0</v>
      </c>
      <c r="S373" s="28">
        <v>11659682</v>
      </c>
      <c r="T373" s="33">
        <f t="shared" si="163"/>
        <v>11757512</v>
      </c>
      <c r="U373" s="9">
        <f t="shared" si="164"/>
        <v>0</v>
      </c>
      <c r="V373" s="33">
        <f t="shared" si="165"/>
        <v>12573510</v>
      </c>
      <c r="W373" s="33">
        <f t="shared" si="166"/>
        <v>0</v>
      </c>
      <c r="X373" s="33">
        <v>0</v>
      </c>
      <c r="Y373" s="113">
        <f t="shared" si="167"/>
        <v>12573510</v>
      </c>
      <c r="Z373" s="155">
        <f t="shared" si="168"/>
        <v>23.644462887735575</v>
      </c>
      <c r="AA373" s="33">
        <f t="shared" si="169"/>
        <v>53177397</v>
      </c>
      <c r="AB373" s="114">
        <f t="shared" si="170"/>
        <v>99.999999191385797</v>
      </c>
      <c r="AC373" s="28">
        <f t="shared" si="171"/>
        <v>3413102.6699999943</v>
      </c>
      <c r="AD373" s="28">
        <f t="shared" si="172"/>
        <v>913828</v>
      </c>
      <c r="AE373" s="28">
        <f t="shared" si="173"/>
        <v>3267465.4497500025</v>
      </c>
      <c r="AF373" s="115">
        <f t="shared" si="174"/>
        <v>6.1444628877355747</v>
      </c>
      <c r="AG373" s="28">
        <f t="shared" si="175"/>
        <v>16307.08</v>
      </c>
      <c r="AI373" s="28">
        <f t="shared" si="176"/>
        <v>0</v>
      </c>
      <c r="AJ373" s="28"/>
      <c r="AK373" s="28">
        <f t="shared" si="177"/>
        <v>280.22937749156699</v>
      </c>
      <c r="AL373" s="156"/>
      <c r="AM373" s="6">
        <f t="shared" si="178"/>
        <v>645</v>
      </c>
      <c r="AN373" s="6" t="str">
        <f t="shared" si="179"/>
        <v xml:space="preserve">Dennis Yarmouth              </v>
      </c>
      <c r="AO373" s="6">
        <f t="shared" si="180"/>
        <v>1</v>
      </c>
      <c r="AP373" s="9">
        <f t="shared" si="185"/>
        <v>3261</v>
      </c>
      <c r="AQ373" s="9">
        <f t="shared" si="181"/>
        <v>53177397.429999992</v>
      </c>
      <c r="AR373" s="33">
        <f t="shared" si="182"/>
        <v>40603887</v>
      </c>
      <c r="AS373" s="33">
        <f t="shared" si="183"/>
        <v>12573510</v>
      </c>
      <c r="AU373" s="28"/>
      <c r="AV373" s="9"/>
      <c r="AW373" s="519"/>
    </row>
    <row r="374" spans="1:49">
      <c r="A374" s="6">
        <v>650</v>
      </c>
      <c r="B374" s="6" t="s">
        <v>1482</v>
      </c>
      <c r="C374" s="7">
        <v>1</v>
      </c>
      <c r="D374" s="9">
        <v>33303334.109999999</v>
      </c>
      <c r="E374" s="9">
        <v>22502125</v>
      </c>
      <c r="F374" s="9">
        <v>13347866</v>
      </c>
      <c r="G374" s="348"/>
      <c r="H374" s="111">
        <f t="shared" si="184"/>
        <v>13347866</v>
      </c>
      <c r="I374" s="9">
        <f t="shared" si="155"/>
        <v>34651952.299999982</v>
      </c>
      <c r="J374" s="33">
        <f t="shared" si="156"/>
        <v>23801972</v>
      </c>
      <c r="K374" s="9">
        <f t="shared" si="157"/>
        <v>10849980</v>
      </c>
      <c r="L374" s="112">
        <f t="shared" si="158"/>
        <v>0</v>
      </c>
      <c r="M374" s="458">
        <f t="shared" si="186"/>
        <v>29.08</v>
      </c>
      <c r="N374" s="9">
        <v>2577</v>
      </c>
      <c r="O374" s="9">
        <f t="shared" si="159"/>
        <v>2603</v>
      </c>
      <c r="P374" s="9">
        <f t="shared" si="160"/>
        <v>0</v>
      </c>
      <c r="Q374" s="28">
        <f t="shared" si="161"/>
        <v>270712</v>
      </c>
      <c r="R374" s="382">
        <f t="shared" si="162"/>
        <v>270712</v>
      </c>
      <c r="S374" s="28">
        <v>13347866</v>
      </c>
      <c r="T374" s="33">
        <f t="shared" si="163"/>
        <v>13425956</v>
      </c>
      <c r="U374" s="9">
        <f t="shared" si="164"/>
        <v>0</v>
      </c>
      <c r="V374" s="33">
        <f t="shared" si="165"/>
        <v>13618578</v>
      </c>
      <c r="W374" s="33">
        <f t="shared" si="166"/>
        <v>0</v>
      </c>
      <c r="X374" s="33">
        <v>0</v>
      </c>
      <c r="Y374" s="113">
        <f t="shared" si="167"/>
        <v>13618578</v>
      </c>
      <c r="Z374" s="155">
        <f t="shared" si="168"/>
        <v>39.301041055629085</v>
      </c>
      <c r="AA374" s="33">
        <f t="shared" si="169"/>
        <v>37420550</v>
      </c>
      <c r="AB374" s="114">
        <f t="shared" si="170"/>
        <v>107.98973078350919</v>
      </c>
      <c r="AC374" s="28">
        <f t="shared" si="171"/>
        <v>1348618.1899999827</v>
      </c>
      <c r="AD374" s="28">
        <f t="shared" si="172"/>
        <v>270712</v>
      </c>
      <c r="AE374" s="28">
        <f t="shared" si="173"/>
        <v>3541790.2711600047</v>
      </c>
      <c r="AF374" s="115">
        <f t="shared" si="174"/>
        <v>10.221041055629087</v>
      </c>
      <c r="AG374" s="28">
        <f t="shared" si="175"/>
        <v>13312.31</v>
      </c>
      <c r="AI374" s="28">
        <f t="shared" si="176"/>
        <v>0</v>
      </c>
      <c r="AJ374" s="28"/>
      <c r="AK374" s="28">
        <f t="shared" si="177"/>
        <v>104</v>
      </c>
      <c r="AL374" s="156"/>
      <c r="AM374" s="6">
        <f t="shared" si="178"/>
        <v>650</v>
      </c>
      <c r="AN374" s="6" t="str">
        <f t="shared" si="179"/>
        <v xml:space="preserve">Dighton Rehoboth             </v>
      </c>
      <c r="AO374" s="6">
        <f t="shared" si="180"/>
        <v>1</v>
      </c>
      <c r="AP374" s="9">
        <f t="shared" si="185"/>
        <v>2603</v>
      </c>
      <c r="AQ374" s="9">
        <f t="shared" si="181"/>
        <v>34651952.299999982</v>
      </c>
      <c r="AR374" s="33">
        <f t="shared" si="182"/>
        <v>23801972</v>
      </c>
      <c r="AS374" s="33">
        <f t="shared" si="183"/>
        <v>13618578</v>
      </c>
      <c r="AU374" s="28"/>
      <c r="AV374" s="9"/>
      <c r="AW374" s="519"/>
    </row>
    <row r="375" spans="1:49">
      <c r="A375" s="6">
        <v>655</v>
      </c>
      <c r="B375" s="6" t="s">
        <v>1483</v>
      </c>
      <c r="C375" s="7">
        <v>1</v>
      </c>
      <c r="D375" s="9">
        <v>15061557.844200004</v>
      </c>
      <c r="E375" s="9">
        <v>12425785</v>
      </c>
      <c r="F375" s="9">
        <v>2655010</v>
      </c>
      <c r="G375" s="348"/>
      <c r="H375" s="111">
        <f t="shared" si="184"/>
        <v>2655010</v>
      </c>
      <c r="I375" s="9">
        <f t="shared" si="155"/>
        <v>15036111.261020001</v>
      </c>
      <c r="J375" s="33">
        <f t="shared" si="156"/>
        <v>12404791</v>
      </c>
      <c r="K375" s="9">
        <f t="shared" si="157"/>
        <v>2631320</v>
      </c>
      <c r="L375" s="112">
        <f t="shared" si="158"/>
        <v>0</v>
      </c>
      <c r="M375" s="458">
        <f t="shared" si="186"/>
        <v>17.5</v>
      </c>
      <c r="N375" s="9">
        <v>1189</v>
      </c>
      <c r="O375" s="9">
        <f t="shared" si="159"/>
        <v>1148</v>
      </c>
      <c r="P375" s="9">
        <f t="shared" si="160"/>
        <v>0</v>
      </c>
      <c r="Q375" s="28">
        <f t="shared" si="161"/>
        <v>119392</v>
      </c>
      <c r="R375" s="382">
        <f t="shared" si="162"/>
        <v>119392</v>
      </c>
      <c r="S375" s="28">
        <v>2655010</v>
      </c>
      <c r="T375" s="33">
        <f t="shared" si="163"/>
        <v>2689450</v>
      </c>
      <c r="U375" s="9">
        <f t="shared" si="164"/>
        <v>0</v>
      </c>
      <c r="V375" s="33">
        <f t="shared" si="165"/>
        <v>2774402</v>
      </c>
      <c r="W375" s="33">
        <f t="shared" si="166"/>
        <v>0</v>
      </c>
      <c r="X375" s="33">
        <v>0</v>
      </c>
      <c r="Y375" s="113">
        <f t="shared" si="167"/>
        <v>2774402</v>
      </c>
      <c r="Z375" s="155">
        <f t="shared" si="168"/>
        <v>18.451592648109958</v>
      </c>
      <c r="AA375" s="33">
        <f t="shared" si="169"/>
        <v>15179193</v>
      </c>
      <c r="AB375" s="114">
        <f t="shared" si="170"/>
        <v>100.95158739182069</v>
      </c>
      <c r="AC375" s="28">
        <f t="shared" si="171"/>
        <v>-25446.583180002868</v>
      </c>
      <c r="AD375" s="28">
        <f t="shared" si="172"/>
        <v>119392</v>
      </c>
      <c r="AE375" s="28">
        <f t="shared" si="173"/>
        <v>143082.5293215001</v>
      </c>
      <c r="AF375" s="115">
        <f t="shared" si="174"/>
        <v>0.95159264810995836</v>
      </c>
      <c r="AG375" s="28">
        <f t="shared" si="175"/>
        <v>13097.66</v>
      </c>
      <c r="AI375" s="28">
        <f t="shared" si="176"/>
        <v>0</v>
      </c>
      <c r="AJ375" s="28"/>
      <c r="AK375" s="28">
        <f t="shared" si="177"/>
        <v>104</v>
      </c>
      <c r="AL375" s="156"/>
      <c r="AM375" s="6">
        <f t="shared" si="178"/>
        <v>655</v>
      </c>
      <c r="AN375" s="6" t="str">
        <f t="shared" si="179"/>
        <v xml:space="preserve">Dover Sherborn               </v>
      </c>
      <c r="AO375" s="6">
        <f t="shared" si="180"/>
        <v>1</v>
      </c>
      <c r="AP375" s="9">
        <f t="shared" si="185"/>
        <v>1148</v>
      </c>
      <c r="AQ375" s="9">
        <f t="shared" si="181"/>
        <v>15036111.261020001</v>
      </c>
      <c r="AR375" s="33">
        <f t="shared" si="182"/>
        <v>12404791</v>
      </c>
      <c r="AS375" s="33">
        <f t="shared" si="183"/>
        <v>2774402</v>
      </c>
      <c r="AU375" s="28"/>
      <c r="AV375" s="9"/>
      <c r="AW375" s="519"/>
    </row>
    <row r="376" spans="1:49">
      <c r="A376" s="6">
        <v>658</v>
      </c>
      <c r="B376" s="6" t="s">
        <v>1484</v>
      </c>
      <c r="C376" s="7">
        <v>1</v>
      </c>
      <c r="D376" s="9">
        <v>44767304.399999999</v>
      </c>
      <c r="E376" s="9">
        <v>20147144</v>
      </c>
      <c r="F376" s="9">
        <v>24984883</v>
      </c>
      <c r="G376" s="348"/>
      <c r="H376" s="111">
        <f t="shared" si="184"/>
        <v>24984883</v>
      </c>
      <c r="I376" s="9">
        <f t="shared" si="155"/>
        <v>46546244.079999998</v>
      </c>
      <c r="J376" s="33">
        <f t="shared" si="156"/>
        <v>22032809</v>
      </c>
      <c r="K376" s="9">
        <f t="shared" si="157"/>
        <v>24513435</v>
      </c>
      <c r="L376" s="112">
        <f t="shared" si="158"/>
        <v>0</v>
      </c>
      <c r="M376" s="458">
        <f t="shared" si="186"/>
        <v>46.59</v>
      </c>
      <c r="N376" s="9">
        <v>3275</v>
      </c>
      <c r="O376" s="9">
        <f t="shared" si="159"/>
        <v>3301</v>
      </c>
      <c r="P376" s="9">
        <f t="shared" si="160"/>
        <v>0</v>
      </c>
      <c r="Q376" s="28">
        <f t="shared" si="161"/>
        <v>343304</v>
      </c>
      <c r="R376" s="382">
        <f t="shared" si="162"/>
        <v>343304</v>
      </c>
      <c r="S376" s="28">
        <v>24984883</v>
      </c>
      <c r="T376" s="33">
        <f t="shared" si="163"/>
        <v>25083913</v>
      </c>
      <c r="U376" s="9">
        <f t="shared" si="164"/>
        <v>0</v>
      </c>
      <c r="V376" s="33">
        <f t="shared" si="165"/>
        <v>25328187</v>
      </c>
      <c r="W376" s="33">
        <f t="shared" si="166"/>
        <v>0</v>
      </c>
      <c r="X376" s="33">
        <v>0</v>
      </c>
      <c r="Y376" s="113">
        <f t="shared" si="167"/>
        <v>25328187</v>
      </c>
      <c r="Z376" s="155">
        <f t="shared" si="168"/>
        <v>54.415103733113071</v>
      </c>
      <c r="AA376" s="33">
        <f t="shared" si="169"/>
        <v>47360996</v>
      </c>
      <c r="AB376" s="114">
        <f t="shared" si="170"/>
        <v>101.75041388645596</v>
      </c>
      <c r="AC376" s="28">
        <f t="shared" si="171"/>
        <v>1778939.6799999997</v>
      </c>
      <c r="AD376" s="28">
        <f t="shared" si="172"/>
        <v>343304</v>
      </c>
      <c r="AE376" s="28">
        <f t="shared" si="173"/>
        <v>3642291.8831279986</v>
      </c>
      <c r="AF376" s="115">
        <f t="shared" si="174"/>
        <v>7.8251037331130675</v>
      </c>
      <c r="AG376" s="28">
        <f t="shared" si="175"/>
        <v>14100.65</v>
      </c>
      <c r="AI376" s="28">
        <f t="shared" si="176"/>
        <v>0</v>
      </c>
      <c r="AJ376" s="28"/>
      <c r="AK376" s="28">
        <f t="shared" si="177"/>
        <v>104</v>
      </c>
      <c r="AL376" s="156"/>
      <c r="AM376" s="6">
        <f t="shared" si="178"/>
        <v>658</v>
      </c>
      <c r="AN376" s="6" t="str">
        <f t="shared" si="179"/>
        <v xml:space="preserve">Dudley Charlton              </v>
      </c>
      <c r="AO376" s="6">
        <f t="shared" si="180"/>
        <v>1</v>
      </c>
      <c r="AP376" s="9">
        <f t="shared" si="185"/>
        <v>3301</v>
      </c>
      <c r="AQ376" s="9">
        <f t="shared" si="181"/>
        <v>46546244.079999998</v>
      </c>
      <c r="AR376" s="33">
        <f t="shared" si="182"/>
        <v>22032809</v>
      </c>
      <c r="AS376" s="33">
        <f t="shared" si="183"/>
        <v>25328187</v>
      </c>
      <c r="AU376" s="28"/>
      <c r="AV376" s="9"/>
      <c r="AW376" s="519"/>
    </row>
    <row r="377" spans="1:49">
      <c r="A377" s="6">
        <v>660</v>
      </c>
      <c r="B377" s="6" t="s">
        <v>1485</v>
      </c>
      <c r="C377" s="7">
        <v>1</v>
      </c>
      <c r="D377" s="9">
        <v>17092062.400000002</v>
      </c>
      <c r="E377" s="9">
        <v>13610271</v>
      </c>
      <c r="F377" s="9">
        <v>3706548.9999996317</v>
      </c>
      <c r="G377" s="348"/>
      <c r="H377" s="111">
        <f t="shared" si="184"/>
        <v>3706548.9999996317</v>
      </c>
      <c r="I377" s="9">
        <f t="shared" si="155"/>
        <v>17234196.510000002</v>
      </c>
      <c r="J377" s="33">
        <f t="shared" si="156"/>
        <v>14218211</v>
      </c>
      <c r="K377" s="9">
        <f t="shared" si="157"/>
        <v>3015986</v>
      </c>
      <c r="L377" s="112">
        <f t="shared" si="158"/>
        <v>0</v>
      </c>
      <c r="M377" s="458">
        <f t="shared" si="186"/>
        <v>17.5</v>
      </c>
      <c r="N377" s="9">
        <v>1191</v>
      </c>
      <c r="O377" s="9">
        <f t="shared" si="159"/>
        <v>1170</v>
      </c>
      <c r="P377" s="9">
        <f t="shared" si="160"/>
        <v>0</v>
      </c>
      <c r="Q377" s="28">
        <f t="shared" si="161"/>
        <v>121680</v>
      </c>
      <c r="R377" s="382">
        <f t="shared" si="162"/>
        <v>121680</v>
      </c>
      <c r="S377" s="28">
        <v>3706548.9999996317</v>
      </c>
      <c r="T377" s="33">
        <f t="shared" si="163"/>
        <v>3741648.9999996317</v>
      </c>
      <c r="U377" s="9">
        <f t="shared" si="164"/>
        <v>0</v>
      </c>
      <c r="V377" s="33">
        <f t="shared" si="165"/>
        <v>3828228.9999996317</v>
      </c>
      <c r="W377" s="33">
        <f t="shared" si="166"/>
        <v>0</v>
      </c>
      <c r="X377" s="33">
        <v>0</v>
      </c>
      <c r="Y377" s="113">
        <f t="shared" si="167"/>
        <v>3828228.9999996317</v>
      </c>
      <c r="Z377" s="155">
        <f t="shared" si="168"/>
        <v>22.212982182130354</v>
      </c>
      <c r="AA377" s="33">
        <f t="shared" si="169"/>
        <v>18046439.999999631</v>
      </c>
      <c r="AB377" s="114">
        <f t="shared" si="170"/>
        <v>104.71297567907115</v>
      </c>
      <c r="AC377" s="28">
        <f t="shared" si="171"/>
        <v>142134.1099999994</v>
      </c>
      <c r="AD377" s="28">
        <f t="shared" si="172"/>
        <v>121680</v>
      </c>
      <c r="AE377" s="28">
        <f t="shared" si="173"/>
        <v>812244.61074963165</v>
      </c>
      <c r="AF377" s="115">
        <f t="shared" si="174"/>
        <v>4.7129821821303537</v>
      </c>
      <c r="AG377" s="28">
        <f t="shared" si="175"/>
        <v>14730.08</v>
      </c>
      <c r="AI377" s="28">
        <f t="shared" si="176"/>
        <v>0</v>
      </c>
      <c r="AJ377" s="28"/>
      <c r="AK377" s="28">
        <f t="shared" si="177"/>
        <v>104</v>
      </c>
      <c r="AL377" s="156"/>
      <c r="AM377" s="6">
        <f t="shared" si="178"/>
        <v>660</v>
      </c>
      <c r="AN377" s="6" t="str">
        <f t="shared" si="179"/>
        <v xml:space="preserve">Nauset                       </v>
      </c>
      <c r="AO377" s="6">
        <f t="shared" si="180"/>
        <v>1</v>
      </c>
      <c r="AP377" s="9">
        <f t="shared" si="185"/>
        <v>1170</v>
      </c>
      <c r="AQ377" s="9">
        <f t="shared" si="181"/>
        <v>17234196.510000002</v>
      </c>
      <c r="AR377" s="33">
        <f t="shared" si="182"/>
        <v>14218211</v>
      </c>
      <c r="AS377" s="33">
        <f t="shared" si="183"/>
        <v>3828228.9999996317</v>
      </c>
      <c r="AU377" s="28"/>
      <c r="AV377" s="9"/>
      <c r="AW377" s="519"/>
    </row>
    <row r="378" spans="1:49">
      <c r="A378" s="6">
        <v>662</v>
      </c>
      <c r="B378" s="6" t="s">
        <v>1052</v>
      </c>
      <c r="C378" s="7">
        <v>1</v>
      </c>
      <c r="D378" s="9">
        <v>2970098.28</v>
      </c>
      <c r="E378" s="9">
        <v>2351188</v>
      </c>
      <c r="F378" s="9">
        <v>625131</v>
      </c>
      <c r="G378" s="348"/>
      <c r="H378" s="111">
        <f t="shared" si="184"/>
        <v>625131</v>
      </c>
      <c r="I378" s="9">
        <f t="shared" si="155"/>
        <v>3242282.6100000003</v>
      </c>
      <c r="J378" s="33">
        <f t="shared" si="156"/>
        <v>2507239</v>
      </c>
      <c r="K378" s="9">
        <f t="shared" si="157"/>
        <v>735044</v>
      </c>
      <c r="L378" s="112">
        <f t="shared" si="158"/>
        <v>109913</v>
      </c>
      <c r="M378" s="458">
        <f t="shared" si="186"/>
        <v>17.5</v>
      </c>
      <c r="N378" s="9">
        <v>217</v>
      </c>
      <c r="O378" s="9">
        <f t="shared" si="159"/>
        <v>224</v>
      </c>
      <c r="P378" s="9">
        <f t="shared" si="160"/>
        <v>1</v>
      </c>
      <c r="Q378" s="28">
        <f t="shared" si="161"/>
        <v>23296</v>
      </c>
      <c r="R378" s="382">
        <f t="shared" si="162"/>
        <v>0</v>
      </c>
      <c r="S378" s="28">
        <v>625131</v>
      </c>
      <c r="T378" s="33">
        <f t="shared" si="163"/>
        <v>631851</v>
      </c>
      <c r="U378" s="9">
        <f t="shared" si="164"/>
        <v>0</v>
      </c>
      <c r="V378" s="33">
        <f t="shared" si="165"/>
        <v>735044</v>
      </c>
      <c r="W378" s="33">
        <f t="shared" si="166"/>
        <v>0</v>
      </c>
      <c r="X378" s="33">
        <v>0</v>
      </c>
      <c r="Y378" s="113">
        <f t="shared" si="167"/>
        <v>735044</v>
      </c>
      <c r="Z378" s="155">
        <f t="shared" si="168"/>
        <v>22.670571582284122</v>
      </c>
      <c r="AA378" s="33">
        <f t="shared" si="169"/>
        <v>3242283</v>
      </c>
      <c r="AB378" s="114">
        <f t="shared" si="170"/>
        <v>100.00001202856279</v>
      </c>
      <c r="AC378" s="28">
        <f t="shared" si="171"/>
        <v>272184.33000000054</v>
      </c>
      <c r="AD378" s="28">
        <f t="shared" si="172"/>
        <v>109913</v>
      </c>
      <c r="AE378" s="28">
        <f t="shared" si="173"/>
        <v>167644.54324999999</v>
      </c>
      <c r="AF378" s="115">
        <f t="shared" si="174"/>
        <v>5.1705715822841221</v>
      </c>
      <c r="AG378" s="28">
        <f t="shared" si="175"/>
        <v>14474.48</v>
      </c>
      <c r="AI378" s="28">
        <f t="shared" si="176"/>
        <v>0</v>
      </c>
      <c r="AJ378" s="28"/>
      <c r="AK378" s="28">
        <f t="shared" si="177"/>
        <v>490.68303571428572</v>
      </c>
      <c r="AL378" s="156"/>
      <c r="AM378" s="6">
        <f t="shared" si="178"/>
        <v>662</v>
      </c>
      <c r="AN378" s="6" t="str">
        <f t="shared" si="179"/>
        <v>Farmington River</v>
      </c>
      <c r="AO378" s="6">
        <f t="shared" si="180"/>
        <v>1</v>
      </c>
      <c r="AP378" s="9">
        <f t="shared" si="185"/>
        <v>224</v>
      </c>
      <c r="AQ378" s="9">
        <f t="shared" si="181"/>
        <v>3242282.6100000003</v>
      </c>
      <c r="AR378" s="33">
        <f t="shared" si="182"/>
        <v>2507239</v>
      </c>
      <c r="AS378" s="33">
        <f t="shared" si="183"/>
        <v>735044</v>
      </c>
      <c r="AU378" s="28"/>
      <c r="AV378" s="9"/>
      <c r="AW378" s="519"/>
    </row>
    <row r="379" spans="1:49">
      <c r="A379" s="6">
        <v>665</v>
      </c>
      <c r="B379" s="6" t="s">
        <v>1486</v>
      </c>
      <c r="C379" s="7">
        <v>1</v>
      </c>
      <c r="D379" s="9">
        <v>35485915.870000005</v>
      </c>
      <c r="E379" s="9">
        <v>23828457</v>
      </c>
      <c r="F379" s="9">
        <v>11657459</v>
      </c>
      <c r="G379" s="348"/>
      <c r="H379" s="111">
        <f t="shared" si="184"/>
        <v>11657459</v>
      </c>
      <c r="I379" s="9">
        <f t="shared" si="155"/>
        <v>35494251.229999989</v>
      </c>
      <c r="J379" s="33">
        <f t="shared" si="156"/>
        <v>24992714</v>
      </c>
      <c r="K379" s="9">
        <f t="shared" si="157"/>
        <v>10501537</v>
      </c>
      <c r="L379" s="112">
        <f t="shared" si="158"/>
        <v>0</v>
      </c>
      <c r="M379" s="458">
        <f t="shared" si="186"/>
        <v>22.37</v>
      </c>
      <c r="N379" s="9">
        <v>2781</v>
      </c>
      <c r="O379" s="9">
        <f t="shared" si="159"/>
        <v>2720</v>
      </c>
      <c r="P379" s="9">
        <f t="shared" si="160"/>
        <v>0</v>
      </c>
      <c r="Q379" s="28">
        <f t="shared" si="161"/>
        <v>282880</v>
      </c>
      <c r="R379" s="382">
        <f t="shared" si="162"/>
        <v>282880</v>
      </c>
      <c r="S379" s="28">
        <v>11657459</v>
      </c>
      <c r="T379" s="33">
        <f t="shared" si="163"/>
        <v>11739059</v>
      </c>
      <c r="U379" s="9">
        <f t="shared" si="164"/>
        <v>0</v>
      </c>
      <c r="V379" s="33">
        <f t="shared" si="165"/>
        <v>11940339</v>
      </c>
      <c r="W379" s="33">
        <f t="shared" si="166"/>
        <v>0</v>
      </c>
      <c r="X379" s="33">
        <v>0</v>
      </c>
      <c r="Y379" s="113">
        <f t="shared" si="167"/>
        <v>11940339</v>
      </c>
      <c r="Z379" s="155">
        <f t="shared" si="168"/>
        <v>33.64020534657157</v>
      </c>
      <c r="AA379" s="33">
        <f t="shared" si="169"/>
        <v>36933053</v>
      </c>
      <c r="AB379" s="114">
        <f t="shared" si="170"/>
        <v>104.05361916406318</v>
      </c>
      <c r="AC379" s="28">
        <f t="shared" si="171"/>
        <v>8335.3599999845028</v>
      </c>
      <c r="AD379" s="28">
        <f t="shared" si="172"/>
        <v>282880</v>
      </c>
      <c r="AE379" s="28">
        <f t="shared" si="173"/>
        <v>4000274.9998490019</v>
      </c>
      <c r="AF379" s="115">
        <f t="shared" si="174"/>
        <v>11.270205346571569</v>
      </c>
      <c r="AG379" s="28">
        <f t="shared" si="175"/>
        <v>13049.36</v>
      </c>
      <c r="AI379" s="28">
        <f t="shared" si="176"/>
        <v>0</v>
      </c>
      <c r="AJ379" s="28"/>
      <c r="AK379" s="28">
        <f t="shared" si="177"/>
        <v>104</v>
      </c>
      <c r="AL379" s="156"/>
      <c r="AM379" s="6">
        <f t="shared" si="178"/>
        <v>665</v>
      </c>
      <c r="AN379" s="6" t="str">
        <f t="shared" si="179"/>
        <v xml:space="preserve">Freetown Lakeville           </v>
      </c>
      <c r="AO379" s="6">
        <f t="shared" si="180"/>
        <v>1</v>
      </c>
      <c r="AP379" s="9">
        <f t="shared" si="185"/>
        <v>2720</v>
      </c>
      <c r="AQ379" s="9">
        <f t="shared" si="181"/>
        <v>35494251.229999989</v>
      </c>
      <c r="AR379" s="33">
        <f t="shared" si="182"/>
        <v>24992714</v>
      </c>
      <c r="AS379" s="33">
        <f t="shared" si="183"/>
        <v>11940339</v>
      </c>
      <c r="AU379" s="28"/>
      <c r="AV379" s="9"/>
      <c r="AW379" s="519"/>
    </row>
    <row r="380" spans="1:49">
      <c r="A380" s="6">
        <v>670</v>
      </c>
      <c r="B380" s="6" t="s">
        <v>1487</v>
      </c>
      <c r="C380" s="7">
        <v>1</v>
      </c>
      <c r="D380" s="9">
        <v>6859405.6100000003</v>
      </c>
      <c r="E380" s="9">
        <v>5502061</v>
      </c>
      <c r="F380" s="9">
        <v>2932515</v>
      </c>
      <c r="G380" s="348"/>
      <c r="H380" s="111">
        <f t="shared" si="184"/>
        <v>2932515</v>
      </c>
      <c r="I380" s="9">
        <f t="shared" si="155"/>
        <v>6897529.5600000005</v>
      </c>
      <c r="J380" s="33">
        <f t="shared" si="156"/>
        <v>5613913</v>
      </c>
      <c r="K380" s="9">
        <f t="shared" si="157"/>
        <v>1283617</v>
      </c>
      <c r="L380" s="112">
        <f t="shared" si="158"/>
        <v>0</v>
      </c>
      <c r="M380" s="458">
        <f t="shared" si="186"/>
        <v>17.5</v>
      </c>
      <c r="N380" s="9">
        <v>488</v>
      </c>
      <c r="O380" s="9">
        <f t="shared" si="159"/>
        <v>478</v>
      </c>
      <c r="P380" s="9">
        <f t="shared" si="160"/>
        <v>0</v>
      </c>
      <c r="Q380" s="28">
        <f t="shared" si="161"/>
        <v>49712</v>
      </c>
      <c r="R380" s="382">
        <f t="shared" si="162"/>
        <v>49712</v>
      </c>
      <c r="S380" s="28">
        <v>2932515</v>
      </c>
      <c r="T380" s="33">
        <f t="shared" si="163"/>
        <v>2946855</v>
      </c>
      <c r="U380" s="9">
        <f t="shared" si="164"/>
        <v>0</v>
      </c>
      <c r="V380" s="33">
        <f t="shared" si="165"/>
        <v>2982227</v>
      </c>
      <c r="W380" s="33">
        <f t="shared" si="166"/>
        <v>0</v>
      </c>
      <c r="X380" s="33">
        <v>0</v>
      </c>
      <c r="Y380" s="113">
        <f t="shared" si="167"/>
        <v>2982227</v>
      </c>
      <c r="Z380" s="155">
        <f t="shared" si="168"/>
        <v>43.236161208999583</v>
      </c>
      <c r="AA380" s="33">
        <f t="shared" si="169"/>
        <v>8596140</v>
      </c>
      <c r="AB380" s="114">
        <f t="shared" si="170"/>
        <v>124.626359702038</v>
      </c>
      <c r="AC380" s="28">
        <f t="shared" si="171"/>
        <v>38123.950000000186</v>
      </c>
      <c r="AD380" s="28">
        <f t="shared" si="172"/>
        <v>49712</v>
      </c>
      <c r="AE380" s="28">
        <f t="shared" si="173"/>
        <v>1775159.327</v>
      </c>
      <c r="AF380" s="115">
        <f t="shared" si="174"/>
        <v>25.736161208999583</v>
      </c>
      <c r="AG380" s="28">
        <f t="shared" si="175"/>
        <v>14429.98</v>
      </c>
      <c r="AI380" s="28">
        <f t="shared" si="176"/>
        <v>0</v>
      </c>
      <c r="AJ380" s="28"/>
      <c r="AK380" s="28">
        <f t="shared" si="177"/>
        <v>104</v>
      </c>
      <c r="AL380" s="156"/>
      <c r="AM380" s="6">
        <f t="shared" si="178"/>
        <v>670</v>
      </c>
      <c r="AN380" s="6" t="str">
        <f t="shared" si="179"/>
        <v xml:space="preserve">Frontier                     </v>
      </c>
      <c r="AO380" s="6">
        <f t="shared" si="180"/>
        <v>1</v>
      </c>
      <c r="AP380" s="9">
        <f t="shared" si="185"/>
        <v>478</v>
      </c>
      <c r="AQ380" s="9">
        <f t="shared" si="181"/>
        <v>6897529.5600000005</v>
      </c>
      <c r="AR380" s="33">
        <f t="shared" si="182"/>
        <v>5613913</v>
      </c>
      <c r="AS380" s="33">
        <f t="shared" si="183"/>
        <v>2982227</v>
      </c>
      <c r="AU380" s="28"/>
      <c r="AV380" s="9"/>
      <c r="AW380" s="519"/>
    </row>
    <row r="381" spans="1:49">
      <c r="A381" s="6">
        <v>672</v>
      </c>
      <c r="B381" s="6" t="s">
        <v>1488</v>
      </c>
      <c r="C381" s="7">
        <v>1</v>
      </c>
      <c r="D381" s="9">
        <v>11571635.25</v>
      </c>
      <c r="E381" s="9">
        <v>5636489</v>
      </c>
      <c r="F381" s="9">
        <v>5935146</v>
      </c>
      <c r="G381" s="348"/>
      <c r="H381" s="111">
        <f t="shared" si="184"/>
        <v>5935146</v>
      </c>
      <c r="I381" s="9">
        <f t="shared" si="155"/>
        <v>12121904.290000001</v>
      </c>
      <c r="J381" s="33">
        <f t="shared" si="156"/>
        <v>5892974</v>
      </c>
      <c r="K381" s="9">
        <f t="shared" si="157"/>
        <v>6228930</v>
      </c>
      <c r="L381" s="112">
        <f t="shared" si="158"/>
        <v>293784</v>
      </c>
      <c r="M381" s="458">
        <f t="shared" si="186"/>
        <v>44.95</v>
      </c>
      <c r="N381" s="9">
        <v>785.99999999999989</v>
      </c>
      <c r="O381" s="9">
        <f t="shared" si="159"/>
        <v>775</v>
      </c>
      <c r="P381" s="9">
        <f t="shared" si="160"/>
        <v>1</v>
      </c>
      <c r="Q381" s="28">
        <f t="shared" si="161"/>
        <v>80600</v>
      </c>
      <c r="R381" s="382">
        <f t="shared" si="162"/>
        <v>0</v>
      </c>
      <c r="S381" s="28">
        <v>5935146</v>
      </c>
      <c r="T381" s="33">
        <f t="shared" si="163"/>
        <v>5958396</v>
      </c>
      <c r="U381" s="9">
        <f t="shared" si="164"/>
        <v>0</v>
      </c>
      <c r="V381" s="33">
        <f t="shared" si="165"/>
        <v>6228930</v>
      </c>
      <c r="W381" s="33">
        <f t="shared" si="166"/>
        <v>0</v>
      </c>
      <c r="X381" s="33">
        <v>0</v>
      </c>
      <c r="Y381" s="113">
        <f t="shared" si="167"/>
        <v>6228930</v>
      </c>
      <c r="Z381" s="155">
        <f t="shared" si="168"/>
        <v>51.385738172661313</v>
      </c>
      <c r="AA381" s="33">
        <f t="shared" si="169"/>
        <v>12121904</v>
      </c>
      <c r="AB381" s="114">
        <f t="shared" si="170"/>
        <v>99.999997607636601</v>
      </c>
      <c r="AC381" s="28">
        <f t="shared" si="171"/>
        <v>550269.04000000097</v>
      </c>
      <c r="AD381" s="28">
        <f t="shared" si="172"/>
        <v>293784</v>
      </c>
      <c r="AE381" s="28">
        <f t="shared" si="173"/>
        <v>780134.02164499927</v>
      </c>
      <c r="AF381" s="115">
        <f t="shared" si="174"/>
        <v>6.4357381726613099</v>
      </c>
      <c r="AG381" s="28">
        <f t="shared" si="175"/>
        <v>15641.17</v>
      </c>
      <c r="AI381" s="28">
        <f t="shared" si="176"/>
        <v>0</v>
      </c>
      <c r="AJ381" s="28"/>
      <c r="AK381" s="28">
        <f t="shared" si="177"/>
        <v>379.07612903225805</v>
      </c>
      <c r="AL381" s="156"/>
      <c r="AM381" s="6">
        <f t="shared" si="178"/>
        <v>672</v>
      </c>
      <c r="AN381" s="6" t="str">
        <f t="shared" si="179"/>
        <v xml:space="preserve">Gateway                      </v>
      </c>
      <c r="AO381" s="6">
        <f t="shared" si="180"/>
        <v>1</v>
      </c>
      <c r="AP381" s="9">
        <f t="shared" si="185"/>
        <v>775</v>
      </c>
      <c r="AQ381" s="9">
        <f t="shared" si="181"/>
        <v>12121904.290000001</v>
      </c>
      <c r="AR381" s="33">
        <f t="shared" si="182"/>
        <v>5892974</v>
      </c>
      <c r="AS381" s="33">
        <f t="shared" si="183"/>
        <v>6228930</v>
      </c>
      <c r="AU381" s="28"/>
      <c r="AV381" s="9"/>
      <c r="AW381" s="519"/>
    </row>
    <row r="382" spans="1:49">
      <c r="A382" s="6">
        <v>673</v>
      </c>
      <c r="B382" s="6" t="s">
        <v>1489</v>
      </c>
      <c r="C382" s="7">
        <v>1</v>
      </c>
      <c r="D382" s="9">
        <v>27429942.139999997</v>
      </c>
      <c r="E382" s="9">
        <v>21929584</v>
      </c>
      <c r="F382" s="9">
        <v>11261903</v>
      </c>
      <c r="G382" s="348"/>
      <c r="H382" s="111">
        <f t="shared" si="184"/>
        <v>11261903</v>
      </c>
      <c r="I382" s="9">
        <f t="shared" si="155"/>
        <v>27803440.189999998</v>
      </c>
      <c r="J382" s="33">
        <f t="shared" si="156"/>
        <v>22810900</v>
      </c>
      <c r="K382" s="9">
        <f t="shared" si="157"/>
        <v>4992540</v>
      </c>
      <c r="L382" s="112">
        <f t="shared" si="158"/>
        <v>0</v>
      </c>
      <c r="M382" s="458">
        <f t="shared" si="186"/>
        <v>17.5</v>
      </c>
      <c r="N382" s="9">
        <v>2283</v>
      </c>
      <c r="O382" s="9">
        <f t="shared" si="159"/>
        <v>2250</v>
      </c>
      <c r="P382" s="9">
        <f t="shared" si="160"/>
        <v>0</v>
      </c>
      <c r="Q382" s="28">
        <f t="shared" si="161"/>
        <v>234000</v>
      </c>
      <c r="R382" s="382">
        <f t="shared" si="162"/>
        <v>234000</v>
      </c>
      <c r="S382" s="28">
        <v>11261903</v>
      </c>
      <c r="T382" s="33">
        <f t="shared" si="163"/>
        <v>11329403</v>
      </c>
      <c r="U382" s="9">
        <f t="shared" si="164"/>
        <v>0</v>
      </c>
      <c r="V382" s="33">
        <f t="shared" si="165"/>
        <v>11495903</v>
      </c>
      <c r="W382" s="33">
        <f t="shared" si="166"/>
        <v>0</v>
      </c>
      <c r="X382" s="33">
        <v>0</v>
      </c>
      <c r="Y382" s="113">
        <f t="shared" si="167"/>
        <v>11495903</v>
      </c>
      <c r="Z382" s="155">
        <f t="shared" si="168"/>
        <v>41.347052456244988</v>
      </c>
      <c r="AA382" s="33">
        <f t="shared" si="169"/>
        <v>34306803</v>
      </c>
      <c r="AB382" s="114">
        <f t="shared" si="170"/>
        <v>123.39049687937197</v>
      </c>
      <c r="AC382" s="28">
        <f t="shared" si="171"/>
        <v>373498.05000000075</v>
      </c>
      <c r="AD382" s="28">
        <f t="shared" si="172"/>
        <v>234000</v>
      </c>
      <c r="AE382" s="28">
        <f t="shared" si="173"/>
        <v>6630300.9667500006</v>
      </c>
      <c r="AF382" s="115">
        <f t="shared" si="174"/>
        <v>23.847052456244988</v>
      </c>
      <c r="AG382" s="28">
        <f t="shared" si="175"/>
        <v>12357.08</v>
      </c>
      <c r="AI382" s="28">
        <f t="shared" si="176"/>
        <v>0</v>
      </c>
      <c r="AJ382" s="28"/>
      <c r="AK382" s="28">
        <f t="shared" si="177"/>
        <v>104</v>
      </c>
      <c r="AL382" s="156"/>
      <c r="AM382" s="6">
        <f t="shared" si="178"/>
        <v>673</v>
      </c>
      <c r="AN382" s="6" t="str">
        <f t="shared" si="179"/>
        <v xml:space="preserve">Groton Dunstable             </v>
      </c>
      <c r="AO382" s="6">
        <f t="shared" si="180"/>
        <v>1</v>
      </c>
      <c r="AP382" s="9">
        <f t="shared" si="185"/>
        <v>2250</v>
      </c>
      <c r="AQ382" s="9">
        <f t="shared" si="181"/>
        <v>27803440.189999998</v>
      </c>
      <c r="AR382" s="33">
        <f t="shared" si="182"/>
        <v>22810900</v>
      </c>
      <c r="AS382" s="33">
        <f t="shared" si="183"/>
        <v>11495903</v>
      </c>
      <c r="AU382" s="28"/>
      <c r="AV382" s="9"/>
      <c r="AW382" s="519"/>
    </row>
    <row r="383" spans="1:49">
      <c r="A383" s="6">
        <v>674</v>
      </c>
      <c r="B383" s="6" t="s">
        <v>1490</v>
      </c>
      <c r="C383" s="7">
        <v>1</v>
      </c>
      <c r="D383" s="9">
        <v>14525789.259999998</v>
      </c>
      <c r="E383" s="9">
        <v>6845441</v>
      </c>
      <c r="F383" s="9">
        <v>7834871</v>
      </c>
      <c r="G383" s="348"/>
      <c r="H383" s="111">
        <f t="shared" si="184"/>
        <v>7834871</v>
      </c>
      <c r="I383" s="9">
        <f t="shared" si="155"/>
        <v>15171727.360000001</v>
      </c>
      <c r="J383" s="33">
        <f t="shared" si="156"/>
        <v>7362219</v>
      </c>
      <c r="K383" s="9">
        <f t="shared" si="157"/>
        <v>7809508</v>
      </c>
      <c r="L383" s="112">
        <f t="shared" si="158"/>
        <v>0</v>
      </c>
      <c r="M383" s="458">
        <f t="shared" si="186"/>
        <v>48.85</v>
      </c>
      <c r="N383" s="9">
        <v>947</v>
      </c>
      <c r="O383" s="9">
        <f t="shared" si="159"/>
        <v>938</v>
      </c>
      <c r="P383" s="9">
        <f t="shared" si="160"/>
        <v>0</v>
      </c>
      <c r="Q383" s="28">
        <f t="shared" si="161"/>
        <v>97552</v>
      </c>
      <c r="R383" s="382">
        <f t="shared" si="162"/>
        <v>97552</v>
      </c>
      <c r="S383" s="28">
        <v>7834871</v>
      </c>
      <c r="T383" s="33">
        <f t="shared" si="163"/>
        <v>7863011</v>
      </c>
      <c r="U383" s="9">
        <f t="shared" si="164"/>
        <v>0</v>
      </c>
      <c r="V383" s="33">
        <f t="shared" si="165"/>
        <v>7932423</v>
      </c>
      <c r="W383" s="33">
        <f t="shared" si="166"/>
        <v>0</v>
      </c>
      <c r="X383" s="33">
        <v>0</v>
      </c>
      <c r="Y383" s="113">
        <f t="shared" si="167"/>
        <v>7932423</v>
      </c>
      <c r="Z383" s="155">
        <f t="shared" si="168"/>
        <v>52.284244316923967</v>
      </c>
      <c r="AA383" s="33">
        <f t="shared" si="169"/>
        <v>15294642</v>
      </c>
      <c r="AB383" s="114">
        <f t="shared" si="170"/>
        <v>100.81015587140105</v>
      </c>
      <c r="AC383" s="28">
        <f t="shared" si="171"/>
        <v>645938.10000000335</v>
      </c>
      <c r="AD383" s="28">
        <f t="shared" si="172"/>
        <v>97552</v>
      </c>
      <c r="AE383" s="28">
        <f t="shared" si="173"/>
        <v>521034.18463999964</v>
      </c>
      <c r="AF383" s="115">
        <f t="shared" si="174"/>
        <v>3.4342443169239658</v>
      </c>
      <c r="AG383" s="28">
        <f t="shared" si="175"/>
        <v>16174.55</v>
      </c>
      <c r="AI383" s="28">
        <f t="shared" si="176"/>
        <v>0</v>
      </c>
      <c r="AJ383" s="28"/>
      <c r="AK383" s="28">
        <f t="shared" si="177"/>
        <v>104</v>
      </c>
      <c r="AL383" s="156"/>
      <c r="AM383" s="6">
        <f t="shared" si="178"/>
        <v>674</v>
      </c>
      <c r="AN383" s="6" t="str">
        <f t="shared" si="179"/>
        <v xml:space="preserve">Gill Montague                </v>
      </c>
      <c r="AO383" s="6">
        <f t="shared" si="180"/>
        <v>1</v>
      </c>
      <c r="AP383" s="9">
        <f t="shared" si="185"/>
        <v>938</v>
      </c>
      <c r="AQ383" s="9">
        <f t="shared" si="181"/>
        <v>15171727.360000001</v>
      </c>
      <c r="AR383" s="33">
        <f t="shared" si="182"/>
        <v>7362219</v>
      </c>
      <c r="AS383" s="33">
        <f t="shared" si="183"/>
        <v>7932423</v>
      </c>
      <c r="AU383" s="28"/>
      <c r="AV383" s="9"/>
      <c r="AW383" s="519"/>
    </row>
    <row r="384" spans="1:49">
      <c r="A384" s="6">
        <v>675</v>
      </c>
      <c r="B384" s="6" t="s">
        <v>1491</v>
      </c>
      <c r="C384" s="7">
        <v>1</v>
      </c>
      <c r="D384" s="9">
        <v>19935627.51244</v>
      </c>
      <c r="E384" s="9">
        <v>15916460</v>
      </c>
      <c r="F384" s="9">
        <v>4019168</v>
      </c>
      <c r="G384" s="348"/>
      <c r="H384" s="111">
        <f t="shared" si="184"/>
        <v>4019168</v>
      </c>
      <c r="I384" s="9">
        <f t="shared" si="155"/>
        <v>20510939.057600003</v>
      </c>
      <c r="J384" s="33">
        <f t="shared" si="156"/>
        <v>16533729</v>
      </c>
      <c r="K384" s="9">
        <f t="shared" si="157"/>
        <v>3977210</v>
      </c>
      <c r="L384" s="112">
        <f t="shared" si="158"/>
        <v>0</v>
      </c>
      <c r="M384" s="458">
        <f t="shared" si="186"/>
        <v>17.5</v>
      </c>
      <c r="N384" s="9">
        <v>1620</v>
      </c>
      <c r="O384" s="9">
        <f t="shared" si="159"/>
        <v>1631</v>
      </c>
      <c r="P384" s="9">
        <f t="shared" si="160"/>
        <v>0</v>
      </c>
      <c r="Q384" s="28">
        <f t="shared" si="161"/>
        <v>169624</v>
      </c>
      <c r="R384" s="382">
        <f t="shared" si="162"/>
        <v>169624</v>
      </c>
      <c r="S384" s="28">
        <v>4019168</v>
      </c>
      <c r="T384" s="33">
        <f t="shared" si="163"/>
        <v>4068098</v>
      </c>
      <c r="U384" s="9">
        <f t="shared" si="164"/>
        <v>0</v>
      </c>
      <c r="V384" s="33">
        <f t="shared" si="165"/>
        <v>4188792</v>
      </c>
      <c r="W384" s="33">
        <f t="shared" si="166"/>
        <v>0</v>
      </c>
      <c r="X384" s="33">
        <v>0</v>
      </c>
      <c r="Y384" s="113">
        <f t="shared" si="167"/>
        <v>4188792</v>
      </c>
      <c r="Z384" s="155">
        <f t="shared" si="168"/>
        <v>20.422234146553663</v>
      </c>
      <c r="AA384" s="33">
        <f t="shared" si="169"/>
        <v>20722521</v>
      </c>
      <c r="AB384" s="114">
        <f t="shared" si="170"/>
        <v>101.03155658454165</v>
      </c>
      <c r="AC384" s="28">
        <f t="shared" si="171"/>
        <v>575311.54516000301</v>
      </c>
      <c r="AD384" s="28">
        <f t="shared" si="172"/>
        <v>169624</v>
      </c>
      <c r="AE384" s="28">
        <f t="shared" si="173"/>
        <v>599377.66491999989</v>
      </c>
      <c r="AF384" s="115">
        <f t="shared" si="174"/>
        <v>2.922234146553663</v>
      </c>
      <c r="AG384" s="28">
        <f t="shared" si="175"/>
        <v>12575.68</v>
      </c>
      <c r="AI384" s="28">
        <f t="shared" si="176"/>
        <v>0</v>
      </c>
      <c r="AJ384" s="28"/>
      <c r="AK384" s="28">
        <f t="shared" si="177"/>
        <v>104</v>
      </c>
      <c r="AL384" s="156"/>
      <c r="AM384" s="6">
        <f t="shared" si="178"/>
        <v>675</v>
      </c>
      <c r="AN384" s="6" t="str">
        <f t="shared" si="179"/>
        <v xml:space="preserve">Hamilton Wenham              </v>
      </c>
      <c r="AO384" s="6">
        <f t="shared" si="180"/>
        <v>1</v>
      </c>
      <c r="AP384" s="9">
        <f t="shared" si="185"/>
        <v>1631</v>
      </c>
      <c r="AQ384" s="9">
        <f t="shared" si="181"/>
        <v>20510939.057600003</v>
      </c>
      <c r="AR384" s="33">
        <f t="shared" si="182"/>
        <v>16533729</v>
      </c>
      <c r="AS384" s="33">
        <f t="shared" si="183"/>
        <v>4188792</v>
      </c>
      <c r="AU384" s="28"/>
      <c r="AV384" s="9"/>
      <c r="AW384" s="519"/>
    </row>
    <row r="385" spans="1:49">
      <c r="A385" s="6">
        <v>680</v>
      </c>
      <c r="B385" s="6" t="s">
        <v>1492</v>
      </c>
      <c r="C385" s="7">
        <v>1</v>
      </c>
      <c r="D385" s="9">
        <v>35889670.800000012</v>
      </c>
      <c r="E385" s="9">
        <v>23968793</v>
      </c>
      <c r="F385" s="9">
        <v>12342524</v>
      </c>
      <c r="G385" s="348"/>
      <c r="H385" s="111">
        <f t="shared" si="184"/>
        <v>12342524</v>
      </c>
      <c r="I385" s="9">
        <f t="shared" si="155"/>
        <v>36624239.559999995</v>
      </c>
      <c r="J385" s="33">
        <f t="shared" si="156"/>
        <v>24791314</v>
      </c>
      <c r="K385" s="9">
        <f t="shared" si="157"/>
        <v>11832926</v>
      </c>
      <c r="L385" s="112">
        <f t="shared" si="158"/>
        <v>0</v>
      </c>
      <c r="M385" s="458">
        <f t="shared" si="186"/>
        <v>30.55</v>
      </c>
      <c r="N385" s="9">
        <v>2791.9999999999995</v>
      </c>
      <c r="O385" s="9">
        <f t="shared" si="159"/>
        <v>2764</v>
      </c>
      <c r="P385" s="9">
        <f t="shared" si="160"/>
        <v>0</v>
      </c>
      <c r="Q385" s="28">
        <f t="shared" si="161"/>
        <v>287456</v>
      </c>
      <c r="R385" s="382">
        <f t="shared" si="162"/>
        <v>287456</v>
      </c>
      <c r="S385" s="28">
        <v>12342524</v>
      </c>
      <c r="T385" s="33">
        <f t="shared" si="163"/>
        <v>12425444</v>
      </c>
      <c r="U385" s="9">
        <f t="shared" si="164"/>
        <v>0</v>
      </c>
      <c r="V385" s="33">
        <f t="shared" si="165"/>
        <v>12629980</v>
      </c>
      <c r="W385" s="33">
        <f t="shared" si="166"/>
        <v>0</v>
      </c>
      <c r="X385" s="33">
        <v>0</v>
      </c>
      <c r="Y385" s="113">
        <f t="shared" si="167"/>
        <v>12629980</v>
      </c>
      <c r="Z385" s="155">
        <f t="shared" si="168"/>
        <v>34.485303044473646</v>
      </c>
      <c r="AA385" s="33">
        <f t="shared" si="169"/>
        <v>37421294</v>
      </c>
      <c r="AB385" s="114">
        <f t="shared" si="170"/>
        <v>102.1763030429457</v>
      </c>
      <c r="AC385" s="28">
        <f t="shared" si="171"/>
        <v>734568.75999998301</v>
      </c>
      <c r="AD385" s="28">
        <f t="shared" si="172"/>
        <v>287456</v>
      </c>
      <c r="AE385" s="28">
        <f t="shared" si="173"/>
        <v>1441274.8144200016</v>
      </c>
      <c r="AF385" s="115">
        <f t="shared" si="174"/>
        <v>3.9353030444736454</v>
      </c>
      <c r="AG385" s="28">
        <f t="shared" si="175"/>
        <v>13250.45</v>
      </c>
      <c r="AI385" s="28">
        <f t="shared" si="176"/>
        <v>0</v>
      </c>
      <c r="AJ385" s="28"/>
      <c r="AK385" s="28">
        <f t="shared" si="177"/>
        <v>104</v>
      </c>
      <c r="AL385" s="156"/>
      <c r="AM385" s="6">
        <f t="shared" si="178"/>
        <v>680</v>
      </c>
      <c r="AN385" s="6" t="str">
        <f t="shared" si="179"/>
        <v xml:space="preserve">Hampden Wilbraham            </v>
      </c>
      <c r="AO385" s="6">
        <f t="shared" si="180"/>
        <v>1</v>
      </c>
      <c r="AP385" s="9">
        <f t="shared" si="185"/>
        <v>2764</v>
      </c>
      <c r="AQ385" s="9">
        <f t="shared" si="181"/>
        <v>36624239.559999995</v>
      </c>
      <c r="AR385" s="33">
        <f t="shared" si="182"/>
        <v>24791314</v>
      </c>
      <c r="AS385" s="33">
        <f t="shared" si="183"/>
        <v>12629980</v>
      </c>
      <c r="AU385" s="28"/>
      <c r="AV385" s="9"/>
      <c r="AW385" s="519"/>
    </row>
    <row r="386" spans="1:49">
      <c r="A386" s="6">
        <v>683</v>
      </c>
      <c r="B386" s="6" t="s">
        <v>1493</v>
      </c>
      <c r="C386" s="7">
        <v>1</v>
      </c>
      <c r="D386" s="9">
        <v>7679400.380076794</v>
      </c>
      <c r="E386" s="9">
        <v>5295241</v>
      </c>
      <c r="F386" s="9">
        <v>3361953.000000712</v>
      </c>
      <c r="G386" s="348"/>
      <c r="H386" s="111">
        <f t="shared" si="184"/>
        <v>3361953.000000712</v>
      </c>
      <c r="I386" s="9">
        <f t="shared" si="155"/>
        <v>7980532.2599999988</v>
      </c>
      <c r="J386" s="33">
        <f t="shared" si="156"/>
        <v>5799556</v>
      </c>
      <c r="K386" s="9">
        <f t="shared" si="157"/>
        <v>2180976</v>
      </c>
      <c r="L386" s="112">
        <f t="shared" si="158"/>
        <v>0</v>
      </c>
      <c r="M386" s="458">
        <f t="shared" si="186"/>
        <v>20.89</v>
      </c>
      <c r="N386" s="9">
        <v>580.00000000579996</v>
      </c>
      <c r="O386" s="9">
        <f t="shared" si="159"/>
        <v>591</v>
      </c>
      <c r="P386" s="9">
        <f t="shared" si="160"/>
        <v>0</v>
      </c>
      <c r="Q386" s="28">
        <f t="shared" si="161"/>
        <v>61464</v>
      </c>
      <c r="R386" s="382">
        <f t="shared" si="162"/>
        <v>61464</v>
      </c>
      <c r="S386" s="28">
        <v>3361953.000000712</v>
      </c>
      <c r="T386" s="33">
        <f t="shared" si="163"/>
        <v>3379683.000000712</v>
      </c>
      <c r="U386" s="9">
        <f t="shared" si="164"/>
        <v>0</v>
      </c>
      <c r="V386" s="33">
        <f t="shared" si="165"/>
        <v>3423417.000000712</v>
      </c>
      <c r="W386" s="33">
        <f t="shared" si="166"/>
        <v>0</v>
      </c>
      <c r="X386" s="33">
        <v>0</v>
      </c>
      <c r="Y386" s="113">
        <f t="shared" si="167"/>
        <v>3423417.000000712</v>
      </c>
      <c r="Z386" s="155">
        <f t="shared" si="168"/>
        <v>42.897101201627272</v>
      </c>
      <c r="AA386" s="33">
        <f t="shared" si="169"/>
        <v>9222973.0000007115</v>
      </c>
      <c r="AB386" s="114">
        <f t="shared" si="170"/>
        <v>115.56839443188609</v>
      </c>
      <c r="AC386" s="28">
        <f t="shared" si="171"/>
        <v>301131.87992320489</v>
      </c>
      <c r="AD386" s="28">
        <f t="shared" si="172"/>
        <v>61464</v>
      </c>
      <c r="AE386" s="28">
        <f t="shared" si="173"/>
        <v>1756283.8108867123</v>
      </c>
      <c r="AF386" s="115">
        <f t="shared" si="174"/>
        <v>22.007101201627272</v>
      </c>
      <c r="AG386" s="28">
        <f t="shared" si="175"/>
        <v>13503.44</v>
      </c>
      <c r="AI386" s="28">
        <f t="shared" si="176"/>
        <v>0</v>
      </c>
      <c r="AJ386" s="28"/>
      <c r="AK386" s="28">
        <f t="shared" si="177"/>
        <v>104</v>
      </c>
      <c r="AL386" s="156"/>
      <c r="AM386" s="6">
        <f t="shared" si="178"/>
        <v>683</v>
      </c>
      <c r="AN386" s="6" t="str">
        <f t="shared" si="179"/>
        <v xml:space="preserve">Hampshire                    </v>
      </c>
      <c r="AO386" s="6">
        <f t="shared" si="180"/>
        <v>1</v>
      </c>
      <c r="AP386" s="9">
        <f t="shared" si="185"/>
        <v>591</v>
      </c>
      <c r="AQ386" s="9">
        <f t="shared" si="181"/>
        <v>7980532.2599999988</v>
      </c>
      <c r="AR386" s="33">
        <f t="shared" si="182"/>
        <v>5799556</v>
      </c>
      <c r="AS386" s="33">
        <f t="shared" si="183"/>
        <v>3423417.000000712</v>
      </c>
      <c r="AU386" s="28"/>
      <c r="AV386" s="9"/>
      <c r="AW386" s="519"/>
    </row>
    <row r="387" spans="1:49">
      <c r="A387" s="6">
        <v>685</v>
      </c>
      <c r="B387" s="6" t="s">
        <v>1494</v>
      </c>
      <c r="C387" s="7">
        <v>1</v>
      </c>
      <c r="D387" s="9">
        <v>1359496.83</v>
      </c>
      <c r="E387" s="9">
        <v>747723</v>
      </c>
      <c r="F387" s="9">
        <v>648796</v>
      </c>
      <c r="G387" s="348"/>
      <c r="H387" s="111">
        <f t="shared" si="184"/>
        <v>648796</v>
      </c>
      <c r="I387" s="9">
        <f t="shared" si="155"/>
        <v>1168904.8600000001</v>
      </c>
      <c r="J387" s="33">
        <f t="shared" si="156"/>
        <v>694848</v>
      </c>
      <c r="K387" s="9">
        <f t="shared" si="157"/>
        <v>474057</v>
      </c>
      <c r="L387" s="112">
        <f t="shared" si="158"/>
        <v>0</v>
      </c>
      <c r="M387" s="458">
        <f t="shared" si="186"/>
        <v>37.450000000000003</v>
      </c>
      <c r="N387" s="9">
        <v>92</v>
      </c>
      <c r="O387" s="9">
        <f t="shared" si="159"/>
        <v>81</v>
      </c>
      <c r="P387" s="9">
        <f t="shared" si="160"/>
        <v>0</v>
      </c>
      <c r="Q387" s="28">
        <f t="shared" si="161"/>
        <v>8424</v>
      </c>
      <c r="R387" s="382">
        <f t="shared" si="162"/>
        <v>8424</v>
      </c>
      <c r="S387" s="28">
        <v>648796</v>
      </c>
      <c r="T387" s="33">
        <f t="shared" si="163"/>
        <v>651226</v>
      </c>
      <c r="U387" s="9">
        <f t="shared" si="164"/>
        <v>0</v>
      </c>
      <c r="V387" s="33">
        <f t="shared" si="165"/>
        <v>657220</v>
      </c>
      <c r="W387" s="33">
        <f t="shared" si="166"/>
        <v>0</v>
      </c>
      <c r="X387" s="33">
        <v>0</v>
      </c>
      <c r="Y387" s="113">
        <f t="shared" si="167"/>
        <v>657220</v>
      </c>
      <c r="Z387" s="155">
        <f t="shared" si="168"/>
        <v>56.225277393405648</v>
      </c>
      <c r="AA387" s="33">
        <f t="shared" si="169"/>
        <v>1352068</v>
      </c>
      <c r="AB387" s="114">
        <f t="shared" si="170"/>
        <v>115.66963627818264</v>
      </c>
      <c r="AC387" s="28">
        <f t="shared" si="171"/>
        <v>-190591.96999999997</v>
      </c>
      <c r="AD387" s="28">
        <f t="shared" si="172"/>
        <v>8424</v>
      </c>
      <c r="AE387" s="28">
        <f t="shared" si="173"/>
        <v>219465.12992999988</v>
      </c>
      <c r="AF387" s="115">
        <f t="shared" si="174"/>
        <v>18.775277393405645</v>
      </c>
      <c r="AG387" s="28">
        <f t="shared" si="175"/>
        <v>14430.92</v>
      </c>
      <c r="AI387" s="28">
        <f t="shared" si="176"/>
        <v>0</v>
      </c>
      <c r="AJ387" s="28"/>
      <c r="AK387" s="28">
        <f t="shared" si="177"/>
        <v>104</v>
      </c>
      <c r="AL387" s="156"/>
      <c r="AM387" s="6">
        <f t="shared" si="178"/>
        <v>685</v>
      </c>
      <c r="AN387" s="6" t="str">
        <f t="shared" si="179"/>
        <v xml:space="preserve">Hawlemont                    </v>
      </c>
      <c r="AO387" s="6">
        <f t="shared" si="180"/>
        <v>1</v>
      </c>
      <c r="AP387" s="9">
        <f t="shared" si="185"/>
        <v>81</v>
      </c>
      <c r="AQ387" s="9">
        <f t="shared" si="181"/>
        <v>1168904.8600000001</v>
      </c>
      <c r="AR387" s="33">
        <f t="shared" si="182"/>
        <v>694848</v>
      </c>
      <c r="AS387" s="33">
        <f t="shared" si="183"/>
        <v>657220</v>
      </c>
      <c r="AU387" s="28"/>
      <c r="AV387" s="9"/>
      <c r="AW387" s="519"/>
    </row>
    <row r="388" spans="1:49">
      <c r="A388" s="6">
        <v>690</v>
      </c>
      <c r="B388" s="6" t="s">
        <v>1495</v>
      </c>
      <c r="C388" s="7">
        <v>1</v>
      </c>
      <c r="D388" s="9">
        <v>24882496.668651178</v>
      </c>
      <c r="E388" s="9">
        <v>19073760</v>
      </c>
      <c r="F388" s="9">
        <v>7885179.9999976857</v>
      </c>
      <c r="G388" s="348"/>
      <c r="H388" s="111">
        <f t="shared" si="184"/>
        <v>7885179.9999976857</v>
      </c>
      <c r="I388" s="9">
        <f t="shared" si="155"/>
        <v>26298806.635959998</v>
      </c>
      <c r="J388" s="33">
        <f t="shared" si="156"/>
        <v>20432925</v>
      </c>
      <c r="K388" s="9">
        <f t="shared" si="157"/>
        <v>5865882</v>
      </c>
      <c r="L388" s="112">
        <f t="shared" si="158"/>
        <v>0</v>
      </c>
      <c r="M388" s="458">
        <f t="shared" si="186"/>
        <v>17.84</v>
      </c>
      <c r="N388" s="9">
        <v>1896.99999998103</v>
      </c>
      <c r="O388" s="9">
        <f t="shared" si="159"/>
        <v>1962</v>
      </c>
      <c r="P388" s="9">
        <f t="shared" si="160"/>
        <v>0</v>
      </c>
      <c r="Q388" s="28">
        <f t="shared" si="161"/>
        <v>204048</v>
      </c>
      <c r="R388" s="382">
        <f t="shared" si="162"/>
        <v>204048</v>
      </c>
      <c r="S388" s="28">
        <v>7885179.9999976857</v>
      </c>
      <c r="T388" s="33">
        <f t="shared" si="163"/>
        <v>7944039.9999976857</v>
      </c>
      <c r="U388" s="9">
        <f t="shared" si="164"/>
        <v>0</v>
      </c>
      <c r="V388" s="33">
        <f t="shared" si="165"/>
        <v>8089227.9999976857</v>
      </c>
      <c r="W388" s="33">
        <f t="shared" si="166"/>
        <v>0</v>
      </c>
      <c r="X388" s="33">
        <v>0</v>
      </c>
      <c r="Y388" s="113">
        <f t="shared" si="167"/>
        <v>8089227.9999976857</v>
      </c>
      <c r="Z388" s="155">
        <f t="shared" si="168"/>
        <v>30.758916600180559</v>
      </c>
      <c r="AA388" s="33">
        <f t="shared" si="169"/>
        <v>28522152.999997687</v>
      </c>
      <c r="AB388" s="114">
        <f t="shared" si="170"/>
        <v>108.45417206496955</v>
      </c>
      <c r="AC388" s="28">
        <f t="shared" si="171"/>
        <v>1416309.9673088193</v>
      </c>
      <c r="AD388" s="28">
        <f t="shared" si="172"/>
        <v>204048</v>
      </c>
      <c r="AE388" s="28">
        <f t="shared" si="173"/>
        <v>3397520.8961424222</v>
      </c>
      <c r="AF388" s="115">
        <f t="shared" si="174"/>
        <v>12.918916600180559</v>
      </c>
      <c r="AG388" s="28">
        <f t="shared" si="175"/>
        <v>13404.08</v>
      </c>
      <c r="AI388" s="28">
        <f t="shared" si="176"/>
        <v>0</v>
      </c>
      <c r="AJ388" s="28"/>
      <c r="AK388" s="28">
        <f t="shared" si="177"/>
        <v>104</v>
      </c>
      <c r="AL388" s="156"/>
      <c r="AM388" s="6">
        <f t="shared" si="178"/>
        <v>690</v>
      </c>
      <c r="AN388" s="6" t="str">
        <f t="shared" si="179"/>
        <v xml:space="preserve">King Philip                  </v>
      </c>
      <c r="AO388" s="6">
        <f t="shared" si="180"/>
        <v>1</v>
      </c>
      <c r="AP388" s="9">
        <f t="shared" si="185"/>
        <v>1962</v>
      </c>
      <c r="AQ388" s="9">
        <f t="shared" si="181"/>
        <v>26298806.635959998</v>
      </c>
      <c r="AR388" s="33">
        <f t="shared" si="182"/>
        <v>20432925</v>
      </c>
      <c r="AS388" s="33">
        <f t="shared" si="183"/>
        <v>8089227.9999976857</v>
      </c>
      <c r="AU388" s="28"/>
      <c r="AV388" s="9"/>
      <c r="AW388" s="519"/>
    </row>
    <row r="389" spans="1:49">
      <c r="A389" s="6">
        <v>695</v>
      </c>
      <c r="B389" s="6" t="s">
        <v>1496</v>
      </c>
      <c r="C389" s="7">
        <v>1</v>
      </c>
      <c r="D389" s="9">
        <v>20042623.919999998</v>
      </c>
      <c r="E389" s="9">
        <v>16199749</v>
      </c>
      <c r="F389" s="9">
        <v>3842875</v>
      </c>
      <c r="G389" s="348"/>
      <c r="H389" s="111">
        <f t="shared" si="184"/>
        <v>3842875</v>
      </c>
      <c r="I389" s="9">
        <f t="shared" si="155"/>
        <v>20426551.245900005</v>
      </c>
      <c r="J389" s="33">
        <f t="shared" si="156"/>
        <v>16585404</v>
      </c>
      <c r="K389" s="9">
        <f t="shared" si="157"/>
        <v>3841147</v>
      </c>
      <c r="L389" s="112">
        <f t="shared" si="158"/>
        <v>0</v>
      </c>
      <c r="M389" s="458">
        <f t="shared" si="186"/>
        <v>17.5</v>
      </c>
      <c r="N389" s="9">
        <v>1536</v>
      </c>
      <c r="O389" s="9">
        <f t="shared" si="159"/>
        <v>1523.0000000000002</v>
      </c>
      <c r="P389" s="9">
        <f t="shared" si="160"/>
        <v>0</v>
      </c>
      <c r="Q389" s="28">
        <f t="shared" si="161"/>
        <v>158392.00000000003</v>
      </c>
      <c r="R389" s="382">
        <f t="shared" si="162"/>
        <v>158392.00000000003</v>
      </c>
      <c r="S389" s="28">
        <v>3842875</v>
      </c>
      <c r="T389" s="33">
        <f t="shared" si="163"/>
        <v>3888565</v>
      </c>
      <c r="U389" s="9">
        <f t="shared" si="164"/>
        <v>0</v>
      </c>
      <c r="V389" s="33">
        <f t="shared" si="165"/>
        <v>4001267</v>
      </c>
      <c r="W389" s="33">
        <f t="shared" si="166"/>
        <v>0</v>
      </c>
      <c r="X389" s="33">
        <v>0</v>
      </c>
      <c r="Y389" s="113">
        <f t="shared" si="167"/>
        <v>4001267</v>
      </c>
      <c r="Z389" s="155">
        <f t="shared" si="168"/>
        <v>19.588558792092375</v>
      </c>
      <c r="AA389" s="33">
        <f t="shared" si="169"/>
        <v>20586671</v>
      </c>
      <c r="AB389" s="114">
        <f t="shared" si="170"/>
        <v>100.7838805100892</v>
      </c>
      <c r="AC389" s="28">
        <f t="shared" si="171"/>
        <v>383927.32590000704</v>
      </c>
      <c r="AD389" s="28">
        <f t="shared" si="172"/>
        <v>158392</v>
      </c>
      <c r="AE389" s="28">
        <f t="shared" si="173"/>
        <v>426620.53196749929</v>
      </c>
      <c r="AF389" s="115">
        <f t="shared" si="174"/>
        <v>2.0885587920923747</v>
      </c>
      <c r="AG389" s="28">
        <f t="shared" si="175"/>
        <v>13412.05</v>
      </c>
      <c r="AI389" s="28">
        <f t="shared" si="176"/>
        <v>0</v>
      </c>
      <c r="AJ389" s="28"/>
      <c r="AK389" s="28">
        <f t="shared" si="177"/>
        <v>103.99999999999999</v>
      </c>
      <c r="AL389" s="156"/>
      <c r="AM389" s="6">
        <f t="shared" si="178"/>
        <v>695</v>
      </c>
      <c r="AN389" s="6" t="str">
        <f t="shared" si="179"/>
        <v xml:space="preserve">Lincoln Sudbury              </v>
      </c>
      <c r="AO389" s="6">
        <f t="shared" si="180"/>
        <v>1</v>
      </c>
      <c r="AP389" s="9">
        <f t="shared" si="185"/>
        <v>1523.0000000000002</v>
      </c>
      <c r="AQ389" s="9">
        <f t="shared" si="181"/>
        <v>20426551.245900005</v>
      </c>
      <c r="AR389" s="33">
        <f t="shared" si="182"/>
        <v>16585404</v>
      </c>
      <c r="AS389" s="33">
        <f t="shared" si="183"/>
        <v>4001267</v>
      </c>
      <c r="AU389" s="28"/>
      <c r="AV389" s="9"/>
      <c r="AW389" s="519"/>
    </row>
    <row r="390" spans="1:49">
      <c r="A390" s="6">
        <v>698</v>
      </c>
      <c r="B390" s="6" t="s">
        <v>1064</v>
      </c>
      <c r="C390" s="7">
        <v>1</v>
      </c>
      <c r="D390" s="9">
        <v>14995281.195770001</v>
      </c>
      <c r="E390" s="9">
        <v>11980929</v>
      </c>
      <c r="F390" s="9">
        <v>3230738</v>
      </c>
      <c r="G390" s="348"/>
      <c r="H390" s="111">
        <f t="shared" si="184"/>
        <v>3230738</v>
      </c>
      <c r="I390" s="9">
        <f t="shared" si="155"/>
        <v>14742042.944370005</v>
      </c>
      <c r="J390" s="33">
        <f t="shared" si="156"/>
        <v>12025689</v>
      </c>
      <c r="K390" s="9">
        <f t="shared" si="157"/>
        <v>2716354</v>
      </c>
      <c r="L390" s="112">
        <f t="shared" si="158"/>
        <v>0</v>
      </c>
      <c r="M390" s="458">
        <f t="shared" si="186"/>
        <v>17.5</v>
      </c>
      <c r="N390" s="9">
        <v>1174</v>
      </c>
      <c r="O390" s="9">
        <f t="shared" si="159"/>
        <v>1132</v>
      </c>
      <c r="P390" s="9">
        <f t="shared" si="160"/>
        <v>0</v>
      </c>
      <c r="Q390" s="28">
        <f t="shared" si="161"/>
        <v>117728</v>
      </c>
      <c r="R390" s="382">
        <f t="shared" si="162"/>
        <v>117728</v>
      </c>
      <c r="S390" s="28">
        <v>3230738</v>
      </c>
      <c r="T390" s="33">
        <f t="shared" si="163"/>
        <v>3264698</v>
      </c>
      <c r="U390" s="9">
        <f t="shared" si="164"/>
        <v>0</v>
      </c>
      <c r="V390" s="33">
        <f t="shared" si="165"/>
        <v>3348466</v>
      </c>
      <c r="W390" s="33">
        <f t="shared" si="166"/>
        <v>0</v>
      </c>
      <c r="X390" s="33">
        <v>0</v>
      </c>
      <c r="Y390" s="113">
        <f t="shared" si="167"/>
        <v>3348466</v>
      </c>
      <c r="Z390" s="155">
        <f t="shared" si="168"/>
        <v>22.713717580634107</v>
      </c>
      <c r="AA390" s="33">
        <f t="shared" si="169"/>
        <v>15374155</v>
      </c>
      <c r="AB390" s="114">
        <f t="shared" si="170"/>
        <v>104.2878185745036</v>
      </c>
      <c r="AC390" s="28">
        <f t="shared" si="171"/>
        <v>-253238.25139999576</v>
      </c>
      <c r="AD390" s="28">
        <f t="shared" si="172"/>
        <v>117728</v>
      </c>
      <c r="AE390" s="28">
        <f t="shared" si="173"/>
        <v>768608.48473524908</v>
      </c>
      <c r="AF390" s="115">
        <f t="shared" si="174"/>
        <v>5.213717580634107</v>
      </c>
      <c r="AG390" s="28">
        <f t="shared" si="175"/>
        <v>13023.01</v>
      </c>
      <c r="AI390" s="28">
        <f t="shared" si="176"/>
        <v>0</v>
      </c>
      <c r="AJ390" s="28"/>
      <c r="AK390" s="28">
        <f t="shared" si="177"/>
        <v>104</v>
      </c>
      <c r="AL390" s="156"/>
      <c r="AM390" s="6">
        <f t="shared" si="178"/>
        <v>698</v>
      </c>
      <c r="AN390" s="6" t="str">
        <f t="shared" si="179"/>
        <v>Manchester Essex</v>
      </c>
      <c r="AO390" s="6">
        <f t="shared" si="180"/>
        <v>1</v>
      </c>
      <c r="AP390" s="9">
        <f t="shared" si="185"/>
        <v>1132</v>
      </c>
      <c r="AQ390" s="9">
        <f t="shared" si="181"/>
        <v>14742042.944370005</v>
      </c>
      <c r="AR390" s="33">
        <f t="shared" si="182"/>
        <v>12025689</v>
      </c>
      <c r="AS390" s="33">
        <f t="shared" si="183"/>
        <v>3348466</v>
      </c>
      <c r="AU390" s="28"/>
      <c r="AV390" s="9"/>
      <c r="AW390" s="519"/>
    </row>
    <row r="391" spans="1:49">
      <c r="A391" s="6">
        <v>700</v>
      </c>
      <c r="B391" s="6" t="s">
        <v>1497</v>
      </c>
      <c r="C391" s="7">
        <v>1</v>
      </c>
      <c r="D391" s="9">
        <v>14493699.970000001</v>
      </c>
      <c r="E391" s="9">
        <v>10945434</v>
      </c>
      <c r="F391" s="9">
        <v>3548266</v>
      </c>
      <c r="G391" s="348"/>
      <c r="H391" s="111">
        <f t="shared" si="184"/>
        <v>3548266</v>
      </c>
      <c r="I391" s="9">
        <f t="shared" si="155"/>
        <v>14025834.07</v>
      </c>
      <c r="J391" s="33">
        <f t="shared" si="156"/>
        <v>11571313</v>
      </c>
      <c r="K391" s="9">
        <f t="shared" si="157"/>
        <v>2454521</v>
      </c>
      <c r="L391" s="112">
        <f t="shared" si="158"/>
        <v>0</v>
      </c>
      <c r="M391" s="458">
        <f t="shared" ref="M391:M422" si="187">ROUND(100-SUMIF(fraclea,A391,memeffpct),2)</f>
        <v>17.5</v>
      </c>
      <c r="N391" s="9">
        <v>808</v>
      </c>
      <c r="O391" s="9">
        <f t="shared" si="159"/>
        <v>792.99999999999989</v>
      </c>
      <c r="P391" s="9">
        <f t="shared" si="160"/>
        <v>0</v>
      </c>
      <c r="Q391" s="28">
        <f t="shared" si="161"/>
        <v>82471.999999999985</v>
      </c>
      <c r="R391" s="382">
        <f t="shared" si="162"/>
        <v>82471.999999999985</v>
      </c>
      <c r="S391" s="28">
        <v>3548266</v>
      </c>
      <c r="T391" s="33">
        <f t="shared" si="163"/>
        <v>3572056</v>
      </c>
      <c r="U391" s="9">
        <f t="shared" si="164"/>
        <v>0</v>
      </c>
      <c r="V391" s="33">
        <f t="shared" si="165"/>
        <v>3630738</v>
      </c>
      <c r="W391" s="33">
        <f t="shared" si="166"/>
        <v>0</v>
      </c>
      <c r="X391" s="33">
        <v>0</v>
      </c>
      <c r="Y391" s="113">
        <f t="shared" si="167"/>
        <v>3630738</v>
      </c>
      <c r="Z391" s="155">
        <f t="shared" si="168"/>
        <v>25.886075522352158</v>
      </c>
      <c r="AA391" s="33">
        <f t="shared" si="169"/>
        <v>15202051</v>
      </c>
      <c r="AB391" s="114">
        <f t="shared" si="170"/>
        <v>108.38607475412689</v>
      </c>
      <c r="AC391" s="28">
        <f t="shared" si="171"/>
        <v>-467865.90000000037</v>
      </c>
      <c r="AD391" s="28">
        <f t="shared" si="172"/>
        <v>82472</v>
      </c>
      <c r="AE391" s="28">
        <f t="shared" si="173"/>
        <v>1176217.0377500001</v>
      </c>
      <c r="AF391" s="115">
        <f t="shared" si="174"/>
        <v>8.3860755223521579</v>
      </c>
      <c r="AG391" s="28">
        <f t="shared" si="175"/>
        <v>17687.05</v>
      </c>
      <c r="AI391" s="28">
        <f t="shared" si="176"/>
        <v>0</v>
      </c>
      <c r="AJ391" s="28"/>
      <c r="AK391" s="28">
        <f t="shared" si="177"/>
        <v>104.00000000000001</v>
      </c>
      <c r="AL391" s="156"/>
      <c r="AM391" s="6">
        <f t="shared" si="178"/>
        <v>700</v>
      </c>
      <c r="AN391" s="6" t="str">
        <f t="shared" si="179"/>
        <v xml:space="preserve">Marthas Vineyard             </v>
      </c>
      <c r="AO391" s="6">
        <f t="shared" si="180"/>
        <v>1</v>
      </c>
      <c r="AP391" s="9">
        <f t="shared" si="185"/>
        <v>792.99999999999989</v>
      </c>
      <c r="AQ391" s="9">
        <f t="shared" si="181"/>
        <v>14025834.07</v>
      </c>
      <c r="AR391" s="33">
        <f t="shared" si="182"/>
        <v>11571313</v>
      </c>
      <c r="AS391" s="33">
        <f t="shared" si="183"/>
        <v>3630738</v>
      </c>
      <c r="AU391" s="28"/>
      <c r="AV391" s="9"/>
      <c r="AW391" s="519"/>
    </row>
    <row r="392" spans="1:49">
      <c r="A392" s="6">
        <v>705</v>
      </c>
      <c r="B392" s="6" t="s">
        <v>1498</v>
      </c>
      <c r="C392" s="7">
        <v>1</v>
      </c>
      <c r="D392" s="9">
        <v>20800201.785499997</v>
      </c>
      <c r="E392" s="9">
        <v>16501157</v>
      </c>
      <c r="F392" s="9">
        <v>5451699</v>
      </c>
      <c r="G392" s="348"/>
      <c r="H392" s="111">
        <f t="shared" si="184"/>
        <v>5451699</v>
      </c>
      <c r="I392" s="9">
        <f t="shared" ref="I392:I445" si="188">SUMIF(dist1755,A392,found1755)</f>
        <v>21025301.581389997</v>
      </c>
      <c r="J392" s="33">
        <f t="shared" ref="J392:J445" si="189">SUMIF(dist1755,A392,prelcont1755)</f>
        <v>16808710</v>
      </c>
      <c r="K392" s="9">
        <f t="shared" ref="K392:K445" si="190">ROUND(MAX(found-prelcont436,0),0)</f>
        <v>4216592</v>
      </c>
      <c r="L392" s="112">
        <f t="shared" ref="L392:L445" si="191">IF(foundaid&gt;priorc70,foundaid-priorc70,0)</f>
        <v>0</v>
      </c>
      <c r="M392" s="458">
        <f t="shared" si="187"/>
        <v>17.5</v>
      </c>
      <c r="N392" s="9">
        <v>1613</v>
      </c>
      <c r="O392" s="9">
        <f t="shared" ref="O392:O445" si="192">SUMIF(dist1755,A392,enro1755)</f>
        <v>1576</v>
      </c>
      <c r="P392" s="9">
        <f t="shared" ref="P392:P445" si="193">IF(AND(C392=1,L392&gt;0),1,0)</f>
        <v>0</v>
      </c>
      <c r="Q392" s="28">
        <f t="shared" ref="Q392:Q445" si="194">IF(nonop=1,enro*$Q$6,0)</f>
        <v>163904</v>
      </c>
      <c r="R392" s="382">
        <f t="shared" ref="R392:R445" si="195">IF((foundinc)&lt;Q392,Q392-(foundinc),0)</f>
        <v>163904</v>
      </c>
      <c r="S392" s="28">
        <v>5451699</v>
      </c>
      <c r="T392" s="33">
        <f t="shared" ref="T392:T445" si="196">S392+30*enro</f>
        <v>5498979</v>
      </c>
      <c r="U392" s="9">
        <f t="shared" ref="U392:U445" si="197">IF(AND(T392-priorc70-foundinc-minaid&gt;0,nonop=1), T392-priorc70-foundinc-minaid,0)</f>
        <v>0</v>
      </c>
      <c r="V392" s="33">
        <f t="shared" ref="V392:V446" si="198">priorc70+ foundinc+minaidadjincrement+minaid</f>
        <v>5615603</v>
      </c>
      <c r="W392" s="33">
        <f t="shared" ref="W392:W445" si="199">IF(AND(C392=0,V392&gt;found),V392-found,0)</f>
        <v>0</v>
      </c>
      <c r="X392" s="33">
        <v>0</v>
      </c>
      <c r="Y392" s="113">
        <f t="shared" ref="Y392:Y445" si="200">priorc70+foundinc+minaidadjincrement+minaid-rednonop+holdharmlessaid</f>
        <v>5615603</v>
      </c>
      <c r="Z392" s="155">
        <f t="shared" ref="Z392:Z445" si="201">IF(C392=1, Y392/I392*100, 0)</f>
        <v>26.708786926369253</v>
      </c>
      <c r="AA392" s="33">
        <f t="shared" ref="AA392:AA445" si="202">prelcont436+chapter70</f>
        <v>22424313</v>
      </c>
      <c r="AB392" s="114">
        <f t="shared" ref="AB392:AB446" si="203">IF(found&gt;0,AA392*100/found,0)</f>
        <v>106.65394221906573</v>
      </c>
      <c r="AC392" s="28">
        <f t="shared" ref="AC392:AC445" si="204">I392-D392</f>
        <v>225099.79588999972</v>
      </c>
      <c r="AD392" s="28">
        <f t="shared" ref="AD392:AD446" si="205">Y392-F392</f>
        <v>163904</v>
      </c>
      <c r="AE392" s="28">
        <f t="shared" ref="AE392:AE445" si="206">Y392-((M392/100)*I392)</f>
        <v>1936175.223256751</v>
      </c>
      <c r="AF392" s="115">
        <f t="shared" ref="AF392:AF445" si="207">IF(C392=1, (Y392/I392*100)-M392, "")</f>
        <v>9.2087869263692532</v>
      </c>
      <c r="AG392" s="28">
        <f t="shared" ref="AG392:AG445" si="208">IFERROR(ROUND(I392/O392, 2), 0)</f>
        <v>13340.93</v>
      </c>
      <c r="AI392" s="28">
        <f t="shared" ref="AI392:AI445" si="209">VLOOKUP(A392, disthist, 37, FALSE)*$H$6</f>
        <v>0</v>
      </c>
      <c r="AJ392" s="28"/>
      <c r="AK392" s="28">
        <f t="shared" ref="AK392:AK446" si="210">IFERROR(AD392/O392, 0)</f>
        <v>104</v>
      </c>
      <c r="AL392" s="156"/>
      <c r="AM392" s="6">
        <f t="shared" ref="AM392:AM445" si="211">A392</f>
        <v>705</v>
      </c>
      <c r="AN392" s="6" t="str">
        <f t="shared" ref="AN392:AN445" si="212">B392</f>
        <v xml:space="preserve">Masconomet                   </v>
      </c>
      <c r="AO392" s="6">
        <f t="shared" ref="AO392:AO445" si="213">C392</f>
        <v>1</v>
      </c>
      <c r="AP392" s="9">
        <f t="shared" si="185"/>
        <v>1576</v>
      </c>
      <c r="AQ392" s="9">
        <f t="shared" ref="AQ392:AQ446" si="214">I392</f>
        <v>21025301.581389997</v>
      </c>
      <c r="AR392" s="33">
        <f t="shared" ref="AR392:AR446" si="215">J392</f>
        <v>16808710</v>
      </c>
      <c r="AS392" s="33">
        <f t="shared" ref="AS392:AS446" si="216">Y392</f>
        <v>5615603</v>
      </c>
      <c r="AU392" s="28"/>
      <c r="AV392" s="9"/>
      <c r="AW392" s="519"/>
    </row>
    <row r="393" spans="1:49">
      <c r="A393" s="6">
        <v>710</v>
      </c>
      <c r="B393" s="6" t="s">
        <v>1499</v>
      </c>
      <c r="C393" s="7">
        <v>1</v>
      </c>
      <c r="D393" s="9">
        <v>24957462.550000001</v>
      </c>
      <c r="E393" s="9">
        <v>18856411</v>
      </c>
      <c r="F393" s="9">
        <v>12758086</v>
      </c>
      <c r="G393" s="348"/>
      <c r="H393" s="111">
        <f t="shared" ref="H393:H445" si="217">F393</f>
        <v>12758086</v>
      </c>
      <c r="I393" s="9">
        <f t="shared" si="188"/>
        <v>25098754.039999999</v>
      </c>
      <c r="J393" s="33">
        <f t="shared" si="189"/>
        <v>19792146</v>
      </c>
      <c r="K393" s="9">
        <f t="shared" si="190"/>
        <v>5306608</v>
      </c>
      <c r="L393" s="112">
        <f t="shared" si="191"/>
        <v>0</v>
      </c>
      <c r="M393" s="458">
        <f t="shared" si="187"/>
        <v>17.5</v>
      </c>
      <c r="N393" s="9">
        <v>2025</v>
      </c>
      <c r="O393" s="9">
        <f t="shared" si="192"/>
        <v>1977</v>
      </c>
      <c r="P393" s="9">
        <f t="shared" si="193"/>
        <v>0</v>
      </c>
      <c r="Q393" s="28">
        <f t="shared" si="194"/>
        <v>205608</v>
      </c>
      <c r="R393" s="382">
        <f t="shared" si="195"/>
        <v>205608</v>
      </c>
      <c r="S393" s="28">
        <v>12758086</v>
      </c>
      <c r="T393" s="33">
        <f t="shared" si="196"/>
        <v>12817396</v>
      </c>
      <c r="U393" s="9">
        <f t="shared" si="197"/>
        <v>0</v>
      </c>
      <c r="V393" s="33">
        <f t="shared" si="198"/>
        <v>12963694</v>
      </c>
      <c r="W393" s="33">
        <f t="shared" si="199"/>
        <v>0</v>
      </c>
      <c r="X393" s="33">
        <v>0</v>
      </c>
      <c r="Y393" s="113">
        <f t="shared" si="200"/>
        <v>12963694</v>
      </c>
      <c r="Z393" s="155">
        <f t="shared" si="201"/>
        <v>51.650747201792178</v>
      </c>
      <c r="AA393" s="33">
        <f t="shared" si="202"/>
        <v>32755840</v>
      </c>
      <c r="AB393" s="114">
        <f t="shared" si="203"/>
        <v>130.50783296970386</v>
      </c>
      <c r="AC393" s="28">
        <f t="shared" si="204"/>
        <v>141291.48999999836</v>
      </c>
      <c r="AD393" s="28">
        <f t="shared" si="205"/>
        <v>205608</v>
      </c>
      <c r="AE393" s="28">
        <f t="shared" si="206"/>
        <v>8571412.0430000015</v>
      </c>
      <c r="AF393" s="115">
        <f t="shared" si="207"/>
        <v>34.150747201792178</v>
      </c>
      <c r="AG393" s="28">
        <f t="shared" si="208"/>
        <v>12695.37</v>
      </c>
      <c r="AI393" s="28">
        <f t="shared" si="209"/>
        <v>0</v>
      </c>
      <c r="AJ393" s="28"/>
      <c r="AK393" s="28">
        <f t="shared" si="210"/>
        <v>104</v>
      </c>
      <c r="AL393" s="156"/>
      <c r="AM393" s="6">
        <f t="shared" si="211"/>
        <v>710</v>
      </c>
      <c r="AN393" s="6" t="str">
        <f t="shared" si="212"/>
        <v xml:space="preserve">Mendon Upton                 </v>
      </c>
      <c r="AO393" s="6">
        <f t="shared" si="213"/>
        <v>1</v>
      </c>
      <c r="AP393" s="9">
        <f t="shared" ref="AP393:AP446" si="218">O393</f>
        <v>1977</v>
      </c>
      <c r="AQ393" s="9">
        <f t="shared" si="214"/>
        <v>25098754.039999999</v>
      </c>
      <c r="AR393" s="33">
        <f t="shared" si="215"/>
        <v>19792146</v>
      </c>
      <c r="AS393" s="33">
        <f t="shared" si="216"/>
        <v>12963694</v>
      </c>
      <c r="AU393" s="28"/>
      <c r="AV393" s="9"/>
      <c r="AW393" s="519"/>
    </row>
    <row r="394" spans="1:49">
      <c r="A394" s="6">
        <v>712</v>
      </c>
      <c r="B394" s="6" t="s">
        <v>1068</v>
      </c>
      <c r="C394" s="7">
        <v>1</v>
      </c>
      <c r="D394" s="9">
        <v>23706658.220000003</v>
      </c>
      <c r="E394" s="9">
        <v>19557993</v>
      </c>
      <c r="F394" s="9">
        <v>4215105</v>
      </c>
      <c r="G394" s="348"/>
      <c r="H394" s="111">
        <f t="shared" si="217"/>
        <v>4215105</v>
      </c>
      <c r="I394" s="9">
        <f t="shared" si="188"/>
        <v>24010799.069999997</v>
      </c>
      <c r="J394" s="33">
        <f t="shared" si="189"/>
        <v>19808909</v>
      </c>
      <c r="K394" s="9">
        <f t="shared" si="190"/>
        <v>4201890</v>
      </c>
      <c r="L394" s="112">
        <f t="shared" si="191"/>
        <v>0</v>
      </c>
      <c r="M394" s="458">
        <f t="shared" si="187"/>
        <v>17.5</v>
      </c>
      <c r="N394" s="9">
        <v>1654</v>
      </c>
      <c r="O394" s="9">
        <f t="shared" si="192"/>
        <v>1615</v>
      </c>
      <c r="P394" s="9">
        <f t="shared" si="193"/>
        <v>0</v>
      </c>
      <c r="Q394" s="28">
        <f t="shared" si="194"/>
        <v>167960</v>
      </c>
      <c r="R394" s="382">
        <f t="shared" si="195"/>
        <v>167960</v>
      </c>
      <c r="S394" s="28">
        <v>4215105</v>
      </c>
      <c r="T394" s="33">
        <f t="shared" si="196"/>
        <v>4263555</v>
      </c>
      <c r="U394" s="9">
        <f t="shared" si="197"/>
        <v>0</v>
      </c>
      <c r="V394" s="33">
        <f t="shared" si="198"/>
        <v>4383065</v>
      </c>
      <c r="W394" s="33">
        <f t="shared" si="199"/>
        <v>0</v>
      </c>
      <c r="X394" s="33">
        <v>0</v>
      </c>
      <c r="Y394" s="113">
        <f t="shared" si="200"/>
        <v>4383065</v>
      </c>
      <c r="Z394" s="155">
        <f t="shared" si="201"/>
        <v>18.254556990051896</v>
      </c>
      <c r="AA394" s="33">
        <f t="shared" si="202"/>
        <v>24191974</v>
      </c>
      <c r="AB394" s="114">
        <f t="shared" si="203"/>
        <v>100.75455602069641</v>
      </c>
      <c r="AC394" s="28">
        <f t="shared" si="204"/>
        <v>304140.84999999404</v>
      </c>
      <c r="AD394" s="28">
        <f t="shared" si="205"/>
        <v>167960</v>
      </c>
      <c r="AE394" s="28">
        <f t="shared" si="206"/>
        <v>181175.16275000107</v>
      </c>
      <c r="AF394" s="115">
        <f t="shared" si="207"/>
        <v>0.75455699005189558</v>
      </c>
      <c r="AG394" s="28">
        <f t="shared" si="208"/>
        <v>14867.37</v>
      </c>
      <c r="AI394" s="28">
        <f t="shared" si="209"/>
        <v>0</v>
      </c>
      <c r="AJ394" s="28"/>
      <c r="AK394" s="28">
        <f t="shared" si="210"/>
        <v>104</v>
      </c>
      <c r="AL394" s="156"/>
      <c r="AM394" s="6">
        <f t="shared" si="211"/>
        <v>712</v>
      </c>
      <c r="AN394" s="6" t="str">
        <f t="shared" si="212"/>
        <v>Monomoy</v>
      </c>
      <c r="AO394" s="6">
        <f t="shared" si="213"/>
        <v>1</v>
      </c>
      <c r="AP394" s="9">
        <f t="shared" si="218"/>
        <v>1615</v>
      </c>
      <c r="AQ394" s="9">
        <f t="shared" si="214"/>
        <v>24010799.069999997</v>
      </c>
      <c r="AR394" s="33">
        <f t="shared" si="215"/>
        <v>19808909</v>
      </c>
      <c r="AS394" s="33">
        <f t="shared" si="216"/>
        <v>4383065</v>
      </c>
      <c r="AU394" s="28"/>
      <c r="AV394" s="9"/>
      <c r="AW394" s="519"/>
    </row>
    <row r="395" spans="1:49">
      <c r="A395" s="6">
        <v>715</v>
      </c>
      <c r="B395" s="6" t="s">
        <v>1500</v>
      </c>
      <c r="C395" s="7">
        <v>1</v>
      </c>
      <c r="D395" s="9">
        <v>14323308.950000001</v>
      </c>
      <c r="E395" s="9">
        <v>9465991</v>
      </c>
      <c r="F395" s="9">
        <v>4857318</v>
      </c>
      <c r="G395" s="348"/>
      <c r="H395" s="111">
        <f t="shared" si="217"/>
        <v>4857318</v>
      </c>
      <c r="I395" s="9">
        <f t="shared" si="188"/>
        <v>15022012.140000004</v>
      </c>
      <c r="J395" s="33">
        <f t="shared" si="189"/>
        <v>10049816</v>
      </c>
      <c r="K395" s="9">
        <f t="shared" si="190"/>
        <v>4972196</v>
      </c>
      <c r="L395" s="112">
        <f t="shared" si="191"/>
        <v>114878</v>
      </c>
      <c r="M395" s="458">
        <f t="shared" si="187"/>
        <v>25</v>
      </c>
      <c r="N395" s="9">
        <v>1086</v>
      </c>
      <c r="O395" s="9">
        <f t="shared" si="192"/>
        <v>1107</v>
      </c>
      <c r="P395" s="9">
        <f t="shared" si="193"/>
        <v>1</v>
      </c>
      <c r="Q395" s="28">
        <f t="shared" si="194"/>
        <v>115128</v>
      </c>
      <c r="R395" s="382">
        <f t="shared" si="195"/>
        <v>250</v>
      </c>
      <c r="S395" s="28">
        <v>4857318</v>
      </c>
      <c r="T395" s="33">
        <f t="shared" si="196"/>
        <v>4890528</v>
      </c>
      <c r="U395" s="9">
        <f t="shared" si="197"/>
        <v>0</v>
      </c>
      <c r="V395" s="33">
        <f t="shared" si="198"/>
        <v>4972446</v>
      </c>
      <c r="W395" s="33">
        <f t="shared" si="199"/>
        <v>0</v>
      </c>
      <c r="X395" s="33">
        <v>0</v>
      </c>
      <c r="Y395" s="113">
        <f t="shared" si="200"/>
        <v>4972446</v>
      </c>
      <c r="Z395" s="155">
        <f t="shared" si="201"/>
        <v>33.101064981565102</v>
      </c>
      <c r="AA395" s="33">
        <f t="shared" si="202"/>
        <v>15022262</v>
      </c>
      <c r="AB395" s="114">
        <f t="shared" si="203"/>
        <v>100.00166329249149</v>
      </c>
      <c r="AC395" s="28">
        <f t="shared" si="204"/>
        <v>698703.1900000032</v>
      </c>
      <c r="AD395" s="28">
        <f t="shared" si="205"/>
        <v>115128</v>
      </c>
      <c r="AE395" s="28">
        <f t="shared" si="206"/>
        <v>1216942.9649999989</v>
      </c>
      <c r="AF395" s="115">
        <f t="shared" si="207"/>
        <v>8.1010649815651021</v>
      </c>
      <c r="AG395" s="28">
        <f t="shared" si="208"/>
        <v>13570.02</v>
      </c>
      <c r="AI395" s="28">
        <f t="shared" si="209"/>
        <v>0</v>
      </c>
      <c r="AJ395" s="28"/>
      <c r="AK395" s="28">
        <f t="shared" si="210"/>
        <v>104</v>
      </c>
      <c r="AL395" s="156"/>
      <c r="AM395" s="6">
        <f t="shared" si="211"/>
        <v>715</v>
      </c>
      <c r="AN395" s="6" t="str">
        <f t="shared" si="212"/>
        <v xml:space="preserve">Mount Greylock               </v>
      </c>
      <c r="AO395" s="6">
        <f t="shared" si="213"/>
        <v>1</v>
      </c>
      <c r="AP395" s="9">
        <f t="shared" si="218"/>
        <v>1107</v>
      </c>
      <c r="AQ395" s="9">
        <f t="shared" si="214"/>
        <v>15022012.140000004</v>
      </c>
      <c r="AR395" s="33">
        <f t="shared" si="215"/>
        <v>10049816</v>
      </c>
      <c r="AS395" s="33">
        <f t="shared" si="216"/>
        <v>4972446</v>
      </c>
      <c r="AU395" s="28"/>
      <c r="AV395" s="9"/>
      <c r="AW395" s="519"/>
    </row>
    <row r="396" spans="1:49">
      <c r="A396" s="6">
        <v>717</v>
      </c>
      <c r="B396" s="6" t="s">
        <v>1501</v>
      </c>
      <c r="C396" s="7">
        <v>1</v>
      </c>
      <c r="D396" s="9">
        <v>11381489.499886185</v>
      </c>
      <c r="E396" s="9">
        <v>6907293</v>
      </c>
      <c r="F396" s="9">
        <v>6178513.9999992736</v>
      </c>
      <c r="G396" s="348"/>
      <c r="H396" s="111">
        <f t="shared" si="217"/>
        <v>6178513.9999992736</v>
      </c>
      <c r="I396" s="9">
        <f t="shared" si="188"/>
        <v>11760100.9102352</v>
      </c>
      <c r="J396" s="33">
        <f t="shared" si="189"/>
        <v>7264768</v>
      </c>
      <c r="K396" s="9">
        <f t="shared" si="190"/>
        <v>4495333</v>
      </c>
      <c r="L396" s="112">
        <f t="shared" si="191"/>
        <v>0</v>
      </c>
      <c r="M396" s="458">
        <f t="shared" si="187"/>
        <v>33.06</v>
      </c>
      <c r="N396" s="9">
        <v>790.9999999920899</v>
      </c>
      <c r="O396" s="9">
        <f t="shared" si="192"/>
        <v>780.00000001559999</v>
      </c>
      <c r="P396" s="9">
        <f t="shared" si="193"/>
        <v>0</v>
      </c>
      <c r="Q396" s="28">
        <f t="shared" si="194"/>
        <v>81120.000001622393</v>
      </c>
      <c r="R396" s="382">
        <f t="shared" si="195"/>
        <v>81120.000001622393</v>
      </c>
      <c r="S396" s="28">
        <v>6178513.9999992736</v>
      </c>
      <c r="T396" s="33">
        <f t="shared" si="196"/>
        <v>6201913.999999742</v>
      </c>
      <c r="U396" s="9">
        <f t="shared" si="197"/>
        <v>0</v>
      </c>
      <c r="V396" s="33">
        <f t="shared" si="198"/>
        <v>6259634.0000008959</v>
      </c>
      <c r="W396" s="33">
        <f t="shared" si="199"/>
        <v>0</v>
      </c>
      <c r="X396" s="33">
        <v>0</v>
      </c>
      <c r="Y396" s="113">
        <f t="shared" si="200"/>
        <v>6259634.0000008959</v>
      </c>
      <c r="Z396" s="155">
        <f t="shared" si="201"/>
        <v>53.227723535543234</v>
      </c>
      <c r="AA396" s="33">
        <f t="shared" si="202"/>
        <v>13524402.000000896</v>
      </c>
      <c r="AB396" s="114">
        <f t="shared" si="203"/>
        <v>115.00243155422389</v>
      </c>
      <c r="AC396" s="28">
        <f t="shared" si="204"/>
        <v>378611.41034901515</v>
      </c>
      <c r="AD396" s="28">
        <f t="shared" si="205"/>
        <v>81120.000001622364</v>
      </c>
      <c r="AE396" s="28">
        <f t="shared" si="206"/>
        <v>2371744.6390771386</v>
      </c>
      <c r="AF396" s="115">
        <f t="shared" si="207"/>
        <v>20.167723535543232</v>
      </c>
      <c r="AG396" s="28">
        <f t="shared" si="208"/>
        <v>15077.05</v>
      </c>
      <c r="AI396" s="28">
        <f t="shared" si="209"/>
        <v>0</v>
      </c>
      <c r="AJ396" s="28"/>
      <c r="AK396" s="28">
        <f t="shared" si="210"/>
        <v>103.99999999999996</v>
      </c>
      <c r="AL396" s="156"/>
      <c r="AM396" s="6">
        <f t="shared" si="211"/>
        <v>717</v>
      </c>
      <c r="AN396" s="6" t="str">
        <f t="shared" si="212"/>
        <v xml:space="preserve">Mohawk Trail                 </v>
      </c>
      <c r="AO396" s="6">
        <f t="shared" si="213"/>
        <v>1</v>
      </c>
      <c r="AP396" s="9">
        <f t="shared" si="218"/>
        <v>780.00000001559999</v>
      </c>
      <c r="AQ396" s="9">
        <f t="shared" si="214"/>
        <v>11760100.9102352</v>
      </c>
      <c r="AR396" s="33">
        <f t="shared" si="215"/>
        <v>7264768</v>
      </c>
      <c r="AS396" s="33">
        <f t="shared" si="216"/>
        <v>6259634.0000008959</v>
      </c>
      <c r="AU396" s="28"/>
      <c r="AV396" s="9"/>
      <c r="AW396" s="519"/>
    </row>
    <row r="397" spans="1:49">
      <c r="A397" s="6">
        <v>720</v>
      </c>
      <c r="B397" s="6" t="s">
        <v>1502</v>
      </c>
      <c r="C397" s="7">
        <v>1</v>
      </c>
      <c r="D397" s="9">
        <v>19090731.800000001</v>
      </c>
      <c r="E397" s="9">
        <v>6749883</v>
      </c>
      <c r="F397" s="9">
        <v>12340849</v>
      </c>
      <c r="G397" s="348"/>
      <c r="H397" s="111">
        <f t="shared" si="217"/>
        <v>12340849</v>
      </c>
      <c r="I397" s="9">
        <f t="shared" si="188"/>
        <v>19056826.82</v>
      </c>
      <c r="J397" s="33">
        <f t="shared" si="189"/>
        <v>7014900</v>
      </c>
      <c r="K397" s="9">
        <f t="shared" si="190"/>
        <v>12041927</v>
      </c>
      <c r="L397" s="112">
        <f t="shared" si="191"/>
        <v>0</v>
      </c>
      <c r="M397" s="458">
        <f t="shared" si="187"/>
        <v>56.41</v>
      </c>
      <c r="N397" s="9">
        <v>1338</v>
      </c>
      <c r="O397" s="9">
        <f t="shared" si="192"/>
        <v>1329.9999999999998</v>
      </c>
      <c r="P397" s="9">
        <f t="shared" si="193"/>
        <v>0</v>
      </c>
      <c r="Q397" s="28">
        <f t="shared" si="194"/>
        <v>138319.99999999997</v>
      </c>
      <c r="R397" s="382">
        <f t="shared" si="195"/>
        <v>138319.99999999997</v>
      </c>
      <c r="S397" s="28">
        <v>12340849</v>
      </c>
      <c r="T397" s="33">
        <f t="shared" si="196"/>
        <v>12380749</v>
      </c>
      <c r="U397" s="9">
        <f t="shared" si="197"/>
        <v>0</v>
      </c>
      <c r="V397" s="33">
        <f t="shared" si="198"/>
        <v>12479169</v>
      </c>
      <c r="W397" s="33">
        <f t="shared" si="199"/>
        <v>0</v>
      </c>
      <c r="X397" s="33">
        <v>0</v>
      </c>
      <c r="Y397" s="113">
        <f t="shared" si="200"/>
        <v>12479169</v>
      </c>
      <c r="Z397" s="155">
        <f t="shared" si="201"/>
        <v>65.48398176606824</v>
      </c>
      <c r="AA397" s="33">
        <f t="shared" si="202"/>
        <v>19494069</v>
      </c>
      <c r="AB397" s="114">
        <f t="shared" si="203"/>
        <v>102.29441230762048</v>
      </c>
      <c r="AC397" s="28">
        <f t="shared" si="204"/>
        <v>-33904.980000000447</v>
      </c>
      <c r="AD397" s="28">
        <f t="shared" si="205"/>
        <v>138320</v>
      </c>
      <c r="AE397" s="28">
        <f t="shared" si="206"/>
        <v>1729212.9908380006</v>
      </c>
      <c r="AF397" s="115">
        <f t="shared" si="207"/>
        <v>9.0739817660682434</v>
      </c>
      <c r="AG397" s="28">
        <f t="shared" si="208"/>
        <v>14328.44</v>
      </c>
      <c r="AI397" s="28">
        <f t="shared" si="209"/>
        <v>0</v>
      </c>
      <c r="AJ397" s="28"/>
      <c r="AK397" s="28">
        <f t="shared" si="210"/>
        <v>104.00000000000001</v>
      </c>
      <c r="AL397" s="156"/>
      <c r="AM397" s="6">
        <f t="shared" si="211"/>
        <v>720</v>
      </c>
      <c r="AN397" s="6" t="str">
        <f t="shared" si="212"/>
        <v xml:space="preserve">Narragansett                 </v>
      </c>
      <c r="AO397" s="6">
        <f t="shared" si="213"/>
        <v>1</v>
      </c>
      <c r="AP397" s="9">
        <f t="shared" si="218"/>
        <v>1329.9999999999998</v>
      </c>
      <c r="AQ397" s="9">
        <f t="shared" si="214"/>
        <v>19056826.82</v>
      </c>
      <c r="AR397" s="33">
        <f t="shared" si="215"/>
        <v>7014900</v>
      </c>
      <c r="AS397" s="33">
        <f t="shared" si="216"/>
        <v>12479169</v>
      </c>
      <c r="AU397" s="28"/>
      <c r="AV397" s="9"/>
      <c r="AW397" s="519"/>
    </row>
    <row r="398" spans="1:49">
      <c r="A398" s="6">
        <v>725</v>
      </c>
      <c r="B398" s="6" t="s">
        <v>1503</v>
      </c>
      <c r="C398" s="7">
        <v>1</v>
      </c>
      <c r="D398" s="9">
        <v>38851075.754790001</v>
      </c>
      <c r="E398" s="9">
        <v>29074040</v>
      </c>
      <c r="F398" s="9">
        <v>9777036</v>
      </c>
      <c r="G398" s="348"/>
      <c r="H398" s="111">
        <f t="shared" si="217"/>
        <v>9777036</v>
      </c>
      <c r="I398" s="9">
        <f t="shared" si="188"/>
        <v>39516916.723600008</v>
      </c>
      <c r="J398" s="33">
        <f t="shared" si="189"/>
        <v>30118867</v>
      </c>
      <c r="K398" s="9">
        <f t="shared" si="190"/>
        <v>9398050</v>
      </c>
      <c r="L398" s="112">
        <f t="shared" si="191"/>
        <v>0</v>
      </c>
      <c r="M398" s="458">
        <f t="shared" si="187"/>
        <v>21.02</v>
      </c>
      <c r="N398" s="9">
        <v>3107</v>
      </c>
      <c r="O398" s="9">
        <f t="shared" si="192"/>
        <v>3078</v>
      </c>
      <c r="P398" s="9">
        <f t="shared" si="193"/>
        <v>0</v>
      </c>
      <c r="Q398" s="28">
        <f t="shared" si="194"/>
        <v>320112</v>
      </c>
      <c r="R398" s="382">
        <f t="shared" si="195"/>
        <v>320112</v>
      </c>
      <c r="S398" s="28">
        <v>9777036</v>
      </c>
      <c r="T398" s="33">
        <f t="shared" si="196"/>
        <v>9869376</v>
      </c>
      <c r="U398" s="9">
        <f t="shared" si="197"/>
        <v>0</v>
      </c>
      <c r="V398" s="33">
        <f t="shared" si="198"/>
        <v>10097148</v>
      </c>
      <c r="W398" s="33">
        <f t="shared" si="199"/>
        <v>0</v>
      </c>
      <c r="X398" s="33">
        <v>0</v>
      </c>
      <c r="Y398" s="113">
        <f t="shared" si="200"/>
        <v>10097148</v>
      </c>
      <c r="Z398" s="155">
        <f t="shared" si="201"/>
        <v>25.551457039586932</v>
      </c>
      <c r="AA398" s="33">
        <f t="shared" si="202"/>
        <v>40216015</v>
      </c>
      <c r="AB398" s="114">
        <f t="shared" si="203"/>
        <v>101.76911139421584</v>
      </c>
      <c r="AC398" s="28">
        <f t="shared" si="204"/>
        <v>665840.96881000698</v>
      </c>
      <c r="AD398" s="28">
        <f t="shared" si="205"/>
        <v>320112</v>
      </c>
      <c r="AE398" s="28">
        <f t="shared" si="206"/>
        <v>1790692.1046992783</v>
      </c>
      <c r="AF398" s="115">
        <f t="shared" si="207"/>
        <v>4.5314570395869325</v>
      </c>
      <c r="AG398" s="28">
        <f t="shared" si="208"/>
        <v>12838.5</v>
      </c>
      <c r="AI398" s="28">
        <f t="shared" si="209"/>
        <v>0</v>
      </c>
      <c r="AJ398" s="28"/>
      <c r="AK398" s="28">
        <f t="shared" si="210"/>
        <v>104</v>
      </c>
      <c r="AL398" s="156"/>
      <c r="AM398" s="6">
        <f t="shared" si="211"/>
        <v>725</v>
      </c>
      <c r="AN398" s="6" t="str">
        <f t="shared" si="212"/>
        <v xml:space="preserve">Nashoba                      </v>
      </c>
      <c r="AO398" s="6">
        <f t="shared" si="213"/>
        <v>1</v>
      </c>
      <c r="AP398" s="9">
        <f t="shared" si="218"/>
        <v>3078</v>
      </c>
      <c r="AQ398" s="9">
        <f t="shared" si="214"/>
        <v>39516916.723600008</v>
      </c>
      <c r="AR398" s="33">
        <f t="shared" si="215"/>
        <v>30118867</v>
      </c>
      <c r="AS398" s="33">
        <f t="shared" si="216"/>
        <v>10097148</v>
      </c>
      <c r="AU398" s="28"/>
      <c r="AV398" s="9"/>
      <c r="AW398" s="519"/>
    </row>
    <row r="399" spans="1:49">
      <c r="A399" s="6">
        <v>728</v>
      </c>
      <c r="B399" s="6" t="s">
        <v>1504</v>
      </c>
      <c r="C399" s="7">
        <v>1</v>
      </c>
      <c r="D399" s="9">
        <v>1670707.68</v>
      </c>
      <c r="E399" s="9">
        <v>758216</v>
      </c>
      <c r="F399" s="9">
        <v>912492</v>
      </c>
      <c r="G399" s="348"/>
      <c r="H399" s="111">
        <f t="shared" si="217"/>
        <v>912492</v>
      </c>
      <c r="I399" s="9">
        <f t="shared" si="188"/>
        <v>1606229.6800000002</v>
      </c>
      <c r="J399" s="33">
        <f t="shared" si="189"/>
        <v>779247</v>
      </c>
      <c r="K399" s="9">
        <f t="shared" si="190"/>
        <v>826983</v>
      </c>
      <c r="L399" s="112">
        <f t="shared" si="191"/>
        <v>0</v>
      </c>
      <c r="M399" s="458">
        <f t="shared" si="187"/>
        <v>46.72</v>
      </c>
      <c r="N399" s="9">
        <v>113.00000000000001</v>
      </c>
      <c r="O399" s="9">
        <f t="shared" si="192"/>
        <v>112</v>
      </c>
      <c r="P399" s="9">
        <f t="shared" si="193"/>
        <v>0</v>
      </c>
      <c r="Q399" s="28">
        <f t="shared" si="194"/>
        <v>11648</v>
      </c>
      <c r="R399" s="382">
        <f t="shared" si="195"/>
        <v>11648</v>
      </c>
      <c r="S399" s="28">
        <v>912492</v>
      </c>
      <c r="T399" s="33">
        <f t="shared" si="196"/>
        <v>915852</v>
      </c>
      <c r="U399" s="9">
        <f t="shared" si="197"/>
        <v>0</v>
      </c>
      <c r="V399" s="33">
        <f t="shared" si="198"/>
        <v>924140</v>
      </c>
      <c r="W399" s="33">
        <f t="shared" si="199"/>
        <v>0</v>
      </c>
      <c r="X399" s="33">
        <v>0</v>
      </c>
      <c r="Y399" s="113">
        <f t="shared" si="200"/>
        <v>924140</v>
      </c>
      <c r="Z399" s="155">
        <f t="shared" si="201"/>
        <v>57.534735630087461</v>
      </c>
      <c r="AA399" s="33">
        <f t="shared" si="202"/>
        <v>1703387</v>
      </c>
      <c r="AB399" s="114">
        <f t="shared" si="203"/>
        <v>106.04878126769515</v>
      </c>
      <c r="AC399" s="28">
        <f t="shared" si="204"/>
        <v>-64477.999999999767</v>
      </c>
      <c r="AD399" s="28">
        <f t="shared" si="205"/>
        <v>11648</v>
      </c>
      <c r="AE399" s="28">
        <f t="shared" si="206"/>
        <v>173709.4935039999</v>
      </c>
      <c r="AF399" s="115">
        <f t="shared" si="207"/>
        <v>10.814735630087462</v>
      </c>
      <c r="AG399" s="28">
        <f t="shared" si="208"/>
        <v>14341.34</v>
      </c>
      <c r="AI399" s="28">
        <f t="shared" si="209"/>
        <v>0</v>
      </c>
      <c r="AJ399" s="28"/>
      <c r="AK399" s="28">
        <f t="shared" si="210"/>
        <v>104</v>
      </c>
      <c r="AL399" s="156"/>
      <c r="AM399" s="6">
        <f t="shared" si="211"/>
        <v>728</v>
      </c>
      <c r="AN399" s="6" t="str">
        <f t="shared" si="212"/>
        <v xml:space="preserve">New Salem Wendell            </v>
      </c>
      <c r="AO399" s="6">
        <f t="shared" si="213"/>
        <v>1</v>
      </c>
      <c r="AP399" s="9">
        <f t="shared" si="218"/>
        <v>112</v>
      </c>
      <c r="AQ399" s="9">
        <f t="shared" si="214"/>
        <v>1606229.6800000002</v>
      </c>
      <c r="AR399" s="33">
        <f t="shared" si="215"/>
        <v>779247</v>
      </c>
      <c r="AS399" s="33">
        <f t="shared" si="216"/>
        <v>924140</v>
      </c>
      <c r="AU399" s="28"/>
      <c r="AV399" s="9"/>
      <c r="AW399" s="519"/>
    </row>
    <row r="400" spans="1:49">
      <c r="A400" s="6">
        <v>730</v>
      </c>
      <c r="B400" s="6" t="s">
        <v>1505</v>
      </c>
      <c r="C400" s="7">
        <v>1</v>
      </c>
      <c r="D400" s="9">
        <v>16594258.149999997</v>
      </c>
      <c r="E400" s="9">
        <v>13332899</v>
      </c>
      <c r="F400" s="9">
        <v>3362224</v>
      </c>
      <c r="G400" s="348"/>
      <c r="H400" s="111">
        <f t="shared" si="217"/>
        <v>3362224</v>
      </c>
      <c r="I400" s="9">
        <f t="shared" si="188"/>
        <v>16786924.07</v>
      </c>
      <c r="J400" s="33">
        <f t="shared" si="189"/>
        <v>13490437</v>
      </c>
      <c r="K400" s="9">
        <f t="shared" si="190"/>
        <v>3296487</v>
      </c>
      <c r="L400" s="112">
        <f t="shared" si="191"/>
        <v>0</v>
      </c>
      <c r="M400" s="458">
        <f t="shared" si="187"/>
        <v>17.5</v>
      </c>
      <c r="N400" s="9">
        <v>1245</v>
      </c>
      <c r="O400" s="9">
        <f t="shared" si="192"/>
        <v>1223</v>
      </c>
      <c r="P400" s="9">
        <f t="shared" si="193"/>
        <v>0</v>
      </c>
      <c r="Q400" s="28">
        <f t="shared" si="194"/>
        <v>127192</v>
      </c>
      <c r="R400" s="382">
        <f t="shared" si="195"/>
        <v>127192</v>
      </c>
      <c r="S400" s="28">
        <v>3362224</v>
      </c>
      <c r="T400" s="33">
        <f t="shared" si="196"/>
        <v>3398914</v>
      </c>
      <c r="U400" s="9">
        <f t="shared" si="197"/>
        <v>0</v>
      </c>
      <c r="V400" s="33">
        <f t="shared" si="198"/>
        <v>3489416</v>
      </c>
      <c r="W400" s="33">
        <f t="shared" si="199"/>
        <v>0</v>
      </c>
      <c r="X400" s="33">
        <v>0</v>
      </c>
      <c r="Y400" s="113">
        <f t="shared" si="200"/>
        <v>3489416</v>
      </c>
      <c r="Z400" s="155">
        <f t="shared" si="201"/>
        <v>20.786512081959991</v>
      </c>
      <c r="AA400" s="33">
        <f t="shared" si="202"/>
        <v>16979853</v>
      </c>
      <c r="AB400" s="114">
        <f t="shared" si="203"/>
        <v>101.1492810070237</v>
      </c>
      <c r="AC400" s="28">
        <f t="shared" si="204"/>
        <v>192665.92000000365</v>
      </c>
      <c r="AD400" s="28">
        <f t="shared" si="205"/>
        <v>127192</v>
      </c>
      <c r="AE400" s="28">
        <f t="shared" si="206"/>
        <v>551704.28775000013</v>
      </c>
      <c r="AF400" s="115">
        <f t="shared" si="207"/>
        <v>3.2865120819599909</v>
      </c>
      <c r="AG400" s="28">
        <f t="shared" si="208"/>
        <v>13726.02</v>
      </c>
      <c r="AI400" s="28">
        <f t="shared" si="209"/>
        <v>0</v>
      </c>
      <c r="AJ400" s="28"/>
      <c r="AK400" s="28">
        <f t="shared" si="210"/>
        <v>104</v>
      </c>
      <c r="AL400" s="156"/>
      <c r="AM400" s="6">
        <f t="shared" si="211"/>
        <v>730</v>
      </c>
      <c r="AN400" s="6" t="str">
        <f t="shared" si="212"/>
        <v xml:space="preserve">Northboro Southboro          </v>
      </c>
      <c r="AO400" s="6">
        <f t="shared" si="213"/>
        <v>1</v>
      </c>
      <c r="AP400" s="9">
        <f t="shared" si="218"/>
        <v>1223</v>
      </c>
      <c r="AQ400" s="9">
        <f t="shared" si="214"/>
        <v>16786924.07</v>
      </c>
      <c r="AR400" s="33">
        <f t="shared" si="215"/>
        <v>13490437</v>
      </c>
      <c r="AS400" s="33">
        <f t="shared" si="216"/>
        <v>3489416</v>
      </c>
      <c r="AU400" s="28"/>
      <c r="AV400" s="9"/>
      <c r="AW400" s="519"/>
    </row>
    <row r="401" spans="1:49">
      <c r="A401" s="6">
        <v>735</v>
      </c>
      <c r="B401" s="6" t="s">
        <v>1506</v>
      </c>
      <c r="C401" s="7">
        <v>1</v>
      </c>
      <c r="D401" s="9">
        <v>40550528.920000002</v>
      </c>
      <c r="E401" s="9">
        <v>21382473</v>
      </c>
      <c r="F401" s="9">
        <v>20852633.000000898</v>
      </c>
      <c r="G401" s="348"/>
      <c r="H401" s="111">
        <f t="shared" si="217"/>
        <v>20852633.000000898</v>
      </c>
      <c r="I401" s="9">
        <f t="shared" si="188"/>
        <v>41616153.899999991</v>
      </c>
      <c r="J401" s="33">
        <f t="shared" si="189"/>
        <v>22365493</v>
      </c>
      <c r="K401" s="9">
        <f t="shared" si="190"/>
        <v>19250661</v>
      </c>
      <c r="L401" s="112">
        <f t="shared" si="191"/>
        <v>0</v>
      </c>
      <c r="M401" s="458">
        <f t="shared" si="187"/>
        <v>40.71</v>
      </c>
      <c r="N401" s="9">
        <v>3096</v>
      </c>
      <c r="O401" s="9">
        <f t="shared" si="192"/>
        <v>3099</v>
      </c>
      <c r="P401" s="9">
        <f t="shared" si="193"/>
        <v>0</v>
      </c>
      <c r="Q401" s="28">
        <f t="shared" si="194"/>
        <v>322296</v>
      </c>
      <c r="R401" s="382">
        <f t="shared" si="195"/>
        <v>322296</v>
      </c>
      <c r="S401" s="28">
        <v>20852633.000000898</v>
      </c>
      <c r="T401" s="33">
        <f t="shared" si="196"/>
        <v>20945603.000000898</v>
      </c>
      <c r="U401" s="9">
        <f t="shared" si="197"/>
        <v>0</v>
      </c>
      <c r="V401" s="33">
        <f t="shared" si="198"/>
        <v>21174929.000000898</v>
      </c>
      <c r="W401" s="33">
        <f t="shared" si="199"/>
        <v>0</v>
      </c>
      <c r="X401" s="33">
        <v>0</v>
      </c>
      <c r="Y401" s="113">
        <f t="shared" si="200"/>
        <v>21174929.000000898</v>
      </c>
      <c r="Z401" s="155">
        <f t="shared" si="201"/>
        <v>50.88151358456242</v>
      </c>
      <c r="AA401" s="33">
        <f t="shared" si="202"/>
        <v>43540422.000000894</v>
      </c>
      <c r="AB401" s="114">
        <f t="shared" si="203"/>
        <v>104.62384896169107</v>
      </c>
      <c r="AC401" s="28">
        <f t="shared" si="204"/>
        <v>1065624.9799999893</v>
      </c>
      <c r="AD401" s="28">
        <f t="shared" si="205"/>
        <v>322296</v>
      </c>
      <c r="AE401" s="28">
        <f t="shared" si="206"/>
        <v>4232992.7473108992</v>
      </c>
      <c r="AF401" s="115">
        <f t="shared" si="207"/>
        <v>10.171513584562419</v>
      </c>
      <c r="AG401" s="28">
        <f t="shared" si="208"/>
        <v>13428.9</v>
      </c>
      <c r="AI401" s="28">
        <f t="shared" si="209"/>
        <v>0</v>
      </c>
      <c r="AJ401" s="28"/>
      <c r="AK401" s="28">
        <f t="shared" si="210"/>
        <v>104</v>
      </c>
      <c r="AL401" s="156"/>
      <c r="AM401" s="6">
        <f t="shared" si="211"/>
        <v>735</v>
      </c>
      <c r="AN401" s="6" t="str">
        <f t="shared" si="212"/>
        <v xml:space="preserve">North Middlesex              </v>
      </c>
      <c r="AO401" s="6">
        <f t="shared" si="213"/>
        <v>1</v>
      </c>
      <c r="AP401" s="9">
        <f t="shared" si="218"/>
        <v>3099</v>
      </c>
      <c r="AQ401" s="9">
        <f t="shared" si="214"/>
        <v>41616153.899999991</v>
      </c>
      <c r="AR401" s="33">
        <f t="shared" si="215"/>
        <v>22365493</v>
      </c>
      <c r="AS401" s="33">
        <f t="shared" si="216"/>
        <v>21174929.000000898</v>
      </c>
      <c r="AU401" s="28"/>
      <c r="AV401" s="9"/>
      <c r="AW401" s="519"/>
    </row>
    <row r="402" spans="1:49">
      <c r="A402" s="6">
        <v>740</v>
      </c>
      <c r="B402" s="6" t="s">
        <v>1507</v>
      </c>
      <c r="C402" s="7">
        <v>1</v>
      </c>
      <c r="D402" s="9">
        <v>13019997.510000002</v>
      </c>
      <c r="E402" s="9">
        <v>9551673</v>
      </c>
      <c r="F402" s="9">
        <v>3468325</v>
      </c>
      <c r="G402" s="348"/>
      <c r="H402" s="111">
        <f t="shared" si="217"/>
        <v>3468325</v>
      </c>
      <c r="I402" s="9">
        <f t="shared" si="188"/>
        <v>13306821.640000001</v>
      </c>
      <c r="J402" s="33">
        <f t="shared" si="189"/>
        <v>10043860</v>
      </c>
      <c r="K402" s="9">
        <f t="shared" si="190"/>
        <v>3262962</v>
      </c>
      <c r="L402" s="112">
        <f t="shared" si="191"/>
        <v>0</v>
      </c>
      <c r="M402" s="458">
        <f t="shared" si="187"/>
        <v>20.41</v>
      </c>
      <c r="N402" s="9">
        <v>973</v>
      </c>
      <c r="O402" s="9">
        <f t="shared" si="192"/>
        <v>949</v>
      </c>
      <c r="P402" s="9">
        <f t="shared" si="193"/>
        <v>0</v>
      </c>
      <c r="Q402" s="28">
        <f t="shared" si="194"/>
        <v>98696</v>
      </c>
      <c r="R402" s="382">
        <f t="shared" si="195"/>
        <v>98696</v>
      </c>
      <c r="S402" s="28">
        <v>3468325</v>
      </c>
      <c r="T402" s="33">
        <f t="shared" si="196"/>
        <v>3496795</v>
      </c>
      <c r="U402" s="9">
        <f t="shared" si="197"/>
        <v>0</v>
      </c>
      <c r="V402" s="33">
        <f t="shared" si="198"/>
        <v>3567021</v>
      </c>
      <c r="W402" s="33">
        <f t="shared" si="199"/>
        <v>0</v>
      </c>
      <c r="X402" s="33">
        <v>0</v>
      </c>
      <c r="Y402" s="113">
        <f t="shared" si="200"/>
        <v>3567021</v>
      </c>
      <c r="Z402" s="155">
        <f t="shared" si="201"/>
        <v>26.80595785005201</v>
      </c>
      <c r="AA402" s="33">
        <f t="shared" si="202"/>
        <v>13610881</v>
      </c>
      <c r="AB402" s="114">
        <f t="shared" si="203"/>
        <v>102.28498861881491</v>
      </c>
      <c r="AC402" s="28">
        <f t="shared" si="204"/>
        <v>286824.12999999896</v>
      </c>
      <c r="AD402" s="28">
        <f t="shared" si="205"/>
        <v>98696</v>
      </c>
      <c r="AE402" s="28">
        <f t="shared" si="206"/>
        <v>851098.70327599999</v>
      </c>
      <c r="AF402" s="115">
        <f t="shared" si="207"/>
        <v>6.3959578500520102</v>
      </c>
      <c r="AG402" s="28">
        <f t="shared" si="208"/>
        <v>14021.94</v>
      </c>
      <c r="AI402" s="28">
        <f t="shared" si="209"/>
        <v>0</v>
      </c>
      <c r="AJ402" s="28"/>
      <c r="AK402" s="28">
        <f t="shared" si="210"/>
        <v>104</v>
      </c>
      <c r="AL402" s="156"/>
      <c r="AM402" s="6">
        <f t="shared" si="211"/>
        <v>740</v>
      </c>
      <c r="AN402" s="6" t="str">
        <f t="shared" si="212"/>
        <v xml:space="preserve">Old Rochester                </v>
      </c>
      <c r="AO402" s="6">
        <f t="shared" si="213"/>
        <v>1</v>
      </c>
      <c r="AP402" s="9">
        <f t="shared" si="218"/>
        <v>949</v>
      </c>
      <c r="AQ402" s="9">
        <f t="shared" si="214"/>
        <v>13306821.640000001</v>
      </c>
      <c r="AR402" s="33">
        <f t="shared" si="215"/>
        <v>10043860</v>
      </c>
      <c r="AS402" s="33">
        <f t="shared" si="216"/>
        <v>3567021</v>
      </c>
      <c r="AU402" s="28"/>
      <c r="AV402" s="9"/>
      <c r="AW402" s="519"/>
    </row>
    <row r="403" spans="1:49">
      <c r="A403" s="6">
        <v>745</v>
      </c>
      <c r="B403" s="6" t="s">
        <v>1508</v>
      </c>
      <c r="C403" s="7">
        <v>1</v>
      </c>
      <c r="D403" s="9">
        <v>27982141.810000002</v>
      </c>
      <c r="E403" s="9">
        <v>20548996</v>
      </c>
      <c r="F403" s="9">
        <v>13522442</v>
      </c>
      <c r="G403" s="348"/>
      <c r="H403" s="111">
        <f t="shared" si="217"/>
        <v>13522442</v>
      </c>
      <c r="I403" s="9">
        <f t="shared" si="188"/>
        <v>28773485.359999992</v>
      </c>
      <c r="J403" s="33">
        <f t="shared" si="189"/>
        <v>21416293</v>
      </c>
      <c r="K403" s="9">
        <f t="shared" si="190"/>
        <v>7357192</v>
      </c>
      <c r="L403" s="112">
        <f t="shared" si="191"/>
        <v>0</v>
      </c>
      <c r="M403" s="458">
        <f t="shared" si="187"/>
        <v>19.989999999999998</v>
      </c>
      <c r="N403" s="9">
        <v>2288</v>
      </c>
      <c r="O403" s="9">
        <f t="shared" si="192"/>
        <v>2287</v>
      </c>
      <c r="P403" s="9">
        <f t="shared" si="193"/>
        <v>0</v>
      </c>
      <c r="Q403" s="28">
        <f t="shared" si="194"/>
        <v>237848</v>
      </c>
      <c r="R403" s="382">
        <f t="shared" si="195"/>
        <v>237848</v>
      </c>
      <c r="S403" s="28">
        <v>13522442</v>
      </c>
      <c r="T403" s="33">
        <f t="shared" si="196"/>
        <v>13591052</v>
      </c>
      <c r="U403" s="9">
        <f t="shared" si="197"/>
        <v>0</v>
      </c>
      <c r="V403" s="33">
        <f t="shared" si="198"/>
        <v>13760290</v>
      </c>
      <c r="W403" s="33">
        <f t="shared" si="199"/>
        <v>0</v>
      </c>
      <c r="X403" s="33">
        <v>0</v>
      </c>
      <c r="Y403" s="113">
        <f t="shared" si="200"/>
        <v>13760290</v>
      </c>
      <c r="Z403" s="155">
        <f t="shared" si="201"/>
        <v>47.822812661858229</v>
      </c>
      <c r="AA403" s="33">
        <f t="shared" si="202"/>
        <v>35176583</v>
      </c>
      <c r="AB403" s="114">
        <f t="shared" si="203"/>
        <v>122.25346550787134</v>
      </c>
      <c r="AC403" s="28">
        <f t="shared" si="204"/>
        <v>791343.54999998957</v>
      </c>
      <c r="AD403" s="28">
        <f t="shared" si="205"/>
        <v>237848</v>
      </c>
      <c r="AE403" s="28">
        <f t="shared" si="206"/>
        <v>8008470.2765360018</v>
      </c>
      <c r="AF403" s="115">
        <f t="shared" si="207"/>
        <v>27.832812661858231</v>
      </c>
      <c r="AG403" s="28">
        <f t="shared" si="208"/>
        <v>12581.32</v>
      </c>
      <c r="AI403" s="28">
        <f t="shared" si="209"/>
        <v>0</v>
      </c>
      <c r="AJ403" s="28"/>
      <c r="AK403" s="28">
        <f t="shared" si="210"/>
        <v>104</v>
      </c>
      <c r="AL403" s="156"/>
      <c r="AM403" s="6">
        <f t="shared" si="211"/>
        <v>745</v>
      </c>
      <c r="AN403" s="6" t="str">
        <f t="shared" si="212"/>
        <v xml:space="preserve">Pentucket                    </v>
      </c>
      <c r="AO403" s="6">
        <f t="shared" si="213"/>
        <v>1</v>
      </c>
      <c r="AP403" s="9">
        <f t="shared" si="218"/>
        <v>2287</v>
      </c>
      <c r="AQ403" s="9">
        <f t="shared" si="214"/>
        <v>28773485.359999992</v>
      </c>
      <c r="AR403" s="33">
        <f t="shared" si="215"/>
        <v>21416293</v>
      </c>
      <c r="AS403" s="33">
        <f t="shared" si="216"/>
        <v>13760290</v>
      </c>
      <c r="AU403" s="28"/>
      <c r="AV403" s="9"/>
      <c r="AW403" s="519"/>
    </row>
    <row r="404" spans="1:49">
      <c r="A404" s="6">
        <v>750</v>
      </c>
      <c r="B404" s="6" t="s">
        <v>1509</v>
      </c>
      <c r="C404" s="7">
        <v>1</v>
      </c>
      <c r="D404" s="9">
        <v>7858151.0500000017</v>
      </c>
      <c r="E404" s="9">
        <v>4907463</v>
      </c>
      <c r="F404" s="510">
        <v>4015269</v>
      </c>
      <c r="G404" s="348"/>
      <c r="H404" s="111">
        <f t="shared" si="217"/>
        <v>4015269</v>
      </c>
      <c r="I404" s="9">
        <f t="shared" si="188"/>
        <v>7649537.5300000003</v>
      </c>
      <c r="J404" s="33">
        <f t="shared" si="189"/>
        <v>5011238</v>
      </c>
      <c r="K404" s="9">
        <f t="shared" si="190"/>
        <v>2638300</v>
      </c>
      <c r="L404" s="112">
        <f t="shared" si="191"/>
        <v>0</v>
      </c>
      <c r="M404" s="458">
        <f t="shared" si="187"/>
        <v>26.33</v>
      </c>
      <c r="N404" s="9">
        <v>569</v>
      </c>
      <c r="O404" s="9">
        <f t="shared" si="192"/>
        <v>545</v>
      </c>
      <c r="P404" s="9">
        <f t="shared" si="193"/>
        <v>0</v>
      </c>
      <c r="Q404" s="28">
        <f t="shared" si="194"/>
        <v>56680</v>
      </c>
      <c r="R404" s="382">
        <f t="shared" si="195"/>
        <v>56680</v>
      </c>
      <c r="S404" s="28">
        <v>4015269</v>
      </c>
      <c r="T404" s="33">
        <f t="shared" si="196"/>
        <v>4031619</v>
      </c>
      <c r="U404" s="9">
        <f t="shared" si="197"/>
        <v>0</v>
      </c>
      <c r="V404" s="33">
        <f t="shared" si="198"/>
        <v>4071949</v>
      </c>
      <c r="W404" s="33">
        <f t="shared" si="199"/>
        <v>0</v>
      </c>
      <c r="X404" s="33">
        <v>0</v>
      </c>
      <c r="Y404" s="113">
        <f t="shared" si="200"/>
        <v>4071949</v>
      </c>
      <c r="Z404" s="155">
        <f t="shared" si="201"/>
        <v>53.23130952728328</v>
      </c>
      <c r="AA404" s="33">
        <f t="shared" si="202"/>
        <v>9083187</v>
      </c>
      <c r="AB404" s="114">
        <f t="shared" si="203"/>
        <v>118.74164894776325</v>
      </c>
      <c r="AC404" s="28">
        <f t="shared" si="204"/>
        <v>-208613.52000000142</v>
      </c>
      <c r="AD404" s="28">
        <f t="shared" si="205"/>
        <v>56680</v>
      </c>
      <c r="AE404" s="28">
        <f t="shared" si="206"/>
        <v>2057825.768351</v>
      </c>
      <c r="AF404" s="115">
        <f t="shared" si="207"/>
        <v>26.901309527283281</v>
      </c>
      <c r="AG404" s="28">
        <f t="shared" si="208"/>
        <v>14035.85</v>
      </c>
      <c r="AI404" s="28">
        <f t="shared" si="209"/>
        <v>0</v>
      </c>
      <c r="AJ404" s="28"/>
      <c r="AK404" s="28">
        <f t="shared" si="210"/>
        <v>104</v>
      </c>
      <c r="AL404" s="156"/>
      <c r="AM404" s="6">
        <f t="shared" si="211"/>
        <v>750</v>
      </c>
      <c r="AN404" s="6" t="str">
        <f t="shared" si="212"/>
        <v xml:space="preserve">Pioneer                      </v>
      </c>
      <c r="AO404" s="6">
        <f t="shared" si="213"/>
        <v>1</v>
      </c>
      <c r="AP404" s="9">
        <f t="shared" si="218"/>
        <v>545</v>
      </c>
      <c r="AQ404" s="9">
        <f t="shared" si="214"/>
        <v>7649537.5300000003</v>
      </c>
      <c r="AR404" s="33">
        <f t="shared" si="215"/>
        <v>5011238</v>
      </c>
      <c r="AS404" s="33">
        <f t="shared" si="216"/>
        <v>4071949</v>
      </c>
      <c r="AU404" s="28"/>
      <c r="AV404" s="9"/>
      <c r="AW404" s="519"/>
    </row>
    <row r="405" spans="1:49">
      <c r="A405" s="6">
        <v>753</v>
      </c>
      <c r="B405" s="6" t="s">
        <v>1510</v>
      </c>
      <c r="C405" s="7">
        <v>1</v>
      </c>
      <c r="D405" s="9">
        <v>27040442.530000001</v>
      </c>
      <c r="E405" s="9">
        <v>12220640</v>
      </c>
      <c r="F405" s="9">
        <v>16938538.000001181</v>
      </c>
      <c r="G405" s="348"/>
      <c r="H405" s="111">
        <f t="shared" si="217"/>
        <v>16938538.000001181</v>
      </c>
      <c r="I405" s="9">
        <f t="shared" si="188"/>
        <v>27702274.299999997</v>
      </c>
      <c r="J405" s="33">
        <f t="shared" si="189"/>
        <v>12767470</v>
      </c>
      <c r="K405" s="9">
        <f t="shared" si="190"/>
        <v>14934804</v>
      </c>
      <c r="L405" s="112">
        <f t="shared" si="191"/>
        <v>0</v>
      </c>
      <c r="M405" s="458">
        <f t="shared" si="187"/>
        <v>48.84</v>
      </c>
      <c r="N405" s="9">
        <v>1951</v>
      </c>
      <c r="O405" s="9">
        <f t="shared" si="192"/>
        <v>1930.9999999999998</v>
      </c>
      <c r="P405" s="9">
        <f t="shared" si="193"/>
        <v>0</v>
      </c>
      <c r="Q405" s="28">
        <f t="shared" si="194"/>
        <v>200823.99999999997</v>
      </c>
      <c r="R405" s="382">
        <f t="shared" si="195"/>
        <v>200823.99999999997</v>
      </c>
      <c r="S405" s="28">
        <v>16938538.000001181</v>
      </c>
      <c r="T405" s="33">
        <f t="shared" si="196"/>
        <v>16996468.000001181</v>
      </c>
      <c r="U405" s="9">
        <f t="shared" si="197"/>
        <v>0</v>
      </c>
      <c r="V405" s="33">
        <f t="shared" si="198"/>
        <v>17139362.000001181</v>
      </c>
      <c r="W405" s="33">
        <f t="shared" si="199"/>
        <v>0</v>
      </c>
      <c r="X405" s="33">
        <v>0</v>
      </c>
      <c r="Y405" s="113">
        <f t="shared" si="200"/>
        <v>17139362.000001181</v>
      </c>
      <c r="Z405" s="155">
        <f t="shared" si="201"/>
        <v>61.869873261637522</v>
      </c>
      <c r="AA405" s="33">
        <f t="shared" si="202"/>
        <v>29906832.000001181</v>
      </c>
      <c r="AB405" s="114">
        <f t="shared" si="203"/>
        <v>107.95803866544338</v>
      </c>
      <c r="AC405" s="28">
        <f t="shared" si="204"/>
        <v>661831.76999999583</v>
      </c>
      <c r="AD405" s="28">
        <f t="shared" si="205"/>
        <v>200824</v>
      </c>
      <c r="AE405" s="28">
        <f t="shared" si="206"/>
        <v>3609571.2318811808</v>
      </c>
      <c r="AF405" s="115">
        <f t="shared" si="207"/>
        <v>13.029873261637519</v>
      </c>
      <c r="AG405" s="28">
        <f t="shared" si="208"/>
        <v>14346.08</v>
      </c>
      <c r="AI405" s="28">
        <f t="shared" si="209"/>
        <v>0</v>
      </c>
      <c r="AJ405" s="28"/>
      <c r="AK405" s="28">
        <f t="shared" si="210"/>
        <v>104.00000000000001</v>
      </c>
      <c r="AL405" s="156"/>
      <c r="AM405" s="6">
        <f t="shared" si="211"/>
        <v>753</v>
      </c>
      <c r="AN405" s="6" t="str">
        <f t="shared" si="212"/>
        <v xml:space="preserve">Quabbin                      </v>
      </c>
      <c r="AO405" s="6">
        <f t="shared" si="213"/>
        <v>1</v>
      </c>
      <c r="AP405" s="9">
        <f t="shared" si="218"/>
        <v>1930.9999999999998</v>
      </c>
      <c r="AQ405" s="9">
        <f t="shared" si="214"/>
        <v>27702274.299999997</v>
      </c>
      <c r="AR405" s="33">
        <f t="shared" si="215"/>
        <v>12767470</v>
      </c>
      <c r="AS405" s="33">
        <f t="shared" si="216"/>
        <v>17139362.000001181</v>
      </c>
      <c r="AU405" s="28"/>
      <c r="AV405" s="9"/>
      <c r="AW405" s="519"/>
    </row>
    <row r="406" spans="1:49">
      <c r="A406" s="6">
        <v>755</v>
      </c>
      <c r="B406" s="6" t="s">
        <v>1511</v>
      </c>
      <c r="C406" s="7">
        <v>1</v>
      </c>
      <c r="D406" s="9">
        <v>8804675.8299999982</v>
      </c>
      <c r="E406" s="9">
        <v>2757119</v>
      </c>
      <c r="F406" s="9">
        <v>6047557</v>
      </c>
      <c r="G406" s="348"/>
      <c r="H406" s="111">
        <f t="shared" si="217"/>
        <v>6047557</v>
      </c>
      <c r="I406" s="9">
        <f t="shared" si="188"/>
        <v>9180437.4699081965</v>
      </c>
      <c r="J406" s="33">
        <f t="shared" si="189"/>
        <v>2903267</v>
      </c>
      <c r="K406" s="9">
        <f t="shared" si="190"/>
        <v>6277170</v>
      </c>
      <c r="L406" s="112">
        <f t="shared" si="191"/>
        <v>229613</v>
      </c>
      <c r="M406" s="458">
        <f t="shared" si="187"/>
        <v>64.63</v>
      </c>
      <c r="N406" s="9">
        <v>551</v>
      </c>
      <c r="O406" s="9">
        <f t="shared" si="192"/>
        <v>552.99999999447004</v>
      </c>
      <c r="P406" s="9">
        <f t="shared" si="193"/>
        <v>1</v>
      </c>
      <c r="Q406" s="28">
        <f t="shared" si="194"/>
        <v>57511.999999424886</v>
      </c>
      <c r="R406" s="382">
        <f t="shared" si="195"/>
        <v>0</v>
      </c>
      <c r="S406" s="28">
        <v>6047557</v>
      </c>
      <c r="T406" s="33">
        <f t="shared" si="196"/>
        <v>6064146.9999998342</v>
      </c>
      <c r="U406" s="9">
        <f t="shared" si="197"/>
        <v>0</v>
      </c>
      <c r="V406" s="33">
        <f t="shared" si="198"/>
        <v>6277170</v>
      </c>
      <c r="W406" s="33">
        <f t="shared" si="199"/>
        <v>0</v>
      </c>
      <c r="X406" s="33">
        <v>0</v>
      </c>
      <c r="Y406" s="113">
        <f t="shared" si="200"/>
        <v>6277170</v>
      </c>
      <c r="Z406" s="155">
        <f t="shared" si="201"/>
        <v>68.375499757777575</v>
      </c>
      <c r="AA406" s="33">
        <f t="shared" si="202"/>
        <v>9180437</v>
      </c>
      <c r="AB406" s="114">
        <f t="shared" si="203"/>
        <v>99.99999488141826</v>
      </c>
      <c r="AC406" s="28">
        <f t="shared" si="204"/>
        <v>375761.63990819827</v>
      </c>
      <c r="AD406" s="28">
        <f t="shared" si="205"/>
        <v>229613</v>
      </c>
      <c r="AE406" s="28">
        <f t="shared" si="206"/>
        <v>343853.26319833286</v>
      </c>
      <c r="AF406" s="115">
        <f t="shared" si="207"/>
        <v>3.7454997577775799</v>
      </c>
      <c r="AG406" s="28">
        <f t="shared" si="208"/>
        <v>16601.150000000001</v>
      </c>
      <c r="AI406" s="28">
        <f t="shared" si="209"/>
        <v>0</v>
      </c>
      <c r="AJ406" s="28"/>
      <c r="AK406" s="28">
        <f t="shared" si="210"/>
        <v>415.21338155930579</v>
      </c>
      <c r="AL406" s="156"/>
      <c r="AM406" s="6">
        <f t="shared" si="211"/>
        <v>755</v>
      </c>
      <c r="AN406" s="6" t="str">
        <f t="shared" si="212"/>
        <v xml:space="preserve">Ralph C Mahar                </v>
      </c>
      <c r="AO406" s="6">
        <f t="shared" si="213"/>
        <v>1</v>
      </c>
      <c r="AP406" s="9">
        <f t="shared" si="218"/>
        <v>552.99999999447004</v>
      </c>
      <c r="AQ406" s="9">
        <f t="shared" si="214"/>
        <v>9180437.4699081965</v>
      </c>
      <c r="AR406" s="33">
        <f t="shared" si="215"/>
        <v>2903267</v>
      </c>
      <c r="AS406" s="33">
        <f t="shared" si="216"/>
        <v>6277170</v>
      </c>
      <c r="AU406" s="28"/>
      <c r="AV406" s="9"/>
      <c r="AW406" s="519"/>
    </row>
    <row r="407" spans="1:49">
      <c r="A407" s="6">
        <v>760</v>
      </c>
      <c r="B407" s="6" t="s">
        <v>1512</v>
      </c>
      <c r="C407" s="7">
        <v>1</v>
      </c>
      <c r="D407" s="9">
        <v>24399125.516533989</v>
      </c>
      <c r="E407" s="9">
        <v>14887605</v>
      </c>
      <c r="F407" s="9">
        <v>9511521</v>
      </c>
      <c r="G407" s="348"/>
      <c r="H407" s="111">
        <f t="shared" si="217"/>
        <v>9511521</v>
      </c>
      <c r="I407" s="9">
        <f t="shared" si="188"/>
        <v>26861456.846319992</v>
      </c>
      <c r="J407" s="33">
        <f t="shared" si="189"/>
        <v>16324599</v>
      </c>
      <c r="K407" s="9">
        <f t="shared" si="190"/>
        <v>10536858</v>
      </c>
      <c r="L407" s="112">
        <f t="shared" si="191"/>
        <v>1025337</v>
      </c>
      <c r="M407" s="458">
        <f t="shared" si="187"/>
        <v>33.94</v>
      </c>
      <c r="N407" s="9">
        <v>1634.00000001634</v>
      </c>
      <c r="O407" s="9">
        <f t="shared" si="192"/>
        <v>1733</v>
      </c>
      <c r="P407" s="9">
        <f t="shared" si="193"/>
        <v>1</v>
      </c>
      <c r="Q407" s="28">
        <f t="shared" si="194"/>
        <v>180232</v>
      </c>
      <c r="R407" s="382">
        <f t="shared" si="195"/>
        <v>0</v>
      </c>
      <c r="S407" s="28">
        <v>9878602</v>
      </c>
      <c r="T407" s="33">
        <f t="shared" si="196"/>
        <v>9930592</v>
      </c>
      <c r="U407" s="9">
        <f t="shared" si="197"/>
        <v>0</v>
      </c>
      <c r="V407" s="33">
        <f t="shared" si="198"/>
        <v>10536858</v>
      </c>
      <c r="W407" s="33">
        <f t="shared" si="199"/>
        <v>0</v>
      </c>
      <c r="X407" s="33">
        <v>0</v>
      </c>
      <c r="Y407" s="113">
        <f t="shared" si="200"/>
        <v>10536858</v>
      </c>
      <c r="Z407" s="155">
        <f t="shared" si="201"/>
        <v>39.2266810407327</v>
      </c>
      <c r="AA407" s="33">
        <f t="shared" si="202"/>
        <v>26861457</v>
      </c>
      <c r="AB407" s="114">
        <f t="shared" si="203"/>
        <v>100.0000005721209</v>
      </c>
      <c r="AC407" s="28">
        <f t="shared" si="204"/>
        <v>2462331.3297860026</v>
      </c>
      <c r="AD407" s="28">
        <f t="shared" si="205"/>
        <v>1025337</v>
      </c>
      <c r="AE407" s="28">
        <f t="shared" si="206"/>
        <v>1420079.5463589951</v>
      </c>
      <c r="AF407" s="115">
        <f t="shared" si="207"/>
        <v>5.2866810407327023</v>
      </c>
      <c r="AG407" s="28">
        <f t="shared" si="208"/>
        <v>15499.98</v>
      </c>
      <c r="AI407" s="28">
        <f t="shared" si="209"/>
        <v>0</v>
      </c>
      <c r="AJ407" s="28"/>
      <c r="AK407" s="28">
        <f t="shared" si="210"/>
        <v>591.65435660703986</v>
      </c>
      <c r="AL407" s="156"/>
      <c r="AM407" s="6">
        <f t="shared" si="211"/>
        <v>760</v>
      </c>
      <c r="AN407" s="6" t="str">
        <f t="shared" si="212"/>
        <v xml:space="preserve">Silver Lake                  </v>
      </c>
      <c r="AO407" s="6">
        <f t="shared" si="213"/>
        <v>1</v>
      </c>
      <c r="AP407" s="9">
        <f t="shared" si="218"/>
        <v>1733</v>
      </c>
      <c r="AQ407" s="9">
        <f t="shared" si="214"/>
        <v>26861456.846319992</v>
      </c>
      <c r="AR407" s="33">
        <f t="shared" si="215"/>
        <v>16324599</v>
      </c>
      <c r="AS407" s="33">
        <f t="shared" si="216"/>
        <v>10536858</v>
      </c>
      <c r="AU407" s="28"/>
      <c r="AV407" s="9"/>
      <c r="AW407" s="519"/>
    </row>
    <row r="408" spans="1:49">
      <c r="A408" s="6">
        <v>763</v>
      </c>
      <c r="B408" s="6" t="s">
        <v>1082</v>
      </c>
      <c r="C408" s="7">
        <v>1</v>
      </c>
      <c r="D408" s="9">
        <v>14135320.560000001</v>
      </c>
      <c r="E408" s="9">
        <v>7164940</v>
      </c>
      <c r="F408" s="9">
        <v>6970381</v>
      </c>
      <c r="G408" s="348"/>
      <c r="H408" s="111">
        <f t="shared" si="217"/>
        <v>6970381</v>
      </c>
      <c r="I408" s="9">
        <f t="shared" si="188"/>
        <v>14145681.890000004</v>
      </c>
      <c r="J408" s="33">
        <f t="shared" si="189"/>
        <v>7510406</v>
      </c>
      <c r="K408" s="9">
        <f t="shared" si="190"/>
        <v>6635276</v>
      </c>
      <c r="L408" s="112">
        <f t="shared" si="191"/>
        <v>0</v>
      </c>
      <c r="M408" s="458">
        <f t="shared" si="187"/>
        <v>40.06</v>
      </c>
      <c r="N408" s="9">
        <v>998</v>
      </c>
      <c r="O408" s="9">
        <f t="shared" si="192"/>
        <v>955</v>
      </c>
      <c r="P408" s="9">
        <f t="shared" si="193"/>
        <v>0</v>
      </c>
      <c r="Q408" s="28">
        <f t="shared" si="194"/>
        <v>99320</v>
      </c>
      <c r="R408" s="382">
        <f t="shared" si="195"/>
        <v>99320</v>
      </c>
      <c r="S408" s="28">
        <v>6970381</v>
      </c>
      <c r="T408" s="33">
        <f t="shared" si="196"/>
        <v>6999031</v>
      </c>
      <c r="U408" s="9">
        <f t="shared" si="197"/>
        <v>0</v>
      </c>
      <c r="V408" s="33">
        <f t="shared" si="198"/>
        <v>7069701</v>
      </c>
      <c r="W408" s="33">
        <f t="shared" si="199"/>
        <v>0</v>
      </c>
      <c r="X408" s="33">
        <v>0</v>
      </c>
      <c r="Y408" s="113">
        <f t="shared" si="200"/>
        <v>7069701</v>
      </c>
      <c r="Z408" s="155">
        <f t="shared" si="201"/>
        <v>49.977802802124216</v>
      </c>
      <c r="AA408" s="33">
        <f t="shared" si="202"/>
        <v>14580107</v>
      </c>
      <c r="AB408" s="114">
        <f t="shared" si="203"/>
        <v>103.07107931153961</v>
      </c>
      <c r="AC408" s="28">
        <f t="shared" si="204"/>
        <v>10361.3300000038</v>
      </c>
      <c r="AD408" s="28">
        <f t="shared" si="205"/>
        <v>99320</v>
      </c>
      <c r="AE408" s="28">
        <f t="shared" si="206"/>
        <v>1402940.8348659985</v>
      </c>
      <c r="AF408" s="115">
        <f t="shared" si="207"/>
        <v>9.9178028021242142</v>
      </c>
      <c r="AG408" s="28">
        <f t="shared" si="208"/>
        <v>14812.23</v>
      </c>
      <c r="AI408" s="28">
        <f t="shared" si="209"/>
        <v>0</v>
      </c>
      <c r="AJ408" s="28"/>
      <c r="AK408" s="28">
        <f t="shared" si="210"/>
        <v>104</v>
      </c>
      <c r="AL408" s="156"/>
      <c r="AM408" s="6">
        <f t="shared" si="211"/>
        <v>763</v>
      </c>
      <c r="AN408" s="6" t="str">
        <f t="shared" si="212"/>
        <v>Somerset Berkley</v>
      </c>
      <c r="AO408" s="6">
        <f t="shared" si="213"/>
        <v>1</v>
      </c>
      <c r="AP408" s="9">
        <f t="shared" si="218"/>
        <v>955</v>
      </c>
      <c r="AQ408" s="9">
        <f t="shared" si="214"/>
        <v>14145681.890000004</v>
      </c>
      <c r="AR408" s="33">
        <f t="shared" si="215"/>
        <v>7510406</v>
      </c>
      <c r="AS408" s="33">
        <f t="shared" si="216"/>
        <v>7069701</v>
      </c>
      <c r="AU408" s="28"/>
      <c r="AV408" s="9"/>
      <c r="AW408" s="519"/>
    </row>
    <row r="409" spans="1:49">
      <c r="A409" s="6">
        <v>765</v>
      </c>
      <c r="B409" s="6" t="s">
        <v>1513</v>
      </c>
      <c r="C409" s="7">
        <v>1</v>
      </c>
      <c r="D409" s="9">
        <v>9252135.43990748</v>
      </c>
      <c r="E409" s="9">
        <v>7434693</v>
      </c>
      <c r="F409" s="9">
        <v>2084591.000000003</v>
      </c>
      <c r="G409" s="348"/>
      <c r="H409" s="111">
        <f t="shared" si="217"/>
        <v>2084591.000000003</v>
      </c>
      <c r="I409" s="9">
        <f t="shared" si="188"/>
        <v>9110625.4799088929</v>
      </c>
      <c r="J409" s="33">
        <f t="shared" si="189"/>
        <v>7516265</v>
      </c>
      <c r="K409" s="9">
        <f t="shared" si="190"/>
        <v>1594360</v>
      </c>
      <c r="L409" s="112">
        <f t="shared" si="191"/>
        <v>0</v>
      </c>
      <c r="M409" s="458">
        <f t="shared" si="187"/>
        <v>17.5</v>
      </c>
      <c r="N409" s="9">
        <v>644.99999999354998</v>
      </c>
      <c r="O409" s="9">
        <f t="shared" si="192"/>
        <v>625.99999999373995</v>
      </c>
      <c r="P409" s="9">
        <f t="shared" si="193"/>
        <v>0</v>
      </c>
      <c r="Q409" s="28">
        <f t="shared" si="194"/>
        <v>65103.999999348955</v>
      </c>
      <c r="R409" s="382">
        <f t="shared" si="195"/>
        <v>65103.999999348955</v>
      </c>
      <c r="S409" s="28">
        <v>2084591.000000003</v>
      </c>
      <c r="T409" s="33">
        <f t="shared" si="196"/>
        <v>2103370.9999998151</v>
      </c>
      <c r="U409" s="9">
        <f t="shared" si="197"/>
        <v>0</v>
      </c>
      <c r="V409" s="33">
        <f t="shared" si="198"/>
        <v>2149694.9999993518</v>
      </c>
      <c r="W409" s="33">
        <f t="shared" si="199"/>
        <v>0</v>
      </c>
      <c r="X409" s="33">
        <v>0</v>
      </c>
      <c r="Y409" s="113">
        <f t="shared" si="200"/>
        <v>2149694.9999993518</v>
      </c>
      <c r="Z409" s="155">
        <f t="shared" si="201"/>
        <v>23.595471076491325</v>
      </c>
      <c r="AA409" s="33">
        <f t="shared" si="202"/>
        <v>9665959.9999993518</v>
      </c>
      <c r="AB409" s="114">
        <f t="shared" si="203"/>
        <v>106.09545987062144</v>
      </c>
      <c r="AC409" s="28">
        <f t="shared" si="204"/>
        <v>-141509.95999858715</v>
      </c>
      <c r="AD409" s="28">
        <f t="shared" si="205"/>
        <v>65103.999999348773</v>
      </c>
      <c r="AE409" s="28">
        <f t="shared" si="206"/>
        <v>555335.54101529554</v>
      </c>
      <c r="AF409" s="115">
        <f t="shared" si="207"/>
        <v>6.0954710764913251</v>
      </c>
      <c r="AG409" s="28">
        <f t="shared" si="208"/>
        <v>14553.71</v>
      </c>
      <c r="AI409" s="28">
        <f t="shared" si="209"/>
        <v>0</v>
      </c>
      <c r="AJ409" s="28"/>
      <c r="AK409" s="28">
        <f t="shared" si="210"/>
        <v>103.99999999999972</v>
      </c>
      <c r="AL409" s="156"/>
      <c r="AM409" s="6">
        <f t="shared" si="211"/>
        <v>765</v>
      </c>
      <c r="AN409" s="6" t="str">
        <f t="shared" si="212"/>
        <v xml:space="preserve">Southern Berkshire           </v>
      </c>
      <c r="AO409" s="6">
        <f t="shared" si="213"/>
        <v>1</v>
      </c>
      <c r="AP409" s="9">
        <f t="shared" si="218"/>
        <v>625.99999999373995</v>
      </c>
      <c r="AQ409" s="9">
        <f t="shared" si="214"/>
        <v>9110625.4799088929</v>
      </c>
      <c r="AR409" s="33">
        <f t="shared" si="215"/>
        <v>7516265</v>
      </c>
      <c r="AS409" s="33">
        <f t="shared" si="216"/>
        <v>2149694.9999993518</v>
      </c>
      <c r="AU409" s="28"/>
      <c r="AV409" s="9"/>
      <c r="AW409" s="519"/>
    </row>
    <row r="410" spans="1:49">
      <c r="A410" s="6">
        <v>766</v>
      </c>
      <c r="B410" s="6" t="s">
        <v>1084</v>
      </c>
      <c r="C410" s="7">
        <v>1</v>
      </c>
      <c r="D410" s="9">
        <v>18106696.800181068</v>
      </c>
      <c r="E410" s="9">
        <v>12099173</v>
      </c>
      <c r="F410" s="9">
        <v>10041108.000000769</v>
      </c>
      <c r="G410" s="348"/>
      <c r="H410" s="111">
        <f t="shared" si="217"/>
        <v>10041108.000000769</v>
      </c>
      <c r="I410" s="9">
        <f t="shared" si="188"/>
        <v>18485700.379999999</v>
      </c>
      <c r="J410" s="33">
        <f t="shared" si="189"/>
        <v>12602300</v>
      </c>
      <c r="K410" s="9">
        <f t="shared" si="190"/>
        <v>5883400</v>
      </c>
      <c r="L410" s="112">
        <f t="shared" si="191"/>
        <v>0</v>
      </c>
      <c r="M410" s="458">
        <f t="shared" si="187"/>
        <v>27.29</v>
      </c>
      <c r="N410" s="9">
        <v>1281.0000000128102</v>
      </c>
      <c r="O410" s="9">
        <f t="shared" si="192"/>
        <v>1258</v>
      </c>
      <c r="P410" s="9">
        <f t="shared" si="193"/>
        <v>0</v>
      </c>
      <c r="Q410" s="28">
        <f t="shared" si="194"/>
        <v>130832</v>
      </c>
      <c r="R410" s="382">
        <f t="shared" si="195"/>
        <v>130832</v>
      </c>
      <c r="S410" s="28">
        <v>10041108.000000769</v>
      </c>
      <c r="T410" s="33">
        <f t="shared" si="196"/>
        <v>10078848.000000769</v>
      </c>
      <c r="U410" s="9">
        <f t="shared" si="197"/>
        <v>0</v>
      </c>
      <c r="V410" s="33">
        <f t="shared" si="198"/>
        <v>10171940.000000769</v>
      </c>
      <c r="W410" s="33">
        <f t="shared" si="199"/>
        <v>0</v>
      </c>
      <c r="X410" s="33">
        <v>0</v>
      </c>
      <c r="Y410" s="113">
        <f t="shared" si="200"/>
        <v>10171940.000000769</v>
      </c>
      <c r="Z410" s="155">
        <f t="shared" si="201"/>
        <v>55.025991933775842</v>
      </c>
      <c r="AA410" s="33">
        <f t="shared" si="202"/>
        <v>22774240.000000767</v>
      </c>
      <c r="AB410" s="114">
        <f t="shared" si="203"/>
        <v>123.19922714229759</v>
      </c>
      <c r="AC410" s="28">
        <f t="shared" si="204"/>
        <v>379003.57981893048</v>
      </c>
      <c r="AD410" s="28">
        <f t="shared" si="205"/>
        <v>130832</v>
      </c>
      <c r="AE410" s="28">
        <f t="shared" si="206"/>
        <v>5127192.3662987696</v>
      </c>
      <c r="AF410" s="115">
        <f t="shared" si="207"/>
        <v>27.735991933775843</v>
      </c>
      <c r="AG410" s="28">
        <f t="shared" si="208"/>
        <v>14694.52</v>
      </c>
      <c r="AI410" s="28">
        <f t="shared" si="209"/>
        <v>0</v>
      </c>
      <c r="AJ410" s="28"/>
      <c r="AK410" s="28">
        <f t="shared" si="210"/>
        <v>104</v>
      </c>
      <c r="AL410" s="156"/>
      <c r="AM410" s="6">
        <f t="shared" si="211"/>
        <v>766</v>
      </c>
      <c r="AN410" s="6" t="str">
        <f t="shared" si="212"/>
        <v>Southwick Tolland Granville</v>
      </c>
      <c r="AO410" s="6">
        <f t="shared" si="213"/>
        <v>1</v>
      </c>
      <c r="AP410" s="9">
        <f t="shared" si="218"/>
        <v>1258</v>
      </c>
      <c r="AQ410" s="9">
        <f t="shared" si="214"/>
        <v>18485700.379999999</v>
      </c>
      <c r="AR410" s="33">
        <f t="shared" si="215"/>
        <v>12602300</v>
      </c>
      <c r="AS410" s="33">
        <f t="shared" si="216"/>
        <v>10171940.000000769</v>
      </c>
      <c r="AU410" s="28"/>
      <c r="AV410" s="9"/>
      <c r="AW410" s="519"/>
    </row>
    <row r="411" spans="1:49">
      <c r="A411" s="6">
        <v>767</v>
      </c>
      <c r="B411" s="6" t="s">
        <v>1514</v>
      </c>
      <c r="C411" s="7">
        <v>1</v>
      </c>
      <c r="D411" s="9">
        <v>22391801.729999993</v>
      </c>
      <c r="E411" s="9">
        <v>10460047</v>
      </c>
      <c r="F411" s="9">
        <v>13921034</v>
      </c>
      <c r="G411" s="348"/>
      <c r="H411" s="111">
        <f t="shared" si="217"/>
        <v>13921034</v>
      </c>
      <c r="I411" s="9">
        <f t="shared" si="188"/>
        <v>24082014.090000004</v>
      </c>
      <c r="J411" s="33">
        <f t="shared" si="189"/>
        <v>11053262</v>
      </c>
      <c r="K411" s="9">
        <f t="shared" si="190"/>
        <v>13028752</v>
      </c>
      <c r="L411" s="112">
        <f t="shared" si="191"/>
        <v>0</v>
      </c>
      <c r="M411" s="458">
        <f t="shared" si="187"/>
        <v>49.09</v>
      </c>
      <c r="N411" s="9">
        <v>1484.0000000000002</v>
      </c>
      <c r="O411" s="9">
        <f t="shared" si="192"/>
        <v>1524</v>
      </c>
      <c r="P411" s="9">
        <f t="shared" si="193"/>
        <v>0</v>
      </c>
      <c r="Q411" s="28">
        <f t="shared" si="194"/>
        <v>158496</v>
      </c>
      <c r="R411" s="382">
        <f t="shared" si="195"/>
        <v>158496</v>
      </c>
      <c r="S411" s="28">
        <v>13921034</v>
      </c>
      <c r="T411" s="33">
        <f t="shared" si="196"/>
        <v>13966754</v>
      </c>
      <c r="U411" s="9">
        <f t="shared" si="197"/>
        <v>0</v>
      </c>
      <c r="V411" s="33">
        <f t="shared" si="198"/>
        <v>14079530</v>
      </c>
      <c r="W411" s="33">
        <f t="shared" si="199"/>
        <v>0</v>
      </c>
      <c r="X411" s="33">
        <v>0</v>
      </c>
      <c r="Y411" s="113">
        <f t="shared" si="200"/>
        <v>14079530</v>
      </c>
      <c r="Z411" s="155">
        <f t="shared" si="201"/>
        <v>58.464918870081092</v>
      </c>
      <c r="AA411" s="33">
        <f t="shared" si="202"/>
        <v>25132792</v>
      </c>
      <c r="AB411" s="114">
        <f t="shared" si="203"/>
        <v>104.36333068352589</v>
      </c>
      <c r="AC411" s="28">
        <f t="shared" si="204"/>
        <v>1690212.3600000106</v>
      </c>
      <c r="AD411" s="28">
        <f t="shared" si="205"/>
        <v>158496</v>
      </c>
      <c r="AE411" s="28">
        <f t="shared" si="206"/>
        <v>2257669.2832189966</v>
      </c>
      <c r="AF411" s="115">
        <f t="shared" si="207"/>
        <v>9.374918870081089</v>
      </c>
      <c r="AG411" s="28">
        <f t="shared" si="208"/>
        <v>15801.85</v>
      </c>
      <c r="AI411" s="28">
        <f t="shared" si="209"/>
        <v>0</v>
      </c>
      <c r="AJ411" s="28"/>
      <c r="AK411" s="28">
        <f t="shared" si="210"/>
        <v>104</v>
      </c>
      <c r="AL411" s="156"/>
      <c r="AM411" s="6">
        <f t="shared" si="211"/>
        <v>767</v>
      </c>
      <c r="AN411" s="6" t="str">
        <f t="shared" si="212"/>
        <v xml:space="preserve">Spencer East Brookfield      </v>
      </c>
      <c r="AO411" s="6">
        <f t="shared" si="213"/>
        <v>1</v>
      </c>
      <c r="AP411" s="9">
        <f t="shared" si="218"/>
        <v>1524</v>
      </c>
      <c r="AQ411" s="9">
        <f t="shared" si="214"/>
        <v>24082014.090000004</v>
      </c>
      <c r="AR411" s="33">
        <f t="shared" si="215"/>
        <v>11053262</v>
      </c>
      <c r="AS411" s="33">
        <f t="shared" si="216"/>
        <v>14079530</v>
      </c>
      <c r="AU411" s="28"/>
      <c r="AV411" s="9"/>
      <c r="AW411" s="519"/>
    </row>
    <row r="412" spans="1:49">
      <c r="A412" s="6">
        <v>770</v>
      </c>
      <c r="B412" s="6" t="s">
        <v>1515</v>
      </c>
      <c r="C412" s="7">
        <v>1</v>
      </c>
      <c r="D412" s="9">
        <v>22722962.140000004</v>
      </c>
      <c r="E412" s="9">
        <v>11779194</v>
      </c>
      <c r="F412" s="9">
        <v>10943768</v>
      </c>
      <c r="G412" s="348"/>
      <c r="H412" s="111">
        <f t="shared" si="217"/>
        <v>10943768</v>
      </c>
      <c r="I412" s="9">
        <f t="shared" si="188"/>
        <v>23965742.399760343</v>
      </c>
      <c r="J412" s="33">
        <f t="shared" si="189"/>
        <v>12504793</v>
      </c>
      <c r="K412" s="9">
        <f t="shared" si="190"/>
        <v>11460949</v>
      </c>
      <c r="L412" s="112">
        <f t="shared" si="191"/>
        <v>517181</v>
      </c>
      <c r="M412" s="458">
        <f t="shared" si="187"/>
        <v>43.73</v>
      </c>
      <c r="N412" s="9">
        <v>1512.0000000000002</v>
      </c>
      <c r="O412" s="9">
        <f t="shared" si="192"/>
        <v>1523.9999999847601</v>
      </c>
      <c r="P412" s="9">
        <f t="shared" si="193"/>
        <v>1</v>
      </c>
      <c r="Q412" s="28">
        <f t="shared" si="194"/>
        <v>158495.99999841503</v>
      </c>
      <c r="R412" s="382">
        <f t="shared" si="195"/>
        <v>0</v>
      </c>
      <c r="S412" s="28">
        <v>10943768</v>
      </c>
      <c r="T412" s="33">
        <f t="shared" si="196"/>
        <v>10989487.999999544</v>
      </c>
      <c r="U412" s="9">
        <f t="shared" si="197"/>
        <v>0</v>
      </c>
      <c r="V412" s="33">
        <f t="shared" si="198"/>
        <v>11460949</v>
      </c>
      <c r="W412" s="33">
        <f t="shared" si="199"/>
        <v>0</v>
      </c>
      <c r="X412" s="33">
        <v>0</v>
      </c>
      <c r="Y412" s="113">
        <f t="shared" si="200"/>
        <v>11460949</v>
      </c>
      <c r="Z412" s="155">
        <f t="shared" si="201"/>
        <v>47.822215597688341</v>
      </c>
      <c r="AA412" s="33">
        <f t="shared" si="202"/>
        <v>23965742</v>
      </c>
      <c r="AB412" s="114">
        <f t="shared" si="203"/>
        <v>99.999998331950934</v>
      </c>
      <c r="AC412" s="28">
        <f t="shared" si="204"/>
        <v>1242780.2597603388</v>
      </c>
      <c r="AD412" s="28">
        <f t="shared" si="205"/>
        <v>517181</v>
      </c>
      <c r="AE412" s="28">
        <f t="shared" si="206"/>
        <v>980729.84858480282</v>
      </c>
      <c r="AF412" s="115">
        <f t="shared" si="207"/>
        <v>4.0922155976883445</v>
      </c>
      <c r="AG412" s="28">
        <f t="shared" si="208"/>
        <v>15725.55</v>
      </c>
      <c r="AI412" s="28">
        <f t="shared" si="209"/>
        <v>0</v>
      </c>
      <c r="AJ412" s="28"/>
      <c r="AK412" s="28">
        <f t="shared" si="210"/>
        <v>339.35761155195001</v>
      </c>
      <c r="AL412" s="156"/>
      <c r="AM412" s="6">
        <f t="shared" si="211"/>
        <v>770</v>
      </c>
      <c r="AN412" s="6" t="str">
        <f t="shared" si="212"/>
        <v xml:space="preserve">Tantasqua                    </v>
      </c>
      <c r="AO412" s="6">
        <f t="shared" si="213"/>
        <v>1</v>
      </c>
      <c r="AP412" s="9">
        <f t="shared" si="218"/>
        <v>1523.9999999847601</v>
      </c>
      <c r="AQ412" s="9">
        <f t="shared" si="214"/>
        <v>23965742.399760343</v>
      </c>
      <c r="AR412" s="33">
        <f t="shared" si="215"/>
        <v>12504793</v>
      </c>
      <c r="AS412" s="33">
        <f t="shared" si="216"/>
        <v>11460949</v>
      </c>
      <c r="AU412" s="28"/>
      <c r="AV412" s="9"/>
      <c r="AW412" s="519"/>
    </row>
    <row r="413" spans="1:49">
      <c r="A413" s="6">
        <v>773</v>
      </c>
      <c r="B413" s="6" t="s">
        <v>1516</v>
      </c>
      <c r="C413" s="7">
        <v>1</v>
      </c>
      <c r="D413" s="9">
        <v>30407397.850965925</v>
      </c>
      <c r="E413" s="9">
        <v>22865013</v>
      </c>
      <c r="F413" s="9">
        <v>9107060.9999986663</v>
      </c>
      <c r="G413" s="348"/>
      <c r="H413" s="111">
        <f t="shared" si="217"/>
        <v>9107060.9999986663</v>
      </c>
      <c r="I413" s="9">
        <f t="shared" si="188"/>
        <v>30126360.845719993</v>
      </c>
      <c r="J413" s="33">
        <f t="shared" si="189"/>
        <v>24150274</v>
      </c>
      <c r="K413" s="9">
        <f t="shared" si="190"/>
        <v>5976087</v>
      </c>
      <c r="L413" s="112">
        <f t="shared" si="191"/>
        <v>0</v>
      </c>
      <c r="M413" s="458">
        <f t="shared" si="187"/>
        <v>17.5</v>
      </c>
      <c r="N413" s="9">
        <v>2223.9999999777601</v>
      </c>
      <c r="O413" s="9">
        <f t="shared" si="192"/>
        <v>2156</v>
      </c>
      <c r="P413" s="9">
        <f t="shared" si="193"/>
        <v>0</v>
      </c>
      <c r="Q413" s="28">
        <f t="shared" si="194"/>
        <v>224224</v>
      </c>
      <c r="R413" s="382">
        <f t="shared" si="195"/>
        <v>224224</v>
      </c>
      <c r="S413" s="28">
        <v>9107060.9999986663</v>
      </c>
      <c r="T413" s="33">
        <f t="shared" si="196"/>
        <v>9171740.9999986663</v>
      </c>
      <c r="U413" s="9">
        <f t="shared" si="197"/>
        <v>0</v>
      </c>
      <c r="V413" s="33">
        <f t="shared" si="198"/>
        <v>9331284.9999986663</v>
      </c>
      <c r="W413" s="33">
        <f t="shared" si="199"/>
        <v>0</v>
      </c>
      <c r="X413" s="33">
        <v>0</v>
      </c>
      <c r="Y413" s="113">
        <f t="shared" si="200"/>
        <v>9331284.9999986663</v>
      </c>
      <c r="Z413" s="155">
        <f t="shared" si="201"/>
        <v>30.973820727253049</v>
      </c>
      <c r="AA413" s="33">
        <f t="shared" si="202"/>
        <v>33481558.999998666</v>
      </c>
      <c r="AB413" s="114">
        <f t="shared" si="203"/>
        <v>111.13708413525605</v>
      </c>
      <c r="AC413" s="28">
        <f t="shared" si="204"/>
        <v>-281037.00524593145</v>
      </c>
      <c r="AD413" s="28">
        <f t="shared" si="205"/>
        <v>224224</v>
      </c>
      <c r="AE413" s="28">
        <f t="shared" si="206"/>
        <v>4059171.8519976679</v>
      </c>
      <c r="AF413" s="115">
        <f t="shared" si="207"/>
        <v>13.473820727253049</v>
      </c>
      <c r="AG413" s="28">
        <f t="shared" si="208"/>
        <v>13973.27</v>
      </c>
      <c r="AI413" s="28">
        <f t="shared" si="209"/>
        <v>0</v>
      </c>
      <c r="AJ413" s="28"/>
      <c r="AK413" s="28">
        <f t="shared" si="210"/>
        <v>104</v>
      </c>
      <c r="AL413" s="156"/>
      <c r="AM413" s="6">
        <f t="shared" si="211"/>
        <v>773</v>
      </c>
      <c r="AN413" s="6" t="str">
        <f t="shared" si="212"/>
        <v xml:space="preserve">Triton                       </v>
      </c>
      <c r="AO413" s="6">
        <f t="shared" si="213"/>
        <v>1</v>
      </c>
      <c r="AP413" s="9">
        <f t="shared" si="218"/>
        <v>2156</v>
      </c>
      <c r="AQ413" s="9">
        <f t="shared" si="214"/>
        <v>30126360.845719993</v>
      </c>
      <c r="AR413" s="33">
        <f t="shared" si="215"/>
        <v>24150274</v>
      </c>
      <c r="AS413" s="33">
        <f t="shared" si="216"/>
        <v>9331284.9999986663</v>
      </c>
      <c r="AU413" s="28"/>
      <c r="AV413" s="9"/>
      <c r="AW413" s="519"/>
    </row>
    <row r="414" spans="1:49">
      <c r="A414" s="6">
        <v>774</v>
      </c>
      <c r="B414" s="6" t="s">
        <v>1088</v>
      </c>
      <c r="C414" s="7">
        <v>1</v>
      </c>
      <c r="D414" s="9">
        <v>5529555.0699999994</v>
      </c>
      <c r="E414" s="9">
        <v>4561883</v>
      </c>
      <c r="F414" s="9">
        <v>967672</v>
      </c>
      <c r="G414" s="348"/>
      <c r="H414" s="111">
        <f t="shared" si="217"/>
        <v>967672</v>
      </c>
      <c r="I414" s="9">
        <f t="shared" si="188"/>
        <v>5151589.76</v>
      </c>
      <c r="J414" s="33">
        <f t="shared" si="189"/>
        <v>4250062</v>
      </c>
      <c r="K414" s="9">
        <f t="shared" si="190"/>
        <v>901528</v>
      </c>
      <c r="L414" s="112">
        <f t="shared" si="191"/>
        <v>0</v>
      </c>
      <c r="M414" s="458">
        <f t="shared" si="187"/>
        <v>17.5</v>
      </c>
      <c r="N414" s="9">
        <v>412</v>
      </c>
      <c r="O414" s="9">
        <f t="shared" si="192"/>
        <v>385</v>
      </c>
      <c r="P414" s="9">
        <f t="shared" si="193"/>
        <v>0</v>
      </c>
      <c r="Q414" s="28">
        <f t="shared" si="194"/>
        <v>40040</v>
      </c>
      <c r="R414" s="382">
        <f t="shared" si="195"/>
        <v>40040</v>
      </c>
      <c r="S414" s="28">
        <v>967672</v>
      </c>
      <c r="T414" s="33">
        <f t="shared" si="196"/>
        <v>979222</v>
      </c>
      <c r="U414" s="9">
        <f t="shared" si="197"/>
        <v>0</v>
      </c>
      <c r="V414" s="33">
        <f t="shared" si="198"/>
        <v>1007712</v>
      </c>
      <c r="W414" s="33">
        <f t="shared" si="199"/>
        <v>0</v>
      </c>
      <c r="X414" s="33">
        <v>0</v>
      </c>
      <c r="Y414" s="113">
        <f t="shared" si="200"/>
        <v>1007712</v>
      </c>
      <c r="Z414" s="155">
        <f t="shared" si="201"/>
        <v>19.561184934104691</v>
      </c>
      <c r="AA414" s="33">
        <f t="shared" si="202"/>
        <v>5257774</v>
      </c>
      <c r="AB414" s="114">
        <f t="shared" si="203"/>
        <v>102.06119363044934</v>
      </c>
      <c r="AC414" s="28">
        <f t="shared" si="204"/>
        <v>-377965.30999999959</v>
      </c>
      <c r="AD414" s="28">
        <f t="shared" si="205"/>
        <v>40040</v>
      </c>
      <c r="AE414" s="28">
        <f t="shared" si="206"/>
        <v>106183.79200000013</v>
      </c>
      <c r="AF414" s="115">
        <f t="shared" si="207"/>
        <v>2.0611849341046913</v>
      </c>
      <c r="AG414" s="28">
        <f t="shared" si="208"/>
        <v>13380.75</v>
      </c>
      <c r="AI414" s="28">
        <f t="shared" si="209"/>
        <v>0</v>
      </c>
      <c r="AJ414" s="28"/>
      <c r="AK414" s="28">
        <f t="shared" si="210"/>
        <v>104</v>
      </c>
      <c r="AL414" s="156"/>
      <c r="AM414" s="6">
        <f t="shared" si="211"/>
        <v>774</v>
      </c>
      <c r="AN414" s="6" t="str">
        <f t="shared" si="212"/>
        <v>Upisland</v>
      </c>
      <c r="AO414" s="6">
        <f t="shared" si="213"/>
        <v>1</v>
      </c>
      <c r="AP414" s="9">
        <f t="shared" si="218"/>
        <v>385</v>
      </c>
      <c r="AQ414" s="9">
        <f t="shared" si="214"/>
        <v>5151589.76</v>
      </c>
      <c r="AR414" s="33">
        <f t="shared" si="215"/>
        <v>4250062</v>
      </c>
      <c r="AS414" s="33">
        <f t="shared" si="216"/>
        <v>1007712</v>
      </c>
      <c r="AU414" s="28"/>
      <c r="AV414" s="9"/>
      <c r="AW414" s="519"/>
    </row>
    <row r="415" spans="1:49">
      <c r="A415" s="6">
        <v>775</v>
      </c>
      <c r="B415" s="6" t="s">
        <v>1517</v>
      </c>
      <c r="C415" s="7">
        <v>1</v>
      </c>
      <c r="D415" s="9">
        <v>84952456.879999995</v>
      </c>
      <c r="E415" s="9">
        <v>49101422</v>
      </c>
      <c r="F415" s="9">
        <v>35851035</v>
      </c>
      <c r="G415" s="348"/>
      <c r="H415" s="111">
        <f t="shared" si="217"/>
        <v>35851035</v>
      </c>
      <c r="I415" s="9">
        <f t="shared" si="188"/>
        <v>86493263.779999971</v>
      </c>
      <c r="J415" s="33">
        <f t="shared" si="189"/>
        <v>51193105</v>
      </c>
      <c r="K415" s="9">
        <f t="shared" si="190"/>
        <v>35300159</v>
      </c>
      <c r="L415" s="112">
        <f t="shared" si="191"/>
        <v>0</v>
      </c>
      <c r="M415" s="458">
        <f t="shared" si="187"/>
        <v>35.65</v>
      </c>
      <c r="N415" s="9">
        <v>6867.9999999999991</v>
      </c>
      <c r="O415" s="9">
        <f t="shared" si="192"/>
        <v>6807</v>
      </c>
      <c r="P415" s="9">
        <f t="shared" si="193"/>
        <v>0</v>
      </c>
      <c r="Q415" s="28">
        <f t="shared" si="194"/>
        <v>707928</v>
      </c>
      <c r="R415" s="382">
        <f t="shared" si="195"/>
        <v>707928</v>
      </c>
      <c r="S415" s="28">
        <v>35851035</v>
      </c>
      <c r="T415" s="33">
        <f t="shared" si="196"/>
        <v>36055245</v>
      </c>
      <c r="U415" s="9">
        <f t="shared" si="197"/>
        <v>0</v>
      </c>
      <c r="V415" s="33">
        <f t="shared" si="198"/>
        <v>36558963</v>
      </c>
      <c r="W415" s="33">
        <f t="shared" si="199"/>
        <v>0</v>
      </c>
      <c r="X415" s="33">
        <v>0</v>
      </c>
      <c r="Y415" s="113">
        <f t="shared" si="200"/>
        <v>36558963</v>
      </c>
      <c r="Z415" s="155">
        <f t="shared" si="201"/>
        <v>42.267988745331181</v>
      </c>
      <c r="AA415" s="33">
        <f t="shared" si="202"/>
        <v>87752068</v>
      </c>
      <c r="AB415" s="114">
        <f t="shared" si="203"/>
        <v>101.45537833235414</v>
      </c>
      <c r="AC415" s="28">
        <f t="shared" si="204"/>
        <v>1540806.8999999762</v>
      </c>
      <c r="AD415" s="28">
        <f t="shared" si="205"/>
        <v>707928</v>
      </c>
      <c r="AE415" s="28">
        <f t="shared" si="206"/>
        <v>5724114.4624300115</v>
      </c>
      <c r="AF415" s="115">
        <f t="shared" si="207"/>
        <v>6.6179887453311821</v>
      </c>
      <c r="AG415" s="28">
        <f t="shared" si="208"/>
        <v>12706.52</v>
      </c>
      <c r="AI415" s="28">
        <f t="shared" si="209"/>
        <v>0</v>
      </c>
      <c r="AJ415" s="28"/>
      <c r="AK415" s="28">
        <f t="shared" si="210"/>
        <v>104</v>
      </c>
      <c r="AL415" s="156"/>
      <c r="AM415" s="6">
        <f t="shared" si="211"/>
        <v>775</v>
      </c>
      <c r="AN415" s="6" t="str">
        <f t="shared" si="212"/>
        <v xml:space="preserve">Wachusett                    </v>
      </c>
      <c r="AO415" s="6">
        <f t="shared" si="213"/>
        <v>1</v>
      </c>
      <c r="AP415" s="9">
        <f t="shared" si="218"/>
        <v>6807</v>
      </c>
      <c r="AQ415" s="9">
        <f t="shared" si="214"/>
        <v>86493263.779999971</v>
      </c>
      <c r="AR415" s="33">
        <f t="shared" si="215"/>
        <v>51193105</v>
      </c>
      <c r="AS415" s="33">
        <f t="shared" si="216"/>
        <v>36558963</v>
      </c>
      <c r="AU415" s="28"/>
      <c r="AV415" s="9"/>
      <c r="AW415" s="519"/>
    </row>
    <row r="416" spans="1:49">
      <c r="A416" s="6">
        <v>778</v>
      </c>
      <c r="B416" s="6" t="s">
        <v>1090</v>
      </c>
      <c r="C416" s="7">
        <v>1</v>
      </c>
      <c r="D416" s="9">
        <v>16750016.709999999</v>
      </c>
      <c r="E416" s="9">
        <v>6411888</v>
      </c>
      <c r="F416" s="9">
        <v>10338129</v>
      </c>
      <c r="G416" s="348"/>
      <c r="H416" s="111">
        <f t="shared" si="217"/>
        <v>10338129</v>
      </c>
      <c r="I416" s="9">
        <f t="shared" si="188"/>
        <v>15692440.66</v>
      </c>
      <c r="J416" s="33">
        <f t="shared" si="189"/>
        <v>6621808</v>
      </c>
      <c r="K416" s="9">
        <f t="shared" si="190"/>
        <v>9070633</v>
      </c>
      <c r="L416" s="112">
        <f t="shared" si="191"/>
        <v>0</v>
      </c>
      <c r="M416" s="458">
        <f t="shared" si="187"/>
        <v>53.29</v>
      </c>
      <c r="N416" s="9">
        <v>1110</v>
      </c>
      <c r="O416" s="9">
        <f t="shared" si="192"/>
        <v>1034</v>
      </c>
      <c r="P416" s="9">
        <f t="shared" si="193"/>
        <v>0</v>
      </c>
      <c r="Q416" s="28">
        <f t="shared" si="194"/>
        <v>107536</v>
      </c>
      <c r="R416" s="382">
        <f t="shared" si="195"/>
        <v>107536</v>
      </c>
      <c r="S416" s="28">
        <v>10338129</v>
      </c>
      <c r="T416" s="33">
        <f t="shared" si="196"/>
        <v>10369149</v>
      </c>
      <c r="U416" s="9">
        <f t="shared" si="197"/>
        <v>0</v>
      </c>
      <c r="V416" s="33">
        <f t="shared" si="198"/>
        <v>10445665</v>
      </c>
      <c r="W416" s="33">
        <f t="shared" si="199"/>
        <v>0</v>
      </c>
      <c r="X416" s="33">
        <v>0</v>
      </c>
      <c r="Y416" s="113">
        <f t="shared" si="200"/>
        <v>10445665</v>
      </c>
      <c r="Z416" s="155">
        <f t="shared" si="201"/>
        <v>66.5649482213814</v>
      </c>
      <c r="AA416" s="33">
        <f t="shared" si="202"/>
        <v>17067473</v>
      </c>
      <c r="AB416" s="114">
        <f t="shared" si="203"/>
        <v>108.76238674271336</v>
      </c>
      <c r="AC416" s="28">
        <f t="shared" si="204"/>
        <v>-1057576.0499999989</v>
      </c>
      <c r="AD416" s="28">
        <f t="shared" si="205"/>
        <v>107536</v>
      </c>
      <c r="AE416" s="28">
        <f t="shared" si="206"/>
        <v>2083163.3722859994</v>
      </c>
      <c r="AF416" s="115">
        <f t="shared" si="207"/>
        <v>13.274948221381401</v>
      </c>
      <c r="AG416" s="28">
        <f t="shared" si="208"/>
        <v>15176.44</v>
      </c>
      <c r="AI416" s="28">
        <f t="shared" si="209"/>
        <v>0</v>
      </c>
      <c r="AJ416" s="28"/>
      <c r="AK416" s="28">
        <f t="shared" si="210"/>
        <v>104</v>
      </c>
      <c r="AL416" s="156"/>
      <c r="AM416" s="6">
        <f t="shared" si="211"/>
        <v>778</v>
      </c>
      <c r="AN416" s="6" t="str">
        <f t="shared" si="212"/>
        <v>Quaboag</v>
      </c>
      <c r="AO416" s="6">
        <f t="shared" si="213"/>
        <v>1</v>
      </c>
      <c r="AP416" s="9">
        <f t="shared" si="218"/>
        <v>1034</v>
      </c>
      <c r="AQ416" s="9">
        <f t="shared" si="214"/>
        <v>15692440.66</v>
      </c>
      <c r="AR416" s="33">
        <f t="shared" si="215"/>
        <v>6621808</v>
      </c>
      <c r="AS416" s="33">
        <f t="shared" si="216"/>
        <v>10445665</v>
      </c>
      <c r="AU416" s="28"/>
      <c r="AV416" s="9"/>
      <c r="AW416" s="519"/>
    </row>
    <row r="417" spans="1:49">
      <c r="A417" s="6">
        <v>780</v>
      </c>
      <c r="B417" s="6" t="s">
        <v>1518</v>
      </c>
      <c r="C417" s="7">
        <v>1</v>
      </c>
      <c r="D417" s="9">
        <v>47694959.75</v>
      </c>
      <c r="E417" s="9">
        <v>23154753</v>
      </c>
      <c r="F417" s="9">
        <v>25303260</v>
      </c>
      <c r="G417" s="348"/>
      <c r="H417" s="111">
        <f t="shared" si="217"/>
        <v>25303260</v>
      </c>
      <c r="I417" s="9">
        <f t="shared" si="188"/>
        <v>48997412.140000001</v>
      </c>
      <c r="J417" s="33">
        <f t="shared" si="189"/>
        <v>24688171</v>
      </c>
      <c r="K417" s="9">
        <f t="shared" si="190"/>
        <v>24309241</v>
      </c>
      <c r="L417" s="112">
        <f t="shared" si="191"/>
        <v>0</v>
      </c>
      <c r="M417" s="458">
        <f t="shared" si="187"/>
        <v>43.89</v>
      </c>
      <c r="N417" s="9">
        <v>3570</v>
      </c>
      <c r="O417" s="9">
        <f t="shared" si="192"/>
        <v>3534</v>
      </c>
      <c r="P417" s="9">
        <f t="shared" si="193"/>
        <v>0</v>
      </c>
      <c r="Q417" s="28">
        <f t="shared" si="194"/>
        <v>367536</v>
      </c>
      <c r="R417" s="382">
        <f t="shared" si="195"/>
        <v>367536</v>
      </c>
      <c r="S417" s="28">
        <v>25303260</v>
      </c>
      <c r="T417" s="33">
        <f t="shared" si="196"/>
        <v>25409280</v>
      </c>
      <c r="U417" s="9">
        <f t="shared" si="197"/>
        <v>0</v>
      </c>
      <c r="V417" s="33">
        <f t="shared" si="198"/>
        <v>25670796</v>
      </c>
      <c r="W417" s="33">
        <f t="shared" si="199"/>
        <v>0</v>
      </c>
      <c r="X417" s="33">
        <v>0</v>
      </c>
      <c r="Y417" s="113">
        <f t="shared" si="200"/>
        <v>25670796</v>
      </c>
      <c r="Z417" s="155">
        <f t="shared" si="201"/>
        <v>52.392146602867506</v>
      </c>
      <c r="AA417" s="33">
        <f t="shared" si="202"/>
        <v>50358967</v>
      </c>
      <c r="AB417" s="114">
        <f t="shared" si="203"/>
        <v>102.77883014741603</v>
      </c>
      <c r="AC417" s="28">
        <f t="shared" si="204"/>
        <v>1302452.3900000006</v>
      </c>
      <c r="AD417" s="28">
        <f t="shared" si="205"/>
        <v>367536</v>
      </c>
      <c r="AE417" s="28">
        <f t="shared" si="206"/>
        <v>4165831.8117539994</v>
      </c>
      <c r="AF417" s="115">
        <f t="shared" si="207"/>
        <v>8.502146602867505</v>
      </c>
      <c r="AG417" s="28">
        <f t="shared" si="208"/>
        <v>13864.58</v>
      </c>
      <c r="AI417" s="28">
        <f t="shared" si="209"/>
        <v>0</v>
      </c>
      <c r="AJ417" s="28"/>
      <c r="AK417" s="28">
        <f t="shared" si="210"/>
        <v>104</v>
      </c>
      <c r="AL417" s="156"/>
      <c r="AM417" s="6">
        <f t="shared" si="211"/>
        <v>780</v>
      </c>
      <c r="AN417" s="6" t="str">
        <f t="shared" si="212"/>
        <v xml:space="preserve">Whitman Hanson               </v>
      </c>
      <c r="AO417" s="6">
        <f t="shared" si="213"/>
        <v>1</v>
      </c>
      <c r="AP417" s="9">
        <f t="shared" si="218"/>
        <v>3534</v>
      </c>
      <c r="AQ417" s="9">
        <f t="shared" si="214"/>
        <v>48997412.140000001</v>
      </c>
      <c r="AR417" s="33">
        <f t="shared" si="215"/>
        <v>24688171</v>
      </c>
      <c r="AS417" s="33">
        <f t="shared" si="216"/>
        <v>25670796</v>
      </c>
      <c r="AU417" s="28"/>
      <c r="AV417" s="9"/>
      <c r="AW417" s="519"/>
    </row>
    <row r="418" spans="1:49">
      <c r="A418" s="6">
        <v>801</v>
      </c>
      <c r="B418" s="6" t="s">
        <v>1519</v>
      </c>
      <c r="C418" s="7">
        <v>1</v>
      </c>
      <c r="D418" s="9">
        <v>21431809.599349998</v>
      </c>
      <c r="E418" s="9">
        <v>12336877</v>
      </c>
      <c r="F418" s="9">
        <v>9094933</v>
      </c>
      <c r="G418" s="348"/>
      <c r="H418" s="111">
        <f t="shared" si="217"/>
        <v>9094933</v>
      </c>
      <c r="I418" s="9">
        <f t="shared" si="188"/>
        <v>23337072.609233376</v>
      </c>
      <c r="J418" s="33">
        <f t="shared" si="189"/>
        <v>13488592</v>
      </c>
      <c r="K418" s="9">
        <f t="shared" si="190"/>
        <v>9848481</v>
      </c>
      <c r="L418" s="112">
        <f t="shared" si="191"/>
        <v>753548</v>
      </c>
      <c r="M418" s="458">
        <f t="shared" si="187"/>
        <v>37.119999999999997</v>
      </c>
      <c r="N418" s="9">
        <v>970.99999999999989</v>
      </c>
      <c r="O418" s="9">
        <f t="shared" si="192"/>
        <v>1019.00000001019</v>
      </c>
      <c r="P418" s="9">
        <f t="shared" si="193"/>
        <v>1</v>
      </c>
      <c r="Q418" s="28">
        <f t="shared" si="194"/>
        <v>105976.00000105976</v>
      </c>
      <c r="R418" s="382">
        <f t="shared" si="195"/>
        <v>0</v>
      </c>
      <c r="S418" s="28">
        <v>9094933</v>
      </c>
      <c r="T418" s="33">
        <f t="shared" si="196"/>
        <v>9125503.0000003055</v>
      </c>
      <c r="U418" s="9">
        <f t="shared" si="197"/>
        <v>0</v>
      </c>
      <c r="V418" s="33">
        <f t="shared" si="198"/>
        <v>9848481</v>
      </c>
      <c r="W418" s="33">
        <f t="shared" si="199"/>
        <v>0</v>
      </c>
      <c r="X418" s="33">
        <v>0</v>
      </c>
      <c r="Y418" s="113">
        <f t="shared" si="200"/>
        <v>9848481</v>
      </c>
      <c r="Z418" s="155">
        <f t="shared" si="201"/>
        <v>42.201012804422703</v>
      </c>
      <c r="AA418" s="33">
        <f t="shared" si="202"/>
        <v>23337073</v>
      </c>
      <c r="AB418" s="114">
        <f t="shared" si="203"/>
        <v>100.00000167444577</v>
      </c>
      <c r="AC418" s="28">
        <f t="shared" si="204"/>
        <v>1905263.0098833777</v>
      </c>
      <c r="AD418" s="28">
        <f t="shared" si="205"/>
        <v>753548</v>
      </c>
      <c r="AE418" s="28">
        <f t="shared" si="206"/>
        <v>1185759.6474525724</v>
      </c>
      <c r="AF418" s="115">
        <f t="shared" si="207"/>
        <v>5.0810128044227056</v>
      </c>
      <c r="AG418" s="28">
        <f t="shared" si="208"/>
        <v>22901.94</v>
      </c>
      <c r="AI418" s="28">
        <f t="shared" si="209"/>
        <v>0</v>
      </c>
      <c r="AJ418" s="28"/>
      <c r="AK418" s="28">
        <f t="shared" si="210"/>
        <v>739.49754660693281</v>
      </c>
      <c r="AL418" s="156"/>
      <c r="AM418" s="6">
        <f t="shared" si="211"/>
        <v>801</v>
      </c>
      <c r="AN418" s="6" t="str">
        <f t="shared" si="212"/>
        <v xml:space="preserve">Assabet Valley               </v>
      </c>
      <c r="AO418" s="6">
        <f t="shared" si="213"/>
        <v>1</v>
      </c>
      <c r="AP418" s="9">
        <f t="shared" si="218"/>
        <v>1019.00000001019</v>
      </c>
      <c r="AQ418" s="9">
        <f t="shared" si="214"/>
        <v>23337072.609233376</v>
      </c>
      <c r="AR418" s="33">
        <f t="shared" si="215"/>
        <v>13488592</v>
      </c>
      <c r="AS418" s="33">
        <f t="shared" si="216"/>
        <v>9848481</v>
      </c>
      <c r="AU418" s="28"/>
      <c r="AV418" s="9"/>
      <c r="AW418" s="519"/>
    </row>
    <row r="419" spans="1:49">
      <c r="A419" s="6">
        <v>805</v>
      </c>
      <c r="B419" s="6" t="s">
        <v>1520</v>
      </c>
      <c r="C419" s="7">
        <v>1</v>
      </c>
      <c r="D419" s="9">
        <v>23489724.719765104</v>
      </c>
      <c r="E419" s="9">
        <v>14213597</v>
      </c>
      <c r="F419" s="9">
        <v>9276128</v>
      </c>
      <c r="G419" s="348"/>
      <c r="H419" s="111">
        <f t="shared" si="217"/>
        <v>9276128</v>
      </c>
      <c r="I419" s="9">
        <f t="shared" si="188"/>
        <v>24426954.559999999</v>
      </c>
      <c r="J419" s="33">
        <f t="shared" si="189"/>
        <v>15281189</v>
      </c>
      <c r="K419" s="9">
        <f t="shared" si="190"/>
        <v>9145766</v>
      </c>
      <c r="L419" s="112">
        <f t="shared" si="191"/>
        <v>0</v>
      </c>
      <c r="M419" s="458">
        <f t="shared" si="187"/>
        <v>32.909999999999997</v>
      </c>
      <c r="N419" s="9">
        <v>1243.9999999875602</v>
      </c>
      <c r="O419" s="9">
        <f t="shared" si="192"/>
        <v>1261</v>
      </c>
      <c r="P419" s="9">
        <f t="shared" si="193"/>
        <v>0</v>
      </c>
      <c r="Q419" s="28">
        <f t="shared" si="194"/>
        <v>131144</v>
      </c>
      <c r="R419" s="382">
        <f t="shared" si="195"/>
        <v>131144</v>
      </c>
      <c r="S419" s="28">
        <v>9276128</v>
      </c>
      <c r="T419" s="33">
        <f t="shared" si="196"/>
        <v>9313958</v>
      </c>
      <c r="U419" s="9">
        <f t="shared" si="197"/>
        <v>0</v>
      </c>
      <c r="V419" s="33">
        <f t="shared" si="198"/>
        <v>9407272</v>
      </c>
      <c r="W419" s="33">
        <f t="shared" si="199"/>
        <v>0</v>
      </c>
      <c r="X419" s="33">
        <v>0</v>
      </c>
      <c r="Y419" s="113">
        <f t="shared" si="200"/>
        <v>9407272</v>
      </c>
      <c r="Z419" s="155">
        <f t="shared" si="201"/>
        <v>38.511849591781449</v>
      </c>
      <c r="AA419" s="33">
        <f t="shared" si="202"/>
        <v>24688461</v>
      </c>
      <c r="AB419" s="114">
        <f t="shared" si="203"/>
        <v>101.07056505696468</v>
      </c>
      <c r="AC419" s="28">
        <f t="shared" si="204"/>
        <v>937229.84023489431</v>
      </c>
      <c r="AD419" s="28">
        <f t="shared" si="205"/>
        <v>131144</v>
      </c>
      <c r="AE419" s="28">
        <f t="shared" si="206"/>
        <v>1368361.254304002</v>
      </c>
      <c r="AF419" s="115">
        <f t="shared" si="207"/>
        <v>5.6018495917814519</v>
      </c>
      <c r="AG419" s="28">
        <f t="shared" si="208"/>
        <v>19371.099999999999</v>
      </c>
      <c r="AI419" s="28">
        <f t="shared" si="209"/>
        <v>0</v>
      </c>
      <c r="AJ419" s="28"/>
      <c r="AK419" s="28">
        <f t="shared" si="210"/>
        <v>104</v>
      </c>
      <c r="AL419" s="156"/>
      <c r="AM419" s="6">
        <f t="shared" si="211"/>
        <v>805</v>
      </c>
      <c r="AN419" s="6" t="str">
        <f t="shared" si="212"/>
        <v xml:space="preserve">Blackstone Valley            </v>
      </c>
      <c r="AO419" s="6">
        <f t="shared" si="213"/>
        <v>1</v>
      </c>
      <c r="AP419" s="9">
        <f t="shared" si="218"/>
        <v>1261</v>
      </c>
      <c r="AQ419" s="9">
        <f t="shared" si="214"/>
        <v>24426954.559999999</v>
      </c>
      <c r="AR419" s="33">
        <f t="shared" si="215"/>
        <v>15281189</v>
      </c>
      <c r="AS419" s="33">
        <f t="shared" si="216"/>
        <v>9407272</v>
      </c>
      <c r="AU419" s="28"/>
      <c r="AV419" s="9"/>
      <c r="AW419" s="519"/>
    </row>
    <row r="420" spans="1:49">
      <c r="A420" s="6">
        <v>806</v>
      </c>
      <c r="B420" s="6" t="s">
        <v>1521</v>
      </c>
      <c r="C420" s="7">
        <v>1</v>
      </c>
      <c r="D420" s="9">
        <v>20180627.194921803</v>
      </c>
      <c r="E420" s="9">
        <v>12979952</v>
      </c>
      <c r="F420" s="9">
        <v>7200675</v>
      </c>
      <c r="G420" s="348"/>
      <c r="H420" s="111">
        <f t="shared" si="217"/>
        <v>7200675</v>
      </c>
      <c r="I420" s="9">
        <f t="shared" si="188"/>
        <v>20640945.172657177</v>
      </c>
      <c r="J420" s="33">
        <f t="shared" si="189"/>
        <v>13165278</v>
      </c>
      <c r="K420" s="9">
        <f t="shared" si="190"/>
        <v>7475667</v>
      </c>
      <c r="L420" s="112">
        <f t="shared" si="191"/>
        <v>274992</v>
      </c>
      <c r="M420" s="458">
        <f t="shared" si="187"/>
        <v>28.96</v>
      </c>
      <c r="N420" s="9">
        <v>925.0000000092499</v>
      </c>
      <c r="O420" s="9">
        <f t="shared" si="192"/>
        <v>927.99999998143994</v>
      </c>
      <c r="P420" s="9">
        <f t="shared" si="193"/>
        <v>1</v>
      </c>
      <c r="Q420" s="28">
        <f t="shared" si="194"/>
        <v>96511.999998069747</v>
      </c>
      <c r="R420" s="382">
        <f t="shared" si="195"/>
        <v>0</v>
      </c>
      <c r="S420" s="28">
        <v>7200675</v>
      </c>
      <c r="T420" s="33">
        <f t="shared" si="196"/>
        <v>7228514.9999994431</v>
      </c>
      <c r="U420" s="9">
        <f t="shared" si="197"/>
        <v>0</v>
      </c>
      <c r="V420" s="33">
        <f t="shared" si="198"/>
        <v>7475667</v>
      </c>
      <c r="W420" s="33">
        <f t="shared" si="199"/>
        <v>0</v>
      </c>
      <c r="X420" s="33">
        <v>0</v>
      </c>
      <c r="Y420" s="113">
        <f t="shared" si="200"/>
        <v>7475667</v>
      </c>
      <c r="Z420" s="155">
        <f t="shared" si="201"/>
        <v>36.217658336222556</v>
      </c>
      <c r="AA420" s="33">
        <f t="shared" si="202"/>
        <v>20640945</v>
      </c>
      <c r="AB420" s="114">
        <f t="shared" si="203"/>
        <v>99.999999163520982</v>
      </c>
      <c r="AC420" s="28">
        <f t="shared" si="204"/>
        <v>460317.97773537412</v>
      </c>
      <c r="AD420" s="28">
        <f t="shared" si="205"/>
        <v>274992</v>
      </c>
      <c r="AE420" s="28">
        <f t="shared" si="206"/>
        <v>1498049.2779984809</v>
      </c>
      <c r="AF420" s="115">
        <f t="shared" si="207"/>
        <v>7.2576583362225549</v>
      </c>
      <c r="AG420" s="28">
        <f t="shared" si="208"/>
        <v>22242.400000000001</v>
      </c>
      <c r="AI420" s="28">
        <f t="shared" si="209"/>
        <v>0</v>
      </c>
      <c r="AJ420" s="28"/>
      <c r="AK420" s="28">
        <f t="shared" si="210"/>
        <v>296.32758621282312</v>
      </c>
      <c r="AL420" s="156"/>
      <c r="AM420" s="6">
        <f t="shared" si="211"/>
        <v>806</v>
      </c>
      <c r="AN420" s="6" t="str">
        <f t="shared" si="212"/>
        <v xml:space="preserve">Blue Hills                   </v>
      </c>
      <c r="AO420" s="6">
        <f t="shared" si="213"/>
        <v>1</v>
      </c>
      <c r="AP420" s="9">
        <f t="shared" si="218"/>
        <v>927.99999998143994</v>
      </c>
      <c r="AQ420" s="9">
        <f t="shared" si="214"/>
        <v>20640945.172657177</v>
      </c>
      <c r="AR420" s="33">
        <f t="shared" si="215"/>
        <v>13165278</v>
      </c>
      <c r="AS420" s="33">
        <f t="shared" si="216"/>
        <v>7475667</v>
      </c>
      <c r="AU420" s="28"/>
      <c r="AV420" s="9"/>
      <c r="AW420" s="519"/>
    </row>
    <row r="421" spans="1:49">
      <c r="A421" s="6">
        <v>810</v>
      </c>
      <c r="B421" s="6" t="s">
        <v>1522</v>
      </c>
      <c r="C421" s="7">
        <v>1</v>
      </c>
      <c r="D421" s="9">
        <v>26611587.789733887</v>
      </c>
      <c r="E421" s="9">
        <v>12417077</v>
      </c>
      <c r="F421" s="9">
        <v>14194511</v>
      </c>
      <c r="G421" s="348"/>
      <c r="H421" s="111">
        <f>F421+123910</f>
        <v>14318421</v>
      </c>
      <c r="I421" s="9">
        <f t="shared" si="188"/>
        <v>27594090.620275941</v>
      </c>
      <c r="J421" s="33">
        <f t="shared" si="189"/>
        <v>13255197</v>
      </c>
      <c r="K421" s="9">
        <f t="shared" si="190"/>
        <v>14338894</v>
      </c>
      <c r="L421" s="112">
        <f t="shared" si="191"/>
        <v>20473</v>
      </c>
      <c r="M421" s="458">
        <f t="shared" si="187"/>
        <v>47.69</v>
      </c>
      <c r="N421" s="9">
        <v>1319.9999999868</v>
      </c>
      <c r="O421" s="9">
        <f t="shared" si="192"/>
        <v>1362.0000000136201</v>
      </c>
      <c r="P421" s="9">
        <f t="shared" si="193"/>
        <v>1</v>
      </c>
      <c r="Q421" s="28">
        <f t="shared" si="194"/>
        <v>141648.00000141648</v>
      </c>
      <c r="R421" s="382">
        <f t="shared" si="195"/>
        <v>121175.00000141648</v>
      </c>
      <c r="S421" s="28">
        <v>14318421</v>
      </c>
      <c r="T421" s="33">
        <f t="shared" si="196"/>
        <v>14359281.000000408</v>
      </c>
      <c r="U421" s="9">
        <f t="shared" si="197"/>
        <v>0</v>
      </c>
      <c r="V421" s="33">
        <f t="shared" si="198"/>
        <v>14460069.000001416</v>
      </c>
      <c r="W421" s="33">
        <f t="shared" si="199"/>
        <v>0</v>
      </c>
      <c r="X421" s="33">
        <v>0</v>
      </c>
      <c r="Y421" s="113">
        <f t="shared" si="200"/>
        <v>14460069.000001416</v>
      </c>
      <c r="Z421" s="155">
        <f t="shared" si="201"/>
        <v>52.402774198966576</v>
      </c>
      <c r="AA421" s="33">
        <f t="shared" si="202"/>
        <v>27715266.000001416</v>
      </c>
      <c r="AB421" s="114">
        <f t="shared" si="203"/>
        <v>100.43913525324308</v>
      </c>
      <c r="AC421" s="28">
        <f t="shared" si="204"/>
        <v>982502.83054205403</v>
      </c>
      <c r="AD421" s="28">
        <f t="shared" si="205"/>
        <v>265558.00000141561</v>
      </c>
      <c r="AE421" s="28">
        <f t="shared" si="206"/>
        <v>1300447.1831918191</v>
      </c>
      <c r="AF421" s="115">
        <f t="shared" si="207"/>
        <v>4.7127741989665779</v>
      </c>
      <c r="AG421" s="28">
        <f t="shared" si="208"/>
        <v>20259.98</v>
      </c>
      <c r="AI421" s="28">
        <f t="shared" si="209"/>
        <v>0</v>
      </c>
      <c r="AJ421" s="28"/>
      <c r="AK421" s="28">
        <f t="shared" si="210"/>
        <v>194.97650513859031</v>
      </c>
      <c r="AL421" s="156"/>
      <c r="AM421" s="6">
        <f t="shared" si="211"/>
        <v>810</v>
      </c>
      <c r="AN421" s="6" t="str">
        <f t="shared" si="212"/>
        <v xml:space="preserve">Bristol Plymouth             </v>
      </c>
      <c r="AO421" s="6">
        <f t="shared" si="213"/>
        <v>1</v>
      </c>
      <c r="AP421" s="9">
        <f t="shared" si="218"/>
        <v>1362.0000000136201</v>
      </c>
      <c r="AQ421" s="9">
        <f t="shared" si="214"/>
        <v>27594090.620275941</v>
      </c>
      <c r="AR421" s="33">
        <f t="shared" si="215"/>
        <v>13255197</v>
      </c>
      <c r="AS421" s="33">
        <f t="shared" si="216"/>
        <v>14460069.000001416</v>
      </c>
      <c r="AU421" s="28"/>
      <c r="AV421" s="9"/>
      <c r="AW421" s="519"/>
    </row>
    <row r="422" spans="1:49">
      <c r="A422" s="6">
        <v>815</v>
      </c>
      <c r="B422" s="6" t="s">
        <v>1523</v>
      </c>
      <c r="C422" s="7">
        <v>1</v>
      </c>
      <c r="D422" s="9">
        <v>14522131.980000004</v>
      </c>
      <c r="E422" s="9">
        <v>11114860</v>
      </c>
      <c r="F422" s="9">
        <v>3407272</v>
      </c>
      <c r="G422" s="348"/>
      <c r="H422" s="111">
        <f t="shared" si="217"/>
        <v>3407272</v>
      </c>
      <c r="I422" s="9">
        <f t="shared" si="188"/>
        <v>14535867.460145356</v>
      </c>
      <c r="J422" s="33">
        <f t="shared" si="189"/>
        <v>11273432</v>
      </c>
      <c r="K422" s="9">
        <f t="shared" si="190"/>
        <v>3262435</v>
      </c>
      <c r="L422" s="112">
        <f t="shared" si="191"/>
        <v>0</v>
      </c>
      <c r="M422" s="458">
        <f t="shared" si="187"/>
        <v>17.5</v>
      </c>
      <c r="N422" s="9">
        <v>669.00000000000011</v>
      </c>
      <c r="O422" s="9">
        <f t="shared" si="192"/>
        <v>667.00000000667001</v>
      </c>
      <c r="P422" s="9">
        <f t="shared" si="193"/>
        <v>0</v>
      </c>
      <c r="Q422" s="28">
        <f t="shared" si="194"/>
        <v>69368.000000693675</v>
      </c>
      <c r="R422" s="382">
        <f t="shared" si="195"/>
        <v>69368.000000693675</v>
      </c>
      <c r="S422" s="28">
        <v>3407272</v>
      </c>
      <c r="T422" s="33">
        <f t="shared" si="196"/>
        <v>3427282.0000002002</v>
      </c>
      <c r="U422" s="9">
        <f t="shared" si="197"/>
        <v>0</v>
      </c>
      <c r="V422" s="33">
        <f t="shared" si="198"/>
        <v>3476640.0000006938</v>
      </c>
      <c r="W422" s="33">
        <f t="shared" si="199"/>
        <v>0</v>
      </c>
      <c r="X422" s="33">
        <v>0</v>
      </c>
      <c r="Y422" s="113">
        <f t="shared" si="200"/>
        <v>3476640.0000006938</v>
      </c>
      <c r="Z422" s="155">
        <f t="shared" si="201"/>
        <v>23.917664422388231</v>
      </c>
      <c r="AA422" s="33">
        <f t="shared" si="202"/>
        <v>14750072.000000693</v>
      </c>
      <c r="AB422" s="114">
        <f t="shared" si="203"/>
        <v>101.47362749724189</v>
      </c>
      <c r="AC422" s="28">
        <f t="shared" si="204"/>
        <v>13735.480145351961</v>
      </c>
      <c r="AD422" s="28">
        <f t="shared" si="205"/>
        <v>69368.000000693835</v>
      </c>
      <c r="AE422" s="28">
        <f t="shared" si="206"/>
        <v>932863.19447525684</v>
      </c>
      <c r="AF422" s="115">
        <f t="shared" si="207"/>
        <v>6.4176644223882313</v>
      </c>
      <c r="AG422" s="28">
        <f t="shared" si="208"/>
        <v>21792.9</v>
      </c>
      <c r="AI422" s="28">
        <f t="shared" si="209"/>
        <v>0</v>
      </c>
      <c r="AJ422" s="28"/>
      <c r="AK422" s="28">
        <f t="shared" si="210"/>
        <v>104.00000000000023</v>
      </c>
      <c r="AL422" s="156"/>
      <c r="AM422" s="6">
        <f t="shared" si="211"/>
        <v>815</v>
      </c>
      <c r="AN422" s="6" t="str">
        <f t="shared" si="212"/>
        <v xml:space="preserve">Cape Cod                     </v>
      </c>
      <c r="AO422" s="6">
        <f t="shared" si="213"/>
        <v>1</v>
      </c>
      <c r="AP422" s="9">
        <f t="shared" si="218"/>
        <v>667.00000000667001</v>
      </c>
      <c r="AQ422" s="9">
        <f t="shared" si="214"/>
        <v>14535867.460145356</v>
      </c>
      <c r="AR422" s="33">
        <f t="shared" si="215"/>
        <v>11273432</v>
      </c>
      <c r="AS422" s="33">
        <f t="shared" si="216"/>
        <v>3476640.0000006938</v>
      </c>
      <c r="AU422" s="28"/>
      <c r="AV422" s="9"/>
      <c r="AW422" s="519"/>
    </row>
    <row r="423" spans="1:49">
      <c r="A423" s="6">
        <v>817</v>
      </c>
      <c r="B423" s="6" t="s">
        <v>1097</v>
      </c>
      <c r="C423" s="7">
        <v>1</v>
      </c>
      <c r="D423" s="9">
        <v>27035849.729459278</v>
      </c>
      <c r="E423" s="9">
        <v>19200403</v>
      </c>
      <c r="F423" s="9">
        <v>7835447</v>
      </c>
      <c r="G423" s="348"/>
      <c r="H423" s="111">
        <f t="shared" si="217"/>
        <v>7835447</v>
      </c>
      <c r="I423" s="9">
        <f t="shared" si="188"/>
        <v>28509097.570855275</v>
      </c>
      <c r="J423" s="33">
        <f t="shared" si="189"/>
        <v>20417318</v>
      </c>
      <c r="K423" s="9">
        <f t="shared" si="190"/>
        <v>8091780</v>
      </c>
      <c r="L423" s="112">
        <f t="shared" si="191"/>
        <v>256333</v>
      </c>
      <c r="M423" s="458">
        <f t="shared" ref="M423:M445" si="219">ROUND(100-SUMIF(fraclea,A423,memeffpct),2)</f>
        <v>23.36</v>
      </c>
      <c r="N423" s="9">
        <v>1370.9999999725799</v>
      </c>
      <c r="O423" s="9">
        <f t="shared" si="192"/>
        <v>1413.00000004239</v>
      </c>
      <c r="P423" s="9">
        <f t="shared" si="193"/>
        <v>1</v>
      </c>
      <c r="Q423" s="28">
        <f t="shared" si="194"/>
        <v>146952.00000440856</v>
      </c>
      <c r="R423" s="382">
        <f t="shared" si="195"/>
        <v>0</v>
      </c>
      <c r="S423" s="28">
        <v>7835447</v>
      </c>
      <c r="T423" s="33">
        <f t="shared" si="196"/>
        <v>7877837.0000012713</v>
      </c>
      <c r="U423" s="9">
        <f t="shared" si="197"/>
        <v>0</v>
      </c>
      <c r="V423" s="33">
        <f t="shared" si="198"/>
        <v>8091780</v>
      </c>
      <c r="W423" s="33">
        <f t="shared" si="199"/>
        <v>0</v>
      </c>
      <c r="X423" s="33">
        <v>0</v>
      </c>
      <c r="Y423" s="113">
        <f t="shared" si="200"/>
        <v>8091780</v>
      </c>
      <c r="Z423" s="155">
        <f t="shared" si="201"/>
        <v>28.383150255419487</v>
      </c>
      <c r="AA423" s="33">
        <f t="shared" si="202"/>
        <v>28509098</v>
      </c>
      <c r="AB423" s="114">
        <f t="shared" si="203"/>
        <v>100.00000150529046</v>
      </c>
      <c r="AC423" s="28">
        <f t="shared" si="204"/>
        <v>1473247.8413959965</v>
      </c>
      <c r="AD423" s="28">
        <f t="shared" si="205"/>
        <v>256333</v>
      </c>
      <c r="AE423" s="28">
        <f t="shared" si="206"/>
        <v>1432054.8074482074</v>
      </c>
      <c r="AF423" s="115">
        <f t="shared" si="207"/>
        <v>5.0231502554194876</v>
      </c>
      <c r="AG423" s="28">
        <f t="shared" si="208"/>
        <v>20176.29</v>
      </c>
      <c r="AI423" s="28">
        <f t="shared" si="209"/>
        <v>0</v>
      </c>
      <c r="AJ423" s="28"/>
      <c r="AK423" s="28">
        <f t="shared" si="210"/>
        <v>181.41047416299364</v>
      </c>
      <c r="AL423" s="156"/>
      <c r="AM423" s="6">
        <f t="shared" si="211"/>
        <v>817</v>
      </c>
      <c r="AN423" s="6" t="str">
        <f t="shared" si="212"/>
        <v>Essex North Shore</v>
      </c>
      <c r="AO423" s="6">
        <f t="shared" si="213"/>
        <v>1</v>
      </c>
      <c r="AP423" s="9">
        <f t="shared" si="218"/>
        <v>1413.00000004239</v>
      </c>
      <c r="AQ423" s="9">
        <f t="shared" si="214"/>
        <v>28509097.570855275</v>
      </c>
      <c r="AR423" s="33">
        <f t="shared" si="215"/>
        <v>20417318</v>
      </c>
      <c r="AS423" s="33">
        <f t="shared" si="216"/>
        <v>8091780</v>
      </c>
      <c r="AU423" s="28"/>
      <c r="AV423" s="9"/>
      <c r="AW423" s="519"/>
    </row>
    <row r="424" spans="1:49">
      <c r="A424" s="6">
        <v>818</v>
      </c>
      <c r="B424" s="6" t="s">
        <v>1524</v>
      </c>
      <c r="C424" s="7">
        <v>1</v>
      </c>
      <c r="D424" s="9">
        <v>11960851.490000004</v>
      </c>
      <c r="E424" s="9">
        <v>6003158</v>
      </c>
      <c r="F424" s="9">
        <v>5957693</v>
      </c>
      <c r="G424" s="348"/>
      <c r="H424" s="111">
        <f t="shared" si="217"/>
        <v>5957693</v>
      </c>
      <c r="I424" s="9">
        <f t="shared" si="188"/>
        <v>12480308.010249607</v>
      </c>
      <c r="J424" s="33">
        <f t="shared" si="189"/>
        <v>6519373</v>
      </c>
      <c r="K424" s="9">
        <f t="shared" si="190"/>
        <v>5960935</v>
      </c>
      <c r="L424" s="112">
        <f t="shared" si="191"/>
        <v>3242</v>
      </c>
      <c r="M424" s="458">
        <f t="shared" si="219"/>
        <v>44.23</v>
      </c>
      <c r="N424" s="9">
        <v>559.99999999999989</v>
      </c>
      <c r="O424" s="9">
        <f t="shared" si="192"/>
        <v>571.00000001142007</v>
      </c>
      <c r="P424" s="9">
        <f t="shared" si="193"/>
        <v>1</v>
      </c>
      <c r="Q424" s="28">
        <f t="shared" si="194"/>
        <v>59384.000001187684</v>
      </c>
      <c r="R424" s="382">
        <f t="shared" si="195"/>
        <v>56142.000001187684</v>
      </c>
      <c r="S424" s="28">
        <v>5957693</v>
      </c>
      <c r="T424" s="33">
        <f t="shared" si="196"/>
        <v>5974823.0000003427</v>
      </c>
      <c r="U424" s="9">
        <f t="shared" si="197"/>
        <v>0</v>
      </c>
      <c r="V424" s="33">
        <f t="shared" si="198"/>
        <v>6017077.0000011874</v>
      </c>
      <c r="W424" s="33">
        <f t="shared" si="199"/>
        <v>0</v>
      </c>
      <c r="X424" s="33">
        <v>0</v>
      </c>
      <c r="Y424" s="113">
        <f t="shared" si="200"/>
        <v>6017077.0000011874</v>
      </c>
      <c r="Z424" s="155">
        <f t="shared" si="201"/>
        <v>48.212568111777273</v>
      </c>
      <c r="AA424" s="33">
        <f t="shared" si="202"/>
        <v>12536450.000001188</v>
      </c>
      <c r="AB424" s="114">
        <f t="shared" si="203"/>
        <v>100.4498445848089</v>
      </c>
      <c r="AC424" s="28">
        <f t="shared" si="204"/>
        <v>519456.52024960332</v>
      </c>
      <c r="AD424" s="28">
        <f t="shared" si="205"/>
        <v>59384.000001187436</v>
      </c>
      <c r="AE424" s="28">
        <f t="shared" si="206"/>
        <v>497036.76706778631</v>
      </c>
      <c r="AF424" s="115">
        <f t="shared" si="207"/>
        <v>3.982568111777276</v>
      </c>
      <c r="AG424" s="28">
        <f t="shared" si="208"/>
        <v>21856.93</v>
      </c>
      <c r="AI424" s="28">
        <f t="shared" si="209"/>
        <v>0</v>
      </c>
      <c r="AJ424" s="28"/>
      <c r="AK424" s="28">
        <f t="shared" si="210"/>
        <v>103.99999999999956</v>
      </c>
      <c r="AL424" s="156"/>
      <c r="AM424" s="6">
        <f t="shared" si="211"/>
        <v>818</v>
      </c>
      <c r="AN424" s="6" t="str">
        <f t="shared" si="212"/>
        <v xml:space="preserve">Franklin County              </v>
      </c>
      <c r="AO424" s="6">
        <f t="shared" si="213"/>
        <v>1</v>
      </c>
      <c r="AP424" s="9">
        <f t="shared" si="218"/>
        <v>571.00000001142007</v>
      </c>
      <c r="AQ424" s="9">
        <f t="shared" si="214"/>
        <v>12480308.010249607</v>
      </c>
      <c r="AR424" s="33">
        <f t="shared" si="215"/>
        <v>6519373</v>
      </c>
      <c r="AS424" s="33">
        <f t="shared" si="216"/>
        <v>6017077.0000011874</v>
      </c>
      <c r="AU424" s="28"/>
      <c r="AV424" s="9"/>
      <c r="AW424" s="519"/>
    </row>
    <row r="425" spans="1:49">
      <c r="A425" s="6">
        <v>821</v>
      </c>
      <c r="B425" s="6" t="s">
        <v>1525</v>
      </c>
      <c r="C425" s="7">
        <v>1</v>
      </c>
      <c r="D425" s="9">
        <v>30840956.849999994</v>
      </c>
      <c r="E425" s="9">
        <v>8881164</v>
      </c>
      <c r="F425" s="9">
        <v>21959793</v>
      </c>
      <c r="G425" s="348"/>
      <c r="H425" s="111">
        <f t="shared" si="217"/>
        <v>21959793</v>
      </c>
      <c r="I425" s="9">
        <f t="shared" si="188"/>
        <v>32450539.059999999</v>
      </c>
      <c r="J425" s="33">
        <f t="shared" si="189"/>
        <v>9405908</v>
      </c>
      <c r="K425" s="9">
        <f t="shared" si="190"/>
        <v>23044631</v>
      </c>
      <c r="L425" s="112">
        <f t="shared" si="191"/>
        <v>1084838</v>
      </c>
      <c r="M425" s="458">
        <f t="shared" si="219"/>
        <v>65.14</v>
      </c>
      <c r="N425" s="9">
        <v>1450</v>
      </c>
      <c r="O425" s="9">
        <f t="shared" si="192"/>
        <v>1479</v>
      </c>
      <c r="P425" s="9">
        <f t="shared" si="193"/>
        <v>1</v>
      </c>
      <c r="Q425" s="28">
        <f t="shared" si="194"/>
        <v>153816</v>
      </c>
      <c r="R425" s="382">
        <f t="shared" si="195"/>
        <v>0</v>
      </c>
      <c r="S425" s="28">
        <v>21959793</v>
      </c>
      <c r="T425" s="33">
        <f t="shared" si="196"/>
        <v>22004163</v>
      </c>
      <c r="U425" s="9">
        <f t="shared" si="197"/>
        <v>0</v>
      </c>
      <c r="V425" s="33">
        <f t="shared" si="198"/>
        <v>23044631</v>
      </c>
      <c r="W425" s="33">
        <f t="shared" si="199"/>
        <v>0</v>
      </c>
      <c r="X425" s="33">
        <v>0</v>
      </c>
      <c r="Y425" s="113">
        <f t="shared" si="200"/>
        <v>23044631</v>
      </c>
      <c r="Z425" s="155">
        <f t="shared" si="201"/>
        <v>71.014632322104802</v>
      </c>
      <c r="AA425" s="33">
        <f t="shared" si="202"/>
        <v>32450539</v>
      </c>
      <c r="AB425" s="114">
        <f t="shared" si="203"/>
        <v>99.999999815103223</v>
      </c>
      <c r="AC425" s="28">
        <f t="shared" si="204"/>
        <v>1609582.2100000046</v>
      </c>
      <c r="AD425" s="28">
        <f t="shared" si="205"/>
        <v>1084838</v>
      </c>
      <c r="AE425" s="28">
        <f t="shared" si="206"/>
        <v>1906349.8563160002</v>
      </c>
      <c r="AF425" s="115">
        <f t="shared" si="207"/>
        <v>5.8746323221048016</v>
      </c>
      <c r="AG425" s="28">
        <f t="shared" si="208"/>
        <v>21940.86</v>
      </c>
      <c r="AI425" s="28">
        <f t="shared" si="209"/>
        <v>0</v>
      </c>
      <c r="AJ425" s="28"/>
      <c r="AK425" s="28">
        <f t="shared" si="210"/>
        <v>733.49425287356325</v>
      </c>
      <c r="AL425" s="156"/>
      <c r="AM425" s="6">
        <f t="shared" si="211"/>
        <v>821</v>
      </c>
      <c r="AN425" s="6" t="str">
        <f t="shared" si="212"/>
        <v xml:space="preserve">Greater Fall River           </v>
      </c>
      <c r="AO425" s="6">
        <f t="shared" si="213"/>
        <v>1</v>
      </c>
      <c r="AP425" s="9">
        <f t="shared" si="218"/>
        <v>1479</v>
      </c>
      <c r="AQ425" s="9">
        <f t="shared" si="214"/>
        <v>32450539.059999999</v>
      </c>
      <c r="AR425" s="33">
        <f t="shared" si="215"/>
        <v>9405908</v>
      </c>
      <c r="AS425" s="33">
        <f t="shared" si="216"/>
        <v>23044631</v>
      </c>
      <c r="AU425" s="28"/>
      <c r="AV425" s="9"/>
      <c r="AW425" s="519"/>
    </row>
    <row r="426" spans="1:49">
      <c r="A426" s="6">
        <v>823</v>
      </c>
      <c r="B426" s="6" t="s">
        <v>1526</v>
      </c>
      <c r="C426" s="7">
        <v>1</v>
      </c>
      <c r="D426" s="9">
        <v>43068009.264110669</v>
      </c>
      <c r="E426" s="9">
        <v>7518634</v>
      </c>
      <c r="F426" s="9">
        <v>35549375</v>
      </c>
      <c r="G426" s="348"/>
      <c r="H426" s="111">
        <f t="shared" si="217"/>
        <v>35549375</v>
      </c>
      <c r="I426" s="9">
        <f t="shared" si="188"/>
        <v>46223891.29065223</v>
      </c>
      <c r="J426" s="33">
        <f t="shared" si="189"/>
        <v>7953337</v>
      </c>
      <c r="K426" s="9">
        <f t="shared" si="190"/>
        <v>38270554</v>
      </c>
      <c r="L426" s="112">
        <f t="shared" si="191"/>
        <v>2721179</v>
      </c>
      <c r="M426" s="458">
        <f t="shared" si="219"/>
        <v>74.180000000000007</v>
      </c>
      <c r="N426" s="9">
        <v>1695.00000001695</v>
      </c>
      <c r="O426" s="9">
        <f t="shared" si="192"/>
        <v>1778.0000000177799</v>
      </c>
      <c r="P426" s="9">
        <f t="shared" si="193"/>
        <v>1</v>
      </c>
      <c r="Q426" s="28">
        <f t="shared" si="194"/>
        <v>184912.00000184911</v>
      </c>
      <c r="R426" s="382">
        <f t="shared" si="195"/>
        <v>0</v>
      </c>
      <c r="S426" s="28">
        <v>35549375</v>
      </c>
      <c r="T426" s="33">
        <f t="shared" si="196"/>
        <v>35602715.000000536</v>
      </c>
      <c r="U426" s="9">
        <f t="shared" si="197"/>
        <v>0</v>
      </c>
      <c r="V426" s="33">
        <f t="shared" si="198"/>
        <v>38270554</v>
      </c>
      <c r="W426" s="33">
        <f t="shared" si="199"/>
        <v>0</v>
      </c>
      <c r="X426" s="33">
        <v>0</v>
      </c>
      <c r="Y426" s="113">
        <f t="shared" si="200"/>
        <v>38270554</v>
      </c>
      <c r="Z426" s="155">
        <f t="shared" si="201"/>
        <v>82.793881976222508</v>
      </c>
      <c r="AA426" s="33">
        <f t="shared" si="202"/>
        <v>46223891</v>
      </c>
      <c r="AB426" s="114">
        <f t="shared" si="203"/>
        <v>99.999999371207778</v>
      </c>
      <c r="AC426" s="28">
        <f t="shared" si="204"/>
        <v>3155882.0265415609</v>
      </c>
      <c r="AD426" s="28">
        <f t="shared" si="205"/>
        <v>2721179</v>
      </c>
      <c r="AE426" s="28">
        <f t="shared" si="206"/>
        <v>3981671.440594174</v>
      </c>
      <c r="AF426" s="115">
        <f t="shared" si="207"/>
        <v>8.6138819762225012</v>
      </c>
      <c r="AG426" s="28">
        <f t="shared" si="208"/>
        <v>25997.69</v>
      </c>
      <c r="AI426" s="28">
        <f t="shared" si="209"/>
        <v>0</v>
      </c>
      <c r="AJ426" s="28"/>
      <c r="AK426" s="28">
        <f t="shared" si="210"/>
        <v>1530.4718784998809</v>
      </c>
      <c r="AL426" s="156"/>
      <c r="AM426" s="6">
        <f t="shared" si="211"/>
        <v>823</v>
      </c>
      <c r="AN426" s="6" t="str">
        <f t="shared" si="212"/>
        <v xml:space="preserve">Greater Lawrence             </v>
      </c>
      <c r="AO426" s="6">
        <f t="shared" si="213"/>
        <v>1</v>
      </c>
      <c r="AP426" s="9">
        <f t="shared" si="218"/>
        <v>1778.0000000177799</v>
      </c>
      <c r="AQ426" s="9">
        <f t="shared" si="214"/>
        <v>46223891.29065223</v>
      </c>
      <c r="AR426" s="33">
        <f t="shared" si="215"/>
        <v>7953337</v>
      </c>
      <c r="AS426" s="33">
        <f t="shared" si="216"/>
        <v>38270554</v>
      </c>
      <c r="AU426" s="28"/>
      <c r="AV426" s="9"/>
      <c r="AW426" s="519"/>
    </row>
    <row r="427" spans="1:49">
      <c r="A427" s="6">
        <v>825</v>
      </c>
      <c r="B427" s="6" t="s">
        <v>1527</v>
      </c>
      <c r="C427" s="7">
        <v>1</v>
      </c>
      <c r="D427" s="9">
        <v>46465556.500000007</v>
      </c>
      <c r="E427" s="9">
        <v>12909410</v>
      </c>
      <c r="F427" s="9">
        <v>33556147</v>
      </c>
      <c r="G427" s="348"/>
      <c r="H427" s="111">
        <f t="shared" si="217"/>
        <v>33556147</v>
      </c>
      <c r="I427" s="9">
        <f t="shared" si="188"/>
        <v>49088629.350000009</v>
      </c>
      <c r="J427" s="33">
        <f t="shared" si="189"/>
        <v>13645535</v>
      </c>
      <c r="K427" s="9">
        <f t="shared" si="190"/>
        <v>35443094</v>
      </c>
      <c r="L427" s="112">
        <f t="shared" si="191"/>
        <v>1886947</v>
      </c>
      <c r="M427" s="458">
        <f t="shared" si="219"/>
        <v>66.41</v>
      </c>
      <c r="N427" s="9">
        <v>2104</v>
      </c>
      <c r="O427" s="9">
        <f t="shared" si="192"/>
        <v>2160</v>
      </c>
      <c r="P427" s="9">
        <f t="shared" si="193"/>
        <v>1</v>
      </c>
      <c r="Q427" s="28">
        <f t="shared" si="194"/>
        <v>224640</v>
      </c>
      <c r="R427" s="382">
        <f t="shared" si="195"/>
        <v>0</v>
      </c>
      <c r="S427" s="28">
        <v>33556147</v>
      </c>
      <c r="T427" s="33">
        <f t="shared" si="196"/>
        <v>33620947</v>
      </c>
      <c r="U427" s="9">
        <f t="shared" si="197"/>
        <v>0</v>
      </c>
      <c r="V427" s="33">
        <f t="shared" si="198"/>
        <v>35443094</v>
      </c>
      <c r="W427" s="33">
        <f t="shared" si="199"/>
        <v>0</v>
      </c>
      <c r="X427" s="33">
        <v>0</v>
      </c>
      <c r="Y427" s="113">
        <f t="shared" si="200"/>
        <v>35443094</v>
      </c>
      <c r="Z427" s="155">
        <f t="shared" si="201"/>
        <v>72.202248197422918</v>
      </c>
      <c r="AA427" s="33">
        <f t="shared" si="202"/>
        <v>49088629</v>
      </c>
      <c r="AB427" s="114">
        <f t="shared" si="203"/>
        <v>99.999999287003902</v>
      </c>
      <c r="AC427" s="28">
        <f t="shared" si="204"/>
        <v>2623072.8500000015</v>
      </c>
      <c r="AD427" s="28">
        <f t="shared" si="205"/>
        <v>1886947</v>
      </c>
      <c r="AE427" s="28">
        <f t="shared" si="206"/>
        <v>2843335.2486649975</v>
      </c>
      <c r="AF427" s="115">
        <f t="shared" si="207"/>
        <v>5.7922481974229214</v>
      </c>
      <c r="AG427" s="28">
        <f t="shared" si="208"/>
        <v>22726.22</v>
      </c>
      <c r="AI427" s="28">
        <f t="shared" si="209"/>
        <v>0</v>
      </c>
      <c r="AJ427" s="28"/>
      <c r="AK427" s="28">
        <f t="shared" si="210"/>
        <v>873.58657407407406</v>
      </c>
      <c r="AL427" s="156"/>
      <c r="AM427" s="6">
        <f t="shared" si="211"/>
        <v>825</v>
      </c>
      <c r="AN427" s="6" t="str">
        <f t="shared" si="212"/>
        <v xml:space="preserve">Greater New Bedford          </v>
      </c>
      <c r="AO427" s="6">
        <f t="shared" si="213"/>
        <v>1</v>
      </c>
      <c r="AP427" s="9">
        <f t="shared" si="218"/>
        <v>2160</v>
      </c>
      <c r="AQ427" s="9">
        <f t="shared" si="214"/>
        <v>49088629.350000009</v>
      </c>
      <c r="AR427" s="33">
        <f t="shared" si="215"/>
        <v>13645535</v>
      </c>
      <c r="AS427" s="33">
        <f t="shared" si="216"/>
        <v>35443094</v>
      </c>
      <c r="AU427" s="28"/>
      <c r="AV427" s="9"/>
      <c r="AW427" s="519"/>
    </row>
    <row r="428" spans="1:49">
      <c r="A428" s="6">
        <v>828</v>
      </c>
      <c r="B428" s="6" t="s">
        <v>1528</v>
      </c>
      <c r="C428" s="7">
        <v>1</v>
      </c>
      <c r="D428" s="9">
        <v>52221931.380522214</v>
      </c>
      <c r="E428" s="9">
        <v>14996648</v>
      </c>
      <c r="F428" s="9">
        <v>37225283</v>
      </c>
      <c r="G428" s="348"/>
      <c r="H428" s="111">
        <f t="shared" si="217"/>
        <v>37225283</v>
      </c>
      <c r="I428" s="9">
        <f t="shared" si="188"/>
        <v>53599212.039999992</v>
      </c>
      <c r="J428" s="33">
        <f t="shared" si="189"/>
        <v>15928699</v>
      </c>
      <c r="K428" s="9">
        <f t="shared" si="190"/>
        <v>37670513</v>
      </c>
      <c r="L428" s="112">
        <f t="shared" si="191"/>
        <v>445230</v>
      </c>
      <c r="M428" s="458">
        <f t="shared" si="219"/>
        <v>65.38</v>
      </c>
      <c r="N428" s="9">
        <v>2364.00000002364</v>
      </c>
      <c r="O428" s="9">
        <f t="shared" si="192"/>
        <v>2373</v>
      </c>
      <c r="P428" s="9">
        <f t="shared" si="193"/>
        <v>1</v>
      </c>
      <c r="Q428" s="28">
        <f t="shared" si="194"/>
        <v>246792</v>
      </c>
      <c r="R428" s="382">
        <f t="shared" si="195"/>
        <v>0</v>
      </c>
      <c r="S428" s="28">
        <v>37225283</v>
      </c>
      <c r="T428" s="33">
        <f t="shared" si="196"/>
        <v>37296473</v>
      </c>
      <c r="U428" s="9">
        <f t="shared" si="197"/>
        <v>0</v>
      </c>
      <c r="V428" s="33">
        <f t="shared" si="198"/>
        <v>37670513</v>
      </c>
      <c r="W428" s="33">
        <f t="shared" si="199"/>
        <v>0</v>
      </c>
      <c r="X428" s="33">
        <v>13294</v>
      </c>
      <c r="Y428" s="113">
        <f t="shared" si="200"/>
        <v>37683807</v>
      </c>
      <c r="Z428" s="155">
        <f t="shared" si="201"/>
        <v>70.306643634755943</v>
      </c>
      <c r="AA428" s="33">
        <f t="shared" si="202"/>
        <v>53612506</v>
      </c>
      <c r="AB428" s="114">
        <f t="shared" si="203"/>
        <v>100.02480252879481</v>
      </c>
      <c r="AC428" s="28">
        <f t="shared" si="204"/>
        <v>1377280.6594777778</v>
      </c>
      <c r="AD428" s="28">
        <f t="shared" si="205"/>
        <v>458524</v>
      </c>
      <c r="AE428" s="28">
        <f t="shared" si="206"/>
        <v>2640642.1682480052</v>
      </c>
      <c r="AF428" s="115">
        <f t="shared" si="207"/>
        <v>4.9266436347559477</v>
      </c>
      <c r="AG428" s="28">
        <f t="shared" si="208"/>
        <v>22587.11</v>
      </c>
      <c r="AI428" s="28">
        <f t="shared" si="209"/>
        <v>0</v>
      </c>
      <c r="AJ428" s="28"/>
      <c r="AK428" s="28">
        <f t="shared" si="210"/>
        <v>193.22545301306363</v>
      </c>
      <c r="AL428" s="156"/>
      <c r="AM428" s="6">
        <f t="shared" si="211"/>
        <v>828</v>
      </c>
      <c r="AN428" s="6" t="str">
        <f t="shared" si="212"/>
        <v xml:space="preserve">Greater Lowell               </v>
      </c>
      <c r="AO428" s="6">
        <f t="shared" si="213"/>
        <v>1</v>
      </c>
      <c r="AP428" s="9">
        <f t="shared" si="218"/>
        <v>2373</v>
      </c>
      <c r="AQ428" s="9">
        <f t="shared" si="214"/>
        <v>53599212.039999992</v>
      </c>
      <c r="AR428" s="33">
        <f t="shared" si="215"/>
        <v>15928699</v>
      </c>
      <c r="AS428" s="33">
        <f t="shared" si="216"/>
        <v>37683807</v>
      </c>
      <c r="AU428" s="28"/>
      <c r="AV428" s="9"/>
      <c r="AW428" s="519"/>
    </row>
    <row r="429" spans="1:49">
      <c r="A429" s="6">
        <v>829</v>
      </c>
      <c r="B429" s="6" t="s">
        <v>1529</v>
      </c>
      <c r="C429" s="7">
        <v>1</v>
      </c>
      <c r="D429" s="9">
        <v>19205858.345507938</v>
      </c>
      <c r="E429" s="9">
        <v>10232414</v>
      </c>
      <c r="F429" s="9">
        <v>8973444</v>
      </c>
      <c r="G429" s="348"/>
      <c r="H429" s="111">
        <f t="shared" si="217"/>
        <v>8973444</v>
      </c>
      <c r="I429" s="9">
        <f t="shared" si="188"/>
        <v>20411990.153714113</v>
      </c>
      <c r="J429" s="33">
        <f t="shared" si="189"/>
        <v>11298529</v>
      </c>
      <c r="K429" s="9">
        <f t="shared" si="190"/>
        <v>9113461</v>
      </c>
      <c r="L429" s="112">
        <f t="shared" si="191"/>
        <v>140017</v>
      </c>
      <c r="M429" s="458">
        <f t="shared" si="219"/>
        <v>37.99</v>
      </c>
      <c r="N429" s="9">
        <v>840.99999999159002</v>
      </c>
      <c r="O429" s="9">
        <f t="shared" si="192"/>
        <v>869.00000000868988</v>
      </c>
      <c r="P429" s="9">
        <f t="shared" si="193"/>
        <v>1</v>
      </c>
      <c r="Q429" s="28">
        <f t="shared" si="194"/>
        <v>90376.000000903747</v>
      </c>
      <c r="R429" s="382">
        <f t="shared" si="195"/>
        <v>0</v>
      </c>
      <c r="S429" s="28">
        <v>8973444</v>
      </c>
      <c r="T429" s="33">
        <f t="shared" si="196"/>
        <v>8999514.0000002608</v>
      </c>
      <c r="U429" s="9">
        <f t="shared" si="197"/>
        <v>0</v>
      </c>
      <c r="V429" s="33">
        <f t="shared" si="198"/>
        <v>9113461</v>
      </c>
      <c r="W429" s="33">
        <f t="shared" si="199"/>
        <v>0</v>
      </c>
      <c r="X429" s="33">
        <v>-49641</v>
      </c>
      <c r="Y429" s="113">
        <f t="shared" si="200"/>
        <v>9063820</v>
      </c>
      <c r="Z429" s="155">
        <f t="shared" si="201"/>
        <v>44.404391398115436</v>
      </c>
      <c r="AA429" s="33">
        <f t="shared" si="202"/>
        <v>20362349</v>
      </c>
      <c r="AB429" s="114">
        <f t="shared" si="203"/>
        <v>99.756803950323871</v>
      </c>
      <c r="AC429" s="28">
        <f t="shared" si="204"/>
        <v>1206131.8082061745</v>
      </c>
      <c r="AD429" s="28">
        <f t="shared" si="205"/>
        <v>90376</v>
      </c>
      <c r="AE429" s="28">
        <f t="shared" si="206"/>
        <v>1309304.9406040078</v>
      </c>
      <c r="AF429" s="115">
        <f t="shared" si="207"/>
        <v>6.4143913981154341</v>
      </c>
      <c r="AG429" s="28">
        <f t="shared" si="208"/>
        <v>23489.06</v>
      </c>
      <c r="AI429" s="28">
        <f t="shared" si="209"/>
        <v>0</v>
      </c>
      <c r="AJ429" s="28"/>
      <c r="AK429" s="28">
        <f t="shared" si="210"/>
        <v>103.99999999896002</v>
      </c>
      <c r="AL429" s="156"/>
      <c r="AM429" s="6">
        <f t="shared" si="211"/>
        <v>829</v>
      </c>
      <c r="AN429" s="6" t="str">
        <f t="shared" si="212"/>
        <v xml:space="preserve">South Middlesex              </v>
      </c>
      <c r="AO429" s="6">
        <f t="shared" si="213"/>
        <v>1</v>
      </c>
      <c r="AP429" s="9">
        <f t="shared" si="218"/>
        <v>869.00000000868988</v>
      </c>
      <c r="AQ429" s="9">
        <f t="shared" si="214"/>
        <v>20411990.153714113</v>
      </c>
      <c r="AR429" s="33">
        <f t="shared" si="215"/>
        <v>11298529</v>
      </c>
      <c r="AS429" s="33">
        <f t="shared" si="216"/>
        <v>9063820</v>
      </c>
      <c r="AU429" s="28"/>
      <c r="AV429" s="9"/>
      <c r="AW429" s="519"/>
    </row>
    <row r="430" spans="1:49">
      <c r="A430" s="6">
        <v>830</v>
      </c>
      <c r="B430" s="6" t="s">
        <v>1530</v>
      </c>
      <c r="C430" s="7">
        <v>1</v>
      </c>
      <c r="D430" s="9">
        <v>12893971.225288942</v>
      </c>
      <c r="E430" s="9">
        <v>9915208</v>
      </c>
      <c r="F430" s="9">
        <v>2978763</v>
      </c>
      <c r="G430" s="348"/>
      <c r="H430" s="111">
        <f t="shared" si="217"/>
        <v>2978763</v>
      </c>
      <c r="I430" s="9">
        <f t="shared" si="188"/>
        <v>13658261.271336583</v>
      </c>
      <c r="J430" s="33">
        <f t="shared" si="189"/>
        <v>10712608</v>
      </c>
      <c r="K430" s="9">
        <f t="shared" si="190"/>
        <v>2945653</v>
      </c>
      <c r="L430" s="112">
        <f t="shared" si="191"/>
        <v>0</v>
      </c>
      <c r="M430" s="458">
        <f t="shared" si="219"/>
        <v>18.440000000000001</v>
      </c>
      <c r="N430" s="9">
        <v>618.00000000618002</v>
      </c>
      <c r="O430" s="9">
        <f t="shared" si="192"/>
        <v>654.00000000653995</v>
      </c>
      <c r="P430" s="9">
        <f t="shared" si="193"/>
        <v>0</v>
      </c>
      <c r="Q430" s="28">
        <f t="shared" si="194"/>
        <v>68016.000000680157</v>
      </c>
      <c r="R430" s="382">
        <f t="shared" si="195"/>
        <v>68016.000000680157</v>
      </c>
      <c r="S430" s="28">
        <v>2978763</v>
      </c>
      <c r="T430" s="33">
        <f t="shared" si="196"/>
        <v>2998383.000000196</v>
      </c>
      <c r="U430" s="9">
        <f t="shared" si="197"/>
        <v>0</v>
      </c>
      <c r="V430" s="33">
        <f t="shared" si="198"/>
        <v>3046779.0000006803</v>
      </c>
      <c r="W430" s="33">
        <f t="shared" si="199"/>
        <v>0</v>
      </c>
      <c r="X430" s="33">
        <v>0</v>
      </c>
      <c r="Y430" s="113">
        <f t="shared" si="200"/>
        <v>3046779.0000006803</v>
      </c>
      <c r="Z430" s="155">
        <f t="shared" si="201"/>
        <v>22.307224466372546</v>
      </c>
      <c r="AA430" s="33">
        <f t="shared" si="202"/>
        <v>13759387.00000068</v>
      </c>
      <c r="AB430" s="114">
        <f t="shared" si="203"/>
        <v>100.74039972332584</v>
      </c>
      <c r="AC430" s="28">
        <f t="shared" si="204"/>
        <v>764290.04604764096</v>
      </c>
      <c r="AD430" s="28">
        <f t="shared" si="205"/>
        <v>68016.000000680331</v>
      </c>
      <c r="AE430" s="28">
        <f t="shared" si="206"/>
        <v>528195.62156621413</v>
      </c>
      <c r="AF430" s="115">
        <f t="shared" si="207"/>
        <v>3.8672244663725444</v>
      </c>
      <c r="AG430" s="28">
        <f t="shared" si="208"/>
        <v>20884.189999999999</v>
      </c>
      <c r="AI430" s="28">
        <f t="shared" si="209"/>
        <v>0</v>
      </c>
      <c r="AJ430" s="28"/>
      <c r="AK430" s="28">
        <f t="shared" si="210"/>
        <v>104.00000000000027</v>
      </c>
      <c r="AL430" s="156"/>
      <c r="AM430" s="6">
        <f t="shared" si="211"/>
        <v>830</v>
      </c>
      <c r="AN430" s="6" t="str">
        <f t="shared" si="212"/>
        <v xml:space="preserve">Minuteman                    </v>
      </c>
      <c r="AO430" s="6">
        <f t="shared" si="213"/>
        <v>1</v>
      </c>
      <c r="AP430" s="9">
        <f t="shared" si="218"/>
        <v>654.00000000653995</v>
      </c>
      <c r="AQ430" s="9">
        <f t="shared" si="214"/>
        <v>13658261.271336583</v>
      </c>
      <c r="AR430" s="33">
        <f t="shared" si="215"/>
        <v>10712608</v>
      </c>
      <c r="AS430" s="33">
        <f t="shared" si="216"/>
        <v>3046779.0000006803</v>
      </c>
      <c r="AU430" s="28"/>
      <c r="AV430" s="9"/>
      <c r="AW430" s="519"/>
    </row>
    <row r="431" spans="1:49">
      <c r="A431" s="6">
        <v>832</v>
      </c>
      <c r="B431" s="6" t="s">
        <v>1531</v>
      </c>
      <c r="C431" s="7">
        <v>1</v>
      </c>
      <c r="D431" s="9">
        <v>29486021.359115418</v>
      </c>
      <c r="E431" s="9">
        <v>11167317</v>
      </c>
      <c r="F431" s="9">
        <v>18318704</v>
      </c>
      <c r="G431" s="348"/>
      <c r="H431" s="111">
        <f t="shared" si="217"/>
        <v>18318704</v>
      </c>
      <c r="I431" s="9">
        <f t="shared" si="188"/>
        <v>29905696.930299059</v>
      </c>
      <c r="J431" s="33">
        <f t="shared" si="189"/>
        <v>11646249</v>
      </c>
      <c r="K431" s="9">
        <f t="shared" si="190"/>
        <v>18259448</v>
      </c>
      <c r="L431" s="112">
        <f t="shared" si="191"/>
        <v>0</v>
      </c>
      <c r="M431" s="458">
        <f t="shared" si="219"/>
        <v>55.55</v>
      </c>
      <c r="N431" s="9">
        <v>1464.99999995605</v>
      </c>
      <c r="O431" s="9">
        <f t="shared" si="192"/>
        <v>1476.00000001476</v>
      </c>
      <c r="P431" s="9">
        <f t="shared" si="193"/>
        <v>0</v>
      </c>
      <c r="Q431" s="28">
        <f t="shared" si="194"/>
        <v>153504.00000153502</v>
      </c>
      <c r="R431" s="382">
        <f t="shared" si="195"/>
        <v>153504.00000153502</v>
      </c>
      <c r="S431" s="28">
        <v>18318704</v>
      </c>
      <c r="T431" s="33">
        <f t="shared" si="196"/>
        <v>18362984.000000443</v>
      </c>
      <c r="U431" s="9">
        <f t="shared" si="197"/>
        <v>0</v>
      </c>
      <c r="V431" s="33">
        <f t="shared" si="198"/>
        <v>18472208.000001535</v>
      </c>
      <c r="W431" s="33">
        <f t="shared" si="199"/>
        <v>0</v>
      </c>
      <c r="X431" s="33">
        <v>0</v>
      </c>
      <c r="Y431" s="113">
        <f t="shared" si="200"/>
        <v>18472208.000001535</v>
      </c>
      <c r="Z431" s="155">
        <f t="shared" si="201"/>
        <v>61.768191000713159</v>
      </c>
      <c r="AA431" s="33">
        <f t="shared" si="202"/>
        <v>30118457.000001535</v>
      </c>
      <c r="AB431" s="114">
        <f t="shared" si="203"/>
        <v>100.71143658747815</v>
      </c>
      <c r="AC431" s="28">
        <f t="shared" si="204"/>
        <v>419675.57118364051</v>
      </c>
      <c r="AD431" s="28">
        <f t="shared" si="205"/>
        <v>153504.00000153482</v>
      </c>
      <c r="AE431" s="28">
        <f t="shared" si="206"/>
        <v>1859593.3552204072</v>
      </c>
      <c r="AF431" s="115">
        <f t="shared" si="207"/>
        <v>6.218191000713162</v>
      </c>
      <c r="AG431" s="28">
        <f t="shared" si="208"/>
        <v>20261.310000000001</v>
      </c>
      <c r="AI431" s="28">
        <f t="shared" si="209"/>
        <v>0</v>
      </c>
      <c r="AJ431" s="28"/>
      <c r="AK431" s="28">
        <f t="shared" si="210"/>
        <v>103.99999999999986</v>
      </c>
      <c r="AL431" s="156"/>
      <c r="AM431" s="6">
        <f t="shared" si="211"/>
        <v>832</v>
      </c>
      <c r="AN431" s="6" t="str">
        <f t="shared" si="212"/>
        <v xml:space="preserve">Montachusett                 </v>
      </c>
      <c r="AO431" s="6">
        <f t="shared" si="213"/>
        <v>1</v>
      </c>
      <c r="AP431" s="9">
        <f t="shared" si="218"/>
        <v>1476.00000001476</v>
      </c>
      <c r="AQ431" s="9">
        <f t="shared" si="214"/>
        <v>29905696.930299059</v>
      </c>
      <c r="AR431" s="33">
        <f t="shared" si="215"/>
        <v>11646249</v>
      </c>
      <c r="AS431" s="33">
        <f t="shared" si="216"/>
        <v>18472208.000001535</v>
      </c>
      <c r="AU431" s="28"/>
      <c r="AV431" s="9"/>
      <c r="AW431" s="519"/>
    </row>
    <row r="432" spans="1:49">
      <c r="A432" s="6">
        <v>851</v>
      </c>
      <c r="B432" s="6" t="s">
        <v>1532</v>
      </c>
      <c r="C432" s="7">
        <v>1</v>
      </c>
      <c r="D432" s="9">
        <v>10599770.639894003</v>
      </c>
      <c r="E432" s="9">
        <v>3758739</v>
      </c>
      <c r="F432" s="9">
        <v>6841032</v>
      </c>
      <c r="G432" s="348"/>
      <c r="H432" s="111">
        <f t="shared" si="217"/>
        <v>6841032</v>
      </c>
      <c r="I432" s="9">
        <f t="shared" si="188"/>
        <v>10940101.949890599</v>
      </c>
      <c r="J432" s="33">
        <f t="shared" si="189"/>
        <v>3905500</v>
      </c>
      <c r="K432" s="9">
        <f t="shared" si="190"/>
        <v>7034602</v>
      </c>
      <c r="L432" s="112">
        <f t="shared" si="191"/>
        <v>193570</v>
      </c>
      <c r="M432" s="458">
        <f t="shared" si="219"/>
        <v>60.69</v>
      </c>
      <c r="N432" s="9">
        <v>500.99999999499005</v>
      </c>
      <c r="O432" s="9">
        <f t="shared" si="192"/>
        <v>498.99999999501006</v>
      </c>
      <c r="P432" s="9">
        <f t="shared" si="193"/>
        <v>1</v>
      </c>
      <c r="Q432" s="28">
        <f t="shared" si="194"/>
        <v>51895.99999948105</v>
      </c>
      <c r="R432" s="382">
        <f t="shared" si="195"/>
        <v>0</v>
      </c>
      <c r="S432" s="28">
        <v>6841032</v>
      </c>
      <c r="T432" s="33">
        <f t="shared" si="196"/>
        <v>6856001.9999998501</v>
      </c>
      <c r="U432" s="9">
        <f t="shared" si="197"/>
        <v>0</v>
      </c>
      <c r="V432" s="33">
        <f t="shared" si="198"/>
        <v>7034602</v>
      </c>
      <c r="W432" s="33">
        <f t="shared" si="199"/>
        <v>0</v>
      </c>
      <c r="X432" s="33">
        <v>0</v>
      </c>
      <c r="Y432" s="113">
        <f t="shared" si="200"/>
        <v>7034602</v>
      </c>
      <c r="Z432" s="155">
        <f t="shared" si="201"/>
        <v>64.301064397945083</v>
      </c>
      <c r="AA432" s="33">
        <f t="shared" si="202"/>
        <v>10940102</v>
      </c>
      <c r="AB432" s="114">
        <f t="shared" si="203"/>
        <v>100.00000045803414</v>
      </c>
      <c r="AC432" s="28">
        <f t="shared" si="204"/>
        <v>340331.30999659561</v>
      </c>
      <c r="AD432" s="28">
        <f t="shared" si="205"/>
        <v>193570</v>
      </c>
      <c r="AE432" s="28">
        <f t="shared" si="206"/>
        <v>395054.12661139574</v>
      </c>
      <c r="AF432" s="115">
        <f t="shared" si="207"/>
        <v>3.6110643979450856</v>
      </c>
      <c r="AG432" s="28">
        <f t="shared" si="208"/>
        <v>21924.05</v>
      </c>
      <c r="AI432" s="28">
        <f t="shared" si="209"/>
        <v>0</v>
      </c>
      <c r="AJ432" s="28"/>
      <c r="AK432" s="28">
        <f t="shared" si="210"/>
        <v>387.91583166720579</v>
      </c>
      <c r="AL432" s="156"/>
      <c r="AM432" s="6">
        <f t="shared" si="211"/>
        <v>851</v>
      </c>
      <c r="AN432" s="6" t="str">
        <f t="shared" si="212"/>
        <v xml:space="preserve">Northern Berkshire           </v>
      </c>
      <c r="AO432" s="6">
        <f t="shared" si="213"/>
        <v>1</v>
      </c>
      <c r="AP432" s="9">
        <f t="shared" si="218"/>
        <v>498.99999999501006</v>
      </c>
      <c r="AQ432" s="9">
        <f t="shared" si="214"/>
        <v>10940101.949890599</v>
      </c>
      <c r="AR432" s="33">
        <f t="shared" si="215"/>
        <v>3905500</v>
      </c>
      <c r="AS432" s="33">
        <f t="shared" si="216"/>
        <v>7034602</v>
      </c>
      <c r="AU432" s="28"/>
      <c r="AV432" s="9"/>
      <c r="AW432" s="519"/>
    </row>
    <row r="433" spans="1:49">
      <c r="A433" s="6">
        <v>852</v>
      </c>
      <c r="B433" s="6" t="s">
        <v>1533</v>
      </c>
      <c r="C433" s="7">
        <v>1</v>
      </c>
      <c r="D433" s="9">
        <v>14548100.2422</v>
      </c>
      <c r="E433" s="9">
        <v>9846166</v>
      </c>
      <c r="F433" s="9">
        <v>4701934</v>
      </c>
      <c r="G433" s="348"/>
      <c r="H433" s="111">
        <f t="shared" si="217"/>
        <v>4701934</v>
      </c>
      <c r="I433" s="9">
        <f t="shared" si="188"/>
        <v>15600626.052483993</v>
      </c>
      <c r="J433" s="33">
        <f t="shared" si="189"/>
        <v>10713562</v>
      </c>
      <c r="K433" s="9">
        <f t="shared" si="190"/>
        <v>4887064</v>
      </c>
      <c r="L433" s="112">
        <f t="shared" si="191"/>
        <v>185130</v>
      </c>
      <c r="M433" s="458">
        <f t="shared" si="219"/>
        <v>26.76</v>
      </c>
      <c r="N433" s="9">
        <v>715.00000000000011</v>
      </c>
      <c r="O433" s="9">
        <f t="shared" si="192"/>
        <v>756.99999999243005</v>
      </c>
      <c r="P433" s="9">
        <f t="shared" si="193"/>
        <v>1</v>
      </c>
      <c r="Q433" s="28">
        <f t="shared" si="194"/>
        <v>78727.999999212727</v>
      </c>
      <c r="R433" s="382">
        <f t="shared" si="195"/>
        <v>0</v>
      </c>
      <c r="S433" s="28">
        <v>4701934</v>
      </c>
      <c r="T433" s="33">
        <f t="shared" si="196"/>
        <v>4724643.9999997728</v>
      </c>
      <c r="U433" s="9">
        <f t="shared" si="197"/>
        <v>0</v>
      </c>
      <c r="V433" s="33">
        <f t="shared" si="198"/>
        <v>4887064</v>
      </c>
      <c r="W433" s="33">
        <f t="shared" si="199"/>
        <v>0</v>
      </c>
      <c r="X433" s="33">
        <v>0</v>
      </c>
      <c r="Y433" s="113">
        <f t="shared" si="200"/>
        <v>4887064</v>
      </c>
      <c r="Z433" s="155">
        <f t="shared" si="201"/>
        <v>31.326076168730822</v>
      </c>
      <c r="AA433" s="33">
        <f t="shared" si="202"/>
        <v>15600626</v>
      </c>
      <c r="AB433" s="114">
        <f t="shared" si="203"/>
        <v>99.999999663577654</v>
      </c>
      <c r="AC433" s="28">
        <f t="shared" si="204"/>
        <v>1052525.8102839924</v>
      </c>
      <c r="AD433" s="28">
        <f t="shared" si="205"/>
        <v>185130</v>
      </c>
      <c r="AE433" s="28">
        <f t="shared" si="206"/>
        <v>712336.46835528361</v>
      </c>
      <c r="AF433" s="115">
        <f t="shared" si="207"/>
        <v>4.5660761687308202</v>
      </c>
      <c r="AG433" s="28">
        <f t="shared" si="208"/>
        <v>20608.490000000002</v>
      </c>
      <c r="AI433" s="28">
        <f t="shared" si="209"/>
        <v>0</v>
      </c>
      <c r="AJ433" s="28"/>
      <c r="AK433" s="28">
        <f t="shared" si="210"/>
        <v>244.55746367483658</v>
      </c>
      <c r="AL433" s="156"/>
      <c r="AM433" s="6">
        <f t="shared" si="211"/>
        <v>852</v>
      </c>
      <c r="AN433" s="6" t="str">
        <f t="shared" si="212"/>
        <v xml:space="preserve">Nashoba Valley               </v>
      </c>
      <c r="AO433" s="6">
        <f t="shared" si="213"/>
        <v>1</v>
      </c>
      <c r="AP433" s="9">
        <f t="shared" si="218"/>
        <v>756.99999999243005</v>
      </c>
      <c r="AQ433" s="9">
        <f t="shared" si="214"/>
        <v>15600626.052483993</v>
      </c>
      <c r="AR433" s="33">
        <f t="shared" si="215"/>
        <v>10713562</v>
      </c>
      <c r="AS433" s="33">
        <f t="shared" si="216"/>
        <v>4887064</v>
      </c>
      <c r="AU433" s="28"/>
      <c r="AV433" s="9"/>
      <c r="AW433" s="519"/>
    </row>
    <row r="434" spans="1:49">
      <c r="A434" s="6">
        <v>853</v>
      </c>
      <c r="B434" s="6" t="s">
        <v>1534</v>
      </c>
      <c r="C434" s="7">
        <v>1</v>
      </c>
      <c r="D434" s="9">
        <v>29763086.943302374</v>
      </c>
      <c r="E434" s="9">
        <v>15690113</v>
      </c>
      <c r="F434" s="9">
        <v>14072974</v>
      </c>
      <c r="G434" s="348"/>
      <c r="H434" s="111">
        <f t="shared" si="217"/>
        <v>14072974</v>
      </c>
      <c r="I434" s="9">
        <f t="shared" si="188"/>
        <v>31943468.563439425</v>
      </c>
      <c r="J434" s="33">
        <f t="shared" si="189"/>
        <v>16660786</v>
      </c>
      <c r="K434" s="9">
        <f t="shared" si="190"/>
        <v>15282683</v>
      </c>
      <c r="L434" s="112">
        <f t="shared" si="191"/>
        <v>1209709</v>
      </c>
      <c r="M434" s="458">
        <f t="shared" si="219"/>
        <v>41.43</v>
      </c>
      <c r="N434" s="9">
        <v>1293.9999999870602</v>
      </c>
      <c r="O434" s="9">
        <f t="shared" si="192"/>
        <v>1345.0000000134501</v>
      </c>
      <c r="P434" s="9">
        <f t="shared" si="193"/>
        <v>1</v>
      </c>
      <c r="Q434" s="28">
        <f t="shared" si="194"/>
        <v>139880.00000139882</v>
      </c>
      <c r="R434" s="382">
        <f t="shared" si="195"/>
        <v>0</v>
      </c>
      <c r="S434" s="28">
        <v>14072974</v>
      </c>
      <c r="T434" s="33">
        <f t="shared" si="196"/>
        <v>14113324.000000404</v>
      </c>
      <c r="U434" s="9">
        <f t="shared" si="197"/>
        <v>0</v>
      </c>
      <c r="V434" s="33">
        <f t="shared" si="198"/>
        <v>15282683</v>
      </c>
      <c r="W434" s="33">
        <f t="shared" si="199"/>
        <v>0</v>
      </c>
      <c r="X434" s="33">
        <v>0</v>
      </c>
      <c r="Y434" s="113">
        <f t="shared" si="200"/>
        <v>15282683</v>
      </c>
      <c r="Z434" s="155">
        <f t="shared" si="201"/>
        <v>47.842904002891032</v>
      </c>
      <c r="AA434" s="33">
        <f t="shared" si="202"/>
        <v>31943469</v>
      </c>
      <c r="AB434" s="114">
        <f t="shared" si="203"/>
        <v>100.00000136666615</v>
      </c>
      <c r="AC434" s="28">
        <f t="shared" si="204"/>
        <v>2180381.6201370507</v>
      </c>
      <c r="AD434" s="28">
        <f t="shared" si="205"/>
        <v>1209709</v>
      </c>
      <c r="AE434" s="28">
        <f t="shared" si="206"/>
        <v>2048503.9741670471</v>
      </c>
      <c r="AF434" s="115">
        <f t="shared" si="207"/>
        <v>6.4129040028910325</v>
      </c>
      <c r="AG434" s="28">
        <f t="shared" si="208"/>
        <v>23749.79</v>
      </c>
      <c r="AI434" s="28">
        <f t="shared" si="209"/>
        <v>0</v>
      </c>
      <c r="AJ434" s="28"/>
      <c r="AK434" s="28">
        <f t="shared" si="210"/>
        <v>899.41189590178647</v>
      </c>
      <c r="AL434" s="156"/>
      <c r="AM434" s="6">
        <f t="shared" si="211"/>
        <v>853</v>
      </c>
      <c r="AN434" s="6" t="str">
        <f t="shared" si="212"/>
        <v xml:space="preserve">Northeast Metropolitan       </v>
      </c>
      <c r="AO434" s="6">
        <f t="shared" si="213"/>
        <v>1</v>
      </c>
      <c r="AP434" s="9">
        <f t="shared" si="218"/>
        <v>1345.0000000134501</v>
      </c>
      <c r="AQ434" s="9">
        <f t="shared" si="214"/>
        <v>31943468.563439425</v>
      </c>
      <c r="AR434" s="33">
        <f t="shared" si="215"/>
        <v>16660786</v>
      </c>
      <c r="AS434" s="33">
        <f t="shared" si="216"/>
        <v>15282683</v>
      </c>
      <c r="AU434" s="28"/>
      <c r="AV434" s="9"/>
      <c r="AW434" s="519"/>
    </row>
    <row r="435" spans="1:49">
      <c r="A435" s="6">
        <v>855</v>
      </c>
      <c r="B435" s="6" t="s">
        <v>1535</v>
      </c>
      <c r="C435" s="7">
        <v>1</v>
      </c>
      <c r="D435" s="9">
        <v>10531538.940105317</v>
      </c>
      <c r="E435" s="9">
        <v>6359936</v>
      </c>
      <c r="F435" s="9">
        <v>4171603</v>
      </c>
      <c r="G435" s="348"/>
      <c r="H435" s="111">
        <f t="shared" si="217"/>
        <v>4171603</v>
      </c>
      <c r="I435" s="9">
        <f t="shared" si="188"/>
        <v>10906849.549890932</v>
      </c>
      <c r="J435" s="33">
        <f t="shared" si="189"/>
        <v>6864321</v>
      </c>
      <c r="K435" s="9">
        <f t="shared" si="190"/>
        <v>4042529</v>
      </c>
      <c r="L435" s="112">
        <f t="shared" si="191"/>
        <v>0</v>
      </c>
      <c r="M435" s="458">
        <f t="shared" si="219"/>
        <v>30.66</v>
      </c>
      <c r="N435" s="9">
        <v>542.00000000541991</v>
      </c>
      <c r="O435" s="9">
        <f t="shared" si="192"/>
        <v>552.99999999447004</v>
      </c>
      <c r="P435" s="9">
        <f t="shared" si="193"/>
        <v>0</v>
      </c>
      <c r="Q435" s="28">
        <f t="shared" si="194"/>
        <v>57511.999999424886</v>
      </c>
      <c r="R435" s="382">
        <f t="shared" si="195"/>
        <v>57511.999999424886</v>
      </c>
      <c r="S435" s="28">
        <v>4171603</v>
      </c>
      <c r="T435" s="33">
        <f t="shared" si="196"/>
        <v>4188192.9999998342</v>
      </c>
      <c r="U435" s="9">
        <f t="shared" si="197"/>
        <v>0</v>
      </c>
      <c r="V435" s="33">
        <f t="shared" si="198"/>
        <v>4229114.9999994244</v>
      </c>
      <c r="W435" s="33">
        <f t="shared" si="199"/>
        <v>0</v>
      </c>
      <c r="X435" s="33">
        <v>0</v>
      </c>
      <c r="Y435" s="113">
        <f t="shared" si="200"/>
        <v>4229114.9999994244</v>
      </c>
      <c r="Z435" s="155">
        <f t="shared" si="201"/>
        <v>38.774854101125058</v>
      </c>
      <c r="AA435" s="33">
        <f t="shared" si="202"/>
        <v>11093435.999999424</v>
      </c>
      <c r="AB435" s="114">
        <f t="shared" si="203"/>
        <v>101.71072727514023</v>
      </c>
      <c r="AC435" s="28">
        <f t="shared" si="204"/>
        <v>375310.60978561454</v>
      </c>
      <c r="AD435" s="28">
        <f t="shared" si="205"/>
        <v>57511.999999424443</v>
      </c>
      <c r="AE435" s="28">
        <f t="shared" si="206"/>
        <v>885074.92800286505</v>
      </c>
      <c r="AF435" s="115">
        <f t="shared" si="207"/>
        <v>8.1148541011250579</v>
      </c>
      <c r="AG435" s="28">
        <f t="shared" si="208"/>
        <v>19723.060000000001</v>
      </c>
      <c r="AI435" s="28">
        <f t="shared" si="209"/>
        <v>0</v>
      </c>
      <c r="AJ435" s="28"/>
      <c r="AK435" s="28">
        <f t="shared" si="210"/>
        <v>103.9999999999992</v>
      </c>
      <c r="AL435" s="156"/>
      <c r="AM435" s="6">
        <f t="shared" si="211"/>
        <v>855</v>
      </c>
      <c r="AN435" s="6" t="str">
        <f t="shared" si="212"/>
        <v xml:space="preserve">Old Colony                   </v>
      </c>
      <c r="AO435" s="6">
        <f t="shared" si="213"/>
        <v>1</v>
      </c>
      <c r="AP435" s="9">
        <f t="shared" si="218"/>
        <v>552.99999999447004</v>
      </c>
      <c r="AQ435" s="9">
        <f t="shared" si="214"/>
        <v>10906849.549890932</v>
      </c>
      <c r="AR435" s="33">
        <f t="shared" si="215"/>
        <v>6864321</v>
      </c>
      <c r="AS435" s="33">
        <f t="shared" si="216"/>
        <v>4229114.9999994244</v>
      </c>
      <c r="AU435" s="28"/>
      <c r="AV435" s="9"/>
      <c r="AW435" s="519"/>
    </row>
    <row r="436" spans="1:49">
      <c r="A436" s="6">
        <v>860</v>
      </c>
      <c r="B436" s="6" t="s">
        <v>1536</v>
      </c>
      <c r="C436" s="7">
        <v>1</v>
      </c>
      <c r="D436" s="9">
        <v>12791606.58</v>
      </c>
      <c r="E436" s="9">
        <v>5336459</v>
      </c>
      <c r="F436" s="9">
        <v>7455148</v>
      </c>
      <c r="G436" s="348"/>
      <c r="H436" s="111">
        <f t="shared" si="217"/>
        <v>7455148</v>
      </c>
      <c r="I436" s="9">
        <f t="shared" si="188"/>
        <v>13574951.48</v>
      </c>
      <c r="J436" s="33">
        <f t="shared" si="189"/>
        <v>5890946</v>
      </c>
      <c r="K436" s="9">
        <f t="shared" si="190"/>
        <v>7684005</v>
      </c>
      <c r="L436" s="112">
        <f t="shared" si="191"/>
        <v>228857</v>
      </c>
      <c r="M436" s="458">
        <f t="shared" si="219"/>
        <v>53.88</v>
      </c>
      <c r="N436" s="9">
        <v>602</v>
      </c>
      <c r="O436" s="9">
        <f t="shared" si="192"/>
        <v>623</v>
      </c>
      <c r="P436" s="9">
        <f t="shared" si="193"/>
        <v>1</v>
      </c>
      <c r="Q436" s="28">
        <f t="shared" si="194"/>
        <v>64792</v>
      </c>
      <c r="R436" s="382">
        <f t="shared" si="195"/>
        <v>0</v>
      </c>
      <c r="S436" s="28">
        <v>7455148</v>
      </c>
      <c r="T436" s="33">
        <f t="shared" si="196"/>
        <v>7473838</v>
      </c>
      <c r="U436" s="9">
        <f t="shared" si="197"/>
        <v>0</v>
      </c>
      <c r="V436" s="33">
        <f t="shared" si="198"/>
        <v>7684005</v>
      </c>
      <c r="W436" s="33">
        <f t="shared" si="199"/>
        <v>0</v>
      </c>
      <c r="X436" s="33">
        <v>0</v>
      </c>
      <c r="Y436" s="113">
        <f t="shared" si="200"/>
        <v>7684005</v>
      </c>
      <c r="Z436" s="155">
        <f t="shared" si="201"/>
        <v>56.604290713825812</v>
      </c>
      <c r="AA436" s="33">
        <f t="shared" si="202"/>
        <v>13574951</v>
      </c>
      <c r="AB436" s="114">
        <f t="shared" si="203"/>
        <v>99.99999646407575</v>
      </c>
      <c r="AC436" s="28">
        <f t="shared" si="204"/>
        <v>783344.90000000037</v>
      </c>
      <c r="AD436" s="28">
        <f t="shared" si="205"/>
        <v>228857</v>
      </c>
      <c r="AE436" s="28">
        <f t="shared" si="206"/>
        <v>369821.14257599879</v>
      </c>
      <c r="AF436" s="115">
        <f t="shared" si="207"/>
        <v>2.724290713825809</v>
      </c>
      <c r="AG436" s="28">
        <f t="shared" si="208"/>
        <v>21789.65</v>
      </c>
      <c r="AI436" s="28">
        <f t="shared" si="209"/>
        <v>0</v>
      </c>
      <c r="AJ436" s="28"/>
      <c r="AK436" s="28">
        <f t="shared" si="210"/>
        <v>367.34670947030497</v>
      </c>
      <c r="AL436" s="156"/>
      <c r="AM436" s="6">
        <f t="shared" si="211"/>
        <v>860</v>
      </c>
      <c r="AN436" s="6" t="str">
        <f t="shared" si="212"/>
        <v xml:space="preserve">Pathfinder                   </v>
      </c>
      <c r="AO436" s="6">
        <f t="shared" si="213"/>
        <v>1</v>
      </c>
      <c r="AP436" s="9">
        <f t="shared" si="218"/>
        <v>623</v>
      </c>
      <c r="AQ436" s="9">
        <f t="shared" si="214"/>
        <v>13574951.48</v>
      </c>
      <c r="AR436" s="33">
        <f t="shared" si="215"/>
        <v>5890946</v>
      </c>
      <c r="AS436" s="33">
        <f t="shared" si="216"/>
        <v>7684005</v>
      </c>
      <c r="AU436" s="28"/>
      <c r="AV436" s="9"/>
      <c r="AW436" s="519"/>
    </row>
    <row r="437" spans="1:49">
      <c r="A437" s="6">
        <v>871</v>
      </c>
      <c r="B437" s="6" t="s">
        <v>1537</v>
      </c>
      <c r="C437" s="7">
        <v>1</v>
      </c>
      <c r="D437" s="9">
        <v>24972413.579999994</v>
      </c>
      <c r="E437" s="9">
        <v>19694909</v>
      </c>
      <c r="F437" s="9">
        <v>6667041</v>
      </c>
      <c r="G437" s="348"/>
      <c r="H437" s="111">
        <f t="shared" si="217"/>
        <v>6667041</v>
      </c>
      <c r="I437" s="9">
        <f t="shared" si="188"/>
        <v>25845027.64025845</v>
      </c>
      <c r="J437" s="33">
        <f t="shared" si="189"/>
        <v>20804980</v>
      </c>
      <c r="K437" s="9">
        <f t="shared" si="190"/>
        <v>5040048</v>
      </c>
      <c r="L437" s="112">
        <f t="shared" si="191"/>
        <v>0</v>
      </c>
      <c r="M437" s="458">
        <f t="shared" si="219"/>
        <v>17.5</v>
      </c>
      <c r="N437" s="9">
        <v>1295</v>
      </c>
      <c r="O437" s="9">
        <f t="shared" si="192"/>
        <v>1308.0000000130799</v>
      </c>
      <c r="P437" s="9">
        <f t="shared" si="193"/>
        <v>0</v>
      </c>
      <c r="Q437" s="28">
        <f t="shared" si="194"/>
        <v>136032.00000136031</v>
      </c>
      <c r="R437" s="382">
        <f t="shared" si="195"/>
        <v>136032.00000136031</v>
      </c>
      <c r="S437" s="28">
        <v>6667041</v>
      </c>
      <c r="T437" s="33">
        <f t="shared" si="196"/>
        <v>6706281.0000003921</v>
      </c>
      <c r="U437" s="9">
        <f t="shared" si="197"/>
        <v>0</v>
      </c>
      <c r="V437" s="33">
        <f t="shared" si="198"/>
        <v>6803073.0000013607</v>
      </c>
      <c r="W437" s="33">
        <f t="shared" si="199"/>
        <v>0</v>
      </c>
      <c r="X437" s="33">
        <v>0</v>
      </c>
      <c r="Y437" s="113">
        <f t="shared" si="200"/>
        <v>6803073.0000013607</v>
      </c>
      <c r="Z437" s="155">
        <f t="shared" si="201"/>
        <v>26.322560357429474</v>
      </c>
      <c r="AA437" s="33">
        <f t="shared" si="202"/>
        <v>27608053.00000136</v>
      </c>
      <c r="AB437" s="114">
        <f t="shared" si="203"/>
        <v>106.82152630781741</v>
      </c>
      <c r="AC437" s="28">
        <f t="shared" si="204"/>
        <v>872614.06025845557</v>
      </c>
      <c r="AD437" s="28">
        <f t="shared" si="205"/>
        <v>136032.00000136066</v>
      </c>
      <c r="AE437" s="28">
        <f t="shared" si="206"/>
        <v>2280193.1629561326</v>
      </c>
      <c r="AF437" s="115">
        <f t="shared" si="207"/>
        <v>8.8225603574294738</v>
      </c>
      <c r="AG437" s="28">
        <f t="shared" si="208"/>
        <v>19759.2</v>
      </c>
      <c r="AI437" s="28">
        <f t="shared" si="209"/>
        <v>0</v>
      </c>
      <c r="AJ437" s="28"/>
      <c r="AK437" s="28">
        <f t="shared" si="210"/>
        <v>104.00000000000027</v>
      </c>
      <c r="AL437" s="156"/>
      <c r="AM437" s="6">
        <f t="shared" si="211"/>
        <v>871</v>
      </c>
      <c r="AN437" s="6" t="str">
        <f t="shared" si="212"/>
        <v xml:space="preserve">Shawsheen Valley             </v>
      </c>
      <c r="AO437" s="6">
        <f t="shared" si="213"/>
        <v>1</v>
      </c>
      <c r="AP437" s="9">
        <f t="shared" si="218"/>
        <v>1308.0000000130799</v>
      </c>
      <c r="AQ437" s="9">
        <f t="shared" si="214"/>
        <v>25845027.64025845</v>
      </c>
      <c r="AR437" s="33">
        <f t="shared" si="215"/>
        <v>20804980</v>
      </c>
      <c r="AS437" s="33">
        <f t="shared" si="216"/>
        <v>6803073.0000013607</v>
      </c>
      <c r="AU437" s="28"/>
      <c r="AV437" s="9"/>
      <c r="AW437" s="519"/>
    </row>
    <row r="438" spans="1:49">
      <c r="A438" s="6">
        <v>872</v>
      </c>
      <c r="B438" s="6" t="s">
        <v>1538</v>
      </c>
      <c r="C438" s="7">
        <v>1</v>
      </c>
      <c r="D438" s="9">
        <v>34786651.119999997</v>
      </c>
      <c r="E438" s="9">
        <v>12652345</v>
      </c>
      <c r="F438" s="9">
        <v>22134306</v>
      </c>
      <c r="G438" s="348"/>
      <c r="H438" s="111">
        <f t="shared" si="217"/>
        <v>22134306</v>
      </c>
      <c r="I438" s="9">
        <f t="shared" si="188"/>
        <v>36650377</v>
      </c>
      <c r="J438" s="33">
        <f t="shared" si="189"/>
        <v>13488405</v>
      </c>
      <c r="K438" s="9">
        <f t="shared" si="190"/>
        <v>23161972</v>
      </c>
      <c r="L438" s="112">
        <f t="shared" si="191"/>
        <v>1027666</v>
      </c>
      <c r="M438" s="458">
        <f t="shared" si="219"/>
        <v>58.48</v>
      </c>
      <c r="N438" s="9">
        <v>1637.0000000000005</v>
      </c>
      <c r="O438" s="9">
        <f t="shared" si="192"/>
        <v>1677.0000000000002</v>
      </c>
      <c r="P438" s="9">
        <f t="shared" si="193"/>
        <v>1</v>
      </c>
      <c r="Q438" s="28">
        <f t="shared" si="194"/>
        <v>174408.00000000003</v>
      </c>
      <c r="R438" s="382">
        <f t="shared" si="195"/>
        <v>0</v>
      </c>
      <c r="S438" s="28">
        <v>22134306</v>
      </c>
      <c r="T438" s="33">
        <f t="shared" si="196"/>
        <v>22184616</v>
      </c>
      <c r="U438" s="9">
        <f t="shared" si="197"/>
        <v>0</v>
      </c>
      <c r="V438" s="33">
        <f t="shared" si="198"/>
        <v>23161972</v>
      </c>
      <c r="W438" s="33">
        <f t="shared" si="199"/>
        <v>0</v>
      </c>
      <c r="X438" s="33">
        <v>0</v>
      </c>
      <c r="Y438" s="113">
        <f t="shared" si="200"/>
        <v>23161972</v>
      </c>
      <c r="Z438" s="155">
        <f t="shared" si="201"/>
        <v>63.197090714783101</v>
      </c>
      <c r="AA438" s="33">
        <f t="shared" si="202"/>
        <v>36650377</v>
      </c>
      <c r="AB438" s="114">
        <f t="shared" si="203"/>
        <v>100</v>
      </c>
      <c r="AC438" s="28">
        <f t="shared" si="204"/>
        <v>1863725.8800000027</v>
      </c>
      <c r="AD438" s="28">
        <f t="shared" si="205"/>
        <v>1027666</v>
      </c>
      <c r="AE438" s="28">
        <f t="shared" si="206"/>
        <v>1728831.5304000005</v>
      </c>
      <c r="AF438" s="115">
        <f t="shared" si="207"/>
        <v>4.7170907147831045</v>
      </c>
      <c r="AG438" s="28">
        <f t="shared" si="208"/>
        <v>21854.73</v>
      </c>
      <c r="AI438" s="28">
        <f t="shared" si="209"/>
        <v>0</v>
      </c>
      <c r="AJ438" s="28"/>
      <c r="AK438" s="28">
        <f t="shared" si="210"/>
        <v>612.80023852116869</v>
      </c>
      <c r="AL438" s="156"/>
      <c r="AM438" s="6">
        <f t="shared" si="211"/>
        <v>872</v>
      </c>
      <c r="AN438" s="6" t="str">
        <f t="shared" si="212"/>
        <v xml:space="preserve">Southeastern                 </v>
      </c>
      <c r="AO438" s="6">
        <f t="shared" si="213"/>
        <v>1</v>
      </c>
      <c r="AP438" s="9">
        <f t="shared" si="218"/>
        <v>1677.0000000000002</v>
      </c>
      <c r="AQ438" s="9">
        <f t="shared" si="214"/>
        <v>36650377</v>
      </c>
      <c r="AR438" s="33">
        <f t="shared" si="215"/>
        <v>13488405</v>
      </c>
      <c r="AS438" s="33">
        <f t="shared" si="216"/>
        <v>23161972</v>
      </c>
      <c r="AU438" s="28"/>
      <c r="AV438" s="9"/>
      <c r="AW438" s="519"/>
    </row>
    <row r="439" spans="1:49">
      <c r="A439" s="6">
        <v>873</v>
      </c>
      <c r="B439" s="6" t="s">
        <v>1539</v>
      </c>
      <c r="C439" s="7">
        <v>1</v>
      </c>
      <c r="D439" s="9">
        <v>12906720.28764</v>
      </c>
      <c r="E439" s="9">
        <v>7232154</v>
      </c>
      <c r="F439" s="9">
        <v>5674566</v>
      </c>
      <c r="G439" s="348"/>
      <c r="H439" s="111">
        <f>F439+23806</f>
        <v>5698372</v>
      </c>
      <c r="I439" s="9">
        <f t="shared" si="188"/>
        <v>13836188.897828359</v>
      </c>
      <c r="J439" s="33">
        <f t="shared" si="189"/>
        <v>7981179</v>
      </c>
      <c r="K439" s="9">
        <f t="shared" si="190"/>
        <v>5855010</v>
      </c>
      <c r="L439" s="112">
        <f t="shared" si="191"/>
        <v>156638</v>
      </c>
      <c r="M439" s="458">
        <f t="shared" si="219"/>
        <v>38.04</v>
      </c>
      <c r="N439" s="9">
        <v>620.00000000000011</v>
      </c>
      <c r="O439" s="9">
        <f t="shared" si="192"/>
        <v>663.00000000662999</v>
      </c>
      <c r="P439" s="9">
        <f t="shared" si="193"/>
        <v>1</v>
      </c>
      <c r="Q439" s="28">
        <f t="shared" si="194"/>
        <v>68952.000000689513</v>
      </c>
      <c r="R439" s="382">
        <f t="shared" si="195"/>
        <v>0</v>
      </c>
      <c r="S439" s="28">
        <v>5698372</v>
      </c>
      <c r="T439" s="33">
        <f t="shared" si="196"/>
        <v>5718262.0000001993</v>
      </c>
      <c r="U439" s="9">
        <f t="shared" si="197"/>
        <v>0</v>
      </c>
      <c r="V439" s="33">
        <f t="shared" si="198"/>
        <v>5855010</v>
      </c>
      <c r="W439" s="33">
        <f t="shared" si="199"/>
        <v>0</v>
      </c>
      <c r="X439" s="33">
        <v>6237</v>
      </c>
      <c r="Y439" s="113">
        <f t="shared" si="200"/>
        <v>5861247</v>
      </c>
      <c r="Z439" s="155">
        <f t="shared" si="201"/>
        <v>42.361715666659798</v>
      </c>
      <c r="AA439" s="33">
        <f t="shared" si="202"/>
        <v>13842426</v>
      </c>
      <c r="AB439" s="114">
        <f t="shared" si="203"/>
        <v>100.04507818025395</v>
      </c>
      <c r="AC439" s="28">
        <f t="shared" si="204"/>
        <v>929468.61018835939</v>
      </c>
      <c r="AD439" s="28">
        <f t="shared" si="205"/>
        <v>186681</v>
      </c>
      <c r="AE439" s="28">
        <f t="shared" si="206"/>
        <v>597960.74326609168</v>
      </c>
      <c r="AF439" s="115">
        <f t="shared" si="207"/>
        <v>4.3217156666597987</v>
      </c>
      <c r="AG439" s="28">
        <f t="shared" si="208"/>
        <v>20869.060000000001</v>
      </c>
      <c r="AI439" s="28">
        <f t="shared" si="209"/>
        <v>0</v>
      </c>
      <c r="AJ439" s="28"/>
      <c r="AK439" s="28">
        <f t="shared" si="210"/>
        <v>281.57013574379062</v>
      </c>
      <c r="AL439" s="156"/>
      <c r="AM439" s="6">
        <f t="shared" si="211"/>
        <v>873</v>
      </c>
      <c r="AN439" s="6" t="str">
        <f t="shared" si="212"/>
        <v xml:space="preserve">South Shore                  </v>
      </c>
      <c r="AO439" s="6">
        <f t="shared" si="213"/>
        <v>1</v>
      </c>
      <c r="AP439" s="9">
        <f t="shared" si="218"/>
        <v>663.00000000662999</v>
      </c>
      <c r="AQ439" s="9">
        <f t="shared" si="214"/>
        <v>13836188.897828359</v>
      </c>
      <c r="AR439" s="33">
        <f t="shared" si="215"/>
        <v>7981179</v>
      </c>
      <c r="AS439" s="33">
        <f t="shared" si="216"/>
        <v>5861247</v>
      </c>
      <c r="AU439" s="28"/>
      <c r="AV439" s="9"/>
      <c r="AW439" s="519"/>
    </row>
    <row r="440" spans="1:49">
      <c r="A440" s="6">
        <v>876</v>
      </c>
      <c r="B440" s="6" t="s">
        <v>1540</v>
      </c>
      <c r="C440" s="7">
        <v>1</v>
      </c>
      <c r="D440" s="9">
        <v>24914513.250249147</v>
      </c>
      <c r="E440" s="9">
        <v>10695233</v>
      </c>
      <c r="F440" s="9">
        <v>14219280</v>
      </c>
      <c r="G440" s="348"/>
      <c r="H440" s="111">
        <f t="shared" si="217"/>
        <v>14219280</v>
      </c>
      <c r="I440" s="9">
        <f t="shared" si="188"/>
        <v>25679391.349743202</v>
      </c>
      <c r="J440" s="33">
        <f t="shared" si="189"/>
        <v>11220404</v>
      </c>
      <c r="K440" s="9">
        <f t="shared" si="190"/>
        <v>14458987</v>
      </c>
      <c r="L440" s="112">
        <f t="shared" si="191"/>
        <v>239707</v>
      </c>
      <c r="M440" s="458">
        <f t="shared" si="219"/>
        <v>51.67</v>
      </c>
      <c r="N440" s="9">
        <v>1232.00000001232</v>
      </c>
      <c r="O440" s="9">
        <f t="shared" si="192"/>
        <v>1242.9999999875699</v>
      </c>
      <c r="P440" s="9">
        <f t="shared" si="193"/>
        <v>1</v>
      </c>
      <c r="Q440" s="28">
        <f t="shared" si="194"/>
        <v>129271.99999870727</v>
      </c>
      <c r="R440" s="382">
        <f t="shared" si="195"/>
        <v>0</v>
      </c>
      <c r="S440" s="28">
        <v>14219280</v>
      </c>
      <c r="T440" s="33">
        <f t="shared" si="196"/>
        <v>14256569.999999627</v>
      </c>
      <c r="U440" s="9">
        <f t="shared" si="197"/>
        <v>0</v>
      </c>
      <c r="V440" s="33">
        <f t="shared" si="198"/>
        <v>14458987</v>
      </c>
      <c r="W440" s="33">
        <f t="shared" si="199"/>
        <v>0</v>
      </c>
      <c r="X440" s="33">
        <v>0</v>
      </c>
      <c r="Y440" s="113">
        <f t="shared" si="200"/>
        <v>14458987</v>
      </c>
      <c r="Z440" s="155">
        <f t="shared" si="201"/>
        <v>56.305801033499151</v>
      </c>
      <c r="AA440" s="33">
        <f t="shared" si="202"/>
        <v>25679391</v>
      </c>
      <c r="AB440" s="114">
        <f t="shared" si="203"/>
        <v>99.999998638039358</v>
      </c>
      <c r="AC440" s="28">
        <f t="shared" si="204"/>
        <v>764878.09949405491</v>
      </c>
      <c r="AD440" s="28">
        <f t="shared" si="205"/>
        <v>239707</v>
      </c>
      <c r="AE440" s="28">
        <f t="shared" si="206"/>
        <v>1190445.489587687</v>
      </c>
      <c r="AF440" s="115">
        <f t="shared" si="207"/>
        <v>4.6358010334991491</v>
      </c>
      <c r="AG440" s="28">
        <f t="shared" si="208"/>
        <v>20659.2</v>
      </c>
      <c r="AI440" s="28">
        <f t="shared" si="209"/>
        <v>0</v>
      </c>
      <c r="AJ440" s="28"/>
      <c r="AK440" s="28">
        <f t="shared" si="210"/>
        <v>192.84553499790593</v>
      </c>
      <c r="AL440" s="156"/>
      <c r="AM440" s="6">
        <f t="shared" si="211"/>
        <v>876</v>
      </c>
      <c r="AN440" s="6" t="str">
        <f t="shared" si="212"/>
        <v xml:space="preserve">Southern Worcester           </v>
      </c>
      <c r="AO440" s="6">
        <f t="shared" si="213"/>
        <v>1</v>
      </c>
      <c r="AP440" s="9">
        <f t="shared" si="218"/>
        <v>1242.9999999875699</v>
      </c>
      <c r="AQ440" s="9">
        <f t="shared" si="214"/>
        <v>25679391.349743202</v>
      </c>
      <c r="AR440" s="33">
        <f t="shared" si="215"/>
        <v>11220404</v>
      </c>
      <c r="AS440" s="33">
        <f t="shared" si="216"/>
        <v>14458987</v>
      </c>
      <c r="AU440" s="28"/>
      <c r="AV440" s="9"/>
      <c r="AW440" s="519"/>
    </row>
    <row r="441" spans="1:49">
      <c r="A441" s="6">
        <v>878</v>
      </c>
      <c r="B441" s="6" t="s">
        <v>1541</v>
      </c>
      <c r="C441" s="7">
        <v>1</v>
      </c>
      <c r="D441" s="9">
        <v>19173060.333461732</v>
      </c>
      <c r="E441" s="9">
        <v>13669772</v>
      </c>
      <c r="F441" s="9">
        <v>5853848.0000005607</v>
      </c>
      <c r="G441" s="348"/>
      <c r="H441" s="111">
        <f t="shared" si="217"/>
        <v>5853848.0000005607</v>
      </c>
      <c r="I441" s="9">
        <f t="shared" si="188"/>
        <v>19698359.004916985</v>
      </c>
      <c r="J441" s="33">
        <f t="shared" si="189"/>
        <v>14493433</v>
      </c>
      <c r="K441" s="9">
        <f t="shared" si="190"/>
        <v>5204926</v>
      </c>
      <c r="L441" s="112">
        <f t="shared" si="191"/>
        <v>0</v>
      </c>
      <c r="M441" s="458">
        <f t="shared" si="219"/>
        <v>20.81</v>
      </c>
      <c r="N441" s="9">
        <v>935.00000000934995</v>
      </c>
      <c r="O441" s="9">
        <f t="shared" si="192"/>
        <v>942.00000000941998</v>
      </c>
      <c r="P441" s="9">
        <f t="shared" si="193"/>
        <v>0</v>
      </c>
      <c r="Q441" s="28">
        <f t="shared" si="194"/>
        <v>97968.000000979679</v>
      </c>
      <c r="R441" s="382">
        <f t="shared" si="195"/>
        <v>97968.000000979679</v>
      </c>
      <c r="S441" s="28">
        <v>5853848.0000005607</v>
      </c>
      <c r="T441" s="33">
        <f t="shared" si="196"/>
        <v>5882108.0000008428</v>
      </c>
      <c r="U441" s="9">
        <f t="shared" si="197"/>
        <v>0</v>
      </c>
      <c r="V441" s="33">
        <f t="shared" si="198"/>
        <v>5951816.0000015404</v>
      </c>
      <c r="W441" s="33">
        <f t="shared" si="199"/>
        <v>0</v>
      </c>
      <c r="X441" s="33">
        <v>0</v>
      </c>
      <c r="Y441" s="113">
        <f t="shared" si="200"/>
        <v>5951816.0000015404</v>
      </c>
      <c r="Z441" s="155">
        <f t="shared" si="201"/>
        <v>30.214780827762784</v>
      </c>
      <c r="AA441" s="33">
        <f t="shared" si="202"/>
        <v>20445249.000001542</v>
      </c>
      <c r="AB441" s="114">
        <f t="shared" si="203"/>
        <v>103.79163561237829</v>
      </c>
      <c r="AC441" s="28">
        <f t="shared" si="204"/>
        <v>525298.67145525292</v>
      </c>
      <c r="AD441" s="28">
        <f t="shared" si="205"/>
        <v>97968.000000979751</v>
      </c>
      <c r="AE441" s="28">
        <f t="shared" si="206"/>
        <v>1852587.4910783162</v>
      </c>
      <c r="AF441" s="115">
        <f t="shared" si="207"/>
        <v>9.4047808277627851</v>
      </c>
      <c r="AG441" s="28">
        <f t="shared" si="208"/>
        <v>20911.21</v>
      </c>
      <c r="AI441" s="28">
        <f t="shared" si="209"/>
        <v>0</v>
      </c>
      <c r="AJ441" s="28"/>
      <c r="AK441" s="28">
        <f t="shared" si="210"/>
        <v>104.00000000000009</v>
      </c>
      <c r="AL441" s="156"/>
      <c r="AM441" s="6">
        <f t="shared" si="211"/>
        <v>878</v>
      </c>
      <c r="AN441" s="6" t="str">
        <f t="shared" si="212"/>
        <v xml:space="preserve">Tri County                   </v>
      </c>
      <c r="AO441" s="6">
        <f t="shared" si="213"/>
        <v>1</v>
      </c>
      <c r="AP441" s="9">
        <f t="shared" si="218"/>
        <v>942.00000000941998</v>
      </c>
      <c r="AQ441" s="9">
        <f t="shared" si="214"/>
        <v>19698359.004916985</v>
      </c>
      <c r="AR441" s="33">
        <f t="shared" si="215"/>
        <v>14493433</v>
      </c>
      <c r="AS441" s="33">
        <f t="shared" si="216"/>
        <v>5951816.0000015404</v>
      </c>
      <c r="AU441" s="28"/>
      <c r="AV441" s="9"/>
      <c r="AW441" s="519"/>
    </row>
    <row r="442" spans="1:49">
      <c r="A442" s="6">
        <v>879</v>
      </c>
      <c r="B442" s="6" t="s">
        <v>1542</v>
      </c>
      <c r="C442" s="7">
        <v>1</v>
      </c>
      <c r="D442" s="9">
        <v>16601530.709999997</v>
      </c>
      <c r="E442" s="9">
        <v>12150289</v>
      </c>
      <c r="F442" s="9">
        <v>4451242</v>
      </c>
      <c r="G442" s="348"/>
      <c r="H442" s="111">
        <f t="shared" si="217"/>
        <v>4451242</v>
      </c>
      <c r="I442" s="9">
        <f t="shared" si="188"/>
        <v>18130702.799999997</v>
      </c>
      <c r="J442" s="33">
        <f t="shared" si="189"/>
        <v>13570576</v>
      </c>
      <c r="K442" s="9">
        <f t="shared" si="190"/>
        <v>4560127</v>
      </c>
      <c r="L442" s="112">
        <f t="shared" si="191"/>
        <v>108885</v>
      </c>
      <c r="M442" s="458">
        <f t="shared" si="219"/>
        <v>22.44</v>
      </c>
      <c r="N442" s="9">
        <v>793</v>
      </c>
      <c r="O442" s="9">
        <f t="shared" si="192"/>
        <v>856</v>
      </c>
      <c r="P442" s="9">
        <f t="shared" si="193"/>
        <v>1</v>
      </c>
      <c r="Q442" s="28">
        <f t="shared" si="194"/>
        <v>89024</v>
      </c>
      <c r="R442" s="382">
        <f t="shared" si="195"/>
        <v>0</v>
      </c>
      <c r="S442" s="28">
        <v>4451242</v>
      </c>
      <c r="T442" s="33">
        <f t="shared" si="196"/>
        <v>4476922</v>
      </c>
      <c r="U442" s="9">
        <f t="shared" si="197"/>
        <v>0</v>
      </c>
      <c r="V442" s="33">
        <f t="shared" si="198"/>
        <v>4560127</v>
      </c>
      <c r="W442" s="33">
        <f t="shared" si="199"/>
        <v>0</v>
      </c>
      <c r="X442" s="33">
        <v>29433</v>
      </c>
      <c r="Y442" s="113">
        <f t="shared" si="200"/>
        <v>4589560</v>
      </c>
      <c r="Z442" s="155">
        <f t="shared" si="201"/>
        <v>25.313745697712285</v>
      </c>
      <c r="AA442" s="33">
        <f t="shared" si="202"/>
        <v>18160136</v>
      </c>
      <c r="AB442" s="114">
        <f t="shared" si="203"/>
        <v>100.16233899107321</v>
      </c>
      <c r="AC442" s="28">
        <f t="shared" si="204"/>
        <v>1529172.0899999999</v>
      </c>
      <c r="AD442" s="28">
        <f t="shared" si="205"/>
        <v>138318</v>
      </c>
      <c r="AE442" s="28">
        <f t="shared" si="206"/>
        <v>521030.29168000026</v>
      </c>
      <c r="AF442" s="115">
        <f t="shared" si="207"/>
        <v>2.8737456977122839</v>
      </c>
      <c r="AG442" s="28">
        <f t="shared" si="208"/>
        <v>21180.73</v>
      </c>
      <c r="AI442" s="28">
        <f t="shared" si="209"/>
        <v>0</v>
      </c>
      <c r="AJ442" s="28"/>
      <c r="AK442" s="28">
        <f t="shared" si="210"/>
        <v>161.58644859813083</v>
      </c>
      <c r="AL442" s="156"/>
      <c r="AM442" s="6">
        <f t="shared" si="211"/>
        <v>879</v>
      </c>
      <c r="AN442" s="6" t="str">
        <f t="shared" si="212"/>
        <v xml:space="preserve">Upper Cape Cod               </v>
      </c>
      <c r="AO442" s="6">
        <f t="shared" si="213"/>
        <v>1</v>
      </c>
      <c r="AP442" s="9">
        <f t="shared" si="218"/>
        <v>856</v>
      </c>
      <c r="AQ442" s="9">
        <f t="shared" si="214"/>
        <v>18130702.799999997</v>
      </c>
      <c r="AR442" s="33">
        <f t="shared" si="215"/>
        <v>13570576</v>
      </c>
      <c r="AS442" s="33">
        <f t="shared" si="216"/>
        <v>4589560</v>
      </c>
      <c r="AU442" s="28"/>
      <c r="AV442" s="9"/>
      <c r="AW442" s="519"/>
    </row>
    <row r="443" spans="1:49">
      <c r="A443" s="6">
        <v>885</v>
      </c>
      <c r="B443" s="6" t="s">
        <v>1543</v>
      </c>
      <c r="C443" s="7">
        <v>1</v>
      </c>
      <c r="D443" s="9">
        <v>26519398.819734812</v>
      </c>
      <c r="E443" s="9">
        <v>13131792</v>
      </c>
      <c r="F443" s="9">
        <v>13387607</v>
      </c>
      <c r="G443" s="348"/>
      <c r="H443" s="111">
        <f t="shared" si="217"/>
        <v>13387607</v>
      </c>
      <c r="I443" s="9">
        <f t="shared" si="188"/>
        <v>27194608.429999992</v>
      </c>
      <c r="J443" s="33">
        <f t="shared" si="189"/>
        <v>13749864</v>
      </c>
      <c r="K443" s="9">
        <f>ROUND(MAX(found-prelcont436,0),0)</f>
        <v>13444744</v>
      </c>
      <c r="L443" s="112">
        <f t="shared" si="191"/>
        <v>57137</v>
      </c>
      <c r="M443" s="458">
        <f t="shared" si="219"/>
        <v>44.46</v>
      </c>
      <c r="N443" s="9">
        <v>1274.9999999872502</v>
      </c>
      <c r="O443" s="9">
        <f t="shared" si="192"/>
        <v>1277.0000000000002</v>
      </c>
      <c r="P443" s="9">
        <f t="shared" si="193"/>
        <v>1</v>
      </c>
      <c r="Q443" s="28">
        <f t="shared" si="194"/>
        <v>132808.00000000003</v>
      </c>
      <c r="R443" s="382">
        <f t="shared" si="195"/>
        <v>75671.000000000029</v>
      </c>
      <c r="S443" s="28">
        <v>13387607</v>
      </c>
      <c r="T443" s="33">
        <f t="shared" si="196"/>
        <v>13425917</v>
      </c>
      <c r="U443" s="9">
        <f t="shared" si="197"/>
        <v>0</v>
      </c>
      <c r="V443" s="33">
        <f t="shared" si="198"/>
        <v>13520415</v>
      </c>
      <c r="W443" s="33">
        <f t="shared" si="199"/>
        <v>0</v>
      </c>
      <c r="X443" s="33">
        <v>0</v>
      </c>
      <c r="Y443" s="113">
        <f t="shared" si="200"/>
        <v>13520415</v>
      </c>
      <c r="Z443" s="155">
        <f t="shared" si="201"/>
        <v>49.717263018521074</v>
      </c>
      <c r="AA443" s="33">
        <f t="shared" si="202"/>
        <v>27270279</v>
      </c>
      <c r="AB443" s="114">
        <f t="shared" si="203"/>
        <v>100.27825578071766</v>
      </c>
      <c r="AC443" s="28">
        <f t="shared" si="204"/>
        <v>675209.61026518047</v>
      </c>
      <c r="AD443" s="28">
        <f t="shared" si="205"/>
        <v>132808</v>
      </c>
      <c r="AE443" s="28">
        <f t="shared" si="206"/>
        <v>1429692.0920220036</v>
      </c>
      <c r="AF443" s="115">
        <f t="shared" si="207"/>
        <v>5.2572630185210727</v>
      </c>
      <c r="AG443" s="28">
        <f t="shared" si="208"/>
        <v>21295.7</v>
      </c>
      <c r="AI443" s="28">
        <f t="shared" si="209"/>
        <v>0</v>
      </c>
      <c r="AJ443" s="28"/>
      <c r="AK443" s="28">
        <f t="shared" si="210"/>
        <v>103.99999999999999</v>
      </c>
      <c r="AL443" s="156"/>
      <c r="AM443" s="6">
        <f t="shared" si="211"/>
        <v>885</v>
      </c>
      <c r="AN443" s="6" t="str">
        <f t="shared" si="212"/>
        <v xml:space="preserve">Whittier                     </v>
      </c>
      <c r="AO443" s="6">
        <f t="shared" si="213"/>
        <v>1</v>
      </c>
      <c r="AP443" s="9">
        <f t="shared" si="218"/>
        <v>1277.0000000000002</v>
      </c>
      <c r="AQ443" s="9">
        <f t="shared" si="214"/>
        <v>27194608.429999992</v>
      </c>
      <c r="AR443" s="33">
        <f t="shared" si="215"/>
        <v>13749864</v>
      </c>
      <c r="AS443" s="33">
        <f t="shared" si="216"/>
        <v>13520415</v>
      </c>
      <c r="AU443" s="28"/>
      <c r="AV443" s="9"/>
      <c r="AW443" s="519"/>
    </row>
    <row r="444" spans="1:49">
      <c r="A444" s="6">
        <v>910</v>
      </c>
      <c r="B444" s="6" t="s">
        <v>1544</v>
      </c>
      <c r="C444" s="7">
        <v>1</v>
      </c>
      <c r="D444" s="9">
        <v>9916498.0400991645</v>
      </c>
      <c r="E444" s="9">
        <v>4990303</v>
      </c>
      <c r="F444" s="9">
        <v>4926195</v>
      </c>
      <c r="G444" s="348"/>
      <c r="H444" s="111">
        <f t="shared" si="217"/>
        <v>4926195</v>
      </c>
      <c r="I444" s="9">
        <f t="shared" si="188"/>
        <v>10653111.429680407</v>
      </c>
      <c r="J444" s="33">
        <f t="shared" si="189"/>
        <v>5504395</v>
      </c>
      <c r="K444" s="9">
        <f t="shared" si="190"/>
        <v>5148716</v>
      </c>
      <c r="L444" s="112">
        <f t="shared" si="191"/>
        <v>222521</v>
      </c>
      <c r="M444" s="458">
        <f t="shared" si="219"/>
        <v>43.02</v>
      </c>
      <c r="N444" s="9">
        <v>487.00000000487</v>
      </c>
      <c r="O444" s="9">
        <f t="shared" si="192"/>
        <v>510.99999998466996</v>
      </c>
      <c r="P444" s="9">
        <f t="shared" si="193"/>
        <v>1</v>
      </c>
      <c r="Q444" s="28">
        <f t="shared" si="194"/>
        <v>53143.999998405678</v>
      </c>
      <c r="R444" s="382">
        <f t="shared" si="195"/>
        <v>0</v>
      </c>
      <c r="S444" s="28">
        <v>4926195</v>
      </c>
      <c r="T444" s="33">
        <f t="shared" si="196"/>
        <v>4941524.9999995399</v>
      </c>
      <c r="U444" s="9">
        <f t="shared" si="197"/>
        <v>0</v>
      </c>
      <c r="V444" s="33">
        <f t="shared" si="198"/>
        <v>5148716</v>
      </c>
      <c r="W444" s="33">
        <f t="shared" si="199"/>
        <v>0</v>
      </c>
      <c r="X444" s="33">
        <v>0</v>
      </c>
      <c r="Y444" s="113">
        <f t="shared" si="200"/>
        <v>5148716</v>
      </c>
      <c r="Z444" s="155">
        <f t="shared" si="201"/>
        <v>48.330631233756478</v>
      </c>
      <c r="AA444" s="33">
        <f t="shared" si="202"/>
        <v>10653111</v>
      </c>
      <c r="AB444" s="114">
        <f t="shared" si="203"/>
        <v>99.999995966620546</v>
      </c>
      <c r="AC444" s="28">
        <f t="shared" si="204"/>
        <v>736613.38958124258</v>
      </c>
      <c r="AD444" s="28">
        <f t="shared" si="205"/>
        <v>222521</v>
      </c>
      <c r="AE444" s="28">
        <f t="shared" si="206"/>
        <v>565747.46295148879</v>
      </c>
      <c r="AF444" s="115">
        <f t="shared" si="207"/>
        <v>5.3106312337564745</v>
      </c>
      <c r="AG444" s="28">
        <f t="shared" si="208"/>
        <v>20847.580000000002</v>
      </c>
      <c r="AI444" s="28">
        <f t="shared" si="209"/>
        <v>0</v>
      </c>
      <c r="AJ444" s="28"/>
      <c r="AK444" s="28">
        <f t="shared" si="210"/>
        <v>435.46183954339659</v>
      </c>
      <c r="AL444" s="156"/>
      <c r="AM444" s="6">
        <f t="shared" si="211"/>
        <v>910</v>
      </c>
      <c r="AN444" s="6" t="str">
        <f t="shared" si="212"/>
        <v xml:space="preserve">Bristol County               </v>
      </c>
      <c r="AO444" s="6">
        <f t="shared" si="213"/>
        <v>1</v>
      </c>
      <c r="AP444" s="9">
        <f t="shared" si="218"/>
        <v>510.99999998466996</v>
      </c>
      <c r="AQ444" s="9">
        <f t="shared" si="214"/>
        <v>10653111.429680407</v>
      </c>
      <c r="AR444" s="33">
        <f t="shared" si="215"/>
        <v>5504395</v>
      </c>
      <c r="AS444" s="33">
        <f t="shared" si="216"/>
        <v>5148716</v>
      </c>
      <c r="AU444" s="28"/>
      <c r="AV444" s="9"/>
      <c r="AW444" s="519"/>
    </row>
    <row r="445" spans="1:49">
      <c r="A445" s="6">
        <v>915</v>
      </c>
      <c r="B445" s="6" t="s">
        <v>1545</v>
      </c>
      <c r="C445" s="7">
        <v>1</v>
      </c>
      <c r="D445" s="9">
        <v>5446250.7874944638</v>
      </c>
      <c r="E445" s="9">
        <v>3980038</v>
      </c>
      <c r="F445" s="9">
        <v>1466213</v>
      </c>
      <c r="G445" s="348"/>
      <c r="H445" s="111">
        <f t="shared" si="217"/>
        <v>1466213</v>
      </c>
      <c r="I445" s="9">
        <f t="shared" si="188"/>
        <v>5461945.0265061418</v>
      </c>
      <c r="J445" s="33">
        <f t="shared" si="189"/>
        <v>4073476</v>
      </c>
      <c r="K445" s="9">
        <f t="shared" si="190"/>
        <v>1388469</v>
      </c>
      <c r="L445" s="112">
        <f t="shared" si="191"/>
        <v>0</v>
      </c>
      <c r="M445" s="458">
        <f t="shared" si="219"/>
        <v>20.47</v>
      </c>
      <c r="N445" s="9">
        <v>253.00000000253002</v>
      </c>
      <c r="O445" s="9">
        <f t="shared" si="192"/>
        <v>247.99999999255999</v>
      </c>
      <c r="P445" s="9">
        <f t="shared" si="193"/>
        <v>0</v>
      </c>
      <c r="Q445" s="28">
        <f t="shared" si="194"/>
        <v>25791.999999226238</v>
      </c>
      <c r="R445" s="382">
        <f t="shared" si="195"/>
        <v>25791.999999226238</v>
      </c>
      <c r="S445" s="28">
        <v>1466213</v>
      </c>
      <c r="T445" s="33">
        <f t="shared" si="196"/>
        <v>1473652.9999997767</v>
      </c>
      <c r="U445" s="9">
        <f t="shared" si="197"/>
        <v>0</v>
      </c>
      <c r="V445" s="33">
        <f t="shared" si="198"/>
        <v>1492004.9999992263</v>
      </c>
      <c r="W445" s="33">
        <f t="shared" si="199"/>
        <v>0</v>
      </c>
      <c r="X445" s="33">
        <v>0</v>
      </c>
      <c r="Y445" s="113">
        <f t="shared" si="200"/>
        <v>1492004.9999992263</v>
      </c>
      <c r="Z445" s="155">
        <f t="shared" si="201"/>
        <v>27.316367937771457</v>
      </c>
      <c r="AA445" s="33">
        <f t="shared" si="202"/>
        <v>5565480.9999992261</v>
      </c>
      <c r="AB445" s="114">
        <f t="shared" si="203"/>
        <v>101.89558798176542</v>
      </c>
      <c r="AC445" s="28">
        <f t="shared" si="204"/>
        <v>15694.239011677913</v>
      </c>
      <c r="AD445" s="28">
        <f t="shared" si="205"/>
        <v>25791.999999226304</v>
      </c>
      <c r="AE445" s="28">
        <f t="shared" si="206"/>
        <v>373944.85307341907</v>
      </c>
      <c r="AF445" s="115">
        <f t="shared" si="207"/>
        <v>6.8463679377714577</v>
      </c>
      <c r="AG445" s="28">
        <f t="shared" si="208"/>
        <v>22023.97</v>
      </c>
      <c r="AI445" s="28">
        <f t="shared" si="209"/>
        <v>0</v>
      </c>
      <c r="AJ445" s="28"/>
      <c r="AK445" s="28">
        <f t="shared" si="210"/>
        <v>104.00000000000026</v>
      </c>
      <c r="AL445" s="156"/>
      <c r="AM445" s="6">
        <f t="shared" si="211"/>
        <v>915</v>
      </c>
      <c r="AN445" s="6" t="str">
        <f t="shared" si="212"/>
        <v xml:space="preserve">Norfolk County               </v>
      </c>
      <c r="AO445" s="6">
        <f t="shared" si="213"/>
        <v>1</v>
      </c>
      <c r="AP445" s="9">
        <f t="shared" si="218"/>
        <v>247.99999999255999</v>
      </c>
      <c r="AQ445" s="9">
        <f t="shared" si="214"/>
        <v>5461945.0265061418</v>
      </c>
      <c r="AR445" s="33">
        <f t="shared" si="215"/>
        <v>4073476</v>
      </c>
      <c r="AS445" s="33">
        <f t="shared" si="216"/>
        <v>1492004.9999992263</v>
      </c>
      <c r="AU445" s="28"/>
      <c r="AV445" s="9"/>
      <c r="AW445" s="519"/>
    </row>
    <row r="446" spans="1:49" s="10" customFormat="1">
      <c r="A446" s="10">
        <v>999</v>
      </c>
      <c r="B446" s="10" t="s">
        <v>2208</v>
      </c>
      <c r="C446" s="586" t="s">
        <v>2544</v>
      </c>
      <c r="D446" s="79">
        <v>13963389872.29413</v>
      </c>
      <c r="E446" s="79">
        <v>7566302116</v>
      </c>
      <c r="F446" s="79">
        <v>6592314527.6000013</v>
      </c>
      <c r="G446" s="79"/>
      <c r="H446" s="79">
        <f t="shared" ref="H446:L446" si="220">SUM(H8:H445)</f>
        <v>6592314527.6000013</v>
      </c>
      <c r="I446" s="79">
        <f t="shared" si="220"/>
        <v>14535103399.717712</v>
      </c>
      <c r="J446" s="79">
        <f t="shared" si="220"/>
        <v>7972055321</v>
      </c>
      <c r="K446" s="79">
        <f t="shared" si="220"/>
        <v>6563048071</v>
      </c>
      <c r="L446" s="79">
        <f t="shared" si="220"/>
        <v>258239391</v>
      </c>
      <c r="M446" s="323">
        <v>41</v>
      </c>
      <c r="N446" s="79">
        <v>905105.99999993376</v>
      </c>
      <c r="O446" s="79">
        <f>SUM(O8:O445)</f>
        <v>905572.00000007881</v>
      </c>
      <c r="P446" s="79">
        <f>SUM(P8:P445)</f>
        <v>120</v>
      </c>
      <c r="Q446" s="79"/>
      <c r="R446" s="79">
        <f t="shared" ref="R446:U446" si="221">SUM(R8:R445)</f>
        <v>50672684.000006184</v>
      </c>
      <c r="S446" s="79">
        <f>SUM(S8:S445)</f>
        <v>6593454586.1100006</v>
      </c>
      <c r="T446" s="79">
        <f t="shared" si="221"/>
        <v>6620621746.1100025</v>
      </c>
      <c r="U446" s="79">
        <f t="shared" si="221"/>
        <v>0</v>
      </c>
      <c r="V446" s="33">
        <f t="shared" si="198"/>
        <v>6901226602.6000071</v>
      </c>
      <c r="W446" s="79">
        <f t="shared" ref="W446:Y446" si="222">SUM(W8:W445)</f>
        <v>340396.33999999997</v>
      </c>
      <c r="X446" s="79">
        <f t="shared" si="222"/>
        <v>723921</v>
      </c>
      <c r="Y446" s="79">
        <f t="shared" si="222"/>
        <v>6901610127.2600069</v>
      </c>
      <c r="Z446" s="589" t="s">
        <v>2544</v>
      </c>
      <c r="AA446" s="79">
        <f>SUM(AA8:AA445)</f>
        <v>14873665448.260008</v>
      </c>
      <c r="AB446" s="39">
        <f t="shared" si="203"/>
        <v>102.32927168959026</v>
      </c>
      <c r="AC446" s="589" t="s">
        <v>2544</v>
      </c>
      <c r="AD446" s="28">
        <f t="shared" si="205"/>
        <v>309295599.66000557</v>
      </c>
      <c r="AE446" s="589" t="s">
        <v>2544</v>
      </c>
      <c r="AF446" s="589" t="s">
        <v>2544</v>
      </c>
      <c r="AG446" s="589" t="s">
        <v>2544</v>
      </c>
      <c r="AI446" s="74">
        <f>SUM(AI8:AI445)</f>
        <v>0</v>
      </c>
      <c r="AJ446" s="74"/>
      <c r="AK446" s="28">
        <f t="shared" si="210"/>
        <v>341.54722060750402</v>
      </c>
      <c r="AL446" s="156"/>
      <c r="AM446" s="10">
        <f>A446</f>
        <v>999</v>
      </c>
      <c r="AN446" s="10" t="str">
        <f>B446</f>
        <v>State total (excluding Devens)</v>
      </c>
      <c r="AP446" s="79">
        <f t="shared" si="218"/>
        <v>905572.00000007881</v>
      </c>
      <c r="AQ446" s="79">
        <f t="shared" si="214"/>
        <v>14535103399.717712</v>
      </c>
      <c r="AR446" s="79">
        <f t="shared" si="215"/>
        <v>7972055321</v>
      </c>
      <c r="AS446" s="92">
        <f t="shared" si="216"/>
        <v>6901610127.2600069</v>
      </c>
    </row>
    <row r="447" spans="1:49" s="10" customFormat="1" ht="15">
      <c r="A447" s="6">
        <v>352</v>
      </c>
      <c r="B447" s="6" t="s">
        <v>1033</v>
      </c>
      <c r="C447" s="7">
        <v>0</v>
      </c>
      <c r="D447" s="9"/>
      <c r="E447" s="9"/>
      <c r="F447" s="9">
        <v>308558</v>
      </c>
      <c r="G447" s="314"/>
      <c r="H447" s="314"/>
      <c r="I447" s="314"/>
      <c r="J447" s="314"/>
      <c r="K447" s="314"/>
      <c r="L447" s="314"/>
      <c r="M447" s="314"/>
      <c r="N447" s="314"/>
      <c r="O447" s="314"/>
      <c r="P447" s="314"/>
      <c r="Q447" s="79"/>
      <c r="R447" s="79"/>
      <c r="S447" s="28">
        <v>308558</v>
      </c>
      <c r="T447" s="314"/>
      <c r="U447" s="314"/>
      <c r="V447" s="315"/>
      <c r="W447" s="314"/>
      <c r="X447" s="33"/>
      <c r="Y447" s="28">
        <v>308558</v>
      </c>
      <c r="Z447" s="155"/>
      <c r="AA447" s="314"/>
      <c r="AB447" s="316"/>
      <c r="AC447" s="315"/>
      <c r="AD447" s="315"/>
      <c r="AE447" s="118">
        <f>SUMIF(AE8:AE445, "&gt;0")</f>
        <v>942223432.81827128</v>
      </c>
      <c r="AF447" s="315"/>
      <c r="AG447" s="315"/>
      <c r="AH447" s="315"/>
      <c r="AI447" s="315"/>
      <c r="AJ447" s="315"/>
      <c r="AK447" s="315"/>
      <c r="AL447"/>
      <c r="AP447" s="9"/>
      <c r="AR447" s="79"/>
    </row>
    <row r="448" spans="1:49">
      <c r="A448" s="10"/>
      <c r="B448" s="10"/>
      <c r="C448" s="12"/>
      <c r="D448" s="9"/>
      <c r="E448" s="9"/>
      <c r="F448" s="28">
        <f>F446+F447</f>
        <v>6592623085.6000013</v>
      </c>
      <c r="G448" s="79"/>
      <c r="H448" s="79"/>
      <c r="I448" s="79"/>
      <c r="J448" s="79">
        <f>J439-E439</f>
        <v>749025</v>
      </c>
      <c r="K448" s="79"/>
      <c r="L448" s="79"/>
      <c r="M448" s="79"/>
      <c r="N448" s="79"/>
      <c r="O448" s="79">
        <f>O446-N446</f>
        <v>466.00000014505349</v>
      </c>
      <c r="P448" s="79"/>
      <c r="Q448" s="79"/>
      <c r="R448" s="79"/>
      <c r="S448" s="28">
        <v>6593482332.1100006</v>
      </c>
      <c r="V448" s="79"/>
      <c r="W448" s="79"/>
      <c r="X448" s="33"/>
      <c r="Y448" s="28">
        <f>Y446+Y447</f>
        <v>6901918685.2600069</v>
      </c>
      <c r="Z448" s="155"/>
      <c r="AA448" s="33"/>
      <c r="AB448" s="116"/>
      <c r="AE448" s="117">
        <f>SUMIF(AE8:AE445, "&lt;0")</f>
        <v>-0.1045870017260313</v>
      </c>
      <c r="AM448" s="10"/>
      <c r="AN448" s="10"/>
      <c r="AO448" s="10"/>
      <c r="AP448" s="9"/>
      <c r="AQ448" s="9"/>
      <c r="AS448" s="9"/>
    </row>
    <row r="449" spans="1:45">
      <c r="A449" s="10"/>
      <c r="B449" s="10"/>
      <c r="C449" s="12"/>
      <c r="D449" s="9"/>
      <c r="E449" s="9"/>
      <c r="F449" s="28"/>
      <c r="G449" s="79"/>
      <c r="H449" s="79"/>
      <c r="I449" s="79"/>
      <c r="J449" s="79"/>
      <c r="K449" s="79"/>
      <c r="L449" s="79">
        <f>COUNTIF(L8:L445, "&gt;0")</f>
        <v>132</v>
      </c>
      <c r="M449" s="79"/>
      <c r="N449" s="79"/>
      <c r="O449" s="515">
        <f>O448/N446</f>
        <v>5.1485682355998925E-4</v>
      </c>
      <c r="P449" s="79"/>
      <c r="Q449" s="79"/>
      <c r="R449" s="79">
        <f>COUNTIF(R8:R445, "&gt;0")</f>
        <v>229</v>
      </c>
      <c r="S449" s="9"/>
      <c r="U449" s="79">
        <f>COUNTIF(U8:U445, "&gt;0.0001")</f>
        <v>0</v>
      </c>
      <c r="V449" s="79"/>
      <c r="W449" s="79"/>
      <c r="X449" s="33"/>
      <c r="Y449" s="33"/>
      <c r="Z449" s="155"/>
      <c r="AA449" s="33"/>
      <c r="AB449" s="116"/>
      <c r="AE449" s="117"/>
      <c r="AM449" s="10"/>
      <c r="AN449" s="10"/>
      <c r="AO449" s="10"/>
      <c r="AP449" s="9"/>
      <c r="AS449" s="7"/>
    </row>
    <row r="450" spans="1:45">
      <c r="A450" s="10"/>
      <c r="B450" s="10"/>
      <c r="C450" s="12"/>
      <c r="D450" s="79"/>
      <c r="E450" s="79"/>
      <c r="F450" s="79"/>
      <c r="G450" s="79"/>
      <c r="H450" s="79"/>
      <c r="I450" s="33"/>
      <c r="J450" s="33"/>
      <c r="K450" s="79"/>
      <c r="L450" s="79"/>
      <c r="M450" s="79"/>
      <c r="N450" s="79"/>
      <c r="O450" s="33"/>
      <c r="P450" s="79"/>
      <c r="Q450" s="79"/>
      <c r="R450" s="79"/>
      <c r="S450" s="9"/>
      <c r="V450" s="79"/>
      <c r="W450" s="79"/>
      <c r="X450" s="79"/>
      <c r="Y450" s="33"/>
      <c r="Z450" s="155"/>
      <c r="AA450" s="33"/>
      <c r="AB450" s="116"/>
      <c r="AM450" s="10"/>
      <c r="AN450" s="10"/>
      <c r="AO450" s="10"/>
      <c r="AP450" s="79"/>
      <c r="AQ450" s="79"/>
      <c r="AR450" s="79"/>
      <c r="AS450" s="79"/>
    </row>
    <row r="451" spans="1:45">
      <c r="A451" s="10"/>
      <c r="B451" s="10"/>
      <c r="C451" s="12"/>
      <c r="D451" s="79"/>
      <c r="E451" s="79"/>
      <c r="F451" s="79"/>
      <c r="G451" s="79"/>
      <c r="H451" s="79"/>
      <c r="I451" s="79"/>
      <c r="J451" s="79"/>
      <c r="K451" s="79"/>
      <c r="L451" s="79"/>
      <c r="M451" s="79"/>
      <c r="N451" s="79"/>
      <c r="O451" s="79"/>
      <c r="P451" s="79"/>
      <c r="Q451" s="79"/>
      <c r="R451" s="79"/>
      <c r="S451" s="9"/>
      <c r="U451" s="10">
        <f>COUNTIFS(U8:U445, "&gt;0.0001",C8:C445,"=1")</f>
        <v>0</v>
      </c>
      <c r="V451" s="79"/>
      <c r="W451" s="79"/>
      <c r="X451" s="79"/>
      <c r="Y451" s="79"/>
      <c r="Z451" s="155"/>
      <c r="AA451" s="33"/>
      <c r="AB451" s="116"/>
      <c r="AM451" s="10"/>
      <c r="AN451" s="10"/>
      <c r="AO451" s="10"/>
      <c r="AP451" s="10"/>
    </row>
    <row r="452" spans="1:45" s="10" customFormat="1">
      <c r="C452" s="12"/>
      <c r="I452" s="79">
        <f>I446-D446</f>
        <v>571713527.42358208</v>
      </c>
      <c r="O452" s="79"/>
      <c r="S452" s="9"/>
      <c r="T452" s="118"/>
      <c r="U452" s="79">
        <f>SUMIF(C8:C445,"=1",U8:U445)</f>
        <v>0</v>
      </c>
      <c r="Y452" s="79"/>
      <c r="Z452" s="155"/>
      <c r="AK452"/>
      <c r="AL452"/>
      <c r="AR452" s="79"/>
    </row>
    <row r="453" spans="1:45" s="10" customFormat="1">
      <c r="C453" s="12"/>
      <c r="S453" s="9"/>
      <c r="Z453" s="155"/>
      <c r="AK453"/>
      <c r="AL453"/>
      <c r="AR453" s="79"/>
    </row>
    <row r="454" spans="1:45" s="10" customFormat="1">
      <c r="C454" s="12"/>
      <c r="Y454" s="74"/>
      <c r="AK454"/>
      <c r="AL454"/>
      <c r="AR454" s="79"/>
    </row>
    <row r="455" spans="1:45" s="10" customFormat="1">
      <c r="C455" s="12"/>
      <c r="S455" s="9"/>
      <c r="Z455" s="155"/>
      <c r="AK455"/>
      <c r="AL455"/>
      <c r="AR455" s="79"/>
    </row>
    <row r="456" spans="1:45" s="10" customFormat="1">
      <c r="C456" s="12"/>
      <c r="S456" s="9"/>
      <c r="Z456" s="155"/>
      <c r="AK456"/>
      <c r="AL456"/>
      <c r="AR456" s="79"/>
    </row>
    <row r="457" spans="1:45" s="10" customFormat="1" ht="15">
      <c r="C457" s="12"/>
      <c r="S457" s="9"/>
      <c r="Y457" s="521"/>
      <c r="Z457" s="155"/>
      <c r="AK457"/>
      <c r="AL457"/>
      <c r="AR457" s="79"/>
    </row>
    <row r="458" spans="1:45" s="10" customFormat="1">
      <c r="C458" s="12"/>
      <c r="S458" s="9"/>
      <c r="Z458" s="155"/>
      <c r="AK458"/>
      <c r="AL458"/>
      <c r="AR458" s="79"/>
    </row>
    <row r="459" spans="1:45" s="10" customFormat="1">
      <c r="C459" s="12"/>
      <c r="S459" s="9"/>
      <c r="Z459" s="155"/>
      <c r="AK459"/>
      <c r="AL459"/>
      <c r="AR459" s="79"/>
    </row>
    <row r="460" spans="1:45" s="10" customFormat="1">
      <c r="C460" s="12"/>
      <c r="S460" s="9"/>
      <c r="Z460" s="155"/>
      <c r="AK460"/>
      <c r="AL460"/>
      <c r="AR460" s="79"/>
    </row>
    <row r="461" spans="1:45" s="10" customFormat="1">
      <c r="A461" s="10" cm="1">
        <f t="array" ref="A461:AS461">COLUMN(A:AS)</f>
        <v>1</v>
      </c>
      <c r="B461" s="10">
        <v>2</v>
      </c>
      <c r="C461" s="12">
        <v>3</v>
      </c>
      <c r="D461" s="10">
        <v>4</v>
      </c>
      <c r="E461" s="10">
        <v>5</v>
      </c>
      <c r="F461" s="10">
        <v>6</v>
      </c>
      <c r="G461" s="10">
        <v>7</v>
      </c>
      <c r="H461" s="10">
        <v>8</v>
      </c>
      <c r="I461" s="10">
        <v>9</v>
      </c>
      <c r="J461" s="10">
        <v>10</v>
      </c>
      <c r="K461" s="10">
        <v>11</v>
      </c>
      <c r="L461" s="10">
        <v>12</v>
      </c>
      <c r="M461" s="10">
        <v>13</v>
      </c>
      <c r="N461" s="10">
        <v>14</v>
      </c>
      <c r="O461" s="10">
        <v>15</v>
      </c>
      <c r="P461" s="10">
        <v>16</v>
      </c>
      <c r="Q461" s="10">
        <v>17</v>
      </c>
      <c r="R461" s="10">
        <v>18</v>
      </c>
      <c r="S461" s="9">
        <v>19</v>
      </c>
      <c r="T461" s="10">
        <v>20</v>
      </c>
      <c r="U461" s="10">
        <v>21</v>
      </c>
      <c r="V461" s="10">
        <v>22</v>
      </c>
      <c r="W461" s="10">
        <v>23</v>
      </c>
      <c r="X461" s="10">
        <v>24</v>
      </c>
      <c r="Y461" s="10">
        <v>25</v>
      </c>
      <c r="Z461" s="155">
        <v>26</v>
      </c>
      <c r="AA461" s="10">
        <v>27</v>
      </c>
      <c r="AB461" s="10">
        <v>28</v>
      </c>
      <c r="AC461" s="10">
        <v>29</v>
      </c>
      <c r="AD461" s="10">
        <v>30</v>
      </c>
      <c r="AE461" s="10">
        <v>31</v>
      </c>
      <c r="AF461" s="10">
        <v>32</v>
      </c>
      <c r="AG461" s="10">
        <v>33</v>
      </c>
      <c r="AH461" s="10">
        <v>34</v>
      </c>
      <c r="AI461" s="10">
        <v>35</v>
      </c>
      <c r="AJ461" s="10">
        <v>36</v>
      </c>
      <c r="AK461">
        <v>37</v>
      </c>
      <c r="AL461">
        <v>38</v>
      </c>
      <c r="AM461" s="10">
        <v>39</v>
      </c>
      <c r="AN461" s="10">
        <v>40</v>
      </c>
      <c r="AO461" s="10">
        <v>41</v>
      </c>
      <c r="AP461" s="10">
        <v>42</v>
      </c>
      <c r="AQ461" s="10">
        <v>43</v>
      </c>
      <c r="AR461" s="79">
        <v>44</v>
      </c>
      <c r="AS461" s="10">
        <v>45</v>
      </c>
    </row>
    <row r="462" spans="1:45" s="10" customFormat="1">
      <c r="A462" s="6" t="s">
        <v>2580</v>
      </c>
      <c r="C462" s="12"/>
      <c r="S462" s="9"/>
      <c r="Z462" s="155"/>
      <c r="AK462"/>
      <c r="AL462"/>
      <c r="AR462" s="79"/>
    </row>
    <row r="463" spans="1:45" s="10" customFormat="1">
      <c r="C463" s="12"/>
      <c r="S463" s="9"/>
      <c r="Z463" s="155"/>
      <c r="AK463"/>
      <c r="AL463"/>
      <c r="AR463" s="79"/>
    </row>
    <row r="464" spans="1:45" s="10" customFormat="1">
      <c r="C464" s="12"/>
      <c r="S464" s="9"/>
      <c r="Z464" s="155"/>
      <c r="AK464"/>
      <c r="AL464"/>
      <c r="AR464" s="79"/>
    </row>
    <row r="465" spans="3:44" s="10" customFormat="1">
      <c r="C465" s="12"/>
      <c r="S465" s="9"/>
      <c r="Z465" s="155"/>
      <c r="AK465"/>
      <c r="AL465"/>
      <c r="AR465" s="79"/>
    </row>
    <row r="466" spans="3:44" s="10" customFormat="1">
      <c r="C466" s="12"/>
      <c r="S466" s="9"/>
      <c r="Z466" s="155"/>
      <c r="AK466"/>
      <c r="AL466"/>
      <c r="AR466" s="79"/>
    </row>
    <row r="467" spans="3:44" s="10" customFormat="1">
      <c r="C467" s="12"/>
      <c r="S467" s="9"/>
      <c r="Z467" s="155"/>
      <c r="AK467"/>
      <c r="AL467"/>
      <c r="AR467" s="79"/>
    </row>
    <row r="468" spans="3:44" s="10" customFormat="1">
      <c r="C468" s="12"/>
      <c r="S468" s="9"/>
      <c r="Z468" s="155"/>
      <c r="AK468"/>
      <c r="AL468"/>
      <c r="AR468" s="79"/>
    </row>
    <row r="469" spans="3:44" s="10" customFormat="1">
      <c r="C469" s="12"/>
      <c r="S469" s="9"/>
      <c r="Z469" s="155"/>
      <c r="AK469"/>
      <c r="AL469"/>
      <c r="AR469" s="79"/>
    </row>
    <row r="470" spans="3:44" s="10" customFormat="1">
      <c r="C470" s="12"/>
      <c r="S470" s="9"/>
      <c r="Z470" s="155"/>
      <c r="AK470"/>
      <c r="AL470"/>
      <c r="AR470" s="79"/>
    </row>
    <row r="471" spans="3:44" s="10" customFormat="1">
      <c r="C471" s="12"/>
      <c r="S471" s="9"/>
      <c r="Z471" s="155"/>
      <c r="AK471"/>
      <c r="AL471"/>
      <c r="AR471" s="79"/>
    </row>
    <row r="472" spans="3:44" s="10" customFormat="1">
      <c r="C472" s="12"/>
      <c r="S472" s="9"/>
      <c r="Z472" s="155"/>
      <c r="AK472"/>
      <c r="AL472"/>
      <c r="AR472" s="79"/>
    </row>
    <row r="473" spans="3:44" s="10" customFormat="1">
      <c r="C473" s="12"/>
      <c r="S473" s="9"/>
      <c r="Z473" s="155"/>
      <c r="AK473"/>
      <c r="AL473"/>
      <c r="AR473" s="79"/>
    </row>
    <row r="474" spans="3:44" s="10" customFormat="1">
      <c r="C474" s="12"/>
      <c r="S474" s="9"/>
      <c r="Z474" s="155"/>
      <c r="AK474"/>
      <c r="AL474"/>
      <c r="AR474" s="79"/>
    </row>
    <row r="475" spans="3:44" s="10" customFormat="1">
      <c r="C475" s="12"/>
      <c r="S475" s="9"/>
      <c r="Z475" s="155"/>
      <c r="AK475"/>
      <c r="AL475"/>
      <c r="AR475" s="79"/>
    </row>
    <row r="476" spans="3:44" s="10" customFormat="1">
      <c r="C476" s="12"/>
      <c r="S476" s="9"/>
      <c r="Z476" s="155"/>
      <c r="AK476"/>
      <c r="AL476"/>
      <c r="AR476" s="79"/>
    </row>
    <row r="477" spans="3:44" s="10" customFormat="1">
      <c r="C477" s="12"/>
      <c r="S477" s="9"/>
      <c r="Z477" s="155"/>
      <c r="AK477"/>
      <c r="AL477"/>
      <c r="AR477" s="79"/>
    </row>
    <row r="478" spans="3:44" s="10" customFormat="1">
      <c r="C478" s="12"/>
      <c r="S478" s="9"/>
      <c r="Z478" s="155"/>
      <c r="AK478"/>
      <c r="AL478"/>
      <c r="AR478" s="79"/>
    </row>
    <row r="479" spans="3:44" s="10" customFormat="1">
      <c r="C479" s="12"/>
      <c r="S479" s="9"/>
      <c r="Z479" s="155"/>
      <c r="AK479"/>
      <c r="AL479"/>
      <c r="AR479" s="79"/>
    </row>
    <row r="480" spans="3:44" s="10" customFormat="1">
      <c r="C480" s="12"/>
      <c r="S480" s="9"/>
      <c r="Z480" s="155"/>
      <c r="AK480"/>
      <c r="AL480"/>
      <c r="AR480" s="79"/>
    </row>
    <row r="481" spans="3:44" s="10" customFormat="1">
      <c r="C481" s="12"/>
      <c r="S481" s="9"/>
      <c r="Z481" s="155"/>
      <c r="AK481"/>
      <c r="AL481"/>
      <c r="AR481" s="79"/>
    </row>
    <row r="482" spans="3:44" s="10" customFormat="1">
      <c r="C482" s="12"/>
      <c r="S482" s="9"/>
      <c r="Z482" s="155"/>
      <c r="AK482"/>
      <c r="AL482"/>
      <c r="AR482" s="79"/>
    </row>
    <row r="483" spans="3:44" s="10" customFormat="1">
      <c r="C483" s="12"/>
      <c r="S483" s="9"/>
      <c r="Z483" s="155"/>
      <c r="AK483"/>
      <c r="AL483"/>
      <c r="AR483" s="79"/>
    </row>
    <row r="484" spans="3:44" s="10" customFormat="1">
      <c r="C484" s="12"/>
      <c r="S484" s="9"/>
      <c r="Z484" s="155"/>
      <c r="AK484"/>
      <c r="AL484"/>
      <c r="AR484" s="79"/>
    </row>
    <row r="485" spans="3:44" s="10" customFormat="1">
      <c r="C485" s="12"/>
      <c r="S485" s="9"/>
      <c r="Z485" s="155"/>
      <c r="AK485"/>
      <c r="AL485"/>
      <c r="AR485" s="79"/>
    </row>
    <row r="486" spans="3:44" s="10" customFormat="1">
      <c r="C486" s="12"/>
      <c r="S486" s="9"/>
      <c r="Z486" s="155"/>
      <c r="AK486"/>
      <c r="AL486"/>
      <c r="AR486" s="79"/>
    </row>
    <row r="487" spans="3:44" s="10" customFormat="1">
      <c r="C487" s="12"/>
      <c r="S487" s="9"/>
      <c r="Z487" s="155"/>
      <c r="AK487"/>
      <c r="AL487"/>
      <c r="AR487" s="79"/>
    </row>
    <row r="488" spans="3:44" s="10" customFormat="1">
      <c r="C488" s="12"/>
      <c r="S488" s="9"/>
      <c r="Z488" s="155"/>
      <c r="AK488"/>
      <c r="AL488"/>
      <c r="AR488" s="79"/>
    </row>
    <row r="489" spans="3:44" s="10" customFormat="1">
      <c r="C489" s="12"/>
      <c r="S489" s="9"/>
      <c r="Z489" s="155"/>
      <c r="AK489"/>
      <c r="AL489"/>
      <c r="AR489" s="79"/>
    </row>
    <row r="490" spans="3:44" s="10" customFormat="1">
      <c r="C490" s="12"/>
      <c r="S490" s="9"/>
      <c r="Z490" s="155"/>
      <c r="AK490"/>
      <c r="AL490"/>
      <c r="AR490" s="79"/>
    </row>
    <row r="491" spans="3:44" s="10" customFormat="1">
      <c r="C491" s="12"/>
      <c r="S491" s="9"/>
      <c r="Z491" s="155"/>
      <c r="AK491"/>
      <c r="AL491"/>
      <c r="AR491" s="79"/>
    </row>
    <row r="492" spans="3:44" s="10" customFormat="1">
      <c r="C492" s="12"/>
      <c r="S492" s="9"/>
      <c r="Z492" s="155"/>
      <c r="AK492"/>
      <c r="AL492"/>
      <c r="AR492" s="79"/>
    </row>
    <row r="493" spans="3:44" s="10" customFormat="1">
      <c r="C493" s="12"/>
      <c r="S493" s="9"/>
      <c r="Z493" s="155"/>
      <c r="AK493"/>
      <c r="AL493"/>
      <c r="AR493" s="79"/>
    </row>
    <row r="494" spans="3:44" s="10" customFormat="1">
      <c r="C494" s="12"/>
      <c r="S494" s="9"/>
      <c r="Z494" s="155"/>
      <c r="AK494"/>
      <c r="AL494"/>
      <c r="AR494" s="79"/>
    </row>
    <row r="495" spans="3:44" s="10" customFormat="1">
      <c r="C495" s="12"/>
      <c r="S495" s="9"/>
      <c r="Z495" s="155"/>
      <c r="AK495"/>
      <c r="AL495"/>
      <c r="AR495" s="79"/>
    </row>
    <row r="496" spans="3:44" s="10" customFormat="1">
      <c r="C496" s="12"/>
      <c r="S496" s="9"/>
      <c r="Z496" s="155"/>
      <c r="AK496"/>
      <c r="AL496"/>
      <c r="AR496" s="79"/>
    </row>
    <row r="497" spans="3:44" s="10" customFormat="1">
      <c r="C497" s="12"/>
      <c r="S497" s="9"/>
      <c r="Z497" s="155"/>
      <c r="AK497"/>
      <c r="AL497"/>
      <c r="AR497" s="79"/>
    </row>
    <row r="498" spans="3:44" s="10" customFormat="1">
      <c r="C498" s="12"/>
      <c r="S498" s="9"/>
      <c r="Z498" s="155"/>
      <c r="AK498"/>
      <c r="AL498"/>
      <c r="AR498" s="79"/>
    </row>
    <row r="499" spans="3:44" s="10" customFormat="1">
      <c r="C499" s="12"/>
      <c r="S499" s="9"/>
      <c r="Z499" s="155"/>
      <c r="AK499"/>
      <c r="AL499"/>
      <c r="AR499" s="79"/>
    </row>
    <row r="500" spans="3:44" s="10" customFormat="1">
      <c r="C500" s="12"/>
      <c r="S500" s="9"/>
      <c r="Z500" s="155"/>
      <c r="AK500"/>
      <c r="AL500"/>
      <c r="AR500" s="79"/>
    </row>
    <row r="501" spans="3:44" s="10" customFormat="1">
      <c r="C501" s="12"/>
      <c r="S501" s="9"/>
      <c r="Z501" s="155"/>
      <c r="AK501"/>
      <c r="AL501"/>
      <c r="AR501" s="79"/>
    </row>
    <row r="502" spans="3:44" s="10" customFormat="1">
      <c r="C502" s="12"/>
      <c r="S502" s="9"/>
      <c r="Z502" s="155"/>
      <c r="AK502"/>
      <c r="AL502"/>
      <c r="AR502" s="79"/>
    </row>
    <row r="503" spans="3:44" s="10" customFormat="1">
      <c r="C503" s="12"/>
      <c r="S503" s="9"/>
      <c r="Z503" s="155"/>
      <c r="AK503"/>
      <c r="AL503"/>
      <c r="AR503" s="79"/>
    </row>
    <row r="504" spans="3:44" s="10" customFormat="1">
      <c r="C504" s="12"/>
      <c r="S504" s="9"/>
      <c r="Z504" s="155"/>
      <c r="AK504"/>
      <c r="AL504"/>
      <c r="AR504" s="79"/>
    </row>
    <row r="505" spans="3:44" s="10" customFormat="1">
      <c r="C505" s="12"/>
      <c r="S505" s="9"/>
      <c r="Z505" s="155"/>
      <c r="AK505"/>
      <c r="AL505"/>
      <c r="AR505" s="79"/>
    </row>
    <row r="506" spans="3:44" s="10" customFormat="1">
      <c r="C506" s="12"/>
      <c r="S506" s="9"/>
      <c r="Z506" s="155"/>
      <c r="AK506"/>
      <c r="AL506"/>
      <c r="AR506" s="79"/>
    </row>
    <row r="507" spans="3:44" s="10" customFormat="1">
      <c r="C507" s="12"/>
      <c r="S507" s="9"/>
      <c r="Z507" s="155"/>
      <c r="AK507"/>
      <c r="AL507"/>
      <c r="AR507" s="79"/>
    </row>
    <row r="508" spans="3:44" s="10" customFormat="1">
      <c r="C508" s="12"/>
      <c r="S508" s="9"/>
      <c r="Z508" s="155"/>
      <c r="AK508"/>
      <c r="AL508"/>
      <c r="AR508" s="79"/>
    </row>
    <row r="509" spans="3:44" s="10" customFormat="1">
      <c r="C509" s="12"/>
      <c r="S509" s="9"/>
      <c r="Z509" s="155"/>
      <c r="AK509"/>
      <c r="AL509"/>
      <c r="AR509" s="79"/>
    </row>
    <row r="510" spans="3:44" s="10" customFormat="1">
      <c r="C510" s="12"/>
      <c r="S510" s="9"/>
      <c r="Z510" s="155"/>
      <c r="AK510"/>
      <c r="AL510"/>
      <c r="AR510" s="79"/>
    </row>
    <row r="511" spans="3:44" s="10" customFormat="1">
      <c r="C511" s="12"/>
      <c r="S511" s="9"/>
      <c r="Z511" s="155"/>
      <c r="AK511"/>
      <c r="AL511"/>
      <c r="AR511" s="79"/>
    </row>
    <row r="512" spans="3:44" s="10" customFormat="1">
      <c r="C512" s="12"/>
      <c r="S512" s="9"/>
      <c r="Z512" s="155"/>
      <c r="AK512"/>
      <c r="AL512"/>
      <c r="AR512" s="79"/>
    </row>
    <row r="513" spans="3:44" s="10" customFormat="1">
      <c r="C513" s="12"/>
      <c r="S513" s="9"/>
      <c r="Z513" s="155"/>
      <c r="AK513"/>
      <c r="AL513"/>
      <c r="AR513" s="79"/>
    </row>
    <row r="514" spans="3:44" s="10" customFormat="1">
      <c r="C514" s="12"/>
      <c r="S514" s="9"/>
      <c r="Z514" s="155"/>
      <c r="AK514"/>
      <c r="AL514"/>
      <c r="AR514" s="79"/>
    </row>
    <row r="515" spans="3:44" s="10" customFormat="1">
      <c r="C515" s="12"/>
      <c r="S515" s="9"/>
      <c r="Z515" s="155"/>
      <c r="AK515"/>
      <c r="AL515"/>
      <c r="AR515" s="79"/>
    </row>
    <row r="516" spans="3:44" s="10" customFormat="1">
      <c r="C516" s="12"/>
      <c r="S516" s="9"/>
      <c r="Z516" s="155"/>
      <c r="AK516"/>
      <c r="AL516"/>
      <c r="AR516" s="79"/>
    </row>
    <row r="517" spans="3:44" s="10" customFormat="1">
      <c r="C517" s="12"/>
      <c r="S517" s="9"/>
      <c r="Z517" s="155"/>
      <c r="AK517"/>
      <c r="AL517"/>
      <c r="AR517" s="79"/>
    </row>
    <row r="518" spans="3:44" s="10" customFormat="1">
      <c r="C518" s="12"/>
      <c r="S518" s="9"/>
      <c r="Z518" s="155"/>
      <c r="AK518"/>
      <c r="AL518"/>
      <c r="AR518" s="79"/>
    </row>
    <row r="519" spans="3:44" s="10" customFormat="1">
      <c r="C519" s="12"/>
      <c r="S519" s="9"/>
      <c r="Z519" s="155"/>
      <c r="AK519"/>
      <c r="AL519"/>
      <c r="AR519" s="79"/>
    </row>
    <row r="520" spans="3:44" s="10" customFormat="1">
      <c r="C520" s="12"/>
      <c r="S520" s="9"/>
      <c r="Z520" s="155"/>
      <c r="AK520"/>
      <c r="AL520"/>
      <c r="AR520" s="79"/>
    </row>
    <row r="521" spans="3:44" s="10" customFormat="1">
      <c r="C521" s="12"/>
      <c r="S521" s="9"/>
      <c r="Z521" s="155"/>
      <c r="AK521"/>
      <c r="AL521"/>
      <c r="AR521" s="79"/>
    </row>
    <row r="522" spans="3:44" s="10" customFormat="1">
      <c r="C522" s="12"/>
      <c r="S522" s="9"/>
      <c r="Z522" s="155"/>
      <c r="AK522"/>
      <c r="AL522"/>
      <c r="AR522" s="79"/>
    </row>
    <row r="523" spans="3:44" s="10" customFormat="1">
      <c r="C523" s="12"/>
      <c r="S523" s="9"/>
      <c r="Z523" s="155"/>
      <c r="AK523"/>
      <c r="AL523"/>
      <c r="AR523" s="79"/>
    </row>
    <row r="524" spans="3:44" s="10" customFormat="1">
      <c r="C524" s="12"/>
      <c r="S524" s="9"/>
      <c r="Z524" s="155"/>
      <c r="AK524"/>
      <c r="AL524"/>
      <c r="AR524" s="79"/>
    </row>
    <row r="525" spans="3:44" s="10" customFormat="1">
      <c r="C525" s="12"/>
      <c r="S525" s="9"/>
      <c r="Z525" s="155"/>
      <c r="AK525"/>
      <c r="AL525"/>
      <c r="AR525" s="79"/>
    </row>
    <row r="526" spans="3:44" s="10" customFormat="1">
      <c r="C526" s="12"/>
      <c r="S526" s="9"/>
      <c r="Z526" s="155"/>
      <c r="AK526"/>
      <c r="AL526"/>
      <c r="AR526" s="79"/>
    </row>
    <row r="527" spans="3:44" s="10" customFormat="1">
      <c r="C527" s="12"/>
      <c r="S527" s="9"/>
      <c r="Z527" s="155"/>
      <c r="AK527"/>
      <c r="AL527"/>
      <c r="AR527" s="79"/>
    </row>
    <row r="528" spans="3:44" s="10" customFormat="1">
      <c r="C528" s="12"/>
      <c r="S528" s="9"/>
      <c r="Z528" s="155"/>
      <c r="AK528"/>
      <c r="AL528"/>
      <c r="AR528" s="79"/>
    </row>
    <row r="529" spans="3:44" s="10" customFormat="1">
      <c r="C529" s="12"/>
      <c r="S529" s="9"/>
      <c r="Z529" s="155"/>
      <c r="AK529"/>
      <c r="AL529"/>
      <c r="AR529" s="79"/>
    </row>
    <row r="530" spans="3:44" s="10" customFormat="1">
      <c r="C530" s="12"/>
      <c r="S530" s="9"/>
      <c r="Z530" s="155"/>
      <c r="AK530"/>
      <c r="AL530"/>
      <c r="AR530" s="79"/>
    </row>
    <row r="531" spans="3:44">
      <c r="S531" s="9"/>
      <c r="Z531" s="155"/>
    </row>
    <row r="532" spans="3:44">
      <c r="S532" s="9"/>
      <c r="Z532" s="155"/>
    </row>
    <row r="533" spans="3:44">
      <c r="S533" s="9"/>
      <c r="Z533" s="155"/>
    </row>
    <row r="534" spans="3:44">
      <c r="S534" s="9"/>
      <c r="Z534" s="155"/>
    </row>
    <row r="535" spans="3:44">
      <c r="S535" s="9"/>
      <c r="Z535" s="155"/>
    </row>
    <row r="536" spans="3:44">
      <c r="S536" s="9"/>
      <c r="Z536" s="155"/>
    </row>
    <row r="537" spans="3:44">
      <c r="S537" s="9"/>
      <c r="Z537" s="155"/>
    </row>
    <row r="538" spans="3:44">
      <c r="S538" s="9"/>
      <c r="Z538" s="155"/>
    </row>
    <row r="539" spans="3:44">
      <c r="S539" s="9"/>
      <c r="Z539" s="155"/>
    </row>
    <row r="540" spans="3:44">
      <c r="S540" s="9"/>
      <c r="Z540" s="155"/>
    </row>
    <row r="541" spans="3:44">
      <c r="S541" s="9"/>
      <c r="Z541" s="155"/>
    </row>
    <row r="542" spans="3:44">
      <c r="S542" s="9"/>
      <c r="Z542" s="155"/>
    </row>
    <row r="543" spans="3:44">
      <c r="S543" s="9"/>
      <c r="Z543" s="155"/>
    </row>
    <row r="544" spans="3:44">
      <c r="S544" s="9"/>
      <c r="Z544" s="155"/>
    </row>
    <row r="545" spans="19:26">
      <c r="S545" s="9"/>
      <c r="Z545" s="155"/>
    </row>
    <row r="546" spans="19:26">
      <c r="S546" s="9"/>
      <c r="Z546" s="155"/>
    </row>
    <row r="547" spans="19:26">
      <c r="S547" s="9"/>
      <c r="Z547" s="155"/>
    </row>
    <row r="548" spans="19:26">
      <c r="S548" s="9"/>
      <c r="Z548" s="155"/>
    </row>
    <row r="549" spans="19:26">
      <c r="S549" s="9"/>
      <c r="Z549" s="155"/>
    </row>
    <row r="550" spans="19:26">
      <c r="S550" s="9"/>
      <c r="Z550" s="155"/>
    </row>
    <row r="551" spans="19:26">
      <c r="S551" s="9"/>
      <c r="Z551" s="155"/>
    </row>
    <row r="552" spans="19:26">
      <c r="S552" s="9"/>
      <c r="Z552" s="155"/>
    </row>
    <row r="553" spans="19:26">
      <c r="S553" s="9"/>
      <c r="Z553" s="155"/>
    </row>
    <row r="554" spans="19:26">
      <c r="S554" s="9"/>
      <c r="Z554" s="155"/>
    </row>
    <row r="555" spans="19:26">
      <c r="S555" s="9"/>
      <c r="Z555" s="155"/>
    </row>
    <row r="556" spans="19:26">
      <c r="S556" s="9"/>
      <c r="Z556" s="155"/>
    </row>
    <row r="557" spans="19:26">
      <c r="S557" s="9"/>
      <c r="Z557" s="155"/>
    </row>
    <row r="558" spans="19:26">
      <c r="S558" s="9"/>
      <c r="Z558" s="155"/>
    </row>
    <row r="559" spans="19:26">
      <c r="S559" s="9"/>
      <c r="Z559" s="155"/>
    </row>
    <row r="560" spans="19:26">
      <c r="S560" s="9"/>
      <c r="Z560" s="155"/>
    </row>
    <row r="561" spans="19:26">
      <c r="S561" s="9"/>
      <c r="Z561" s="155"/>
    </row>
    <row r="562" spans="19:26">
      <c r="S562" s="9"/>
      <c r="Z562" s="155"/>
    </row>
    <row r="563" spans="19:26">
      <c r="S563" s="9"/>
      <c r="Z563" s="155"/>
    </row>
    <row r="564" spans="19:26">
      <c r="S564" s="9"/>
      <c r="Z564" s="155"/>
    </row>
    <row r="565" spans="19:26">
      <c r="S565" s="9"/>
      <c r="Z565" s="155"/>
    </row>
    <row r="566" spans="19:26">
      <c r="S566" s="9"/>
      <c r="Z566" s="155"/>
    </row>
    <row r="567" spans="19:26">
      <c r="S567" s="9"/>
      <c r="Z567" s="155"/>
    </row>
    <row r="568" spans="19:26">
      <c r="S568" s="9"/>
      <c r="Z568" s="155"/>
    </row>
    <row r="569" spans="19:26">
      <c r="S569" s="9"/>
      <c r="Z569" s="155"/>
    </row>
    <row r="570" spans="19:26">
      <c r="S570" s="9"/>
      <c r="Z570" s="155"/>
    </row>
    <row r="571" spans="19:26">
      <c r="S571" s="9"/>
      <c r="Z571" s="155"/>
    </row>
    <row r="572" spans="19:26">
      <c r="S572" s="9"/>
      <c r="Z572" s="155"/>
    </row>
    <row r="573" spans="19:26">
      <c r="S573" s="9"/>
      <c r="Z573" s="155"/>
    </row>
    <row r="574" spans="19:26">
      <c r="S574" s="9"/>
      <c r="Z574" s="155"/>
    </row>
    <row r="575" spans="19:26">
      <c r="S575" s="9"/>
      <c r="Z575" s="155"/>
    </row>
    <row r="576" spans="19:26">
      <c r="S576" s="9"/>
      <c r="Z576" s="155"/>
    </row>
    <row r="577" spans="19:26">
      <c r="S577" s="9"/>
      <c r="Z577" s="155"/>
    </row>
    <row r="578" spans="19:26">
      <c r="S578" s="9"/>
      <c r="Z578" s="155"/>
    </row>
    <row r="579" spans="19:26">
      <c r="S579" s="9"/>
      <c r="Z579" s="155"/>
    </row>
    <row r="580" spans="19:26">
      <c r="S580" s="9"/>
      <c r="Z580" s="155"/>
    </row>
    <row r="581" spans="19:26">
      <c r="S581" s="9"/>
      <c r="Z581" s="155"/>
    </row>
    <row r="582" spans="19:26">
      <c r="S582" s="9"/>
      <c r="Z582" s="155"/>
    </row>
    <row r="583" spans="19:26">
      <c r="S583" s="9"/>
      <c r="Z583" s="155"/>
    </row>
    <row r="584" spans="19:26">
      <c r="S584" s="9"/>
      <c r="Z584" s="155"/>
    </row>
    <row r="585" spans="19:26">
      <c r="S585" s="9"/>
      <c r="Z585" s="155"/>
    </row>
    <row r="586" spans="19:26">
      <c r="S586" s="9"/>
      <c r="Z586" s="155"/>
    </row>
    <row r="587" spans="19:26">
      <c r="S587" s="9"/>
      <c r="Z587" s="155"/>
    </row>
    <row r="588" spans="19:26">
      <c r="S588" s="9"/>
      <c r="Z588" s="155"/>
    </row>
    <row r="589" spans="19:26">
      <c r="S589" s="9"/>
      <c r="Z589" s="155"/>
    </row>
    <row r="590" spans="19:26">
      <c r="S590" s="9"/>
      <c r="Z590" s="155"/>
    </row>
    <row r="591" spans="19:26">
      <c r="S591" s="9"/>
      <c r="Z591" s="155"/>
    </row>
    <row r="592" spans="19:26">
      <c r="S592" s="9"/>
      <c r="Z592" s="155"/>
    </row>
    <row r="593" spans="19:26">
      <c r="S593" s="9"/>
      <c r="Z593" s="155"/>
    </row>
    <row r="594" spans="19:26">
      <c r="S594" s="9"/>
      <c r="Z594" s="155"/>
    </row>
    <row r="595" spans="19:26">
      <c r="S595" s="9"/>
      <c r="Z595" s="155"/>
    </row>
    <row r="596" spans="19:26">
      <c r="S596" s="9"/>
      <c r="Z596" s="155"/>
    </row>
    <row r="597" spans="19:26">
      <c r="S597" s="9"/>
      <c r="Z597" s="155"/>
    </row>
    <row r="598" spans="19:26">
      <c r="S598" s="9"/>
      <c r="Z598" s="155"/>
    </row>
    <row r="599" spans="19:26">
      <c r="S599" s="9"/>
      <c r="Z599" s="155"/>
    </row>
    <row r="600" spans="19:26">
      <c r="S600" s="9"/>
      <c r="Z600" s="155"/>
    </row>
    <row r="601" spans="19:26">
      <c r="S601" s="9"/>
      <c r="Z601" s="155"/>
    </row>
    <row r="602" spans="19:26">
      <c r="S602" s="9"/>
      <c r="Z602" s="155"/>
    </row>
    <row r="603" spans="19:26">
      <c r="S603" s="9"/>
      <c r="Z603" s="155"/>
    </row>
    <row r="604" spans="19:26">
      <c r="S604" s="9"/>
      <c r="Z604" s="155"/>
    </row>
    <row r="605" spans="19:26">
      <c r="S605" s="9"/>
      <c r="Z605" s="155"/>
    </row>
    <row r="606" spans="19:26">
      <c r="S606" s="9"/>
      <c r="Z606" s="155"/>
    </row>
    <row r="607" spans="19:26">
      <c r="S607" s="9"/>
      <c r="Z607" s="155"/>
    </row>
    <row r="608" spans="19:26">
      <c r="S608" s="9"/>
      <c r="Z608" s="155"/>
    </row>
    <row r="609" spans="19:26">
      <c r="S609" s="9"/>
      <c r="Z609" s="155"/>
    </row>
    <row r="610" spans="19:26">
      <c r="S610" s="9"/>
      <c r="Z610" s="155"/>
    </row>
    <row r="611" spans="19:26">
      <c r="S611" s="9"/>
      <c r="Z611" s="155"/>
    </row>
    <row r="612" spans="19:26">
      <c r="S612" s="9"/>
      <c r="Z612" s="155"/>
    </row>
    <row r="613" spans="19:26">
      <c r="S613" s="9"/>
      <c r="Z613" s="155"/>
    </row>
    <row r="614" spans="19:26">
      <c r="S614" s="9"/>
      <c r="Z614" s="155"/>
    </row>
    <row r="615" spans="19:26">
      <c r="S615" s="9"/>
      <c r="Z615" s="155"/>
    </row>
    <row r="616" spans="19:26">
      <c r="S616" s="9"/>
      <c r="Z616" s="155"/>
    </row>
    <row r="617" spans="19:26">
      <c r="S617" s="9"/>
      <c r="Z617" s="155"/>
    </row>
    <row r="618" spans="19:26">
      <c r="S618" s="9"/>
      <c r="Z618" s="155"/>
    </row>
    <row r="619" spans="19:26">
      <c r="S619" s="9"/>
      <c r="Z619" s="155"/>
    </row>
    <row r="620" spans="19:26">
      <c r="S620" s="9"/>
      <c r="Z620" s="155"/>
    </row>
    <row r="621" spans="19:26">
      <c r="S621" s="9"/>
      <c r="Z621" s="155"/>
    </row>
    <row r="622" spans="19:26">
      <c r="S622" s="9"/>
      <c r="Z622" s="155"/>
    </row>
    <row r="623" spans="19:26">
      <c r="S623" s="9"/>
      <c r="Z623" s="155"/>
    </row>
    <row r="624" spans="19:26">
      <c r="S624" s="9"/>
      <c r="Z624" s="155"/>
    </row>
    <row r="625" spans="19:26">
      <c r="S625" s="9"/>
      <c r="Z625" s="155"/>
    </row>
    <row r="626" spans="19:26">
      <c r="S626" s="9"/>
      <c r="Z626" s="155"/>
    </row>
    <row r="627" spans="19:26">
      <c r="S627" s="9"/>
      <c r="Z627" s="155"/>
    </row>
    <row r="628" spans="19:26">
      <c r="S628" s="9"/>
      <c r="Z628" s="155"/>
    </row>
    <row r="629" spans="19:26">
      <c r="S629" s="9"/>
      <c r="Z629" s="155"/>
    </row>
    <row r="630" spans="19:26">
      <c r="S630" s="9"/>
      <c r="Z630" s="155"/>
    </row>
    <row r="631" spans="19:26">
      <c r="S631" s="9"/>
      <c r="Z631" s="155"/>
    </row>
    <row r="632" spans="19:26">
      <c r="S632" s="9"/>
      <c r="Z632" s="155"/>
    </row>
    <row r="633" spans="19:26">
      <c r="S633" s="9"/>
      <c r="Z633" s="155"/>
    </row>
    <row r="634" spans="19:26">
      <c r="S634" s="9"/>
      <c r="Z634" s="155"/>
    </row>
    <row r="635" spans="19:26">
      <c r="S635" s="9"/>
      <c r="Z635" s="155"/>
    </row>
    <row r="636" spans="19:26">
      <c r="S636" s="9"/>
      <c r="Z636" s="155"/>
    </row>
    <row r="637" spans="19:26">
      <c r="S637" s="9"/>
      <c r="Z637" s="155"/>
    </row>
    <row r="638" spans="19:26">
      <c r="S638" s="9"/>
      <c r="Z638" s="155"/>
    </row>
    <row r="639" spans="19:26">
      <c r="S639" s="9"/>
      <c r="Z639" s="155"/>
    </row>
    <row r="640" spans="19:26">
      <c r="S640" s="9"/>
      <c r="Z640" s="155"/>
    </row>
    <row r="641" spans="19:26">
      <c r="S641" s="9"/>
      <c r="Z641" s="155"/>
    </row>
    <row r="642" spans="19:26">
      <c r="S642" s="9"/>
      <c r="Z642" s="155"/>
    </row>
    <row r="643" spans="19:26">
      <c r="S643" s="9"/>
      <c r="Z643" s="155"/>
    </row>
    <row r="644" spans="19:26">
      <c r="S644" s="9"/>
      <c r="Z644" s="155"/>
    </row>
    <row r="645" spans="19:26">
      <c r="S645" s="9"/>
      <c r="Z645" s="155"/>
    </row>
    <row r="646" spans="19:26">
      <c r="S646" s="9"/>
      <c r="Z646" s="155"/>
    </row>
    <row r="647" spans="19:26">
      <c r="S647" s="9"/>
      <c r="Z647" s="155"/>
    </row>
    <row r="648" spans="19:26">
      <c r="S648" s="9"/>
      <c r="Z648" s="155"/>
    </row>
    <row r="649" spans="19:26">
      <c r="S649" s="9"/>
      <c r="Z649" s="155"/>
    </row>
    <row r="650" spans="19:26">
      <c r="S650" s="9"/>
      <c r="Z650" s="155"/>
    </row>
    <row r="651" spans="19:26">
      <c r="S651" s="9"/>
      <c r="Z651" s="155"/>
    </row>
    <row r="652" spans="19:26">
      <c r="S652" s="9"/>
      <c r="Z652" s="155"/>
    </row>
    <row r="653" spans="19:26">
      <c r="S653" s="9"/>
      <c r="Z653" s="155"/>
    </row>
    <row r="654" spans="19:26">
      <c r="S654" s="9"/>
      <c r="Z654" s="155"/>
    </row>
    <row r="655" spans="19:26">
      <c r="S655" s="9"/>
      <c r="Z655" s="155"/>
    </row>
    <row r="656" spans="19:26">
      <c r="S656" s="9"/>
      <c r="Z656" s="155"/>
    </row>
    <row r="657" spans="19:26">
      <c r="S657" s="9"/>
      <c r="Z657" s="155"/>
    </row>
    <row r="658" spans="19:26">
      <c r="S658" s="9"/>
      <c r="Z658" s="155"/>
    </row>
    <row r="659" spans="19:26">
      <c r="S659" s="9"/>
      <c r="Z659" s="155"/>
    </row>
    <row r="660" spans="19:26">
      <c r="S660" s="9"/>
      <c r="Z660" s="155"/>
    </row>
    <row r="661" spans="19:26">
      <c r="S661" s="9"/>
      <c r="Z661" s="155"/>
    </row>
    <row r="662" spans="19:26">
      <c r="S662" s="9"/>
      <c r="Z662" s="155"/>
    </row>
    <row r="663" spans="19:26">
      <c r="S663" s="9"/>
      <c r="Z663" s="155"/>
    </row>
    <row r="664" spans="19:26">
      <c r="S664" s="9"/>
      <c r="Z664" s="155"/>
    </row>
    <row r="665" spans="19:26">
      <c r="S665" s="9"/>
      <c r="Z665" s="155"/>
    </row>
    <row r="666" spans="19:26">
      <c r="S666" s="9"/>
      <c r="Z666" s="155"/>
    </row>
    <row r="667" spans="19:26">
      <c r="S667" s="9"/>
      <c r="Z667" s="155"/>
    </row>
    <row r="668" spans="19:26">
      <c r="S668" s="9"/>
      <c r="Z668" s="155"/>
    </row>
    <row r="669" spans="19:26">
      <c r="S669" s="9"/>
      <c r="Z669" s="155"/>
    </row>
    <row r="670" spans="19:26">
      <c r="S670" s="9"/>
      <c r="Z670" s="155"/>
    </row>
    <row r="671" spans="19:26">
      <c r="S671" s="9"/>
      <c r="Z671" s="155"/>
    </row>
    <row r="672" spans="19:26">
      <c r="S672" s="9"/>
      <c r="Z672" s="155"/>
    </row>
    <row r="673" spans="19:26">
      <c r="S673" s="9"/>
      <c r="Z673" s="155"/>
    </row>
    <row r="674" spans="19:26">
      <c r="S674" s="9"/>
      <c r="Z674" s="155"/>
    </row>
    <row r="675" spans="19:26">
      <c r="S675" s="9"/>
      <c r="Z675" s="155"/>
    </row>
    <row r="676" spans="19:26">
      <c r="S676" s="9"/>
      <c r="Z676" s="155"/>
    </row>
    <row r="677" spans="19:26">
      <c r="S677" s="9"/>
      <c r="Z677" s="155"/>
    </row>
    <row r="678" spans="19:26">
      <c r="S678" s="9"/>
      <c r="Z678" s="155"/>
    </row>
    <row r="679" spans="19:26">
      <c r="S679" s="9"/>
      <c r="Z679" s="155"/>
    </row>
    <row r="680" spans="19:26">
      <c r="S680" s="9"/>
      <c r="Z680" s="155"/>
    </row>
    <row r="681" spans="19:26">
      <c r="S681" s="9"/>
      <c r="Z681" s="155"/>
    </row>
    <row r="682" spans="19:26">
      <c r="S682" s="9"/>
      <c r="Z682" s="155"/>
    </row>
    <row r="683" spans="19:26">
      <c r="S683" s="9"/>
      <c r="Z683" s="155"/>
    </row>
    <row r="684" spans="19:26">
      <c r="S684" s="9"/>
      <c r="Z684" s="155"/>
    </row>
    <row r="685" spans="19:26">
      <c r="S685" s="9"/>
      <c r="Z685" s="155"/>
    </row>
    <row r="686" spans="19:26">
      <c r="S686" s="9"/>
      <c r="Z686" s="155"/>
    </row>
    <row r="687" spans="19:26">
      <c r="S687" s="9"/>
      <c r="Z687" s="155"/>
    </row>
    <row r="688" spans="19:26">
      <c r="S688" s="9"/>
      <c r="Z688" s="155"/>
    </row>
    <row r="689" spans="19:26">
      <c r="S689" s="9"/>
      <c r="Z689" s="155"/>
    </row>
    <row r="690" spans="19:26">
      <c r="S690" s="9"/>
      <c r="Z690" s="155"/>
    </row>
    <row r="691" spans="19:26">
      <c r="S691" s="9"/>
      <c r="Z691" s="155"/>
    </row>
    <row r="692" spans="19:26">
      <c r="S692" s="9"/>
      <c r="Z692" s="155"/>
    </row>
    <row r="693" spans="19:26">
      <c r="S693" s="9"/>
      <c r="Z693" s="155"/>
    </row>
    <row r="694" spans="19:26">
      <c r="S694" s="9"/>
      <c r="Z694" s="155"/>
    </row>
    <row r="695" spans="19:26">
      <c r="S695" s="9"/>
      <c r="Z695" s="155"/>
    </row>
    <row r="696" spans="19:26">
      <c r="S696" s="9"/>
      <c r="Z696" s="155"/>
    </row>
    <row r="697" spans="19:26">
      <c r="S697" s="9"/>
      <c r="Z697" s="155"/>
    </row>
    <row r="698" spans="19:26">
      <c r="S698" s="9"/>
      <c r="Z698" s="155"/>
    </row>
    <row r="699" spans="19:26">
      <c r="S699" s="9"/>
      <c r="Z699" s="155"/>
    </row>
    <row r="700" spans="19:26">
      <c r="S700" s="9"/>
      <c r="Z700" s="155"/>
    </row>
    <row r="701" spans="19:26">
      <c r="S701" s="9"/>
      <c r="Z701" s="155"/>
    </row>
    <row r="702" spans="19:26">
      <c r="S702" s="9"/>
      <c r="Z702" s="155"/>
    </row>
    <row r="703" spans="19:26">
      <c r="S703" s="9"/>
      <c r="Z703" s="155"/>
    </row>
    <row r="704" spans="19:26">
      <c r="S704" s="9"/>
      <c r="Z704" s="155"/>
    </row>
    <row r="705" spans="19:26">
      <c r="S705" s="9"/>
      <c r="Z705" s="155"/>
    </row>
    <row r="706" spans="19:26">
      <c r="S706" s="9"/>
      <c r="Z706" s="155"/>
    </row>
    <row r="707" spans="19:26">
      <c r="S707" s="9"/>
      <c r="Z707" s="155"/>
    </row>
    <row r="708" spans="19:26">
      <c r="S708" s="9"/>
      <c r="Z708" s="155"/>
    </row>
    <row r="709" spans="19:26">
      <c r="S709" s="9"/>
      <c r="Z709" s="155"/>
    </row>
    <row r="710" spans="19:26">
      <c r="S710" s="9"/>
      <c r="Z710" s="155"/>
    </row>
    <row r="711" spans="19:26">
      <c r="S711" s="9"/>
      <c r="Z711" s="155"/>
    </row>
    <row r="712" spans="19:26">
      <c r="S712" s="9"/>
      <c r="Z712" s="155"/>
    </row>
    <row r="713" spans="19:26">
      <c r="S713" s="9"/>
      <c r="Z713" s="155"/>
    </row>
    <row r="714" spans="19:26">
      <c r="S714" s="9"/>
      <c r="Z714" s="155"/>
    </row>
    <row r="715" spans="19:26">
      <c r="S715" s="9"/>
      <c r="Z715" s="155"/>
    </row>
    <row r="716" spans="19:26">
      <c r="S716" s="9"/>
      <c r="Z716" s="155"/>
    </row>
    <row r="717" spans="19:26">
      <c r="S717" s="9"/>
      <c r="Z717" s="155"/>
    </row>
    <row r="718" spans="19:26">
      <c r="S718" s="9"/>
      <c r="Z718" s="155"/>
    </row>
    <row r="719" spans="19:26">
      <c r="S719" s="9"/>
      <c r="Z719" s="155"/>
    </row>
    <row r="720" spans="19:26">
      <c r="S720" s="9"/>
      <c r="Z720" s="155"/>
    </row>
    <row r="721" spans="19:26">
      <c r="S721" s="9"/>
      <c r="Z721" s="155"/>
    </row>
    <row r="722" spans="19:26">
      <c r="S722" s="9"/>
      <c r="Z722" s="155"/>
    </row>
    <row r="723" spans="19:26">
      <c r="S723" s="9"/>
      <c r="Z723" s="155"/>
    </row>
    <row r="724" spans="19:26">
      <c r="S724" s="9"/>
      <c r="Z724" s="155"/>
    </row>
    <row r="725" spans="19:26">
      <c r="S725" s="9"/>
      <c r="Z725" s="155"/>
    </row>
    <row r="726" spans="19:26">
      <c r="S726" s="9"/>
      <c r="Z726" s="155"/>
    </row>
    <row r="727" spans="19:26">
      <c r="S727" s="9"/>
      <c r="Z727" s="155"/>
    </row>
    <row r="728" spans="19:26">
      <c r="S728" s="9"/>
      <c r="Z728" s="155"/>
    </row>
    <row r="729" spans="19:26">
      <c r="S729" s="9"/>
      <c r="Z729" s="155"/>
    </row>
    <row r="730" spans="19:26">
      <c r="S730" s="9"/>
      <c r="Z730" s="155"/>
    </row>
    <row r="731" spans="19:26">
      <c r="S731" s="9"/>
      <c r="Z731" s="155"/>
    </row>
    <row r="732" spans="19:26">
      <c r="S732" s="9"/>
      <c r="Z732" s="155"/>
    </row>
    <row r="733" spans="19:26">
      <c r="S733" s="9"/>
      <c r="Z733" s="155"/>
    </row>
    <row r="734" spans="19:26">
      <c r="S734" s="9"/>
      <c r="Z734" s="155"/>
    </row>
    <row r="735" spans="19:26">
      <c r="S735" s="9"/>
      <c r="Z735" s="155"/>
    </row>
    <row r="736" spans="19:26">
      <c r="S736" s="9"/>
      <c r="Z736" s="155"/>
    </row>
    <row r="737" spans="19:26">
      <c r="S737" s="9"/>
      <c r="Z737" s="155"/>
    </row>
    <row r="738" spans="19:26">
      <c r="S738" s="9"/>
      <c r="Z738" s="155"/>
    </row>
    <row r="739" spans="19:26">
      <c r="S739" s="9"/>
      <c r="Z739" s="155"/>
    </row>
    <row r="740" spans="19:26">
      <c r="S740" s="9"/>
      <c r="Z740" s="155"/>
    </row>
    <row r="741" spans="19:26">
      <c r="S741" s="9"/>
      <c r="Z741" s="155"/>
    </row>
    <row r="742" spans="19:26">
      <c r="S742" s="9"/>
      <c r="Z742" s="155"/>
    </row>
    <row r="743" spans="19:26">
      <c r="S743" s="9"/>
      <c r="Z743" s="155"/>
    </row>
    <row r="744" spans="19:26">
      <c r="S744" s="9"/>
      <c r="Z744" s="155"/>
    </row>
    <row r="745" spans="19:26">
      <c r="S745" s="9"/>
      <c r="Z745" s="155"/>
    </row>
    <row r="746" spans="19:26">
      <c r="S746" s="9"/>
      <c r="Z746" s="155"/>
    </row>
    <row r="747" spans="19:26">
      <c r="S747" s="9"/>
      <c r="Z747" s="155"/>
    </row>
    <row r="748" spans="19:26">
      <c r="S748" s="9"/>
      <c r="Z748" s="155"/>
    </row>
    <row r="749" spans="19:26">
      <c r="S749" s="9"/>
      <c r="Z749" s="155"/>
    </row>
    <row r="750" spans="19:26">
      <c r="S750" s="9"/>
      <c r="Z750" s="155"/>
    </row>
    <row r="751" spans="19:26">
      <c r="S751" s="9"/>
      <c r="Z751" s="155"/>
    </row>
    <row r="752" spans="19:26">
      <c r="S752" s="9"/>
      <c r="Z752" s="155"/>
    </row>
    <row r="753" spans="19:26">
      <c r="S753" s="9"/>
      <c r="Z753" s="155"/>
    </row>
    <row r="754" spans="19:26">
      <c r="S754" s="9"/>
      <c r="Z754" s="155"/>
    </row>
    <row r="755" spans="19:26">
      <c r="S755" s="9"/>
      <c r="Z755" s="155"/>
    </row>
    <row r="756" spans="19:26">
      <c r="S756" s="9"/>
      <c r="Z756" s="155"/>
    </row>
    <row r="757" spans="19:26">
      <c r="S757" s="9"/>
      <c r="Z757" s="155"/>
    </row>
    <row r="758" spans="19:26">
      <c r="S758" s="9"/>
      <c r="Z758" s="155"/>
    </row>
    <row r="759" spans="19:26">
      <c r="S759" s="9"/>
      <c r="Z759" s="155"/>
    </row>
    <row r="760" spans="19:26">
      <c r="S760" s="9"/>
      <c r="Z760" s="155"/>
    </row>
    <row r="761" spans="19:26">
      <c r="S761" s="9"/>
      <c r="Z761" s="155"/>
    </row>
    <row r="762" spans="19:26">
      <c r="S762" s="9"/>
      <c r="Z762" s="155"/>
    </row>
    <row r="763" spans="19:26">
      <c r="S763" s="9"/>
      <c r="Z763" s="155"/>
    </row>
    <row r="764" spans="19:26">
      <c r="S764" s="9"/>
      <c r="Z764" s="155"/>
    </row>
    <row r="765" spans="19:26">
      <c r="S765" s="9"/>
      <c r="Z765" s="155"/>
    </row>
    <row r="766" spans="19:26">
      <c r="S766" s="9"/>
      <c r="Z766" s="155"/>
    </row>
    <row r="767" spans="19:26">
      <c r="S767" s="9"/>
      <c r="Z767" s="155"/>
    </row>
    <row r="768" spans="19:26">
      <c r="S768" s="9"/>
      <c r="Z768" s="155"/>
    </row>
    <row r="769" spans="19:26">
      <c r="S769" s="9"/>
      <c r="Z769" s="155"/>
    </row>
    <row r="770" spans="19:26">
      <c r="S770" s="9"/>
      <c r="Z770" s="155"/>
    </row>
    <row r="771" spans="19:26">
      <c r="S771" s="9"/>
      <c r="Z771" s="155"/>
    </row>
    <row r="772" spans="19:26">
      <c r="S772" s="9"/>
      <c r="Z772" s="155"/>
    </row>
    <row r="773" spans="19:26">
      <c r="S773" s="9"/>
      <c r="Z773" s="155"/>
    </row>
    <row r="774" spans="19:26">
      <c r="S774" s="9"/>
      <c r="Z774" s="155"/>
    </row>
    <row r="775" spans="19:26">
      <c r="S775" s="9"/>
      <c r="Z775" s="155"/>
    </row>
    <row r="776" spans="19:26">
      <c r="S776" s="9"/>
      <c r="Z776" s="155"/>
    </row>
    <row r="777" spans="19:26">
      <c r="S777" s="9"/>
      <c r="Z777" s="155"/>
    </row>
    <row r="778" spans="19:26">
      <c r="S778" s="9"/>
      <c r="Z778" s="155"/>
    </row>
    <row r="779" spans="19:26">
      <c r="S779" s="9"/>
      <c r="Z779" s="155"/>
    </row>
    <row r="780" spans="19:26">
      <c r="S780" s="9"/>
      <c r="Z780" s="155"/>
    </row>
    <row r="781" spans="19:26">
      <c r="S781" s="9"/>
      <c r="Z781" s="155"/>
    </row>
    <row r="782" spans="19:26">
      <c r="S782" s="9"/>
      <c r="Z782" s="155"/>
    </row>
    <row r="783" spans="19:26">
      <c r="S783" s="9"/>
      <c r="Z783" s="155"/>
    </row>
    <row r="784" spans="19:26">
      <c r="S784" s="9"/>
      <c r="Z784" s="155"/>
    </row>
    <row r="785" spans="19:26">
      <c r="S785" s="9"/>
      <c r="Z785" s="155"/>
    </row>
    <row r="786" spans="19:26">
      <c r="S786" s="9"/>
      <c r="Z786" s="155"/>
    </row>
    <row r="787" spans="19:26">
      <c r="S787" s="9"/>
      <c r="Z787" s="155"/>
    </row>
    <row r="788" spans="19:26">
      <c r="S788" s="9"/>
      <c r="Z788" s="155"/>
    </row>
    <row r="789" spans="19:26">
      <c r="S789" s="9"/>
      <c r="Z789" s="155"/>
    </row>
    <row r="790" spans="19:26">
      <c r="S790" s="9"/>
      <c r="Z790" s="155"/>
    </row>
    <row r="791" spans="19:26">
      <c r="S791" s="9"/>
      <c r="Z791" s="155"/>
    </row>
    <row r="792" spans="19:26">
      <c r="S792" s="9"/>
      <c r="Z792" s="155"/>
    </row>
    <row r="793" spans="19:26">
      <c r="S793" s="9"/>
      <c r="Z793" s="155"/>
    </row>
    <row r="794" spans="19:26">
      <c r="S794" s="9"/>
      <c r="Z794" s="155"/>
    </row>
    <row r="795" spans="19:26">
      <c r="S795" s="9"/>
      <c r="Z795" s="155"/>
    </row>
    <row r="796" spans="19:26">
      <c r="S796" s="9"/>
      <c r="Z796" s="155"/>
    </row>
    <row r="797" spans="19:26">
      <c r="S797" s="9"/>
      <c r="Z797" s="155"/>
    </row>
    <row r="798" spans="19:26">
      <c r="S798" s="9"/>
      <c r="Z798" s="155"/>
    </row>
    <row r="799" spans="19:26">
      <c r="S799" s="9"/>
      <c r="Z799" s="155"/>
    </row>
    <row r="800" spans="19:26">
      <c r="S800" s="9"/>
      <c r="Z800" s="155"/>
    </row>
    <row r="801" spans="19:26">
      <c r="S801" s="9"/>
      <c r="Z801" s="155"/>
    </row>
    <row r="802" spans="19:26">
      <c r="S802" s="9"/>
      <c r="Z802" s="155"/>
    </row>
    <row r="803" spans="19:26">
      <c r="S803" s="9"/>
      <c r="Z803" s="155"/>
    </row>
    <row r="804" spans="19:26">
      <c r="S804" s="9"/>
      <c r="Z804" s="155"/>
    </row>
    <row r="805" spans="19:26">
      <c r="S805" s="9"/>
      <c r="Z805" s="155"/>
    </row>
    <row r="806" spans="19:26">
      <c r="S806" s="9"/>
      <c r="Z806" s="155"/>
    </row>
    <row r="807" spans="19:26">
      <c r="S807" s="9"/>
      <c r="Z807" s="155"/>
    </row>
    <row r="808" spans="19:26">
      <c r="S808" s="9"/>
      <c r="Z808" s="155"/>
    </row>
    <row r="809" spans="19:26">
      <c r="S809" s="9"/>
      <c r="Z809" s="155"/>
    </row>
    <row r="810" spans="19:26">
      <c r="S810" s="9"/>
      <c r="Z810" s="155"/>
    </row>
    <row r="811" spans="19:26">
      <c r="S811" s="9"/>
      <c r="Z811" s="155"/>
    </row>
    <row r="812" spans="19:26">
      <c r="S812" s="9"/>
      <c r="Z812" s="155"/>
    </row>
    <row r="813" spans="19:26">
      <c r="S813" s="9"/>
      <c r="Z813" s="155"/>
    </row>
    <row r="814" spans="19:26">
      <c r="S814" s="9"/>
      <c r="Z814" s="155"/>
    </row>
    <row r="815" spans="19:26">
      <c r="S815" s="9"/>
      <c r="Z815" s="155"/>
    </row>
    <row r="816" spans="19:26">
      <c r="S816" s="9"/>
      <c r="Z816" s="155"/>
    </row>
    <row r="817" spans="19:26">
      <c r="S817" s="9"/>
      <c r="Z817" s="155"/>
    </row>
    <row r="818" spans="19:26">
      <c r="S818" s="9"/>
      <c r="Z818" s="155"/>
    </row>
    <row r="819" spans="19:26">
      <c r="S819" s="9"/>
      <c r="Z819" s="155"/>
    </row>
    <row r="820" spans="19:26">
      <c r="S820" s="9"/>
      <c r="Z820" s="155"/>
    </row>
    <row r="821" spans="19:26">
      <c r="S821" s="9"/>
      <c r="Z821" s="155"/>
    </row>
    <row r="822" spans="19:26">
      <c r="S822" s="9"/>
      <c r="Z822" s="155"/>
    </row>
    <row r="823" spans="19:26">
      <c r="S823" s="9"/>
      <c r="Z823" s="155"/>
    </row>
    <row r="824" spans="19:26">
      <c r="S824" s="9"/>
      <c r="Z824" s="155"/>
    </row>
    <row r="825" spans="19:26">
      <c r="S825" s="9"/>
      <c r="Z825" s="155"/>
    </row>
    <row r="826" spans="19:26">
      <c r="S826" s="9"/>
      <c r="Z826" s="155"/>
    </row>
    <row r="827" spans="19:26">
      <c r="S827" s="9"/>
      <c r="Z827" s="155"/>
    </row>
    <row r="828" spans="19:26">
      <c r="S828" s="9"/>
      <c r="Z828" s="155"/>
    </row>
    <row r="829" spans="19:26">
      <c r="S829" s="9"/>
      <c r="Z829" s="155"/>
    </row>
    <row r="830" spans="19:26">
      <c r="S830" s="9"/>
      <c r="Z830" s="155"/>
    </row>
    <row r="831" spans="19:26">
      <c r="S831" s="9"/>
      <c r="Z831" s="155"/>
    </row>
    <row r="832" spans="19:26">
      <c r="S832" s="9"/>
      <c r="Z832" s="155"/>
    </row>
    <row r="833" spans="19:26">
      <c r="S833" s="9"/>
      <c r="Z833" s="155"/>
    </row>
    <row r="834" spans="19:26">
      <c r="S834" s="9"/>
      <c r="Z834" s="155"/>
    </row>
    <row r="835" spans="19:26">
      <c r="S835" s="9"/>
      <c r="Z835" s="155"/>
    </row>
    <row r="836" spans="19:26">
      <c r="S836" s="9"/>
      <c r="Z836" s="155"/>
    </row>
    <row r="837" spans="19:26">
      <c r="S837" s="9"/>
      <c r="Z837" s="155"/>
    </row>
    <row r="838" spans="19:26">
      <c r="S838" s="9"/>
      <c r="Z838" s="155"/>
    </row>
    <row r="839" spans="19:26">
      <c r="S839" s="9"/>
      <c r="Z839" s="155"/>
    </row>
    <row r="840" spans="19:26">
      <c r="S840" s="9"/>
      <c r="Z840" s="155"/>
    </row>
    <row r="841" spans="19:26">
      <c r="S841" s="9"/>
      <c r="Z841" s="155"/>
    </row>
    <row r="842" spans="19:26">
      <c r="S842" s="9"/>
      <c r="Z842" s="155"/>
    </row>
    <row r="843" spans="19:26">
      <c r="S843" s="9"/>
      <c r="Z843" s="155"/>
    </row>
    <row r="844" spans="19:26">
      <c r="S844" s="9"/>
      <c r="Z844" s="155"/>
    </row>
    <row r="845" spans="19:26">
      <c r="S845" s="9"/>
      <c r="Z845" s="155"/>
    </row>
    <row r="846" spans="19:26">
      <c r="S846" s="9"/>
      <c r="Z846" s="155"/>
    </row>
    <row r="847" spans="19:26">
      <c r="S847" s="9"/>
      <c r="Z847" s="155"/>
    </row>
    <row r="848" spans="19:26">
      <c r="S848" s="9"/>
      <c r="Z848" s="155"/>
    </row>
    <row r="849" spans="19:26">
      <c r="S849" s="9"/>
      <c r="Z849" s="155"/>
    </row>
    <row r="850" spans="19:26">
      <c r="S850" s="9"/>
      <c r="Z850" s="155"/>
    </row>
    <row r="851" spans="19:26">
      <c r="S851" s="9"/>
      <c r="Z851" s="155"/>
    </row>
    <row r="852" spans="19:26">
      <c r="S852" s="9"/>
      <c r="Z852" s="155"/>
    </row>
    <row r="853" spans="19:26">
      <c r="S853" s="9"/>
      <c r="Z853" s="155"/>
    </row>
    <row r="854" spans="19:26">
      <c r="S854" s="9"/>
      <c r="Z854" s="155"/>
    </row>
    <row r="855" spans="19:26">
      <c r="S855" s="9"/>
      <c r="Z855" s="155"/>
    </row>
    <row r="856" spans="19:26">
      <c r="S856" s="9"/>
      <c r="Z856" s="155"/>
    </row>
    <row r="857" spans="19:26">
      <c r="S857" s="9"/>
      <c r="Z857" s="155"/>
    </row>
    <row r="858" spans="19:26">
      <c r="S858" s="9"/>
      <c r="Z858" s="155"/>
    </row>
    <row r="859" spans="19:26">
      <c r="S859" s="9"/>
      <c r="Z859" s="155"/>
    </row>
    <row r="860" spans="19:26">
      <c r="S860" s="9"/>
      <c r="Z860" s="155"/>
    </row>
    <row r="861" spans="19:26">
      <c r="S861" s="9"/>
      <c r="Z861" s="155"/>
    </row>
    <row r="862" spans="19:26">
      <c r="S862" s="9"/>
      <c r="Z862" s="155"/>
    </row>
    <row r="863" spans="19:26">
      <c r="S863" s="9"/>
      <c r="Z863" s="155"/>
    </row>
    <row r="864" spans="19:26">
      <c r="S864" s="9"/>
      <c r="Z864" s="155"/>
    </row>
    <row r="865" spans="19:26">
      <c r="S865" s="9"/>
      <c r="Z865" s="155"/>
    </row>
    <row r="866" spans="19:26">
      <c r="S866" s="9"/>
      <c r="Z866" s="155"/>
    </row>
    <row r="867" spans="19:26">
      <c r="S867" s="9"/>
      <c r="Z867" s="155"/>
    </row>
    <row r="868" spans="19:26">
      <c r="S868" s="9"/>
      <c r="Z868" s="155"/>
    </row>
    <row r="869" spans="19:26">
      <c r="S869" s="9"/>
      <c r="Z869" s="155"/>
    </row>
    <row r="870" spans="19:26">
      <c r="S870" s="9"/>
      <c r="Z870" s="155"/>
    </row>
    <row r="871" spans="19:26">
      <c r="S871" s="9"/>
      <c r="Z871" s="155"/>
    </row>
    <row r="872" spans="19:26">
      <c r="S872" s="9"/>
      <c r="Z872" s="155"/>
    </row>
    <row r="873" spans="19:26">
      <c r="S873" s="9"/>
      <c r="Z873" s="155"/>
    </row>
    <row r="874" spans="19:26">
      <c r="S874" s="9"/>
      <c r="Z874" s="155"/>
    </row>
    <row r="875" spans="19:26">
      <c r="S875" s="9"/>
      <c r="Z875" s="155"/>
    </row>
    <row r="876" spans="19:26">
      <c r="S876" s="9"/>
      <c r="Z876" s="155"/>
    </row>
    <row r="877" spans="19:26">
      <c r="S877" s="9"/>
      <c r="Z877" s="155"/>
    </row>
    <row r="878" spans="19:26">
      <c r="S878" s="9"/>
      <c r="Z878" s="155"/>
    </row>
    <row r="879" spans="19:26">
      <c r="S879" s="9"/>
      <c r="Z879" s="155"/>
    </row>
    <row r="880" spans="19:26">
      <c r="S880" s="9"/>
      <c r="Z880" s="155"/>
    </row>
    <row r="881" spans="19:26">
      <c r="S881" s="9"/>
      <c r="Z881" s="155"/>
    </row>
    <row r="882" spans="19:26">
      <c r="S882" s="9"/>
      <c r="Z882" s="155"/>
    </row>
    <row r="883" spans="19:26">
      <c r="S883" s="9"/>
      <c r="Z883" s="155"/>
    </row>
    <row r="884" spans="19:26">
      <c r="S884" s="9"/>
      <c r="Z884" s="155"/>
    </row>
    <row r="885" spans="19:26">
      <c r="S885" s="9"/>
      <c r="Z885" s="155"/>
    </row>
    <row r="886" spans="19:26">
      <c r="S886" s="9"/>
      <c r="Z886" s="155"/>
    </row>
    <row r="887" spans="19:26">
      <c r="S887" s="9"/>
      <c r="Z887" s="155"/>
    </row>
    <row r="888" spans="19:26">
      <c r="S888" s="9"/>
      <c r="Z888" s="155"/>
    </row>
  </sheetData>
  <sheetProtection autoFilter="0"/>
  <sortState xmlns:xlrd2="http://schemas.microsoft.com/office/spreadsheetml/2017/richdata2" ref="A8:U445">
    <sortCondition ref="A8:A445"/>
  </sortState>
  <mergeCells count="1">
    <mergeCell ref="F4:F6"/>
  </mergeCells>
  <phoneticPr fontId="0" type="noConversion"/>
  <hyperlinks>
    <hyperlink ref="A5" location="MoreAboutData!A4" display="More about the data" xr:uid="{00000000-0004-0000-0D00-000000000000}"/>
    <hyperlink ref="A4" location="Index!A10" display="Return to Index" xr:uid="{00000000-0004-0000-0D00-000001000000}"/>
  </hyperlinks>
  <printOptions gridLines="1"/>
  <pageMargins left="0.75" right="0.75" top="1" bottom="1" header="0.5" footer="0.5"/>
  <pageSetup orientation="portrait" r:id="rId1"/>
  <headerFooter alignWithMargins="0"/>
  <tableParts count="5">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AQ274"/>
  <sheetViews>
    <sheetView showGridLines="0" zoomScaleNormal="100" workbookViewId="0">
      <pane xSplit="2" ySplit="8" topLeftCell="C9" activePane="bottomRight" state="frozen"/>
      <selection pane="topRight" activeCell="C1" sqref="C1"/>
      <selection pane="bottomLeft" activeCell="A9" sqref="A9"/>
      <selection pane="bottomRight" activeCell="B3" sqref="B3"/>
    </sheetView>
  </sheetViews>
  <sheetFormatPr defaultColWidth="10.125" defaultRowHeight="15.75"/>
  <cols>
    <col min="1" max="1" width="0.125" style="73" customWidth="1"/>
    <col min="2" max="2" width="35.25" style="73" customWidth="1"/>
    <col min="3" max="3" width="8.25" style="99" customWidth="1"/>
    <col min="4" max="4" width="10.5" style="99" customWidth="1"/>
    <col min="5" max="5" width="9.875" style="99" customWidth="1"/>
    <col min="6" max="6" width="8.5" style="99" customWidth="1"/>
    <col min="7" max="7" width="10.125" style="99" customWidth="1"/>
    <col min="8" max="8" width="9.875" style="99" customWidth="1"/>
    <col min="9" max="9" width="10" style="99" customWidth="1"/>
    <col min="10" max="10" width="8.5" style="99" customWidth="1"/>
    <col min="11" max="11" width="11.875" style="99" customWidth="1"/>
    <col min="12" max="12" width="10.875" style="99" customWidth="1"/>
    <col min="13" max="13" width="8.625" style="99" customWidth="1"/>
    <col min="14" max="14" width="11.875" style="99" customWidth="1"/>
    <col min="15" max="15" width="10.125" style="73"/>
    <col min="16" max="25" width="10.25" style="73" bestFit="1" customWidth="1"/>
    <col min="26" max="27" width="11.375" style="73" bestFit="1" customWidth="1"/>
    <col min="28" max="16384" width="10.125" style="73"/>
  </cols>
  <sheetData>
    <row r="1" spans="1:43" ht="0.95" customHeight="1">
      <c r="A1" s="370"/>
      <c r="B1" s="95"/>
    </row>
    <row r="2" spans="1:43" hidden="1">
      <c r="D2" s="100"/>
    </row>
    <row r="3" spans="1:43" ht="26.25">
      <c r="A3" s="272" t="s">
        <v>524</v>
      </c>
      <c r="B3" s="295"/>
      <c r="C3" s="295"/>
      <c r="D3" s="295"/>
      <c r="E3" s="295"/>
      <c r="F3" s="295"/>
      <c r="G3" s="295"/>
      <c r="H3" s="295"/>
      <c r="I3" s="295"/>
      <c r="J3" s="295"/>
      <c r="K3" s="295"/>
      <c r="L3" s="295"/>
      <c r="M3" s="295"/>
      <c r="N3" s="295"/>
    </row>
    <row r="4" spans="1:43" ht="21">
      <c r="A4" s="273" t="s">
        <v>138</v>
      </c>
      <c r="B4" s="59"/>
      <c r="C4" s="59"/>
      <c r="D4" s="59"/>
      <c r="E4" s="59"/>
      <c r="F4" s="59"/>
      <c r="G4" s="59"/>
      <c r="H4" s="59"/>
      <c r="I4" s="59"/>
      <c r="J4" s="59"/>
      <c r="K4" s="59"/>
      <c r="L4" s="59"/>
      <c r="M4" s="59"/>
      <c r="N4" s="59"/>
    </row>
    <row r="5" spans="1:43" ht="0.6" customHeight="1">
      <c r="B5" s="107"/>
    </row>
    <row r="6" spans="1:43" ht="24" customHeight="1">
      <c r="A6" s="272" t="str">
        <f>"Foundation Budget Rates Per Pupil, "&amp; CYr &amp;" Chapter 70"</f>
        <v>Foundation Budget Rates Per Pupil, FY25 Chapter 70</v>
      </c>
      <c r="B6" s="295"/>
      <c r="C6" s="295"/>
      <c r="D6" s="295"/>
      <c r="E6" s="295"/>
      <c r="F6" s="295"/>
      <c r="G6" s="295"/>
      <c r="H6" s="295"/>
      <c r="I6" s="295"/>
      <c r="J6" s="295"/>
      <c r="K6" s="295"/>
      <c r="L6" s="295"/>
      <c r="M6" s="295"/>
      <c r="N6" s="295"/>
    </row>
    <row r="7" spans="1:43" ht="8.4499999999999993" customHeight="1"/>
    <row r="8" spans="1:43" s="590" customFormat="1" ht="51.75">
      <c r="B8" s="592" t="s">
        <v>2550</v>
      </c>
      <c r="C8" s="593" t="s">
        <v>2551</v>
      </c>
      <c r="D8" s="593" t="s">
        <v>87</v>
      </c>
      <c r="E8" s="593" t="s">
        <v>2129</v>
      </c>
      <c r="F8" s="593" t="s">
        <v>88</v>
      </c>
      <c r="G8" s="593" t="s">
        <v>89</v>
      </c>
      <c r="H8" s="593" t="s">
        <v>1578</v>
      </c>
      <c r="I8" s="593" t="s">
        <v>1579</v>
      </c>
      <c r="J8" s="593" t="s">
        <v>91</v>
      </c>
      <c r="K8" s="593" t="s">
        <v>1580</v>
      </c>
      <c r="L8" s="593" t="s">
        <v>2200</v>
      </c>
      <c r="M8" s="593" t="s">
        <v>1582</v>
      </c>
      <c r="N8" s="593" t="s">
        <v>1583</v>
      </c>
    </row>
    <row r="9" spans="1:43">
      <c r="A9" s="625">
        <v>1</v>
      </c>
      <c r="B9" s="73" t="s">
        <v>2153</v>
      </c>
      <c r="C9" s="297">
        <v>224.33</v>
      </c>
      <c r="D9" s="297">
        <v>405.14</v>
      </c>
      <c r="E9" s="297">
        <v>1857.73</v>
      </c>
      <c r="F9" s="297">
        <v>476.45</v>
      </c>
      <c r="G9" s="297">
        <v>73.47</v>
      </c>
      <c r="H9" s="297">
        <v>268.87</v>
      </c>
      <c r="I9" s="297">
        <v>189.27</v>
      </c>
      <c r="J9" s="297">
        <v>53.76</v>
      </c>
      <c r="K9" s="297">
        <v>515.87</v>
      </c>
      <c r="L9" s="297">
        <v>810.9</v>
      </c>
      <c r="M9" s="297">
        <v>0</v>
      </c>
      <c r="N9" s="297">
        <v>4875.7899999999991</v>
      </c>
      <c r="P9" s="423"/>
      <c r="Q9" s="423"/>
      <c r="R9" s="423"/>
      <c r="S9" s="423"/>
      <c r="T9" s="423"/>
      <c r="U9" s="423"/>
      <c r="V9" s="423"/>
      <c r="W9" s="423"/>
      <c r="X9" s="423"/>
      <c r="Y9" s="423"/>
      <c r="Z9" s="423"/>
      <c r="AA9" s="423"/>
      <c r="AB9" s="96"/>
      <c r="AC9" s="96"/>
      <c r="AD9" s="96"/>
      <c r="AE9" s="96"/>
      <c r="AF9" s="96"/>
      <c r="AG9" s="96"/>
      <c r="AH9" s="96"/>
      <c r="AI9" s="96"/>
      <c r="AJ9" s="96"/>
      <c r="AK9" s="96"/>
      <c r="AL9" s="96"/>
      <c r="AM9" s="96"/>
      <c r="AN9" s="96"/>
      <c r="AO9" s="96"/>
      <c r="AP9" s="96"/>
      <c r="AQ9" s="96"/>
    </row>
    <row r="10" spans="1:43">
      <c r="A10" s="625">
        <v>2</v>
      </c>
      <c r="B10" s="73" t="s">
        <v>2201</v>
      </c>
      <c r="C10" s="297">
        <v>224.33</v>
      </c>
      <c r="D10" s="297">
        <v>405.14</v>
      </c>
      <c r="E10" s="297">
        <v>1857.73</v>
      </c>
      <c r="F10" s="297">
        <v>476.45</v>
      </c>
      <c r="G10" s="297">
        <v>73.47</v>
      </c>
      <c r="H10" s="297">
        <v>268.87</v>
      </c>
      <c r="I10" s="297">
        <v>189.27</v>
      </c>
      <c r="J10" s="297">
        <v>53.76</v>
      </c>
      <c r="K10" s="297">
        <v>515.87</v>
      </c>
      <c r="L10" s="297">
        <v>810.9</v>
      </c>
      <c r="M10" s="297">
        <v>0</v>
      </c>
      <c r="N10" s="297">
        <v>4875.7899999999991</v>
      </c>
      <c r="P10" s="423"/>
      <c r="Q10" s="423"/>
      <c r="R10" s="423"/>
      <c r="S10" s="423"/>
      <c r="T10" s="423"/>
      <c r="U10" s="423"/>
      <c r="V10" s="423"/>
      <c r="W10" s="423"/>
      <c r="X10" s="423"/>
      <c r="Y10" s="423"/>
      <c r="Z10" s="423"/>
      <c r="AA10" s="423"/>
      <c r="AB10" s="96"/>
      <c r="AC10" s="96"/>
      <c r="AD10" s="96"/>
      <c r="AE10" s="96"/>
      <c r="AF10" s="96"/>
      <c r="AG10" s="96"/>
      <c r="AH10" s="96"/>
      <c r="AI10" s="96"/>
      <c r="AJ10" s="96"/>
      <c r="AK10" s="96"/>
      <c r="AL10" s="96"/>
      <c r="AM10" s="96"/>
      <c r="AN10" s="96"/>
      <c r="AO10" s="96"/>
      <c r="AP10" s="96"/>
      <c r="AQ10" s="96"/>
    </row>
    <row r="11" spans="1:43">
      <c r="A11" s="625">
        <v>3</v>
      </c>
      <c r="B11" s="73" t="s">
        <v>2202</v>
      </c>
      <c r="C11" s="297">
        <v>448.65</v>
      </c>
      <c r="D11" s="297">
        <v>810.3</v>
      </c>
      <c r="E11" s="297">
        <v>3715.45</v>
      </c>
      <c r="F11" s="297">
        <v>952.94</v>
      </c>
      <c r="G11" s="297">
        <v>147.02000000000001</v>
      </c>
      <c r="H11" s="297">
        <v>537.77</v>
      </c>
      <c r="I11" s="297">
        <v>378.55</v>
      </c>
      <c r="J11" s="297">
        <v>107.56</v>
      </c>
      <c r="K11" s="297">
        <v>1031.73</v>
      </c>
      <c r="L11" s="297">
        <v>1621.78</v>
      </c>
      <c r="M11" s="297">
        <v>0</v>
      </c>
      <c r="N11" s="297">
        <v>9751.7500000000018</v>
      </c>
      <c r="P11" s="423"/>
      <c r="Q11" s="423"/>
      <c r="R11" s="423"/>
      <c r="S11" s="423"/>
      <c r="T11" s="423"/>
      <c r="U11" s="423"/>
      <c r="V11" s="423"/>
      <c r="W11" s="423"/>
      <c r="X11" s="423"/>
      <c r="Y11" s="423"/>
      <c r="Z11" s="423"/>
      <c r="AA11" s="423"/>
      <c r="AB11" s="96"/>
      <c r="AC11" s="96"/>
      <c r="AD11" s="96"/>
      <c r="AE11" s="96"/>
      <c r="AF11" s="96"/>
      <c r="AG11" s="96"/>
      <c r="AH11" s="96"/>
      <c r="AI11" s="96"/>
      <c r="AJ11" s="96"/>
      <c r="AK11" s="96"/>
      <c r="AL11" s="96"/>
      <c r="AM11" s="96"/>
      <c r="AN11" s="96"/>
      <c r="AO11" s="96"/>
      <c r="AP11" s="96"/>
      <c r="AQ11" s="96"/>
    </row>
    <row r="12" spans="1:43">
      <c r="A12" s="625">
        <v>4</v>
      </c>
      <c r="B12" s="73" t="s">
        <v>139</v>
      </c>
      <c r="C12" s="297">
        <v>448.65</v>
      </c>
      <c r="D12" s="297">
        <v>810.3</v>
      </c>
      <c r="E12" s="297">
        <v>3715.4</v>
      </c>
      <c r="F12" s="297">
        <v>952.94</v>
      </c>
      <c r="G12" s="297">
        <v>147.04</v>
      </c>
      <c r="H12" s="297">
        <v>537.77</v>
      </c>
      <c r="I12" s="297">
        <v>378.55</v>
      </c>
      <c r="J12" s="297">
        <v>161.32</v>
      </c>
      <c r="K12" s="297">
        <v>1031.73</v>
      </c>
      <c r="L12" s="297">
        <v>1621.8</v>
      </c>
      <c r="M12" s="297">
        <v>0</v>
      </c>
      <c r="N12" s="297">
        <v>9805.5</v>
      </c>
      <c r="P12" s="423"/>
      <c r="Q12" s="423"/>
      <c r="R12" s="423"/>
      <c r="S12" s="423"/>
      <c r="T12" s="423"/>
      <c r="U12" s="423"/>
      <c r="V12" s="423"/>
      <c r="W12" s="423"/>
      <c r="X12" s="423"/>
      <c r="Y12" s="423"/>
      <c r="Z12" s="423"/>
      <c r="AA12" s="423"/>
      <c r="AB12" s="96"/>
      <c r="AC12" s="96"/>
      <c r="AD12" s="96"/>
      <c r="AE12" s="96"/>
      <c r="AF12" s="96"/>
      <c r="AG12" s="96"/>
      <c r="AH12" s="96"/>
      <c r="AI12" s="96"/>
      <c r="AJ12" s="96"/>
      <c r="AK12" s="96"/>
      <c r="AL12" s="96"/>
      <c r="AM12" s="96"/>
      <c r="AN12" s="96"/>
      <c r="AO12" s="96"/>
      <c r="AP12" s="96"/>
      <c r="AQ12" s="96"/>
    </row>
    <row r="13" spans="1:43">
      <c r="A13" s="625">
        <v>5</v>
      </c>
      <c r="B13" s="73" t="s">
        <v>222</v>
      </c>
      <c r="C13" s="297">
        <v>448.65</v>
      </c>
      <c r="D13" s="297">
        <v>810.3</v>
      </c>
      <c r="E13" s="297">
        <v>3269.57</v>
      </c>
      <c r="F13" s="297">
        <v>685.98</v>
      </c>
      <c r="G13" s="297">
        <v>159.38</v>
      </c>
      <c r="H13" s="297">
        <v>537.77</v>
      </c>
      <c r="I13" s="297">
        <v>408.39</v>
      </c>
      <c r="J13" s="297">
        <v>263.52</v>
      </c>
      <c r="K13" s="297">
        <v>1118.52</v>
      </c>
      <c r="L13" s="297">
        <v>1730.8</v>
      </c>
      <c r="M13" s="297">
        <v>0</v>
      </c>
      <c r="N13" s="297">
        <v>9432.8799999999992</v>
      </c>
      <c r="P13" s="423"/>
      <c r="Q13" s="423"/>
      <c r="R13" s="423"/>
      <c r="S13" s="423"/>
      <c r="T13" s="423"/>
      <c r="U13" s="423"/>
      <c r="V13" s="423"/>
      <c r="W13" s="423"/>
      <c r="X13" s="423"/>
      <c r="Y13" s="423"/>
      <c r="Z13" s="423"/>
      <c r="AA13" s="423"/>
      <c r="AB13" s="96"/>
      <c r="AC13" s="96"/>
      <c r="AD13" s="96"/>
      <c r="AE13" s="96"/>
      <c r="AF13" s="96"/>
      <c r="AG13" s="96"/>
      <c r="AH13" s="96"/>
      <c r="AI13" s="96"/>
      <c r="AJ13" s="96"/>
      <c r="AK13" s="96"/>
      <c r="AL13" s="96"/>
      <c r="AM13" s="96"/>
      <c r="AN13" s="96"/>
      <c r="AO13" s="96"/>
      <c r="AP13" s="96"/>
      <c r="AQ13" s="96"/>
    </row>
    <row r="14" spans="1:43">
      <c r="A14" s="625">
        <v>6</v>
      </c>
      <c r="B14" s="73" t="s">
        <v>223</v>
      </c>
      <c r="C14" s="297">
        <v>448.65</v>
      </c>
      <c r="D14" s="297">
        <v>810.3</v>
      </c>
      <c r="E14" s="297">
        <v>4808.16</v>
      </c>
      <c r="F14" s="297">
        <v>571.07000000000005</v>
      </c>
      <c r="G14" s="297">
        <v>154.55000000000001</v>
      </c>
      <c r="H14" s="297">
        <v>860.42</v>
      </c>
      <c r="I14" s="297">
        <v>451.12</v>
      </c>
      <c r="J14" s="297">
        <v>607.66</v>
      </c>
      <c r="K14" s="297">
        <v>1084.53</v>
      </c>
      <c r="L14" s="297">
        <v>1537.47</v>
      </c>
      <c r="M14" s="297">
        <v>0</v>
      </c>
      <c r="N14" s="297">
        <v>11333.93</v>
      </c>
      <c r="P14" s="423"/>
      <c r="Q14" s="423"/>
      <c r="R14" s="423"/>
      <c r="S14" s="423"/>
      <c r="T14" s="423"/>
      <c r="U14" s="423"/>
      <c r="V14" s="423"/>
      <c r="W14" s="423"/>
      <c r="X14" s="423"/>
      <c r="Y14" s="423"/>
      <c r="Z14" s="423"/>
      <c r="AA14" s="423"/>
      <c r="AB14" s="96"/>
      <c r="AC14" s="96"/>
      <c r="AD14" s="96"/>
      <c r="AE14" s="96"/>
      <c r="AF14" s="96"/>
      <c r="AG14" s="96"/>
      <c r="AH14" s="96"/>
      <c r="AI14" s="96"/>
      <c r="AJ14" s="96"/>
      <c r="AK14" s="96"/>
      <c r="AL14" s="96"/>
      <c r="AM14" s="96"/>
      <c r="AN14" s="96"/>
      <c r="AO14" s="96"/>
      <c r="AP14" s="96"/>
      <c r="AQ14" s="96"/>
    </row>
    <row r="15" spans="1:43">
      <c r="A15" s="625">
        <v>7</v>
      </c>
      <c r="B15" s="73" t="s">
        <v>224</v>
      </c>
      <c r="C15" s="297">
        <v>448.65</v>
      </c>
      <c r="D15" s="297">
        <v>810.3</v>
      </c>
      <c r="E15" s="297">
        <v>8173.93</v>
      </c>
      <c r="F15" s="297">
        <v>571.07000000000005</v>
      </c>
      <c r="G15" s="297">
        <v>255.51</v>
      </c>
      <c r="H15" s="297">
        <v>1505.73</v>
      </c>
      <c r="I15" s="297">
        <v>451.12</v>
      </c>
      <c r="J15" s="297">
        <v>607.66</v>
      </c>
      <c r="K15" s="297">
        <v>2029.75</v>
      </c>
      <c r="L15" s="297">
        <v>2006.61</v>
      </c>
      <c r="M15" s="297">
        <v>0</v>
      </c>
      <c r="N15" s="297">
        <v>16860.330000000002</v>
      </c>
      <c r="P15" s="423"/>
      <c r="Q15" s="423"/>
      <c r="R15" s="423"/>
      <c r="S15" s="423"/>
      <c r="T15" s="423"/>
      <c r="U15" s="423"/>
      <c r="V15" s="423"/>
      <c r="W15" s="423"/>
      <c r="X15" s="423"/>
      <c r="Y15" s="423"/>
      <c r="Z15" s="423"/>
      <c r="AA15" s="423"/>
      <c r="AB15" s="96"/>
      <c r="AC15" s="96"/>
      <c r="AD15" s="96"/>
      <c r="AE15" s="96"/>
      <c r="AF15" s="96"/>
      <c r="AG15" s="96"/>
      <c r="AH15" s="96"/>
      <c r="AI15" s="96"/>
      <c r="AJ15" s="96"/>
      <c r="AK15" s="96"/>
      <c r="AL15" s="96"/>
      <c r="AM15" s="96"/>
      <c r="AN15" s="96"/>
      <c r="AO15" s="96"/>
      <c r="AP15" s="96"/>
      <c r="AQ15" s="96"/>
    </row>
    <row r="16" spans="1:43">
      <c r="A16" s="625">
        <v>8</v>
      </c>
      <c r="B16" s="73" t="s">
        <v>2291</v>
      </c>
      <c r="C16" s="297">
        <v>3096.41</v>
      </c>
      <c r="D16" s="297">
        <v>0</v>
      </c>
      <c r="E16" s="297">
        <v>10217.379999999999</v>
      </c>
      <c r="F16" s="297">
        <v>9539.82</v>
      </c>
      <c r="G16" s="297">
        <v>492.88</v>
      </c>
      <c r="H16" s="297">
        <v>430.2</v>
      </c>
      <c r="I16" s="297">
        <v>0</v>
      </c>
      <c r="J16" s="297">
        <v>0</v>
      </c>
      <c r="K16" s="297">
        <v>3458.83</v>
      </c>
      <c r="L16" s="297">
        <v>4098.1000000000004</v>
      </c>
      <c r="M16" s="297">
        <v>0</v>
      </c>
      <c r="N16" s="297">
        <v>31333.620000000003</v>
      </c>
      <c r="P16" s="423"/>
      <c r="Q16" s="423"/>
      <c r="R16" s="423"/>
      <c r="S16" s="423"/>
      <c r="T16" s="423"/>
      <c r="U16" s="423"/>
      <c r="V16" s="423"/>
      <c r="W16" s="423"/>
      <c r="X16" s="423"/>
      <c r="Y16" s="423"/>
      <c r="Z16" s="423"/>
      <c r="AA16" s="423"/>
      <c r="AB16" s="96"/>
      <c r="AC16" s="96"/>
      <c r="AD16" s="96"/>
      <c r="AE16" s="96"/>
      <c r="AF16" s="96"/>
      <c r="AG16" s="96"/>
      <c r="AH16" s="96"/>
      <c r="AI16" s="96"/>
      <c r="AJ16" s="96"/>
      <c r="AK16" s="96"/>
      <c r="AL16" s="96"/>
      <c r="AM16" s="96"/>
      <c r="AN16" s="96"/>
      <c r="AO16" s="96"/>
      <c r="AP16" s="96"/>
      <c r="AQ16" s="96"/>
    </row>
    <row r="17" spans="1:43">
      <c r="A17" s="625">
        <v>9</v>
      </c>
      <c r="B17" s="73" t="s">
        <v>2292</v>
      </c>
      <c r="C17" s="297">
        <v>3702.76</v>
      </c>
      <c r="D17" s="297">
        <v>0</v>
      </c>
      <c r="E17" s="297">
        <v>0</v>
      </c>
      <c r="F17" s="297">
        <v>56.56</v>
      </c>
      <c r="G17" s="297">
        <v>0</v>
      </c>
      <c r="H17" s="297">
        <v>0</v>
      </c>
      <c r="I17" s="297">
        <v>0</v>
      </c>
      <c r="J17" s="297">
        <v>0</v>
      </c>
      <c r="K17" s="297">
        <v>0</v>
      </c>
      <c r="L17" s="297">
        <v>0</v>
      </c>
      <c r="M17" s="297">
        <v>35155.74</v>
      </c>
      <c r="N17" s="297">
        <v>38915.06</v>
      </c>
      <c r="O17" s="478"/>
      <c r="P17" s="423"/>
      <c r="Q17" s="423"/>
      <c r="R17" s="423"/>
      <c r="S17" s="423"/>
      <c r="T17" s="423"/>
      <c r="U17" s="423"/>
      <c r="V17" s="423"/>
      <c r="W17" s="423"/>
      <c r="X17" s="423"/>
      <c r="Y17" s="423"/>
      <c r="Z17" s="423"/>
      <c r="AA17" s="423"/>
      <c r="AB17" s="96"/>
      <c r="AC17" s="96"/>
      <c r="AD17" s="96"/>
      <c r="AE17" s="96"/>
      <c r="AF17" s="96"/>
      <c r="AG17" s="96"/>
      <c r="AH17" s="96"/>
      <c r="AI17" s="96"/>
      <c r="AJ17" s="96"/>
      <c r="AK17" s="96"/>
      <c r="AL17" s="96"/>
      <c r="AM17" s="96"/>
      <c r="AN17" s="96"/>
      <c r="AO17" s="96"/>
      <c r="AP17" s="96"/>
      <c r="AQ17" s="96"/>
    </row>
    <row r="18" spans="1:43">
      <c r="A18" s="625">
        <v>10</v>
      </c>
      <c r="B18" s="73" t="s">
        <v>2119</v>
      </c>
      <c r="C18" s="297">
        <v>111.09</v>
      </c>
      <c r="D18" s="297">
        <v>194.4</v>
      </c>
      <c r="E18" s="297">
        <v>1360.76</v>
      </c>
      <c r="F18" s="297">
        <v>194.4</v>
      </c>
      <c r="G18" s="297">
        <v>55.54</v>
      </c>
      <c r="H18" s="297">
        <v>138.84</v>
      </c>
      <c r="I18" s="297">
        <v>83.31</v>
      </c>
      <c r="J18" s="297">
        <v>27.78</v>
      </c>
      <c r="K18" s="297">
        <v>333.25</v>
      </c>
      <c r="L18" s="297">
        <v>322.91000000000003</v>
      </c>
      <c r="M18" s="297">
        <v>0</v>
      </c>
      <c r="N18" s="297">
        <v>2822.28</v>
      </c>
      <c r="O18" s="477"/>
      <c r="P18" s="423"/>
      <c r="Q18" s="423"/>
      <c r="R18" s="423"/>
      <c r="S18" s="423"/>
      <c r="T18" s="423"/>
      <c r="U18" s="423"/>
      <c r="V18" s="423"/>
      <c r="W18" s="423"/>
      <c r="X18" s="423"/>
      <c r="Y18" s="423"/>
      <c r="Z18" s="423"/>
      <c r="AA18" s="423"/>
      <c r="AB18" s="96"/>
      <c r="AC18" s="96"/>
      <c r="AD18" s="96"/>
      <c r="AE18" s="96"/>
      <c r="AF18" s="96"/>
      <c r="AG18" s="96"/>
      <c r="AH18" s="96"/>
      <c r="AI18" s="96"/>
      <c r="AJ18" s="96"/>
      <c r="AK18" s="96"/>
      <c r="AL18" s="96"/>
      <c r="AM18" s="96"/>
      <c r="AN18" s="96"/>
      <c r="AO18" s="96"/>
      <c r="AP18" s="96"/>
      <c r="AQ18" s="96"/>
    </row>
    <row r="19" spans="1:43">
      <c r="A19" s="625">
        <v>11</v>
      </c>
      <c r="B19" s="328" t="s">
        <v>2120</v>
      </c>
      <c r="C19" s="297">
        <v>118.24</v>
      </c>
      <c r="D19" s="297">
        <v>206.89</v>
      </c>
      <c r="E19" s="297">
        <v>1448.24</v>
      </c>
      <c r="F19" s="297">
        <v>206.89</v>
      </c>
      <c r="G19" s="297">
        <v>59.11</v>
      </c>
      <c r="H19" s="297">
        <v>147.78</v>
      </c>
      <c r="I19" s="297">
        <v>88.67</v>
      </c>
      <c r="J19" s="297">
        <v>29.56</v>
      </c>
      <c r="K19" s="297">
        <v>354.67</v>
      </c>
      <c r="L19" s="297">
        <v>343.66</v>
      </c>
      <c r="M19" s="297">
        <v>0</v>
      </c>
      <c r="N19" s="297">
        <v>3003.7099999999996</v>
      </c>
      <c r="O19" s="477"/>
      <c r="P19" s="423"/>
      <c r="Q19" s="423"/>
      <c r="R19" s="423"/>
      <c r="S19" s="423"/>
      <c r="T19" s="423"/>
      <c r="U19" s="423"/>
      <c r="V19" s="423"/>
      <c r="W19" s="423"/>
      <c r="X19" s="423"/>
      <c r="Y19" s="423"/>
      <c r="Z19" s="423"/>
      <c r="AA19" s="423"/>
      <c r="AB19" s="96"/>
      <c r="AC19" s="96"/>
      <c r="AD19" s="96"/>
      <c r="AE19" s="96"/>
      <c r="AF19" s="96"/>
      <c r="AG19" s="96"/>
      <c r="AH19" s="96"/>
      <c r="AI19" s="96"/>
      <c r="AJ19" s="96"/>
      <c r="AK19" s="96"/>
      <c r="AL19" s="96"/>
      <c r="AM19" s="96"/>
      <c r="AN19" s="96"/>
      <c r="AO19" s="96"/>
      <c r="AP19" s="96"/>
      <c r="AQ19" s="96"/>
    </row>
    <row r="20" spans="1:43">
      <c r="A20" s="625">
        <v>12</v>
      </c>
      <c r="B20" s="328" t="s">
        <v>2179</v>
      </c>
      <c r="C20" s="297">
        <v>126.78</v>
      </c>
      <c r="D20" s="297">
        <v>221.87</v>
      </c>
      <c r="E20" s="297">
        <v>1553.06</v>
      </c>
      <c r="F20" s="297">
        <v>221.87</v>
      </c>
      <c r="G20" s="297">
        <v>63.38</v>
      </c>
      <c r="H20" s="297">
        <v>158.47</v>
      </c>
      <c r="I20" s="297">
        <v>95.08</v>
      </c>
      <c r="J20" s="297">
        <v>31.7</v>
      </c>
      <c r="K20" s="297">
        <v>380.34</v>
      </c>
      <c r="L20" s="297">
        <v>368.53</v>
      </c>
      <c r="M20" s="297">
        <v>0</v>
      </c>
      <c r="N20" s="297">
        <v>3221.08</v>
      </c>
      <c r="O20" s="477"/>
      <c r="P20" s="423"/>
      <c r="Q20" s="423"/>
      <c r="R20" s="423"/>
      <c r="S20" s="423"/>
      <c r="T20" s="423"/>
      <c r="U20" s="423"/>
      <c r="V20" s="423"/>
      <c r="W20" s="423"/>
      <c r="X20" s="423"/>
      <c r="Y20" s="423"/>
      <c r="Z20" s="423"/>
      <c r="AA20" s="423"/>
      <c r="AB20" s="96"/>
      <c r="AC20" s="96"/>
      <c r="AD20" s="96"/>
      <c r="AE20" s="96"/>
      <c r="AF20" s="96"/>
      <c r="AG20" s="96"/>
      <c r="AH20" s="96"/>
      <c r="AI20" s="96"/>
      <c r="AJ20" s="96"/>
      <c r="AK20" s="96"/>
      <c r="AL20" s="96"/>
      <c r="AM20" s="96"/>
      <c r="AN20" s="96"/>
      <c r="AO20" s="96"/>
      <c r="AP20" s="96"/>
      <c r="AQ20" s="96"/>
    </row>
    <row r="21" spans="1:43">
      <c r="A21" s="625">
        <v>13</v>
      </c>
      <c r="B21" s="73" t="s">
        <v>2285</v>
      </c>
      <c r="C21" s="297">
        <v>55.91</v>
      </c>
      <c r="D21" s="297">
        <v>264.89</v>
      </c>
      <c r="E21" s="297">
        <v>2585.88</v>
      </c>
      <c r="F21" s="297">
        <v>0</v>
      </c>
      <c r="G21" s="297">
        <v>125.46</v>
      </c>
      <c r="H21" s="297">
        <v>19.23</v>
      </c>
      <c r="I21" s="297">
        <v>104.71</v>
      </c>
      <c r="J21" s="297">
        <v>544.1</v>
      </c>
      <c r="K21" s="297">
        <v>0</v>
      </c>
      <c r="L21" s="297">
        <v>442.14</v>
      </c>
      <c r="M21" s="297">
        <v>0</v>
      </c>
      <c r="N21" s="297">
        <v>4142.3200000000006</v>
      </c>
      <c r="O21" s="477"/>
      <c r="P21" s="423"/>
      <c r="Q21" s="423"/>
      <c r="R21" s="423"/>
      <c r="S21" s="423"/>
      <c r="T21" s="423"/>
      <c r="U21" s="423"/>
      <c r="V21" s="423"/>
      <c r="W21" s="423"/>
      <c r="X21" s="423"/>
      <c r="Y21" s="423"/>
      <c r="Z21" s="423"/>
      <c r="AA21" s="423"/>
      <c r="AB21" s="96"/>
      <c r="AC21" s="96"/>
      <c r="AD21" s="96"/>
      <c r="AE21" s="96"/>
      <c r="AF21" s="96"/>
      <c r="AG21" s="96"/>
      <c r="AH21" s="96"/>
      <c r="AI21" s="96"/>
      <c r="AJ21" s="96"/>
      <c r="AK21" s="96"/>
      <c r="AL21" s="96"/>
      <c r="AM21" s="96"/>
      <c r="AN21" s="96"/>
      <c r="AO21" s="96"/>
      <c r="AP21" s="96"/>
      <c r="AQ21" s="96"/>
    </row>
    <row r="22" spans="1:43">
      <c r="A22" s="625">
        <v>14</v>
      </c>
      <c r="B22" s="73" t="s">
        <v>2286</v>
      </c>
      <c r="C22" s="297">
        <v>58.4</v>
      </c>
      <c r="D22" s="297">
        <v>276.70999999999998</v>
      </c>
      <c r="E22" s="297">
        <v>2701.21</v>
      </c>
      <c r="F22" s="297">
        <v>0</v>
      </c>
      <c r="G22" s="297">
        <v>131.06</v>
      </c>
      <c r="H22" s="297">
        <v>20.09</v>
      </c>
      <c r="I22" s="297">
        <v>109.38</v>
      </c>
      <c r="J22" s="297">
        <v>568.37</v>
      </c>
      <c r="K22" s="297">
        <v>0</v>
      </c>
      <c r="L22" s="297">
        <v>461.87</v>
      </c>
      <c r="M22" s="297">
        <v>0</v>
      </c>
      <c r="N22" s="297">
        <v>4327.09</v>
      </c>
      <c r="O22" s="477"/>
      <c r="P22" s="423"/>
      <c r="Q22" s="423"/>
      <c r="R22" s="423"/>
      <c r="S22" s="423"/>
      <c r="T22" s="423"/>
      <c r="U22" s="423"/>
      <c r="V22" s="423"/>
      <c r="W22" s="423"/>
      <c r="X22" s="423"/>
      <c r="Y22" s="423"/>
      <c r="Z22" s="423"/>
      <c r="AA22" s="423"/>
      <c r="AB22" s="96"/>
      <c r="AC22" s="96"/>
      <c r="AD22" s="96"/>
      <c r="AE22" s="96"/>
      <c r="AF22" s="96"/>
      <c r="AG22" s="96"/>
      <c r="AH22" s="96"/>
      <c r="AI22" s="96"/>
      <c r="AJ22" s="96"/>
      <c r="AK22" s="96"/>
      <c r="AL22" s="96"/>
      <c r="AM22" s="96"/>
      <c r="AN22" s="96"/>
      <c r="AO22" s="96"/>
      <c r="AP22" s="96"/>
      <c r="AQ22" s="96"/>
    </row>
    <row r="23" spans="1:43">
      <c r="A23" s="625">
        <v>15</v>
      </c>
      <c r="B23" s="73" t="s">
        <v>2284</v>
      </c>
      <c r="C23" s="297">
        <v>60.89</v>
      </c>
      <c r="D23" s="297">
        <v>288.52999999999997</v>
      </c>
      <c r="E23" s="297">
        <v>2816.54</v>
      </c>
      <c r="F23" s="297">
        <v>0</v>
      </c>
      <c r="G23" s="297">
        <v>136.65</v>
      </c>
      <c r="H23" s="297">
        <v>20.95</v>
      </c>
      <c r="I23" s="297">
        <v>114.05</v>
      </c>
      <c r="J23" s="297">
        <v>592.64</v>
      </c>
      <c r="K23" s="297">
        <v>0</v>
      </c>
      <c r="L23" s="297">
        <v>481.59</v>
      </c>
      <c r="M23" s="297">
        <v>0</v>
      </c>
      <c r="N23" s="297">
        <v>4511.84</v>
      </c>
      <c r="O23" s="477"/>
      <c r="P23" s="423"/>
      <c r="Q23" s="423"/>
      <c r="R23" s="423"/>
      <c r="S23" s="423"/>
      <c r="T23" s="423"/>
      <c r="U23" s="423"/>
      <c r="V23" s="423"/>
      <c r="W23" s="423"/>
      <c r="X23" s="423"/>
      <c r="Y23" s="423"/>
      <c r="Z23" s="423"/>
      <c r="AA23" s="423"/>
      <c r="AB23" s="96"/>
      <c r="AC23" s="96"/>
      <c r="AD23" s="96"/>
      <c r="AE23" s="96"/>
      <c r="AF23" s="96"/>
      <c r="AG23" s="96"/>
      <c r="AH23" s="96"/>
      <c r="AI23" s="96"/>
      <c r="AJ23" s="96"/>
      <c r="AK23" s="96"/>
      <c r="AL23" s="96"/>
      <c r="AM23" s="96"/>
      <c r="AN23" s="96"/>
      <c r="AO23" s="96"/>
      <c r="AP23" s="96"/>
      <c r="AQ23" s="96"/>
    </row>
    <row r="24" spans="1:43">
      <c r="A24" s="625">
        <v>16</v>
      </c>
      <c r="B24" s="73" t="s">
        <v>2283</v>
      </c>
      <c r="C24" s="297">
        <v>63.39</v>
      </c>
      <c r="D24" s="297">
        <v>300.33999999999997</v>
      </c>
      <c r="E24" s="297">
        <v>2931.87</v>
      </c>
      <c r="F24" s="297">
        <v>0</v>
      </c>
      <c r="G24" s="297">
        <v>142.24</v>
      </c>
      <c r="H24" s="297">
        <v>21.8</v>
      </c>
      <c r="I24" s="297">
        <v>118.72</v>
      </c>
      <c r="J24" s="297">
        <v>616.9</v>
      </c>
      <c r="K24" s="297">
        <v>0</v>
      </c>
      <c r="L24" s="297">
        <v>501.31</v>
      </c>
      <c r="M24" s="297">
        <v>0</v>
      </c>
      <c r="N24" s="297">
        <v>4696.5700000000006</v>
      </c>
      <c r="O24" s="477"/>
      <c r="P24" s="423"/>
      <c r="Q24" s="423"/>
      <c r="R24" s="423"/>
      <c r="S24" s="423"/>
      <c r="T24" s="423"/>
      <c r="U24" s="423"/>
      <c r="V24" s="423"/>
      <c r="W24" s="423"/>
      <c r="X24" s="423"/>
      <c r="Y24" s="423"/>
      <c r="Z24" s="423"/>
      <c r="AA24" s="423"/>
      <c r="AB24" s="96"/>
      <c r="AC24" s="96"/>
      <c r="AD24" s="96"/>
      <c r="AE24" s="96"/>
      <c r="AF24" s="96"/>
      <c r="AG24" s="96"/>
      <c r="AH24" s="96"/>
      <c r="AI24" s="96"/>
      <c r="AJ24" s="96"/>
      <c r="AK24" s="96"/>
      <c r="AL24" s="96"/>
      <c r="AM24" s="96"/>
      <c r="AN24" s="96"/>
      <c r="AO24" s="96"/>
      <c r="AP24" s="96"/>
      <c r="AQ24" s="96"/>
    </row>
    <row r="25" spans="1:43">
      <c r="A25" s="625">
        <v>17</v>
      </c>
      <c r="B25" s="73" t="s">
        <v>2275</v>
      </c>
      <c r="C25" s="297">
        <v>65.88</v>
      </c>
      <c r="D25" s="297">
        <v>312.14999999999998</v>
      </c>
      <c r="E25" s="297">
        <v>3047.2</v>
      </c>
      <c r="F25" s="297">
        <v>0</v>
      </c>
      <c r="G25" s="297">
        <v>147.84</v>
      </c>
      <c r="H25" s="297">
        <v>22.66</v>
      </c>
      <c r="I25" s="297">
        <v>123.39</v>
      </c>
      <c r="J25" s="297">
        <v>641.16999999999996</v>
      </c>
      <c r="K25" s="297">
        <v>0</v>
      </c>
      <c r="L25" s="297">
        <v>521.03</v>
      </c>
      <c r="M25" s="297">
        <v>0</v>
      </c>
      <c r="N25" s="297">
        <v>4881.3199999999988</v>
      </c>
      <c r="O25" s="477"/>
      <c r="P25" s="423"/>
      <c r="Q25" s="423"/>
      <c r="R25" s="423"/>
      <c r="S25" s="423"/>
      <c r="T25" s="423"/>
      <c r="U25" s="423"/>
      <c r="V25" s="423"/>
      <c r="W25" s="423"/>
      <c r="X25" s="423"/>
      <c r="Y25" s="423"/>
      <c r="Z25" s="423"/>
      <c r="AA25" s="423"/>
      <c r="AB25" s="96"/>
      <c r="AC25" s="96"/>
      <c r="AD25" s="96"/>
      <c r="AE25" s="96"/>
      <c r="AF25" s="96"/>
      <c r="AG25" s="96"/>
      <c r="AH25" s="96"/>
      <c r="AI25" s="96"/>
      <c r="AJ25" s="96"/>
      <c r="AK25" s="96"/>
      <c r="AL25" s="96"/>
      <c r="AM25" s="96"/>
      <c r="AN25" s="96"/>
      <c r="AO25" s="96"/>
      <c r="AP25" s="96"/>
      <c r="AQ25" s="96"/>
    </row>
    <row r="26" spans="1:43">
      <c r="A26" s="625">
        <v>18</v>
      </c>
      <c r="B26" s="73" t="s">
        <v>2276</v>
      </c>
      <c r="C26" s="297">
        <v>72.739999999999995</v>
      </c>
      <c r="D26" s="297">
        <v>344.67</v>
      </c>
      <c r="E26" s="297">
        <v>3364.62</v>
      </c>
      <c r="F26" s="297">
        <v>0</v>
      </c>
      <c r="G26" s="297">
        <v>163.22999999999999</v>
      </c>
      <c r="H26" s="297">
        <v>25.03</v>
      </c>
      <c r="I26" s="297">
        <v>136.24</v>
      </c>
      <c r="J26" s="297">
        <v>707.96</v>
      </c>
      <c r="K26" s="297">
        <v>0</v>
      </c>
      <c r="L26" s="297">
        <v>575.29999999999995</v>
      </c>
      <c r="M26" s="297">
        <v>0</v>
      </c>
      <c r="N26" s="297">
        <v>5389.79</v>
      </c>
      <c r="O26" s="477"/>
      <c r="P26" s="423"/>
      <c r="Q26" s="423"/>
      <c r="R26" s="423"/>
      <c r="S26" s="423"/>
      <c r="T26" s="423"/>
      <c r="U26" s="423"/>
      <c r="V26" s="423"/>
      <c r="W26" s="423"/>
      <c r="X26" s="423"/>
      <c r="Y26" s="423"/>
      <c r="Z26" s="423"/>
      <c r="AA26" s="423"/>
      <c r="AB26" s="96"/>
      <c r="AC26" s="96"/>
      <c r="AD26" s="96"/>
      <c r="AE26" s="96"/>
      <c r="AF26" s="96"/>
      <c r="AG26" s="96"/>
      <c r="AH26" s="96"/>
      <c r="AI26" s="96"/>
      <c r="AJ26" s="96"/>
      <c r="AK26" s="96"/>
      <c r="AL26" s="96"/>
      <c r="AM26" s="96"/>
      <c r="AN26" s="96"/>
      <c r="AO26" s="96"/>
      <c r="AP26" s="96"/>
      <c r="AQ26" s="96"/>
    </row>
    <row r="27" spans="1:43">
      <c r="A27" s="625">
        <v>19</v>
      </c>
      <c r="B27" s="73" t="s">
        <v>2277</v>
      </c>
      <c r="C27" s="297">
        <v>78.73</v>
      </c>
      <c r="D27" s="297">
        <v>373.02</v>
      </c>
      <c r="E27" s="297">
        <v>3641.44</v>
      </c>
      <c r="F27" s="297">
        <v>0</v>
      </c>
      <c r="G27" s="297">
        <v>176.66</v>
      </c>
      <c r="H27" s="297">
        <v>27.08</v>
      </c>
      <c r="I27" s="297">
        <v>147.44999999999999</v>
      </c>
      <c r="J27" s="297">
        <v>766.21</v>
      </c>
      <c r="K27" s="297">
        <v>0</v>
      </c>
      <c r="L27" s="297">
        <v>622.63</v>
      </c>
      <c r="M27" s="297">
        <v>0</v>
      </c>
      <c r="N27" s="297">
        <v>5833.22</v>
      </c>
      <c r="O27" s="477"/>
      <c r="P27" s="423"/>
      <c r="Q27" s="423"/>
      <c r="R27" s="423"/>
      <c r="S27" s="423"/>
      <c r="T27" s="423"/>
      <c r="U27" s="423"/>
      <c r="V27" s="423"/>
      <c r="W27" s="423"/>
      <c r="X27" s="423"/>
      <c r="Y27" s="423"/>
      <c r="Z27" s="423"/>
      <c r="AA27" s="423"/>
      <c r="AB27" s="96"/>
      <c r="AC27" s="96"/>
      <c r="AD27" s="96"/>
      <c r="AE27" s="96"/>
      <c r="AF27" s="96"/>
      <c r="AG27" s="96"/>
      <c r="AH27" s="96"/>
      <c r="AI27" s="96"/>
      <c r="AJ27" s="96"/>
      <c r="AK27" s="96"/>
      <c r="AL27" s="96"/>
      <c r="AM27" s="96"/>
      <c r="AN27" s="96"/>
      <c r="AO27" s="96"/>
      <c r="AP27" s="96"/>
      <c r="AQ27" s="96"/>
    </row>
    <row r="28" spans="1:43">
      <c r="A28" s="625">
        <v>20</v>
      </c>
      <c r="B28" s="73" t="s">
        <v>2278</v>
      </c>
      <c r="C28" s="297">
        <v>84.72</v>
      </c>
      <c r="D28" s="297">
        <v>401.38</v>
      </c>
      <c r="E28" s="297">
        <v>3918.27</v>
      </c>
      <c r="F28" s="297">
        <v>0</v>
      </c>
      <c r="G28" s="297">
        <v>190.09</v>
      </c>
      <c r="H28" s="297">
        <v>29.15</v>
      </c>
      <c r="I28" s="297">
        <v>158.66</v>
      </c>
      <c r="J28" s="297">
        <v>824.45</v>
      </c>
      <c r="K28" s="297">
        <v>0</v>
      </c>
      <c r="L28" s="297">
        <v>669.96</v>
      </c>
      <c r="M28" s="297">
        <v>0</v>
      </c>
      <c r="N28" s="297">
        <v>6276.6799999999994</v>
      </c>
      <c r="O28" s="477"/>
      <c r="P28" s="423"/>
      <c r="Q28" s="423"/>
      <c r="R28" s="423"/>
      <c r="S28" s="423"/>
      <c r="T28" s="423"/>
      <c r="U28" s="423"/>
      <c r="V28" s="423"/>
      <c r="W28" s="423"/>
      <c r="X28" s="423"/>
      <c r="Y28" s="423"/>
      <c r="Z28" s="423"/>
      <c r="AA28" s="423"/>
      <c r="AB28" s="96"/>
      <c r="AC28" s="96"/>
      <c r="AD28" s="96"/>
      <c r="AE28" s="96"/>
      <c r="AF28" s="96"/>
      <c r="AG28" s="96"/>
      <c r="AH28" s="96"/>
      <c r="AI28" s="96"/>
      <c r="AJ28" s="96"/>
      <c r="AK28" s="96"/>
      <c r="AL28" s="96"/>
      <c r="AM28" s="96"/>
      <c r="AN28" s="96"/>
      <c r="AO28" s="96"/>
      <c r="AP28" s="96"/>
      <c r="AQ28" s="96"/>
    </row>
    <row r="29" spans="1:43">
      <c r="A29" s="625">
        <v>21</v>
      </c>
      <c r="B29" s="73" t="s">
        <v>2279</v>
      </c>
      <c r="C29" s="297">
        <v>90.7</v>
      </c>
      <c r="D29" s="297">
        <v>429.74</v>
      </c>
      <c r="E29" s="297">
        <v>4195.1000000000004</v>
      </c>
      <c r="F29" s="297">
        <v>0</v>
      </c>
      <c r="G29" s="297">
        <v>203.52</v>
      </c>
      <c r="H29" s="297">
        <v>31.19</v>
      </c>
      <c r="I29" s="297">
        <v>169.87</v>
      </c>
      <c r="J29" s="297">
        <v>882.71</v>
      </c>
      <c r="K29" s="297">
        <v>0</v>
      </c>
      <c r="L29" s="297">
        <v>717.3</v>
      </c>
      <c r="M29" s="297">
        <v>0</v>
      </c>
      <c r="N29" s="297">
        <v>6720.130000000001</v>
      </c>
      <c r="O29" s="477"/>
      <c r="P29" s="423"/>
      <c r="Q29" s="423"/>
      <c r="R29" s="423"/>
      <c r="S29" s="423"/>
      <c r="T29" s="423"/>
      <c r="U29" s="423"/>
      <c r="V29" s="423"/>
      <c r="W29" s="423"/>
      <c r="X29" s="423"/>
      <c r="Y29" s="423"/>
      <c r="Z29" s="423"/>
      <c r="AA29" s="423"/>
      <c r="AB29" s="96"/>
      <c r="AC29" s="96"/>
      <c r="AD29" s="96"/>
      <c r="AE29" s="96"/>
      <c r="AF29" s="96"/>
      <c r="AG29" s="96"/>
      <c r="AH29" s="96"/>
      <c r="AI29" s="96"/>
      <c r="AJ29" s="96"/>
      <c r="AK29" s="96"/>
      <c r="AL29" s="96"/>
      <c r="AM29" s="96"/>
      <c r="AN29" s="96"/>
      <c r="AO29" s="96"/>
    </row>
    <row r="30" spans="1:43">
      <c r="A30" s="625">
        <v>22</v>
      </c>
      <c r="B30" s="73" t="s">
        <v>2280</v>
      </c>
      <c r="C30" s="297">
        <v>96.68</v>
      </c>
      <c r="D30" s="297">
        <v>458.1</v>
      </c>
      <c r="E30" s="297">
        <v>4471.93</v>
      </c>
      <c r="F30" s="297">
        <v>0</v>
      </c>
      <c r="G30" s="297">
        <v>216.95</v>
      </c>
      <c r="H30" s="297">
        <v>33.26</v>
      </c>
      <c r="I30" s="297">
        <v>181.08</v>
      </c>
      <c r="J30" s="297">
        <v>940.95</v>
      </c>
      <c r="K30" s="297">
        <v>0</v>
      </c>
      <c r="L30" s="297">
        <v>764.64</v>
      </c>
      <c r="M30" s="297">
        <v>0</v>
      </c>
      <c r="N30" s="297">
        <v>7163.59</v>
      </c>
      <c r="O30" s="477"/>
      <c r="P30" s="423"/>
      <c r="Q30" s="423"/>
      <c r="R30" s="423"/>
      <c r="S30" s="423"/>
      <c r="T30" s="423"/>
      <c r="U30" s="423"/>
      <c r="V30" s="423"/>
      <c r="W30" s="423"/>
      <c r="X30" s="423"/>
      <c r="Y30" s="423"/>
      <c r="Z30" s="423"/>
      <c r="AA30" s="423"/>
      <c r="AB30" s="96"/>
      <c r="AC30" s="96"/>
      <c r="AD30" s="96"/>
      <c r="AE30" s="96"/>
      <c r="AF30" s="96"/>
      <c r="AG30" s="96"/>
      <c r="AH30" s="96"/>
      <c r="AI30" s="96"/>
      <c r="AJ30" s="96"/>
      <c r="AK30" s="96"/>
      <c r="AL30" s="96"/>
      <c r="AM30" s="96"/>
      <c r="AN30" s="96"/>
      <c r="AO30" s="96"/>
    </row>
    <row r="31" spans="1:43">
      <c r="A31" s="625">
        <v>23</v>
      </c>
      <c r="B31" s="73" t="s">
        <v>2281</v>
      </c>
      <c r="C31" s="297">
        <v>105.8</v>
      </c>
      <c r="D31" s="297">
        <v>501.28</v>
      </c>
      <c r="E31" s="297">
        <v>4893.4799999999996</v>
      </c>
      <c r="F31" s="297">
        <v>0</v>
      </c>
      <c r="G31" s="297">
        <v>237.4</v>
      </c>
      <c r="H31" s="297">
        <v>36.39</v>
      </c>
      <c r="I31" s="297">
        <v>198.15</v>
      </c>
      <c r="J31" s="297">
        <v>1029.6600000000001</v>
      </c>
      <c r="K31" s="297">
        <v>0</v>
      </c>
      <c r="L31" s="297">
        <v>836.71</v>
      </c>
      <c r="M31" s="297">
        <v>0</v>
      </c>
      <c r="N31" s="297">
        <v>7838.869999999999</v>
      </c>
      <c r="O31" s="477"/>
      <c r="P31" s="423"/>
      <c r="Q31" s="423"/>
      <c r="R31" s="423"/>
      <c r="S31" s="423"/>
      <c r="T31" s="423"/>
      <c r="U31" s="423"/>
      <c r="V31" s="423"/>
      <c r="W31" s="423"/>
      <c r="X31" s="423"/>
      <c r="Y31" s="423"/>
      <c r="Z31" s="423"/>
      <c r="AA31" s="423"/>
      <c r="AB31" s="96"/>
      <c r="AC31" s="96"/>
    </row>
    <row r="32" spans="1:43">
      <c r="A32" s="625">
        <v>24</v>
      </c>
      <c r="B32" s="73" t="s">
        <v>2282</v>
      </c>
      <c r="C32" s="297">
        <v>114.92</v>
      </c>
      <c r="D32" s="297">
        <v>544.47</v>
      </c>
      <c r="E32" s="297">
        <v>5315.04</v>
      </c>
      <c r="F32" s="297">
        <v>0</v>
      </c>
      <c r="G32" s="297">
        <v>257.85000000000002</v>
      </c>
      <c r="H32" s="297">
        <v>39.53</v>
      </c>
      <c r="I32" s="297">
        <v>215.22</v>
      </c>
      <c r="J32" s="297">
        <v>1118.3499999999999</v>
      </c>
      <c r="K32" s="297">
        <v>0</v>
      </c>
      <c r="L32" s="297">
        <v>908.79</v>
      </c>
      <c r="M32" s="297">
        <v>0</v>
      </c>
      <c r="N32" s="297">
        <v>8514.1700000000019</v>
      </c>
      <c r="O32" s="477"/>
      <c r="P32" s="423"/>
      <c r="Q32" s="423"/>
      <c r="R32" s="423"/>
      <c r="S32" s="423"/>
      <c r="T32" s="423"/>
      <c r="U32" s="423"/>
      <c r="V32" s="423"/>
      <c r="W32" s="423"/>
      <c r="X32" s="423"/>
      <c r="Y32" s="423"/>
      <c r="Z32" s="423"/>
      <c r="AA32" s="423"/>
      <c r="AB32" s="96"/>
      <c r="AC32" s="96"/>
    </row>
    <row r="33" spans="6:29">
      <c r="AB33" s="96"/>
      <c r="AC33" s="96"/>
    </row>
    <row r="34" spans="6:29">
      <c r="AB34" s="96"/>
      <c r="AC34" s="96"/>
    </row>
    <row r="35" spans="6:29">
      <c r="AB35" s="96"/>
      <c r="AC35" s="96"/>
    </row>
    <row r="36" spans="6:29">
      <c r="F36" s="73"/>
      <c r="G36" s="103"/>
    </row>
    <row r="37" spans="6:29">
      <c r="F37" s="73"/>
      <c r="G37" s="103"/>
    </row>
    <row r="38" spans="6:29">
      <c r="F38" s="73"/>
      <c r="G38" s="103"/>
    </row>
    <row r="39" spans="6:29">
      <c r="F39" s="73"/>
      <c r="G39" s="103"/>
    </row>
    <row r="40" spans="6:29">
      <c r="F40" s="73"/>
      <c r="G40" s="103"/>
    </row>
    <row r="41" spans="6:29">
      <c r="F41" s="73"/>
      <c r="G41" s="103"/>
    </row>
    <row r="42" spans="6:29">
      <c r="F42" s="73"/>
      <c r="G42" s="103"/>
    </row>
    <row r="43" spans="6:29">
      <c r="F43" s="73"/>
      <c r="G43" s="103"/>
    </row>
    <row r="44" spans="6:29">
      <c r="F44" s="73"/>
      <c r="G44" s="103"/>
    </row>
    <row r="45" spans="6:29">
      <c r="F45" s="73"/>
      <c r="G45" s="103"/>
    </row>
    <row r="65" spans="1:1">
      <c r="A65" s="73" t="s">
        <v>2580</v>
      </c>
    </row>
    <row r="248" spans="3:14">
      <c r="K248" s="101"/>
    </row>
    <row r="250" spans="3:14">
      <c r="C250" s="102"/>
      <c r="D250" s="102"/>
      <c r="E250" s="102"/>
      <c r="F250" s="102"/>
      <c r="G250" s="102"/>
      <c r="H250" s="102"/>
      <c r="I250" s="102"/>
      <c r="J250" s="102"/>
      <c r="K250" s="102"/>
      <c r="L250" s="102"/>
      <c r="M250" s="102"/>
      <c r="N250" s="102"/>
    </row>
    <row r="251" spans="3:14">
      <c r="C251" s="102"/>
      <c r="D251" s="102"/>
      <c r="E251" s="102"/>
      <c r="F251" s="102"/>
      <c r="G251" s="102"/>
      <c r="H251" s="102"/>
      <c r="I251" s="102"/>
      <c r="J251" s="102"/>
      <c r="K251" s="102"/>
      <c r="L251" s="102"/>
      <c r="M251" s="102"/>
      <c r="N251" s="102"/>
    </row>
    <row r="252" spans="3:14">
      <c r="C252" s="102"/>
      <c r="D252" s="102"/>
      <c r="E252" s="102"/>
      <c r="F252" s="102"/>
      <c r="G252" s="102"/>
      <c r="H252" s="102"/>
      <c r="I252" s="102"/>
      <c r="J252" s="102"/>
      <c r="K252" s="102"/>
      <c r="L252" s="102"/>
      <c r="M252" s="102"/>
      <c r="N252" s="102"/>
    </row>
    <row r="253" spans="3:14">
      <c r="C253" s="102"/>
      <c r="D253" s="102"/>
      <c r="E253" s="102"/>
      <c r="F253" s="102"/>
      <c r="G253" s="102"/>
      <c r="H253" s="102"/>
      <c r="I253" s="102"/>
      <c r="J253" s="102"/>
      <c r="K253" s="102"/>
      <c r="L253" s="102"/>
      <c r="M253" s="102"/>
      <c r="N253" s="102"/>
    </row>
    <row r="254" spans="3:14">
      <c r="C254" s="102"/>
      <c r="D254" s="102"/>
      <c r="E254" s="102"/>
      <c r="F254" s="102"/>
      <c r="G254" s="102"/>
      <c r="H254" s="102"/>
      <c r="I254" s="102"/>
      <c r="J254" s="102"/>
      <c r="K254" s="102"/>
      <c r="L254" s="102"/>
      <c r="M254" s="102"/>
      <c r="N254" s="102"/>
    </row>
    <row r="255" spans="3:14">
      <c r="C255" s="102"/>
      <c r="D255" s="102"/>
      <c r="E255" s="102"/>
      <c r="F255" s="102"/>
      <c r="G255" s="102"/>
      <c r="H255" s="102"/>
      <c r="I255" s="102"/>
      <c r="J255" s="102"/>
      <c r="K255" s="102"/>
      <c r="L255" s="102"/>
      <c r="M255" s="102"/>
      <c r="N255" s="102"/>
    </row>
    <row r="256" spans="3:14">
      <c r="C256" s="102"/>
      <c r="D256" s="102"/>
      <c r="E256" s="102"/>
      <c r="F256" s="102"/>
      <c r="G256" s="102"/>
      <c r="H256" s="102"/>
      <c r="I256" s="102"/>
      <c r="J256" s="102"/>
      <c r="K256" s="102"/>
      <c r="L256" s="102"/>
      <c r="M256" s="102"/>
      <c r="N256" s="102"/>
    </row>
    <row r="257" spans="3:14">
      <c r="C257" s="102"/>
      <c r="D257" s="102"/>
      <c r="E257" s="102"/>
      <c r="F257" s="102"/>
      <c r="G257" s="102"/>
      <c r="H257" s="102"/>
      <c r="I257" s="102"/>
      <c r="J257" s="102"/>
      <c r="K257" s="102"/>
      <c r="L257" s="102"/>
      <c r="M257" s="102"/>
      <c r="N257" s="102"/>
    </row>
    <row r="258" spans="3:14">
      <c r="C258" s="102"/>
      <c r="D258" s="102"/>
      <c r="E258" s="102"/>
      <c r="F258" s="102"/>
      <c r="G258" s="102"/>
      <c r="H258" s="102"/>
      <c r="I258" s="102"/>
      <c r="J258" s="102"/>
      <c r="K258" s="102"/>
      <c r="L258" s="102"/>
      <c r="M258" s="102"/>
      <c r="N258" s="102"/>
    </row>
    <row r="259" spans="3:14">
      <c r="C259" s="102"/>
      <c r="D259" s="102"/>
      <c r="E259" s="102"/>
      <c r="F259" s="102"/>
      <c r="G259" s="102"/>
      <c r="H259" s="102"/>
      <c r="I259" s="102"/>
      <c r="J259" s="102"/>
      <c r="K259" s="102"/>
      <c r="L259" s="102"/>
      <c r="M259" s="102"/>
      <c r="N259" s="102"/>
    </row>
    <row r="260" spans="3:14">
      <c r="C260" s="102"/>
      <c r="D260" s="102"/>
      <c r="E260" s="102"/>
      <c r="F260" s="102"/>
      <c r="G260" s="102"/>
      <c r="H260" s="102"/>
      <c r="I260" s="102"/>
      <c r="J260" s="102"/>
      <c r="K260" s="102"/>
      <c r="L260" s="102"/>
      <c r="M260" s="102"/>
      <c r="N260" s="102"/>
    </row>
    <row r="261" spans="3:14">
      <c r="C261" s="102"/>
      <c r="D261" s="102"/>
      <c r="E261" s="102"/>
      <c r="F261" s="102"/>
      <c r="G261" s="102"/>
      <c r="H261" s="102"/>
      <c r="I261" s="102"/>
      <c r="J261" s="102"/>
      <c r="K261" s="102"/>
      <c r="L261" s="102"/>
      <c r="M261" s="102"/>
      <c r="N261" s="102"/>
    </row>
    <row r="263" spans="3:14">
      <c r="C263" s="102"/>
      <c r="D263" s="102"/>
      <c r="E263" s="102"/>
      <c r="F263" s="102"/>
      <c r="G263" s="102"/>
      <c r="H263" s="102"/>
      <c r="I263" s="102"/>
      <c r="J263" s="102"/>
      <c r="K263" s="102"/>
      <c r="L263" s="102"/>
      <c r="M263" s="102"/>
      <c r="N263" s="102"/>
    </row>
    <row r="264" spans="3:14">
      <c r="C264" s="102"/>
      <c r="D264" s="102"/>
      <c r="E264" s="102"/>
      <c r="F264" s="102"/>
      <c r="G264" s="102"/>
      <c r="H264" s="102"/>
      <c r="I264" s="102"/>
      <c r="J264" s="102"/>
      <c r="K264" s="102"/>
      <c r="L264" s="102"/>
      <c r="M264" s="102"/>
      <c r="N264" s="102"/>
    </row>
    <row r="265" spans="3:14">
      <c r="C265" s="102"/>
      <c r="D265" s="102"/>
      <c r="E265" s="102"/>
      <c r="F265" s="102"/>
      <c r="G265" s="102"/>
      <c r="H265" s="102"/>
      <c r="I265" s="102"/>
      <c r="J265" s="102"/>
      <c r="K265" s="102"/>
      <c r="L265" s="102"/>
      <c r="M265" s="102"/>
      <c r="N265" s="102"/>
    </row>
    <row r="266" spans="3:14">
      <c r="C266" s="102"/>
      <c r="D266" s="102"/>
      <c r="E266" s="102"/>
      <c r="F266" s="102"/>
      <c r="G266" s="102"/>
      <c r="H266" s="102"/>
      <c r="I266" s="102"/>
      <c r="J266" s="102"/>
      <c r="K266" s="102"/>
      <c r="L266" s="102"/>
      <c r="M266" s="102"/>
      <c r="N266" s="102"/>
    </row>
    <row r="267" spans="3:14">
      <c r="C267" s="102"/>
      <c r="D267" s="102"/>
      <c r="E267" s="102"/>
      <c r="F267" s="102"/>
      <c r="G267" s="102"/>
      <c r="H267" s="102"/>
      <c r="I267" s="102"/>
      <c r="J267" s="102"/>
      <c r="K267" s="102"/>
      <c r="L267" s="102"/>
      <c r="M267" s="102"/>
      <c r="N267" s="102"/>
    </row>
    <row r="268" spans="3:14">
      <c r="C268" s="102"/>
      <c r="D268" s="102"/>
      <c r="E268" s="102"/>
      <c r="F268" s="102"/>
      <c r="G268" s="102"/>
      <c r="H268" s="102"/>
      <c r="I268" s="102"/>
      <c r="J268" s="102"/>
      <c r="K268" s="102"/>
      <c r="L268" s="102"/>
      <c r="M268" s="102"/>
      <c r="N268" s="102"/>
    </row>
    <row r="269" spans="3:14">
      <c r="C269" s="102"/>
      <c r="D269" s="102"/>
      <c r="E269" s="102"/>
      <c r="F269" s="102"/>
      <c r="G269" s="102"/>
      <c r="H269" s="102"/>
      <c r="I269" s="102"/>
      <c r="J269" s="102"/>
      <c r="K269" s="102"/>
      <c r="L269" s="102"/>
      <c r="M269" s="102"/>
      <c r="N269" s="102"/>
    </row>
    <row r="270" spans="3:14">
      <c r="C270" s="102"/>
      <c r="D270" s="102"/>
      <c r="E270" s="102"/>
      <c r="F270" s="102"/>
      <c r="G270" s="102"/>
      <c r="H270" s="102"/>
      <c r="I270" s="102"/>
      <c r="J270" s="102"/>
      <c r="K270" s="102"/>
      <c r="L270" s="102"/>
      <c r="M270" s="102"/>
      <c r="N270" s="102"/>
    </row>
    <row r="271" spans="3:14">
      <c r="C271" s="102"/>
      <c r="D271" s="102"/>
      <c r="E271" s="102"/>
      <c r="F271" s="102"/>
      <c r="G271" s="102"/>
      <c r="H271" s="102"/>
      <c r="I271" s="102"/>
      <c r="J271" s="102"/>
      <c r="K271" s="102"/>
      <c r="L271" s="102"/>
      <c r="M271" s="102"/>
      <c r="N271" s="102"/>
    </row>
    <row r="272" spans="3:14">
      <c r="C272" s="102"/>
      <c r="D272" s="102"/>
      <c r="E272" s="102"/>
      <c r="F272" s="102"/>
      <c r="G272" s="102"/>
      <c r="H272" s="102"/>
      <c r="I272" s="102"/>
      <c r="J272" s="102"/>
      <c r="K272" s="102"/>
      <c r="L272" s="102"/>
      <c r="M272" s="102"/>
      <c r="N272" s="102"/>
    </row>
    <row r="273" spans="3:14">
      <c r="C273" s="102"/>
      <c r="D273" s="102"/>
      <c r="E273" s="102"/>
      <c r="F273" s="102"/>
      <c r="G273" s="102"/>
      <c r="H273" s="102"/>
      <c r="I273" s="102"/>
      <c r="J273" s="102"/>
      <c r="K273" s="102"/>
      <c r="L273" s="102"/>
      <c r="M273" s="102"/>
      <c r="N273" s="102"/>
    </row>
    <row r="274" spans="3:14">
      <c r="C274" s="102"/>
      <c r="D274" s="102"/>
      <c r="E274" s="102"/>
      <c r="F274" s="102"/>
      <c r="G274" s="102"/>
      <c r="H274" s="102"/>
      <c r="I274" s="102"/>
      <c r="J274" s="102"/>
      <c r="K274" s="102"/>
      <c r="L274" s="102"/>
      <c r="M274" s="102"/>
      <c r="N274" s="102"/>
    </row>
  </sheetData>
  <phoneticPr fontId="11" type="noConversion"/>
  <pageMargins left="0.17" right="0.17" top="0.66" bottom="1" header="0.5" footer="0.5"/>
  <pageSetup scale="63" fitToHeight="2" orientation="landscape" r:id="rId1"/>
  <headerFooter alignWithMargins="0"/>
  <rowBreaks count="1" manualBreakCount="1">
    <brk id="29" max="13" man="1"/>
  </rowBreak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AM365"/>
  <sheetViews>
    <sheetView showGridLines="0" zoomScaleNormal="100" workbookViewId="0">
      <pane xSplit="2" ySplit="6" topLeftCell="C7" activePane="bottomRight" state="frozen"/>
      <selection activeCell="D18" sqref="D18"/>
      <selection pane="topRight" activeCell="D18" sqref="D18"/>
      <selection pane="bottomLeft" activeCell="D18" sqref="D18"/>
      <selection pane="bottomRight" activeCell="A2" sqref="A2"/>
    </sheetView>
  </sheetViews>
  <sheetFormatPr defaultColWidth="9" defaultRowHeight="12.75" customHeight="1"/>
  <cols>
    <col min="1" max="1" width="4.875" style="6" customWidth="1"/>
    <col min="2" max="2" width="17.375" style="6" customWidth="1"/>
    <col min="3" max="3" width="13.875" style="6" customWidth="1"/>
    <col min="4" max="4" width="11.5" style="6" customWidth="1"/>
    <col min="5" max="5" width="12" style="6" customWidth="1"/>
    <col min="6" max="6" width="11.5" style="6" customWidth="1"/>
    <col min="7" max="7" width="12.375" style="6" customWidth="1"/>
    <col min="8" max="8" width="11.375" style="6" customWidth="1"/>
    <col min="9" max="9" width="8" style="6" customWidth="1"/>
    <col min="10" max="10" width="11.25" style="6" customWidth="1"/>
    <col min="11" max="11" width="10.625" style="6" customWidth="1"/>
    <col min="12" max="12" width="7" style="6" customWidth="1"/>
    <col min="13" max="13" width="1.875" style="6" customWidth="1"/>
    <col min="14" max="14" width="10.375" style="6" customWidth="1"/>
    <col min="15" max="15" width="6.375" style="6" customWidth="1"/>
    <col min="16" max="16" width="10.875" style="6" customWidth="1"/>
    <col min="17" max="17" width="9.625" style="6" customWidth="1"/>
    <col min="18" max="18" width="9.375" style="6" customWidth="1"/>
    <col min="19" max="19" width="8.125" style="6" customWidth="1"/>
    <col min="20" max="20" width="10.125" style="6" customWidth="1"/>
    <col min="21" max="21" width="9.75" style="6" customWidth="1"/>
    <col min="22" max="22" width="10.875" style="6" customWidth="1"/>
    <col min="23" max="23" width="8.375" style="6" customWidth="1"/>
    <col min="24" max="24" width="11.875" style="189" customWidth="1"/>
    <col min="25" max="25" width="8.125" style="6" customWidth="1"/>
    <col min="26" max="26" width="3" style="8" customWidth="1"/>
    <col min="27" max="27" width="11.625" style="6" customWidth="1"/>
    <col min="28" max="28" width="11.875" style="6" customWidth="1"/>
    <col min="29" max="29" width="11" style="6" customWidth="1"/>
    <col min="30" max="30" width="6.375" style="6" customWidth="1"/>
    <col min="31" max="31" width="1.875" style="6" customWidth="1"/>
    <col min="32" max="32" width="12.625" style="399" hidden="1" customWidth="1"/>
    <col min="33" max="33" width="5.625" style="7" customWidth="1"/>
    <col min="34" max="34" width="14.625" style="152" bestFit="1" customWidth="1"/>
    <col min="35" max="35" width="8.125" style="6" customWidth="1"/>
    <col min="36" max="36" width="7" style="6" customWidth="1"/>
    <col min="37" max="37" width="6.5" style="6" customWidth="1"/>
    <col min="38" max="38" width="10.75" style="6" bestFit="1" customWidth="1"/>
    <col min="39" max="39" width="7.625" style="6" customWidth="1"/>
    <col min="40" max="16384" width="9" style="6"/>
  </cols>
  <sheetData>
    <row r="1" spans="1:39" s="157" customFormat="1" ht="45" hidden="1">
      <c r="A1" s="157">
        <v>1</v>
      </c>
      <c r="C1" s="157" t="s">
        <v>2219</v>
      </c>
      <c r="D1" s="157">
        <v>4</v>
      </c>
      <c r="E1" s="157" t="s">
        <v>2220</v>
      </c>
      <c r="F1" s="157">
        <v>6</v>
      </c>
      <c r="G1" s="157">
        <v>7</v>
      </c>
      <c r="H1" s="157">
        <v>8</v>
      </c>
      <c r="I1" s="157">
        <f>H1+1</f>
        <v>9</v>
      </c>
      <c r="J1" s="157">
        <f t="shared" ref="J1:M1" si="0">I1+1</f>
        <v>10</v>
      </c>
      <c r="K1" s="157">
        <f t="shared" si="0"/>
        <v>11</v>
      </c>
      <c r="L1" s="157">
        <f t="shared" si="0"/>
        <v>12</v>
      </c>
      <c r="M1" s="157">
        <f t="shared" si="0"/>
        <v>13</v>
      </c>
      <c r="N1" s="157" t="s">
        <v>2321</v>
      </c>
      <c r="O1" s="157" t="s">
        <v>2335</v>
      </c>
      <c r="P1" s="157">
        <v>16</v>
      </c>
      <c r="Q1" s="157">
        <v>17</v>
      </c>
      <c r="R1" s="157">
        <v>18</v>
      </c>
      <c r="S1" s="157">
        <v>19</v>
      </c>
      <c r="T1" s="157">
        <v>20</v>
      </c>
      <c r="U1" s="157">
        <v>21</v>
      </c>
      <c r="V1" s="157">
        <v>22</v>
      </c>
      <c r="W1" s="157">
        <v>23</v>
      </c>
      <c r="X1" s="157">
        <v>24</v>
      </c>
      <c r="Y1" s="157">
        <v>25</v>
      </c>
      <c r="Z1" s="433">
        <v>26</v>
      </c>
      <c r="AA1" s="157">
        <v>27</v>
      </c>
      <c r="AB1" s="157">
        <v>28</v>
      </c>
      <c r="AC1" s="157">
        <v>29</v>
      </c>
      <c r="AD1" s="157">
        <v>30</v>
      </c>
      <c r="AE1" s="157">
        <v>29</v>
      </c>
      <c r="AF1" s="395"/>
      <c r="AG1" s="206"/>
      <c r="AH1" s="385"/>
    </row>
    <row r="2" spans="1:39" s="134" customFormat="1" ht="12" customHeight="1">
      <c r="B2" s="135" t="s">
        <v>84</v>
      </c>
      <c r="C2" s="594"/>
      <c r="D2" s="594"/>
      <c r="E2" s="594"/>
      <c r="F2" s="594" t="s">
        <v>1588</v>
      </c>
      <c r="G2" s="594"/>
      <c r="H2" s="594"/>
      <c r="I2" s="594"/>
      <c r="J2" s="594"/>
      <c r="K2" s="594"/>
      <c r="L2" s="594"/>
      <c r="N2" s="594"/>
      <c r="O2" s="594"/>
      <c r="P2" s="595"/>
      <c r="Q2" s="594" t="s">
        <v>1589</v>
      </c>
      <c r="R2" s="594"/>
      <c r="S2" s="594"/>
      <c r="T2" s="594"/>
      <c r="U2" s="594"/>
      <c r="V2" s="594"/>
      <c r="W2" s="595"/>
      <c r="X2" s="595"/>
      <c r="Y2" s="594"/>
      <c r="Z2" s="434"/>
      <c r="AA2" s="596"/>
      <c r="AB2" s="597" t="s">
        <v>1590</v>
      </c>
      <c r="AC2" s="596"/>
      <c r="AD2" s="596"/>
      <c r="AE2" s="110"/>
      <c r="AF2" s="396"/>
      <c r="AG2" s="389"/>
      <c r="AH2" s="386"/>
    </row>
    <row r="3" spans="1:39" s="110" customFormat="1" ht="12.75" customHeight="1">
      <c r="B3" s="283" t="s">
        <v>2096</v>
      </c>
      <c r="H3" s="136"/>
      <c r="I3" s="471"/>
      <c r="O3" s="390"/>
      <c r="S3" s="107" t="s">
        <v>1597</v>
      </c>
      <c r="T3" s="107" t="s">
        <v>1598</v>
      </c>
      <c r="X3" s="349"/>
      <c r="Z3" s="435"/>
      <c r="AF3" s="397"/>
      <c r="AG3" s="390"/>
      <c r="AH3" s="387"/>
    </row>
    <row r="4" spans="1:39" s="110" customFormat="1" ht="12.75" customHeight="1">
      <c r="D4" s="107" t="s">
        <v>2121</v>
      </c>
      <c r="F4" s="107" t="s">
        <v>2122</v>
      </c>
      <c r="G4" s="134"/>
      <c r="I4" s="642"/>
      <c r="N4" s="502"/>
      <c r="O4" s="107"/>
      <c r="S4" s="122">
        <f>parameters!C18</f>
        <v>0.01</v>
      </c>
      <c r="T4" s="137">
        <f>parameters!C16</f>
        <v>2.5</v>
      </c>
      <c r="V4" s="125" t="s">
        <v>1599</v>
      </c>
      <c r="W4" s="364" t="s">
        <v>2164</v>
      </c>
      <c r="X4" s="350"/>
      <c r="Z4" s="604"/>
      <c r="AF4" s="397"/>
      <c r="AG4" s="390"/>
      <c r="AH4" s="387"/>
    </row>
    <row r="5" spans="1:39" s="107" customFormat="1" ht="12.75" customHeight="1">
      <c r="D5" s="138">
        <f>parameters!C29</f>
        <v>3.9056081035834622E-3</v>
      </c>
      <c r="F5" s="138">
        <f>parameters!C30</f>
        <v>1.4311900520431671E-2</v>
      </c>
      <c r="G5" s="134"/>
      <c r="I5" s="642"/>
      <c r="J5" s="33"/>
      <c r="S5" s="122">
        <f>parameters!C19</f>
        <v>0.02</v>
      </c>
      <c r="T5" s="137">
        <f>parameters!C17</f>
        <v>7.5</v>
      </c>
      <c r="V5" s="123">
        <f>effortred</f>
        <v>1</v>
      </c>
      <c r="W5" s="362">
        <v>1</v>
      </c>
      <c r="X5" s="110"/>
      <c r="Z5" s="605"/>
      <c r="AE5" s="110"/>
      <c r="AF5" s="398"/>
      <c r="AG5" s="531"/>
      <c r="AH5" s="532"/>
      <c r="AI5" s="608" t="s">
        <v>2175</v>
      </c>
      <c r="AJ5" s="532"/>
      <c r="AK5" s="532"/>
      <c r="AL5" s="532"/>
      <c r="AM5" s="533"/>
    </row>
    <row r="6" spans="1:39" s="121" customFormat="1" ht="60">
      <c r="A6" s="580" t="s">
        <v>57</v>
      </c>
      <c r="B6" s="580" t="s">
        <v>58</v>
      </c>
      <c r="C6" s="580" t="s">
        <v>2552</v>
      </c>
      <c r="D6" s="580" t="s">
        <v>2553</v>
      </c>
      <c r="E6" s="580" t="s">
        <v>2554</v>
      </c>
      <c r="F6" s="580" t="s">
        <v>2555</v>
      </c>
      <c r="G6" s="580" t="s">
        <v>2556</v>
      </c>
      <c r="H6" s="580" t="s">
        <v>2575</v>
      </c>
      <c r="I6" s="580" t="s">
        <v>2557</v>
      </c>
      <c r="J6" s="598" t="s">
        <v>2558</v>
      </c>
      <c r="K6" s="599" t="s">
        <v>2559</v>
      </c>
      <c r="L6" s="580" t="s">
        <v>2560</v>
      </c>
      <c r="N6" s="600" t="s">
        <v>2561</v>
      </c>
      <c r="O6" s="585" t="s">
        <v>2562</v>
      </c>
      <c r="P6" s="585" t="s">
        <v>2563</v>
      </c>
      <c r="Q6" s="585" t="s">
        <v>2564</v>
      </c>
      <c r="R6" s="585" t="s">
        <v>2565</v>
      </c>
      <c r="S6" s="585" t="s">
        <v>2566</v>
      </c>
      <c r="T6" s="585" t="s">
        <v>2567</v>
      </c>
      <c r="U6" s="585" t="s">
        <v>98</v>
      </c>
      <c r="V6" s="585" t="s">
        <v>2568</v>
      </c>
      <c r="W6" s="585" t="s">
        <v>2569</v>
      </c>
      <c r="X6" s="585" t="s">
        <v>2528</v>
      </c>
      <c r="Y6" s="601" t="s">
        <v>2570</v>
      </c>
      <c r="Z6" s="606"/>
      <c r="AA6" s="585" t="s">
        <v>2571</v>
      </c>
      <c r="AB6" s="585" t="s">
        <v>2572</v>
      </c>
      <c r="AC6" s="585" t="s">
        <v>2573</v>
      </c>
      <c r="AD6" s="585" t="s">
        <v>2574</v>
      </c>
      <c r="AE6" s="581"/>
      <c r="AF6" s="581"/>
      <c r="AG6" s="610" t="s">
        <v>2241</v>
      </c>
      <c r="AH6" s="585" t="s">
        <v>58</v>
      </c>
      <c r="AI6" s="585" t="s">
        <v>2576</v>
      </c>
      <c r="AJ6" s="585" t="s">
        <v>2577</v>
      </c>
      <c r="AK6" s="585" t="s">
        <v>2578</v>
      </c>
      <c r="AL6" s="585" t="s">
        <v>2579</v>
      </c>
      <c r="AM6" s="611" t="s">
        <v>2574</v>
      </c>
    </row>
    <row r="7" spans="1:39" ht="12.75" customHeight="1">
      <c r="A7" s="6">
        <v>1</v>
      </c>
      <c r="B7" s="6" t="s">
        <v>682</v>
      </c>
      <c r="C7" s="81">
        <v>2693823800</v>
      </c>
      <c r="D7" s="81">
        <f t="shared" ref="D7:D71" si="1">D$5*C7</f>
        <v>10521020.062905995</v>
      </c>
      <c r="E7" s="8">
        <v>725757000</v>
      </c>
      <c r="F7" s="81">
        <f>E7*F$5</f>
        <v>10386961.986006929</v>
      </c>
      <c r="G7" s="81">
        <f t="shared" ref="G7:G71" si="2">ROUND(D7+F7,0)</f>
        <v>20907982</v>
      </c>
      <c r="H7" s="127">
        <f>(SUMIF(town1755,A7,found1755)/2)</f>
        <v>34615457.736182749</v>
      </c>
      <c r="I7" s="347">
        <f>IF(H7=0,0,G7/H7)</f>
        <v>0.60400709299722366</v>
      </c>
      <c r="J7" s="33">
        <f t="shared" ref="J7:J70" si="3">ROUND(H7*maxloc,0)</f>
        <v>28557753</v>
      </c>
      <c r="K7" s="33">
        <f>MIN(G7,J7)</f>
        <v>20907982</v>
      </c>
      <c r="L7" s="126">
        <f>IF(H7&gt;0, ROUND((K7*100/H7), 2), 0)</f>
        <v>60.4</v>
      </c>
      <c r="M7" s="470"/>
      <c r="N7" s="128">
        <v>18276651</v>
      </c>
      <c r="O7" s="449">
        <v>3.3099999999999997E-2</v>
      </c>
      <c r="P7" s="33">
        <f>ROUND(N7*(1+O7),0)</f>
        <v>18881608</v>
      </c>
      <c r="Q7" s="57">
        <f>IF(H7=0,0,P7*100/H7)</f>
        <v>54.546752332162534</v>
      </c>
      <c r="R7" s="57">
        <f>IF(L7&gt;Q7,L7-Q7,0)</f>
        <v>5.853247667837465</v>
      </c>
      <c r="S7" s="88">
        <f>IF(AND(R7&gt;$T$4,R7&lt;=$T$5),$S$4,IF(R7&gt;$T$5,$S$5,0))</f>
        <v>0.01</v>
      </c>
      <c r="T7" s="33">
        <f>ROUND(S7*N7,0)</f>
        <v>182767</v>
      </c>
      <c r="U7" s="9">
        <f>MAX(P7-K7,0)</f>
        <v>0</v>
      </c>
      <c r="V7" s="9">
        <f t="shared" ref="V7:V70" si="4">MAX(U7*(V$5),0)</f>
        <v>0</v>
      </c>
      <c r="W7" s="9">
        <f>IF(AND(I7&gt;1.75,$W$5=1),MAX(K7-(P7+T7),0),0)</f>
        <v>0</v>
      </c>
      <c r="X7" s="127">
        <f>MIN(H7*parameters!C$22,ROUND(P7+T7-V7+W7,0))</f>
        <v>19064375</v>
      </c>
      <c r="Y7" s="94">
        <f>IF(H7=0,0,X7*100/H7)</f>
        <v>55.074744772398148</v>
      </c>
      <c r="Z7" s="607"/>
      <c r="AA7" s="33">
        <f>IF(Q7&lt;L7, P7-K7, 0)</f>
        <v>-2026374</v>
      </c>
      <c r="AB7" s="33">
        <f>-1*MAX(K7-(P7+T7+W7),0)</f>
        <v>-1843607</v>
      </c>
      <c r="AC7" s="33">
        <f>IF(Q7&gt;L7, X7-K7,0)</f>
        <v>0</v>
      </c>
      <c r="AD7" s="57">
        <f>Y7-L7</f>
        <v>-5.3252552276018505</v>
      </c>
      <c r="AG7" s="609" t="str">
        <f>TEXT(A7,"000")</f>
        <v>001</v>
      </c>
      <c r="AH7" s="388" t="str">
        <f>B7</f>
        <v>Abington</v>
      </c>
      <c r="AI7" s="380">
        <f>I7</f>
        <v>0.60400709299722366</v>
      </c>
      <c r="AJ7" s="381">
        <f t="shared" ref="AJ7:AJ70" si="5">L7</f>
        <v>60.4</v>
      </c>
      <c r="AK7" s="380">
        <f>O7</f>
        <v>3.3099999999999997E-2</v>
      </c>
      <c r="AL7" s="9">
        <f t="shared" ref="AL7:AL70" si="6">X7</f>
        <v>19064375</v>
      </c>
      <c r="AM7" s="57">
        <f>AD7</f>
        <v>-5.3252552276018505</v>
      </c>
    </row>
    <row r="8" spans="1:39" ht="12.75" customHeight="1">
      <c r="A8" s="6">
        <v>2</v>
      </c>
      <c r="B8" s="6" t="s">
        <v>683</v>
      </c>
      <c r="C8" s="81">
        <v>5255138400</v>
      </c>
      <c r="D8" s="81">
        <f t="shared" si="1"/>
        <v>20524511.12049263</v>
      </c>
      <c r="E8" s="8">
        <v>2210950000</v>
      </c>
      <c r="F8" s="81">
        <f>E8*F$5</f>
        <v>31642896.455648404</v>
      </c>
      <c r="G8" s="81">
        <f t="shared" si="2"/>
        <v>52167408</v>
      </c>
      <c r="H8" s="127">
        <f t="shared" ref="H8:H71" si="7">(SUMIF(town1755,A8,found1755)/2)</f>
        <v>56026427.797626257</v>
      </c>
      <c r="I8" s="347">
        <f t="shared" ref="I8:I71" si="8">IF(H8=0,0,G8/H8)</f>
        <v>0.93112143769784017</v>
      </c>
      <c r="J8" s="33">
        <f t="shared" si="3"/>
        <v>46221803</v>
      </c>
      <c r="K8" s="33">
        <f t="shared" ref="K8:K71" si="9">MIN(G8,J8)</f>
        <v>46221803</v>
      </c>
      <c r="L8" s="126">
        <f t="shared" ref="L8:L71" si="10">IF(H8&gt;0, ROUND((K8*100/H8), 2), 0)</f>
        <v>82.5</v>
      </c>
      <c r="M8" s="470"/>
      <c r="N8" s="128">
        <v>43415702</v>
      </c>
      <c r="O8" s="449">
        <v>3.8600000000000002E-2</v>
      </c>
      <c r="P8" s="33">
        <f t="shared" ref="P8:P71" si="11">ROUND(N8*(1+O8),0)</f>
        <v>45091548</v>
      </c>
      <c r="Q8" s="57">
        <f t="shared" ref="Q8:Q71" si="12">IF(H8=0,0,P8*100/H8)</f>
        <v>80.48263966226034</v>
      </c>
      <c r="R8" s="57">
        <f t="shared" ref="R8:R71" si="13">IF(L8&gt;Q8,L8-Q8,0)</f>
        <v>2.0173603377396603</v>
      </c>
      <c r="S8" s="88">
        <f t="shared" ref="S8:S71" si="14">IF(AND(R8&gt;$T$4,R8&lt;=$T$5),$S$4,IF(R8&gt;$T$5,$S$5,0))</f>
        <v>0</v>
      </c>
      <c r="T8" s="33">
        <f t="shared" ref="T8:T71" si="15">ROUND(S8*N8,0)</f>
        <v>0</v>
      </c>
      <c r="U8" s="9">
        <f t="shared" ref="U8:U71" si="16">MAX(P8-K8,0)</f>
        <v>0</v>
      </c>
      <c r="V8" s="9">
        <f t="shared" si="4"/>
        <v>0</v>
      </c>
      <c r="W8" s="9">
        <f t="shared" ref="W8:W71" si="17">IF(AND(I8&gt;1.75,$W$5=1),MAX(K8-(P8+T8),0),0)</f>
        <v>0</v>
      </c>
      <c r="X8" s="127">
        <f>MIN(H8*parameters!C$22,ROUND(P8+T8-V8+W8,0))</f>
        <v>45091548</v>
      </c>
      <c r="Y8" s="94">
        <f t="shared" ref="Y8:Y71" si="18">IF(H8=0,0,X8*100/H8)</f>
        <v>80.48263966226034</v>
      </c>
      <c r="AA8" s="33">
        <f t="shared" ref="AA8:AA71" si="19">IF(Q8&lt;L8, P8-K8, 0)</f>
        <v>-1130255</v>
      </c>
      <c r="AB8" s="33">
        <f t="shared" ref="AB8:AB71" si="20">-1*MAX(K8-(P8+T8+W8),0)</f>
        <v>-1130255</v>
      </c>
      <c r="AC8" s="33">
        <f t="shared" ref="AC8:AC71" si="21">IF(Q8&gt;L8, X8-K8,0)</f>
        <v>0</v>
      </c>
      <c r="AD8" s="57">
        <f t="shared" ref="AD8:AD71" si="22">Y8-L8</f>
        <v>-2.0173603377396603</v>
      </c>
      <c r="AG8" s="609" t="str">
        <f t="shared" ref="AG8:AG71" si="23">TEXT(A8,"000")</f>
        <v>002</v>
      </c>
      <c r="AH8" s="388" t="str">
        <f t="shared" ref="AH8:AH71" si="24">B8</f>
        <v>Acton</v>
      </c>
      <c r="AI8" s="380">
        <f t="shared" ref="AI8:AI71" si="25">I8</f>
        <v>0.93112143769784017</v>
      </c>
      <c r="AJ8" s="381">
        <f t="shared" si="5"/>
        <v>82.5</v>
      </c>
      <c r="AK8" s="380">
        <f t="shared" ref="AK8:AK71" si="26">O8</f>
        <v>3.8600000000000002E-2</v>
      </c>
      <c r="AL8" s="9">
        <f t="shared" si="6"/>
        <v>45091548</v>
      </c>
      <c r="AM8" s="57">
        <f t="shared" ref="AM8:AM71" si="27">AD8</f>
        <v>-2.0173603377396603</v>
      </c>
    </row>
    <row r="9" spans="1:39" ht="12.75" customHeight="1">
      <c r="A9" s="6">
        <v>3</v>
      </c>
      <c r="B9" s="6" t="s">
        <v>684</v>
      </c>
      <c r="C9" s="81">
        <v>1630578800</v>
      </c>
      <c r="D9" s="81">
        <f t="shared" si="1"/>
        <v>6368401.7748113973</v>
      </c>
      <c r="E9" s="8">
        <v>427553000</v>
      </c>
      <c r="F9" s="81">
        <f t="shared" ref="F9:F72" si="28">E9*F$5</f>
        <v>6119096.0032121222</v>
      </c>
      <c r="G9" s="81">
        <f t="shared" si="2"/>
        <v>12487498</v>
      </c>
      <c r="H9" s="127">
        <f t="shared" si="7"/>
        <v>19766306.253889982</v>
      </c>
      <c r="I9" s="347">
        <f>IF(H9=0,0,G9/H9)</f>
        <v>0.63175678043248362</v>
      </c>
      <c r="J9" s="33">
        <f t="shared" si="3"/>
        <v>16307203</v>
      </c>
      <c r="K9" s="33">
        <f t="shared" si="9"/>
        <v>12487498</v>
      </c>
      <c r="L9" s="126">
        <f t="shared" si="10"/>
        <v>63.18</v>
      </c>
      <c r="M9" s="470"/>
      <c r="N9" s="128">
        <v>10679653</v>
      </c>
      <c r="O9" s="449">
        <v>3.8800000000000001E-2</v>
      </c>
      <c r="P9" s="33">
        <f t="shared" si="11"/>
        <v>11094024</v>
      </c>
      <c r="Q9" s="57">
        <f t="shared" si="12"/>
        <v>56.125933988383444</v>
      </c>
      <c r="R9" s="57">
        <f t="shared" si="13"/>
        <v>7.0540660116165554</v>
      </c>
      <c r="S9" s="88">
        <f t="shared" si="14"/>
        <v>0.01</v>
      </c>
      <c r="T9" s="33">
        <f t="shared" si="15"/>
        <v>106797</v>
      </c>
      <c r="U9" s="9">
        <f t="shared" si="16"/>
        <v>0</v>
      </c>
      <c r="V9" s="9">
        <f t="shared" si="4"/>
        <v>0</v>
      </c>
      <c r="W9" s="9">
        <f t="shared" si="17"/>
        <v>0</v>
      </c>
      <c r="X9" s="127">
        <f>MIN(H9*parameters!C$22,ROUND(P9+T9-V9+W9,0))</f>
        <v>11200821</v>
      </c>
      <c r="Y9" s="94">
        <f t="shared" si="18"/>
        <v>56.666232204085645</v>
      </c>
      <c r="AA9" s="33">
        <f t="shared" si="19"/>
        <v>-1393474</v>
      </c>
      <c r="AB9" s="33">
        <f t="shared" si="20"/>
        <v>-1286677</v>
      </c>
      <c r="AC9" s="33">
        <f t="shared" si="21"/>
        <v>0</v>
      </c>
      <c r="AD9" s="57">
        <f t="shared" si="22"/>
        <v>-6.5137677959143545</v>
      </c>
      <c r="AG9" s="609" t="str">
        <f t="shared" si="23"/>
        <v>003</v>
      </c>
      <c r="AH9" s="388" t="str">
        <f t="shared" si="24"/>
        <v>Acushnet</v>
      </c>
      <c r="AI9" s="380">
        <f t="shared" si="25"/>
        <v>0.63175678043248362</v>
      </c>
      <c r="AJ9" s="381">
        <f t="shared" si="5"/>
        <v>63.18</v>
      </c>
      <c r="AK9" s="380">
        <f t="shared" si="26"/>
        <v>3.8800000000000001E-2</v>
      </c>
      <c r="AL9" s="9">
        <f t="shared" si="6"/>
        <v>11200821</v>
      </c>
      <c r="AM9" s="57">
        <f t="shared" si="27"/>
        <v>-6.5137677959143545</v>
      </c>
    </row>
    <row r="10" spans="1:39" ht="12.75" customHeight="1">
      <c r="A10" s="6">
        <v>4</v>
      </c>
      <c r="B10" s="6" t="s">
        <v>685</v>
      </c>
      <c r="C10" s="81">
        <v>593584400</v>
      </c>
      <c r="D10" s="81">
        <f t="shared" si="1"/>
        <v>2318308.0428007273</v>
      </c>
      <c r="E10" s="8">
        <v>214031000</v>
      </c>
      <c r="F10" s="81">
        <f t="shared" si="28"/>
        <v>3063190.380288511</v>
      </c>
      <c r="G10" s="81">
        <f t="shared" si="2"/>
        <v>5381498</v>
      </c>
      <c r="H10" s="127">
        <f t="shared" si="7"/>
        <v>16696571.408688985</v>
      </c>
      <c r="I10" s="347">
        <f t="shared" si="8"/>
        <v>0.32231156135441313</v>
      </c>
      <c r="J10" s="33">
        <f t="shared" si="3"/>
        <v>13774671</v>
      </c>
      <c r="K10" s="33">
        <f t="shared" si="9"/>
        <v>5381498</v>
      </c>
      <c r="L10" s="126">
        <f t="shared" si="10"/>
        <v>32.229999999999997</v>
      </c>
      <c r="M10" s="470"/>
      <c r="N10" s="128">
        <v>4840721</v>
      </c>
      <c r="O10" s="449">
        <v>3.2599999999999997E-2</v>
      </c>
      <c r="P10" s="33">
        <f t="shared" si="11"/>
        <v>4998529</v>
      </c>
      <c r="Q10" s="57">
        <f t="shared" si="12"/>
        <v>29.93745768307102</v>
      </c>
      <c r="R10" s="57">
        <f t="shared" si="13"/>
        <v>2.2925423169289765</v>
      </c>
      <c r="S10" s="88">
        <f t="shared" si="14"/>
        <v>0</v>
      </c>
      <c r="T10" s="33">
        <f t="shared" si="15"/>
        <v>0</v>
      </c>
      <c r="U10" s="9">
        <f t="shared" si="16"/>
        <v>0</v>
      </c>
      <c r="V10" s="9">
        <f t="shared" si="4"/>
        <v>0</v>
      </c>
      <c r="W10" s="9">
        <f t="shared" si="17"/>
        <v>0</v>
      </c>
      <c r="X10" s="127">
        <f>MIN(H10*parameters!C$22,ROUND(P10+T10-V10+W10,0))</f>
        <v>4998529</v>
      </c>
      <c r="Y10" s="94">
        <f t="shared" si="18"/>
        <v>29.93745768307102</v>
      </c>
      <c r="AA10" s="33">
        <f t="shared" si="19"/>
        <v>-382969</v>
      </c>
      <c r="AB10" s="33">
        <f t="shared" si="20"/>
        <v>-382969</v>
      </c>
      <c r="AC10" s="33">
        <f t="shared" si="21"/>
        <v>0</v>
      </c>
      <c r="AD10" s="57">
        <f t="shared" si="22"/>
        <v>-2.2925423169289765</v>
      </c>
      <c r="AG10" s="609" t="str">
        <f t="shared" si="23"/>
        <v>004</v>
      </c>
      <c r="AH10" s="388" t="str">
        <f t="shared" si="24"/>
        <v>Adams</v>
      </c>
      <c r="AI10" s="380">
        <f t="shared" si="25"/>
        <v>0.32231156135441313</v>
      </c>
      <c r="AJ10" s="381">
        <f t="shared" si="5"/>
        <v>32.229999999999997</v>
      </c>
      <c r="AK10" s="380">
        <f t="shared" si="26"/>
        <v>3.2599999999999997E-2</v>
      </c>
      <c r="AL10" s="9">
        <f t="shared" si="6"/>
        <v>4998529</v>
      </c>
      <c r="AM10" s="57">
        <f t="shared" si="27"/>
        <v>-2.2925423169289765</v>
      </c>
    </row>
    <row r="11" spans="1:39" ht="12.75" customHeight="1">
      <c r="A11" s="6">
        <v>5</v>
      </c>
      <c r="B11" s="6" t="s">
        <v>686</v>
      </c>
      <c r="C11" s="81">
        <v>3580768800</v>
      </c>
      <c r="D11" s="81">
        <f t="shared" si="1"/>
        <v>13985079.642338829</v>
      </c>
      <c r="E11" s="8">
        <v>1013311000</v>
      </c>
      <c r="F11" s="81">
        <f t="shared" si="28"/>
        <v>14502406.228259137</v>
      </c>
      <c r="G11" s="81">
        <f t="shared" si="2"/>
        <v>28487486</v>
      </c>
      <c r="H11" s="127">
        <f t="shared" si="7"/>
        <v>52988778.250000007</v>
      </c>
      <c r="I11" s="347">
        <f t="shared" si="8"/>
        <v>0.53761356537787308</v>
      </c>
      <c r="J11" s="33">
        <f t="shared" si="3"/>
        <v>43715742</v>
      </c>
      <c r="K11" s="33">
        <f t="shared" si="9"/>
        <v>28487486</v>
      </c>
      <c r="L11" s="126">
        <f t="shared" si="10"/>
        <v>53.76</v>
      </c>
      <c r="M11" s="470"/>
      <c r="N11" s="128">
        <v>25373043</v>
      </c>
      <c r="O11" s="449">
        <v>5.0299999999999991E-2</v>
      </c>
      <c r="P11" s="33">
        <f t="shared" si="11"/>
        <v>26649307</v>
      </c>
      <c r="Q11" s="57">
        <f t="shared" si="12"/>
        <v>50.292359779025468</v>
      </c>
      <c r="R11" s="57">
        <f t="shared" si="13"/>
        <v>3.4676402209745305</v>
      </c>
      <c r="S11" s="88">
        <f t="shared" si="14"/>
        <v>0.01</v>
      </c>
      <c r="T11" s="33">
        <f t="shared" si="15"/>
        <v>253730</v>
      </c>
      <c r="U11" s="9">
        <f t="shared" si="16"/>
        <v>0</v>
      </c>
      <c r="V11" s="9">
        <f t="shared" si="4"/>
        <v>0</v>
      </c>
      <c r="W11" s="9">
        <f t="shared" si="17"/>
        <v>0</v>
      </c>
      <c r="X11" s="127">
        <f>MIN(H11*parameters!C$22,ROUND(P11+T11-V11+W11,0))</f>
        <v>26903037</v>
      </c>
      <c r="Y11" s="94">
        <f t="shared" si="18"/>
        <v>50.771197012831671</v>
      </c>
      <c r="AA11" s="33">
        <f t="shared" si="19"/>
        <v>-1838179</v>
      </c>
      <c r="AB11" s="33">
        <f t="shared" si="20"/>
        <v>-1584449</v>
      </c>
      <c r="AC11" s="33">
        <f t="shared" si="21"/>
        <v>0</v>
      </c>
      <c r="AD11" s="57">
        <f t="shared" si="22"/>
        <v>-2.9888029871683273</v>
      </c>
      <c r="AG11" s="609" t="str">
        <f t="shared" si="23"/>
        <v>005</v>
      </c>
      <c r="AH11" s="388" t="str">
        <f t="shared" si="24"/>
        <v>Agawam</v>
      </c>
      <c r="AI11" s="380">
        <f t="shared" si="25"/>
        <v>0.53761356537787308</v>
      </c>
      <c r="AJ11" s="381">
        <f t="shared" si="5"/>
        <v>53.76</v>
      </c>
      <c r="AK11" s="380">
        <f t="shared" si="26"/>
        <v>5.0299999999999991E-2</v>
      </c>
      <c r="AL11" s="9">
        <f t="shared" si="6"/>
        <v>26903037</v>
      </c>
      <c r="AM11" s="57">
        <f t="shared" si="27"/>
        <v>-2.9888029871683273</v>
      </c>
    </row>
    <row r="12" spans="1:39" ht="12.75" customHeight="1">
      <c r="A12" s="6">
        <v>6</v>
      </c>
      <c r="B12" s="6" t="s">
        <v>687</v>
      </c>
      <c r="C12" s="81">
        <v>308074200</v>
      </c>
      <c r="D12" s="81">
        <f t="shared" si="1"/>
        <v>1203217.0920249922</v>
      </c>
      <c r="E12" s="8">
        <v>40805000</v>
      </c>
      <c r="F12" s="81">
        <f t="shared" si="28"/>
        <v>583997.10073621431</v>
      </c>
      <c r="G12" s="81">
        <f t="shared" si="2"/>
        <v>1787214</v>
      </c>
      <c r="H12" s="127">
        <f t="shared" si="7"/>
        <v>279039.06521057821</v>
      </c>
      <c r="I12" s="347">
        <f t="shared" si="8"/>
        <v>6.4048881422795416</v>
      </c>
      <c r="J12" s="33">
        <f t="shared" si="3"/>
        <v>230207</v>
      </c>
      <c r="K12" s="33">
        <f t="shared" si="9"/>
        <v>230207</v>
      </c>
      <c r="L12" s="126">
        <f t="shared" si="10"/>
        <v>82.5</v>
      </c>
      <c r="M12" s="470"/>
      <c r="N12" s="128">
        <v>229564</v>
      </c>
      <c r="O12" s="449">
        <v>3.1899999999999998E-2</v>
      </c>
      <c r="P12" s="33">
        <f t="shared" si="11"/>
        <v>236887</v>
      </c>
      <c r="Q12" s="57">
        <f t="shared" si="12"/>
        <v>84.893848042829433</v>
      </c>
      <c r="R12" s="57">
        <f t="shared" si="13"/>
        <v>0</v>
      </c>
      <c r="S12" s="88">
        <f t="shared" si="14"/>
        <v>0</v>
      </c>
      <c r="T12" s="33">
        <f t="shared" si="15"/>
        <v>0</v>
      </c>
      <c r="U12" s="9">
        <f t="shared" si="16"/>
        <v>6680</v>
      </c>
      <c r="V12" s="9">
        <f t="shared" si="4"/>
        <v>6680</v>
      </c>
      <c r="W12" s="9">
        <f t="shared" si="17"/>
        <v>0</v>
      </c>
      <c r="X12" s="127">
        <f>MIN(H12*parameters!C$22,ROUND(P12+T12-V12+W12,0))</f>
        <v>230207</v>
      </c>
      <c r="Y12" s="94">
        <f t="shared" si="18"/>
        <v>82.499918004768674</v>
      </c>
      <c r="AA12" s="33">
        <f t="shared" si="19"/>
        <v>0</v>
      </c>
      <c r="AB12" s="33">
        <f t="shared" si="20"/>
        <v>0</v>
      </c>
      <c r="AC12" s="33">
        <f t="shared" si="21"/>
        <v>0</v>
      </c>
      <c r="AD12" s="57">
        <f t="shared" si="22"/>
        <v>-8.1995231326459361E-5</v>
      </c>
      <c r="AG12" s="609" t="str">
        <f t="shared" si="23"/>
        <v>006</v>
      </c>
      <c r="AH12" s="388" t="str">
        <f t="shared" si="24"/>
        <v>Alford</v>
      </c>
      <c r="AI12" s="380">
        <f t="shared" si="25"/>
        <v>6.4048881422795416</v>
      </c>
      <c r="AJ12" s="381">
        <f t="shared" si="5"/>
        <v>82.5</v>
      </c>
      <c r="AK12" s="380">
        <f t="shared" si="26"/>
        <v>3.1899999999999998E-2</v>
      </c>
      <c r="AL12" s="9">
        <f t="shared" si="6"/>
        <v>230207</v>
      </c>
      <c r="AM12" s="57">
        <f t="shared" si="27"/>
        <v>-8.1995231326459361E-5</v>
      </c>
    </row>
    <row r="13" spans="1:39" ht="12.75" customHeight="1">
      <c r="A13" s="6">
        <v>7</v>
      </c>
      <c r="B13" s="6" t="s">
        <v>688</v>
      </c>
      <c r="C13" s="81">
        <v>2989453900</v>
      </c>
      <c r="D13" s="81">
        <f t="shared" si="1"/>
        <v>11675635.377129186</v>
      </c>
      <c r="E13" s="8">
        <v>825009000</v>
      </c>
      <c r="F13" s="81">
        <f t="shared" si="28"/>
        <v>11807446.736460812</v>
      </c>
      <c r="G13" s="81">
        <f t="shared" si="2"/>
        <v>23483082</v>
      </c>
      <c r="H13" s="127">
        <f t="shared" si="7"/>
        <v>29121417.378382921</v>
      </c>
      <c r="I13" s="347">
        <f t="shared" si="8"/>
        <v>0.80638526946946254</v>
      </c>
      <c r="J13" s="33">
        <f t="shared" si="3"/>
        <v>24025169</v>
      </c>
      <c r="K13" s="33">
        <f t="shared" si="9"/>
        <v>23483082</v>
      </c>
      <c r="L13" s="126">
        <f t="shared" si="10"/>
        <v>80.64</v>
      </c>
      <c r="M13" s="470"/>
      <c r="N13" s="128">
        <v>20012026</v>
      </c>
      <c r="O13" s="449">
        <v>3.2300000000000002E-2</v>
      </c>
      <c r="P13" s="33">
        <f t="shared" si="11"/>
        <v>20658414</v>
      </c>
      <c r="Q13" s="57">
        <f t="shared" si="12"/>
        <v>70.938902909770178</v>
      </c>
      <c r="R13" s="57">
        <f t="shared" si="13"/>
        <v>9.7010970902298226</v>
      </c>
      <c r="S13" s="88">
        <f t="shared" si="14"/>
        <v>0.02</v>
      </c>
      <c r="T13" s="33">
        <f t="shared" si="15"/>
        <v>400241</v>
      </c>
      <c r="U13" s="9">
        <f t="shared" si="16"/>
        <v>0</v>
      </c>
      <c r="V13" s="9">
        <f t="shared" si="4"/>
        <v>0</v>
      </c>
      <c r="W13" s="9">
        <f t="shared" si="17"/>
        <v>0</v>
      </c>
      <c r="X13" s="127">
        <f>MIN(H13*parameters!C$22,ROUND(P13+T13-V13+W13,0))</f>
        <v>21058655</v>
      </c>
      <c r="Y13" s="94">
        <f t="shared" si="18"/>
        <v>72.313289996770621</v>
      </c>
      <c r="AA13" s="33">
        <f t="shared" si="19"/>
        <v>-2824668</v>
      </c>
      <c r="AB13" s="33">
        <f t="shared" si="20"/>
        <v>-2424427</v>
      </c>
      <c r="AC13" s="33">
        <f t="shared" si="21"/>
        <v>0</v>
      </c>
      <c r="AD13" s="57">
        <f t="shared" si="22"/>
        <v>-8.3267100032293797</v>
      </c>
      <c r="AG13" s="609" t="str">
        <f t="shared" si="23"/>
        <v>007</v>
      </c>
      <c r="AH13" s="388" t="str">
        <f t="shared" si="24"/>
        <v>Amesbury</v>
      </c>
      <c r="AI13" s="380">
        <f t="shared" si="25"/>
        <v>0.80638526946946254</v>
      </c>
      <c r="AJ13" s="381">
        <f t="shared" si="5"/>
        <v>80.64</v>
      </c>
      <c r="AK13" s="380">
        <f t="shared" si="26"/>
        <v>3.2300000000000002E-2</v>
      </c>
      <c r="AL13" s="9">
        <f t="shared" si="6"/>
        <v>21058655</v>
      </c>
      <c r="AM13" s="57">
        <f t="shared" si="27"/>
        <v>-8.3267100032293797</v>
      </c>
    </row>
    <row r="14" spans="1:39" ht="12.75" customHeight="1">
      <c r="A14" s="6">
        <v>8</v>
      </c>
      <c r="B14" s="6" t="s">
        <v>689</v>
      </c>
      <c r="C14" s="81">
        <v>2913802400</v>
      </c>
      <c r="D14" s="81">
        <f t="shared" si="1"/>
        <v>11380170.265680941</v>
      </c>
      <c r="E14" s="8">
        <v>952563000</v>
      </c>
      <c r="F14" s="81">
        <f t="shared" si="28"/>
        <v>13632986.895443954</v>
      </c>
      <c r="G14" s="81">
        <f t="shared" si="2"/>
        <v>25013157</v>
      </c>
      <c r="H14" s="127">
        <f t="shared" si="7"/>
        <v>27410644.260186989</v>
      </c>
      <c r="I14" s="347">
        <f t="shared" si="8"/>
        <v>0.91253444328306954</v>
      </c>
      <c r="J14" s="33">
        <f t="shared" si="3"/>
        <v>22613782</v>
      </c>
      <c r="K14" s="33">
        <f t="shared" si="9"/>
        <v>22613782</v>
      </c>
      <c r="L14" s="126">
        <f t="shared" si="10"/>
        <v>82.5</v>
      </c>
      <c r="M14" s="470"/>
      <c r="N14" s="128">
        <v>22289606</v>
      </c>
      <c r="O14" s="449">
        <v>3.6700000000000003E-2</v>
      </c>
      <c r="P14" s="33">
        <f t="shared" si="11"/>
        <v>23107635</v>
      </c>
      <c r="Q14" s="57">
        <f t="shared" si="12"/>
        <v>84.30168507043463</v>
      </c>
      <c r="R14" s="57">
        <f t="shared" si="13"/>
        <v>0</v>
      </c>
      <c r="S14" s="88">
        <f t="shared" si="14"/>
        <v>0</v>
      </c>
      <c r="T14" s="33">
        <f t="shared" si="15"/>
        <v>0</v>
      </c>
      <c r="U14" s="9">
        <f t="shared" si="16"/>
        <v>493853</v>
      </c>
      <c r="V14" s="9">
        <f t="shared" si="4"/>
        <v>493853</v>
      </c>
      <c r="W14" s="9">
        <f t="shared" si="17"/>
        <v>0</v>
      </c>
      <c r="X14" s="127">
        <f>MIN(H14*parameters!C$22,ROUND(P14+T14-V14+W14,0))</f>
        <v>22613782</v>
      </c>
      <c r="Y14" s="94">
        <f t="shared" si="18"/>
        <v>82.500001770646946</v>
      </c>
      <c r="AA14" s="33">
        <f t="shared" si="19"/>
        <v>0</v>
      </c>
      <c r="AB14" s="33">
        <f t="shared" si="20"/>
        <v>0</v>
      </c>
      <c r="AC14" s="33">
        <f t="shared" si="21"/>
        <v>0</v>
      </c>
      <c r="AD14" s="57">
        <f t="shared" si="22"/>
        <v>1.7706469463973917E-6</v>
      </c>
      <c r="AG14" s="609" t="str">
        <f t="shared" si="23"/>
        <v>008</v>
      </c>
      <c r="AH14" s="388" t="str">
        <f t="shared" si="24"/>
        <v>Amherst</v>
      </c>
      <c r="AI14" s="380">
        <f t="shared" si="25"/>
        <v>0.91253444328306954</v>
      </c>
      <c r="AJ14" s="381">
        <f t="shared" si="5"/>
        <v>82.5</v>
      </c>
      <c r="AK14" s="380">
        <f t="shared" si="26"/>
        <v>3.6700000000000003E-2</v>
      </c>
      <c r="AL14" s="9">
        <f t="shared" si="6"/>
        <v>22613782</v>
      </c>
      <c r="AM14" s="57">
        <f t="shared" si="27"/>
        <v>1.7706469463973917E-6</v>
      </c>
    </row>
    <row r="15" spans="1:39" ht="12.75" customHeight="1">
      <c r="A15" s="6">
        <v>9</v>
      </c>
      <c r="B15" s="6" t="s">
        <v>690</v>
      </c>
      <c r="C15" s="81">
        <v>10204123200</v>
      </c>
      <c r="D15" s="81">
        <f t="shared" si="1"/>
        <v>39853306.259884007</v>
      </c>
      <c r="E15" s="8">
        <v>4352871000</v>
      </c>
      <c r="F15" s="81">
        <f t="shared" si="28"/>
        <v>62297856.730271928</v>
      </c>
      <c r="G15" s="81">
        <f t="shared" si="2"/>
        <v>102151163</v>
      </c>
      <c r="H15" s="127">
        <f t="shared" si="7"/>
        <v>73868962.241867244</v>
      </c>
      <c r="I15" s="347">
        <f t="shared" si="8"/>
        <v>1.3828698806615027</v>
      </c>
      <c r="J15" s="33">
        <f t="shared" si="3"/>
        <v>60941894</v>
      </c>
      <c r="K15" s="33">
        <f t="shared" si="9"/>
        <v>60941894</v>
      </c>
      <c r="L15" s="126">
        <f t="shared" si="10"/>
        <v>82.5</v>
      </c>
      <c r="M15" s="470"/>
      <c r="N15" s="128">
        <v>59359726</v>
      </c>
      <c r="O15" s="449">
        <v>3.5999999999999997E-2</v>
      </c>
      <c r="P15" s="33">
        <f t="shared" si="11"/>
        <v>61496676</v>
      </c>
      <c r="Q15" s="57">
        <f t="shared" si="12"/>
        <v>83.251035527808028</v>
      </c>
      <c r="R15" s="57">
        <f t="shared" si="13"/>
        <v>0</v>
      </c>
      <c r="S15" s="88">
        <f t="shared" si="14"/>
        <v>0</v>
      </c>
      <c r="T15" s="33">
        <f t="shared" si="15"/>
        <v>0</v>
      </c>
      <c r="U15" s="9">
        <f t="shared" si="16"/>
        <v>554782</v>
      </c>
      <c r="V15" s="9">
        <f t="shared" si="4"/>
        <v>554782</v>
      </c>
      <c r="W15" s="9">
        <f t="shared" si="17"/>
        <v>0</v>
      </c>
      <c r="X15" s="127">
        <f>MIN(H15*parameters!C$22,ROUND(P15+T15-V15+W15,0))</f>
        <v>60941894</v>
      </c>
      <c r="Y15" s="94">
        <f t="shared" si="18"/>
        <v>82.500000203684365</v>
      </c>
      <c r="AA15" s="33">
        <f t="shared" si="19"/>
        <v>0</v>
      </c>
      <c r="AB15" s="33">
        <f t="shared" si="20"/>
        <v>0</v>
      </c>
      <c r="AC15" s="33">
        <f t="shared" si="21"/>
        <v>0</v>
      </c>
      <c r="AD15" s="57">
        <f t="shared" si="22"/>
        <v>2.0368436537410162E-7</v>
      </c>
      <c r="AG15" s="609" t="str">
        <f t="shared" si="23"/>
        <v>009</v>
      </c>
      <c r="AH15" s="388" t="str">
        <f t="shared" si="24"/>
        <v>Andover</v>
      </c>
      <c r="AI15" s="380">
        <f t="shared" si="25"/>
        <v>1.3828698806615027</v>
      </c>
      <c r="AJ15" s="381">
        <f t="shared" si="5"/>
        <v>82.5</v>
      </c>
      <c r="AK15" s="380">
        <f t="shared" si="26"/>
        <v>3.5999999999999997E-2</v>
      </c>
      <c r="AL15" s="9">
        <f t="shared" si="6"/>
        <v>60941894</v>
      </c>
      <c r="AM15" s="57">
        <f t="shared" si="27"/>
        <v>2.0368436537410162E-7</v>
      </c>
    </row>
    <row r="16" spans="1:39" ht="12.75" customHeight="1">
      <c r="A16" s="6">
        <v>10</v>
      </c>
      <c r="B16" s="6" t="s">
        <v>691</v>
      </c>
      <c r="C16" s="81">
        <v>13535163100</v>
      </c>
      <c r="D16" s="81">
        <f t="shared" si="1"/>
        <v>52863042.686683856</v>
      </c>
      <c r="E16" s="8">
        <v>4037248000</v>
      </c>
      <c r="F16" s="81">
        <f t="shared" si="28"/>
        <v>57780691.752311721</v>
      </c>
      <c r="G16" s="81">
        <f t="shared" si="2"/>
        <v>110643734</v>
      </c>
      <c r="H16" s="127">
        <f t="shared" si="7"/>
        <v>81960405.816234365</v>
      </c>
      <c r="I16" s="347">
        <f t="shared" si="8"/>
        <v>1.3499656681553931</v>
      </c>
      <c r="J16" s="33">
        <f t="shared" si="3"/>
        <v>67617335</v>
      </c>
      <c r="K16" s="33">
        <f t="shared" si="9"/>
        <v>67617335</v>
      </c>
      <c r="L16" s="126">
        <f t="shared" si="10"/>
        <v>82.5</v>
      </c>
      <c r="M16" s="470"/>
      <c r="N16" s="128">
        <v>59605871</v>
      </c>
      <c r="O16" s="449">
        <v>3.56E-2</v>
      </c>
      <c r="P16" s="33">
        <f t="shared" si="11"/>
        <v>61727840</v>
      </c>
      <c r="Q16" s="57">
        <f t="shared" si="12"/>
        <v>75.314219573780122</v>
      </c>
      <c r="R16" s="57">
        <f t="shared" si="13"/>
        <v>7.1857804262198783</v>
      </c>
      <c r="S16" s="88">
        <f t="shared" si="14"/>
        <v>0.01</v>
      </c>
      <c r="T16" s="33">
        <f t="shared" si="15"/>
        <v>596059</v>
      </c>
      <c r="U16" s="9">
        <f t="shared" si="16"/>
        <v>0</v>
      </c>
      <c r="V16" s="9">
        <f t="shared" si="4"/>
        <v>0</v>
      </c>
      <c r="W16" s="9">
        <f t="shared" si="17"/>
        <v>0</v>
      </c>
      <c r="X16" s="127">
        <f>MIN(H16*parameters!C$22,ROUND(P16+T16-V16+W16,0))</f>
        <v>62323899</v>
      </c>
      <c r="Y16" s="94">
        <f t="shared" si="18"/>
        <v>76.041471951393333</v>
      </c>
      <c r="AA16" s="33">
        <f t="shared" si="19"/>
        <v>-5889495</v>
      </c>
      <c r="AB16" s="33">
        <f t="shared" si="20"/>
        <v>-5293436</v>
      </c>
      <c r="AC16" s="33">
        <f t="shared" si="21"/>
        <v>0</v>
      </c>
      <c r="AD16" s="57">
        <f t="shared" si="22"/>
        <v>-6.4585280486066665</v>
      </c>
      <c r="AG16" s="609" t="str">
        <f t="shared" si="23"/>
        <v>010</v>
      </c>
      <c r="AH16" s="388" t="str">
        <f t="shared" si="24"/>
        <v>Arlington</v>
      </c>
      <c r="AI16" s="380">
        <f t="shared" si="25"/>
        <v>1.3499656681553931</v>
      </c>
      <c r="AJ16" s="381">
        <f t="shared" si="5"/>
        <v>82.5</v>
      </c>
      <c r="AK16" s="380">
        <f t="shared" si="26"/>
        <v>3.56E-2</v>
      </c>
      <c r="AL16" s="9">
        <f t="shared" si="6"/>
        <v>62323899</v>
      </c>
      <c r="AM16" s="57">
        <f t="shared" si="27"/>
        <v>-6.4585280486066665</v>
      </c>
    </row>
    <row r="17" spans="1:39" ht="12.75" customHeight="1">
      <c r="A17" s="6">
        <v>11</v>
      </c>
      <c r="B17" s="6" t="s">
        <v>692</v>
      </c>
      <c r="C17" s="81">
        <v>852436100</v>
      </c>
      <c r="D17" s="81">
        <f t="shared" si="1"/>
        <v>3329281.3399470826</v>
      </c>
      <c r="E17" s="8">
        <v>252007000</v>
      </c>
      <c r="F17" s="81">
        <f t="shared" si="28"/>
        <v>3606699.114452424</v>
      </c>
      <c r="G17" s="81">
        <f t="shared" si="2"/>
        <v>6935980</v>
      </c>
      <c r="H17" s="127">
        <f t="shared" si="7"/>
        <v>14307953.288683815</v>
      </c>
      <c r="I17" s="347">
        <f t="shared" si="8"/>
        <v>0.48476395331019695</v>
      </c>
      <c r="J17" s="33">
        <f t="shared" si="3"/>
        <v>11804061</v>
      </c>
      <c r="K17" s="33">
        <f t="shared" si="9"/>
        <v>6935980</v>
      </c>
      <c r="L17" s="126">
        <f t="shared" si="10"/>
        <v>48.48</v>
      </c>
      <c r="M17" s="470"/>
      <c r="N17" s="128">
        <v>6256339</v>
      </c>
      <c r="O17" s="449">
        <v>3.9199999999999999E-2</v>
      </c>
      <c r="P17" s="33">
        <f t="shared" si="11"/>
        <v>6501587</v>
      </c>
      <c r="Q17" s="57">
        <f t="shared" si="12"/>
        <v>45.440370602426526</v>
      </c>
      <c r="R17" s="57">
        <f t="shared" si="13"/>
        <v>3.0396293975734707</v>
      </c>
      <c r="S17" s="88">
        <f t="shared" si="14"/>
        <v>0.01</v>
      </c>
      <c r="T17" s="33">
        <f t="shared" si="15"/>
        <v>62563</v>
      </c>
      <c r="U17" s="9">
        <f t="shared" si="16"/>
        <v>0</v>
      </c>
      <c r="V17" s="9">
        <f t="shared" si="4"/>
        <v>0</v>
      </c>
      <c r="W17" s="9">
        <f t="shared" si="17"/>
        <v>0</v>
      </c>
      <c r="X17" s="127">
        <f>MIN(H17*parameters!C$22,ROUND(P17+T17-V17+W17,0))</f>
        <v>6564150</v>
      </c>
      <c r="Y17" s="94">
        <f t="shared" si="18"/>
        <v>45.877630906103093</v>
      </c>
      <c r="AA17" s="33">
        <f t="shared" si="19"/>
        <v>-434393</v>
      </c>
      <c r="AB17" s="33">
        <f t="shared" si="20"/>
        <v>-371830</v>
      </c>
      <c r="AC17" s="33">
        <f t="shared" si="21"/>
        <v>0</v>
      </c>
      <c r="AD17" s="57">
        <f t="shared" si="22"/>
        <v>-2.602369093896904</v>
      </c>
      <c r="AG17" s="609" t="str">
        <f t="shared" si="23"/>
        <v>011</v>
      </c>
      <c r="AH17" s="388" t="str">
        <f t="shared" si="24"/>
        <v>Ashburnham</v>
      </c>
      <c r="AI17" s="380">
        <f t="shared" si="25"/>
        <v>0.48476395331019695</v>
      </c>
      <c r="AJ17" s="381">
        <f t="shared" si="5"/>
        <v>48.48</v>
      </c>
      <c r="AK17" s="380">
        <f t="shared" si="26"/>
        <v>3.9199999999999999E-2</v>
      </c>
      <c r="AL17" s="9">
        <f t="shared" si="6"/>
        <v>6564150</v>
      </c>
      <c r="AM17" s="57">
        <f t="shared" si="27"/>
        <v>-2.602369093896904</v>
      </c>
    </row>
    <row r="18" spans="1:39" ht="12.75" customHeight="1">
      <c r="A18" s="6">
        <v>12</v>
      </c>
      <c r="B18" s="6" t="s">
        <v>693</v>
      </c>
      <c r="C18" s="81">
        <v>417224700</v>
      </c>
      <c r="D18" s="81">
        <f t="shared" si="1"/>
        <v>1629516.169335179</v>
      </c>
      <c r="E18" s="8">
        <v>121033000</v>
      </c>
      <c r="F18" s="81">
        <f t="shared" si="28"/>
        <v>1732212.2556894063</v>
      </c>
      <c r="G18" s="81">
        <f t="shared" si="2"/>
        <v>3361728</v>
      </c>
      <c r="H18" s="127">
        <f t="shared" si="7"/>
        <v>6079883.0043758042</v>
      </c>
      <c r="I18" s="347">
        <f t="shared" si="8"/>
        <v>0.55292642927183011</v>
      </c>
      <c r="J18" s="33">
        <f t="shared" si="3"/>
        <v>5015903</v>
      </c>
      <c r="K18" s="33">
        <f t="shared" si="9"/>
        <v>3361728</v>
      </c>
      <c r="L18" s="126">
        <f t="shared" si="10"/>
        <v>55.29</v>
      </c>
      <c r="M18" s="470"/>
      <c r="N18" s="128">
        <v>2992812</v>
      </c>
      <c r="O18" s="449">
        <v>4.5499999999999999E-2</v>
      </c>
      <c r="P18" s="33">
        <f t="shared" si="11"/>
        <v>3128985</v>
      </c>
      <c r="Q18" s="57">
        <f t="shared" si="12"/>
        <v>51.464559396093833</v>
      </c>
      <c r="R18" s="57">
        <f t="shared" si="13"/>
        <v>3.8254406039061664</v>
      </c>
      <c r="S18" s="88">
        <f t="shared" si="14"/>
        <v>0.01</v>
      </c>
      <c r="T18" s="33">
        <f t="shared" si="15"/>
        <v>29928</v>
      </c>
      <c r="U18" s="9">
        <f t="shared" si="16"/>
        <v>0</v>
      </c>
      <c r="V18" s="9">
        <f t="shared" si="4"/>
        <v>0</v>
      </c>
      <c r="W18" s="9">
        <f t="shared" si="17"/>
        <v>0</v>
      </c>
      <c r="X18" s="127">
        <f>MIN(H18*parameters!C$22,ROUND(P18+T18-V18+W18,0))</f>
        <v>3158913</v>
      </c>
      <c r="Y18" s="94">
        <f t="shared" si="18"/>
        <v>51.956805710347915</v>
      </c>
      <c r="AA18" s="33">
        <f t="shared" si="19"/>
        <v>-232743</v>
      </c>
      <c r="AB18" s="33">
        <f t="shared" si="20"/>
        <v>-202815</v>
      </c>
      <c r="AC18" s="33">
        <f t="shared" si="21"/>
        <v>0</v>
      </c>
      <c r="AD18" s="57">
        <f t="shared" si="22"/>
        <v>-3.3331942896520843</v>
      </c>
      <c r="AG18" s="609" t="str">
        <f t="shared" si="23"/>
        <v>012</v>
      </c>
      <c r="AH18" s="388" t="str">
        <f t="shared" si="24"/>
        <v>Ashby</v>
      </c>
      <c r="AI18" s="380">
        <f t="shared" si="25"/>
        <v>0.55292642927183011</v>
      </c>
      <c r="AJ18" s="381">
        <f t="shared" si="5"/>
        <v>55.29</v>
      </c>
      <c r="AK18" s="380">
        <f t="shared" si="26"/>
        <v>4.5499999999999999E-2</v>
      </c>
      <c r="AL18" s="9">
        <f t="shared" si="6"/>
        <v>3158913</v>
      </c>
      <c r="AM18" s="57">
        <f t="shared" si="27"/>
        <v>-3.3331942896520843</v>
      </c>
    </row>
    <row r="19" spans="1:39" ht="12.75" customHeight="1">
      <c r="A19" s="6">
        <v>13</v>
      </c>
      <c r="B19" s="6" t="s">
        <v>694</v>
      </c>
      <c r="C19" s="81">
        <v>293407600</v>
      </c>
      <c r="D19" s="81">
        <f t="shared" si="1"/>
        <v>1145935.1002129749</v>
      </c>
      <c r="E19" s="8">
        <v>82357000</v>
      </c>
      <c r="F19" s="81">
        <f t="shared" si="28"/>
        <v>1178685.1911611911</v>
      </c>
      <c r="G19" s="81">
        <f t="shared" si="2"/>
        <v>2324620</v>
      </c>
      <c r="H19" s="127">
        <f t="shared" si="7"/>
        <v>2352337.9625007357</v>
      </c>
      <c r="I19" s="347">
        <f t="shared" si="8"/>
        <v>0.98821684513764807</v>
      </c>
      <c r="J19" s="33">
        <f t="shared" si="3"/>
        <v>1940679</v>
      </c>
      <c r="K19" s="33">
        <f t="shared" si="9"/>
        <v>1940679</v>
      </c>
      <c r="L19" s="126">
        <f t="shared" si="10"/>
        <v>82.5</v>
      </c>
      <c r="M19" s="470"/>
      <c r="N19" s="128">
        <v>1608103</v>
      </c>
      <c r="O19" s="449">
        <v>5.0299999999999991E-2</v>
      </c>
      <c r="P19" s="33">
        <f t="shared" si="11"/>
        <v>1688991</v>
      </c>
      <c r="Q19" s="57">
        <f t="shared" si="12"/>
        <v>71.800524708807515</v>
      </c>
      <c r="R19" s="57">
        <f t="shared" si="13"/>
        <v>10.699475291192485</v>
      </c>
      <c r="S19" s="88">
        <f t="shared" si="14"/>
        <v>0.02</v>
      </c>
      <c r="T19" s="33">
        <f t="shared" si="15"/>
        <v>32162</v>
      </c>
      <c r="U19" s="9">
        <f t="shared" si="16"/>
        <v>0</v>
      </c>
      <c r="V19" s="9">
        <f t="shared" si="4"/>
        <v>0</v>
      </c>
      <c r="W19" s="9">
        <f t="shared" si="17"/>
        <v>0</v>
      </c>
      <c r="X19" s="127">
        <f>MIN(H19*parameters!C$22,ROUND(P19+T19-V19+W19,0))</f>
        <v>1721153</v>
      </c>
      <c r="Y19" s="94">
        <f t="shared" si="18"/>
        <v>73.167760221421062</v>
      </c>
      <c r="AA19" s="33">
        <f t="shared" si="19"/>
        <v>-251688</v>
      </c>
      <c r="AB19" s="33">
        <f t="shared" si="20"/>
        <v>-219526</v>
      </c>
      <c r="AC19" s="33">
        <f t="shared" si="21"/>
        <v>0</v>
      </c>
      <c r="AD19" s="57">
        <f t="shared" si="22"/>
        <v>-9.3322397785789377</v>
      </c>
      <c r="AG19" s="609" t="str">
        <f t="shared" si="23"/>
        <v>013</v>
      </c>
      <c r="AH19" s="388" t="str">
        <f t="shared" si="24"/>
        <v>Ashfield</v>
      </c>
      <c r="AI19" s="380">
        <f t="shared" si="25"/>
        <v>0.98821684513764807</v>
      </c>
      <c r="AJ19" s="381">
        <f t="shared" si="5"/>
        <v>82.5</v>
      </c>
      <c r="AK19" s="380">
        <f t="shared" si="26"/>
        <v>5.0299999999999991E-2</v>
      </c>
      <c r="AL19" s="9">
        <f t="shared" si="6"/>
        <v>1721153</v>
      </c>
      <c r="AM19" s="57">
        <f t="shared" si="27"/>
        <v>-9.3322397785789377</v>
      </c>
    </row>
    <row r="20" spans="1:39" ht="12.75" customHeight="1">
      <c r="A20" s="6">
        <v>14</v>
      </c>
      <c r="B20" s="6" t="s">
        <v>695</v>
      </c>
      <c r="C20" s="81">
        <v>3593981200</v>
      </c>
      <c r="D20" s="81">
        <f t="shared" si="1"/>
        <v>14036682.098846616</v>
      </c>
      <c r="E20" s="8">
        <v>1254293000</v>
      </c>
      <c r="F20" s="81">
        <f t="shared" si="28"/>
        <v>17951316.6394738</v>
      </c>
      <c r="G20" s="81">
        <f t="shared" si="2"/>
        <v>31987999</v>
      </c>
      <c r="H20" s="127">
        <f t="shared" si="7"/>
        <v>39226711.070652872</v>
      </c>
      <c r="I20" s="347">
        <f t="shared" si="8"/>
        <v>0.81546472102606504</v>
      </c>
      <c r="J20" s="33">
        <f t="shared" si="3"/>
        <v>32362037</v>
      </c>
      <c r="K20" s="33">
        <f t="shared" si="9"/>
        <v>31987999</v>
      </c>
      <c r="L20" s="126">
        <f t="shared" si="10"/>
        <v>81.55</v>
      </c>
      <c r="M20" s="470"/>
      <c r="N20" s="128">
        <v>26422222</v>
      </c>
      <c r="O20" s="449">
        <v>3.32E-2</v>
      </c>
      <c r="P20" s="33">
        <f t="shared" si="11"/>
        <v>27299440</v>
      </c>
      <c r="Q20" s="57">
        <f t="shared" si="12"/>
        <v>69.594006876665844</v>
      </c>
      <c r="R20" s="57">
        <f t="shared" si="13"/>
        <v>11.955993123334153</v>
      </c>
      <c r="S20" s="88">
        <f t="shared" si="14"/>
        <v>0.02</v>
      </c>
      <c r="T20" s="33">
        <f t="shared" si="15"/>
        <v>528444</v>
      </c>
      <c r="U20" s="9">
        <f t="shared" si="16"/>
        <v>0</v>
      </c>
      <c r="V20" s="9">
        <f t="shared" si="4"/>
        <v>0</v>
      </c>
      <c r="W20" s="9">
        <f t="shared" si="17"/>
        <v>0</v>
      </c>
      <c r="X20" s="127">
        <f>MIN(H20*parameters!C$22,ROUND(P20+T20-V20+W20,0))</f>
        <v>27827884</v>
      </c>
      <c r="Y20" s="94">
        <f t="shared" si="18"/>
        <v>70.94116034830968</v>
      </c>
      <c r="AA20" s="33">
        <f t="shared" si="19"/>
        <v>-4688559</v>
      </c>
      <c r="AB20" s="33">
        <f t="shared" si="20"/>
        <v>-4160115</v>
      </c>
      <c r="AC20" s="33">
        <f t="shared" si="21"/>
        <v>0</v>
      </c>
      <c r="AD20" s="57">
        <f t="shared" si="22"/>
        <v>-10.608839651690317</v>
      </c>
      <c r="AG20" s="609" t="str">
        <f t="shared" si="23"/>
        <v>014</v>
      </c>
      <c r="AH20" s="388" t="str">
        <f t="shared" si="24"/>
        <v>Ashland</v>
      </c>
      <c r="AI20" s="380">
        <f t="shared" si="25"/>
        <v>0.81546472102606504</v>
      </c>
      <c r="AJ20" s="381">
        <f t="shared" si="5"/>
        <v>81.55</v>
      </c>
      <c r="AK20" s="380">
        <f t="shared" si="26"/>
        <v>3.32E-2</v>
      </c>
      <c r="AL20" s="9">
        <f t="shared" si="6"/>
        <v>27827884</v>
      </c>
      <c r="AM20" s="57">
        <f t="shared" si="27"/>
        <v>-10.608839651690317</v>
      </c>
    </row>
    <row r="21" spans="1:39" ht="12.75" customHeight="1">
      <c r="A21" s="6">
        <v>15</v>
      </c>
      <c r="B21" s="6" t="s">
        <v>696</v>
      </c>
      <c r="C21" s="81">
        <v>1060563000</v>
      </c>
      <c r="D21" s="81">
        <f t="shared" si="1"/>
        <v>4142143.4471607874</v>
      </c>
      <c r="E21" s="8">
        <v>297621000</v>
      </c>
      <c r="F21" s="81">
        <f t="shared" si="28"/>
        <v>4259522.1447913945</v>
      </c>
      <c r="G21" s="81">
        <f t="shared" si="2"/>
        <v>8401666</v>
      </c>
      <c r="H21" s="127">
        <f t="shared" si="7"/>
        <v>28908222.919184342</v>
      </c>
      <c r="I21" s="347">
        <f t="shared" si="8"/>
        <v>0.29063239284848635</v>
      </c>
      <c r="J21" s="33">
        <f t="shared" si="3"/>
        <v>23849284</v>
      </c>
      <c r="K21" s="33">
        <f t="shared" si="9"/>
        <v>8401666</v>
      </c>
      <c r="L21" s="126">
        <f t="shared" si="10"/>
        <v>29.06</v>
      </c>
      <c r="M21" s="470"/>
      <c r="N21" s="128">
        <v>4052122</v>
      </c>
      <c r="O21" s="449">
        <v>5.3900000000000003E-2</v>
      </c>
      <c r="P21" s="33">
        <f t="shared" si="11"/>
        <v>4270531</v>
      </c>
      <c r="Q21" s="57">
        <f t="shared" si="12"/>
        <v>14.772720592125886</v>
      </c>
      <c r="R21" s="57">
        <f t="shared" si="13"/>
        <v>14.287279407874113</v>
      </c>
      <c r="S21" s="88">
        <f t="shared" si="14"/>
        <v>0.02</v>
      </c>
      <c r="T21" s="33">
        <f t="shared" si="15"/>
        <v>81042</v>
      </c>
      <c r="U21" s="9">
        <f t="shared" si="16"/>
        <v>0</v>
      </c>
      <c r="V21" s="9">
        <f t="shared" si="4"/>
        <v>0</v>
      </c>
      <c r="W21" s="9">
        <f t="shared" si="17"/>
        <v>0</v>
      </c>
      <c r="X21" s="127">
        <f>MIN(H21*parameters!C$22,ROUND(P21+T21-V21+W21,0))</f>
        <v>4351573</v>
      </c>
      <c r="Y21" s="94">
        <f t="shared" si="18"/>
        <v>15.05306297161618</v>
      </c>
      <c r="AA21" s="33">
        <f t="shared" si="19"/>
        <v>-4131135</v>
      </c>
      <c r="AB21" s="33">
        <f t="shared" si="20"/>
        <v>-4050093</v>
      </c>
      <c r="AC21" s="33">
        <f t="shared" si="21"/>
        <v>0</v>
      </c>
      <c r="AD21" s="57">
        <f t="shared" si="22"/>
        <v>-14.006937028383819</v>
      </c>
      <c r="AG21" s="609" t="str">
        <f t="shared" si="23"/>
        <v>015</v>
      </c>
      <c r="AH21" s="388" t="str">
        <f t="shared" si="24"/>
        <v>Athol</v>
      </c>
      <c r="AI21" s="380">
        <f t="shared" si="25"/>
        <v>0.29063239284848635</v>
      </c>
      <c r="AJ21" s="381">
        <f t="shared" si="5"/>
        <v>29.06</v>
      </c>
      <c r="AK21" s="380">
        <f t="shared" si="26"/>
        <v>5.3900000000000003E-2</v>
      </c>
      <c r="AL21" s="9">
        <f t="shared" si="6"/>
        <v>4351573</v>
      </c>
      <c r="AM21" s="57">
        <f t="shared" si="27"/>
        <v>-14.006937028383819</v>
      </c>
    </row>
    <row r="22" spans="1:39" ht="12.75" customHeight="1">
      <c r="A22" s="6">
        <v>16</v>
      </c>
      <c r="B22" s="6" t="s">
        <v>697</v>
      </c>
      <c r="C22" s="81">
        <v>5949246000</v>
      </c>
      <c r="D22" s="81">
        <f t="shared" si="1"/>
        <v>23235423.387811497</v>
      </c>
      <c r="E22" s="8">
        <v>1863620000</v>
      </c>
      <c r="F22" s="81">
        <f t="shared" si="28"/>
        <v>26671944.047886871</v>
      </c>
      <c r="G22" s="81">
        <f t="shared" si="2"/>
        <v>49907367</v>
      </c>
      <c r="H22" s="127">
        <f t="shared" si="7"/>
        <v>102442302.42985281</v>
      </c>
      <c r="I22" s="347">
        <f t="shared" si="8"/>
        <v>0.48717537400307831</v>
      </c>
      <c r="J22" s="33">
        <f t="shared" si="3"/>
        <v>84514900</v>
      </c>
      <c r="K22" s="33">
        <f t="shared" si="9"/>
        <v>49907367</v>
      </c>
      <c r="L22" s="126">
        <f t="shared" si="10"/>
        <v>48.72</v>
      </c>
      <c r="M22" s="470"/>
      <c r="N22" s="128">
        <v>43887130</v>
      </c>
      <c r="O22" s="449">
        <v>4.3299999999999998E-2</v>
      </c>
      <c r="P22" s="33">
        <f t="shared" si="11"/>
        <v>45787443</v>
      </c>
      <c r="Q22" s="57">
        <f t="shared" si="12"/>
        <v>44.695835522979259</v>
      </c>
      <c r="R22" s="57">
        <f t="shared" si="13"/>
        <v>4.0241644770207401</v>
      </c>
      <c r="S22" s="88">
        <f t="shared" si="14"/>
        <v>0.01</v>
      </c>
      <c r="T22" s="33">
        <f t="shared" si="15"/>
        <v>438871</v>
      </c>
      <c r="U22" s="9">
        <f t="shared" si="16"/>
        <v>0</v>
      </c>
      <c r="V22" s="9">
        <f t="shared" si="4"/>
        <v>0</v>
      </c>
      <c r="W22" s="9">
        <f t="shared" si="17"/>
        <v>0</v>
      </c>
      <c r="X22" s="127">
        <f>MIN(H22*parameters!C$22,ROUND(P22+T22-V22+W22,0))</f>
        <v>46226314</v>
      </c>
      <c r="Y22" s="94">
        <f t="shared" si="18"/>
        <v>45.124243504438404</v>
      </c>
      <c r="AA22" s="33">
        <f t="shared" si="19"/>
        <v>-4119924</v>
      </c>
      <c r="AB22" s="33">
        <f t="shared" si="20"/>
        <v>-3681053</v>
      </c>
      <c r="AC22" s="33">
        <f t="shared" si="21"/>
        <v>0</v>
      </c>
      <c r="AD22" s="57">
        <f t="shared" si="22"/>
        <v>-3.595756495561595</v>
      </c>
      <c r="AG22" s="609" t="str">
        <f t="shared" si="23"/>
        <v>016</v>
      </c>
      <c r="AH22" s="388" t="str">
        <f t="shared" si="24"/>
        <v>Attleboro</v>
      </c>
      <c r="AI22" s="380">
        <f t="shared" si="25"/>
        <v>0.48717537400307831</v>
      </c>
      <c r="AJ22" s="381">
        <f t="shared" si="5"/>
        <v>48.72</v>
      </c>
      <c r="AK22" s="380">
        <f t="shared" si="26"/>
        <v>4.3299999999999998E-2</v>
      </c>
      <c r="AL22" s="9">
        <f t="shared" si="6"/>
        <v>46226314</v>
      </c>
      <c r="AM22" s="57">
        <f t="shared" si="27"/>
        <v>-3.595756495561595</v>
      </c>
    </row>
    <row r="23" spans="1:39" ht="12.75" customHeight="1">
      <c r="A23" s="6">
        <v>17</v>
      </c>
      <c r="B23" s="6" t="s">
        <v>698</v>
      </c>
      <c r="C23" s="81">
        <v>2748972400</v>
      </c>
      <c r="D23" s="81">
        <f t="shared" si="1"/>
        <v>10736408.881967278</v>
      </c>
      <c r="E23" s="8">
        <v>708058000</v>
      </c>
      <c r="F23" s="81">
        <f t="shared" si="28"/>
        <v>10133655.658695808</v>
      </c>
      <c r="G23" s="81">
        <f t="shared" si="2"/>
        <v>20870065</v>
      </c>
      <c r="H23" s="127">
        <f t="shared" si="7"/>
        <v>35176860.026091076</v>
      </c>
      <c r="I23" s="347">
        <f t="shared" si="8"/>
        <v>0.5932895939126015</v>
      </c>
      <c r="J23" s="33">
        <f t="shared" si="3"/>
        <v>29020910</v>
      </c>
      <c r="K23" s="33">
        <f t="shared" si="9"/>
        <v>20870065</v>
      </c>
      <c r="L23" s="126">
        <f t="shared" si="10"/>
        <v>59.33</v>
      </c>
      <c r="M23" s="470"/>
      <c r="N23" s="128">
        <v>18294872</v>
      </c>
      <c r="O23" s="449">
        <v>4.1599999999999998E-2</v>
      </c>
      <c r="P23" s="33">
        <f t="shared" si="11"/>
        <v>19055939</v>
      </c>
      <c r="Q23" s="57">
        <f t="shared" si="12"/>
        <v>54.171802104752935</v>
      </c>
      <c r="R23" s="57">
        <f t="shared" si="13"/>
        <v>5.1581978952470635</v>
      </c>
      <c r="S23" s="88">
        <f t="shared" si="14"/>
        <v>0.01</v>
      </c>
      <c r="T23" s="33">
        <f t="shared" si="15"/>
        <v>182949</v>
      </c>
      <c r="U23" s="9">
        <f t="shared" si="16"/>
        <v>0</v>
      </c>
      <c r="V23" s="9">
        <f t="shared" si="4"/>
        <v>0</v>
      </c>
      <c r="W23" s="9">
        <f t="shared" si="17"/>
        <v>0</v>
      </c>
      <c r="X23" s="127">
        <f>MIN(H23*parameters!C$22,ROUND(P23+T23-V23+W23,0))</f>
        <v>19238888</v>
      </c>
      <c r="Y23" s="94">
        <f t="shared" si="18"/>
        <v>54.691885477357268</v>
      </c>
      <c r="AA23" s="33">
        <f t="shared" si="19"/>
        <v>-1814126</v>
      </c>
      <c r="AB23" s="33">
        <f t="shared" si="20"/>
        <v>-1631177</v>
      </c>
      <c r="AC23" s="33">
        <f t="shared" si="21"/>
        <v>0</v>
      </c>
      <c r="AD23" s="57">
        <f t="shared" si="22"/>
        <v>-4.6381145226427307</v>
      </c>
      <c r="AG23" s="609" t="str">
        <f t="shared" si="23"/>
        <v>017</v>
      </c>
      <c r="AH23" s="388" t="str">
        <f t="shared" si="24"/>
        <v>Auburn</v>
      </c>
      <c r="AI23" s="380">
        <f t="shared" si="25"/>
        <v>0.5932895939126015</v>
      </c>
      <c r="AJ23" s="381">
        <f t="shared" si="5"/>
        <v>59.33</v>
      </c>
      <c r="AK23" s="380">
        <f t="shared" si="26"/>
        <v>4.1599999999999998E-2</v>
      </c>
      <c r="AL23" s="9">
        <f t="shared" si="6"/>
        <v>19238888</v>
      </c>
      <c r="AM23" s="57">
        <f t="shared" si="27"/>
        <v>-4.6381145226427307</v>
      </c>
    </row>
    <row r="24" spans="1:39" ht="12.75" customHeight="1">
      <c r="A24" s="6">
        <v>18</v>
      </c>
      <c r="B24" s="6" t="s">
        <v>699</v>
      </c>
      <c r="C24" s="81">
        <v>1081305500</v>
      </c>
      <c r="D24" s="81">
        <f t="shared" si="1"/>
        <v>4223155.5232493673</v>
      </c>
      <c r="E24" s="8">
        <v>213586000</v>
      </c>
      <c r="F24" s="81">
        <f t="shared" si="28"/>
        <v>3056821.5845569186</v>
      </c>
      <c r="G24" s="81">
        <f t="shared" si="2"/>
        <v>7279977</v>
      </c>
      <c r="H24" s="127">
        <f t="shared" si="7"/>
        <v>10582128.189114641</v>
      </c>
      <c r="I24" s="347">
        <f t="shared" si="8"/>
        <v>0.68795018071020764</v>
      </c>
      <c r="J24" s="33">
        <f t="shared" si="3"/>
        <v>8730256</v>
      </c>
      <c r="K24" s="33">
        <f t="shared" si="9"/>
        <v>7279977</v>
      </c>
      <c r="L24" s="126">
        <f t="shared" si="10"/>
        <v>68.8</v>
      </c>
      <c r="M24" s="470"/>
      <c r="N24" s="128">
        <v>6019496</v>
      </c>
      <c r="O24" s="449">
        <v>2.8500000000000001E-2</v>
      </c>
      <c r="P24" s="33">
        <f t="shared" si="11"/>
        <v>6191052</v>
      </c>
      <c r="Q24" s="57">
        <f t="shared" si="12"/>
        <v>58.504791185278364</v>
      </c>
      <c r="R24" s="57">
        <f t="shared" si="13"/>
        <v>10.295208814721633</v>
      </c>
      <c r="S24" s="88">
        <f t="shared" si="14"/>
        <v>0.02</v>
      </c>
      <c r="T24" s="33">
        <f t="shared" si="15"/>
        <v>120390</v>
      </c>
      <c r="U24" s="9">
        <f t="shared" si="16"/>
        <v>0</v>
      </c>
      <c r="V24" s="9">
        <f t="shared" si="4"/>
        <v>0</v>
      </c>
      <c r="W24" s="9">
        <f t="shared" si="17"/>
        <v>0</v>
      </c>
      <c r="X24" s="127">
        <f>MIN(H24*parameters!C$22,ROUND(P24+T24-V24+W24,0))</f>
        <v>6311442</v>
      </c>
      <c r="Y24" s="94">
        <f t="shared" si="18"/>
        <v>59.642464041328623</v>
      </c>
      <c r="AA24" s="33">
        <f t="shared" si="19"/>
        <v>-1088925</v>
      </c>
      <c r="AB24" s="33">
        <f t="shared" si="20"/>
        <v>-968535</v>
      </c>
      <c r="AC24" s="33">
        <f t="shared" si="21"/>
        <v>0</v>
      </c>
      <c r="AD24" s="57">
        <f t="shared" si="22"/>
        <v>-9.1575359586713745</v>
      </c>
      <c r="AG24" s="609" t="str">
        <f t="shared" si="23"/>
        <v>018</v>
      </c>
      <c r="AH24" s="388" t="str">
        <f t="shared" si="24"/>
        <v>Avon</v>
      </c>
      <c r="AI24" s="380">
        <f t="shared" si="25"/>
        <v>0.68795018071020764</v>
      </c>
      <c r="AJ24" s="381">
        <f t="shared" si="5"/>
        <v>68.8</v>
      </c>
      <c r="AK24" s="380">
        <f t="shared" si="26"/>
        <v>2.8500000000000001E-2</v>
      </c>
      <c r="AL24" s="9">
        <f t="shared" si="6"/>
        <v>6311442</v>
      </c>
      <c r="AM24" s="57">
        <f t="shared" si="27"/>
        <v>-9.1575359586713745</v>
      </c>
    </row>
    <row r="25" spans="1:39" ht="12.75" customHeight="1">
      <c r="A25" s="6">
        <v>19</v>
      </c>
      <c r="B25" s="6" t="s">
        <v>700</v>
      </c>
      <c r="C25" s="81">
        <v>1529467100</v>
      </c>
      <c r="D25" s="81">
        <f t="shared" si="1"/>
        <v>5973499.099924298</v>
      </c>
      <c r="E25" s="8">
        <v>374452000</v>
      </c>
      <c r="F25" s="81">
        <f t="shared" si="28"/>
        <v>5359119.7736766804</v>
      </c>
      <c r="G25" s="81">
        <f t="shared" si="2"/>
        <v>11332619</v>
      </c>
      <c r="H25" s="127">
        <f t="shared" si="7"/>
        <v>14950369.342225131</v>
      </c>
      <c r="I25" s="347">
        <f t="shared" si="8"/>
        <v>0.75801598880856247</v>
      </c>
      <c r="J25" s="33">
        <f t="shared" si="3"/>
        <v>12334055</v>
      </c>
      <c r="K25" s="33">
        <f t="shared" si="9"/>
        <v>11332619</v>
      </c>
      <c r="L25" s="126">
        <f t="shared" si="10"/>
        <v>75.8</v>
      </c>
      <c r="M25" s="470"/>
      <c r="N25" s="128">
        <v>10060490</v>
      </c>
      <c r="O25" s="449">
        <v>4.9799999999999997E-2</v>
      </c>
      <c r="P25" s="33">
        <f t="shared" si="11"/>
        <v>10561502</v>
      </c>
      <c r="Q25" s="57">
        <f t="shared" si="12"/>
        <v>70.643753062143972</v>
      </c>
      <c r="R25" s="57">
        <f t="shared" si="13"/>
        <v>5.1562469378560252</v>
      </c>
      <c r="S25" s="88">
        <f t="shared" si="14"/>
        <v>0.01</v>
      </c>
      <c r="T25" s="33">
        <f t="shared" si="15"/>
        <v>100605</v>
      </c>
      <c r="U25" s="9">
        <f t="shared" si="16"/>
        <v>0</v>
      </c>
      <c r="V25" s="9">
        <f t="shared" si="4"/>
        <v>0</v>
      </c>
      <c r="W25" s="9">
        <f t="shared" si="17"/>
        <v>0</v>
      </c>
      <c r="X25" s="127">
        <f>MIN(H25*parameters!C$22,ROUND(P25+T25-V25+W25,0))</f>
        <v>10662107</v>
      </c>
      <c r="Y25" s="94">
        <f t="shared" si="18"/>
        <v>71.316679581195629</v>
      </c>
      <c r="AA25" s="33">
        <f t="shared" si="19"/>
        <v>-771117</v>
      </c>
      <c r="AB25" s="33">
        <f t="shared" si="20"/>
        <v>-670512</v>
      </c>
      <c r="AC25" s="33">
        <f t="shared" si="21"/>
        <v>0</v>
      </c>
      <c r="AD25" s="57">
        <f t="shared" si="22"/>
        <v>-4.483320418804368</v>
      </c>
      <c r="AG25" s="609" t="str">
        <f t="shared" si="23"/>
        <v>019</v>
      </c>
      <c r="AH25" s="388" t="str">
        <f t="shared" si="24"/>
        <v>Ayer</v>
      </c>
      <c r="AI25" s="380">
        <f t="shared" si="25"/>
        <v>0.75801598880856247</v>
      </c>
      <c r="AJ25" s="381">
        <f t="shared" si="5"/>
        <v>75.8</v>
      </c>
      <c r="AK25" s="380">
        <f t="shared" si="26"/>
        <v>4.9799999999999997E-2</v>
      </c>
      <c r="AL25" s="9">
        <f t="shared" si="6"/>
        <v>10662107</v>
      </c>
      <c r="AM25" s="57">
        <f t="shared" si="27"/>
        <v>-4.483320418804368</v>
      </c>
    </row>
    <row r="26" spans="1:39" ht="12.75" customHeight="1">
      <c r="A26" s="6">
        <v>20</v>
      </c>
      <c r="B26" s="6" t="s">
        <v>701</v>
      </c>
      <c r="C26" s="81">
        <v>18221137000</v>
      </c>
      <c r="D26" s="81">
        <f t="shared" si="1"/>
        <v>71164620.323704451</v>
      </c>
      <c r="E26" s="8">
        <v>2661860000</v>
      </c>
      <c r="F26" s="81">
        <f t="shared" si="28"/>
        <v>38096275.519316249</v>
      </c>
      <c r="G26" s="81">
        <f t="shared" si="2"/>
        <v>109260896</v>
      </c>
      <c r="H26" s="127">
        <f t="shared" si="7"/>
        <v>92829766.903818071</v>
      </c>
      <c r="I26" s="347">
        <f t="shared" si="8"/>
        <v>1.1770028046413863</v>
      </c>
      <c r="J26" s="33">
        <f t="shared" si="3"/>
        <v>76584558</v>
      </c>
      <c r="K26" s="33">
        <f t="shared" si="9"/>
        <v>76584558</v>
      </c>
      <c r="L26" s="126">
        <f t="shared" si="10"/>
        <v>82.5</v>
      </c>
      <c r="M26" s="470"/>
      <c r="N26" s="128">
        <v>62777242</v>
      </c>
      <c r="O26" s="449">
        <v>4.3299999999999998E-2</v>
      </c>
      <c r="P26" s="33">
        <f t="shared" si="11"/>
        <v>65495497</v>
      </c>
      <c r="Q26" s="57">
        <f t="shared" si="12"/>
        <v>70.554412861836227</v>
      </c>
      <c r="R26" s="57">
        <f t="shared" si="13"/>
        <v>11.945587138163773</v>
      </c>
      <c r="S26" s="88">
        <f t="shared" si="14"/>
        <v>0.02</v>
      </c>
      <c r="T26" s="33">
        <f t="shared" si="15"/>
        <v>1255545</v>
      </c>
      <c r="U26" s="9">
        <f t="shared" si="16"/>
        <v>0</v>
      </c>
      <c r="V26" s="9">
        <f t="shared" si="4"/>
        <v>0</v>
      </c>
      <c r="W26" s="9">
        <f t="shared" si="17"/>
        <v>0</v>
      </c>
      <c r="X26" s="127">
        <f>MIN(H26*parameters!C$22,ROUND(P26+T26-V26+W26,0))</f>
        <v>66751042</v>
      </c>
      <c r="Y26" s="94">
        <f t="shared" si="18"/>
        <v>71.90693699485584</v>
      </c>
      <c r="AA26" s="33">
        <f t="shared" si="19"/>
        <v>-11089061</v>
      </c>
      <c r="AB26" s="33">
        <f t="shared" si="20"/>
        <v>-9833516</v>
      </c>
      <c r="AC26" s="33">
        <f t="shared" si="21"/>
        <v>0</v>
      </c>
      <c r="AD26" s="57">
        <f t="shared" si="22"/>
        <v>-10.59306300514416</v>
      </c>
      <c r="AG26" s="609" t="str">
        <f t="shared" si="23"/>
        <v>020</v>
      </c>
      <c r="AH26" s="388" t="str">
        <f t="shared" si="24"/>
        <v>Barnstable</v>
      </c>
      <c r="AI26" s="380">
        <f t="shared" si="25"/>
        <v>1.1770028046413863</v>
      </c>
      <c r="AJ26" s="381">
        <f t="shared" si="5"/>
        <v>82.5</v>
      </c>
      <c r="AK26" s="380">
        <f t="shared" si="26"/>
        <v>4.3299999999999998E-2</v>
      </c>
      <c r="AL26" s="9">
        <f t="shared" si="6"/>
        <v>66751042</v>
      </c>
      <c r="AM26" s="57">
        <f t="shared" si="27"/>
        <v>-10.59306300514416</v>
      </c>
    </row>
    <row r="27" spans="1:39" ht="12.75" customHeight="1">
      <c r="A27" s="6">
        <v>21</v>
      </c>
      <c r="B27" s="6" t="s">
        <v>702</v>
      </c>
      <c r="C27" s="81">
        <v>583632100</v>
      </c>
      <c r="D27" s="81">
        <f t="shared" si="1"/>
        <v>2279438.2592714336</v>
      </c>
      <c r="E27" s="8">
        <v>181866000</v>
      </c>
      <c r="F27" s="81">
        <f t="shared" si="28"/>
        <v>2602848.1000488261</v>
      </c>
      <c r="G27" s="81">
        <f t="shared" si="2"/>
        <v>4882286</v>
      </c>
      <c r="H27" s="127">
        <f t="shared" si="7"/>
        <v>11329708.36224895</v>
      </c>
      <c r="I27" s="347">
        <f t="shared" si="8"/>
        <v>0.4309277735928293</v>
      </c>
      <c r="J27" s="33">
        <f t="shared" si="3"/>
        <v>9347009</v>
      </c>
      <c r="K27" s="33">
        <f t="shared" si="9"/>
        <v>4882286</v>
      </c>
      <c r="L27" s="126">
        <f t="shared" si="10"/>
        <v>43.09</v>
      </c>
      <c r="M27" s="470"/>
      <c r="N27" s="128">
        <v>4168364</v>
      </c>
      <c r="O27" s="449">
        <v>3.0700000000000002E-2</v>
      </c>
      <c r="P27" s="33">
        <f t="shared" si="11"/>
        <v>4296333</v>
      </c>
      <c r="Q27" s="57">
        <f t="shared" si="12"/>
        <v>37.920949618752381</v>
      </c>
      <c r="R27" s="57">
        <f t="shared" si="13"/>
        <v>5.1690503812476223</v>
      </c>
      <c r="S27" s="88">
        <f t="shared" si="14"/>
        <v>0.01</v>
      </c>
      <c r="T27" s="33">
        <f t="shared" si="15"/>
        <v>41684</v>
      </c>
      <c r="U27" s="9">
        <f t="shared" si="16"/>
        <v>0</v>
      </c>
      <c r="V27" s="9">
        <f t="shared" si="4"/>
        <v>0</v>
      </c>
      <c r="W27" s="9">
        <f t="shared" si="17"/>
        <v>0</v>
      </c>
      <c r="X27" s="127">
        <f>MIN(H27*parameters!C$22,ROUND(P27+T27-V27+W27,0))</f>
        <v>4338017</v>
      </c>
      <c r="Y27" s="94">
        <f t="shared" si="18"/>
        <v>38.2888672973653</v>
      </c>
      <c r="AA27" s="33">
        <f t="shared" si="19"/>
        <v>-585953</v>
      </c>
      <c r="AB27" s="33">
        <f t="shared" si="20"/>
        <v>-544269</v>
      </c>
      <c r="AC27" s="33">
        <f t="shared" si="21"/>
        <v>0</v>
      </c>
      <c r="AD27" s="57">
        <f t="shared" si="22"/>
        <v>-4.8011327026347033</v>
      </c>
      <c r="AG27" s="609" t="str">
        <f t="shared" si="23"/>
        <v>021</v>
      </c>
      <c r="AH27" s="388" t="str">
        <f t="shared" si="24"/>
        <v>Barre</v>
      </c>
      <c r="AI27" s="380">
        <f t="shared" si="25"/>
        <v>0.4309277735928293</v>
      </c>
      <c r="AJ27" s="381">
        <f t="shared" si="5"/>
        <v>43.09</v>
      </c>
      <c r="AK27" s="380">
        <f t="shared" si="26"/>
        <v>3.0700000000000002E-2</v>
      </c>
      <c r="AL27" s="9">
        <f t="shared" si="6"/>
        <v>4338017</v>
      </c>
      <c r="AM27" s="57">
        <f t="shared" si="27"/>
        <v>-4.8011327026347033</v>
      </c>
    </row>
    <row r="28" spans="1:39" ht="12.75" customHeight="1">
      <c r="A28" s="6">
        <v>22</v>
      </c>
      <c r="B28" s="6" t="s">
        <v>703</v>
      </c>
      <c r="C28" s="81">
        <v>630004600</v>
      </c>
      <c r="D28" s="81">
        <f t="shared" si="1"/>
        <v>2460551.0710548577</v>
      </c>
      <c r="E28" s="8">
        <v>69919000</v>
      </c>
      <c r="F28" s="81">
        <f t="shared" si="28"/>
        <v>1000673.772488062</v>
      </c>
      <c r="G28" s="81">
        <f t="shared" si="2"/>
        <v>3461225</v>
      </c>
      <c r="H28" s="127">
        <f t="shared" si="7"/>
        <v>2959823.7914899718</v>
      </c>
      <c r="I28" s="347">
        <f t="shared" si="8"/>
        <v>1.1694023846796715</v>
      </c>
      <c r="J28" s="33">
        <f t="shared" si="3"/>
        <v>2441855</v>
      </c>
      <c r="K28" s="33">
        <f t="shared" si="9"/>
        <v>2441855</v>
      </c>
      <c r="L28" s="126">
        <f t="shared" si="10"/>
        <v>82.5</v>
      </c>
      <c r="M28" s="470"/>
      <c r="N28" s="128">
        <v>2256532</v>
      </c>
      <c r="O28" s="449">
        <v>3.04E-2</v>
      </c>
      <c r="P28" s="33">
        <f t="shared" si="11"/>
        <v>2325131</v>
      </c>
      <c r="Q28" s="57">
        <f t="shared" si="12"/>
        <v>78.556399427735244</v>
      </c>
      <c r="R28" s="57">
        <f t="shared" si="13"/>
        <v>3.9436005722647565</v>
      </c>
      <c r="S28" s="88">
        <f t="shared" si="14"/>
        <v>0.01</v>
      </c>
      <c r="T28" s="33">
        <f t="shared" si="15"/>
        <v>22565</v>
      </c>
      <c r="U28" s="9">
        <f t="shared" si="16"/>
        <v>0</v>
      </c>
      <c r="V28" s="9">
        <f t="shared" si="4"/>
        <v>0</v>
      </c>
      <c r="W28" s="9">
        <f t="shared" si="17"/>
        <v>0</v>
      </c>
      <c r="X28" s="127">
        <f>MIN(H28*parameters!C$22,ROUND(P28+T28-V28+W28,0))</f>
        <v>2347696</v>
      </c>
      <c r="Y28" s="94">
        <f t="shared" si="18"/>
        <v>79.318775893012628</v>
      </c>
      <c r="AA28" s="33">
        <f t="shared" si="19"/>
        <v>-116724</v>
      </c>
      <c r="AB28" s="33">
        <f t="shared" si="20"/>
        <v>-94159</v>
      </c>
      <c r="AC28" s="33">
        <f t="shared" si="21"/>
        <v>0</v>
      </c>
      <c r="AD28" s="57">
        <f t="shared" si="22"/>
        <v>-3.1812241069873721</v>
      </c>
      <c r="AG28" s="609" t="str">
        <f t="shared" si="23"/>
        <v>022</v>
      </c>
      <c r="AH28" s="388" t="str">
        <f t="shared" si="24"/>
        <v>Becket</v>
      </c>
      <c r="AI28" s="380">
        <f t="shared" si="25"/>
        <v>1.1694023846796715</v>
      </c>
      <c r="AJ28" s="381">
        <f t="shared" si="5"/>
        <v>82.5</v>
      </c>
      <c r="AK28" s="380">
        <f t="shared" si="26"/>
        <v>3.04E-2</v>
      </c>
      <c r="AL28" s="9">
        <f t="shared" si="6"/>
        <v>2347696</v>
      </c>
      <c r="AM28" s="57">
        <f t="shared" si="27"/>
        <v>-3.1812241069873721</v>
      </c>
    </row>
    <row r="29" spans="1:39" ht="12.75" customHeight="1">
      <c r="A29" s="6">
        <v>23</v>
      </c>
      <c r="B29" s="6" t="s">
        <v>704</v>
      </c>
      <c r="C29" s="81">
        <v>4632427000</v>
      </c>
      <c r="D29" s="81">
        <f>D$5*C29</f>
        <v>18092444.430458829</v>
      </c>
      <c r="E29" s="8">
        <v>1482905000</v>
      </c>
      <c r="F29" s="81">
        <f t="shared" si="28"/>
        <v>21223188.841250725</v>
      </c>
      <c r="G29" s="81">
        <f>ROUND(D29+F29,0)</f>
        <v>39315633</v>
      </c>
      <c r="H29" s="127">
        <f t="shared" si="7"/>
        <v>35598813.167815648</v>
      </c>
      <c r="I29" s="347">
        <f>IF(H29=0,0,G29/H29)</f>
        <v>1.1044085322356947</v>
      </c>
      <c r="J29" s="33">
        <f t="shared" si="3"/>
        <v>29369021</v>
      </c>
      <c r="K29" s="33">
        <f t="shared" si="9"/>
        <v>29369021</v>
      </c>
      <c r="L29" s="126">
        <f t="shared" si="10"/>
        <v>82.5</v>
      </c>
      <c r="M29" s="470"/>
      <c r="N29" s="128">
        <v>28048469</v>
      </c>
      <c r="O29" s="449">
        <v>5.1100000000000007E-2</v>
      </c>
      <c r="P29" s="33">
        <f t="shared" si="11"/>
        <v>29481746</v>
      </c>
      <c r="Q29" s="57">
        <f t="shared" si="12"/>
        <v>82.816654198612454</v>
      </c>
      <c r="R29" s="57">
        <f t="shared" si="13"/>
        <v>0</v>
      </c>
      <c r="S29" s="88">
        <f t="shared" si="14"/>
        <v>0</v>
      </c>
      <c r="T29" s="33">
        <f t="shared" si="15"/>
        <v>0</v>
      </c>
      <c r="U29" s="9">
        <f t="shared" si="16"/>
        <v>112725</v>
      </c>
      <c r="V29" s="9">
        <f t="shared" si="4"/>
        <v>112725</v>
      </c>
      <c r="W29" s="9">
        <f t="shared" si="17"/>
        <v>0</v>
      </c>
      <c r="X29" s="127">
        <f>MIN(H29*parameters!C$22,ROUND(P29+T29-V29+W29,0))</f>
        <v>29369021</v>
      </c>
      <c r="Y29" s="94">
        <f t="shared" si="18"/>
        <v>82.50000038358607</v>
      </c>
      <c r="AA29" s="33">
        <f t="shared" si="19"/>
        <v>0</v>
      </c>
      <c r="AB29" s="33">
        <f t="shared" si="20"/>
        <v>0</v>
      </c>
      <c r="AC29" s="33">
        <f t="shared" si="21"/>
        <v>0</v>
      </c>
      <c r="AD29" s="57">
        <f t="shared" si="22"/>
        <v>3.8358606957444863E-7</v>
      </c>
      <c r="AG29" s="609" t="str">
        <f t="shared" si="23"/>
        <v>023</v>
      </c>
      <c r="AH29" s="388" t="str">
        <f t="shared" si="24"/>
        <v>Bedford</v>
      </c>
      <c r="AI29" s="380">
        <f t="shared" si="25"/>
        <v>1.1044085322356947</v>
      </c>
      <c r="AJ29" s="381">
        <f t="shared" si="5"/>
        <v>82.5</v>
      </c>
      <c r="AK29" s="380">
        <f t="shared" si="26"/>
        <v>5.1100000000000007E-2</v>
      </c>
      <c r="AL29" s="9">
        <f t="shared" si="6"/>
        <v>29369021</v>
      </c>
      <c r="AM29" s="57">
        <f t="shared" si="27"/>
        <v>3.8358606957444863E-7</v>
      </c>
    </row>
    <row r="30" spans="1:39" ht="12.75" customHeight="1">
      <c r="A30" s="6">
        <v>24</v>
      </c>
      <c r="B30" s="6" t="s">
        <v>705</v>
      </c>
      <c r="C30" s="81">
        <v>1889367600</v>
      </c>
      <c r="D30" s="81">
        <f t="shared" si="1"/>
        <v>7379129.409208037</v>
      </c>
      <c r="E30" s="8">
        <v>643145000</v>
      </c>
      <c r="F30" s="81">
        <f t="shared" si="28"/>
        <v>9204627.2602130268</v>
      </c>
      <c r="G30" s="81">
        <f t="shared" si="2"/>
        <v>16583757</v>
      </c>
      <c r="H30" s="127">
        <f t="shared" si="7"/>
        <v>30425890.932552237</v>
      </c>
      <c r="I30" s="347">
        <f t="shared" si="8"/>
        <v>0.54505411318152297</v>
      </c>
      <c r="J30" s="33">
        <f t="shared" si="3"/>
        <v>25101360</v>
      </c>
      <c r="K30" s="33">
        <f t="shared" si="9"/>
        <v>16583757</v>
      </c>
      <c r="L30" s="126">
        <f t="shared" si="10"/>
        <v>54.51</v>
      </c>
      <c r="M30" s="470"/>
      <c r="N30" s="128">
        <v>14881810</v>
      </c>
      <c r="O30" s="449">
        <v>3.44E-2</v>
      </c>
      <c r="P30" s="33">
        <f t="shared" si="11"/>
        <v>15393744</v>
      </c>
      <c r="Q30" s="57">
        <f t="shared" si="12"/>
        <v>50.594225931213231</v>
      </c>
      <c r="R30" s="57">
        <f t="shared" si="13"/>
        <v>3.9157740687867673</v>
      </c>
      <c r="S30" s="88">
        <f t="shared" si="14"/>
        <v>0.01</v>
      </c>
      <c r="T30" s="33">
        <f t="shared" si="15"/>
        <v>148818</v>
      </c>
      <c r="U30" s="9">
        <f t="shared" si="16"/>
        <v>0</v>
      </c>
      <c r="V30" s="9">
        <f t="shared" si="4"/>
        <v>0</v>
      </c>
      <c r="W30" s="9">
        <f t="shared" si="17"/>
        <v>0</v>
      </c>
      <c r="X30" s="127">
        <f>MIN(H30*parameters!C$22,ROUND(P30+T30-V30+W30,0))</f>
        <v>15542562</v>
      </c>
      <c r="Y30" s="94">
        <f t="shared" si="18"/>
        <v>51.08334225760084</v>
      </c>
      <c r="AA30" s="33">
        <f t="shared" si="19"/>
        <v>-1190013</v>
      </c>
      <c r="AB30" s="33">
        <f t="shared" si="20"/>
        <v>-1041195</v>
      </c>
      <c r="AC30" s="33">
        <f t="shared" si="21"/>
        <v>0</v>
      </c>
      <c r="AD30" s="57">
        <f t="shared" si="22"/>
        <v>-3.4266577423991578</v>
      </c>
      <c r="AG30" s="609" t="str">
        <f t="shared" si="23"/>
        <v>024</v>
      </c>
      <c r="AH30" s="388" t="str">
        <f t="shared" si="24"/>
        <v>Belchertown</v>
      </c>
      <c r="AI30" s="380">
        <f t="shared" si="25"/>
        <v>0.54505411318152297</v>
      </c>
      <c r="AJ30" s="381">
        <f t="shared" si="5"/>
        <v>54.51</v>
      </c>
      <c r="AK30" s="380">
        <f t="shared" si="26"/>
        <v>3.44E-2</v>
      </c>
      <c r="AL30" s="9">
        <f t="shared" si="6"/>
        <v>15542562</v>
      </c>
      <c r="AM30" s="57">
        <f t="shared" si="27"/>
        <v>-3.4266577423991578</v>
      </c>
    </row>
    <row r="31" spans="1:39" ht="12.75" customHeight="1">
      <c r="A31" s="6">
        <v>25</v>
      </c>
      <c r="B31" s="6" t="s">
        <v>706</v>
      </c>
      <c r="C31" s="81">
        <v>3317158400</v>
      </c>
      <c r="D31" s="81">
        <f t="shared" si="1"/>
        <v>12955520.727909952</v>
      </c>
      <c r="E31" s="8">
        <v>746199000</v>
      </c>
      <c r="F31" s="81">
        <f t="shared" si="28"/>
        <v>10679525.856445592</v>
      </c>
      <c r="G31" s="81">
        <f t="shared" si="2"/>
        <v>23635047</v>
      </c>
      <c r="H31" s="127">
        <f t="shared" si="7"/>
        <v>31868986.643243354</v>
      </c>
      <c r="I31" s="347">
        <f t="shared" si="8"/>
        <v>0.74163158259727535</v>
      </c>
      <c r="J31" s="33">
        <f t="shared" si="3"/>
        <v>26291914</v>
      </c>
      <c r="K31" s="33">
        <f t="shared" si="9"/>
        <v>23635047</v>
      </c>
      <c r="L31" s="126">
        <f t="shared" si="10"/>
        <v>74.16</v>
      </c>
      <c r="M31" s="470"/>
      <c r="N31" s="128">
        <v>20868907</v>
      </c>
      <c r="O31" s="449">
        <v>4.6799999999999994E-2</v>
      </c>
      <c r="P31" s="33">
        <f t="shared" si="11"/>
        <v>21845572</v>
      </c>
      <c r="Q31" s="57">
        <f t="shared" si="12"/>
        <v>68.548059731392655</v>
      </c>
      <c r="R31" s="57">
        <f t="shared" si="13"/>
        <v>5.6119402686073414</v>
      </c>
      <c r="S31" s="88">
        <f t="shared" si="14"/>
        <v>0.01</v>
      </c>
      <c r="T31" s="33">
        <f t="shared" si="15"/>
        <v>208689</v>
      </c>
      <c r="U31" s="9">
        <f t="shared" si="16"/>
        <v>0</v>
      </c>
      <c r="V31" s="9">
        <f t="shared" si="4"/>
        <v>0</v>
      </c>
      <c r="W31" s="9">
        <f t="shared" si="17"/>
        <v>0</v>
      </c>
      <c r="X31" s="127">
        <f>MIN(H31*parameters!C$22,ROUND(P31+T31-V31+W31,0))</f>
        <v>22054261</v>
      </c>
      <c r="Y31" s="94">
        <f t="shared" si="18"/>
        <v>69.202893856920909</v>
      </c>
      <c r="AA31" s="33">
        <f t="shared" si="19"/>
        <v>-1789475</v>
      </c>
      <c r="AB31" s="33">
        <f t="shared" si="20"/>
        <v>-1580786</v>
      </c>
      <c r="AC31" s="33">
        <f t="shared" si="21"/>
        <v>0</v>
      </c>
      <c r="AD31" s="57">
        <f t="shared" si="22"/>
        <v>-4.9571061430790877</v>
      </c>
      <c r="AG31" s="609" t="str">
        <f t="shared" si="23"/>
        <v>025</v>
      </c>
      <c r="AH31" s="388" t="str">
        <f t="shared" si="24"/>
        <v>Bellingham</v>
      </c>
      <c r="AI31" s="380">
        <f t="shared" si="25"/>
        <v>0.74163158259727535</v>
      </c>
      <c r="AJ31" s="381">
        <f t="shared" si="5"/>
        <v>74.16</v>
      </c>
      <c r="AK31" s="380">
        <f t="shared" si="26"/>
        <v>4.6799999999999994E-2</v>
      </c>
      <c r="AL31" s="9">
        <f t="shared" si="6"/>
        <v>22054261</v>
      </c>
      <c r="AM31" s="57">
        <f t="shared" si="27"/>
        <v>-4.9571061430790877</v>
      </c>
    </row>
    <row r="32" spans="1:39" ht="12.75" customHeight="1">
      <c r="A32" s="6">
        <v>26</v>
      </c>
      <c r="B32" s="6" t="s">
        <v>707</v>
      </c>
      <c r="C32" s="81">
        <v>10384380400</v>
      </c>
      <c r="D32" s="81">
        <f t="shared" si="1"/>
        <v>40557320.240933277</v>
      </c>
      <c r="E32" s="8">
        <v>3763630000</v>
      </c>
      <c r="F32" s="81">
        <f t="shared" si="28"/>
        <v>53864698.155712247</v>
      </c>
      <c r="G32" s="81">
        <f>ROUND(D32+F32,0)</f>
        <v>94422018</v>
      </c>
      <c r="H32" s="127">
        <f>(SUMIF(town1755,A32,found1755)/2)</f>
        <v>59533725.074059986</v>
      </c>
      <c r="I32" s="347">
        <f t="shared" si="8"/>
        <v>1.5860257002655043</v>
      </c>
      <c r="J32" s="33">
        <f t="shared" si="3"/>
        <v>49115323</v>
      </c>
      <c r="K32" s="33">
        <f t="shared" si="9"/>
        <v>49115323</v>
      </c>
      <c r="L32" s="126">
        <f t="shared" si="10"/>
        <v>82.5</v>
      </c>
      <c r="M32" s="470"/>
      <c r="N32" s="128">
        <v>45639441</v>
      </c>
      <c r="O32" s="449">
        <v>4.9299999999999997E-2</v>
      </c>
      <c r="P32" s="33">
        <f t="shared" si="11"/>
        <v>47889465</v>
      </c>
      <c r="Q32" s="57">
        <f t="shared" si="12"/>
        <v>80.440901254583821</v>
      </c>
      <c r="R32" s="57">
        <f>IF(L32&gt;Q32,L32-Q32,0)</f>
        <v>2.0590987454161791</v>
      </c>
      <c r="S32" s="88">
        <f>IF(AND(R32&gt;$T$4,R32&lt;=$T$5),$S$4,IF(R32&gt;$T$5,$S$5,0))</f>
        <v>0</v>
      </c>
      <c r="T32" s="33">
        <f>ROUND(S32*N32,0)</f>
        <v>0</v>
      </c>
      <c r="U32" s="9">
        <f t="shared" si="16"/>
        <v>0</v>
      </c>
      <c r="V32" s="9">
        <f t="shared" si="4"/>
        <v>0</v>
      </c>
      <c r="W32" s="9">
        <f t="shared" si="17"/>
        <v>0</v>
      </c>
      <c r="X32" s="127">
        <f>MIN(H32*parameters!C$22,ROUND(P32+T32-V32+W32,0))</f>
        <v>47889465</v>
      </c>
      <c r="Y32" s="94">
        <f t="shared" si="18"/>
        <v>80.440901254583821</v>
      </c>
      <c r="AA32" s="33">
        <f t="shared" si="19"/>
        <v>-1225858</v>
      </c>
      <c r="AB32" s="33">
        <f t="shared" si="20"/>
        <v>-1225858</v>
      </c>
      <c r="AC32" s="33">
        <f t="shared" si="21"/>
        <v>0</v>
      </c>
      <c r="AD32" s="57">
        <f t="shared" si="22"/>
        <v>-2.0590987454161791</v>
      </c>
      <c r="AG32" s="609" t="str">
        <f t="shared" si="23"/>
        <v>026</v>
      </c>
      <c r="AH32" s="388" t="str">
        <f t="shared" si="24"/>
        <v>Belmont</v>
      </c>
      <c r="AI32" s="380">
        <f t="shared" si="25"/>
        <v>1.5860257002655043</v>
      </c>
      <c r="AJ32" s="381">
        <f t="shared" si="5"/>
        <v>82.5</v>
      </c>
      <c r="AK32" s="380">
        <f t="shared" si="26"/>
        <v>4.9299999999999997E-2</v>
      </c>
      <c r="AL32" s="9">
        <f t="shared" si="6"/>
        <v>47889465</v>
      </c>
      <c r="AM32" s="57">
        <f t="shared" si="27"/>
        <v>-2.0590987454161791</v>
      </c>
    </row>
    <row r="33" spans="1:39" ht="12.75" customHeight="1">
      <c r="A33" s="6">
        <v>27</v>
      </c>
      <c r="B33" s="6" t="s">
        <v>708</v>
      </c>
      <c r="C33" s="81">
        <v>1087861600</v>
      </c>
      <c r="D33" s="81">
        <f t="shared" si="1"/>
        <v>4248761.0805372708</v>
      </c>
      <c r="E33" s="8">
        <v>323269000</v>
      </c>
      <c r="F33" s="81">
        <f t="shared" si="28"/>
        <v>4626593.7693394255</v>
      </c>
      <c r="G33" s="81">
        <f t="shared" si="2"/>
        <v>8875355</v>
      </c>
      <c r="H33" s="127">
        <f t="shared" si="7"/>
        <v>14879075.174574576</v>
      </c>
      <c r="I33" s="347">
        <f t="shared" si="8"/>
        <v>0.5964991033290995</v>
      </c>
      <c r="J33" s="33">
        <f t="shared" si="3"/>
        <v>12275237</v>
      </c>
      <c r="K33" s="33">
        <f t="shared" si="9"/>
        <v>8875355</v>
      </c>
      <c r="L33" s="126">
        <f t="shared" si="10"/>
        <v>59.65</v>
      </c>
      <c r="M33" s="470"/>
      <c r="N33" s="128">
        <v>7901373</v>
      </c>
      <c r="O33" s="449">
        <v>5.2200000000000003E-2</v>
      </c>
      <c r="P33" s="33">
        <f t="shared" si="11"/>
        <v>8313825</v>
      </c>
      <c r="Q33" s="57">
        <f t="shared" si="12"/>
        <v>55.875952654683118</v>
      </c>
      <c r="R33" s="57">
        <f t="shared" si="13"/>
        <v>3.7740473453168804</v>
      </c>
      <c r="S33" s="88">
        <f t="shared" si="14"/>
        <v>0.01</v>
      </c>
      <c r="T33" s="33">
        <f t="shared" si="15"/>
        <v>79014</v>
      </c>
      <c r="U33" s="9">
        <f t="shared" si="16"/>
        <v>0</v>
      </c>
      <c r="V33" s="9">
        <f t="shared" si="4"/>
        <v>0</v>
      </c>
      <c r="W33" s="9">
        <f t="shared" si="17"/>
        <v>0</v>
      </c>
      <c r="X33" s="127">
        <f>MIN(H33*parameters!C$22,ROUND(P33+T33-V33+W33,0))</f>
        <v>8392839</v>
      </c>
      <c r="Y33" s="94">
        <f t="shared" si="18"/>
        <v>56.406993724594635</v>
      </c>
      <c r="AA33" s="33">
        <f t="shared" si="19"/>
        <v>-561530</v>
      </c>
      <c r="AB33" s="33">
        <f t="shared" si="20"/>
        <v>-482516</v>
      </c>
      <c r="AC33" s="33">
        <f t="shared" si="21"/>
        <v>0</v>
      </c>
      <c r="AD33" s="57">
        <f t="shared" si="22"/>
        <v>-3.2430062754053637</v>
      </c>
      <c r="AG33" s="609" t="str">
        <f t="shared" si="23"/>
        <v>027</v>
      </c>
      <c r="AH33" s="388" t="str">
        <f t="shared" si="24"/>
        <v>Berkley</v>
      </c>
      <c r="AI33" s="380">
        <f t="shared" si="25"/>
        <v>0.5964991033290995</v>
      </c>
      <c r="AJ33" s="381">
        <f t="shared" si="5"/>
        <v>59.65</v>
      </c>
      <c r="AK33" s="380">
        <f t="shared" si="26"/>
        <v>5.2200000000000003E-2</v>
      </c>
      <c r="AL33" s="9">
        <f t="shared" si="6"/>
        <v>8392839</v>
      </c>
      <c r="AM33" s="57">
        <f t="shared" si="27"/>
        <v>-3.2430062754053637</v>
      </c>
    </row>
    <row r="34" spans="1:39" ht="12.75" customHeight="1">
      <c r="A34" s="6">
        <v>28</v>
      </c>
      <c r="B34" s="6" t="s">
        <v>709</v>
      </c>
      <c r="C34" s="81">
        <v>775450700</v>
      </c>
      <c r="D34" s="81">
        <f t="shared" si="1"/>
        <v>3028606.5378494682</v>
      </c>
      <c r="E34" s="8">
        <v>255252000</v>
      </c>
      <c r="F34" s="81">
        <f t="shared" si="28"/>
        <v>3653141.2316412246</v>
      </c>
      <c r="G34" s="81">
        <f t="shared" si="2"/>
        <v>6681748</v>
      </c>
      <c r="H34" s="127">
        <f t="shared" si="7"/>
        <v>6163198.0997219756</v>
      </c>
      <c r="I34" s="347">
        <f t="shared" si="8"/>
        <v>1.0841364973002274</v>
      </c>
      <c r="J34" s="33">
        <f t="shared" si="3"/>
        <v>5084638</v>
      </c>
      <c r="K34" s="33">
        <f t="shared" si="9"/>
        <v>5084638</v>
      </c>
      <c r="L34" s="126">
        <f t="shared" si="10"/>
        <v>82.5</v>
      </c>
      <c r="M34" s="470"/>
      <c r="N34" s="128">
        <v>4061620</v>
      </c>
      <c r="O34" s="449">
        <v>5.0700000000000002E-2</v>
      </c>
      <c r="P34" s="33">
        <f t="shared" si="11"/>
        <v>4267544</v>
      </c>
      <c r="Q34" s="57">
        <f t="shared" si="12"/>
        <v>69.242362989963127</v>
      </c>
      <c r="R34" s="57">
        <f t="shared" si="13"/>
        <v>13.257637010036873</v>
      </c>
      <c r="S34" s="88">
        <f t="shared" si="14"/>
        <v>0.02</v>
      </c>
      <c r="T34" s="33">
        <f t="shared" si="15"/>
        <v>81232</v>
      </c>
      <c r="U34" s="9">
        <f t="shared" si="16"/>
        <v>0</v>
      </c>
      <c r="V34" s="9">
        <f t="shared" si="4"/>
        <v>0</v>
      </c>
      <c r="W34" s="9">
        <f t="shared" si="17"/>
        <v>0</v>
      </c>
      <c r="X34" s="127">
        <f>MIN(H34*parameters!C$22,ROUND(P34+T34-V34+W34,0))</f>
        <v>4348776</v>
      </c>
      <c r="Y34" s="94">
        <f t="shared" si="18"/>
        <v>70.560380011088313</v>
      </c>
      <c r="AA34" s="33">
        <f t="shared" si="19"/>
        <v>-817094</v>
      </c>
      <c r="AB34" s="33">
        <f t="shared" si="20"/>
        <v>-735862</v>
      </c>
      <c r="AC34" s="33">
        <f t="shared" si="21"/>
        <v>0</v>
      </c>
      <c r="AD34" s="57">
        <f t="shared" si="22"/>
        <v>-11.939619988911687</v>
      </c>
      <c r="AG34" s="609" t="str">
        <f t="shared" si="23"/>
        <v>028</v>
      </c>
      <c r="AH34" s="388" t="str">
        <f t="shared" si="24"/>
        <v>Berlin</v>
      </c>
      <c r="AI34" s="380">
        <f t="shared" si="25"/>
        <v>1.0841364973002274</v>
      </c>
      <c r="AJ34" s="381">
        <f t="shared" si="5"/>
        <v>82.5</v>
      </c>
      <c r="AK34" s="380">
        <f t="shared" si="26"/>
        <v>5.0700000000000002E-2</v>
      </c>
      <c r="AL34" s="9">
        <f t="shared" si="6"/>
        <v>4348776</v>
      </c>
      <c r="AM34" s="57">
        <f t="shared" si="27"/>
        <v>-11.939619988911687</v>
      </c>
    </row>
    <row r="35" spans="1:39" ht="12.75" customHeight="1">
      <c r="A35" s="6">
        <v>29</v>
      </c>
      <c r="B35" s="6" t="s">
        <v>710</v>
      </c>
      <c r="C35" s="81">
        <v>289619100</v>
      </c>
      <c r="D35" s="81">
        <f t="shared" si="1"/>
        <v>1131138.7039125492</v>
      </c>
      <c r="E35" s="8">
        <v>78888000</v>
      </c>
      <c r="F35" s="81">
        <f t="shared" si="28"/>
        <v>1129037.2082558137</v>
      </c>
      <c r="G35" s="81">
        <f t="shared" si="2"/>
        <v>2260176</v>
      </c>
      <c r="H35" s="127">
        <f t="shared" si="7"/>
        <v>3732459.2088981764</v>
      </c>
      <c r="I35" s="347">
        <f t="shared" si="8"/>
        <v>0.6055460685576266</v>
      </c>
      <c r="J35" s="33">
        <f t="shared" si="3"/>
        <v>3079279</v>
      </c>
      <c r="K35" s="33">
        <f t="shared" si="9"/>
        <v>2260176</v>
      </c>
      <c r="L35" s="126">
        <f t="shared" si="10"/>
        <v>60.55</v>
      </c>
      <c r="M35" s="470"/>
      <c r="N35" s="128">
        <v>1902064</v>
      </c>
      <c r="O35" s="449">
        <v>3.6499999999999998E-2</v>
      </c>
      <c r="P35" s="33">
        <f t="shared" si="11"/>
        <v>1971489</v>
      </c>
      <c r="Q35" s="57">
        <f t="shared" si="12"/>
        <v>52.820108396629585</v>
      </c>
      <c r="R35" s="57">
        <f t="shared" si="13"/>
        <v>7.7298916033704117</v>
      </c>
      <c r="S35" s="88">
        <f t="shared" si="14"/>
        <v>0.02</v>
      </c>
      <c r="T35" s="33">
        <f t="shared" si="15"/>
        <v>38041</v>
      </c>
      <c r="U35" s="9">
        <f t="shared" si="16"/>
        <v>0</v>
      </c>
      <c r="V35" s="9">
        <f t="shared" si="4"/>
        <v>0</v>
      </c>
      <c r="W35" s="9">
        <f t="shared" si="17"/>
        <v>0</v>
      </c>
      <c r="X35" s="127">
        <f>MIN(H35*parameters!C$22,ROUND(P35+T35-V35+W35,0))</f>
        <v>2009530</v>
      </c>
      <c r="Y35" s="94">
        <f t="shared" si="18"/>
        <v>53.839302388336456</v>
      </c>
      <c r="AA35" s="33">
        <f t="shared" si="19"/>
        <v>-288687</v>
      </c>
      <c r="AB35" s="33">
        <f t="shared" si="20"/>
        <v>-250646</v>
      </c>
      <c r="AC35" s="33">
        <f t="shared" si="21"/>
        <v>0</v>
      </c>
      <c r="AD35" s="57">
        <f t="shared" si="22"/>
        <v>-6.7106976116635408</v>
      </c>
      <c r="AG35" s="609" t="str">
        <f t="shared" si="23"/>
        <v>029</v>
      </c>
      <c r="AH35" s="388" t="str">
        <f t="shared" si="24"/>
        <v>Bernardston</v>
      </c>
      <c r="AI35" s="380">
        <f t="shared" si="25"/>
        <v>0.6055460685576266</v>
      </c>
      <c r="AJ35" s="381">
        <f t="shared" si="5"/>
        <v>60.55</v>
      </c>
      <c r="AK35" s="380">
        <f t="shared" si="26"/>
        <v>3.6499999999999998E-2</v>
      </c>
      <c r="AL35" s="9">
        <f t="shared" si="6"/>
        <v>2009530</v>
      </c>
      <c r="AM35" s="57">
        <f t="shared" si="27"/>
        <v>-6.7106976116635408</v>
      </c>
    </row>
    <row r="36" spans="1:39" ht="12.75" customHeight="1">
      <c r="A36" s="6">
        <v>30</v>
      </c>
      <c r="B36" s="6" t="s">
        <v>711</v>
      </c>
      <c r="C36" s="81">
        <v>8971044300</v>
      </c>
      <c r="D36" s="81">
        <f t="shared" si="1"/>
        <v>35037383.315686226</v>
      </c>
      <c r="E36" s="8">
        <v>2638106000</v>
      </c>
      <c r="F36" s="81">
        <f t="shared" si="28"/>
        <v>37756310.634353913</v>
      </c>
      <c r="G36" s="81">
        <f t="shared" si="2"/>
        <v>72793694</v>
      </c>
      <c r="H36" s="127">
        <f t="shared" si="7"/>
        <v>66701995.512116164</v>
      </c>
      <c r="I36" s="347">
        <f t="shared" si="8"/>
        <v>1.0913270801137771</v>
      </c>
      <c r="J36" s="33">
        <f t="shared" si="3"/>
        <v>55029146</v>
      </c>
      <c r="K36" s="33">
        <f t="shared" si="9"/>
        <v>55029146</v>
      </c>
      <c r="L36" s="126">
        <f t="shared" si="10"/>
        <v>82.5</v>
      </c>
      <c r="M36" s="470"/>
      <c r="N36" s="128">
        <v>49847871</v>
      </c>
      <c r="O36" s="449">
        <v>3.9199999999999999E-2</v>
      </c>
      <c r="P36" s="33">
        <f t="shared" si="11"/>
        <v>51801908</v>
      </c>
      <c r="Q36" s="57">
        <f t="shared" si="12"/>
        <v>77.661706523593253</v>
      </c>
      <c r="R36" s="57">
        <f t="shared" si="13"/>
        <v>4.8382934764067471</v>
      </c>
      <c r="S36" s="88">
        <f t="shared" si="14"/>
        <v>0.01</v>
      </c>
      <c r="T36" s="33">
        <f t="shared" si="15"/>
        <v>498479</v>
      </c>
      <c r="U36" s="9">
        <f t="shared" si="16"/>
        <v>0</v>
      </c>
      <c r="V36" s="9">
        <f t="shared" si="4"/>
        <v>0</v>
      </c>
      <c r="W36" s="9">
        <f t="shared" si="17"/>
        <v>0</v>
      </c>
      <c r="X36" s="127">
        <f>MIN(H36*parameters!C$22,ROUND(P36+T36-V36+W36,0))</f>
        <v>52300387</v>
      </c>
      <c r="Y36" s="94">
        <f t="shared" si="18"/>
        <v>78.409028992992916</v>
      </c>
      <c r="AA36" s="33">
        <f t="shared" si="19"/>
        <v>-3227238</v>
      </c>
      <c r="AB36" s="33">
        <f t="shared" si="20"/>
        <v>-2728759</v>
      </c>
      <c r="AC36" s="33">
        <f t="shared" si="21"/>
        <v>0</v>
      </c>
      <c r="AD36" s="57">
        <f t="shared" si="22"/>
        <v>-4.0909710070070844</v>
      </c>
      <c r="AG36" s="609" t="str">
        <f t="shared" si="23"/>
        <v>030</v>
      </c>
      <c r="AH36" s="388" t="str">
        <f t="shared" si="24"/>
        <v>Beverly</v>
      </c>
      <c r="AI36" s="380">
        <f t="shared" si="25"/>
        <v>1.0913270801137771</v>
      </c>
      <c r="AJ36" s="381">
        <f t="shared" si="5"/>
        <v>82.5</v>
      </c>
      <c r="AK36" s="380">
        <f t="shared" si="26"/>
        <v>3.9199999999999999E-2</v>
      </c>
      <c r="AL36" s="9">
        <f t="shared" si="6"/>
        <v>52300387</v>
      </c>
      <c r="AM36" s="57">
        <f t="shared" si="27"/>
        <v>-4.0909710070070844</v>
      </c>
    </row>
    <row r="37" spans="1:39" ht="12.75" customHeight="1">
      <c r="A37" s="6">
        <v>31</v>
      </c>
      <c r="B37" s="6" t="s">
        <v>712</v>
      </c>
      <c r="C37" s="81">
        <v>9046472000</v>
      </c>
      <c r="D37" s="81">
        <f t="shared" si="1"/>
        <v>35331974.352040887</v>
      </c>
      <c r="E37" s="8">
        <v>2117423000</v>
      </c>
      <c r="F37" s="81">
        <f t="shared" si="28"/>
        <v>30304347.335673988</v>
      </c>
      <c r="G37" s="81">
        <f t="shared" si="2"/>
        <v>65636322</v>
      </c>
      <c r="H37" s="127">
        <f t="shared" si="7"/>
        <v>74519187.96852912</v>
      </c>
      <c r="I37" s="347">
        <f t="shared" si="8"/>
        <v>0.88079760111878136</v>
      </c>
      <c r="J37" s="33">
        <f t="shared" si="3"/>
        <v>61478330</v>
      </c>
      <c r="K37" s="33">
        <f t="shared" si="9"/>
        <v>61478330</v>
      </c>
      <c r="L37" s="126">
        <f t="shared" si="10"/>
        <v>82.5</v>
      </c>
      <c r="M37" s="470"/>
      <c r="N37" s="128">
        <v>56649439</v>
      </c>
      <c r="O37" s="449">
        <v>4.8500000000000008E-2</v>
      </c>
      <c r="P37" s="33">
        <f t="shared" si="11"/>
        <v>59396937</v>
      </c>
      <c r="Q37" s="57">
        <f t="shared" si="12"/>
        <v>79.706903173830156</v>
      </c>
      <c r="R37" s="57">
        <f t="shared" si="13"/>
        <v>2.7930968261698439</v>
      </c>
      <c r="S37" s="88">
        <f t="shared" si="14"/>
        <v>0.01</v>
      </c>
      <c r="T37" s="33">
        <f t="shared" si="15"/>
        <v>566494</v>
      </c>
      <c r="U37" s="9">
        <f t="shared" si="16"/>
        <v>0</v>
      </c>
      <c r="V37" s="9">
        <f t="shared" si="4"/>
        <v>0</v>
      </c>
      <c r="W37" s="9">
        <f t="shared" si="17"/>
        <v>0</v>
      </c>
      <c r="X37" s="127">
        <f>MIN(H37*parameters!C$22,ROUND(P37+T37-V37+W37,0))</f>
        <v>59963431</v>
      </c>
      <c r="Y37" s="94">
        <f t="shared" si="18"/>
        <v>80.467102010456287</v>
      </c>
      <c r="AA37" s="33">
        <f t="shared" si="19"/>
        <v>-2081393</v>
      </c>
      <c r="AB37" s="33">
        <f t="shared" si="20"/>
        <v>-1514899</v>
      </c>
      <c r="AC37" s="33">
        <f t="shared" si="21"/>
        <v>0</v>
      </c>
      <c r="AD37" s="57">
        <f t="shared" si="22"/>
        <v>-2.0328979895437129</v>
      </c>
      <c r="AG37" s="609" t="str">
        <f t="shared" si="23"/>
        <v>031</v>
      </c>
      <c r="AH37" s="388" t="str">
        <f t="shared" si="24"/>
        <v>Billerica</v>
      </c>
      <c r="AI37" s="380">
        <f t="shared" si="25"/>
        <v>0.88079760111878136</v>
      </c>
      <c r="AJ37" s="381">
        <f t="shared" si="5"/>
        <v>82.5</v>
      </c>
      <c r="AK37" s="380">
        <f t="shared" si="26"/>
        <v>4.8500000000000008E-2</v>
      </c>
      <c r="AL37" s="9">
        <f t="shared" si="6"/>
        <v>59963431</v>
      </c>
      <c r="AM37" s="57">
        <f t="shared" si="27"/>
        <v>-2.0328979895437129</v>
      </c>
    </row>
    <row r="38" spans="1:39" ht="12.75" customHeight="1">
      <c r="A38" s="6">
        <v>32</v>
      </c>
      <c r="B38" s="6" t="s">
        <v>713</v>
      </c>
      <c r="C38" s="81">
        <v>1231116000</v>
      </c>
      <c r="D38" s="81">
        <f t="shared" si="1"/>
        <v>4808256.6260512574</v>
      </c>
      <c r="E38" s="8">
        <v>354452000</v>
      </c>
      <c r="F38" s="81">
        <f t="shared" si="28"/>
        <v>5072881.7632680461</v>
      </c>
      <c r="G38" s="81">
        <f t="shared" si="2"/>
        <v>9881138</v>
      </c>
      <c r="H38" s="127">
        <f t="shared" si="7"/>
        <v>17964353.58739198</v>
      </c>
      <c r="I38" s="347">
        <f t="shared" si="8"/>
        <v>0.55004138901691024</v>
      </c>
      <c r="J38" s="33">
        <f t="shared" si="3"/>
        <v>14820592</v>
      </c>
      <c r="K38" s="33">
        <f t="shared" si="9"/>
        <v>9881138</v>
      </c>
      <c r="L38" s="126">
        <f t="shared" si="10"/>
        <v>55</v>
      </c>
      <c r="M38" s="470"/>
      <c r="N38" s="128">
        <v>8736520</v>
      </c>
      <c r="O38" s="449">
        <v>4.7100000000000003E-2</v>
      </c>
      <c r="P38" s="33">
        <f t="shared" si="11"/>
        <v>9148010</v>
      </c>
      <c r="Q38" s="57">
        <f t="shared" si="12"/>
        <v>50.92312370438087</v>
      </c>
      <c r="R38" s="57">
        <f t="shared" si="13"/>
        <v>4.0768762956191296</v>
      </c>
      <c r="S38" s="88">
        <f t="shared" si="14"/>
        <v>0.01</v>
      </c>
      <c r="T38" s="33">
        <f t="shared" si="15"/>
        <v>87365</v>
      </c>
      <c r="U38" s="9">
        <f t="shared" si="16"/>
        <v>0</v>
      </c>
      <c r="V38" s="9">
        <f t="shared" si="4"/>
        <v>0</v>
      </c>
      <c r="W38" s="9">
        <f t="shared" si="17"/>
        <v>0</v>
      </c>
      <c r="X38" s="127">
        <f>MIN(H38*parameters!C$22,ROUND(P38+T38-V38+W38,0))</f>
        <v>9235375</v>
      </c>
      <c r="Y38" s="94">
        <f t="shared" si="18"/>
        <v>51.409447910676363</v>
      </c>
      <c r="AA38" s="33">
        <f t="shared" si="19"/>
        <v>-733128</v>
      </c>
      <c r="AB38" s="33">
        <f t="shared" si="20"/>
        <v>-645763</v>
      </c>
      <c r="AC38" s="33">
        <f t="shared" si="21"/>
        <v>0</v>
      </c>
      <c r="AD38" s="57">
        <f t="shared" si="22"/>
        <v>-3.5905520893236371</v>
      </c>
      <c r="AG38" s="609" t="str">
        <f t="shared" si="23"/>
        <v>032</v>
      </c>
      <c r="AH38" s="388" t="str">
        <f t="shared" si="24"/>
        <v>Blackstone</v>
      </c>
      <c r="AI38" s="380">
        <f t="shared" si="25"/>
        <v>0.55004138901691024</v>
      </c>
      <c r="AJ38" s="381">
        <f t="shared" si="5"/>
        <v>55</v>
      </c>
      <c r="AK38" s="380">
        <f t="shared" si="26"/>
        <v>4.7100000000000003E-2</v>
      </c>
      <c r="AL38" s="9">
        <f t="shared" si="6"/>
        <v>9235375</v>
      </c>
      <c r="AM38" s="57">
        <f t="shared" si="27"/>
        <v>-3.5905520893236371</v>
      </c>
    </row>
    <row r="39" spans="1:39" ht="12.75" customHeight="1">
      <c r="A39" s="6">
        <v>33</v>
      </c>
      <c r="B39" s="6" t="s">
        <v>714</v>
      </c>
      <c r="C39" s="81">
        <v>241062700</v>
      </c>
      <c r="D39" s="81">
        <f t="shared" si="1"/>
        <v>941496.43459170905</v>
      </c>
      <c r="E39" s="8">
        <v>43557000</v>
      </c>
      <c r="F39" s="81">
        <f t="shared" si="28"/>
        <v>623383.45096844225</v>
      </c>
      <c r="G39" s="81">
        <f t="shared" si="2"/>
        <v>1564880</v>
      </c>
      <c r="H39" s="127">
        <f t="shared" si="7"/>
        <v>1711169.7312802558</v>
      </c>
      <c r="I39" s="347">
        <f t="shared" si="8"/>
        <v>0.9145089299991267</v>
      </c>
      <c r="J39" s="33">
        <f t="shared" si="3"/>
        <v>1411715</v>
      </c>
      <c r="K39" s="33">
        <f t="shared" si="9"/>
        <v>1411715</v>
      </c>
      <c r="L39" s="126">
        <f t="shared" si="10"/>
        <v>82.5</v>
      </c>
      <c r="M39" s="470"/>
      <c r="N39" s="128">
        <v>1142266</v>
      </c>
      <c r="O39" s="449">
        <v>1.41E-2</v>
      </c>
      <c r="P39" s="33">
        <f t="shared" si="11"/>
        <v>1158372</v>
      </c>
      <c r="Q39" s="57">
        <f t="shared" si="12"/>
        <v>67.69474581188004</v>
      </c>
      <c r="R39" s="57">
        <f t="shared" si="13"/>
        <v>14.80525418811996</v>
      </c>
      <c r="S39" s="88">
        <f t="shared" si="14"/>
        <v>0.02</v>
      </c>
      <c r="T39" s="33">
        <f t="shared" si="15"/>
        <v>22845</v>
      </c>
      <c r="U39" s="9">
        <f t="shared" si="16"/>
        <v>0</v>
      </c>
      <c r="V39" s="9">
        <f t="shared" si="4"/>
        <v>0</v>
      </c>
      <c r="W39" s="9">
        <f t="shared" si="17"/>
        <v>0</v>
      </c>
      <c r="X39" s="127">
        <f>MIN(H39*parameters!C$22,ROUND(P39+T39-V39+W39,0))</f>
        <v>1181217</v>
      </c>
      <c r="Y39" s="94">
        <f t="shared" si="18"/>
        <v>69.029797477556016</v>
      </c>
      <c r="AA39" s="33">
        <f t="shared" si="19"/>
        <v>-253343</v>
      </c>
      <c r="AB39" s="33">
        <f t="shared" si="20"/>
        <v>-230498</v>
      </c>
      <c r="AC39" s="33">
        <f t="shared" si="21"/>
        <v>0</v>
      </c>
      <c r="AD39" s="57">
        <f t="shared" si="22"/>
        <v>-13.470202522443984</v>
      </c>
      <c r="AG39" s="609" t="str">
        <f t="shared" si="23"/>
        <v>033</v>
      </c>
      <c r="AH39" s="388" t="str">
        <f t="shared" si="24"/>
        <v>Blandford</v>
      </c>
      <c r="AI39" s="380">
        <f t="shared" si="25"/>
        <v>0.9145089299991267</v>
      </c>
      <c r="AJ39" s="381">
        <f t="shared" si="5"/>
        <v>82.5</v>
      </c>
      <c r="AK39" s="380">
        <f t="shared" si="26"/>
        <v>1.41E-2</v>
      </c>
      <c r="AL39" s="9">
        <f t="shared" si="6"/>
        <v>1181217</v>
      </c>
      <c r="AM39" s="57">
        <f t="shared" si="27"/>
        <v>-13.470202522443984</v>
      </c>
    </row>
    <row r="40" spans="1:39" ht="12.75" customHeight="1">
      <c r="A40" s="6">
        <v>34</v>
      </c>
      <c r="B40" s="6" t="s">
        <v>715</v>
      </c>
      <c r="C40" s="81">
        <v>1307897000</v>
      </c>
      <c r="D40" s="81">
        <f t="shared" si="1"/>
        <v>5108133.1218524994</v>
      </c>
      <c r="E40" s="8">
        <v>568334000</v>
      </c>
      <c r="F40" s="81">
        <f t="shared" si="28"/>
        <v>8133939.6703790128</v>
      </c>
      <c r="G40" s="81">
        <f t="shared" si="2"/>
        <v>13242073</v>
      </c>
      <c r="H40" s="127">
        <f t="shared" si="7"/>
        <v>13671066.238212749</v>
      </c>
      <c r="I40" s="347">
        <f t="shared" si="8"/>
        <v>0.96862035259447088</v>
      </c>
      <c r="J40" s="33">
        <f t="shared" si="3"/>
        <v>11278630</v>
      </c>
      <c r="K40" s="33">
        <f t="shared" si="9"/>
        <v>11278630</v>
      </c>
      <c r="L40" s="126">
        <f t="shared" si="10"/>
        <v>82.5</v>
      </c>
      <c r="M40" s="470"/>
      <c r="N40" s="128">
        <v>10584415</v>
      </c>
      <c r="O40" s="449">
        <v>4.2999999999999997E-2</v>
      </c>
      <c r="P40" s="33">
        <f t="shared" si="11"/>
        <v>11039545</v>
      </c>
      <c r="Q40" s="57">
        <f t="shared" si="12"/>
        <v>80.751163132709877</v>
      </c>
      <c r="R40" s="57">
        <f t="shared" si="13"/>
        <v>1.7488368672901231</v>
      </c>
      <c r="S40" s="88">
        <f t="shared" si="14"/>
        <v>0</v>
      </c>
      <c r="T40" s="33">
        <f t="shared" si="15"/>
        <v>0</v>
      </c>
      <c r="U40" s="9">
        <f t="shared" si="16"/>
        <v>0</v>
      </c>
      <c r="V40" s="9">
        <f t="shared" si="4"/>
        <v>0</v>
      </c>
      <c r="W40" s="9">
        <f t="shared" si="17"/>
        <v>0</v>
      </c>
      <c r="X40" s="127">
        <f>MIN(H40*parameters!C$22,ROUND(P40+T40-V40+W40,0))</f>
        <v>11039545</v>
      </c>
      <c r="Y40" s="94">
        <f t="shared" si="18"/>
        <v>80.751163132709877</v>
      </c>
      <c r="AA40" s="33">
        <f t="shared" si="19"/>
        <v>-239085</v>
      </c>
      <c r="AB40" s="33">
        <f t="shared" si="20"/>
        <v>-239085</v>
      </c>
      <c r="AC40" s="33">
        <f t="shared" si="21"/>
        <v>0</v>
      </c>
      <c r="AD40" s="57">
        <f t="shared" si="22"/>
        <v>-1.7488368672901231</v>
      </c>
      <c r="AG40" s="609" t="str">
        <f t="shared" si="23"/>
        <v>034</v>
      </c>
      <c r="AH40" s="388" t="str">
        <f t="shared" si="24"/>
        <v>Bolton</v>
      </c>
      <c r="AI40" s="380">
        <f t="shared" si="25"/>
        <v>0.96862035259447088</v>
      </c>
      <c r="AJ40" s="381">
        <f t="shared" si="5"/>
        <v>82.5</v>
      </c>
      <c r="AK40" s="380">
        <f t="shared" si="26"/>
        <v>4.2999999999999997E-2</v>
      </c>
      <c r="AL40" s="9">
        <f t="shared" si="6"/>
        <v>11039545</v>
      </c>
      <c r="AM40" s="57">
        <f t="shared" si="27"/>
        <v>-1.7488368672901231</v>
      </c>
    </row>
    <row r="41" spans="1:39" ht="12.75" customHeight="1">
      <c r="A41" s="6">
        <v>35</v>
      </c>
      <c r="B41" s="6" t="s">
        <v>716</v>
      </c>
      <c r="C41" s="81">
        <v>226367656500</v>
      </c>
      <c r="D41" s="81">
        <f t="shared" si="1"/>
        <v>884103353.61559761</v>
      </c>
      <c r="E41" s="8">
        <v>49961353000</v>
      </c>
      <c r="F41" s="81">
        <f t="shared" si="28"/>
        <v>715041914.00217044</v>
      </c>
      <c r="G41" s="81">
        <f t="shared" si="2"/>
        <v>1599145268</v>
      </c>
      <c r="H41" s="127">
        <f t="shared" si="7"/>
        <v>1145949554.1332099</v>
      </c>
      <c r="I41" s="347">
        <f t="shared" si="8"/>
        <v>1.3954761466001746</v>
      </c>
      <c r="J41" s="33">
        <f t="shared" si="3"/>
        <v>945408382</v>
      </c>
      <c r="K41" s="33">
        <f t="shared" si="9"/>
        <v>945408382</v>
      </c>
      <c r="L41" s="126">
        <f t="shared" si="10"/>
        <v>82.5</v>
      </c>
      <c r="M41" s="470"/>
      <c r="N41" s="128">
        <v>880485066</v>
      </c>
      <c r="O41" s="449">
        <v>8.4199999999999997E-2</v>
      </c>
      <c r="P41" s="33">
        <f t="shared" si="11"/>
        <v>954621909</v>
      </c>
      <c r="Q41" s="57">
        <f t="shared" si="12"/>
        <v>83.304008065352477</v>
      </c>
      <c r="R41" s="57">
        <f t="shared" si="13"/>
        <v>0</v>
      </c>
      <c r="S41" s="88">
        <f t="shared" si="14"/>
        <v>0</v>
      </c>
      <c r="T41" s="33">
        <f t="shared" si="15"/>
        <v>0</v>
      </c>
      <c r="U41" s="9">
        <f t="shared" si="16"/>
        <v>9213527</v>
      </c>
      <c r="V41" s="9">
        <f t="shared" si="4"/>
        <v>9213527</v>
      </c>
      <c r="W41" s="9">
        <f t="shared" si="17"/>
        <v>0</v>
      </c>
      <c r="X41" s="127">
        <f>MIN(H41*parameters!C$22,ROUND(P41+T41-V41+W41,0))</f>
        <v>945408382</v>
      </c>
      <c r="Y41" s="94">
        <f t="shared" si="18"/>
        <v>82.49999998604666</v>
      </c>
      <c r="AA41" s="33">
        <f t="shared" si="19"/>
        <v>0</v>
      </c>
      <c r="AB41" s="33">
        <f t="shared" si="20"/>
        <v>0</v>
      </c>
      <c r="AC41" s="33">
        <f t="shared" si="21"/>
        <v>0</v>
      </c>
      <c r="AD41" s="57">
        <f t="shared" si="22"/>
        <v>-1.3953339816907828E-8</v>
      </c>
      <c r="AG41" s="609" t="str">
        <f t="shared" si="23"/>
        <v>035</v>
      </c>
      <c r="AH41" s="388" t="str">
        <f t="shared" si="24"/>
        <v>Boston</v>
      </c>
      <c r="AI41" s="380">
        <f t="shared" si="25"/>
        <v>1.3954761466001746</v>
      </c>
      <c r="AJ41" s="381">
        <f t="shared" si="5"/>
        <v>82.5</v>
      </c>
      <c r="AK41" s="380">
        <f t="shared" si="26"/>
        <v>8.4199999999999997E-2</v>
      </c>
      <c r="AL41" s="9">
        <f t="shared" si="6"/>
        <v>945408382</v>
      </c>
      <c r="AM41" s="57">
        <f t="shared" si="27"/>
        <v>-1.3953339816907828E-8</v>
      </c>
    </row>
    <row r="42" spans="1:39" ht="12.75" customHeight="1">
      <c r="A42" s="6">
        <v>36</v>
      </c>
      <c r="B42" s="6" t="s">
        <v>717</v>
      </c>
      <c r="C42" s="81">
        <v>5710427600</v>
      </c>
      <c r="D42" s="81">
        <f t="shared" si="1"/>
        <v>22302692.309486661</v>
      </c>
      <c r="E42" s="8">
        <v>1041101000</v>
      </c>
      <c r="F42" s="81">
        <f t="shared" si="28"/>
        <v>14900133.943721933</v>
      </c>
      <c r="G42" s="81">
        <f t="shared" si="2"/>
        <v>37202826</v>
      </c>
      <c r="H42" s="127">
        <f t="shared" si="7"/>
        <v>28339240.442686904</v>
      </c>
      <c r="I42" s="347">
        <f t="shared" si="8"/>
        <v>1.3127672237807062</v>
      </c>
      <c r="J42" s="33">
        <f t="shared" si="3"/>
        <v>23379873</v>
      </c>
      <c r="K42" s="33">
        <f t="shared" si="9"/>
        <v>23379873</v>
      </c>
      <c r="L42" s="126">
        <f t="shared" si="10"/>
        <v>82.5</v>
      </c>
      <c r="M42" s="470"/>
      <c r="N42" s="128">
        <v>21662971</v>
      </c>
      <c r="O42" s="449">
        <v>4.8300000000000003E-2</v>
      </c>
      <c r="P42" s="33">
        <f t="shared" si="11"/>
        <v>22709292</v>
      </c>
      <c r="Q42" s="57">
        <f t="shared" si="12"/>
        <v>80.13373557391958</v>
      </c>
      <c r="R42" s="57">
        <f t="shared" si="13"/>
        <v>2.36626442608042</v>
      </c>
      <c r="S42" s="88">
        <f t="shared" si="14"/>
        <v>0</v>
      </c>
      <c r="T42" s="33">
        <f t="shared" si="15"/>
        <v>0</v>
      </c>
      <c r="U42" s="9">
        <f t="shared" si="16"/>
        <v>0</v>
      </c>
      <c r="V42" s="9">
        <f t="shared" si="4"/>
        <v>0</v>
      </c>
      <c r="W42" s="9">
        <f t="shared" si="17"/>
        <v>0</v>
      </c>
      <c r="X42" s="127">
        <f>MIN(H42*parameters!C$22,ROUND(P42+T42-V42+W42,0))</f>
        <v>22709292</v>
      </c>
      <c r="Y42" s="94">
        <f t="shared" si="18"/>
        <v>80.13373557391958</v>
      </c>
      <c r="AA42" s="33">
        <f t="shared" si="19"/>
        <v>-670581</v>
      </c>
      <c r="AB42" s="33">
        <f t="shared" si="20"/>
        <v>-670581</v>
      </c>
      <c r="AC42" s="33">
        <f t="shared" si="21"/>
        <v>0</v>
      </c>
      <c r="AD42" s="57">
        <f t="shared" si="22"/>
        <v>-2.36626442608042</v>
      </c>
      <c r="AG42" s="609" t="str">
        <f t="shared" si="23"/>
        <v>036</v>
      </c>
      <c r="AH42" s="388" t="str">
        <f t="shared" si="24"/>
        <v>Bourne</v>
      </c>
      <c r="AI42" s="380">
        <f t="shared" si="25"/>
        <v>1.3127672237807062</v>
      </c>
      <c r="AJ42" s="381">
        <f t="shared" si="5"/>
        <v>82.5</v>
      </c>
      <c r="AK42" s="380">
        <f t="shared" si="26"/>
        <v>4.8300000000000003E-2</v>
      </c>
      <c r="AL42" s="9">
        <f t="shared" si="6"/>
        <v>22709292</v>
      </c>
      <c r="AM42" s="57">
        <f t="shared" si="27"/>
        <v>-2.36626442608042</v>
      </c>
    </row>
    <row r="43" spans="1:39" ht="12.75" customHeight="1">
      <c r="A43" s="6">
        <v>37</v>
      </c>
      <c r="B43" s="6" t="s">
        <v>718</v>
      </c>
      <c r="C43" s="81">
        <v>1364276100</v>
      </c>
      <c r="D43" s="81">
        <f t="shared" si="1"/>
        <v>5328327.7916852422</v>
      </c>
      <c r="E43" s="8">
        <v>502257000</v>
      </c>
      <c r="F43" s="81">
        <f t="shared" si="28"/>
        <v>7188252.2196904495</v>
      </c>
      <c r="G43" s="81">
        <f t="shared" si="2"/>
        <v>12516580</v>
      </c>
      <c r="H43" s="127">
        <f t="shared" si="7"/>
        <v>11701440.681815743</v>
      </c>
      <c r="I43" s="347">
        <f t="shared" si="8"/>
        <v>1.0696614494188736</v>
      </c>
      <c r="J43" s="33">
        <f t="shared" si="3"/>
        <v>9653689</v>
      </c>
      <c r="K43" s="33">
        <f t="shared" si="9"/>
        <v>9653689</v>
      </c>
      <c r="L43" s="126">
        <f t="shared" si="10"/>
        <v>82.5</v>
      </c>
      <c r="M43" s="470"/>
      <c r="N43" s="128">
        <v>8509382</v>
      </c>
      <c r="O43" s="449">
        <v>3.85E-2</v>
      </c>
      <c r="P43" s="33">
        <f t="shared" si="11"/>
        <v>8836993</v>
      </c>
      <c r="Q43" s="57">
        <f t="shared" si="12"/>
        <v>75.520555462310313</v>
      </c>
      <c r="R43" s="57">
        <f>IF(L43&gt;Q43,L43-Q43,0)</f>
        <v>6.9794445376896874</v>
      </c>
      <c r="S43" s="88">
        <f t="shared" si="14"/>
        <v>0.01</v>
      </c>
      <c r="T43" s="33">
        <f t="shared" si="15"/>
        <v>85094</v>
      </c>
      <c r="U43" s="9">
        <f t="shared" si="16"/>
        <v>0</v>
      </c>
      <c r="V43" s="9">
        <f t="shared" si="4"/>
        <v>0</v>
      </c>
      <c r="W43" s="9">
        <f t="shared" si="17"/>
        <v>0</v>
      </c>
      <c r="X43" s="127">
        <f>MIN(H43*parameters!C$22,ROUND(P43+T43-V43+W43,0))</f>
        <v>8922087</v>
      </c>
      <c r="Y43" s="94">
        <f t="shared" si="18"/>
        <v>76.247765062511405</v>
      </c>
      <c r="AA43" s="33">
        <f t="shared" si="19"/>
        <v>-816696</v>
      </c>
      <c r="AB43" s="33">
        <f t="shared" si="20"/>
        <v>-731602</v>
      </c>
      <c r="AC43" s="33">
        <f t="shared" si="21"/>
        <v>0</v>
      </c>
      <c r="AD43" s="57">
        <f t="shared" si="22"/>
        <v>-6.2522349374885948</v>
      </c>
      <c r="AG43" s="609" t="str">
        <f t="shared" si="23"/>
        <v>037</v>
      </c>
      <c r="AH43" s="388" t="str">
        <f t="shared" si="24"/>
        <v>Boxborough</v>
      </c>
      <c r="AI43" s="380">
        <f t="shared" si="25"/>
        <v>1.0696614494188736</v>
      </c>
      <c r="AJ43" s="381">
        <f t="shared" si="5"/>
        <v>82.5</v>
      </c>
      <c r="AK43" s="380">
        <f t="shared" si="26"/>
        <v>3.85E-2</v>
      </c>
      <c r="AL43" s="9">
        <f t="shared" si="6"/>
        <v>8922087</v>
      </c>
      <c r="AM43" s="57">
        <f t="shared" si="27"/>
        <v>-6.2522349374885948</v>
      </c>
    </row>
    <row r="44" spans="1:39" ht="12.75" customHeight="1">
      <c r="A44" s="6">
        <v>38</v>
      </c>
      <c r="B44" s="6" t="s">
        <v>719</v>
      </c>
      <c r="C44" s="81">
        <v>2248921600</v>
      </c>
      <c r="D44" s="81">
        <f t="shared" si="1"/>
        <v>8783406.4252838846</v>
      </c>
      <c r="E44" s="8">
        <v>1174940000</v>
      </c>
      <c r="F44" s="81">
        <f t="shared" si="28"/>
        <v>16815624.397475988</v>
      </c>
      <c r="G44" s="81">
        <f t="shared" si="2"/>
        <v>25599031</v>
      </c>
      <c r="H44" s="127">
        <f t="shared" si="7"/>
        <v>17454887.359075967</v>
      </c>
      <c r="I44" s="347">
        <f t="shared" si="8"/>
        <v>1.4665824232139399</v>
      </c>
      <c r="J44" s="33">
        <f t="shared" si="3"/>
        <v>14400282</v>
      </c>
      <c r="K44" s="33">
        <f t="shared" si="9"/>
        <v>14400282</v>
      </c>
      <c r="L44" s="126">
        <f t="shared" si="10"/>
        <v>82.5</v>
      </c>
      <c r="M44" s="470"/>
      <c r="N44" s="128">
        <v>13214112</v>
      </c>
      <c r="O44" s="449">
        <v>3.5099999999999999E-2</v>
      </c>
      <c r="P44" s="33">
        <f t="shared" si="11"/>
        <v>13677927</v>
      </c>
      <c r="Q44" s="57">
        <f t="shared" si="12"/>
        <v>78.361588468732961</v>
      </c>
      <c r="R44" s="57">
        <f t="shared" si="13"/>
        <v>4.1384115312670389</v>
      </c>
      <c r="S44" s="88">
        <f t="shared" si="14"/>
        <v>0.01</v>
      </c>
      <c r="T44" s="33">
        <f t="shared" si="15"/>
        <v>132141</v>
      </c>
      <c r="U44" s="9">
        <f t="shared" si="16"/>
        <v>0</v>
      </c>
      <c r="V44" s="9">
        <f t="shared" si="4"/>
        <v>0</v>
      </c>
      <c r="W44" s="9">
        <f t="shared" si="17"/>
        <v>0</v>
      </c>
      <c r="X44" s="127">
        <f>MIN(H44*parameters!C$22,ROUND(P44+T44-V44+W44,0))</f>
        <v>13810068</v>
      </c>
      <c r="Y44" s="94">
        <f t="shared" si="18"/>
        <v>79.118631452062729</v>
      </c>
      <c r="AA44" s="33">
        <f t="shared" si="19"/>
        <v>-722355</v>
      </c>
      <c r="AB44" s="33">
        <f t="shared" si="20"/>
        <v>-590214</v>
      </c>
      <c r="AC44" s="33">
        <f t="shared" si="21"/>
        <v>0</v>
      </c>
      <c r="AD44" s="57">
        <f t="shared" si="22"/>
        <v>-3.3813685479372708</v>
      </c>
      <c r="AG44" s="609" t="str">
        <f t="shared" si="23"/>
        <v>038</v>
      </c>
      <c r="AH44" s="388" t="str">
        <f t="shared" si="24"/>
        <v>Boxford</v>
      </c>
      <c r="AI44" s="380">
        <f t="shared" si="25"/>
        <v>1.4665824232139399</v>
      </c>
      <c r="AJ44" s="381">
        <f t="shared" si="5"/>
        <v>82.5</v>
      </c>
      <c r="AK44" s="380">
        <f t="shared" si="26"/>
        <v>3.5099999999999999E-2</v>
      </c>
      <c r="AL44" s="9">
        <f t="shared" si="6"/>
        <v>13810068</v>
      </c>
      <c r="AM44" s="57">
        <f t="shared" si="27"/>
        <v>-3.3813685479372708</v>
      </c>
    </row>
    <row r="45" spans="1:39" ht="12.75" customHeight="1">
      <c r="A45" s="6">
        <v>39</v>
      </c>
      <c r="B45" s="6" t="s">
        <v>720</v>
      </c>
      <c r="C45" s="81">
        <v>1023674500</v>
      </c>
      <c r="D45" s="81">
        <f t="shared" si="1"/>
        <v>3998071.422631749</v>
      </c>
      <c r="E45" s="8">
        <v>387762000</v>
      </c>
      <c r="F45" s="81">
        <f t="shared" si="28"/>
        <v>5549611.1696036253</v>
      </c>
      <c r="G45" s="81">
        <f t="shared" si="2"/>
        <v>9547683</v>
      </c>
      <c r="H45" s="127">
        <f t="shared" si="7"/>
        <v>8419159.9859478008</v>
      </c>
      <c r="I45" s="347">
        <f t="shared" si="8"/>
        <v>1.1340422341344965</v>
      </c>
      <c r="J45" s="33">
        <f t="shared" si="3"/>
        <v>6945807</v>
      </c>
      <c r="K45" s="33">
        <f t="shared" si="9"/>
        <v>6945807</v>
      </c>
      <c r="L45" s="126">
        <f t="shared" si="10"/>
        <v>82.5</v>
      </c>
      <c r="M45" s="470"/>
      <c r="N45" s="128">
        <v>6610813</v>
      </c>
      <c r="O45" s="449">
        <v>5.5399999999999998E-2</v>
      </c>
      <c r="P45" s="33">
        <f t="shared" si="11"/>
        <v>6977052</v>
      </c>
      <c r="Q45" s="57">
        <f t="shared" si="12"/>
        <v>82.8711179220399</v>
      </c>
      <c r="R45" s="57">
        <f t="shared" si="13"/>
        <v>0</v>
      </c>
      <c r="S45" s="88">
        <f t="shared" si="14"/>
        <v>0</v>
      </c>
      <c r="T45" s="33">
        <f t="shared" si="15"/>
        <v>0</v>
      </c>
      <c r="U45" s="9">
        <f t="shared" si="16"/>
        <v>31245</v>
      </c>
      <c r="V45" s="9">
        <f t="shared" si="4"/>
        <v>31245</v>
      </c>
      <c r="W45" s="9">
        <f t="shared" si="17"/>
        <v>0</v>
      </c>
      <c r="X45" s="127">
        <f>MIN(H45*parameters!C$22,ROUND(P45+T45-V45+W45,0))</f>
        <v>6945807</v>
      </c>
      <c r="Y45" s="94">
        <f t="shared" si="18"/>
        <v>82.500000137698592</v>
      </c>
      <c r="AA45" s="33">
        <f t="shared" si="19"/>
        <v>0</v>
      </c>
      <c r="AB45" s="33">
        <f t="shared" si="20"/>
        <v>0</v>
      </c>
      <c r="AC45" s="33">
        <f t="shared" si="21"/>
        <v>0</v>
      </c>
      <c r="AD45" s="57">
        <f t="shared" si="22"/>
        <v>1.3769859208423441E-7</v>
      </c>
      <c r="AG45" s="609" t="str">
        <f t="shared" si="23"/>
        <v>039</v>
      </c>
      <c r="AH45" s="388" t="str">
        <f t="shared" si="24"/>
        <v>Boylston</v>
      </c>
      <c r="AI45" s="380">
        <f t="shared" si="25"/>
        <v>1.1340422341344965</v>
      </c>
      <c r="AJ45" s="381">
        <f t="shared" si="5"/>
        <v>82.5</v>
      </c>
      <c r="AK45" s="380">
        <f t="shared" si="26"/>
        <v>5.5399999999999998E-2</v>
      </c>
      <c r="AL45" s="9">
        <f t="shared" si="6"/>
        <v>6945807</v>
      </c>
      <c r="AM45" s="57">
        <f t="shared" si="27"/>
        <v>1.3769859208423441E-7</v>
      </c>
    </row>
    <row r="46" spans="1:39" ht="12.75" customHeight="1">
      <c r="A46" s="6">
        <v>40</v>
      </c>
      <c r="B46" s="6" t="s">
        <v>721</v>
      </c>
      <c r="C46" s="81">
        <v>8924863200</v>
      </c>
      <c r="D46" s="81">
        <f t="shared" si="1"/>
        <v>34857018.037293829</v>
      </c>
      <c r="E46" s="8">
        <v>2074879000</v>
      </c>
      <c r="F46" s="81">
        <f t="shared" si="28"/>
        <v>29695461.839932743</v>
      </c>
      <c r="G46" s="81">
        <f t="shared" si="2"/>
        <v>64552480</v>
      </c>
      <c r="H46" s="127">
        <f t="shared" si="7"/>
        <v>77487823.951122284</v>
      </c>
      <c r="I46" s="347">
        <f t="shared" si="8"/>
        <v>0.83306610907951639</v>
      </c>
      <c r="J46" s="33">
        <f t="shared" si="3"/>
        <v>63927455</v>
      </c>
      <c r="K46" s="33">
        <f t="shared" si="9"/>
        <v>63927455</v>
      </c>
      <c r="L46" s="126">
        <f t="shared" si="10"/>
        <v>82.5</v>
      </c>
      <c r="M46" s="470"/>
      <c r="N46" s="128">
        <v>54636896</v>
      </c>
      <c r="O46" s="449">
        <v>4.4199999999999996E-2</v>
      </c>
      <c r="P46" s="33">
        <f t="shared" si="11"/>
        <v>57051847</v>
      </c>
      <c r="Q46" s="57">
        <f t="shared" si="12"/>
        <v>73.626853989327572</v>
      </c>
      <c r="R46" s="57">
        <f t="shared" si="13"/>
        <v>8.8731460106724285</v>
      </c>
      <c r="S46" s="88">
        <f t="shared" si="14"/>
        <v>0.02</v>
      </c>
      <c r="T46" s="33">
        <f t="shared" si="15"/>
        <v>1092738</v>
      </c>
      <c r="U46" s="9">
        <f t="shared" si="16"/>
        <v>0</v>
      </c>
      <c r="V46" s="9">
        <f t="shared" si="4"/>
        <v>0</v>
      </c>
      <c r="W46" s="9">
        <f t="shared" si="17"/>
        <v>0</v>
      </c>
      <c r="X46" s="127">
        <f>MIN(H46*parameters!C$22,ROUND(P46+T46-V46+W46,0))</f>
        <v>58144585</v>
      </c>
      <c r="Y46" s="94">
        <f t="shared" si="18"/>
        <v>75.037060063367377</v>
      </c>
      <c r="AA46" s="33">
        <f t="shared" si="19"/>
        <v>-6875608</v>
      </c>
      <c r="AB46" s="33">
        <f t="shared" si="20"/>
        <v>-5782870</v>
      </c>
      <c r="AC46" s="33">
        <f t="shared" si="21"/>
        <v>0</v>
      </c>
      <c r="AD46" s="57">
        <f t="shared" si="22"/>
        <v>-7.4629399366326226</v>
      </c>
      <c r="AG46" s="609" t="str">
        <f t="shared" si="23"/>
        <v>040</v>
      </c>
      <c r="AH46" s="388" t="str">
        <f t="shared" si="24"/>
        <v>Braintree</v>
      </c>
      <c r="AI46" s="380">
        <f t="shared" si="25"/>
        <v>0.83306610907951639</v>
      </c>
      <c r="AJ46" s="381">
        <f t="shared" si="5"/>
        <v>82.5</v>
      </c>
      <c r="AK46" s="380">
        <f t="shared" si="26"/>
        <v>4.4199999999999996E-2</v>
      </c>
      <c r="AL46" s="9">
        <f t="shared" si="6"/>
        <v>58144585</v>
      </c>
      <c r="AM46" s="57">
        <f t="shared" si="27"/>
        <v>-7.4629399366326226</v>
      </c>
    </row>
    <row r="47" spans="1:39" ht="12.75" customHeight="1">
      <c r="A47" s="6">
        <v>41</v>
      </c>
      <c r="B47" s="6" t="s">
        <v>722</v>
      </c>
      <c r="C47" s="81">
        <v>4941374200</v>
      </c>
      <c r="D47" s="81">
        <f t="shared" si="1"/>
        <v>19299071.118358247</v>
      </c>
      <c r="E47" s="8">
        <v>548709000</v>
      </c>
      <c r="F47" s="81">
        <f t="shared" si="28"/>
        <v>7853068.6226655412</v>
      </c>
      <c r="G47" s="81">
        <f t="shared" si="2"/>
        <v>27152140</v>
      </c>
      <c r="H47" s="127">
        <f t="shared" si="7"/>
        <v>15036995.41823235</v>
      </c>
      <c r="I47" s="347">
        <f t="shared" si="8"/>
        <v>1.8056891848938148</v>
      </c>
      <c r="J47" s="33">
        <f t="shared" si="3"/>
        <v>12405521</v>
      </c>
      <c r="K47" s="33">
        <f t="shared" si="9"/>
        <v>12405521</v>
      </c>
      <c r="L47" s="126">
        <f t="shared" si="10"/>
        <v>82.5</v>
      </c>
      <c r="M47" s="470"/>
      <c r="N47" s="128">
        <v>11559348</v>
      </c>
      <c r="O47" s="449">
        <v>4.4500000000000005E-2</v>
      </c>
      <c r="P47" s="33">
        <f t="shared" si="11"/>
        <v>12073739</v>
      </c>
      <c r="Q47" s="57">
        <f t="shared" si="12"/>
        <v>80.293560410084297</v>
      </c>
      <c r="R47" s="57">
        <f t="shared" si="13"/>
        <v>2.2064395899157034</v>
      </c>
      <c r="S47" s="88">
        <f t="shared" si="14"/>
        <v>0</v>
      </c>
      <c r="T47" s="33">
        <f t="shared" si="15"/>
        <v>0</v>
      </c>
      <c r="U47" s="9">
        <f t="shared" si="16"/>
        <v>0</v>
      </c>
      <c r="V47" s="9">
        <f t="shared" si="4"/>
        <v>0</v>
      </c>
      <c r="W47" s="9">
        <f t="shared" si="17"/>
        <v>331782</v>
      </c>
      <c r="X47" s="127">
        <f>MIN(H47*parameters!C$22,ROUND(P47+T47-V47+W47,0))</f>
        <v>12405521</v>
      </c>
      <c r="Y47" s="94">
        <f t="shared" si="18"/>
        <v>82.499998536664521</v>
      </c>
      <c r="AA47" s="33">
        <f t="shared" si="19"/>
        <v>-331782</v>
      </c>
      <c r="AB47" s="33">
        <f t="shared" si="20"/>
        <v>0</v>
      </c>
      <c r="AC47" s="33">
        <f t="shared" si="21"/>
        <v>0</v>
      </c>
      <c r="AD47" s="57">
        <f t="shared" si="22"/>
        <v>-1.4633354794568731E-6</v>
      </c>
      <c r="AG47" s="609" t="str">
        <f t="shared" si="23"/>
        <v>041</v>
      </c>
      <c r="AH47" s="388" t="str">
        <f t="shared" si="24"/>
        <v>Brewster</v>
      </c>
      <c r="AI47" s="380">
        <f t="shared" si="25"/>
        <v>1.8056891848938148</v>
      </c>
      <c r="AJ47" s="381">
        <f t="shared" si="5"/>
        <v>82.5</v>
      </c>
      <c r="AK47" s="380">
        <f t="shared" si="26"/>
        <v>4.4500000000000005E-2</v>
      </c>
      <c r="AL47" s="9">
        <f t="shared" si="6"/>
        <v>12405521</v>
      </c>
      <c r="AM47" s="57">
        <f t="shared" si="27"/>
        <v>-1.4633354794568731E-6</v>
      </c>
    </row>
    <row r="48" spans="1:39" ht="12.75" customHeight="1">
      <c r="A48" s="6">
        <v>42</v>
      </c>
      <c r="B48" s="6" t="s">
        <v>723</v>
      </c>
      <c r="C48" s="81">
        <v>3904478200</v>
      </c>
      <c r="D48" s="81">
        <f t="shared" si="1"/>
        <v>15249361.698184971</v>
      </c>
      <c r="E48" s="8">
        <v>1184040000</v>
      </c>
      <c r="F48" s="81">
        <f t="shared" si="28"/>
        <v>16945862.692211915</v>
      </c>
      <c r="G48" s="81">
        <f t="shared" si="2"/>
        <v>32195224</v>
      </c>
      <c r="H48" s="127">
        <f t="shared" si="7"/>
        <v>50265336.517397597</v>
      </c>
      <c r="I48" s="347">
        <f t="shared" si="8"/>
        <v>0.64050549007777446</v>
      </c>
      <c r="J48" s="33">
        <f t="shared" si="3"/>
        <v>41468903</v>
      </c>
      <c r="K48" s="33">
        <f t="shared" si="9"/>
        <v>32195224</v>
      </c>
      <c r="L48" s="126">
        <f t="shared" si="10"/>
        <v>64.05</v>
      </c>
      <c r="M48" s="470"/>
      <c r="N48" s="128">
        <v>27661871</v>
      </c>
      <c r="O48" s="449">
        <v>5.04E-2</v>
      </c>
      <c r="P48" s="33">
        <f t="shared" si="11"/>
        <v>29056029</v>
      </c>
      <c r="Q48" s="57">
        <f t="shared" si="12"/>
        <v>57.805300855676691</v>
      </c>
      <c r="R48" s="57">
        <f t="shared" si="13"/>
        <v>6.244699144323306</v>
      </c>
      <c r="S48" s="88">
        <f t="shared" si="14"/>
        <v>0.01</v>
      </c>
      <c r="T48" s="33">
        <f t="shared" si="15"/>
        <v>276619</v>
      </c>
      <c r="U48" s="9">
        <f t="shared" si="16"/>
        <v>0</v>
      </c>
      <c r="V48" s="9">
        <f t="shared" si="4"/>
        <v>0</v>
      </c>
      <c r="W48" s="9">
        <f t="shared" si="17"/>
        <v>0</v>
      </c>
      <c r="X48" s="127">
        <f>MIN(H48*parameters!C$22,ROUND(P48+T48-V48+W48,0))</f>
        <v>29332648</v>
      </c>
      <c r="Y48" s="94">
        <f t="shared" si="18"/>
        <v>58.355618468499706</v>
      </c>
      <c r="AA48" s="33">
        <f t="shared" si="19"/>
        <v>-3139195</v>
      </c>
      <c r="AB48" s="33">
        <f t="shared" si="20"/>
        <v>-2862576</v>
      </c>
      <c r="AC48" s="33">
        <f t="shared" si="21"/>
        <v>0</v>
      </c>
      <c r="AD48" s="57">
        <f t="shared" si="22"/>
        <v>-5.6943815315002908</v>
      </c>
      <c r="AG48" s="609" t="str">
        <f t="shared" si="23"/>
        <v>042</v>
      </c>
      <c r="AH48" s="388" t="str">
        <f t="shared" si="24"/>
        <v>Bridgewater</v>
      </c>
      <c r="AI48" s="380">
        <f t="shared" si="25"/>
        <v>0.64050549007777446</v>
      </c>
      <c r="AJ48" s="381">
        <f t="shared" si="5"/>
        <v>64.05</v>
      </c>
      <c r="AK48" s="380">
        <f t="shared" si="26"/>
        <v>5.04E-2</v>
      </c>
      <c r="AL48" s="9">
        <f t="shared" si="6"/>
        <v>29332648</v>
      </c>
      <c r="AM48" s="57">
        <f t="shared" si="27"/>
        <v>-5.6943815315002908</v>
      </c>
    </row>
    <row r="49" spans="1:39" ht="12.75" customHeight="1">
      <c r="A49" s="6">
        <v>43</v>
      </c>
      <c r="B49" s="6" t="s">
        <v>724</v>
      </c>
      <c r="C49" s="81">
        <v>523323600</v>
      </c>
      <c r="D49" s="81">
        <f t="shared" si="1"/>
        <v>2043896.8929564704</v>
      </c>
      <c r="E49" s="8">
        <v>165106000</v>
      </c>
      <c r="F49" s="81">
        <f t="shared" si="28"/>
        <v>2362980.6473263912</v>
      </c>
      <c r="G49" s="81">
        <f t="shared" si="2"/>
        <v>4406878</v>
      </c>
      <c r="H49" s="127">
        <f t="shared" si="7"/>
        <v>7722618.2502447749</v>
      </c>
      <c r="I49" s="347">
        <f t="shared" si="8"/>
        <v>0.57064558381612618</v>
      </c>
      <c r="J49" s="33">
        <f t="shared" si="3"/>
        <v>6371160</v>
      </c>
      <c r="K49" s="33">
        <f t="shared" si="9"/>
        <v>4406878</v>
      </c>
      <c r="L49" s="126">
        <f t="shared" si="10"/>
        <v>57.06</v>
      </c>
      <c r="M49" s="470"/>
      <c r="N49" s="128">
        <v>3879027</v>
      </c>
      <c r="O49" s="449">
        <v>3.1199999999999995E-2</v>
      </c>
      <c r="P49" s="33">
        <f t="shared" si="11"/>
        <v>4000053</v>
      </c>
      <c r="Q49" s="57">
        <f t="shared" si="12"/>
        <v>51.796591135049503</v>
      </c>
      <c r="R49" s="57">
        <f t="shared" si="13"/>
        <v>5.2634088649504989</v>
      </c>
      <c r="S49" s="88">
        <f t="shared" si="14"/>
        <v>0.01</v>
      </c>
      <c r="T49" s="33">
        <f t="shared" si="15"/>
        <v>38790</v>
      </c>
      <c r="U49" s="9">
        <f t="shared" si="16"/>
        <v>0</v>
      </c>
      <c r="V49" s="9">
        <f t="shared" si="4"/>
        <v>0</v>
      </c>
      <c r="W49" s="9">
        <f t="shared" si="17"/>
        <v>0</v>
      </c>
      <c r="X49" s="127">
        <f>MIN(H49*parameters!C$22,ROUND(P49+T49-V49+W49,0))</f>
        <v>4038843</v>
      </c>
      <c r="Y49" s="94">
        <f t="shared" si="18"/>
        <v>52.298881922228716</v>
      </c>
      <c r="AA49" s="33">
        <f t="shared" si="19"/>
        <v>-406825</v>
      </c>
      <c r="AB49" s="33">
        <f t="shared" si="20"/>
        <v>-368035</v>
      </c>
      <c r="AC49" s="33">
        <f t="shared" si="21"/>
        <v>0</v>
      </c>
      <c r="AD49" s="57">
        <f t="shared" si="22"/>
        <v>-4.761118077771286</v>
      </c>
      <c r="AG49" s="609" t="str">
        <f t="shared" si="23"/>
        <v>043</v>
      </c>
      <c r="AH49" s="388" t="str">
        <f t="shared" si="24"/>
        <v>Brimfield</v>
      </c>
      <c r="AI49" s="380">
        <f t="shared" si="25"/>
        <v>0.57064558381612618</v>
      </c>
      <c r="AJ49" s="381">
        <f t="shared" si="5"/>
        <v>57.06</v>
      </c>
      <c r="AK49" s="380">
        <f t="shared" si="26"/>
        <v>3.1199999999999995E-2</v>
      </c>
      <c r="AL49" s="9">
        <f t="shared" si="6"/>
        <v>4038843</v>
      </c>
      <c r="AM49" s="57">
        <f t="shared" si="27"/>
        <v>-4.761118077771286</v>
      </c>
    </row>
    <row r="50" spans="1:39" ht="12.75" customHeight="1">
      <c r="A50" s="6">
        <v>44</v>
      </c>
      <c r="B50" s="6" t="s">
        <v>725</v>
      </c>
      <c r="C50" s="81">
        <v>10593077300</v>
      </c>
      <c r="D50" s="81">
        <f t="shared" si="1"/>
        <v>41372408.544766024</v>
      </c>
      <c r="E50" s="8">
        <v>2588984000</v>
      </c>
      <c r="F50" s="81">
        <f t="shared" si="28"/>
        <v>37053281.456989266</v>
      </c>
      <c r="G50" s="81">
        <f t="shared" si="2"/>
        <v>78425690</v>
      </c>
      <c r="H50" s="127">
        <f t="shared" si="7"/>
        <v>337644898.44724858</v>
      </c>
      <c r="I50" s="347">
        <f t="shared" si="8"/>
        <v>0.23227269347371085</v>
      </c>
      <c r="J50" s="33">
        <f t="shared" si="3"/>
        <v>278557041</v>
      </c>
      <c r="K50" s="33">
        <f t="shared" si="9"/>
        <v>78425690</v>
      </c>
      <c r="L50" s="126">
        <f t="shared" si="10"/>
        <v>23.23</v>
      </c>
      <c r="M50" s="470"/>
      <c r="N50" s="128">
        <v>58519115</v>
      </c>
      <c r="O50" s="449">
        <v>6.0499999999999998E-2</v>
      </c>
      <c r="P50" s="33">
        <f t="shared" si="11"/>
        <v>62059521</v>
      </c>
      <c r="Q50" s="57">
        <f t="shared" si="12"/>
        <v>18.380115110696917</v>
      </c>
      <c r="R50" s="57">
        <f t="shared" si="13"/>
        <v>4.8498848893030839</v>
      </c>
      <c r="S50" s="88">
        <f t="shared" si="14"/>
        <v>0.01</v>
      </c>
      <c r="T50" s="33">
        <f t="shared" si="15"/>
        <v>585191</v>
      </c>
      <c r="U50" s="9">
        <f t="shared" si="16"/>
        <v>0</v>
      </c>
      <c r="V50" s="9">
        <f t="shared" si="4"/>
        <v>0</v>
      </c>
      <c r="W50" s="9">
        <f t="shared" si="17"/>
        <v>0</v>
      </c>
      <c r="X50" s="127">
        <f>MIN(H50*parameters!C$22,ROUND(P50+T50-V50+W50,0))</f>
        <v>62644712</v>
      </c>
      <c r="Y50" s="94">
        <f t="shared" si="18"/>
        <v>18.553430627291768</v>
      </c>
      <c r="AA50" s="33">
        <f t="shared" si="19"/>
        <v>-16366169</v>
      </c>
      <c r="AB50" s="33">
        <f t="shared" si="20"/>
        <v>-15780978</v>
      </c>
      <c r="AC50" s="33">
        <f t="shared" si="21"/>
        <v>0</v>
      </c>
      <c r="AD50" s="57">
        <f t="shared" si="22"/>
        <v>-4.6765693727082329</v>
      </c>
      <c r="AG50" s="609" t="str">
        <f t="shared" si="23"/>
        <v>044</v>
      </c>
      <c r="AH50" s="388" t="str">
        <f t="shared" si="24"/>
        <v>Brockton</v>
      </c>
      <c r="AI50" s="380">
        <f t="shared" si="25"/>
        <v>0.23227269347371085</v>
      </c>
      <c r="AJ50" s="381">
        <f t="shared" si="5"/>
        <v>23.23</v>
      </c>
      <c r="AK50" s="380">
        <f t="shared" si="26"/>
        <v>6.0499999999999998E-2</v>
      </c>
      <c r="AL50" s="9">
        <f t="shared" si="6"/>
        <v>62644712</v>
      </c>
      <c r="AM50" s="57">
        <f t="shared" si="27"/>
        <v>-4.6765693727082329</v>
      </c>
    </row>
    <row r="51" spans="1:39" ht="12.75" customHeight="1">
      <c r="A51" s="6">
        <v>45</v>
      </c>
      <c r="B51" s="6" t="s">
        <v>726</v>
      </c>
      <c r="C51" s="81">
        <v>370083900</v>
      </c>
      <c r="D51" s="81">
        <f t="shared" si="1"/>
        <v>1445402.6788457716</v>
      </c>
      <c r="E51" s="8">
        <v>119304000</v>
      </c>
      <c r="F51" s="81">
        <f t="shared" si="28"/>
        <v>1707466.9796895799</v>
      </c>
      <c r="G51" s="81">
        <f t="shared" si="2"/>
        <v>3152870</v>
      </c>
      <c r="H51" s="127">
        <f t="shared" si="7"/>
        <v>6491929.1360938335</v>
      </c>
      <c r="I51" s="347">
        <f t="shared" si="8"/>
        <v>0.48565995313637522</v>
      </c>
      <c r="J51" s="33">
        <f t="shared" si="3"/>
        <v>5355842</v>
      </c>
      <c r="K51" s="33">
        <f t="shared" si="9"/>
        <v>3152870</v>
      </c>
      <c r="L51" s="126">
        <f t="shared" si="10"/>
        <v>48.57</v>
      </c>
      <c r="M51" s="470"/>
      <c r="N51" s="128">
        <v>2685192</v>
      </c>
      <c r="O51" s="449">
        <v>4.2199999999999994E-2</v>
      </c>
      <c r="P51" s="33">
        <f t="shared" si="11"/>
        <v>2798507</v>
      </c>
      <c r="Q51" s="57">
        <f t="shared" si="12"/>
        <v>43.107479168878449</v>
      </c>
      <c r="R51" s="57">
        <f t="shared" si="13"/>
        <v>5.4625208311215516</v>
      </c>
      <c r="S51" s="88">
        <f t="shared" si="14"/>
        <v>0.01</v>
      </c>
      <c r="T51" s="33">
        <f t="shared" si="15"/>
        <v>26852</v>
      </c>
      <c r="U51" s="9">
        <f t="shared" si="16"/>
        <v>0</v>
      </c>
      <c r="V51" s="9">
        <f t="shared" si="4"/>
        <v>0</v>
      </c>
      <c r="W51" s="9">
        <f t="shared" si="17"/>
        <v>0</v>
      </c>
      <c r="X51" s="127">
        <f>MIN(H51*parameters!C$22,ROUND(P51+T51-V51+W51,0))</f>
        <v>2825359</v>
      </c>
      <c r="Y51" s="94">
        <f t="shared" si="18"/>
        <v>43.521100442880169</v>
      </c>
      <c r="AA51" s="33">
        <f t="shared" si="19"/>
        <v>-354363</v>
      </c>
      <c r="AB51" s="33">
        <f t="shared" si="20"/>
        <v>-327511</v>
      </c>
      <c r="AC51" s="33">
        <f t="shared" si="21"/>
        <v>0</v>
      </c>
      <c r="AD51" s="57">
        <f t="shared" si="22"/>
        <v>-5.0488995571198316</v>
      </c>
      <c r="AG51" s="609" t="str">
        <f t="shared" si="23"/>
        <v>045</v>
      </c>
      <c r="AH51" s="388" t="str">
        <f t="shared" si="24"/>
        <v>Brookfield</v>
      </c>
      <c r="AI51" s="380">
        <f t="shared" si="25"/>
        <v>0.48565995313637522</v>
      </c>
      <c r="AJ51" s="381">
        <f t="shared" si="5"/>
        <v>48.57</v>
      </c>
      <c r="AK51" s="380">
        <f t="shared" si="26"/>
        <v>4.2199999999999994E-2</v>
      </c>
      <c r="AL51" s="9">
        <f t="shared" si="6"/>
        <v>2825359</v>
      </c>
      <c r="AM51" s="57">
        <f t="shared" si="27"/>
        <v>-5.0488995571198316</v>
      </c>
    </row>
    <row r="52" spans="1:39" ht="12.75" customHeight="1">
      <c r="A52" s="6">
        <v>46</v>
      </c>
      <c r="B52" s="6" t="s">
        <v>727</v>
      </c>
      <c r="C52" s="81">
        <v>29895594800</v>
      </c>
      <c r="D52" s="81">
        <f t="shared" si="1"/>
        <v>116760477.31232761</v>
      </c>
      <c r="E52" s="8">
        <v>8103015000</v>
      </c>
      <c r="F52" s="81">
        <f t="shared" si="28"/>
        <v>115969544.59556563</v>
      </c>
      <c r="G52" s="81">
        <f t="shared" si="2"/>
        <v>232730022</v>
      </c>
      <c r="H52" s="127">
        <f t="shared" si="7"/>
        <v>91993751.557960004</v>
      </c>
      <c r="I52" s="347">
        <f t="shared" si="8"/>
        <v>2.5298459738688894</v>
      </c>
      <c r="J52" s="33">
        <f t="shared" si="3"/>
        <v>75894845</v>
      </c>
      <c r="K52" s="33">
        <f t="shared" si="9"/>
        <v>75894845</v>
      </c>
      <c r="L52" s="126">
        <f t="shared" si="10"/>
        <v>82.5</v>
      </c>
      <c r="M52" s="470"/>
      <c r="N52" s="128">
        <v>73750578</v>
      </c>
      <c r="O52" s="449">
        <v>3.6900000000000002E-2</v>
      </c>
      <c r="P52" s="33">
        <f t="shared" si="11"/>
        <v>76471974</v>
      </c>
      <c r="Q52" s="57">
        <f t="shared" si="12"/>
        <v>83.12735670076394</v>
      </c>
      <c r="R52" s="57">
        <f t="shared" si="13"/>
        <v>0</v>
      </c>
      <c r="S52" s="88">
        <f t="shared" si="14"/>
        <v>0</v>
      </c>
      <c r="T52" s="33">
        <f t="shared" si="15"/>
        <v>0</v>
      </c>
      <c r="U52" s="9">
        <f t="shared" si="16"/>
        <v>577129</v>
      </c>
      <c r="V52" s="9">
        <f t="shared" si="4"/>
        <v>577129</v>
      </c>
      <c r="W52" s="9">
        <f t="shared" si="17"/>
        <v>0</v>
      </c>
      <c r="X52" s="127">
        <f>MIN(H52*parameters!C$22,ROUND(P52+T52-V52+W52,0))</f>
        <v>75894845</v>
      </c>
      <c r="Y52" s="94">
        <f t="shared" si="18"/>
        <v>82.499999961609348</v>
      </c>
      <c r="AA52" s="33">
        <f t="shared" si="19"/>
        <v>0</v>
      </c>
      <c r="AB52" s="33">
        <f t="shared" si="20"/>
        <v>0</v>
      </c>
      <c r="AC52" s="33">
        <f t="shared" si="21"/>
        <v>0</v>
      </c>
      <c r="AD52" s="57">
        <f t="shared" si="22"/>
        <v>-3.8390652434827643E-8</v>
      </c>
      <c r="AG52" s="609" t="str">
        <f t="shared" si="23"/>
        <v>046</v>
      </c>
      <c r="AH52" s="388" t="str">
        <f t="shared" si="24"/>
        <v>Brookline</v>
      </c>
      <c r="AI52" s="380">
        <f t="shared" si="25"/>
        <v>2.5298459738688894</v>
      </c>
      <c r="AJ52" s="381">
        <f t="shared" si="5"/>
        <v>82.5</v>
      </c>
      <c r="AK52" s="380">
        <f t="shared" si="26"/>
        <v>3.6900000000000002E-2</v>
      </c>
      <c r="AL52" s="9">
        <f t="shared" si="6"/>
        <v>75894845</v>
      </c>
      <c r="AM52" s="57">
        <f t="shared" si="27"/>
        <v>-3.8390652434827643E-8</v>
      </c>
    </row>
    <row r="53" spans="1:39" ht="12.75" customHeight="1">
      <c r="A53" s="6">
        <v>47</v>
      </c>
      <c r="B53" s="6" t="s">
        <v>728</v>
      </c>
      <c r="C53" s="81">
        <v>270428900</v>
      </c>
      <c r="D53" s="81">
        <f t="shared" si="1"/>
        <v>1056189.3032831617</v>
      </c>
      <c r="E53" s="8">
        <v>45980212</v>
      </c>
      <c r="F53" s="81">
        <f t="shared" si="28"/>
        <v>658064.22005235858</v>
      </c>
      <c r="G53" s="81">
        <f t="shared" si="2"/>
        <v>1714254</v>
      </c>
      <c r="H53" s="127">
        <f t="shared" si="7"/>
        <v>2984635.548865241</v>
      </c>
      <c r="I53" s="347">
        <f t="shared" si="8"/>
        <v>0.57435957319873099</v>
      </c>
      <c r="J53" s="33">
        <f t="shared" si="3"/>
        <v>2462324</v>
      </c>
      <c r="K53" s="33">
        <f t="shared" si="9"/>
        <v>1714254</v>
      </c>
      <c r="L53" s="126">
        <f t="shared" si="10"/>
        <v>57.44</v>
      </c>
      <c r="M53" s="470"/>
      <c r="N53" s="128">
        <v>1513778</v>
      </c>
      <c r="O53" s="449">
        <v>3.6799999999999999E-2</v>
      </c>
      <c r="P53" s="33">
        <f t="shared" si="11"/>
        <v>1569485</v>
      </c>
      <c r="Q53" s="57">
        <f t="shared" si="12"/>
        <v>52.585482358029225</v>
      </c>
      <c r="R53" s="57">
        <f t="shared" si="13"/>
        <v>4.854517641970773</v>
      </c>
      <c r="S53" s="88">
        <f t="shared" si="14"/>
        <v>0.01</v>
      </c>
      <c r="T53" s="33">
        <f t="shared" si="15"/>
        <v>15138</v>
      </c>
      <c r="U53" s="9">
        <f t="shared" si="16"/>
        <v>0</v>
      </c>
      <c r="V53" s="9">
        <f t="shared" si="4"/>
        <v>0</v>
      </c>
      <c r="W53" s="9">
        <f t="shared" si="17"/>
        <v>0</v>
      </c>
      <c r="X53" s="127">
        <f>MIN(H53*parameters!C$22,ROUND(P53+T53-V53+W53,0))</f>
        <v>1584623</v>
      </c>
      <c r="Y53" s="94">
        <f t="shared" si="18"/>
        <v>53.092679962298043</v>
      </c>
      <c r="AA53" s="33">
        <f t="shared" si="19"/>
        <v>-144769</v>
      </c>
      <c r="AB53" s="33">
        <f t="shared" si="20"/>
        <v>-129631</v>
      </c>
      <c r="AC53" s="33">
        <f t="shared" si="21"/>
        <v>0</v>
      </c>
      <c r="AD53" s="57">
        <f t="shared" si="22"/>
        <v>-4.3473200377019552</v>
      </c>
      <c r="AG53" s="609" t="str">
        <f t="shared" si="23"/>
        <v>047</v>
      </c>
      <c r="AH53" s="388" t="str">
        <f t="shared" si="24"/>
        <v>Buckland</v>
      </c>
      <c r="AI53" s="380">
        <f t="shared" si="25"/>
        <v>0.57435957319873099</v>
      </c>
      <c r="AJ53" s="381">
        <f t="shared" si="5"/>
        <v>57.44</v>
      </c>
      <c r="AK53" s="380">
        <f t="shared" si="26"/>
        <v>3.6799999999999999E-2</v>
      </c>
      <c r="AL53" s="9">
        <f t="shared" si="6"/>
        <v>1584623</v>
      </c>
      <c r="AM53" s="57">
        <f t="shared" si="27"/>
        <v>-4.3473200377019552</v>
      </c>
    </row>
    <row r="54" spans="1:39" ht="12.75" customHeight="1">
      <c r="A54" s="6">
        <v>48</v>
      </c>
      <c r="B54" s="6" t="s">
        <v>729</v>
      </c>
      <c r="C54" s="81">
        <v>9008541100</v>
      </c>
      <c r="D54" s="81">
        <f t="shared" si="1"/>
        <v>35183831.121624678</v>
      </c>
      <c r="E54" s="8">
        <v>1715507000</v>
      </c>
      <c r="F54" s="81">
        <f t="shared" si="28"/>
        <v>24552165.526104175</v>
      </c>
      <c r="G54" s="81">
        <f t="shared" si="2"/>
        <v>59735997</v>
      </c>
      <c r="H54" s="127">
        <f t="shared" si="7"/>
        <v>51365007.509168424</v>
      </c>
      <c r="I54" s="347">
        <f t="shared" si="8"/>
        <v>1.1629706661551134</v>
      </c>
      <c r="J54" s="33">
        <f t="shared" si="3"/>
        <v>42376131</v>
      </c>
      <c r="K54" s="33">
        <f t="shared" si="9"/>
        <v>42376131</v>
      </c>
      <c r="L54" s="126">
        <f t="shared" si="10"/>
        <v>82.5</v>
      </c>
      <c r="M54" s="470"/>
      <c r="N54" s="128">
        <v>38789889</v>
      </c>
      <c r="O54" s="449">
        <v>4.4799999999999993E-2</v>
      </c>
      <c r="P54" s="33">
        <f t="shared" si="11"/>
        <v>40527676</v>
      </c>
      <c r="Q54" s="57">
        <f t="shared" si="12"/>
        <v>78.90133373925039</v>
      </c>
      <c r="R54" s="57">
        <f t="shared" si="13"/>
        <v>3.59866626074961</v>
      </c>
      <c r="S54" s="88">
        <f t="shared" si="14"/>
        <v>0.01</v>
      </c>
      <c r="T54" s="33">
        <f t="shared" si="15"/>
        <v>387899</v>
      </c>
      <c r="U54" s="9">
        <f t="shared" si="16"/>
        <v>0</v>
      </c>
      <c r="V54" s="9">
        <f t="shared" si="4"/>
        <v>0</v>
      </c>
      <c r="W54" s="9">
        <f t="shared" si="17"/>
        <v>0</v>
      </c>
      <c r="X54" s="127">
        <f>MIN(H54*parameters!C$22,ROUND(P54+T54-V54+W54,0))</f>
        <v>40915575</v>
      </c>
      <c r="Y54" s="94">
        <f t="shared" si="18"/>
        <v>79.656515172701475</v>
      </c>
      <c r="AA54" s="33">
        <f t="shared" si="19"/>
        <v>-1848455</v>
      </c>
      <c r="AB54" s="33">
        <f t="shared" si="20"/>
        <v>-1460556</v>
      </c>
      <c r="AC54" s="33">
        <f t="shared" si="21"/>
        <v>0</v>
      </c>
      <c r="AD54" s="57">
        <f t="shared" si="22"/>
        <v>-2.8434848272985249</v>
      </c>
      <c r="AG54" s="609" t="str">
        <f t="shared" si="23"/>
        <v>048</v>
      </c>
      <c r="AH54" s="388" t="str">
        <f t="shared" si="24"/>
        <v>Burlington</v>
      </c>
      <c r="AI54" s="380">
        <f t="shared" si="25"/>
        <v>1.1629706661551134</v>
      </c>
      <c r="AJ54" s="381">
        <f t="shared" si="5"/>
        <v>82.5</v>
      </c>
      <c r="AK54" s="380">
        <f t="shared" si="26"/>
        <v>4.4799999999999993E-2</v>
      </c>
      <c r="AL54" s="9">
        <f t="shared" si="6"/>
        <v>40915575</v>
      </c>
      <c r="AM54" s="57">
        <f t="shared" si="27"/>
        <v>-2.8434848272985249</v>
      </c>
    </row>
    <row r="55" spans="1:39" ht="12.75" customHeight="1">
      <c r="A55" s="6">
        <v>49</v>
      </c>
      <c r="B55" s="6" t="s">
        <v>730</v>
      </c>
      <c r="C55" s="81">
        <v>70337058800</v>
      </c>
      <c r="D55" s="81">
        <f t="shared" si="1"/>
        <v>274708986.83150649</v>
      </c>
      <c r="E55" s="8">
        <v>11053450000</v>
      </c>
      <c r="F55" s="81">
        <f t="shared" si="28"/>
        <v>158195876.80756545</v>
      </c>
      <c r="G55" s="81">
        <f t="shared" si="2"/>
        <v>432904864</v>
      </c>
      <c r="H55" s="127">
        <f t="shared" si="7"/>
        <v>118963463.14608002</v>
      </c>
      <c r="I55" s="347">
        <f t="shared" si="8"/>
        <v>3.6389732826491334</v>
      </c>
      <c r="J55" s="33">
        <f t="shared" si="3"/>
        <v>98144857</v>
      </c>
      <c r="K55" s="33">
        <f t="shared" si="9"/>
        <v>98144857</v>
      </c>
      <c r="L55" s="126">
        <f t="shared" si="10"/>
        <v>82.5</v>
      </c>
      <c r="M55" s="470"/>
      <c r="N55" s="128">
        <v>93004291</v>
      </c>
      <c r="O55" s="449">
        <v>6.8699999999999997E-2</v>
      </c>
      <c r="P55" s="33">
        <f t="shared" si="11"/>
        <v>99393686</v>
      </c>
      <c r="Q55" s="57">
        <f t="shared" si="12"/>
        <v>83.549758364003324</v>
      </c>
      <c r="R55" s="57">
        <f t="shared" si="13"/>
        <v>0</v>
      </c>
      <c r="S55" s="88">
        <f t="shared" si="14"/>
        <v>0</v>
      </c>
      <c r="T55" s="33">
        <f t="shared" si="15"/>
        <v>0</v>
      </c>
      <c r="U55" s="9">
        <f t="shared" si="16"/>
        <v>1248829</v>
      </c>
      <c r="V55" s="9">
        <f t="shared" si="4"/>
        <v>1248829</v>
      </c>
      <c r="W55" s="9">
        <f t="shared" si="17"/>
        <v>0</v>
      </c>
      <c r="X55" s="127">
        <f>MIN(H55*parameters!C$22,ROUND(P55+T55-V55+W55,0))</f>
        <v>98144857</v>
      </c>
      <c r="Y55" s="94">
        <f t="shared" si="18"/>
        <v>82.499999919709794</v>
      </c>
      <c r="AA55" s="33">
        <f t="shared" si="19"/>
        <v>0</v>
      </c>
      <c r="AB55" s="33">
        <f t="shared" si="20"/>
        <v>0</v>
      </c>
      <c r="AC55" s="33">
        <f t="shared" si="21"/>
        <v>0</v>
      </c>
      <c r="AD55" s="57">
        <f t="shared" si="22"/>
        <v>-8.029020648336882E-8</v>
      </c>
      <c r="AG55" s="609" t="str">
        <f t="shared" si="23"/>
        <v>049</v>
      </c>
      <c r="AH55" s="388" t="str">
        <f t="shared" si="24"/>
        <v>Cambridge</v>
      </c>
      <c r="AI55" s="380">
        <f t="shared" si="25"/>
        <v>3.6389732826491334</v>
      </c>
      <c r="AJ55" s="381">
        <f t="shared" si="5"/>
        <v>82.5</v>
      </c>
      <c r="AK55" s="380">
        <f t="shared" si="26"/>
        <v>6.8699999999999997E-2</v>
      </c>
      <c r="AL55" s="9">
        <f t="shared" si="6"/>
        <v>98144857</v>
      </c>
      <c r="AM55" s="57">
        <f t="shared" si="27"/>
        <v>-8.029020648336882E-8</v>
      </c>
    </row>
    <row r="56" spans="1:39" ht="12.75" customHeight="1">
      <c r="A56" s="6">
        <v>50</v>
      </c>
      <c r="B56" s="6" t="s">
        <v>731</v>
      </c>
      <c r="C56" s="81">
        <v>6376735000</v>
      </c>
      <c r="D56" s="81">
        <f t="shared" si="1"/>
        <v>24905027.890404288</v>
      </c>
      <c r="E56" s="8">
        <v>1924272000</v>
      </c>
      <c r="F56" s="81">
        <f t="shared" si="28"/>
        <v>27539989.438252091</v>
      </c>
      <c r="G56" s="81">
        <f t="shared" si="2"/>
        <v>52445017</v>
      </c>
      <c r="H56" s="127">
        <f t="shared" si="7"/>
        <v>46822040.941855885</v>
      </c>
      <c r="I56" s="347">
        <f t="shared" si="8"/>
        <v>1.1200925022710306</v>
      </c>
      <c r="J56" s="33">
        <f t="shared" si="3"/>
        <v>38628184</v>
      </c>
      <c r="K56" s="33">
        <f t="shared" si="9"/>
        <v>38628184</v>
      </c>
      <c r="L56" s="126">
        <f t="shared" si="10"/>
        <v>82.5</v>
      </c>
      <c r="M56" s="470"/>
      <c r="N56" s="128">
        <v>36271351</v>
      </c>
      <c r="O56" s="449">
        <v>4.9599999999999998E-2</v>
      </c>
      <c r="P56" s="33">
        <f t="shared" si="11"/>
        <v>38070410</v>
      </c>
      <c r="Q56" s="57">
        <f t="shared" si="12"/>
        <v>81.30873672780784</v>
      </c>
      <c r="R56" s="57">
        <f t="shared" si="13"/>
        <v>1.1912632721921597</v>
      </c>
      <c r="S56" s="88">
        <f t="shared" si="14"/>
        <v>0</v>
      </c>
      <c r="T56" s="33">
        <f t="shared" si="15"/>
        <v>0</v>
      </c>
      <c r="U56" s="9">
        <f t="shared" si="16"/>
        <v>0</v>
      </c>
      <c r="V56" s="9">
        <f t="shared" si="4"/>
        <v>0</v>
      </c>
      <c r="W56" s="9">
        <f t="shared" si="17"/>
        <v>0</v>
      </c>
      <c r="X56" s="127">
        <f>MIN(H56*parameters!C$22,ROUND(P56+T56-V56+W56,0))</f>
        <v>38070410</v>
      </c>
      <c r="Y56" s="94">
        <f t="shared" si="18"/>
        <v>81.30873672780784</v>
      </c>
      <c r="AA56" s="33">
        <f t="shared" si="19"/>
        <v>-557774</v>
      </c>
      <c r="AB56" s="33">
        <f t="shared" si="20"/>
        <v>-557774</v>
      </c>
      <c r="AC56" s="33">
        <f t="shared" si="21"/>
        <v>0</v>
      </c>
      <c r="AD56" s="57">
        <f t="shared" si="22"/>
        <v>-1.1912632721921597</v>
      </c>
      <c r="AG56" s="609" t="str">
        <f t="shared" si="23"/>
        <v>050</v>
      </c>
      <c r="AH56" s="388" t="str">
        <f t="shared" si="24"/>
        <v>Canton</v>
      </c>
      <c r="AI56" s="380">
        <f t="shared" si="25"/>
        <v>1.1200925022710306</v>
      </c>
      <c r="AJ56" s="381">
        <f t="shared" si="5"/>
        <v>82.5</v>
      </c>
      <c r="AK56" s="380">
        <f t="shared" si="26"/>
        <v>4.9599999999999998E-2</v>
      </c>
      <c r="AL56" s="9">
        <f t="shared" si="6"/>
        <v>38070410</v>
      </c>
      <c r="AM56" s="57">
        <f t="shared" si="27"/>
        <v>-1.1912632721921597</v>
      </c>
    </row>
    <row r="57" spans="1:39" ht="12.75" customHeight="1">
      <c r="A57" s="6">
        <v>51</v>
      </c>
      <c r="B57" s="6" t="s">
        <v>732</v>
      </c>
      <c r="C57" s="81">
        <v>1841728700</v>
      </c>
      <c r="D57" s="81">
        <f t="shared" si="1"/>
        <v>7193070.535322235</v>
      </c>
      <c r="E57" s="8">
        <v>1066804000</v>
      </c>
      <c r="F57" s="81">
        <f t="shared" si="28"/>
        <v>15267992.722798588</v>
      </c>
      <c r="G57" s="81">
        <f t="shared" si="2"/>
        <v>22461063</v>
      </c>
      <c r="H57" s="127">
        <f t="shared" si="7"/>
        <v>11040307.658968547</v>
      </c>
      <c r="I57" s="347">
        <f t="shared" si="8"/>
        <v>2.0344598804503287</v>
      </c>
      <c r="J57" s="33">
        <f t="shared" si="3"/>
        <v>9108254</v>
      </c>
      <c r="K57" s="33">
        <f t="shared" si="9"/>
        <v>9108254</v>
      </c>
      <c r="L57" s="126">
        <f t="shared" si="10"/>
        <v>82.5</v>
      </c>
      <c r="M57" s="470"/>
      <c r="N57" s="128">
        <v>9058143</v>
      </c>
      <c r="O57" s="449">
        <v>3.56E-2</v>
      </c>
      <c r="P57" s="33">
        <f t="shared" si="11"/>
        <v>9380613</v>
      </c>
      <c r="Q57" s="57">
        <f t="shared" si="12"/>
        <v>84.966952822004913</v>
      </c>
      <c r="R57" s="57">
        <f t="shared" si="13"/>
        <v>0</v>
      </c>
      <c r="S57" s="88">
        <f t="shared" si="14"/>
        <v>0</v>
      </c>
      <c r="T57" s="33">
        <f t="shared" si="15"/>
        <v>0</v>
      </c>
      <c r="U57" s="9">
        <f t="shared" si="16"/>
        <v>272359</v>
      </c>
      <c r="V57" s="9">
        <f t="shared" si="4"/>
        <v>272359</v>
      </c>
      <c r="W57" s="9">
        <f t="shared" si="17"/>
        <v>0</v>
      </c>
      <c r="X57" s="127">
        <f>MIN(H57*parameters!C$22,ROUND(P57+T57-V57+W57,0))</f>
        <v>9108254</v>
      </c>
      <c r="Y57" s="94">
        <f t="shared" si="18"/>
        <v>82.500001642625861</v>
      </c>
      <c r="AA57" s="33">
        <f t="shared" si="19"/>
        <v>0</v>
      </c>
      <c r="AB57" s="33">
        <f t="shared" si="20"/>
        <v>0</v>
      </c>
      <c r="AC57" s="33">
        <f t="shared" si="21"/>
        <v>0</v>
      </c>
      <c r="AD57" s="57">
        <f t="shared" si="22"/>
        <v>1.6426258611090816E-6</v>
      </c>
      <c r="AG57" s="609" t="str">
        <f t="shared" si="23"/>
        <v>051</v>
      </c>
      <c r="AH57" s="388" t="str">
        <f t="shared" si="24"/>
        <v>Carlisle</v>
      </c>
      <c r="AI57" s="380">
        <f t="shared" si="25"/>
        <v>2.0344598804503287</v>
      </c>
      <c r="AJ57" s="381">
        <f t="shared" si="5"/>
        <v>82.5</v>
      </c>
      <c r="AK57" s="380">
        <f t="shared" si="26"/>
        <v>3.56E-2</v>
      </c>
      <c r="AL57" s="9">
        <f t="shared" si="6"/>
        <v>9108254</v>
      </c>
      <c r="AM57" s="57">
        <f t="shared" si="27"/>
        <v>1.6426258611090816E-6</v>
      </c>
    </row>
    <row r="58" spans="1:39" ht="12.75" customHeight="1">
      <c r="A58" s="6">
        <v>52</v>
      </c>
      <c r="B58" s="6" t="s">
        <v>733</v>
      </c>
      <c r="C58" s="81">
        <v>1736816700</v>
      </c>
      <c r="D58" s="81">
        <f t="shared" si="1"/>
        <v>6783325.3779590866</v>
      </c>
      <c r="E58" s="8">
        <v>443993000</v>
      </c>
      <c r="F58" s="81">
        <f t="shared" si="28"/>
        <v>6354383.6477680188</v>
      </c>
      <c r="G58" s="81">
        <f t="shared" si="2"/>
        <v>13137709</v>
      </c>
      <c r="H58" s="127">
        <f t="shared" si="7"/>
        <v>22497080.085567471</v>
      </c>
      <c r="I58" s="347">
        <f t="shared" si="8"/>
        <v>0.58397396240004595</v>
      </c>
      <c r="J58" s="33">
        <f t="shared" si="3"/>
        <v>18560091</v>
      </c>
      <c r="K58" s="33">
        <f t="shared" si="9"/>
        <v>13137709</v>
      </c>
      <c r="L58" s="126">
        <f t="shared" si="10"/>
        <v>58.4</v>
      </c>
      <c r="M58" s="470"/>
      <c r="N58" s="128">
        <v>11709088</v>
      </c>
      <c r="O58" s="449">
        <v>3.6400000000000002E-2</v>
      </c>
      <c r="P58" s="33">
        <f t="shared" si="11"/>
        <v>12135299</v>
      </c>
      <c r="Q58" s="57">
        <f t="shared" si="12"/>
        <v>53.941662446164052</v>
      </c>
      <c r="R58" s="57">
        <f t="shared" si="13"/>
        <v>4.4583375538359462</v>
      </c>
      <c r="S58" s="88">
        <f t="shared" si="14"/>
        <v>0.01</v>
      </c>
      <c r="T58" s="33">
        <f t="shared" si="15"/>
        <v>117091</v>
      </c>
      <c r="U58" s="9">
        <f t="shared" si="16"/>
        <v>0</v>
      </c>
      <c r="V58" s="9">
        <f t="shared" si="4"/>
        <v>0</v>
      </c>
      <c r="W58" s="9">
        <f t="shared" si="17"/>
        <v>0</v>
      </c>
      <c r="X58" s="127">
        <f>MIN(H58*parameters!C$22,ROUND(P58+T58-V58+W58,0))</f>
        <v>12252390</v>
      </c>
      <c r="Y58" s="94">
        <f t="shared" si="18"/>
        <v>54.462134434327162</v>
      </c>
      <c r="AA58" s="33">
        <f t="shared" si="19"/>
        <v>-1002410</v>
      </c>
      <c r="AB58" s="33">
        <f t="shared" si="20"/>
        <v>-885319</v>
      </c>
      <c r="AC58" s="33">
        <f t="shared" si="21"/>
        <v>0</v>
      </c>
      <c r="AD58" s="57">
        <f t="shared" si="22"/>
        <v>-3.937865565672837</v>
      </c>
      <c r="AG58" s="609" t="str">
        <f t="shared" si="23"/>
        <v>052</v>
      </c>
      <c r="AH58" s="388" t="str">
        <f t="shared" si="24"/>
        <v>Carver</v>
      </c>
      <c r="AI58" s="380">
        <f t="shared" si="25"/>
        <v>0.58397396240004595</v>
      </c>
      <c r="AJ58" s="381">
        <f t="shared" si="5"/>
        <v>58.4</v>
      </c>
      <c r="AK58" s="380">
        <f t="shared" si="26"/>
        <v>3.6400000000000002E-2</v>
      </c>
      <c r="AL58" s="9">
        <f t="shared" si="6"/>
        <v>12252390</v>
      </c>
      <c r="AM58" s="57">
        <f t="shared" si="27"/>
        <v>-3.937865565672837</v>
      </c>
    </row>
    <row r="59" spans="1:39" ht="12.75" customHeight="1">
      <c r="A59" s="6">
        <v>53</v>
      </c>
      <c r="B59" s="6" t="s">
        <v>734</v>
      </c>
      <c r="C59" s="81">
        <v>155406800</v>
      </c>
      <c r="D59" s="81">
        <f t="shared" si="1"/>
        <v>606958.05743197445</v>
      </c>
      <c r="E59" s="8">
        <v>34318000</v>
      </c>
      <c r="F59" s="81">
        <f t="shared" si="28"/>
        <v>491155.80206017406</v>
      </c>
      <c r="G59" s="81">
        <f t="shared" si="2"/>
        <v>1098114</v>
      </c>
      <c r="H59" s="127">
        <f t="shared" si="7"/>
        <v>1839295.6409967607</v>
      </c>
      <c r="I59" s="347">
        <f t="shared" si="8"/>
        <v>0.59702963217207661</v>
      </c>
      <c r="J59" s="33">
        <f t="shared" si="3"/>
        <v>1517419</v>
      </c>
      <c r="K59" s="33">
        <f t="shared" si="9"/>
        <v>1098114</v>
      </c>
      <c r="L59" s="126">
        <f t="shared" si="10"/>
        <v>59.7</v>
      </c>
      <c r="M59" s="470"/>
      <c r="N59" s="128">
        <v>969108</v>
      </c>
      <c r="O59" s="449">
        <v>5.57E-2</v>
      </c>
      <c r="P59" s="33">
        <f t="shared" si="11"/>
        <v>1023087</v>
      </c>
      <c r="Q59" s="57">
        <f t="shared" si="12"/>
        <v>55.623847368309065</v>
      </c>
      <c r="R59" s="57">
        <f t="shared" si="13"/>
        <v>4.0761526316909382</v>
      </c>
      <c r="S59" s="88">
        <f t="shared" si="14"/>
        <v>0.01</v>
      </c>
      <c r="T59" s="33">
        <f t="shared" si="15"/>
        <v>9691</v>
      </c>
      <c r="U59" s="9">
        <f t="shared" si="16"/>
        <v>0</v>
      </c>
      <c r="V59" s="9">
        <f t="shared" si="4"/>
        <v>0</v>
      </c>
      <c r="W59" s="9">
        <f t="shared" si="17"/>
        <v>0</v>
      </c>
      <c r="X59" s="127">
        <f>MIN(H59*parameters!C$22,ROUND(P59+T59-V59+W59,0))</f>
        <v>1032778</v>
      </c>
      <c r="Y59" s="94">
        <f t="shared" si="18"/>
        <v>56.150733845066448</v>
      </c>
      <c r="AA59" s="33">
        <f t="shared" si="19"/>
        <v>-75027</v>
      </c>
      <c r="AB59" s="33">
        <f t="shared" si="20"/>
        <v>-65336</v>
      </c>
      <c r="AC59" s="33">
        <f t="shared" si="21"/>
        <v>0</v>
      </c>
      <c r="AD59" s="57">
        <f t="shared" si="22"/>
        <v>-3.5492661549335551</v>
      </c>
      <c r="AG59" s="609" t="str">
        <f t="shared" si="23"/>
        <v>053</v>
      </c>
      <c r="AH59" s="388" t="str">
        <f t="shared" si="24"/>
        <v>Charlemont</v>
      </c>
      <c r="AI59" s="380">
        <f t="shared" si="25"/>
        <v>0.59702963217207661</v>
      </c>
      <c r="AJ59" s="381">
        <f t="shared" si="5"/>
        <v>59.7</v>
      </c>
      <c r="AK59" s="380">
        <f t="shared" si="26"/>
        <v>5.57E-2</v>
      </c>
      <c r="AL59" s="9">
        <f t="shared" si="6"/>
        <v>1032778</v>
      </c>
      <c r="AM59" s="57">
        <f t="shared" si="27"/>
        <v>-3.5492661549335551</v>
      </c>
    </row>
    <row r="60" spans="1:39" ht="12.75" customHeight="1">
      <c r="A60" s="6">
        <v>54</v>
      </c>
      <c r="B60" s="6" t="s">
        <v>735</v>
      </c>
      <c r="C60" s="81">
        <v>2225215400</v>
      </c>
      <c r="D60" s="81">
        <f t="shared" si="1"/>
        <v>8690819.2984587159</v>
      </c>
      <c r="E60" s="8">
        <v>625937000</v>
      </c>
      <c r="F60" s="81">
        <f t="shared" si="28"/>
        <v>8958348.0760574378</v>
      </c>
      <c r="G60" s="81">
        <f t="shared" si="2"/>
        <v>17649167</v>
      </c>
      <c r="H60" s="127">
        <f t="shared" si="7"/>
        <v>28934620.745988503</v>
      </c>
      <c r="I60" s="347">
        <f t="shared" si="8"/>
        <v>0.609967110159786</v>
      </c>
      <c r="J60" s="33">
        <f t="shared" si="3"/>
        <v>23871062</v>
      </c>
      <c r="K60" s="33">
        <f t="shared" si="9"/>
        <v>17649167</v>
      </c>
      <c r="L60" s="126">
        <f t="shared" si="10"/>
        <v>61</v>
      </c>
      <c r="M60" s="470"/>
      <c r="N60" s="128">
        <v>14999738</v>
      </c>
      <c r="O60" s="449">
        <v>7.17E-2</v>
      </c>
      <c r="P60" s="33">
        <f t="shared" si="11"/>
        <v>16075219</v>
      </c>
      <c r="Q60" s="57">
        <f t="shared" si="12"/>
        <v>55.557040616226736</v>
      </c>
      <c r="R60" s="57">
        <f t="shared" si="13"/>
        <v>5.4429593837732639</v>
      </c>
      <c r="S60" s="88">
        <f t="shared" si="14"/>
        <v>0.01</v>
      </c>
      <c r="T60" s="33">
        <f t="shared" si="15"/>
        <v>149997</v>
      </c>
      <c r="U60" s="9">
        <f t="shared" si="16"/>
        <v>0</v>
      </c>
      <c r="V60" s="9">
        <f t="shared" si="4"/>
        <v>0</v>
      </c>
      <c r="W60" s="9">
        <f t="shared" si="17"/>
        <v>0</v>
      </c>
      <c r="X60" s="127">
        <f>MIN(H60*parameters!C$22,ROUND(P60+T60-V60+W60,0))</f>
        <v>16225216</v>
      </c>
      <c r="Y60" s="94">
        <f t="shared" si="18"/>
        <v>56.07544036066021</v>
      </c>
      <c r="AA60" s="33">
        <f t="shared" si="19"/>
        <v>-1573948</v>
      </c>
      <c r="AB60" s="33">
        <f t="shared" si="20"/>
        <v>-1423951</v>
      </c>
      <c r="AC60" s="33">
        <f t="shared" si="21"/>
        <v>0</v>
      </c>
      <c r="AD60" s="57">
        <f t="shared" si="22"/>
        <v>-4.9245596393397904</v>
      </c>
      <c r="AG60" s="609" t="str">
        <f t="shared" si="23"/>
        <v>054</v>
      </c>
      <c r="AH60" s="388" t="str">
        <f t="shared" si="24"/>
        <v>Charlton</v>
      </c>
      <c r="AI60" s="380">
        <f t="shared" si="25"/>
        <v>0.609967110159786</v>
      </c>
      <c r="AJ60" s="381">
        <f t="shared" si="5"/>
        <v>61</v>
      </c>
      <c r="AK60" s="380">
        <f t="shared" si="26"/>
        <v>7.17E-2</v>
      </c>
      <c r="AL60" s="9">
        <f t="shared" si="6"/>
        <v>16225216</v>
      </c>
      <c r="AM60" s="57">
        <f t="shared" si="27"/>
        <v>-4.9245596393397904</v>
      </c>
    </row>
    <row r="61" spans="1:39" ht="12.75" customHeight="1">
      <c r="A61" s="6">
        <v>55</v>
      </c>
      <c r="B61" s="6" t="s">
        <v>736</v>
      </c>
      <c r="C61" s="81">
        <v>8768778800</v>
      </c>
      <c r="D61" s="81">
        <f t="shared" si="1"/>
        <v>34247413.539810866</v>
      </c>
      <c r="E61" s="8">
        <v>641046000</v>
      </c>
      <c r="F61" s="81">
        <f t="shared" si="28"/>
        <v>9174586.5810206402</v>
      </c>
      <c r="G61" s="81">
        <f t="shared" si="2"/>
        <v>43422000</v>
      </c>
      <c r="H61" s="127">
        <f t="shared" si="7"/>
        <v>5863011.4755190425</v>
      </c>
      <c r="I61" s="347">
        <f t="shared" si="8"/>
        <v>7.406091593255141</v>
      </c>
      <c r="J61" s="33">
        <f t="shared" si="3"/>
        <v>4836984</v>
      </c>
      <c r="K61" s="33">
        <f t="shared" si="9"/>
        <v>4836984</v>
      </c>
      <c r="L61" s="126">
        <f t="shared" si="10"/>
        <v>82.5</v>
      </c>
      <c r="M61" s="470"/>
      <c r="N61" s="128">
        <v>4800170</v>
      </c>
      <c r="O61" s="449">
        <v>7.3700000000000002E-2</v>
      </c>
      <c r="P61" s="33">
        <f t="shared" si="11"/>
        <v>5153943</v>
      </c>
      <c r="Q61" s="57">
        <f t="shared" si="12"/>
        <v>87.906070481360089</v>
      </c>
      <c r="R61" s="57">
        <f t="shared" si="13"/>
        <v>0</v>
      </c>
      <c r="S61" s="88">
        <f t="shared" si="14"/>
        <v>0</v>
      </c>
      <c r="T61" s="33">
        <f t="shared" si="15"/>
        <v>0</v>
      </c>
      <c r="U61" s="9">
        <f t="shared" si="16"/>
        <v>316959</v>
      </c>
      <c r="V61" s="9">
        <f t="shared" si="4"/>
        <v>316959</v>
      </c>
      <c r="W61" s="9">
        <f t="shared" si="17"/>
        <v>0</v>
      </c>
      <c r="X61" s="127">
        <f>MIN(H61*parameters!C$22,ROUND(P61+T61-V61+W61,0))</f>
        <v>4836984</v>
      </c>
      <c r="Y61" s="94">
        <f t="shared" si="18"/>
        <v>82.499992029638491</v>
      </c>
      <c r="AA61" s="33">
        <f t="shared" si="19"/>
        <v>0</v>
      </c>
      <c r="AB61" s="33">
        <f t="shared" si="20"/>
        <v>0</v>
      </c>
      <c r="AC61" s="33">
        <f t="shared" si="21"/>
        <v>0</v>
      </c>
      <c r="AD61" s="57">
        <f t="shared" si="22"/>
        <v>-7.9703615085691126E-6</v>
      </c>
      <c r="AG61" s="609" t="str">
        <f t="shared" si="23"/>
        <v>055</v>
      </c>
      <c r="AH61" s="388" t="str">
        <f t="shared" si="24"/>
        <v>Chatham</v>
      </c>
      <c r="AI61" s="380">
        <f t="shared" si="25"/>
        <v>7.406091593255141</v>
      </c>
      <c r="AJ61" s="381">
        <f t="shared" si="5"/>
        <v>82.5</v>
      </c>
      <c r="AK61" s="380">
        <f t="shared" si="26"/>
        <v>7.3700000000000002E-2</v>
      </c>
      <c r="AL61" s="9">
        <f t="shared" si="6"/>
        <v>4836984</v>
      </c>
      <c r="AM61" s="57">
        <f t="shared" si="27"/>
        <v>-7.9703615085691126E-6</v>
      </c>
    </row>
    <row r="62" spans="1:39" ht="12.75" customHeight="1">
      <c r="A62" s="6">
        <v>56</v>
      </c>
      <c r="B62" s="6" t="s">
        <v>737</v>
      </c>
      <c r="C62" s="81">
        <v>7194279300</v>
      </c>
      <c r="D62" s="81">
        <f t="shared" si="1"/>
        <v>28098035.533522759</v>
      </c>
      <c r="E62" s="8">
        <v>2403772000</v>
      </c>
      <c r="F62" s="81">
        <f t="shared" si="28"/>
        <v>34402545.737799078</v>
      </c>
      <c r="G62" s="81">
        <f t="shared" si="2"/>
        <v>62500581</v>
      </c>
      <c r="H62" s="127">
        <f t="shared" si="7"/>
        <v>71380151.427392036</v>
      </c>
      <c r="I62" s="347">
        <f t="shared" si="8"/>
        <v>0.87560168688596374</v>
      </c>
      <c r="J62" s="33">
        <f t="shared" si="3"/>
        <v>58888625</v>
      </c>
      <c r="K62" s="33">
        <f t="shared" si="9"/>
        <v>58888625</v>
      </c>
      <c r="L62" s="126">
        <f t="shared" si="10"/>
        <v>82.5</v>
      </c>
      <c r="M62" s="470"/>
      <c r="N62" s="128">
        <v>53028118</v>
      </c>
      <c r="O62" s="449">
        <v>4.58E-2</v>
      </c>
      <c r="P62" s="33">
        <f t="shared" si="11"/>
        <v>55456806</v>
      </c>
      <c r="Q62" s="57">
        <f t="shared" si="12"/>
        <v>77.692194386013199</v>
      </c>
      <c r="R62" s="57">
        <f t="shared" si="13"/>
        <v>4.8078056139868011</v>
      </c>
      <c r="S62" s="88">
        <f t="shared" si="14"/>
        <v>0.01</v>
      </c>
      <c r="T62" s="33">
        <f t="shared" si="15"/>
        <v>530281</v>
      </c>
      <c r="U62" s="9">
        <f t="shared" si="16"/>
        <v>0</v>
      </c>
      <c r="V62" s="9">
        <f t="shared" si="4"/>
        <v>0</v>
      </c>
      <c r="W62" s="9">
        <f t="shared" si="17"/>
        <v>0</v>
      </c>
      <c r="X62" s="127">
        <f>MIN(H62*parameters!C$22,ROUND(P62+T62-V62+W62,0))</f>
        <v>55987087</v>
      </c>
      <c r="Y62" s="94">
        <f t="shared" si="18"/>
        <v>78.435091381040465</v>
      </c>
      <c r="AA62" s="33">
        <f t="shared" si="19"/>
        <v>-3431819</v>
      </c>
      <c r="AB62" s="33">
        <f t="shared" si="20"/>
        <v>-2901538</v>
      </c>
      <c r="AC62" s="33">
        <f t="shared" si="21"/>
        <v>0</v>
      </c>
      <c r="AD62" s="57">
        <f t="shared" si="22"/>
        <v>-4.0649086189595351</v>
      </c>
      <c r="AG62" s="609" t="str">
        <f t="shared" si="23"/>
        <v>056</v>
      </c>
      <c r="AH62" s="388" t="str">
        <f t="shared" si="24"/>
        <v>Chelmsford</v>
      </c>
      <c r="AI62" s="380">
        <f t="shared" si="25"/>
        <v>0.87560168688596374</v>
      </c>
      <c r="AJ62" s="381">
        <f t="shared" si="5"/>
        <v>82.5</v>
      </c>
      <c r="AK62" s="380">
        <f t="shared" si="26"/>
        <v>4.58E-2</v>
      </c>
      <c r="AL62" s="9">
        <f t="shared" si="6"/>
        <v>55987087</v>
      </c>
      <c r="AM62" s="57">
        <f t="shared" si="27"/>
        <v>-4.0649086189595351</v>
      </c>
    </row>
    <row r="63" spans="1:39" ht="12.75" customHeight="1">
      <c r="A63" s="6">
        <v>57</v>
      </c>
      <c r="B63" s="6" t="s">
        <v>738</v>
      </c>
      <c r="C63" s="81">
        <v>5133648900</v>
      </c>
      <c r="D63" s="81">
        <f t="shared" si="1"/>
        <v>20050020.744792327</v>
      </c>
      <c r="E63" s="8">
        <v>954502000</v>
      </c>
      <c r="F63" s="81">
        <f t="shared" si="28"/>
        <v>13660737.67055307</v>
      </c>
      <c r="G63" s="81">
        <f t="shared" si="2"/>
        <v>33710758</v>
      </c>
      <c r="H63" s="127">
        <f t="shared" si="7"/>
        <v>152909880.1399613</v>
      </c>
      <c r="I63" s="347">
        <f t="shared" si="8"/>
        <v>0.22046160764199085</v>
      </c>
      <c r="J63" s="33">
        <f t="shared" si="3"/>
        <v>126150651</v>
      </c>
      <c r="K63" s="33">
        <f t="shared" si="9"/>
        <v>33710758</v>
      </c>
      <c r="L63" s="126">
        <f t="shared" si="10"/>
        <v>22.05</v>
      </c>
      <c r="M63" s="470"/>
      <c r="N63" s="128">
        <v>22930216</v>
      </c>
      <c r="O63" s="449">
        <v>6.6900000000000001E-2</v>
      </c>
      <c r="P63" s="33">
        <f t="shared" si="11"/>
        <v>24464247</v>
      </c>
      <c r="Q63" s="57">
        <f t="shared" si="12"/>
        <v>15.999127706860676</v>
      </c>
      <c r="R63" s="57">
        <f t="shared" si="13"/>
        <v>6.0508722931393244</v>
      </c>
      <c r="S63" s="88">
        <f t="shared" si="14"/>
        <v>0.01</v>
      </c>
      <c r="T63" s="33">
        <f t="shared" si="15"/>
        <v>229302</v>
      </c>
      <c r="U63" s="9">
        <f t="shared" si="16"/>
        <v>0</v>
      </c>
      <c r="V63" s="9">
        <f t="shared" si="4"/>
        <v>0</v>
      </c>
      <c r="W63" s="9">
        <f t="shared" si="17"/>
        <v>0</v>
      </c>
      <c r="X63" s="127">
        <f>MIN(H63*parameters!C$22,ROUND(P63+T63-V63+W63,0))</f>
        <v>24693549</v>
      </c>
      <c r="Y63" s="94">
        <f t="shared" si="18"/>
        <v>16.14908662370118</v>
      </c>
      <c r="AA63" s="33">
        <f t="shared" si="19"/>
        <v>-9246511</v>
      </c>
      <c r="AB63" s="33">
        <f t="shared" si="20"/>
        <v>-9017209</v>
      </c>
      <c r="AC63" s="33">
        <f t="shared" si="21"/>
        <v>0</v>
      </c>
      <c r="AD63" s="57">
        <f t="shared" si="22"/>
        <v>-5.9009133762988206</v>
      </c>
      <c r="AG63" s="609" t="str">
        <f t="shared" si="23"/>
        <v>057</v>
      </c>
      <c r="AH63" s="388" t="str">
        <f t="shared" si="24"/>
        <v>Chelsea</v>
      </c>
      <c r="AI63" s="380">
        <f t="shared" si="25"/>
        <v>0.22046160764199085</v>
      </c>
      <c r="AJ63" s="381">
        <f t="shared" si="5"/>
        <v>22.05</v>
      </c>
      <c r="AK63" s="380">
        <f t="shared" si="26"/>
        <v>6.6900000000000001E-2</v>
      </c>
      <c r="AL63" s="9">
        <f t="shared" si="6"/>
        <v>24693549</v>
      </c>
      <c r="AM63" s="57">
        <f t="shared" si="27"/>
        <v>-5.9009133762988206</v>
      </c>
    </row>
    <row r="64" spans="1:39" ht="12.75" customHeight="1">
      <c r="A64" s="6">
        <v>58</v>
      </c>
      <c r="B64" s="6" t="s">
        <v>739</v>
      </c>
      <c r="C64" s="81">
        <v>380218700</v>
      </c>
      <c r="D64" s="81">
        <f t="shared" si="1"/>
        <v>1484985.2358539694</v>
      </c>
      <c r="E64" s="8">
        <v>116368000</v>
      </c>
      <c r="F64" s="81">
        <f t="shared" si="28"/>
        <v>1665447.2397615926</v>
      </c>
      <c r="G64" s="81">
        <f t="shared" si="2"/>
        <v>3150432</v>
      </c>
      <c r="H64" s="127">
        <f t="shared" si="7"/>
        <v>5704907.3800678737</v>
      </c>
      <c r="I64" s="347">
        <f t="shared" si="8"/>
        <v>0.55223192772719787</v>
      </c>
      <c r="J64" s="33">
        <f t="shared" si="3"/>
        <v>4706549</v>
      </c>
      <c r="K64" s="33">
        <f t="shared" si="9"/>
        <v>3150432</v>
      </c>
      <c r="L64" s="126">
        <f t="shared" si="10"/>
        <v>55.22</v>
      </c>
      <c r="M64" s="470"/>
      <c r="N64" s="128">
        <v>2769784</v>
      </c>
      <c r="O64" s="449">
        <v>2.4500000000000001E-2</v>
      </c>
      <c r="P64" s="33">
        <f t="shared" si="11"/>
        <v>2837644</v>
      </c>
      <c r="Q64" s="57">
        <f t="shared" si="12"/>
        <v>49.740404373861004</v>
      </c>
      <c r="R64" s="57">
        <f t="shared" si="13"/>
        <v>5.4795956261389946</v>
      </c>
      <c r="S64" s="88">
        <f t="shared" si="14"/>
        <v>0.01</v>
      </c>
      <c r="T64" s="33">
        <f t="shared" si="15"/>
        <v>27698</v>
      </c>
      <c r="U64" s="9">
        <f t="shared" si="16"/>
        <v>0</v>
      </c>
      <c r="V64" s="9">
        <f t="shared" si="4"/>
        <v>0</v>
      </c>
      <c r="W64" s="9">
        <f t="shared" si="17"/>
        <v>0</v>
      </c>
      <c r="X64" s="127">
        <f>MIN(H64*parameters!C$22,ROUND(P64+T64-V64+W64,0))</f>
        <v>2865342</v>
      </c>
      <c r="Y64" s="94">
        <f t="shared" si="18"/>
        <v>50.225916199991133</v>
      </c>
      <c r="AA64" s="33">
        <f t="shared" si="19"/>
        <v>-312788</v>
      </c>
      <c r="AB64" s="33">
        <f t="shared" si="20"/>
        <v>-285090</v>
      </c>
      <c r="AC64" s="33">
        <f t="shared" si="21"/>
        <v>0</v>
      </c>
      <c r="AD64" s="57">
        <f t="shared" si="22"/>
        <v>-4.9940838000088661</v>
      </c>
      <c r="AG64" s="609" t="str">
        <f t="shared" si="23"/>
        <v>058</v>
      </c>
      <c r="AH64" s="388" t="str">
        <f t="shared" si="24"/>
        <v>Cheshire</v>
      </c>
      <c r="AI64" s="380">
        <f t="shared" si="25"/>
        <v>0.55223192772719787</v>
      </c>
      <c r="AJ64" s="381">
        <f t="shared" si="5"/>
        <v>55.22</v>
      </c>
      <c r="AK64" s="380">
        <f t="shared" si="26"/>
        <v>2.4500000000000001E-2</v>
      </c>
      <c r="AL64" s="9">
        <f t="shared" si="6"/>
        <v>2865342</v>
      </c>
      <c r="AM64" s="57">
        <f t="shared" si="27"/>
        <v>-4.9940838000088661</v>
      </c>
    </row>
    <row r="65" spans="1:39" ht="12.75" customHeight="1">
      <c r="A65" s="6">
        <v>59</v>
      </c>
      <c r="B65" s="6" t="s">
        <v>740</v>
      </c>
      <c r="C65" s="81">
        <v>150115400</v>
      </c>
      <c r="D65" s="81">
        <f t="shared" si="1"/>
        <v>586291.92271267285</v>
      </c>
      <c r="E65" s="8">
        <v>37246000</v>
      </c>
      <c r="F65" s="81">
        <f t="shared" si="28"/>
        <v>533061.04678399803</v>
      </c>
      <c r="G65" s="81">
        <f t="shared" si="2"/>
        <v>1119353</v>
      </c>
      <c r="H65" s="127">
        <f t="shared" si="7"/>
        <v>1985247.3186369278</v>
      </c>
      <c r="I65" s="347">
        <f t="shared" si="8"/>
        <v>0.56383554305392469</v>
      </c>
      <c r="J65" s="33">
        <f t="shared" si="3"/>
        <v>1637829</v>
      </c>
      <c r="K65" s="33">
        <f t="shared" si="9"/>
        <v>1119353</v>
      </c>
      <c r="L65" s="126">
        <f t="shared" si="10"/>
        <v>56.38</v>
      </c>
      <c r="M65" s="470"/>
      <c r="N65" s="128">
        <v>965457</v>
      </c>
      <c r="O65" s="449">
        <v>3.04E-2</v>
      </c>
      <c r="P65" s="33">
        <f t="shared" si="11"/>
        <v>994807</v>
      </c>
      <c r="Q65" s="57">
        <f t="shared" si="12"/>
        <v>50.109978271273285</v>
      </c>
      <c r="R65" s="57">
        <f t="shared" si="13"/>
        <v>6.2700217287267179</v>
      </c>
      <c r="S65" s="88">
        <f t="shared" si="14"/>
        <v>0.01</v>
      </c>
      <c r="T65" s="33">
        <f t="shared" si="15"/>
        <v>9655</v>
      </c>
      <c r="U65" s="9">
        <f t="shared" si="16"/>
        <v>0</v>
      </c>
      <c r="V65" s="9">
        <f t="shared" si="4"/>
        <v>0</v>
      </c>
      <c r="W65" s="9">
        <f t="shared" si="17"/>
        <v>0</v>
      </c>
      <c r="X65" s="127">
        <f>MIN(H65*parameters!C$22,ROUND(P65+T65-V65+W65,0))</f>
        <v>1004462</v>
      </c>
      <c r="Y65" s="94">
        <f t="shared" si="18"/>
        <v>50.596315661550136</v>
      </c>
      <c r="AA65" s="33">
        <f t="shared" si="19"/>
        <v>-124546</v>
      </c>
      <c r="AB65" s="33">
        <f t="shared" si="20"/>
        <v>-114891</v>
      </c>
      <c r="AC65" s="33">
        <f t="shared" si="21"/>
        <v>0</v>
      </c>
      <c r="AD65" s="57">
        <f t="shared" si="22"/>
        <v>-5.7836843384498664</v>
      </c>
      <c r="AG65" s="609" t="str">
        <f t="shared" si="23"/>
        <v>059</v>
      </c>
      <c r="AH65" s="388" t="str">
        <f t="shared" si="24"/>
        <v>Chester</v>
      </c>
      <c r="AI65" s="380">
        <f t="shared" si="25"/>
        <v>0.56383554305392469</v>
      </c>
      <c r="AJ65" s="381">
        <f t="shared" si="5"/>
        <v>56.38</v>
      </c>
      <c r="AK65" s="380">
        <f t="shared" si="26"/>
        <v>3.04E-2</v>
      </c>
      <c r="AL65" s="9">
        <f t="shared" si="6"/>
        <v>1004462</v>
      </c>
      <c r="AM65" s="57">
        <f t="shared" si="27"/>
        <v>-5.7836843384498664</v>
      </c>
    </row>
    <row r="66" spans="1:39" ht="12.75" customHeight="1">
      <c r="A66" s="6">
        <v>60</v>
      </c>
      <c r="B66" s="6" t="s">
        <v>741</v>
      </c>
      <c r="C66" s="81">
        <v>190606900</v>
      </c>
      <c r="D66" s="81">
        <f t="shared" si="1"/>
        <v>744435.85323892266</v>
      </c>
      <c r="E66" s="8">
        <v>29463000</v>
      </c>
      <c r="F66" s="81">
        <f t="shared" si="28"/>
        <v>421671.52503347833</v>
      </c>
      <c r="G66" s="81">
        <f t="shared" si="2"/>
        <v>1166107</v>
      </c>
      <c r="H66" s="127">
        <f t="shared" si="7"/>
        <v>1426432.4283742383</v>
      </c>
      <c r="I66" s="347">
        <f t="shared" si="8"/>
        <v>0.81749894127761691</v>
      </c>
      <c r="J66" s="33">
        <f t="shared" si="3"/>
        <v>1176807</v>
      </c>
      <c r="K66" s="33">
        <f t="shared" si="9"/>
        <v>1166107</v>
      </c>
      <c r="L66" s="126">
        <f t="shared" si="10"/>
        <v>81.75</v>
      </c>
      <c r="M66" s="470"/>
      <c r="N66" s="128">
        <v>1043047</v>
      </c>
      <c r="O66" s="449">
        <v>3.78E-2</v>
      </c>
      <c r="P66" s="33">
        <f t="shared" si="11"/>
        <v>1082474</v>
      </c>
      <c r="Q66" s="57">
        <f t="shared" si="12"/>
        <v>75.886805324086652</v>
      </c>
      <c r="R66" s="57">
        <f t="shared" si="13"/>
        <v>5.8631946759133484</v>
      </c>
      <c r="S66" s="88">
        <f t="shared" si="14"/>
        <v>0.01</v>
      </c>
      <c r="T66" s="33">
        <f t="shared" si="15"/>
        <v>10430</v>
      </c>
      <c r="U66" s="9">
        <f t="shared" si="16"/>
        <v>0</v>
      </c>
      <c r="V66" s="9">
        <f t="shared" si="4"/>
        <v>0</v>
      </c>
      <c r="W66" s="9">
        <f t="shared" si="17"/>
        <v>0</v>
      </c>
      <c r="X66" s="127">
        <f>MIN(H66*parameters!C$22,ROUND(P66+T66-V66+W66,0))</f>
        <v>1092904</v>
      </c>
      <c r="Y66" s="94">
        <f t="shared" si="18"/>
        <v>76.61800014218872</v>
      </c>
      <c r="AA66" s="33">
        <f t="shared" si="19"/>
        <v>-83633</v>
      </c>
      <c r="AB66" s="33">
        <f t="shared" si="20"/>
        <v>-73203</v>
      </c>
      <c r="AC66" s="33">
        <f t="shared" si="21"/>
        <v>0</v>
      </c>
      <c r="AD66" s="57">
        <f t="shared" si="22"/>
        <v>-5.1319998578112802</v>
      </c>
      <c r="AG66" s="609" t="str">
        <f t="shared" si="23"/>
        <v>060</v>
      </c>
      <c r="AH66" s="388" t="str">
        <f t="shared" si="24"/>
        <v>Chesterfield</v>
      </c>
      <c r="AI66" s="380">
        <f t="shared" si="25"/>
        <v>0.81749894127761691</v>
      </c>
      <c r="AJ66" s="381">
        <f t="shared" si="5"/>
        <v>81.75</v>
      </c>
      <c r="AK66" s="380">
        <f t="shared" si="26"/>
        <v>3.78E-2</v>
      </c>
      <c r="AL66" s="9">
        <f t="shared" si="6"/>
        <v>1092904</v>
      </c>
      <c r="AM66" s="57">
        <f t="shared" si="27"/>
        <v>-5.1319998578112802</v>
      </c>
    </row>
    <row r="67" spans="1:39" ht="12.75" customHeight="1">
      <c r="A67" s="6">
        <v>61</v>
      </c>
      <c r="B67" s="6" t="s">
        <v>742</v>
      </c>
      <c r="C67" s="81">
        <v>4667842700</v>
      </c>
      <c r="D67" s="81">
        <f t="shared" si="1"/>
        <v>18230764.275372908</v>
      </c>
      <c r="E67" s="8">
        <v>1348503000</v>
      </c>
      <c r="F67" s="81">
        <f t="shared" si="28"/>
        <v>19299640.787503671</v>
      </c>
      <c r="G67" s="81">
        <f t="shared" si="2"/>
        <v>37530405</v>
      </c>
      <c r="H67" s="127">
        <f t="shared" si="7"/>
        <v>129158251.12</v>
      </c>
      <c r="I67" s="347">
        <f t="shared" si="8"/>
        <v>0.29057690604010089</v>
      </c>
      <c r="J67" s="33">
        <f t="shared" si="3"/>
        <v>106555557</v>
      </c>
      <c r="K67" s="33">
        <f t="shared" si="9"/>
        <v>37530405</v>
      </c>
      <c r="L67" s="126">
        <f t="shared" si="10"/>
        <v>29.06</v>
      </c>
      <c r="M67" s="470"/>
      <c r="N67" s="128">
        <v>33865812</v>
      </c>
      <c r="O67" s="449">
        <v>3.7400000000000003E-2</v>
      </c>
      <c r="P67" s="33">
        <f t="shared" si="11"/>
        <v>35132393</v>
      </c>
      <c r="Q67" s="57">
        <f t="shared" si="12"/>
        <v>27.201044219280071</v>
      </c>
      <c r="R67" s="57">
        <f t="shared" si="13"/>
        <v>1.8589557807199277</v>
      </c>
      <c r="S67" s="88">
        <f t="shared" si="14"/>
        <v>0</v>
      </c>
      <c r="T67" s="33">
        <f t="shared" si="15"/>
        <v>0</v>
      </c>
      <c r="U67" s="9">
        <f t="shared" si="16"/>
        <v>0</v>
      </c>
      <c r="V67" s="9">
        <f t="shared" si="4"/>
        <v>0</v>
      </c>
      <c r="W67" s="9">
        <f t="shared" si="17"/>
        <v>0</v>
      </c>
      <c r="X67" s="127">
        <f>MIN(H67*parameters!C$22,ROUND(P67+T67-V67+W67,0))</f>
        <v>35132393</v>
      </c>
      <c r="Y67" s="94">
        <f t="shared" si="18"/>
        <v>27.201044219280071</v>
      </c>
      <c r="AA67" s="33">
        <f t="shared" si="19"/>
        <v>-2398012</v>
      </c>
      <c r="AB67" s="33">
        <f t="shared" si="20"/>
        <v>-2398012</v>
      </c>
      <c r="AC67" s="33">
        <f t="shared" si="21"/>
        <v>0</v>
      </c>
      <c r="AD67" s="57">
        <f t="shared" si="22"/>
        <v>-1.8589557807199277</v>
      </c>
      <c r="AG67" s="609" t="str">
        <f t="shared" si="23"/>
        <v>061</v>
      </c>
      <c r="AH67" s="388" t="str">
        <f t="shared" si="24"/>
        <v>Chicopee</v>
      </c>
      <c r="AI67" s="380">
        <f t="shared" si="25"/>
        <v>0.29057690604010089</v>
      </c>
      <c r="AJ67" s="381">
        <f t="shared" si="5"/>
        <v>29.06</v>
      </c>
      <c r="AK67" s="380">
        <f t="shared" si="26"/>
        <v>3.7400000000000003E-2</v>
      </c>
      <c r="AL67" s="9">
        <f t="shared" si="6"/>
        <v>35132393</v>
      </c>
      <c r="AM67" s="57">
        <f t="shared" si="27"/>
        <v>-1.8589557807199277</v>
      </c>
    </row>
    <row r="68" spans="1:39" ht="12.75" customHeight="1">
      <c r="A68" s="6">
        <v>62</v>
      </c>
      <c r="B68" s="6" t="s">
        <v>743</v>
      </c>
      <c r="C68" s="81">
        <v>3878126000</v>
      </c>
      <c r="D68" s="81">
        <f t="shared" si="1"/>
        <v>15146440.332317717</v>
      </c>
      <c r="E68" s="8">
        <v>128312000</v>
      </c>
      <c r="F68" s="81">
        <f t="shared" si="28"/>
        <v>1836388.5795776285</v>
      </c>
      <c r="G68" s="81">
        <f t="shared" si="2"/>
        <v>16982829</v>
      </c>
      <c r="H68" s="127">
        <f t="shared" si="7"/>
        <v>1415658.184172444</v>
      </c>
      <c r="I68" s="347">
        <f t="shared" si="8"/>
        <v>11.996419184993945</v>
      </c>
      <c r="J68" s="33">
        <f t="shared" si="3"/>
        <v>1167918</v>
      </c>
      <c r="K68" s="33">
        <f t="shared" si="9"/>
        <v>1167918</v>
      </c>
      <c r="L68" s="126">
        <f t="shared" si="10"/>
        <v>82.5</v>
      </c>
      <c r="M68" s="470"/>
      <c r="N68" s="128">
        <v>1318475</v>
      </c>
      <c r="O68" s="449">
        <v>5.4400000000000004E-2</v>
      </c>
      <c r="P68" s="33">
        <f t="shared" si="11"/>
        <v>1390200</v>
      </c>
      <c r="Q68" s="57">
        <f t="shared" si="12"/>
        <v>98.201671529393508</v>
      </c>
      <c r="R68" s="57">
        <f t="shared" si="13"/>
        <v>0</v>
      </c>
      <c r="S68" s="88">
        <f t="shared" si="14"/>
        <v>0</v>
      </c>
      <c r="T68" s="33">
        <f t="shared" si="15"/>
        <v>0</v>
      </c>
      <c r="U68" s="9">
        <f t="shared" si="16"/>
        <v>222282</v>
      </c>
      <c r="V68" s="9">
        <f t="shared" si="4"/>
        <v>222282</v>
      </c>
      <c r="W68" s="9">
        <f t="shared" si="17"/>
        <v>0</v>
      </c>
      <c r="X68" s="127">
        <f>MIN(H68*parameters!C$22,ROUND(P68+T68-V68+W68,0))</f>
        <v>1167918</v>
      </c>
      <c r="Y68" s="94">
        <f t="shared" si="18"/>
        <v>82.499999862801175</v>
      </c>
      <c r="AA68" s="33">
        <f t="shared" si="19"/>
        <v>0</v>
      </c>
      <c r="AB68" s="33">
        <f t="shared" si="20"/>
        <v>0</v>
      </c>
      <c r="AC68" s="33">
        <f t="shared" si="21"/>
        <v>0</v>
      </c>
      <c r="AD68" s="57">
        <f t="shared" si="22"/>
        <v>-1.3719882474561018E-7</v>
      </c>
      <c r="AG68" s="609" t="str">
        <f t="shared" si="23"/>
        <v>062</v>
      </c>
      <c r="AH68" s="388" t="str">
        <f t="shared" si="24"/>
        <v>Chilmark</v>
      </c>
      <c r="AI68" s="380">
        <f t="shared" si="25"/>
        <v>11.996419184993945</v>
      </c>
      <c r="AJ68" s="381">
        <f t="shared" si="5"/>
        <v>82.5</v>
      </c>
      <c r="AK68" s="380">
        <f t="shared" si="26"/>
        <v>5.4400000000000004E-2</v>
      </c>
      <c r="AL68" s="9">
        <f t="shared" si="6"/>
        <v>1167918</v>
      </c>
      <c r="AM68" s="57">
        <f t="shared" si="27"/>
        <v>-1.3719882474561018E-7</v>
      </c>
    </row>
    <row r="69" spans="1:39" ht="12.75" customHeight="1">
      <c r="A69" s="6">
        <v>63</v>
      </c>
      <c r="B69" s="6" t="s">
        <v>744</v>
      </c>
      <c r="C69" s="81">
        <v>149674900</v>
      </c>
      <c r="D69" s="81">
        <f t="shared" si="1"/>
        <v>584571.50234304438</v>
      </c>
      <c r="E69" s="8">
        <v>48425000</v>
      </c>
      <c r="F69" s="81">
        <f t="shared" si="28"/>
        <v>693053.7827019036</v>
      </c>
      <c r="G69" s="81">
        <f t="shared" si="2"/>
        <v>1277625</v>
      </c>
      <c r="H69" s="127">
        <f t="shared" si="7"/>
        <v>4029768.9141682955</v>
      </c>
      <c r="I69" s="347">
        <f t="shared" si="8"/>
        <v>0.31704671588189298</v>
      </c>
      <c r="J69" s="33">
        <f t="shared" si="3"/>
        <v>3324559</v>
      </c>
      <c r="K69" s="33">
        <f t="shared" si="9"/>
        <v>1277625</v>
      </c>
      <c r="L69" s="126">
        <f t="shared" si="10"/>
        <v>31.7</v>
      </c>
      <c r="M69" s="470"/>
      <c r="N69" s="128">
        <v>1088329</v>
      </c>
      <c r="O69" s="449">
        <v>2.3800000000000002E-2</v>
      </c>
      <c r="P69" s="33">
        <f t="shared" si="11"/>
        <v>1114231</v>
      </c>
      <c r="Q69" s="57">
        <f t="shared" si="12"/>
        <v>27.64999740016026</v>
      </c>
      <c r="R69" s="57">
        <f t="shared" si="13"/>
        <v>4.0500025998397398</v>
      </c>
      <c r="S69" s="88">
        <f t="shared" si="14"/>
        <v>0.01</v>
      </c>
      <c r="T69" s="33">
        <f t="shared" si="15"/>
        <v>10883</v>
      </c>
      <c r="U69" s="9">
        <f t="shared" si="16"/>
        <v>0</v>
      </c>
      <c r="V69" s="9">
        <f t="shared" si="4"/>
        <v>0</v>
      </c>
      <c r="W69" s="9">
        <f t="shared" si="17"/>
        <v>0</v>
      </c>
      <c r="X69" s="127">
        <f>MIN(H69*parameters!C$22,ROUND(P69+T69-V69+W69,0))</f>
        <v>1125114</v>
      </c>
      <c r="Y69" s="94">
        <f t="shared" si="18"/>
        <v>27.920062513862842</v>
      </c>
      <c r="AA69" s="33">
        <f t="shared" si="19"/>
        <v>-163394</v>
      </c>
      <c r="AB69" s="33">
        <f t="shared" si="20"/>
        <v>-152511</v>
      </c>
      <c r="AC69" s="33">
        <f t="shared" si="21"/>
        <v>0</v>
      </c>
      <c r="AD69" s="57">
        <f t="shared" si="22"/>
        <v>-3.7799374861371575</v>
      </c>
      <c r="AG69" s="609" t="str">
        <f t="shared" si="23"/>
        <v>063</v>
      </c>
      <c r="AH69" s="388" t="str">
        <f t="shared" si="24"/>
        <v>Clarksburg</v>
      </c>
      <c r="AI69" s="380">
        <f t="shared" si="25"/>
        <v>0.31704671588189298</v>
      </c>
      <c r="AJ69" s="381">
        <f t="shared" si="5"/>
        <v>31.7</v>
      </c>
      <c r="AK69" s="380">
        <f t="shared" si="26"/>
        <v>2.3800000000000002E-2</v>
      </c>
      <c r="AL69" s="9">
        <f t="shared" si="6"/>
        <v>1125114</v>
      </c>
      <c r="AM69" s="57">
        <f t="shared" si="27"/>
        <v>-3.7799374861371575</v>
      </c>
    </row>
    <row r="70" spans="1:39" ht="12.75" customHeight="1">
      <c r="A70" s="6">
        <v>64</v>
      </c>
      <c r="B70" s="6" t="s">
        <v>745</v>
      </c>
      <c r="C70" s="81">
        <v>1853848200</v>
      </c>
      <c r="D70" s="81">
        <f t="shared" si="1"/>
        <v>7240404.552733615</v>
      </c>
      <c r="E70" s="8">
        <v>541547000</v>
      </c>
      <c r="F70" s="81">
        <f t="shared" si="28"/>
        <v>7750566.7911382103</v>
      </c>
      <c r="G70" s="81">
        <f t="shared" si="2"/>
        <v>14990971</v>
      </c>
      <c r="H70" s="127">
        <f t="shared" si="7"/>
        <v>34438020.57</v>
      </c>
      <c r="I70" s="347">
        <f t="shared" si="8"/>
        <v>0.43530292252218139</v>
      </c>
      <c r="J70" s="33">
        <f t="shared" si="3"/>
        <v>28411367</v>
      </c>
      <c r="K70" s="33">
        <f t="shared" si="9"/>
        <v>14990971</v>
      </c>
      <c r="L70" s="126">
        <f t="shared" si="10"/>
        <v>43.53</v>
      </c>
      <c r="M70" s="470"/>
      <c r="N70" s="128">
        <v>13217258</v>
      </c>
      <c r="O70" s="449">
        <v>5.1100000000000007E-2</v>
      </c>
      <c r="P70" s="33">
        <f t="shared" si="11"/>
        <v>13892660</v>
      </c>
      <c r="Q70" s="57">
        <f t="shared" si="12"/>
        <v>40.341052621654789</v>
      </c>
      <c r="R70" s="57">
        <f t="shared" si="13"/>
        <v>3.1889473783452118</v>
      </c>
      <c r="S70" s="88">
        <f t="shared" si="14"/>
        <v>0.01</v>
      </c>
      <c r="T70" s="33">
        <f t="shared" si="15"/>
        <v>132173</v>
      </c>
      <c r="U70" s="9">
        <f t="shared" si="16"/>
        <v>0</v>
      </c>
      <c r="V70" s="9">
        <f t="shared" si="4"/>
        <v>0</v>
      </c>
      <c r="W70" s="9">
        <f t="shared" si="17"/>
        <v>0</v>
      </c>
      <c r="X70" s="127">
        <f>MIN(H70*parameters!C$22,ROUND(P70+T70-V70+W70,0))</f>
        <v>14024833</v>
      </c>
      <c r="Y70" s="94">
        <f t="shared" si="18"/>
        <v>40.724852264643388</v>
      </c>
      <c r="AA70" s="33">
        <f t="shared" si="19"/>
        <v>-1098311</v>
      </c>
      <c r="AB70" s="33">
        <f t="shared" si="20"/>
        <v>-966138</v>
      </c>
      <c r="AC70" s="33">
        <f t="shared" si="21"/>
        <v>0</v>
      </c>
      <c r="AD70" s="57">
        <f t="shared" si="22"/>
        <v>-2.8051477353566128</v>
      </c>
      <c r="AG70" s="609" t="str">
        <f t="shared" si="23"/>
        <v>064</v>
      </c>
      <c r="AH70" s="388" t="str">
        <f t="shared" si="24"/>
        <v>Clinton</v>
      </c>
      <c r="AI70" s="380">
        <f t="shared" si="25"/>
        <v>0.43530292252218139</v>
      </c>
      <c r="AJ70" s="381">
        <f t="shared" si="5"/>
        <v>43.53</v>
      </c>
      <c r="AK70" s="380">
        <f t="shared" si="26"/>
        <v>5.1100000000000007E-2</v>
      </c>
      <c r="AL70" s="9">
        <f t="shared" si="6"/>
        <v>14024833</v>
      </c>
      <c r="AM70" s="57">
        <f t="shared" si="27"/>
        <v>-2.8051477353566128</v>
      </c>
    </row>
    <row r="71" spans="1:39" ht="12.75" customHeight="1">
      <c r="A71" s="6">
        <v>65</v>
      </c>
      <c r="B71" s="6" t="s">
        <v>746</v>
      </c>
      <c r="C71" s="81">
        <v>3547050800</v>
      </c>
      <c r="D71" s="81">
        <f t="shared" si="1"/>
        <v>13853390.348302202</v>
      </c>
      <c r="E71" s="8">
        <v>1547972000</v>
      </c>
      <c r="F71" s="81">
        <f t="shared" si="28"/>
        <v>22154421.272413652</v>
      </c>
      <c r="G71" s="81">
        <f t="shared" si="2"/>
        <v>36007812</v>
      </c>
      <c r="H71" s="127">
        <f t="shared" si="7"/>
        <v>18026879.020258714</v>
      </c>
      <c r="I71" s="347">
        <f t="shared" si="8"/>
        <v>1.9974512481907827</v>
      </c>
      <c r="J71" s="33">
        <f t="shared" ref="J71:J134" si="29">ROUND(H71*maxloc,0)</f>
        <v>14872175</v>
      </c>
      <c r="K71" s="33">
        <f t="shared" si="9"/>
        <v>14872175</v>
      </c>
      <c r="L71" s="126">
        <f t="shared" si="10"/>
        <v>82.5</v>
      </c>
      <c r="M71" s="470"/>
      <c r="N71" s="128">
        <v>13956055</v>
      </c>
      <c r="O71" s="449">
        <v>3.7400000000000003E-2</v>
      </c>
      <c r="P71" s="33">
        <f t="shared" si="11"/>
        <v>14478011</v>
      </c>
      <c r="Q71" s="57">
        <f t="shared" si="12"/>
        <v>80.313464042941234</v>
      </c>
      <c r="R71" s="57">
        <f t="shared" si="13"/>
        <v>2.1865359570587657</v>
      </c>
      <c r="S71" s="88">
        <f t="shared" si="14"/>
        <v>0</v>
      </c>
      <c r="T71" s="33">
        <f t="shared" si="15"/>
        <v>0</v>
      </c>
      <c r="U71" s="9">
        <f t="shared" si="16"/>
        <v>0</v>
      </c>
      <c r="V71" s="9">
        <f t="shared" ref="V71:V134" si="30">MAX(U71*(V$5),0)</f>
        <v>0</v>
      </c>
      <c r="W71" s="9">
        <f t="shared" si="17"/>
        <v>394164</v>
      </c>
      <c r="X71" s="127">
        <f>MIN(H71*parameters!C$22,ROUND(P71+T71-V71+W71,0))</f>
        <v>14872175</v>
      </c>
      <c r="Y71" s="94">
        <f t="shared" si="18"/>
        <v>82.499998936513421</v>
      </c>
      <c r="AA71" s="33">
        <f t="shared" si="19"/>
        <v>-394164</v>
      </c>
      <c r="AB71" s="33">
        <f t="shared" si="20"/>
        <v>0</v>
      </c>
      <c r="AC71" s="33">
        <f t="shared" si="21"/>
        <v>0</v>
      </c>
      <c r="AD71" s="57">
        <f t="shared" si="22"/>
        <v>-1.0634865788006209E-6</v>
      </c>
      <c r="AG71" s="609" t="str">
        <f t="shared" si="23"/>
        <v>065</v>
      </c>
      <c r="AH71" s="388" t="str">
        <f t="shared" si="24"/>
        <v>Cohasset</v>
      </c>
      <c r="AI71" s="380">
        <f t="shared" si="25"/>
        <v>1.9974512481907827</v>
      </c>
      <c r="AJ71" s="381">
        <f t="shared" ref="AJ71:AJ134" si="31">L71</f>
        <v>82.5</v>
      </c>
      <c r="AK71" s="380">
        <f t="shared" si="26"/>
        <v>3.7400000000000003E-2</v>
      </c>
      <c r="AL71" s="9">
        <f t="shared" ref="AL71:AL134" si="32">X71</f>
        <v>14872175</v>
      </c>
      <c r="AM71" s="57">
        <f t="shared" si="27"/>
        <v>-1.0634865788006209E-6</v>
      </c>
    </row>
    <row r="72" spans="1:39" ht="12.75" customHeight="1">
      <c r="A72" s="6">
        <v>66</v>
      </c>
      <c r="B72" s="6" t="s">
        <v>747</v>
      </c>
      <c r="C72" s="81">
        <v>203121700</v>
      </c>
      <c r="D72" s="81">
        <f t="shared" ref="D72:D135" si="33">D$5*C72</f>
        <v>793313.75753364898</v>
      </c>
      <c r="E72" s="8">
        <v>52497000</v>
      </c>
      <c r="F72" s="81">
        <f t="shared" si="28"/>
        <v>751331.84162110137</v>
      </c>
      <c r="G72" s="81">
        <f t="shared" ref="G72:G135" si="34">ROUND(D72+F72,0)</f>
        <v>1544646</v>
      </c>
      <c r="H72" s="127">
        <f t="shared" ref="H72:H135" si="35">(SUMIF(town1755,A72,found1755)/2)</f>
        <v>2565115.1861281162</v>
      </c>
      <c r="I72" s="347">
        <f t="shared" ref="I72:I135" si="36">IF(H72=0,0,G72/H72)</f>
        <v>0.60217412783382573</v>
      </c>
      <c r="J72" s="33">
        <f t="shared" si="29"/>
        <v>2116220</v>
      </c>
      <c r="K72" s="33">
        <f t="shared" ref="K72:K135" si="37">MIN(G72,J72)</f>
        <v>1544646</v>
      </c>
      <c r="L72" s="126">
        <f t="shared" ref="L72:L135" si="38">IF(H72&gt;0, ROUND((K72*100/H72), 2), 0)</f>
        <v>60.22</v>
      </c>
      <c r="M72" s="470"/>
      <c r="N72" s="128">
        <v>1416811</v>
      </c>
      <c r="O72" s="449">
        <v>4.7400000000000005E-2</v>
      </c>
      <c r="P72" s="33">
        <f t="shared" ref="P72:P135" si="39">ROUND(N72*(1+O72),0)</f>
        <v>1483968</v>
      </c>
      <c r="Q72" s="57">
        <f t="shared" ref="Q72:Q135" si="40">IF(H72=0,0,P72*100/H72)</f>
        <v>57.851904975852506</v>
      </c>
      <c r="R72" s="57">
        <f t="shared" ref="R72:R135" si="41">IF(L72&gt;Q72,L72-Q72,0)</f>
        <v>2.3680950241474932</v>
      </c>
      <c r="S72" s="88">
        <f t="shared" ref="S72:S135" si="42">IF(AND(R72&gt;$T$4,R72&lt;=$T$5),$S$4,IF(R72&gt;$T$5,$S$5,0))</f>
        <v>0</v>
      </c>
      <c r="T72" s="33">
        <f t="shared" ref="T72:T135" si="43">ROUND(S72*N72,0)</f>
        <v>0</v>
      </c>
      <c r="U72" s="9">
        <f t="shared" ref="U72:U135" si="44">MAX(P72-K72,0)</f>
        <v>0</v>
      </c>
      <c r="V72" s="9">
        <f t="shared" si="30"/>
        <v>0</v>
      </c>
      <c r="W72" s="9">
        <f t="shared" ref="W72:W135" si="45">IF(AND(I72&gt;1.75,$W$5=1),MAX(K72-(P72+T72),0),0)</f>
        <v>0</v>
      </c>
      <c r="X72" s="127">
        <f>MIN(H72*parameters!C$22,ROUND(P72+T72-V72+W72,0))</f>
        <v>1483968</v>
      </c>
      <c r="Y72" s="94">
        <f t="shared" ref="Y72:Y135" si="46">IF(H72=0,0,X72*100/H72)</f>
        <v>57.851904975852506</v>
      </c>
      <c r="AA72" s="33">
        <f t="shared" ref="AA72:AA135" si="47">IF(Q72&lt;L72, P72-K72, 0)</f>
        <v>-60678</v>
      </c>
      <c r="AB72" s="33">
        <f t="shared" ref="AB72:AB135" si="48">-1*MAX(K72-(P72+T72+W72),0)</f>
        <v>-60678</v>
      </c>
      <c r="AC72" s="33">
        <f t="shared" ref="AC72:AC135" si="49">IF(Q72&gt;L72, X72-K72,0)</f>
        <v>0</v>
      </c>
      <c r="AD72" s="57">
        <f t="shared" ref="AD72:AD135" si="50">Y72-L72</f>
        <v>-2.3680950241474932</v>
      </c>
      <c r="AG72" s="609" t="str">
        <f t="shared" ref="AG72:AG135" si="51">TEXT(A72,"000")</f>
        <v>066</v>
      </c>
      <c r="AH72" s="388" t="str">
        <f t="shared" ref="AH72:AH135" si="52">B72</f>
        <v>Colrain</v>
      </c>
      <c r="AI72" s="380">
        <f t="shared" ref="AI72:AI135" si="53">I72</f>
        <v>0.60217412783382573</v>
      </c>
      <c r="AJ72" s="381">
        <f t="shared" si="31"/>
        <v>60.22</v>
      </c>
      <c r="AK72" s="380">
        <f t="shared" ref="AK72:AK135" si="54">O72</f>
        <v>4.7400000000000005E-2</v>
      </c>
      <c r="AL72" s="9">
        <f t="shared" si="32"/>
        <v>1483968</v>
      </c>
      <c r="AM72" s="57">
        <f t="shared" ref="AM72:AM135" si="55">AD72</f>
        <v>-2.3680950241474932</v>
      </c>
    </row>
    <row r="73" spans="1:39" ht="12.75" customHeight="1">
      <c r="A73" s="6">
        <v>67</v>
      </c>
      <c r="B73" s="6" t="s">
        <v>748</v>
      </c>
      <c r="C73" s="81">
        <v>7337635800</v>
      </c>
      <c r="D73" s="81">
        <f t="shared" si="33"/>
        <v>28657929.841624122</v>
      </c>
      <c r="E73" s="8">
        <v>4071649000</v>
      </c>
      <c r="F73" s="81">
        <f t="shared" ref="F73:F136" si="56">E73*F$5</f>
        <v>58273035.442115091</v>
      </c>
      <c r="G73" s="81">
        <f t="shared" si="34"/>
        <v>86930965</v>
      </c>
      <c r="H73" s="127">
        <f t="shared" si="35"/>
        <v>38590245.523532279</v>
      </c>
      <c r="I73" s="347">
        <f t="shared" si="36"/>
        <v>2.2526668027284154</v>
      </c>
      <c r="J73" s="33">
        <f t="shared" si="29"/>
        <v>31836953</v>
      </c>
      <c r="K73" s="33">
        <f t="shared" si="37"/>
        <v>31836953</v>
      </c>
      <c r="L73" s="126">
        <f t="shared" si="38"/>
        <v>82.5</v>
      </c>
      <c r="M73" s="470"/>
      <c r="N73" s="128">
        <v>31097056</v>
      </c>
      <c r="O73" s="449">
        <v>3.9E-2</v>
      </c>
      <c r="P73" s="33">
        <f t="shared" si="39"/>
        <v>32309841</v>
      </c>
      <c r="Q73" s="57">
        <f t="shared" si="40"/>
        <v>83.725409262549277</v>
      </c>
      <c r="R73" s="57">
        <f t="shared" si="41"/>
        <v>0</v>
      </c>
      <c r="S73" s="88">
        <f t="shared" si="42"/>
        <v>0</v>
      </c>
      <c r="T73" s="33">
        <f t="shared" si="43"/>
        <v>0</v>
      </c>
      <c r="U73" s="9">
        <f t="shared" si="44"/>
        <v>472888</v>
      </c>
      <c r="V73" s="9">
        <f t="shared" si="30"/>
        <v>472888</v>
      </c>
      <c r="W73" s="9">
        <f t="shared" si="45"/>
        <v>0</v>
      </c>
      <c r="X73" s="127">
        <f>MIN(H73*parameters!C$22,ROUND(P73+T73-V73+W73,0))</f>
        <v>31836953</v>
      </c>
      <c r="Y73" s="94">
        <f t="shared" si="46"/>
        <v>82.500001148181013</v>
      </c>
      <c r="AA73" s="33">
        <f t="shared" si="47"/>
        <v>0</v>
      </c>
      <c r="AB73" s="33">
        <f t="shared" si="48"/>
        <v>0</v>
      </c>
      <c r="AC73" s="33">
        <f t="shared" si="49"/>
        <v>0</v>
      </c>
      <c r="AD73" s="57">
        <f t="shared" si="50"/>
        <v>1.1481810133773251E-6</v>
      </c>
      <c r="AG73" s="609" t="str">
        <f t="shared" si="51"/>
        <v>067</v>
      </c>
      <c r="AH73" s="388" t="str">
        <f t="shared" si="52"/>
        <v>Concord</v>
      </c>
      <c r="AI73" s="380">
        <f t="shared" si="53"/>
        <v>2.2526668027284154</v>
      </c>
      <c r="AJ73" s="381">
        <f t="shared" si="31"/>
        <v>82.5</v>
      </c>
      <c r="AK73" s="380">
        <f t="shared" si="54"/>
        <v>3.9E-2</v>
      </c>
      <c r="AL73" s="9">
        <f t="shared" si="32"/>
        <v>31836953</v>
      </c>
      <c r="AM73" s="57">
        <f t="shared" si="55"/>
        <v>1.1481810133773251E-6</v>
      </c>
    </row>
    <row r="74" spans="1:39" ht="12.75" customHeight="1">
      <c r="A74" s="6">
        <v>68</v>
      </c>
      <c r="B74" s="6" t="s">
        <v>749</v>
      </c>
      <c r="C74" s="81">
        <v>298724500</v>
      </c>
      <c r="D74" s="81">
        <f t="shared" si="33"/>
        <v>1166700.827938918</v>
      </c>
      <c r="E74" s="8">
        <v>84070000</v>
      </c>
      <c r="F74" s="81">
        <f t="shared" si="56"/>
        <v>1203201.4767526905</v>
      </c>
      <c r="G74" s="81">
        <f t="shared" si="34"/>
        <v>2369902</v>
      </c>
      <c r="H74" s="127">
        <f t="shared" si="35"/>
        <v>2365823.195034733</v>
      </c>
      <c r="I74" s="347">
        <f t="shared" si="36"/>
        <v>1.0017240531641702</v>
      </c>
      <c r="J74" s="33">
        <f t="shared" si="29"/>
        <v>1951804</v>
      </c>
      <c r="K74" s="33">
        <f t="shared" si="37"/>
        <v>1951804</v>
      </c>
      <c r="L74" s="126">
        <f t="shared" si="38"/>
        <v>82.5</v>
      </c>
      <c r="M74" s="470"/>
      <c r="N74" s="128">
        <v>1923294</v>
      </c>
      <c r="O74" s="449">
        <v>5.0299999999999991E-2</v>
      </c>
      <c r="P74" s="33">
        <f t="shared" si="39"/>
        <v>2020036</v>
      </c>
      <c r="Q74" s="57">
        <f t="shared" si="40"/>
        <v>85.384064381461243</v>
      </c>
      <c r="R74" s="57">
        <f t="shared" si="41"/>
        <v>0</v>
      </c>
      <c r="S74" s="88">
        <f t="shared" si="42"/>
        <v>0</v>
      </c>
      <c r="T74" s="33">
        <f t="shared" si="43"/>
        <v>0</v>
      </c>
      <c r="U74" s="9">
        <f t="shared" si="44"/>
        <v>68232</v>
      </c>
      <c r="V74" s="9">
        <f t="shared" si="30"/>
        <v>68232</v>
      </c>
      <c r="W74" s="9">
        <f t="shared" si="45"/>
        <v>0</v>
      </c>
      <c r="X74" s="127">
        <f>MIN(H74*parameters!C$22,ROUND(P74+T74-V74+W74,0))</f>
        <v>1951804</v>
      </c>
      <c r="Y74" s="94">
        <f t="shared" si="46"/>
        <v>82.499994255544749</v>
      </c>
      <c r="AA74" s="33">
        <f t="shared" si="47"/>
        <v>0</v>
      </c>
      <c r="AB74" s="33">
        <f t="shared" si="48"/>
        <v>0</v>
      </c>
      <c r="AC74" s="33">
        <f t="shared" si="49"/>
        <v>0</v>
      </c>
      <c r="AD74" s="57">
        <f t="shared" si="50"/>
        <v>-5.7444552510332869E-6</v>
      </c>
      <c r="AG74" s="609" t="str">
        <f t="shared" si="51"/>
        <v>068</v>
      </c>
      <c r="AH74" s="388" t="str">
        <f t="shared" si="52"/>
        <v>Conway</v>
      </c>
      <c r="AI74" s="380">
        <f t="shared" si="53"/>
        <v>1.0017240531641702</v>
      </c>
      <c r="AJ74" s="381">
        <f t="shared" si="31"/>
        <v>82.5</v>
      </c>
      <c r="AK74" s="380">
        <f t="shared" si="54"/>
        <v>5.0299999999999991E-2</v>
      </c>
      <c r="AL74" s="9">
        <f t="shared" si="32"/>
        <v>1951804</v>
      </c>
      <c r="AM74" s="57">
        <f t="shared" si="55"/>
        <v>-5.7444552510332869E-6</v>
      </c>
    </row>
    <row r="75" spans="1:39" ht="12.75" customHeight="1">
      <c r="A75" s="6">
        <v>69</v>
      </c>
      <c r="B75" s="6" t="s">
        <v>750</v>
      </c>
      <c r="C75" s="81">
        <v>153578200</v>
      </c>
      <c r="D75" s="81">
        <f t="shared" si="33"/>
        <v>599816.26245376165</v>
      </c>
      <c r="E75" s="8">
        <v>53063000</v>
      </c>
      <c r="F75" s="81">
        <f t="shared" si="56"/>
        <v>759432.37731566571</v>
      </c>
      <c r="G75" s="81">
        <f t="shared" si="34"/>
        <v>1359249</v>
      </c>
      <c r="H75" s="127">
        <f t="shared" si="35"/>
        <v>794226.72059533885</v>
      </c>
      <c r="I75" s="347">
        <f t="shared" si="36"/>
        <v>1.7114118232903699</v>
      </c>
      <c r="J75" s="33">
        <f t="shared" si="29"/>
        <v>655237</v>
      </c>
      <c r="K75" s="33">
        <f t="shared" si="37"/>
        <v>655237</v>
      </c>
      <c r="L75" s="126">
        <f t="shared" si="38"/>
        <v>82.5</v>
      </c>
      <c r="M75" s="470"/>
      <c r="N75" s="128">
        <v>650414</v>
      </c>
      <c r="O75" s="449">
        <v>3.4599999999999999E-2</v>
      </c>
      <c r="P75" s="33">
        <f t="shared" si="39"/>
        <v>672918</v>
      </c>
      <c r="Q75" s="57">
        <f t="shared" si="40"/>
        <v>84.726184923064807</v>
      </c>
      <c r="R75" s="57">
        <f t="shared" si="41"/>
        <v>0</v>
      </c>
      <c r="S75" s="88">
        <f t="shared" si="42"/>
        <v>0</v>
      </c>
      <c r="T75" s="33">
        <f t="shared" si="43"/>
        <v>0</v>
      </c>
      <c r="U75" s="9">
        <f t="shared" si="44"/>
        <v>17681</v>
      </c>
      <c r="V75" s="9">
        <f t="shared" si="30"/>
        <v>17681</v>
      </c>
      <c r="W75" s="9">
        <f t="shared" si="45"/>
        <v>0</v>
      </c>
      <c r="X75" s="127">
        <f>MIN(H75*parameters!C$22,ROUND(P75+T75-V75+W75,0))</f>
        <v>655237</v>
      </c>
      <c r="Y75" s="94">
        <f t="shared" si="46"/>
        <v>82.499994398179595</v>
      </c>
      <c r="AA75" s="33">
        <f t="shared" si="47"/>
        <v>0</v>
      </c>
      <c r="AB75" s="33">
        <f t="shared" si="48"/>
        <v>0</v>
      </c>
      <c r="AC75" s="33">
        <f t="shared" si="49"/>
        <v>0</v>
      </c>
      <c r="AD75" s="57">
        <f t="shared" si="50"/>
        <v>-5.6018204048768894E-6</v>
      </c>
      <c r="AG75" s="609" t="str">
        <f t="shared" si="51"/>
        <v>069</v>
      </c>
      <c r="AH75" s="388" t="str">
        <f t="shared" si="52"/>
        <v>Cummington</v>
      </c>
      <c r="AI75" s="380">
        <f t="shared" si="53"/>
        <v>1.7114118232903699</v>
      </c>
      <c r="AJ75" s="381">
        <f t="shared" si="31"/>
        <v>82.5</v>
      </c>
      <c r="AK75" s="380">
        <f t="shared" si="54"/>
        <v>3.4599999999999999E-2</v>
      </c>
      <c r="AL75" s="9">
        <f t="shared" si="32"/>
        <v>655237</v>
      </c>
      <c r="AM75" s="57">
        <f t="shared" si="55"/>
        <v>-5.6018204048768894E-6</v>
      </c>
    </row>
    <row r="76" spans="1:39" ht="12.75" customHeight="1">
      <c r="A76" s="6">
        <v>70</v>
      </c>
      <c r="B76" s="6" t="s">
        <v>751</v>
      </c>
      <c r="C76" s="81">
        <v>732087000</v>
      </c>
      <c r="D76" s="81">
        <f t="shared" si="33"/>
        <v>2859244.9197281059</v>
      </c>
      <c r="E76" s="8">
        <v>247394000</v>
      </c>
      <c r="F76" s="81">
        <f t="shared" si="56"/>
        <v>3540678.3173516728</v>
      </c>
      <c r="G76" s="81">
        <f t="shared" si="34"/>
        <v>6399923</v>
      </c>
      <c r="H76" s="127">
        <f t="shared" si="35"/>
        <v>13379259.645228107</v>
      </c>
      <c r="I76" s="347">
        <f t="shared" si="36"/>
        <v>0.47834657295724275</v>
      </c>
      <c r="J76" s="33">
        <f t="shared" si="29"/>
        <v>11037889</v>
      </c>
      <c r="K76" s="33">
        <f t="shared" si="37"/>
        <v>6399923</v>
      </c>
      <c r="L76" s="126">
        <f t="shared" si="38"/>
        <v>47.83</v>
      </c>
      <c r="M76" s="470"/>
      <c r="N76" s="128">
        <v>5875937</v>
      </c>
      <c r="O76" s="449">
        <v>3.5499999999999997E-2</v>
      </c>
      <c r="P76" s="33">
        <f t="shared" si="39"/>
        <v>6084533</v>
      </c>
      <c r="Q76" s="57">
        <f t="shared" si="40"/>
        <v>45.477351971191702</v>
      </c>
      <c r="R76" s="57">
        <f t="shared" si="41"/>
        <v>2.3526480288082965</v>
      </c>
      <c r="S76" s="88">
        <f t="shared" si="42"/>
        <v>0</v>
      </c>
      <c r="T76" s="33">
        <f t="shared" si="43"/>
        <v>0</v>
      </c>
      <c r="U76" s="9">
        <f t="shared" si="44"/>
        <v>0</v>
      </c>
      <c r="V76" s="9">
        <f t="shared" si="30"/>
        <v>0</v>
      </c>
      <c r="W76" s="9">
        <f t="shared" si="45"/>
        <v>0</v>
      </c>
      <c r="X76" s="127">
        <f>MIN(H76*parameters!C$22,ROUND(P76+T76-V76+W76,0))</f>
        <v>6084533</v>
      </c>
      <c r="Y76" s="94">
        <f t="shared" si="46"/>
        <v>45.477351971191702</v>
      </c>
      <c r="AA76" s="33">
        <f t="shared" si="47"/>
        <v>-315390</v>
      </c>
      <c r="AB76" s="33">
        <f t="shared" si="48"/>
        <v>-315390</v>
      </c>
      <c r="AC76" s="33">
        <f t="shared" si="49"/>
        <v>0</v>
      </c>
      <c r="AD76" s="57">
        <f t="shared" si="50"/>
        <v>-2.3526480288082965</v>
      </c>
      <c r="AG76" s="609" t="str">
        <f t="shared" si="51"/>
        <v>070</v>
      </c>
      <c r="AH76" s="388" t="str">
        <f t="shared" si="52"/>
        <v>Dalton</v>
      </c>
      <c r="AI76" s="380">
        <f t="shared" si="53"/>
        <v>0.47834657295724275</v>
      </c>
      <c r="AJ76" s="381">
        <f t="shared" si="31"/>
        <v>47.83</v>
      </c>
      <c r="AK76" s="380">
        <f t="shared" si="54"/>
        <v>3.5499999999999997E-2</v>
      </c>
      <c r="AL76" s="9">
        <f t="shared" si="32"/>
        <v>6084533</v>
      </c>
      <c r="AM76" s="57">
        <f t="shared" si="55"/>
        <v>-2.3526480288082965</v>
      </c>
    </row>
    <row r="77" spans="1:39" ht="12.75" customHeight="1">
      <c r="A77" s="6">
        <v>71</v>
      </c>
      <c r="B77" s="6" t="s">
        <v>752</v>
      </c>
      <c r="C77" s="81">
        <v>6417792300</v>
      </c>
      <c r="D77" s="81">
        <f t="shared" si="33"/>
        <v>25065381.613995545</v>
      </c>
      <c r="E77" s="8">
        <v>1676555000</v>
      </c>
      <c r="F77" s="81">
        <f t="shared" si="56"/>
        <v>23994688.377032321</v>
      </c>
      <c r="G77" s="81">
        <f t="shared" si="34"/>
        <v>49060070</v>
      </c>
      <c r="H77" s="127">
        <f t="shared" si="35"/>
        <v>49170689.745959513</v>
      </c>
      <c r="I77" s="347">
        <f t="shared" si="36"/>
        <v>0.99775029094505219</v>
      </c>
      <c r="J77" s="33">
        <f t="shared" si="29"/>
        <v>40565819</v>
      </c>
      <c r="K77" s="33">
        <f t="shared" si="37"/>
        <v>40565819</v>
      </c>
      <c r="L77" s="126">
        <f t="shared" si="38"/>
        <v>82.5</v>
      </c>
      <c r="M77" s="470"/>
      <c r="N77" s="128">
        <v>36825830</v>
      </c>
      <c r="O77" s="449">
        <v>4.1799999999999997E-2</v>
      </c>
      <c r="P77" s="33">
        <f t="shared" si="39"/>
        <v>38365150</v>
      </c>
      <c r="Q77" s="57">
        <f t="shared" si="40"/>
        <v>78.024429183754876</v>
      </c>
      <c r="R77" s="57">
        <f t="shared" si="41"/>
        <v>4.4755708162451242</v>
      </c>
      <c r="S77" s="88">
        <f t="shared" si="42"/>
        <v>0.01</v>
      </c>
      <c r="T77" s="33">
        <f t="shared" si="43"/>
        <v>368258</v>
      </c>
      <c r="U77" s="9">
        <f t="shared" si="44"/>
        <v>0</v>
      </c>
      <c r="V77" s="9">
        <f t="shared" si="30"/>
        <v>0</v>
      </c>
      <c r="W77" s="9">
        <f t="shared" si="45"/>
        <v>0</v>
      </c>
      <c r="X77" s="127">
        <f>MIN(H77*parameters!C$22,ROUND(P77+T77-V77+W77,0))</f>
        <v>38733408</v>
      </c>
      <c r="Y77" s="94">
        <f t="shared" si="46"/>
        <v>78.773367223677852</v>
      </c>
      <c r="AA77" s="33">
        <f t="shared" si="47"/>
        <v>-2200669</v>
      </c>
      <c r="AB77" s="33">
        <f t="shared" si="48"/>
        <v>-1832411</v>
      </c>
      <c r="AC77" s="33">
        <f t="shared" si="49"/>
        <v>0</v>
      </c>
      <c r="AD77" s="57">
        <f t="shared" si="50"/>
        <v>-3.7266327763221483</v>
      </c>
      <c r="AG77" s="609" t="str">
        <f t="shared" si="51"/>
        <v>071</v>
      </c>
      <c r="AH77" s="388" t="str">
        <f t="shared" si="52"/>
        <v>Danvers</v>
      </c>
      <c r="AI77" s="380">
        <f t="shared" si="53"/>
        <v>0.99775029094505219</v>
      </c>
      <c r="AJ77" s="381">
        <f t="shared" si="31"/>
        <v>82.5</v>
      </c>
      <c r="AK77" s="380">
        <f t="shared" si="54"/>
        <v>4.1799999999999997E-2</v>
      </c>
      <c r="AL77" s="9">
        <f t="shared" si="32"/>
        <v>38733408</v>
      </c>
      <c r="AM77" s="57">
        <f t="shared" si="55"/>
        <v>-3.7266327763221483</v>
      </c>
    </row>
    <row r="78" spans="1:39" ht="12.75" customHeight="1">
      <c r="A78" s="6">
        <v>72</v>
      </c>
      <c r="B78" s="6" t="s">
        <v>753</v>
      </c>
      <c r="C78" s="81">
        <v>6798935400</v>
      </c>
      <c r="D78" s="81">
        <f t="shared" si="33"/>
        <v>26553977.193980467</v>
      </c>
      <c r="E78" s="8">
        <v>1647371000</v>
      </c>
      <c r="F78" s="81">
        <f t="shared" si="56"/>
        <v>23577009.872244041</v>
      </c>
      <c r="G78" s="81">
        <f t="shared" si="34"/>
        <v>50130987</v>
      </c>
      <c r="H78" s="127">
        <f t="shared" si="35"/>
        <v>52407705.048553541</v>
      </c>
      <c r="I78" s="347">
        <f t="shared" si="36"/>
        <v>0.95655757018086829</v>
      </c>
      <c r="J78" s="33">
        <f t="shared" si="29"/>
        <v>43236357</v>
      </c>
      <c r="K78" s="33">
        <f t="shared" si="37"/>
        <v>43236357</v>
      </c>
      <c r="L78" s="126">
        <f t="shared" si="38"/>
        <v>82.5</v>
      </c>
      <c r="M78" s="470"/>
      <c r="N78" s="128">
        <v>40917000</v>
      </c>
      <c r="O78" s="449">
        <v>3.6799999999999999E-2</v>
      </c>
      <c r="P78" s="33">
        <f t="shared" si="39"/>
        <v>42422746</v>
      </c>
      <c r="Q78" s="57">
        <f t="shared" si="40"/>
        <v>80.947536169914528</v>
      </c>
      <c r="R78" s="57">
        <f t="shared" si="41"/>
        <v>1.5524638300854718</v>
      </c>
      <c r="S78" s="88">
        <f t="shared" si="42"/>
        <v>0</v>
      </c>
      <c r="T78" s="33">
        <f t="shared" si="43"/>
        <v>0</v>
      </c>
      <c r="U78" s="9">
        <f t="shared" si="44"/>
        <v>0</v>
      </c>
      <c r="V78" s="9">
        <f t="shared" si="30"/>
        <v>0</v>
      </c>
      <c r="W78" s="9">
        <f t="shared" si="45"/>
        <v>0</v>
      </c>
      <c r="X78" s="127">
        <f>MIN(H78*parameters!C$22,ROUND(P78+T78-V78+W78,0))</f>
        <v>42422746</v>
      </c>
      <c r="Y78" s="94">
        <f t="shared" si="46"/>
        <v>80.947536169914528</v>
      </c>
      <c r="AA78" s="33">
        <f t="shared" si="47"/>
        <v>-813611</v>
      </c>
      <c r="AB78" s="33">
        <f t="shared" si="48"/>
        <v>-813611</v>
      </c>
      <c r="AC78" s="33">
        <f t="shared" si="49"/>
        <v>0</v>
      </c>
      <c r="AD78" s="57">
        <f t="shared" si="50"/>
        <v>-1.5524638300854718</v>
      </c>
      <c r="AG78" s="609" t="str">
        <f t="shared" si="51"/>
        <v>072</v>
      </c>
      <c r="AH78" s="388" t="str">
        <f t="shared" si="52"/>
        <v>Dartmouth</v>
      </c>
      <c r="AI78" s="380">
        <f t="shared" si="53"/>
        <v>0.95655757018086829</v>
      </c>
      <c r="AJ78" s="381">
        <f t="shared" si="31"/>
        <v>82.5</v>
      </c>
      <c r="AK78" s="380">
        <f t="shared" si="54"/>
        <v>3.6799999999999999E-2</v>
      </c>
      <c r="AL78" s="9">
        <f t="shared" si="32"/>
        <v>42422746</v>
      </c>
      <c r="AM78" s="57">
        <f t="shared" si="55"/>
        <v>-1.5524638300854718</v>
      </c>
    </row>
    <row r="79" spans="1:39" ht="12.75" customHeight="1">
      <c r="A79" s="6">
        <v>73</v>
      </c>
      <c r="B79" s="6" t="s">
        <v>754</v>
      </c>
      <c r="C79" s="81">
        <v>6593838900</v>
      </c>
      <c r="D79" s="81">
        <f t="shared" si="33"/>
        <v>25752950.641563863</v>
      </c>
      <c r="E79" s="8">
        <v>1947076000</v>
      </c>
      <c r="F79" s="81">
        <f t="shared" si="56"/>
        <v>27866358.017720014</v>
      </c>
      <c r="G79" s="81">
        <f t="shared" si="34"/>
        <v>53619309</v>
      </c>
      <c r="H79" s="127">
        <f t="shared" si="35"/>
        <v>41593900.388059162</v>
      </c>
      <c r="I79" s="347">
        <f t="shared" si="36"/>
        <v>1.2891147139303414</v>
      </c>
      <c r="J79" s="33">
        <f t="shared" si="29"/>
        <v>34314968</v>
      </c>
      <c r="K79" s="33">
        <f t="shared" si="37"/>
        <v>34314968</v>
      </c>
      <c r="L79" s="126">
        <f t="shared" si="38"/>
        <v>82.5</v>
      </c>
      <c r="M79" s="470"/>
      <c r="N79" s="128">
        <v>29620340</v>
      </c>
      <c r="O79" s="449">
        <v>3.4099999999999998E-2</v>
      </c>
      <c r="P79" s="33">
        <f t="shared" si="39"/>
        <v>30630394</v>
      </c>
      <c r="Q79" s="57">
        <f t="shared" si="40"/>
        <v>73.641552521468796</v>
      </c>
      <c r="R79" s="57">
        <f t="shared" si="41"/>
        <v>8.858447478531204</v>
      </c>
      <c r="S79" s="88">
        <f t="shared" si="42"/>
        <v>0.02</v>
      </c>
      <c r="T79" s="33">
        <f t="shared" si="43"/>
        <v>592407</v>
      </c>
      <c r="U79" s="9">
        <f t="shared" si="44"/>
        <v>0</v>
      </c>
      <c r="V79" s="9">
        <f t="shared" si="30"/>
        <v>0</v>
      </c>
      <c r="W79" s="9">
        <f t="shared" si="45"/>
        <v>0</v>
      </c>
      <c r="X79" s="127">
        <f>MIN(H79*parameters!C$22,ROUND(P79+T79-V79+W79,0))</f>
        <v>31222801</v>
      </c>
      <c r="Y79" s="94">
        <f t="shared" si="46"/>
        <v>75.065816643065986</v>
      </c>
      <c r="AA79" s="33">
        <f t="shared" si="47"/>
        <v>-3684574</v>
      </c>
      <c r="AB79" s="33">
        <f t="shared" si="48"/>
        <v>-3092167</v>
      </c>
      <c r="AC79" s="33">
        <f t="shared" si="49"/>
        <v>0</v>
      </c>
      <c r="AD79" s="57">
        <f t="shared" si="50"/>
        <v>-7.4341833569340139</v>
      </c>
      <c r="AG79" s="609" t="str">
        <f t="shared" si="51"/>
        <v>073</v>
      </c>
      <c r="AH79" s="388" t="str">
        <f t="shared" si="52"/>
        <v>Dedham</v>
      </c>
      <c r="AI79" s="380">
        <f t="shared" si="53"/>
        <v>1.2891147139303414</v>
      </c>
      <c r="AJ79" s="381">
        <f t="shared" si="31"/>
        <v>82.5</v>
      </c>
      <c r="AK79" s="380">
        <f t="shared" si="54"/>
        <v>3.4099999999999998E-2</v>
      </c>
      <c r="AL79" s="9">
        <f t="shared" si="32"/>
        <v>31222801</v>
      </c>
      <c r="AM79" s="57">
        <f t="shared" si="55"/>
        <v>-7.4341833569340139</v>
      </c>
    </row>
    <row r="80" spans="1:39" ht="12.75" customHeight="1">
      <c r="A80" s="6">
        <v>74</v>
      </c>
      <c r="B80" s="6" t="s">
        <v>755</v>
      </c>
      <c r="C80" s="81">
        <v>869370900</v>
      </c>
      <c r="D80" s="81">
        <f t="shared" si="33"/>
        <v>3395422.0320596476</v>
      </c>
      <c r="E80" s="8">
        <v>279111000</v>
      </c>
      <c r="F80" s="81">
        <f t="shared" si="56"/>
        <v>3994608.8661582042</v>
      </c>
      <c r="G80" s="81">
        <f t="shared" si="34"/>
        <v>7390031</v>
      </c>
      <c r="H80" s="127">
        <f t="shared" si="35"/>
        <v>7435858.0821634075</v>
      </c>
      <c r="I80" s="347">
        <f t="shared" si="36"/>
        <v>0.99383701495415377</v>
      </c>
      <c r="J80" s="33">
        <f t="shared" si="29"/>
        <v>6134583</v>
      </c>
      <c r="K80" s="33">
        <f t="shared" si="37"/>
        <v>6134583</v>
      </c>
      <c r="L80" s="126">
        <f t="shared" si="38"/>
        <v>82.5</v>
      </c>
      <c r="M80" s="470"/>
      <c r="N80" s="128">
        <v>5888626</v>
      </c>
      <c r="O80" s="449">
        <v>4.8899999999999999E-2</v>
      </c>
      <c r="P80" s="33">
        <f t="shared" si="39"/>
        <v>6176580</v>
      </c>
      <c r="Q80" s="57">
        <f t="shared" si="40"/>
        <v>83.064791336132785</v>
      </c>
      <c r="R80" s="57">
        <f t="shared" si="41"/>
        <v>0</v>
      </c>
      <c r="S80" s="88">
        <f t="shared" si="42"/>
        <v>0</v>
      </c>
      <c r="T80" s="33">
        <f t="shared" si="43"/>
        <v>0</v>
      </c>
      <c r="U80" s="9">
        <f t="shared" si="44"/>
        <v>41997</v>
      </c>
      <c r="V80" s="9">
        <f t="shared" si="30"/>
        <v>41997</v>
      </c>
      <c r="W80" s="9">
        <f t="shared" si="45"/>
        <v>0</v>
      </c>
      <c r="X80" s="127">
        <f>MIN(H80*parameters!C$22,ROUND(P80+T80-V80+W80,0))</f>
        <v>6134583</v>
      </c>
      <c r="Y80" s="94">
        <f t="shared" si="46"/>
        <v>82.500001105658384</v>
      </c>
      <c r="AA80" s="33">
        <f t="shared" si="47"/>
        <v>0</v>
      </c>
      <c r="AB80" s="33">
        <f t="shared" si="48"/>
        <v>0</v>
      </c>
      <c r="AC80" s="33">
        <f t="shared" si="49"/>
        <v>0</v>
      </c>
      <c r="AD80" s="57">
        <f t="shared" si="50"/>
        <v>1.1056583844037959E-6</v>
      </c>
      <c r="AG80" s="609" t="str">
        <f t="shared" si="51"/>
        <v>074</v>
      </c>
      <c r="AH80" s="388" t="str">
        <f t="shared" si="52"/>
        <v>Deerfield</v>
      </c>
      <c r="AI80" s="380">
        <f t="shared" si="53"/>
        <v>0.99383701495415377</v>
      </c>
      <c r="AJ80" s="381">
        <f t="shared" si="31"/>
        <v>82.5</v>
      </c>
      <c r="AK80" s="380">
        <f t="shared" si="54"/>
        <v>4.8899999999999999E-2</v>
      </c>
      <c r="AL80" s="9">
        <f t="shared" si="32"/>
        <v>6134583</v>
      </c>
      <c r="AM80" s="57">
        <f t="shared" si="55"/>
        <v>1.1056583844037959E-6</v>
      </c>
    </row>
    <row r="81" spans="1:39" ht="12.75" customHeight="1">
      <c r="A81" s="6">
        <v>75</v>
      </c>
      <c r="B81" s="6" t="s">
        <v>756</v>
      </c>
      <c r="C81" s="81">
        <v>8912902400</v>
      </c>
      <c r="D81" s="81">
        <f t="shared" si="33"/>
        <v>34810303.839888491</v>
      </c>
      <c r="E81" s="8">
        <v>820126000</v>
      </c>
      <c r="F81" s="81">
        <f t="shared" si="56"/>
        <v>11737561.726219544</v>
      </c>
      <c r="G81" s="81">
        <f t="shared" si="34"/>
        <v>46547866</v>
      </c>
      <c r="H81" s="127">
        <f t="shared" si="35"/>
        <v>17403948.280209556</v>
      </c>
      <c r="I81" s="347">
        <f t="shared" si="36"/>
        <v>2.6745578216254922</v>
      </c>
      <c r="J81" s="33">
        <f t="shared" si="29"/>
        <v>14358257</v>
      </c>
      <c r="K81" s="33">
        <f t="shared" si="37"/>
        <v>14358257</v>
      </c>
      <c r="L81" s="126">
        <f t="shared" si="38"/>
        <v>82.5</v>
      </c>
      <c r="M81" s="470"/>
      <c r="N81" s="128">
        <v>13779891</v>
      </c>
      <c r="O81" s="449">
        <v>6.8500000000000005E-2</v>
      </c>
      <c r="P81" s="33">
        <f t="shared" si="39"/>
        <v>14723814</v>
      </c>
      <c r="Q81" s="57">
        <f t="shared" si="40"/>
        <v>84.600423782819433</v>
      </c>
      <c r="R81" s="57">
        <f t="shared" si="41"/>
        <v>0</v>
      </c>
      <c r="S81" s="88">
        <f t="shared" si="42"/>
        <v>0</v>
      </c>
      <c r="T81" s="33">
        <f t="shared" si="43"/>
        <v>0</v>
      </c>
      <c r="U81" s="9">
        <f t="shared" si="44"/>
        <v>365557</v>
      </c>
      <c r="V81" s="9">
        <f t="shared" si="30"/>
        <v>365557</v>
      </c>
      <c r="W81" s="9">
        <f t="shared" si="45"/>
        <v>0</v>
      </c>
      <c r="X81" s="127">
        <f>MIN(H81*parameters!C$22,ROUND(P81+T81-V81+W81,0))</f>
        <v>14358257</v>
      </c>
      <c r="Y81" s="94">
        <f t="shared" si="46"/>
        <v>82.499998097139354</v>
      </c>
      <c r="AA81" s="33">
        <f t="shared" si="47"/>
        <v>0</v>
      </c>
      <c r="AB81" s="33">
        <f t="shared" si="48"/>
        <v>0</v>
      </c>
      <c r="AC81" s="33">
        <f t="shared" si="49"/>
        <v>0</v>
      </c>
      <c r="AD81" s="57">
        <f t="shared" si="50"/>
        <v>-1.9028606459414732E-6</v>
      </c>
      <c r="AG81" s="609" t="str">
        <f t="shared" si="51"/>
        <v>075</v>
      </c>
      <c r="AH81" s="388" t="str">
        <f t="shared" si="52"/>
        <v>Dennis</v>
      </c>
      <c r="AI81" s="380">
        <f t="shared" si="53"/>
        <v>2.6745578216254922</v>
      </c>
      <c r="AJ81" s="381">
        <f t="shared" si="31"/>
        <v>82.5</v>
      </c>
      <c r="AK81" s="380">
        <f t="shared" si="54"/>
        <v>6.8500000000000005E-2</v>
      </c>
      <c r="AL81" s="9">
        <f t="shared" si="32"/>
        <v>14358257</v>
      </c>
      <c r="AM81" s="57">
        <f t="shared" si="55"/>
        <v>-1.9028606459414732E-6</v>
      </c>
    </row>
    <row r="82" spans="1:39" ht="12.75" customHeight="1">
      <c r="A82" s="6">
        <v>76</v>
      </c>
      <c r="B82" s="6" t="s">
        <v>757</v>
      </c>
      <c r="C82" s="81">
        <v>1314856400</v>
      </c>
      <c r="D82" s="81">
        <f t="shared" si="33"/>
        <v>5135313.8108885782</v>
      </c>
      <c r="E82" s="8">
        <v>349022000</v>
      </c>
      <c r="F82" s="81">
        <f t="shared" si="56"/>
        <v>4995168.1434421027</v>
      </c>
      <c r="G82" s="81">
        <f t="shared" si="34"/>
        <v>10130482</v>
      </c>
      <c r="H82" s="127">
        <f t="shared" si="35"/>
        <v>18052022.6899614</v>
      </c>
      <c r="I82" s="347">
        <f t="shared" si="36"/>
        <v>0.56118265382158472</v>
      </c>
      <c r="J82" s="33">
        <f t="shared" si="29"/>
        <v>14892919</v>
      </c>
      <c r="K82" s="33">
        <f t="shared" si="37"/>
        <v>10130482</v>
      </c>
      <c r="L82" s="126">
        <f t="shared" si="38"/>
        <v>56.12</v>
      </c>
      <c r="M82" s="470"/>
      <c r="N82" s="128">
        <v>8745483</v>
      </c>
      <c r="O82" s="449">
        <v>4.3700000000000003E-2</v>
      </c>
      <c r="P82" s="33">
        <f t="shared" si="39"/>
        <v>9127661</v>
      </c>
      <c r="Q82" s="57">
        <f t="shared" si="40"/>
        <v>50.563092883080778</v>
      </c>
      <c r="R82" s="57">
        <f t="shared" si="41"/>
        <v>5.5569071169192199</v>
      </c>
      <c r="S82" s="88">
        <f t="shared" si="42"/>
        <v>0.01</v>
      </c>
      <c r="T82" s="33">
        <f t="shared" si="43"/>
        <v>87455</v>
      </c>
      <c r="U82" s="9">
        <f t="shared" si="44"/>
        <v>0</v>
      </c>
      <c r="V82" s="9">
        <f t="shared" si="30"/>
        <v>0</v>
      </c>
      <c r="W82" s="9">
        <f t="shared" si="45"/>
        <v>0</v>
      </c>
      <c r="X82" s="127">
        <f>MIN(H82*parameters!C$22,ROUND(P82+T82-V82+W82,0))</f>
        <v>9215116</v>
      </c>
      <c r="Y82" s="94">
        <f t="shared" si="46"/>
        <v>51.047553829657325</v>
      </c>
      <c r="AA82" s="33">
        <f t="shared" si="47"/>
        <v>-1002821</v>
      </c>
      <c r="AB82" s="33">
        <f t="shared" si="48"/>
        <v>-915366</v>
      </c>
      <c r="AC82" s="33">
        <f t="shared" si="49"/>
        <v>0</v>
      </c>
      <c r="AD82" s="57">
        <f t="shared" si="50"/>
        <v>-5.0724461703426726</v>
      </c>
      <c r="AG82" s="609" t="str">
        <f t="shared" si="51"/>
        <v>076</v>
      </c>
      <c r="AH82" s="388" t="str">
        <f t="shared" si="52"/>
        <v>Dighton</v>
      </c>
      <c r="AI82" s="380">
        <f t="shared" si="53"/>
        <v>0.56118265382158472</v>
      </c>
      <c r="AJ82" s="381">
        <f t="shared" si="31"/>
        <v>56.12</v>
      </c>
      <c r="AK82" s="380">
        <f t="shared" si="54"/>
        <v>4.3700000000000003E-2</v>
      </c>
      <c r="AL82" s="9">
        <f t="shared" si="32"/>
        <v>9215116</v>
      </c>
      <c r="AM82" s="57">
        <f t="shared" si="55"/>
        <v>-5.0724461703426726</v>
      </c>
    </row>
    <row r="83" spans="1:39" ht="12.75" customHeight="1">
      <c r="A83" s="6">
        <v>77</v>
      </c>
      <c r="B83" s="6" t="s">
        <v>758</v>
      </c>
      <c r="C83" s="81">
        <v>1302158500</v>
      </c>
      <c r="D83" s="81">
        <f t="shared" si="33"/>
        <v>5085720.7897500861</v>
      </c>
      <c r="E83" s="8">
        <v>438813000</v>
      </c>
      <c r="F83" s="81">
        <f t="shared" si="56"/>
        <v>6280248.0030721826</v>
      </c>
      <c r="G83" s="81">
        <f t="shared" si="34"/>
        <v>11365969</v>
      </c>
      <c r="H83" s="127">
        <f t="shared" si="35"/>
        <v>16678623.736229712</v>
      </c>
      <c r="I83" s="347">
        <f t="shared" si="36"/>
        <v>0.68146923749533161</v>
      </c>
      <c r="J83" s="33">
        <f t="shared" si="29"/>
        <v>13759865</v>
      </c>
      <c r="K83" s="33">
        <f t="shared" si="37"/>
        <v>11365969</v>
      </c>
      <c r="L83" s="126">
        <f t="shared" si="38"/>
        <v>68.150000000000006</v>
      </c>
      <c r="M83" s="470"/>
      <c r="N83" s="128">
        <v>9714500</v>
      </c>
      <c r="O83" s="449">
        <v>5.7299999999999997E-2</v>
      </c>
      <c r="P83" s="33">
        <f t="shared" si="39"/>
        <v>10271141</v>
      </c>
      <c r="Q83" s="57">
        <f t="shared" si="40"/>
        <v>61.582665107366012</v>
      </c>
      <c r="R83" s="57">
        <f t="shared" si="41"/>
        <v>6.5673348926339941</v>
      </c>
      <c r="S83" s="88">
        <f t="shared" si="42"/>
        <v>0.01</v>
      </c>
      <c r="T83" s="33">
        <f t="shared" si="43"/>
        <v>97145</v>
      </c>
      <c r="U83" s="9">
        <f t="shared" si="44"/>
        <v>0</v>
      </c>
      <c r="V83" s="9">
        <f t="shared" si="30"/>
        <v>0</v>
      </c>
      <c r="W83" s="9">
        <f t="shared" si="45"/>
        <v>0</v>
      </c>
      <c r="X83" s="127">
        <f>MIN(H83*parameters!C$22,ROUND(P83+T83-V83+W83,0))</f>
        <v>10368286</v>
      </c>
      <c r="Y83" s="94">
        <f t="shared" si="46"/>
        <v>62.16511724212446</v>
      </c>
      <c r="AA83" s="33">
        <f t="shared" si="47"/>
        <v>-1094828</v>
      </c>
      <c r="AB83" s="33">
        <f t="shared" si="48"/>
        <v>-997683</v>
      </c>
      <c r="AC83" s="33">
        <f t="shared" si="49"/>
        <v>0</v>
      </c>
      <c r="AD83" s="57">
        <f t="shared" si="50"/>
        <v>-5.9848827578755461</v>
      </c>
      <c r="AG83" s="609" t="str">
        <f t="shared" si="51"/>
        <v>077</v>
      </c>
      <c r="AH83" s="388" t="str">
        <f t="shared" si="52"/>
        <v>Douglas</v>
      </c>
      <c r="AI83" s="380">
        <f t="shared" si="53"/>
        <v>0.68146923749533161</v>
      </c>
      <c r="AJ83" s="381">
        <f t="shared" si="31"/>
        <v>68.150000000000006</v>
      </c>
      <c r="AK83" s="380">
        <f t="shared" si="54"/>
        <v>5.7299999999999997E-2</v>
      </c>
      <c r="AL83" s="9">
        <f t="shared" si="32"/>
        <v>10368286</v>
      </c>
      <c r="AM83" s="57">
        <f t="shared" si="55"/>
        <v>-5.9848827578755461</v>
      </c>
    </row>
    <row r="84" spans="1:39" ht="12.75" customHeight="1">
      <c r="A84" s="6">
        <v>78</v>
      </c>
      <c r="B84" s="6" t="s">
        <v>759</v>
      </c>
      <c r="C84" s="81">
        <v>2854881300</v>
      </c>
      <c r="D84" s="81">
        <f t="shared" si="33"/>
        <v>11150047.54004889</v>
      </c>
      <c r="E84" s="8">
        <v>2117733000</v>
      </c>
      <c r="F84" s="81">
        <f t="shared" si="56"/>
        <v>30308784.024835322</v>
      </c>
      <c r="G84" s="81">
        <f t="shared" si="34"/>
        <v>41458832</v>
      </c>
      <c r="H84" s="127">
        <f t="shared" si="35"/>
        <v>14141431.565448867</v>
      </c>
      <c r="I84" s="347">
        <f t="shared" si="36"/>
        <v>2.9317280791638187</v>
      </c>
      <c r="J84" s="33">
        <f t="shared" si="29"/>
        <v>11666681</v>
      </c>
      <c r="K84" s="33">
        <f t="shared" si="37"/>
        <v>11666681</v>
      </c>
      <c r="L84" s="126">
        <f t="shared" si="38"/>
        <v>82.5</v>
      </c>
      <c r="M84" s="470"/>
      <c r="N84" s="128">
        <v>11620689</v>
      </c>
      <c r="O84" s="449">
        <v>4.3999999999999997E-2</v>
      </c>
      <c r="P84" s="33">
        <f t="shared" si="39"/>
        <v>12131999</v>
      </c>
      <c r="Q84" s="57">
        <f t="shared" si="40"/>
        <v>85.79045865230205</v>
      </c>
      <c r="R84" s="57">
        <f t="shared" si="41"/>
        <v>0</v>
      </c>
      <c r="S84" s="88">
        <f t="shared" si="42"/>
        <v>0</v>
      </c>
      <c r="T84" s="33">
        <f t="shared" si="43"/>
        <v>0</v>
      </c>
      <c r="U84" s="9">
        <f t="shared" si="44"/>
        <v>465318</v>
      </c>
      <c r="V84" s="9">
        <f t="shared" si="30"/>
        <v>465318</v>
      </c>
      <c r="W84" s="9">
        <f t="shared" si="45"/>
        <v>0</v>
      </c>
      <c r="X84" s="127">
        <f>MIN(H84*parameters!C$22,ROUND(P84+T84-V84+W84,0))</f>
        <v>11666681</v>
      </c>
      <c r="Y84" s="94">
        <f t="shared" si="46"/>
        <v>82.499999706569199</v>
      </c>
      <c r="AA84" s="33">
        <f t="shared" si="47"/>
        <v>0</v>
      </c>
      <c r="AB84" s="33">
        <f t="shared" si="48"/>
        <v>0</v>
      </c>
      <c r="AC84" s="33">
        <f t="shared" si="49"/>
        <v>0</v>
      </c>
      <c r="AD84" s="57">
        <f t="shared" si="50"/>
        <v>-2.934308014346243E-7</v>
      </c>
      <c r="AG84" s="609" t="str">
        <f t="shared" si="51"/>
        <v>078</v>
      </c>
      <c r="AH84" s="388" t="str">
        <f t="shared" si="52"/>
        <v>Dover</v>
      </c>
      <c r="AI84" s="380">
        <f t="shared" si="53"/>
        <v>2.9317280791638187</v>
      </c>
      <c r="AJ84" s="381">
        <f t="shared" si="31"/>
        <v>82.5</v>
      </c>
      <c r="AK84" s="380">
        <f t="shared" si="54"/>
        <v>4.3999999999999997E-2</v>
      </c>
      <c r="AL84" s="9">
        <f t="shared" si="32"/>
        <v>11666681</v>
      </c>
      <c r="AM84" s="57">
        <f t="shared" si="55"/>
        <v>-2.934308014346243E-7</v>
      </c>
    </row>
    <row r="85" spans="1:39" ht="12.75" customHeight="1">
      <c r="A85" s="6">
        <v>79</v>
      </c>
      <c r="B85" s="6" t="s">
        <v>760</v>
      </c>
      <c r="C85" s="81">
        <v>4790569000</v>
      </c>
      <c r="D85" s="81">
        <f t="shared" si="33"/>
        <v>18710085.107175723</v>
      </c>
      <c r="E85" s="8">
        <v>1366275000</v>
      </c>
      <c r="F85" s="81">
        <f t="shared" si="56"/>
        <v>19553991.883552782</v>
      </c>
      <c r="G85" s="81">
        <f t="shared" si="34"/>
        <v>38264077</v>
      </c>
      <c r="H85" s="127">
        <f t="shared" si="35"/>
        <v>65944723.222123966</v>
      </c>
      <c r="I85" s="347">
        <f t="shared" si="36"/>
        <v>0.58024471300173242</v>
      </c>
      <c r="J85" s="33">
        <f t="shared" si="29"/>
        <v>54404397</v>
      </c>
      <c r="K85" s="33">
        <f t="shared" si="37"/>
        <v>38264077</v>
      </c>
      <c r="L85" s="126">
        <f t="shared" si="38"/>
        <v>58.02</v>
      </c>
      <c r="M85" s="470"/>
      <c r="N85" s="128">
        <v>32435218</v>
      </c>
      <c r="O85" s="449">
        <v>3.2000000000000001E-2</v>
      </c>
      <c r="P85" s="33">
        <f t="shared" si="39"/>
        <v>33473145</v>
      </c>
      <c r="Q85" s="57">
        <f t="shared" si="40"/>
        <v>50.759398727402662</v>
      </c>
      <c r="R85" s="57">
        <f t="shared" si="41"/>
        <v>7.2606012725973414</v>
      </c>
      <c r="S85" s="88">
        <f t="shared" si="42"/>
        <v>0.01</v>
      </c>
      <c r="T85" s="33">
        <f t="shared" si="43"/>
        <v>324352</v>
      </c>
      <c r="U85" s="9">
        <f t="shared" si="44"/>
        <v>0</v>
      </c>
      <c r="V85" s="9">
        <f t="shared" si="30"/>
        <v>0</v>
      </c>
      <c r="W85" s="9">
        <f t="shared" si="45"/>
        <v>0</v>
      </c>
      <c r="X85" s="127">
        <f>MIN(H85*parameters!C$22,ROUND(P85+T85-V85+W85,0))</f>
        <v>33797497</v>
      </c>
      <c r="Y85" s="94">
        <f t="shared" si="46"/>
        <v>51.251253092925545</v>
      </c>
      <c r="AA85" s="33">
        <f t="shared" si="47"/>
        <v>-4790932</v>
      </c>
      <c r="AB85" s="33">
        <f t="shared" si="48"/>
        <v>-4466580</v>
      </c>
      <c r="AC85" s="33">
        <f t="shared" si="49"/>
        <v>0</v>
      </c>
      <c r="AD85" s="57">
        <f t="shared" si="50"/>
        <v>-6.7687469070744584</v>
      </c>
      <c r="AG85" s="609" t="str">
        <f t="shared" si="51"/>
        <v>079</v>
      </c>
      <c r="AH85" s="388" t="str">
        <f t="shared" si="52"/>
        <v>Dracut</v>
      </c>
      <c r="AI85" s="380">
        <f t="shared" si="53"/>
        <v>0.58024471300173242</v>
      </c>
      <c r="AJ85" s="381">
        <f t="shared" si="31"/>
        <v>58.02</v>
      </c>
      <c r="AK85" s="380">
        <f t="shared" si="54"/>
        <v>3.2000000000000001E-2</v>
      </c>
      <c r="AL85" s="9">
        <f t="shared" si="32"/>
        <v>33797497</v>
      </c>
      <c r="AM85" s="57">
        <f t="shared" si="55"/>
        <v>-6.7687469070744584</v>
      </c>
    </row>
    <row r="86" spans="1:39" ht="12.75" customHeight="1">
      <c r="A86" s="6">
        <v>80</v>
      </c>
      <c r="B86" s="6" t="s">
        <v>761</v>
      </c>
      <c r="C86" s="81">
        <v>1305684900</v>
      </c>
      <c r="D86" s="81">
        <f t="shared" si="33"/>
        <v>5099493.5261665629</v>
      </c>
      <c r="E86" s="8">
        <v>403891000</v>
      </c>
      <c r="F86" s="81">
        <f t="shared" si="56"/>
        <v>5780447.8130976679</v>
      </c>
      <c r="G86" s="81">
        <f t="shared" si="34"/>
        <v>10879941</v>
      </c>
      <c r="H86" s="127">
        <f t="shared" si="35"/>
        <v>24346524.042144351</v>
      </c>
      <c r="I86" s="347">
        <f t="shared" si="36"/>
        <v>0.44687861729939726</v>
      </c>
      <c r="J86" s="33">
        <f t="shared" si="29"/>
        <v>20085882</v>
      </c>
      <c r="K86" s="33">
        <f t="shared" si="37"/>
        <v>10879941</v>
      </c>
      <c r="L86" s="126">
        <f t="shared" si="38"/>
        <v>44.69</v>
      </c>
      <c r="M86" s="470"/>
      <c r="N86" s="128">
        <v>8369257</v>
      </c>
      <c r="O86" s="449">
        <v>6.4899999999999999E-2</v>
      </c>
      <c r="P86" s="33">
        <f t="shared" si="39"/>
        <v>8912422</v>
      </c>
      <c r="Q86" s="57">
        <f t="shared" si="40"/>
        <v>36.606547959669349</v>
      </c>
      <c r="R86" s="57">
        <f t="shared" si="41"/>
        <v>8.0834520403306485</v>
      </c>
      <c r="S86" s="88">
        <f t="shared" si="42"/>
        <v>0.02</v>
      </c>
      <c r="T86" s="33">
        <f t="shared" si="43"/>
        <v>167385</v>
      </c>
      <c r="U86" s="9">
        <f t="shared" si="44"/>
        <v>0</v>
      </c>
      <c r="V86" s="9">
        <f t="shared" si="30"/>
        <v>0</v>
      </c>
      <c r="W86" s="9">
        <f t="shared" si="45"/>
        <v>0</v>
      </c>
      <c r="X86" s="127">
        <f>MIN(H86*parameters!C$22,ROUND(P86+T86-V86+W86,0))</f>
        <v>9079807</v>
      </c>
      <c r="Y86" s="94">
        <f t="shared" si="46"/>
        <v>37.294058832721504</v>
      </c>
      <c r="AA86" s="33">
        <f t="shared" si="47"/>
        <v>-1967519</v>
      </c>
      <c r="AB86" s="33">
        <f t="shared" si="48"/>
        <v>-1800134</v>
      </c>
      <c r="AC86" s="33">
        <f t="shared" si="49"/>
        <v>0</v>
      </c>
      <c r="AD86" s="57">
        <f t="shared" si="50"/>
        <v>-7.3959411672784938</v>
      </c>
      <c r="AG86" s="609" t="str">
        <f t="shared" si="51"/>
        <v>080</v>
      </c>
      <c r="AH86" s="388" t="str">
        <f t="shared" si="52"/>
        <v>Dudley</v>
      </c>
      <c r="AI86" s="380">
        <f t="shared" si="53"/>
        <v>0.44687861729939726</v>
      </c>
      <c r="AJ86" s="381">
        <f t="shared" si="31"/>
        <v>44.69</v>
      </c>
      <c r="AK86" s="380">
        <f t="shared" si="54"/>
        <v>6.4899999999999999E-2</v>
      </c>
      <c r="AL86" s="9">
        <f t="shared" si="32"/>
        <v>9079807</v>
      </c>
      <c r="AM86" s="57">
        <f t="shared" si="55"/>
        <v>-7.3959411672784938</v>
      </c>
    </row>
    <row r="87" spans="1:39" ht="12.75" customHeight="1">
      <c r="A87" s="6">
        <v>81</v>
      </c>
      <c r="B87" s="6" t="s">
        <v>762</v>
      </c>
      <c r="C87" s="81">
        <v>708127800</v>
      </c>
      <c r="D87" s="81">
        <f t="shared" si="33"/>
        <v>2765669.6740527293</v>
      </c>
      <c r="E87" s="8">
        <v>253941000</v>
      </c>
      <c r="F87" s="81">
        <f t="shared" si="56"/>
        <v>3634378.3300589388</v>
      </c>
      <c r="G87" s="81">
        <f t="shared" si="34"/>
        <v>6400048</v>
      </c>
      <c r="H87" s="127">
        <f t="shared" si="35"/>
        <v>6750893.1819355935</v>
      </c>
      <c r="I87" s="347">
        <f t="shared" si="36"/>
        <v>0.94802981287359067</v>
      </c>
      <c r="J87" s="33">
        <f t="shared" si="29"/>
        <v>5569487</v>
      </c>
      <c r="K87" s="33">
        <f t="shared" si="37"/>
        <v>5569487</v>
      </c>
      <c r="L87" s="126">
        <f t="shared" si="38"/>
        <v>82.5</v>
      </c>
      <c r="M87" s="470"/>
      <c r="N87" s="128">
        <v>5265872</v>
      </c>
      <c r="O87" s="449">
        <v>3.8699999999999998E-2</v>
      </c>
      <c r="P87" s="33">
        <f t="shared" si="39"/>
        <v>5469661</v>
      </c>
      <c r="Q87" s="57">
        <f t="shared" si="40"/>
        <v>81.021293813921034</v>
      </c>
      <c r="R87" s="57">
        <f t="shared" si="41"/>
        <v>1.4787061860789663</v>
      </c>
      <c r="S87" s="88">
        <f t="shared" si="42"/>
        <v>0</v>
      </c>
      <c r="T87" s="33">
        <f t="shared" si="43"/>
        <v>0</v>
      </c>
      <c r="U87" s="9">
        <f t="shared" si="44"/>
        <v>0</v>
      </c>
      <c r="V87" s="9">
        <f t="shared" si="30"/>
        <v>0</v>
      </c>
      <c r="W87" s="9">
        <f t="shared" si="45"/>
        <v>0</v>
      </c>
      <c r="X87" s="127">
        <f>MIN(H87*parameters!C$22,ROUND(P87+T87-V87+W87,0))</f>
        <v>5469661</v>
      </c>
      <c r="Y87" s="94">
        <f t="shared" si="46"/>
        <v>81.021293813921034</v>
      </c>
      <c r="AA87" s="33">
        <f t="shared" si="47"/>
        <v>-99826</v>
      </c>
      <c r="AB87" s="33">
        <f t="shared" si="48"/>
        <v>-99826</v>
      </c>
      <c r="AC87" s="33">
        <f t="shared" si="49"/>
        <v>0</v>
      </c>
      <c r="AD87" s="57">
        <f t="shared" si="50"/>
        <v>-1.4787061860789663</v>
      </c>
      <c r="AG87" s="609" t="str">
        <f t="shared" si="51"/>
        <v>081</v>
      </c>
      <c r="AH87" s="388" t="str">
        <f t="shared" si="52"/>
        <v>Dunstable</v>
      </c>
      <c r="AI87" s="380">
        <f t="shared" si="53"/>
        <v>0.94802981287359067</v>
      </c>
      <c r="AJ87" s="381">
        <f t="shared" si="31"/>
        <v>82.5</v>
      </c>
      <c r="AK87" s="380">
        <f t="shared" si="54"/>
        <v>3.8699999999999998E-2</v>
      </c>
      <c r="AL87" s="9">
        <f t="shared" si="32"/>
        <v>5469661</v>
      </c>
      <c r="AM87" s="57">
        <f t="shared" si="55"/>
        <v>-1.4787061860789663</v>
      </c>
    </row>
    <row r="88" spans="1:39" ht="12.75" customHeight="1">
      <c r="A88" s="6">
        <v>82</v>
      </c>
      <c r="B88" s="6" t="s">
        <v>763</v>
      </c>
      <c r="C88" s="81">
        <v>5389486400</v>
      </c>
      <c r="D88" s="81">
        <f t="shared" si="33"/>
        <v>21049221.75799286</v>
      </c>
      <c r="E88" s="8">
        <v>2100585000</v>
      </c>
      <c r="F88" s="81">
        <f t="shared" si="56"/>
        <v>30063363.554710962</v>
      </c>
      <c r="G88" s="81">
        <f t="shared" si="34"/>
        <v>51112585</v>
      </c>
      <c r="H88" s="127">
        <f t="shared" si="35"/>
        <v>33652713.458800003</v>
      </c>
      <c r="I88" s="347">
        <f t="shared" si="36"/>
        <v>1.5188250737217843</v>
      </c>
      <c r="J88" s="33">
        <f t="shared" si="29"/>
        <v>27763489</v>
      </c>
      <c r="K88" s="33">
        <f t="shared" si="37"/>
        <v>27763489</v>
      </c>
      <c r="L88" s="126">
        <f t="shared" si="38"/>
        <v>82.5</v>
      </c>
      <c r="M88" s="470"/>
      <c r="N88" s="128">
        <v>26987503</v>
      </c>
      <c r="O88" s="449">
        <v>3.6299999999999999E-2</v>
      </c>
      <c r="P88" s="33">
        <f t="shared" si="39"/>
        <v>27967149</v>
      </c>
      <c r="Q88" s="57">
        <f t="shared" si="40"/>
        <v>83.105182689768341</v>
      </c>
      <c r="R88" s="57">
        <f t="shared" si="41"/>
        <v>0</v>
      </c>
      <c r="S88" s="88">
        <f t="shared" si="42"/>
        <v>0</v>
      </c>
      <c r="T88" s="33">
        <f t="shared" si="43"/>
        <v>0</v>
      </c>
      <c r="U88" s="9">
        <f t="shared" si="44"/>
        <v>203660</v>
      </c>
      <c r="V88" s="9">
        <f t="shared" si="30"/>
        <v>203660</v>
      </c>
      <c r="W88" s="9">
        <f t="shared" si="45"/>
        <v>0</v>
      </c>
      <c r="X88" s="127">
        <f>MIN(H88*parameters!C$22,ROUND(P88+T88-V88+W88,0))</f>
        <v>27763489</v>
      </c>
      <c r="Y88" s="94">
        <f t="shared" si="46"/>
        <v>82.500001178181364</v>
      </c>
      <c r="AA88" s="33">
        <f t="shared" si="47"/>
        <v>0</v>
      </c>
      <c r="AB88" s="33">
        <f t="shared" si="48"/>
        <v>0</v>
      </c>
      <c r="AC88" s="33">
        <f t="shared" si="49"/>
        <v>0</v>
      </c>
      <c r="AD88" s="57">
        <f t="shared" si="50"/>
        <v>1.1781813640254768E-6</v>
      </c>
      <c r="AG88" s="609" t="str">
        <f t="shared" si="51"/>
        <v>082</v>
      </c>
      <c r="AH88" s="388" t="str">
        <f t="shared" si="52"/>
        <v>Duxbury</v>
      </c>
      <c r="AI88" s="380">
        <f t="shared" si="53"/>
        <v>1.5188250737217843</v>
      </c>
      <c r="AJ88" s="381">
        <f t="shared" si="31"/>
        <v>82.5</v>
      </c>
      <c r="AK88" s="380">
        <f t="shared" si="54"/>
        <v>3.6299999999999999E-2</v>
      </c>
      <c r="AL88" s="9">
        <f t="shared" si="32"/>
        <v>27763489</v>
      </c>
      <c r="AM88" s="57">
        <f t="shared" si="55"/>
        <v>1.1781813640254768E-6</v>
      </c>
    </row>
    <row r="89" spans="1:39" ht="12.75" customHeight="1">
      <c r="A89" s="6">
        <v>83</v>
      </c>
      <c r="B89" s="6" t="s">
        <v>764</v>
      </c>
      <c r="C89" s="81">
        <v>2211733200</v>
      </c>
      <c r="D89" s="81">
        <f t="shared" si="33"/>
        <v>8638163.1088845823</v>
      </c>
      <c r="E89" s="8">
        <v>612754000</v>
      </c>
      <c r="F89" s="81">
        <f t="shared" si="56"/>
        <v>8769674.2914965879</v>
      </c>
      <c r="G89" s="81">
        <f t="shared" si="34"/>
        <v>17407837</v>
      </c>
      <c r="H89" s="127">
        <f t="shared" si="35"/>
        <v>28902881.606999509</v>
      </c>
      <c r="I89" s="347">
        <f t="shared" si="36"/>
        <v>0.60228724722673621</v>
      </c>
      <c r="J89" s="33">
        <f t="shared" si="29"/>
        <v>23844877</v>
      </c>
      <c r="K89" s="33">
        <f t="shared" si="37"/>
        <v>17407837</v>
      </c>
      <c r="L89" s="126">
        <f t="shared" si="38"/>
        <v>60.23</v>
      </c>
      <c r="M89" s="470"/>
      <c r="N89" s="128">
        <v>15105540</v>
      </c>
      <c r="O89" s="449">
        <v>4.6100000000000002E-2</v>
      </c>
      <c r="P89" s="33">
        <f t="shared" si="39"/>
        <v>15801905</v>
      </c>
      <c r="Q89" s="57">
        <f t="shared" si="40"/>
        <v>54.672420607961797</v>
      </c>
      <c r="R89" s="57">
        <f t="shared" si="41"/>
        <v>5.5575793920381997</v>
      </c>
      <c r="S89" s="88">
        <f t="shared" si="42"/>
        <v>0.01</v>
      </c>
      <c r="T89" s="33">
        <f t="shared" si="43"/>
        <v>151055</v>
      </c>
      <c r="U89" s="9">
        <f t="shared" si="44"/>
        <v>0</v>
      </c>
      <c r="V89" s="9">
        <f t="shared" si="30"/>
        <v>0</v>
      </c>
      <c r="W89" s="9">
        <f t="shared" si="45"/>
        <v>0</v>
      </c>
      <c r="X89" s="127">
        <f>MIN(H89*parameters!C$22,ROUND(P89+T89-V89+W89,0))</f>
        <v>15952960</v>
      </c>
      <c r="Y89" s="94">
        <f t="shared" si="46"/>
        <v>55.195050157686069</v>
      </c>
      <c r="AA89" s="33">
        <f t="shared" si="47"/>
        <v>-1605932</v>
      </c>
      <c r="AB89" s="33">
        <f t="shared" si="48"/>
        <v>-1454877</v>
      </c>
      <c r="AC89" s="33">
        <f t="shared" si="49"/>
        <v>0</v>
      </c>
      <c r="AD89" s="57">
        <f t="shared" si="50"/>
        <v>-5.0349498423139281</v>
      </c>
      <c r="AG89" s="609" t="str">
        <f t="shared" si="51"/>
        <v>083</v>
      </c>
      <c r="AH89" s="388" t="str">
        <f t="shared" si="52"/>
        <v>East Bridgewater</v>
      </c>
      <c r="AI89" s="380">
        <f t="shared" si="53"/>
        <v>0.60228724722673621</v>
      </c>
      <c r="AJ89" s="381">
        <f t="shared" si="31"/>
        <v>60.23</v>
      </c>
      <c r="AK89" s="380">
        <f t="shared" si="54"/>
        <v>4.6100000000000002E-2</v>
      </c>
      <c r="AL89" s="9">
        <f t="shared" si="32"/>
        <v>15952960</v>
      </c>
      <c r="AM89" s="57">
        <f t="shared" si="55"/>
        <v>-5.0349498423139281</v>
      </c>
    </row>
    <row r="90" spans="1:39" ht="12.75" customHeight="1">
      <c r="A90" s="6">
        <v>84</v>
      </c>
      <c r="B90" s="6" t="s">
        <v>765</v>
      </c>
      <c r="C90" s="81">
        <v>319420900</v>
      </c>
      <c r="D90" s="81">
        <f t="shared" si="33"/>
        <v>1247532.8554939227</v>
      </c>
      <c r="E90" s="8">
        <v>84306000</v>
      </c>
      <c r="F90" s="81">
        <f t="shared" si="56"/>
        <v>1206579.0852755124</v>
      </c>
      <c r="G90" s="81">
        <f t="shared" si="34"/>
        <v>2454112</v>
      </c>
      <c r="H90" s="127">
        <f t="shared" si="35"/>
        <v>4207786.0212979214</v>
      </c>
      <c r="I90" s="347">
        <f t="shared" si="36"/>
        <v>0.58323117848160244</v>
      </c>
      <c r="J90" s="33">
        <f t="shared" si="29"/>
        <v>3471423</v>
      </c>
      <c r="K90" s="33">
        <f t="shared" si="37"/>
        <v>2454112</v>
      </c>
      <c r="L90" s="126">
        <f t="shared" si="38"/>
        <v>58.32</v>
      </c>
      <c r="M90" s="470"/>
      <c r="N90" s="128">
        <v>2129815</v>
      </c>
      <c r="O90" s="449">
        <v>3.8199999999999998E-2</v>
      </c>
      <c r="P90" s="33">
        <f t="shared" si="39"/>
        <v>2211174</v>
      </c>
      <c r="Q90" s="57">
        <f t="shared" si="40"/>
        <v>52.54958281642724</v>
      </c>
      <c r="R90" s="57">
        <f t="shared" si="41"/>
        <v>5.7704171835727607</v>
      </c>
      <c r="S90" s="88">
        <f t="shared" si="42"/>
        <v>0.01</v>
      </c>
      <c r="T90" s="33">
        <f t="shared" si="43"/>
        <v>21298</v>
      </c>
      <c r="U90" s="9">
        <f t="shared" si="44"/>
        <v>0</v>
      </c>
      <c r="V90" s="9">
        <f t="shared" si="30"/>
        <v>0</v>
      </c>
      <c r="W90" s="9">
        <f t="shared" si="45"/>
        <v>0</v>
      </c>
      <c r="X90" s="127">
        <f>MIN(H90*parameters!C$22,ROUND(P90+T90-V90+W90,0))</f>
        <v>2232472</v>
      </c>
      <c r="Y90" s="94">
        <f t="shared" si="46"/>
        <v>53.055739733442486</v>
      </c>
      <c r="AA90" s="33">
        <f t="shared" si="47"/>
        <v>-242938</v>
      </c>
      <c r="AB90" s="33">
        <f t="shared" si="48"/>
        <v>-221640</v>
      </c>
      <c r="AC90" s="33">
        <f t="shared" si="49"/>
        <v>0</v>
      </c>
      <c r="AD90" s="57">
        <f t="shared" si="50"/>
        <v>-5.264260266557514</v>
      </c>
      <c r="AG90" s="609" t="str">
        <f t="shared" si="51"/>
        <v>084</v>
      </c>
      <c r="AH90" s="388" t="str">
        <f t="shared" si="52"/>
        <v>East Brookfield</v>
      </c>
      <c r="AI90" s="380">
        <f t="shared" si="53"/>
        <v>0.58323117848160244</v>
      </c>
      <c r="AJ90" s="381">
        <f t="shared" si="31"/>
        <v>58.32</v>
      </c>
      <c r="AK90" s="380">
        <f t="shared" si="54"/>
        <v>3.8199999999999998E-2</v>
      </c>
      <c r="AL90" s="9">
        <f t="shared" si="32"/>
        <v>2232472</v>
      </c>
      <c r="AM90" s="57">
        <f t="shared" si="55"/>
        <v>-5.264260266557514</v>
      </c>
    </row>
    <row r="91" spans="1:39" ht="12.75" customHeight="1">
      <c r="A91" s="6">
        <v>85</v>
      </c>
      <c r="B91" s="6" t="s">
        <v>766</v>
      </c>
      <c r="C91" s="81">
        <v>3597520100</v>
      </c>
      <c r="D91" s="81">
        <f t="shared" si="33"/>
        <v>14050503.655364387</v>
      </c>
      <c r="E91" s="8">
        <v>292256000</v>
      </c>
      <c r="F91" s="81">
        <f t="shared" si="56"/>
        <v>4182738.7984992783</v>
      </c>
      <c r="G91" s="81">
        <f t="shared" si="34"/>
        <v>18233242</v>
      </c>
      <c r="H91" s="127">
        <f t="shared" si="35"/>
        <v>7069465.1327798683</v>
      </c>
      <c r="I91" s="347">
        <f t="shared" si="36"/>
        <v>2.5791543854506984</v>
      </c>
      <c r="J91" s="33">
        <f t="shared" si="29"/>
        <v>5832309</v>
      </c>
      <c r="K91" s="33">
        <f t="shared" si="37"/>
        <v>5832309</v>
      </c>
      <c r="L91" s="126">
        <f t="shared" si="38"/>
        <v>82.5</v>
      </c>
      <c r="M91" s="470"/>
      <c r="N91" s="128">
        <v>5472129</v>
      </c>
      <c r="O91" s="449">
        <v>5.949999999999999E-2</v>
      </c>
      <c r="P91" s="33">
        <f t="shared" si="39"/>
        <v>5797721</v>
      </c>
      <c r="Q91" s="57">
        <f t="shared" si="40"/>
        <v>82.010744675958378</v>
      </c>
      <c r="R91" s="57">
        <f t="shared" si="41"/>
        <v>0.48925532404162198</v>
      </c>
      <c r="S91" s="88">
        <f t="shared" si="42"/>
        <v>0</v>
      </c>
      <c r="T91" s="33">
        <f t="shared" si="43"/>
        <v>0</v>
      </c>
      <c r="U91" s="9">
        <f t="shared" si="44"/>
        <v>0</v>
      </c>
      <c r="V91" s="9">
        <f t="shared" si="30"/>
        <v>0</v>
      </c>
      <c r="W91" s="9">
        <f t="shared" si="45"/>
        <v>34588</v>
      </c>
      <c r="X91" s="127">
        <f>MIN(H91*parameters!C$22,ROUND(P91+T91-V91+W91,0))</f>
        <v>5832309</v>
      </c>
      <c r="Y91" s="94">
        <f t="shared" si="46"/>
        <v>82.500003754974443</v>
      </c>
      <c r="AA91" s="33">
        <f t="shared" si="47"/>
        <v>-34588</v>
      </c>
      <c r="AB91" s="33">
        <f t="shared" si="48"/>
        <v>0</v>
      </c>
      <c r="AC91" s="33">
        <f t="shared" si="49"/>
        <v>0</v>
      </c>
      <c r="AD91" s="57">
        <f t="shared" si="50"/>
        <v>3.7549744433817978E-6</v>
      </c>
      <c r="AG91" s="609" t="str">
        <f t="shared" si="51"/>
        <v>085</v>
      </c>
      <c r="AH91" s="388" t="str">
        <f t="shared" si="52"/>
        <v>Eastham</v>
      </c>
      <c r="AI91" s="380">
        <f t="shared" si="53"/>
        <v>2.5791543854506984</v>
      </c>
      <c r="AJ91" s="381">
        <f t="shared" si="31"/>
        <v>82.5</v>
      </c>
      <c r="AK91" s="380">
        <f t="shared" si="54"/>
        <v>5.949999999999999E-2</v>
      </c>
      <c r="AL91" s="9">
        <f t="shared" si="32"/>
        <v>5832309</v>
      </c>
      <c r="AM91" s="57">
        <f t="shared" si="55"/>
        <v>3.7549744433817978E-6</v>
      </c>
    </row>
    <row r="92" spans="1:39" ht="12.75" customHeight="1">
      <c r="A92" s="6">
        <v>86</v>
      </c>
      <c r="B92" s="6" t="s">
        <v>767</v>
      </c>
      <c r="C92" s="81">
        <v>1916129500</v>
      </c>
      <c r="D92" s="81">
        <f t="shared" si="33"/>
        <v>7483650.9027153272</v>
      </c>
      <c r="E92" s="8">
        <v>579418000</v>
      </c>
      <c r="F92" s="81">
        <f t="shared" si="56"/>
        <v>8292572.775747478</v>
      </c>
      <c r="G92" s="81">
        <f t="shared" si="34"/>
        <v>15776224</v>
      </c>
      <c r="H92" s="127">
        <f t="shared" si="35"/>
        <v>23097746.730000004</v>
      </c>
      <c r="I92" s="347">
        <f t="shared" si="36"/>
        <v>0.68302004452708787</v>
      </c>
      <c r="J92" s="33">
        <f t="shared" si="29"/>
        <v>19055641</v>
      </c>
      <c r="K92" s="33">
        <f t="shared" si="37"/>
        <v>15776224</v>
      </c>
      <c r="L92" s="126">
        <f t="shared" si="38"/>
        <v>68.3</v>
      </c>
      <c r="M92" s="470"/>
      <c r="N92" s="128">
        <v>13894543</v>
      </c>
      <c r="O92" s="449">
        <v>6.5000000000000002E-2</v>
      </c>
      <c r="P92" s="33">
        <f t="shared" si="39"/>
        <v>14797688</v>
      </c>
      <c r="Q92" s="57">
        <f t="shared" si="40"/>
        <v>64.065504626822957</v>
      </c>
      <c r="R92" s="57">
        <f t="shared" si="41"/>
        <v>4.2344953731770403</v>
      </c>
      <c r="S92" s="88">
        <f t="shared" si="42"/>
        <v>0.01</v>
      </c>
      <c r="T92" s="33">
        <f t="shared" si="43"/>
        <v>138945</v>
      </c>
      <c r="U92" s="9">
        <f t="shared" si="44"/>
        <v>0</v>
      </c>
      <c r="V92" s="9">
        <f t="shared" si="30"/>
        <v>0</v>
      </c>
      <c r="W92" s="9">
        <f t="shared" si="45"/>
        <v>0</v>
      </c>
      <c r="X92" s="127">
        <f>MIN(H92*parameters!C$22,ROUND(P92+T92-V92+W92,0))</f>
        <v>14936633</v>
      </c>
      <c r="Y92" s="94">
        <f t="shared" si="46"/>
        <v>64.667056811216483</v>
      </c>
      <c r="AA92" s="33">
        <f t="shared" si="47"/>
        <v>-978536</v>
      </c>
      <c r="AB92" s="33">
        <f t="shared" si="48"/>
        <v>-839591</v>
      </c>
      <c r="AC92" s="33">
        <f t="shared" si="49"/>
        <v>0</v>
      </c>
      <c r="AD92" s="57">
        <f t="shared" si="50"/>
        <v>-3.6329431887835142</v>
      </c>
      <c r="AG92" s="609" t="str">
        <f t="shared" si="51"/>
        <v>086</v>
      </c>
      <c r="AH92" s="388" t="str">
        <f t="shared" si="52"/>
        <v>Easthampton</v>
      </c>
      <c r="AI92" s="380">
        <f t="shared" si="53"/>
        <v>0.68302004452708787</v>
      </c>
      <c r="AJ92" s="381">
        <f t="shared" si="31"/>
        <v>68.3</v>
      </c>
      <c r="AK92" s="380">
        <f t="shared" si="54"/>
        <v>6.5000000000000002E-2</v>
      </c>
      <c r="AL92" s="9">
        <f t="shared" si="32"/>
        <v>14936633</v>
      </c>
      <c r="AM92" s="57">
        <f t="shared" si="55"/>
        <v>-3.6329431887835142</v>
      </c>
    </row>
    <row r="93" spans="1:39" ht="12.75" customHeight="1">
      <c r="A93" s="6">
        <v>87</v>
      </c>
      <c r="B93" s="6" t="s">
        <v>768</v>
      </c>
      <c r="C93" s="81">
        <v>2311361300</v>
      </c>
      <c r="D93" s="81">
        <f t="shared" si="33"/>
        <v>9027271.4235892054</v>
      </c>
      <c r="E93" s="8">
        <v>853911000</v>
      </c>
      <c r="F93" s="81">
        <f t="shared" si="56"/>
        <v>12221089.285302328</v>
      </c>
      <c r="G93" s="81">
        <f t="shared" si="34"/>
        <v>21248361</v>
      </c>
      <c r="H93" s="127">
        <f t="shared" si="35"/>
        <v>34416160.82</v>
      </c>
      <c r="I93" s="347">
        <f t="shared" si="36"/>
        <v>0.61739486606687699</v>
      </c>
      <c r="J93" s="33">
        <f t="shared" si="29"/>
        <v>28393333</v>
      </c>
      <c r="K93" s="33">
        <f t="shared" si="37"/>
        <v>21248361</v>
      </c>
      <c r="L93" s="126">
        <f t="shared" si="38"/>
        <v>61.74</v>
      </c>
      <c r="M93" s="470"/>
      <c r="N93" s="128">
        <v>18843898</v>
      </c>
      <c r="O93" s="449">
        <v>3.3500000000000002E-2</v>
      </c>
      <c r="P93" s="33">
        <f t="shared" si="39"/>
        <v>19475169</v>
      </c>
      <c r="Q93" s="57">
        <f t="shared" si="40"/>
        <v>56.587279161836506</v>
      </c>
      <c r="R93" s="57">
        <f t="shared" si="41"/>
        <v>5.1527208381634964</v>
      </c>
      <c r="S93" s="88">
        <f t="shared" si="42"/>
        <v>0.01</v>
      </c>
      <c r="T93" s="33">
        <f t="shared" si="43"/>
        <v>188439</v>
      </c>
      <c r="U93" s="9">
        <f t="shared" si="44"/>
        <v>0</v>
      </c>
      <c r="V93" s="9">
        <f t="shared" si="30"/>
        <v>0</v>
      </c>
      <c r="W93" s="9">
        <f t="shared" si="45"/>
        <v>0</v>
      </c>
      <c r="X93" s="127">
        <f>MIN(H93*parameters!C$22,ROUND(P93+T93-V93+W93,0))</f>
        <v>19663608</v>
      </c>
      <c r="Y93" s="94">
        <f t="shared" si="46"/>
        <v>57.134809727449429</v>
      </c>
      <c r="AA93" s="33">
        <f t="shared" si="47"/>
        <v>-1773192</v>
      </c>
      <c r="AB93" s="33">
        <f t="shared" si="48"/>
        <v>-1584753</v>
      </c>
      <c r="AC93" s="33">
        <f t="shared" si="49"/>
        <v>0</v>
      </c>
      <c r="AD93" s="57">
        <f t="shared" si="50"/>
        <v>-4.6051902725505727</v>
      </c>
      <c r="AG93" s="609" t="str">
        <f t="shared" si="51"/>
        <v>087</v>
      </c>
      <c r="AH93" s="388" t="str">
        <f t="shared" si="52"/>
        <v>East Longmeadow</v>
      </c>
      <c r="AI93" s="380">
        <f t="shared" si="53"/>
        <v>0.61739486606687699</v>
      </c>
      <c r="AJ93" s="381">
        <f t="shared" si="31"/>
        <v>61.74</v>
      </c>
      <c r="AK93" s="380">
        <f t="shared" si="54"/>
        <v>3.3500000000000002E-2</v>
      </c>
      <c r="AL93" s="9">
        <f t="shared" si="32"/>
        <v>19663608</v>
      </c>
      <c r="AM93" s="57">
        <f t="shared" si="55"/>
        <v>-4.6051902725505727</v>
      </c>
    </row>
    <row r="94" spans="1:39" ht="12.75" customHeight="1">
      <c r="A94" s="6">
        <v>88</v>
      </c>
      <c r="B94" s="6" t="s">
        <v>769</v>
      </c>
      <c r="C94" s="81">
        <v>4412594900</v>
      </c>
      <c r="D94" s="81">
        <f t="shared" si="33"/>
        <v>17233866.399271056</v>
      </c>
      <c r="E94" s="8">
        <v>1649668000</v>
      </c>
      <c r="F94" s="81">
        <f t="shared" si="56"/>
        <v>23609884.307739474</v>
      </c>
      <c r="G94" s="81">
        <f t="shared" si="34"/>
        <v>40843751</v>
      </c>
      <c r="H94" s="127">
        <f t="shared" si="35"/>
        <v>46423185.295839526</v>
      </c>
      <c r="I94" s="347">
        <f t="shared" si="36"/>
        <v>0.87981362631013693</v>
      </c>
      <c r="J94" s="33">
        <f t="shared" si="29"/>
        <v>38299128</v>
      </c>
      <c r="K94" s="33">
        <f t="shared" si="37"/>
        <v>38299128</v>
      </c>
      <c r="L94" s="126">
        <f t="shared" si="38"/>
        <v>82.5</v>
      </c>
      <c r="M94" s="470"/>
      <c r="N94" s="128">
        <v>34739005</v>
      </c>
      <c r="O94" s="449">
        <v>3.6299999999999999E-2</v>
      </c>
      <c r="P94" s="33">
        <f t="shared" si="39"/>
        <v>36000031</v>
      </c>
      <c r="Q94" s="57">
        <f t="shared" si="40"/>
        <v>77.547524519448146</v>
      </c>
      <c r="R94" s="57">
        <f t="shared" si="41"/>
        <v>4.952475480551854</v>
      </c>
      <c r="S94" s="88">
        <f t="shared" si="42"/>
        <v>0.01</v>
      </c>
      <c r="T94" s="33">
        <f t="shared" si="43"/>
        <v>347390</v>
      </c>
      <c r="U94" s="9">
        <f t="shared" si="44"/>
        <v>0</v>
      </c>
      <c r="V94" s="9">
        <f t="shared" si="30"/>
        <v>0</v>
      </c>
      <c r="W94" s="9">
        <f t="shared" si="45"/>
        <v>0</v>
      </c>
      <c r="X94" s="127">
        <f>MIN(H94*parameters!C$22,ROUND(P94+T94-V94+W94,0))</f>
        <v>36347421</v>
      </c>
      <c r="Y94" s="94">
        <f t="shared" si="46"/>
        <v>78.295835945702493</v>
      </c>
      <c r="AA94" s="33">
        <f t="shared" si="47"/>
        <v>-2299097</v>
      </c>
      <c r="AB94" s="33">
        <f t="shared" si="48"/>
        <v>-1951707</v>
      </c>
      <c r="AC94" s="33">
        <f t="shared" si="49"/>
        <v>0</v>
      </c>
      <c r="AD94" s="57">
        <f t="shared" si="50"/>
        <v>-4.2041640542975074</v>
      </c>
      <c r="AG94" s="609" t="str">
        <f t="shared" si="51"/>
        <v>088</v>
      </c>
      <c r="AH94" s="388" t="str">
        <f t="shared" si="52"/>
        <v>Easton</v>
      </c>
      <c r="AI94" s="380">
        <f t="shared" si="53"/>
        <v>0.87981362631013693</v>
      </c>
      <c r="AJ94" s="381">
        <f t="shared" si="31"/>
        <v>82.5</v>
      </c>
      <c r="AK94" s="380">
        <f t="shared" si="54"/>
        <v>3.6299999999999999E-2</v>
      </c>
      <c r="AL94" s="9">
        <f t="shared" si="32"/>
        <v>36347421</v>
      </c>
      <c r="AM94" s="57">
        <f t="shared" si="55"/>
        <v>-4.2041640542975074</v>
      </c>
    </row>
    <row r="95" spans="1:39" ht="12.75" customHeight="1">
      <c r="A95" s="6">
        <v>89</v>
      </c>
      <c r="B95" s="6" t="s">
        <v>770</v>
      </c>
      <c r="C95" s="81">
        <v>11072643200</v>
      </c>
      <c r="D95" s="81">
        <f t="shared" si="33"/>
        <v>43245405.01000832</v>
      </c>
      <c r="E95" s="8">
        <v>488693000</v>
      </c>
      <c r="F95" s="81">
        <f t="shared" si="56"/>
        <v>6994125.6010313146</v>
      </c>
      <c r="G95" s="81">
        <f t="shared" si="34"/>
        <v>50239531</v>
      </c>
      <c r="H95" s="127">
        <f t="shared" si="35"/>
        <v>10676843.895997958</v>
      </c>
      <c r="I95" s="347">
        <f t="shared" si="36"/>
        <v>4.7054664739297607</v>
      </c>
      <c r="J95" s="33">
        <f t="shared" si="29"/>
        <v>8808396</v>
      </c>
      <c r="K95" s="33">
        <f t="shared" si="37"/>
        <v>8808396</v>
      </c>
      <c r="L95" s="126">
        <f t="shared" si="38"/>
        <v>82.5</v>
      </c>
      <c r="M95" s="470"/>
      <c r="N95" s="128">
        <v>8277359</v>
      </c>
      <c r="O95" s="449">
        <v>3.8300000000000001E-2</v>
      </c>
      <c r="P95" s="33">
        <f t="shared" si="39"/>
        <v>8594382</v>
      </c>
      <c r="Q95" s="57">
        <f t="shared" si="40"/>
        <v>80.495529238012594</v>
      </c>
      <c r="R95" s="57">
        <f t="shared" si="41"/>
        <v>2.004470761987406</v>
      </c>
      <c r="S95" s="88">
        <f t="shared" si="42"/>
        <v>0</v>
      </c>
      <c r="T95" s="33">
        <f t="shared" si="43"/>
        <v>0</v>
      </c>
      <c r="U95" s="9">
        <f t="shared" si="44"/>
        <v>0</v>
      </c>
      <c r="V95" s="9">
        <f t="shared" si="30"/>
        <v>0</v>
      </c>
      <c r="W95" s="9">
        <f t="shared" si="45"/>
        <v>214014</v>
      </c>
      <c r="X95" s="127">
        <f>MIN(H95*parameters!C$22,ROUND(P95+T95-V95+W95,0))</f>
        <v>8808396</v>
      </c>
      <c r="Y95" s="94">
        <f t="shared" si="46"/>
        <v>82.499997993804939</v>
      </c>
      <c r="AA95" s="33">
        <f t="shared" si="47"/>
        <v>-214014</v>
      </c>
      <c r="AB95" s="33">
        <f t="shared" si="48"/>
        <v>0</v>
      </c>
      <c r="AC95" s="33">
        <f t="shared" si="49"/>
        <v>0</v>
      </c>
      <c r="AD95" s="57">
        <f t="shared" si="50"/>
        <v>-2.0061950607441759E-6</v>
      </c>
      <c r="AG95" s="609" t="str">
        <f t="shared" si="51"/>
        <v>089</v>
      </c>
      <c r="AH95" s="388" t="str">
        <f t="shared" si="52"/>
        <v>Edgartown</v>
      </c>
      <c r="AI95" s="380">
        <f t="shared" si="53"/>
        <v>4.7054664739297607</v>
      </c>
      <c r="AJ95" s="381">
        <f t="shared" si="31"/>
        <v>82.5</v>
      </c>
      <c r="AK95" s="380">
        <f t="shared" si="54"/>
        <v>3.8300000000000001E-2</v>
      </c>
      <c r="AL95" s="9">
        <f t="shared" si="32"/>
        <v>8808396</v>
      </c>
      <c r="AM95" s="57">
        <f t="shared" si="55"/>
        <v>-2.0061950607441759E-6</v>
      </c>
    </row>
    <row r="96" spans="1:39" ht="12.75" customHeight="1">
      <c r="A96" s="6">
        <v>90</v>
      </c>
      <c r="B96" s="6" t="s">
        <v>771</v>
      </c>
      <c r="C96" s="81">
        <v>616396400</v>
      </c>
      <c r="D96" s="81">
        <f t="shared" si="33"/>
        <v>2407402.7748596733</v>
      </c>
      <c r="E96" s="8">
        <v>54717000</v>
      </c>
      <c r="F96" s="81">
        <f t="shared" si="56"/>
        <v>783104.26077645971</v>
      </c>
      <c r="G96" s="81">
        <f t="shared" si="34"/>
        <v>3190507</v>
      </c>
      <c r="H96" s="127">
        <f t="shared" si="35"/>
        <v>1269627.7468174584</v>
      </c>
      <c r="I96" s="347">
        <f t="shared" si="36"/>
        <v>2.5129468129517156</v>
      </c>
      <c r="J96" s="33">
        <f t="shared" si="29"/>
        <v>1047443</v>
      </c>
      <c r="K96" s="33">
        <f t="shared" si="37"/>
        <v>1047443</v>
      </c>
      <c r="L96" s="126">
        <f t="shared" si="38"/>
        <v>82.5</v>
      </c>
      <c r="M96" s="470"/>
      <c r="N96" s="128">
        <v>1067474</v>
      </c>
      <c r="O96" s="449">
        <v>4.2900000000000001E-2</v>
      </c>
      <c r="P96" s="33">
        <f t="shared" si="39"/>
        <v>1113269</v>
      </c>
      <c r="Q96" s="57">
        <f t="shared" si="40"/>
        <v>87.684677874329807</v>
      </c>
      <c r="R96" s="57">
        <f t="shared" si="41"/>
        <v>0</v>
      </c>
      <c r="S96" s="88">
        <f t="shared" si="42"/>
        <v>0</v>
      </c>
      <c r="T96" s="33">
        <f t="shared" si="43"/>
        <v>0</v>
      </c>
      <c r="U96" s="9">
        <f t="shared" si="44"/>
        <v>65826</v>
      </c>
      <c r="V96" s="9">
        <f t="shared" si="30"/>
        <v>65826</v>
      </c>
      <c r="W96" s="9">
        <f t="shared" si="45"/>
        <v>0</v>
      </c>
      <c r="X96" s="127">
        <f>MIN(H96*parameters!C$22,ROUND(P96+T96-V96+W96,0))</f>
        <v>1047443</v>
      </c>
      <c r="Y96" s="94">
        <f t="shared" si="46"/>
        <v>82.500008575395199</v>
      </c>
      <c r="AA96" s="33">
        <f t="shared" si="47"/>
        <v>0</v>
      </c>
      <c r="AB96" s="33">
        <f t="shared" si="48"/>
        <v>0</v>
      </c>
      <c r="AC96" s="33">
        <f t="shared" si="49"/>
        <v>0</v>
      </c>
      <c r="AD96" s="57">
        <f t="shared" si="50"/>
        <v>8.5753951992728616E-6</v>
      </c>
      <c r="AG96" s="609" t="str">
        <f t="shared" si="51"/>
        <v>090</v>
      </c>
      <c r="AH96" s="388" t="str">
        <f t="shared" si="52"/>
        <v>Egremont</v>
      </c>
      <c r="AI96" s="380">
        <f t="shared" si="53"/>
        <v>2.5129468129517156</v>
      </c>
      <c r="AJ96" s="381">
        <f t="shared" si="31"/>
        <v>82.5</v>
      </c>
      <c r="AK96" s="380">
        <f t="shared" si="54"/>
        <v>4.2900000000000001E-2</v>
      </c>
      <c r="AL96" s="9">
        <f t="shared" si="32"/>
        <v>1047443</v>
      </c>
      <c r="AM96" s="57">
        <f t="shared" si="55"/>
        <v>8.5753951992728616E-6</v>
      </c>
    </row>
    <row r="97" spans="1:39" ht="12.75" customHeight="1">
      <c r="A97" s="6">
        <v>91</v>
      </c>
      <c r="B97" s="6" t="s">
        <v>772</v>
      </c>
      <c r="C97" s="81">
        <v>969923800</v>
      </c>
      <c r="D97" s="81">
        <f t="shared" si="33"/>
        <v>3788142.2531384653</v>
      </c>
      <c r="E97" s="8">
        <v>60012000</v>
      </c>
      <c r="F97" s="81">
        <f t="shared" si="56"/>
        <v>858885.77403214539</v>
      </c>
      <c r="G97" s="81">
        <f t="shared" si="34"/>
        <v>4647028</v>
      </c>
      <c r="H97" s="127">
        <f t="shared" si="35"/>
        <v>3346288.9263637974</v>
      </c>
      <c r="I97" s="347">
        <f t="shared" si="36"/>
        <v>1.3887109279142953</v>
      </c>
      <c r="J97" s="33">
        <f t="shared" si="29"/>
        <v>2760688</v>
      </c>
      <c r="K97" s="33">
        <f t="shared" si="37"/>
        <v>2760688</v>
      </c>
      <c r="L97" s="126">
        <f t="shared" si="38"/>
        <v>82.5</v>
      </c>
      <c r="M97" s="470"/>
      <c r="N97" s="128">
        <v>2588960</v>
      </c>
      <c r="O97" s="449">
        <v>3.1399999999999997E-2</v>
      </c>
      <c r="P97" s="33">
        <f t="shared" si="39"/>
        <v>2670253</v>
      </c>
      <c r="Q97" s="57">
        <f t="shared" si="40"/>
        <v>79.797443040927035</v>
      </c>
      <c r="R97" s="57">
        <f t="shared" si="41"/>
        <v>2.7025569590729646</v>
      </c>
      <c r="S97" s="88">
        <f t="shared" si="42"/>
        <v>0.01</v>
      </c>
      <c r="T97" s="33">
        <f t="shared" si="43"/>
        <v>25890</v>
      </c>
      <c r="U97" s="9">
        <f t="shared" si="44"/>
        <v>0</v>
      </c>
      <c r="V97" s="9">
        <f t="shared" si="30"/>
        <v>0</v>
      </c>
      <c r="W97" s="9">
        <f t="shared" si="45"/>
        <v>0</v>
      </c>
      <c r="X97" s="127">
        <f>MIN(H97*parameters!C$22,ROUND(P97+T97-V97+W97,0))</f>
        <v>2696143</v>
      </c>
      <c r="Y97" s="94">
        <f t="shared" si="46"/>
        <v>80.571135945805182</v>
      </c>
      <c r="AA97" s="33">
        <f t="shared" si="47"/>
        <v>-90435</v>
      </c>
      <c r="AB97" s="33">
        <f t="shared" si="48"/>
        <v>-64545</v>
      </c>
      <c r="AC97" s="33">
        <f t="shared" si="49"/>
        <v>0</v>
      </c>
      <c r="AD97" s="57">
        <f t="shared" si="50"/>
        <v>-1.9288640541948183</v>
      </c>
      <c r="AG97" s="609" t="str">
        <f t="shared" si="51"/>
        <v>091</v>
      </c>
      <c r="AH97" s="388" t="str">
        <f t="shared" si="52"/>
        <v>Erving</v>
      </c>
      <c r="AI97" s="380">
        <f t="shared" si="53"/>
        <v>1.3887109279142953</v>
      </c>
      <c r="AJ97" s="381">
        <f t="shared" si="31"/>
        <v>82.5</v>
      </c>
      <c r="AK97" s="380">
        <f t="shared" si="54"/>
        <v>3.1399999999999997E-2</v>
      </c>
      <c r="AL97" s="9">
        <f t="shared" si="32"/>
        <v>2696143</v>
      </c>
      <c r="AM97" s="57">
        <f t="shared" si="55"/>
        <v>-1.9288640541948183</v>
      </c>
    </row>
    <row r="98" spans="1:39" ht="12.75" customHeight="1">
      <c r="A98" s="6">
        <v>92</v>
      </c>
      <c r="B98" s="6" t="s">
        <v>773</v>
      </c>
      <c r="C98" s="81">
        <v>1081249700</v>
      </c>
      <c r="D98" s="81">
        <f t="shared" si="33"/>
        <v>4222937.5903171878</v>
      </c>
      <c r="E98" s="8">
        <v>465083000</v>
      </c>
      <c r="F98" s="81">
        <f t="shared" si="56"/>
        <v>6656221.6297439225</v>
      </c>
      <c r="G98" s="81">
        <f t="shared" si="34"/>
        <v>10879159</v>
      </c>
      <c r="H98" s="127">
        <f t="shared" si="35"/>
        <v>6762492.1007431848</v>
      </c>
      <c r="I98" s="347">
        <f t="shared" si="36"/>
        <v>1.6087499752945222</v>
      </c>
      <c r="J98" s="33">
        <f t="shared" si="29"/>
        <v>5579056</v>
      </c>
      <c r="K98" s="33">
        <f t="shared" si="37"/>
        <v>5579056</v>
      </c>
      <c r="L98" s="126">
        <f t="shared" si="38"/>
        <v>82.5</v>
      </c>
      <c r="M98" s="470"/>
      <c r="N98" s="128">
        <v>5170162</v>
      </c>
      <c r="O98" s="449">
        <v>4.1099999999999998E-2</v>
      </c>
      <c r="P98" s="33">
        <f t="shared" si="39"/>
        <v>5382656</v>
      </c>
      <c r="Q98" s="57">
        <f t="shared" si="40"/>
        <v>79.595745470940457</v>
      </c>
      <c r="R98" s="57">
        <f t="shared" si="41"/>
        <v>2.9042545290595427</v>
      </c>
      <c r="S98" s="88">
        <f t="shared" si="42"/>
        <v>0.01</v>
      </c>
      <c r="T98" s="33">
        <f t="shared" si="43"/>
        <v>51702</v>
      </c>
      <c r="U98" s="9">
        <f t="shared" si="44"/>
        <v>0</v>
      </c>
      <c r="V98" s="9">
        <f t="shared" si="30"/>
        <v>0</v>
      </c>
      <c r="W98" s="9">
        <f t="shared" si="45"/>
        <v>0</v>
      </c>
      <c r="X98" s="127">
        <f>MIN(H98*parameters!C$22,ROUND(P98+T98-V98+W98,0))</f>
        <v>5434358</v>
      </c>
      <c r="Y98" s="94">
        <f t="shared" si="46"/>
        <v>80.360286105218137</v>
      </c>
      <c r="AA98" s="33">
        <f t="shared" si="47"/>
        <v>-196400</v>
      </c>
      <c r="AB98" s="33">
        <f t="shared" si="48"/>
        <v>-144698</v>
      </c>
      <c r="AC98" s="33">
        <f t="shared" si="49"/>
        <v>0</v>
      </c>
      <c r="AD98" s="57">
        <f t="shared" si="50"/>
        <v>-2.1397138947818632</v>
      </c>
      <c r="AG98" s="609" t="str">
        <f t="shared" si="51"/>
        <v>092</v>
      </c>
      <c r="AH98" s="388" t="str">
        <f t="shared" si="52"/>
        <v>Essex</v>
      </c>
      <c r="AI98" s="380">
        <f t="shared" si="53"/>
        <v>1.6087499752945222</v>
      </c>
      <c r="AJ98" s="381">
        <f t="shared" si="31"/>
        <v>82.5</v>
      </c>
      <c r="AK98" s="380">
        <f t="shared" si="54"/>
        <v>4.1099999999999998E-2</v>
      </c>
      <c r="AL98" s="9">
        <f t="shared" si="32"/>
        <v>5434358</v>
      </c>
      <c r="AM98" s="57">
        <f t="shared" si="55"/>
        <v>-2.1397138947818632</v>
      </c>
    </row>
    <row r="99" spans="1:39" ht="12.75" customHeight="1">
      <c r="A99" s="6">
        <v>93</v>
      </c>
      <c r="B99" s="6" t="s">
        <v>774</v>
      </c>
      <c r="C99" s="81">
        <v>9500450600</v>
      </c>
      <c r="D99" s="81">
        <f t="shared" si="33"/>
        <v>37105036.851054363</v>
      </c>
      <c r="E99" s="8">
        <v>1260524000</v>
      </c>
      <c r="F99" s="81">
        <f t="shared" si="56"/>
        <v>18040494.091616612</v>
      </c>
      <c r="G99" s="81">
        <f t="shared" si="34"/>
        <v>55145531</v>
      </c>
      <c r="H99" s="127">
        <f t="shared" si="35"/>
        <v>161811104.85304004</v>
      </c>
      <c r="I99" s="347">
        <f t="shared" si="36"/>
        <v>0.34080189397436123</v>
      </c>
      <c r="J99" s="33">
        <f t="shared" si="29"/>
        <v>133494162</v>
      </c>
      <c r="K99" s="33">
        <f t="shared" si="37"/>
        <v>55145531</v>
      </c>
      <c r="L99" s="126">
        <f t="shared" si="38"/>
        <v>34.08</v>
      </c>
      <c r="M99" s="470"/>
      <c r="N99" s="128">
        <v>40961068</v>
      </c>
      <c r="O99" s="449">
        <v>5.779999999999999E-2</v>
      </c>
      <c r="P99" s="33">
        <f t="shared" si="39"/>
        <v>43328618</v>
      </c>
      <c r="Q99" s="57">
        <f t="shared" si="40"/>
        <v>26.777283326352592</v>
      </c>
      <c r="R99" s="57">
        <f t="shared" si="41"/>
        <v>7.3027166736474065</v>
      </c>
      <c r="S99" s="88">
        <f t="shared" si="42"/>
        <v>0.01</v>
      </c>
      <c r="T99" s="33">
        <f t="shared" si="43"/>
        <v>409611</v>
      </c>
      <c r="U99" s="9">
        <f t="shared" si="44"/>
        <v>0</v>
      </c>
      <c r="V99" s="9">
        <f t="shared" si="30"/>
        <v>0</v>
      </c>
      <c r="W99" s="9">
        <f t="shared" si="45"/>
        <v>0</v>
      </c>
      <c r="X99" s="127">
        <f>MIN(H99*parameters!C$22,ROUND(P99+T99-V99+W99,0))</f>
        <v>43738229</v>
      </c>
      <c r="Y99" s="94">
        <f t="shared" si="46"/>
        <v>27.030424790513546</v>
      </c>
      <c r="AA99" s="33">
        <f t="shared" si="47"/>
        <v>-11816913</v>
      </c>
      <c r="AB99" s="33">
        <f t="shared" si="48"/>
        <v>-11407302</v>
      </c>
      <c r="AC99" s="33">
        <f t="shared" si="49"/>
        <v>0</v>
      </c>
      <c r="AD99" s="57">
        <f t="shared" si="50"/>
        <v>-7.0495752094864521</v>
      </c>
      <c r="AG99" s="609" t="str">
        <f t="shared" si="51"/>
        <v>093</v>
      </c>
      <c r="AH99" s="388" t="str">
        <f t="shared" si="52"/>
        <v>Everett</v>
      </c>
      <c r="AI99" s="380">
        <f t="shared" si="53"/>
        <v>0.34080189397436123</v>
      </c>
      <c r="AJ99" s="381">
        <f t="shared" si="31"/>
        <v>34.08</v>
      </c>
      <c r="AK99" s="380">
        <f t="shared" si="54"/>
        <v>5.779999999999999E-2</v>
      </c>
      <c r="AL99" s="9">
        <f t="shared" si="32"/>
        <v>43738229</v>
      </c>
      <c r="AM99" s="57">
        <f t="shared" si="55"/>
        <v>-7.0495752094864521</v>
      </c>
    </row>
    <row r="100" spans="1:39" ht="12.75" customHeight="1">
      <c r="A100" s="6">
        <v>94</v>
      </c>
      <c r="B100" s="6" t="s">
        <v>775</v>
      </c>
      <c r="C100" s="81">
        <v>2882044000</v>
      </c>
      <c r="D100" s="81">
        <f t="shared" si="33"/>
        <v>11256134.401284095</v>
      </c>
      <c r="E100" s="8">
        <v>662456000</v>
      </c>
      <c r="F100" s="81">
        <f t="shared" si="56"/>
        <v>9481004.3711630832</v>
      </c>
      <c r="G100" s="81">
        <f t="shared" si="34"/>
        <v>20737139</v>
      </c>
      <c r="H100" s="127">
        <f t="shared" si="35"/>
        <v>28223295.958749395</v>
      </c>
      <c r="I100" s="347">
        <f t="shared" si="36"/>
        <v>0.73475256151191515</v>
      </c>
      <c r="J100" s="33">
        <f t="shared" si="29"/>
        <v>23284219</v>
      </c>
      <c r="K100" s="33">
        <f t="shared" si="37"/>
        <v>20737139</v>
      </c>
      <c r="L100" s="126">
        <f t="shared" si="38"/>
        <v>73.48</v>
      </c>
      <c r="M100" s="470"/>
      <c r="N100" s="128">
        <v>16724054</v>
      </c>
      <c r="O100" s="449">
        <v>4.4799999999999993E-2</v>
      </c>
      <c r="P100" s="33">
        <f t="shared" si="39"/>
        <v>17473292</v>
      </c>
      <c r="Q100" s="57">
        <f t="shared" si="40"/>
        <v>61.910883922057202</v>
      </c>
      <c r="R100" s="57">
        <f t="shared" si="41"/>
        <v>11.569116077942802</v>
      </c>
      <c r="S100" s="88">
        <f t="shared" si="42"/>
        <v>0.02</v>
      </c>
      <c r="T100" s="33">
        <f t="shared" si="43"/>
        <v>334481</v>
      </c>
      <c r="U100" s="9">
        <f t="shared" si="44"/>
        <v>0</v>
      </c>
      <c r="V100" s="9">
        <f t="shared" si="30"/>
        <v>0</v>
      </c>
      <c r="W100" s="9">
        <f t="shared" si="45"/>
        <v>0</v>
      </c>
      <c r="X100" s="127">
        <f>MIN(H100*parameters!C$22,ROUND(P100+T100-V100+W100,0))</f>
        <v>17807773</v>
      </c>
      <c r="Y100" s="94">
        <f t="shared" si="46"/>
        <v>63.096007730732389</v>
      </c>
      <c r="AA100" s="33">
        <f t="shared" si="47"/>
        <v>-3263847</v>
      </c>
      <c r="AB100" s="33">
        <f t="shared" si="48"/>
        <v>-2929366</v>
      </c>
      <c r="AC100" s="33">
        <f t="shared" si="49"/>
        <v>0</v>
      </c>
      <c r="AD100" s="57">
        <f t="shared" si="50"/>
        <v>-10.383992269267615</v>
      </c>
      <c r="AG100" s="609" t="str">
        <f t="shared" si="51"/>
        <v>094</v>
      </c>
      <c r="AH100" s="388" t="str">
        <f t="shared" si="52"/>
        <v>Fairhaven</v>
      </c>
      <c r="AI100" s="380">
        <f t="shared" si="53"/>
        <v>0.73475256151191515</v>
      </c>
      <c r="AJ100" s="381">
        <f t="shared" si="31"/>
        <v>73.48</v>
      </c>
      <c r="AK100" s="380">
        <f t="shared" si="54"/>
        <v>4.4799999999999993E-2</v>
      </c>
      <c r="AL100" s="9">
        <f t="shared" si="32"/>
        <v>17807773</v>
      </c>
      <c r="AM100" s="57">
        <f t="shared" si="55"/>
        <v>-10.383992269267615</v>
      </c>
    </row>
    <row r="101" spans="1:39" ht="12.75" customHeight="1">
      <c r="A101" s="6">
        <v>95</v>
      </c>
      <c r="B101" s="6" t="s">
        <v>776</v>
      </c>
      <c r="C101" s="81">
        <v>7843860400</v>
      </c>
      <c r="D101" s="81">
        <f t="shared" si="33"/>
        <v>30635044.741617419</v>
      </c>
      <c r="E101" s="8">
        <v>2026895000</v>
      </c>
      <c r="F101" s="81">
        <f t="shared" si="56"/>
        <v>29008719.605360352</v>
      </c>
      <c r="G101" s="81">
        <f t="shared" si="34"/>
        <v>59643764</v>
      </c>
      <c r="H101" s="127">
        <f t="shared" si="35"/>
        <v>267702805.83038265</v>
      </c>
      <c r="I101" s="347">
        <f t="shared" si="36"/>
        <v>0.22279842684125797</v>
      </c>
      <c r="J101" s="33">
        <f t="shared" si="29"/>
        <v>220854815</v>
      </c>
      <c r="K101" s="33">
        <f t="shared" si="37"/>
        <v>59643764</v>
      </c>
      <c r="L101" s="126">
        <f t="shared" si="38"/>
        <v>22.28</v>
      </c>
      <c r="M101" s="470"/>
      <c r="N101" s="128">
        <v>42537361</v>
      </c>
      <c r="O101" s="449">
        <v>4.4400000000000002E-2</v>
      </c>
      <c r="P101" s="33">
        <f t="shared" si="39"/>
        <v>44426020</v>
      </c>
      <c r="Q101" s="57">
        <f t="shared" si="40"/>
        <v>16.595276191519812</v>
      </c>
      <c r="R101" s="57">
        <f t="shared" si="41"/>
        <v>5.6847238084801894</v>
      </c>
      <c r="S101" s="88">
        <f t="shared" si="42"/>
        <v>0.01</v>
      </c>
      <c r="T101" s="33">
        <f t="shared" si="43"/>
        <v>425374</v>
      </c>
      <c r="U101" s="9">
        <f t="shared" si="44"/>
        <v>0</v>
      </c>
      <c r="V101" s="9">
        <f t="shared" si="30"/>
        <v>0</v>
      </c>
      <c r="W101" s="9">
        <f t="shared" si="45"/>
        <v>0</v>
      </c>
      <c r="X101" s="127">
        <f>MIN(H101*parameters!C$22,ROUND(P101+T101-V101+W101,0))</f>
        <v>44851394</v>
      </c>
      <c r="Y101" s="94">
        <f t="shared" si="46"/>
        <v>16.754174040453645</v>
      </c>
      <c r="AA101" s="33">
        <f t="shared" si="47"/>
        <v>-15217744</v>
      </c>
      <c r="AB101" s="33">
        <f t="shared" si="48"/>
        <v>-14792370</v>
      </c>
      <c r="AC101" s="33">
        <f t="shared" si="49"/>
        <v>0</v>
      </c>
      <c r="AD101" s="57">
        <f t="shared" si="50"/>
        <v>-5.5258259595463564</v>
      </c>
      <c r="AG101" s="609" t="str">
        <f t="shared" si="51"/>
        <v>095</v>
      </c>
      <c r="AH101" s="388" t="str">
        <f t="shared" si="52"/>
        <v>Fall River</v>
      </c>
      <c r="AI101" s="380">
        <f t="shared" si="53"/>
        <v>0.22279842684125797</v>
      </c>
      <c r="AJ101" s="381">
        <f t="shared" si="31"/>
        <v>22.28</v>
      </c>
      <c r="AK101" s="380">
        <f t="shared" si="54"/>
        <v>4.4400000000000002E-2</v>
      </c>
      <c r="AL101" s="9">
        <f t="shared" si="32"/>
        <v>44851394</v>
      </c>
      <c r="AM101" s="57">
        <f t="shared" si="55"/>
        <v>-5.5258259595463564</v>
      </c>
    </row>
    <row r="102" spans="1:39" ht="12.75" customHeight="1">
      <c r="A102" s="6">
        <v>96</v>
      </c>
      <c r="B102" s="6" t="s">
        <v>777</v>
      </c>
      <c r="C102" s="81">
        <v>15449979300</v>
      </c>
      <c r="D102" s="81">
        <f t="shared" si="33"/>
        <v>60341564.354276747</v>
      </c>
      <c r="E102" s="8">
        <v>2053402000</v>
      </c>
      <c r="F102" s="81">
        <f t="shared" si="56"/>
        <v>29388085.152455434</v>
      </c>
      <c r="G102" s="81">
        <f t="shared" si="34"/>
        <v>89729650</v>
      </c>
      <c r="H102" s="127">
        <f t="shared" si="35"/>
        <v>47533272.573339388</v>
      </c>
      <c r="I102" s="347">
        <f t="shared" si="36"/>
        <v>1.887722959986724</v>
      </c>
      <c r="J102" s="33">
        <f t="shared" si="29"/>
        <v>39214950</v>
      </c>
      <c r="K102" s="33">
        <f t="shared" si="37"/>
        <v>39214950</v>
      </c>
      <c r="L102" s="126">
        <f t="shared" si="38"/>
        <v>82.5</v>
      </c>
      <c r="M102" s="470"/>
      <c r="N102" s="128">
        <v>36602682</v>
      </c>
      <c r="O102" s="449">
        <v>5.4100000000000002E-2</v>
      </c>
      <c r="P102" s="33">
        <f t="shared" si="39"/>
        <v>38582887</v>
      </c>
      <c r="Q102" s="57">
        <f t="shared" si="40"/>
        <v>81.17027276098068</v>
      </c>
      <c r="R102" s="57">
        <f t="shared" si="41"/>
        <v>1.32972723901932</v>
      </c>
      <c r="S102" s="88">
        <f t="shared" si="42"/>
        <v>0</v>
      </c>
      <c r="T102" s="33">
        <f t="shared" si="43"/>
        <v>0</v>
      </c>
      <c r="U102" s="9">
        <f t="shared" si="44"/>
        <v>0</v>
      </c>
      <c r="V102" s="9">
        <f t="shared" si="30"/>
        <v>0</v>
      </c>
      <c r="W102" s="9">
        <f t="shared" si="45"/>
        <v>632063</v>
      </c>
      <c r="X102" s="127">
        <f>MIN(H102*parameters!C$22,ROUND(P102+T102-V102+W102,0))</f>
        <v>39214950</v>
      </c>
      <c r="Y102" s="94">
        <f t="shared" si="46"/>
        <v>82.500000267170762</v>
      </c>
      <c r="AA102" s="33">
        <f t="shared" si="47"/>
        <v>-632063</v>
      </c>
      <c r="AB102" s="33">
        <f t="shared" si="48"/>
        <v>0</v>
      </c>
      <c r="AC102" s="33">
        <f t="shared" si="49"/>
        <v>0</v>
      </c>
      <c r="AD102" s="57">
        <f t="shared" si="50"/>
        <v>2.6717076195836853E-7</v>
      </c>
      <c r="AG102" s="609" t="str">
        <f t="shared" si="51"/>
        <v>096</v>
      </c>
      <c r="AH102" s="388" t="str">
        <f t="shared" si="52"/>
        <v>Falmouth</v>
      </c>
      <c r="AI102" s="380">
        <f t="shared" si="53"/>
        <v>1.887722959986724</v>
      </c>
      <c r="AJ102" s="381">
        <f t="shared" si="31"/>
        <v>82.5</v>
      </c>
      <c r="AK102" s="380">
        <f t="shared" si="54"/>
        <v>5.4100000000000002E-2</v>
      </c>
      <c r="AL102" s="9">
        <f t="shared" si="32"/>
        <v>39214950</v>
      </c>
      <c r="AM102" s="57">
        <f t="shared" si="55"/>
        <v>2.6717076195836853E-7</v>
      </c>
    </row>
    <row r="103" spans="1:39" ht="12.75" customHeight="1">
      <c r="A103" s="6">
        <v>97</v>
      </c>
      <c r="B103" s="6" t="s">
        <v>778</v>
      </c>
      <c r="C103" s="81">
        <v>3678508500</v>
      </c>
      <c r="D103" s="81">
        <f t="shared" si="33"/>
        <v>14366812.606700646</v>
      </c>
      <c r="E103" s="8">
        <v>1057088000</v>
      </c>
      <c r="F103" s="81">
        <f t="shared" si="56"/>
        <v>15128938.297342073</v>
      </c>
      <c r="G103" s="81">
        <f t="shared" si="34"/>
        <v>29495751</v>
      </c>
      <c r="H103" s="127">
        <f t="shared" si="35"/>
        <v>108892707.93142945</v>
      </c>
      <c r="I103" s="347">
        <f t="shared" si="36"/>
        <v>0.27086984574369932</v>
      </c>
      <c r="J103" s="33">
        <f t="shared" si="29"/>
        <v>89836484</v>
      </c>
      <c r="K103" s="33">
        <f t="shared" si="37"/>
        <v>29495751</v>
      </c>
      <c r="L103" s="126">
        <f t="shared" si="38"/>
        <v>27.09</v>
      </c>
      <c r="M103" s="470"/>
      <c r="N103" s="128">
        <v>23611394</v>
      </c>
      <c r="O103" s="449">
        <v>4.4900000000000002E-2</v>
      </c>
      <c r="P103" s="33">
        <f t="shared" si="39"/>
        <v>24671546</v>
      </c>
      <c r="Q103" s="57">
        <f t="shared" si="40"/>
        <v>22.656747608421913</v>
      </c>
      <c r="R103" s="57">
        <f t="shared" si="41"/>
        <v>4.4332523915780868</v>
      </c>
      <c r="S103" s="88">
        <f t="shared" si="42"/>
        <v>0.01</v>
      </c>
      <c r="T103" s="33">
        <f t="shared" si="43"/>
        <v>236114</v>
      </c>
      <c r="U103" s="9">
        <f t="shared" si="44"/>
        <v>0</v>
      </c>
      <c r="V103" s="9">
        <f t="shared" si="30"/>
        <v>0</v>
      </c>
      <c r="W103" s="9">
        <f t="shared" si="45"/>
        <v>0</v>
      </c>
      <c r="X103" s="127">
        <f>MIN(H103*parameters!C$22,ROUND(P103+T103-V103+W103,0))</f>
        <v>24907660</v>
      </c>
      <c r="Y103" s="94">
        <f t="shared" si="46"/>
        <v>22.873579391270663</v>
      </c>
      <c r="AA103" s="33">
        <f t="shared" si="47"/>
        <v>-4824205</v>
      </c>
      <c r="AB103" s="33">
        <f t="shared" si="48"/>
        <v>-4588091</v>
      </c>
      <c r="AC103" s="33">
        <f t="shared" si="49"/>
        <v>0</v>
      </c>
      <c r="AD103" s="57">
        <f t="shared" si="50"/>
        <v>-4.2164206087293365</v>
      </c>
      <c r="AG103" s="609" t="str">
        <f t="shared" si="51"/>
        <v>097</v>
      </c>
      <c r="AH103" s="388" t="str">
        <f t="shared" si="52"/>
        <v>Fitchburg</v>
      </c>
      <c r="AI103" s="380">
        <f t="shared" si="53"/>
        <v>0.27086984574369932</v>
      </c>
      <c r="AJ103" s="381">
        <f t="shared" si="31"/>
        <v>27.09</v>
      </c>
      <c r="AK103" s="380">
        <f t="shared" si="54"/>
        <v>4.4900000000000002E-2</v>
      </c>
      <c r="AL103" s="9">
        <f t="shared" si="32"/>
        <v>24907660</v>
      </c>
      <c r="AM103" s="57">
        <f t="shared" si="55"/>
        <v>-4.2164206087293365</v>
      </c>
    </row>
    <row r="104" spans="1:39" ht="12.75" customHeight="1">
      <c r="A104" s="6">
        <v>98</v>
      </c>
      <c r="B104" s="6" t="s">
        <v>779</v>
      </c>
      <c r="C104" s="81">
        <v>185906300</v>
      </c>
      <c r="D104" s="81">
        <f t="shared" si="33"/>
        <v>726077.15178721817</v>
      </c>
      <c r="E104" s="8">
        <v>16498000</v>
      </c>
      <c r="F104" s="81">
        <f t="shared" si="56"/>
        <v>236117.73478608171</v>
      </c>
      <c r="G104" s="81">
        <f t="shared" si="34"/>
        <v>962195</v>
      </c>
      <c r="H104" s="127">
        <f t="shared" si="35"/>
        <v>1566636.0040951511</v>
      </c>
      <c r="I104" s="347">
        <f t="shared" si="36"/>
        <v>0.61417904189923123</v>
      </c>
      <c r="J104" s="33">
        <f t="shared" si="29"/>
        <v>1292475</v>
      </c>
      <c r="K104" s="33">
        <f t="shared" si="37"/>
        <v>962195</v>
      </c>
      <c r="L104" s="126">
        <f t="shared" si="38"/>
        <v>61.42</v>
      </c>
      <c r="M104" s="470"/>
      <c r="N104" s="128">
        <v>748953</v>
      </c>
      <c r="O104" s="449">
        <v>4.3799999999999999E-2</v>
      </c>
      <c r="P104" s="33">
        <f t="shared" si="39"/>
        <v>781757</v>
      </c>
      <c r="Q104" s="57">
        <f t="shared" si="40"/>
        <v>49.900359621284387</v>
      </c>
      <c r="R104" s="57">
        <f t="shared" si="41"/>
        <v>11.519640378715614</v>
      </c>
      <c r="S104" s="88">
        <f t="shared" si="42"/>
        <v>0.02</v>
      </c>
      <c r="T104" s="33">
        <f t="shared" si="43"/>
        <v>14979</v>
      </c>
      <c r="U104" s="9">
        <f t="shared" si="44"/>
        <v>0</v>
      </c>
      <c r="V104" s="9">
        <f t="shared" si="30"/>
        <v>0</v>
      </c>
      <c r="W104" s="9">
        <f t="shared" si="45"/>
        <v>0</v>
      </c>
      <c r="X104" s="127">
        <f>MIN(H104*parameters!C$22,ROUND(P104+T104-V104+W104,0))</f>
        <v>796736</v>
      </c>
      <c r="Y104" s="94">
        <f t="shared" si="46"/>
        <v>50.856484717404051</v>
      </c>
      <c r="AA104" s="33">
        <f t="shared" si="47"/>
        <v>-180438</v>
      </c>
      <c r="AB104" s="33">
        <f t="shared" si="48"/>
        <v>-165459</v>
      </c>
      <c r="AC104" s="33">
        <f t="shared" si="49"/>
        <v>0</v>
      </c>
      <c r="AD104" s="57">
        <f t="shared" si="50"/>
        <v>-10.563515282595951</v>
      </c>
      <c r="AG104" s="609" t="str">
        <f t="shared" si="51"/>
        <v>098</v>
      </c>
      <c r="AH104" s="388" t="str">
        <f t="shared" si="52"/>
        <v>Florida</v>
      </c>
      <c r="AI104" s="380">
        <f t="shared" si="53"/>
        <v>0.61417904189923123</v>
      </c>
      <c r="AJ104" s="381">
        <f t="shared" si="31"/>
        <v>61.42</v>
      </c>
      <c r="AK104" s="380">
        <f t="shared" si="54"/>
        <v>4.3799999999999999E-2</v>
      </c>
      <c r="AL104" s="9">
        <f t="shared" si="32"/>
        <v>796736</v>
      </c>
      <c r="AM104" s="57">
        <f t="shared" si="55"/>
        <v>-10.563515282595951</v>
      </c>
    </row>
    <row r="105" spans="1:39" ht="12.75" customHeight="1">
      <c r="A105" s="6">
        <v>99</v>
      </c>
      <c r="B105" s="6" t="s">
        <v>780</v>
      </c>
      <c r="C105" s="81">
        <v>3825226800</v>
      </c>
      <c r="D105" s="81">
        <f t="shared" si="33"/>
        <v>14939836.788124636</v>
      </c>
      <c r="E105" s="8">
        <v>1381591000</v>
      </c>
      <c r="F105" s="81">
        <f t="shared" si="56"/>
        <v>19773192.951923713</v>
      </c>
      <c r="G105" s="81">
        <f t="shared" si="34"/>
        <v>34713030</v>
      </c>
      <c r="H105" s="127">
        <f t="shared" si="35"/>
        <v>36787810.693132706</v>
      </c>
      <c r="I105" s="347">
        <f t="shared" si="36"/>
        <v>0.94360140888949362</v>
      </c>
      <c r="J105" s="33">
        <f t="shared" si="29"/>
        <v>30349944</v>
      </c>
      <c r="K105" s="33">
        <f t="shared" si="37"/>
        <v>30349944</v>
      </c>
      <c r="L105" s="126">
        <f t="shared" si="38"/>
        <v>82.5</v>
      </c>
      <c r="M105" s="470"/>
      <c r="N105" s="128">
        <v>28240512</v>
      </c>
      <c r="O105" s="449">
        <v>3.5799999999999998E-2</v>
      </c>
      <c r="P105" s="33">
        <f t="shared" si="39"/>
        <v>29251522</v>
      </c>
      <c r="Q105" s="57">
        <f t="shared" si="40"/>
        <v>79.514169092591501</v>
      </c>
      <c r="R105" s="57">
        <f t="shared" si="41"/>
        <v>2.9858309074084985</v>
      </c>
      <c r="S105" s="88">
        <f t="shared" si="42"/>
        <v>0.01</v>
      </c>
      <c r="T105" s="33">
        <f t="shared" si="43"/>
        <v>282405</v>
      </c>
      <c r="U105" s="9">
        <f t="shared" si="44"/>
        <v>0</v>
      </c>
      <c r="V105" s="9">
        <f t="shared" si="30"/>
        <v>0</v>
      </c>
      <c r="W105" s="9">
        <f t="shared" si="45"/>
        <v>0</v>
      </c>
      <c r="X105" s="127">
        <f>MIN(H105*parameters!C$22,ROUND(P105+T105-V105+W105,0))</f>
        <v>29533927</v>
      </c>
      <c r="Y105" s="94">
        <f t="shared" si="46"/>
        <v>80.281828256534951</v>
      </c>
      <c r="AA105" s="33">
        <f t="shared" si="47"/>
        <v>-1098422</v>
      </c>
      <c r="AB105" s="33">
        <f t="shared" si="48"/>
        <v>-816017</v>
      </c>
      <c r="AC105" s="33">
        <f t="shared" si="49"/>
        <v>0</v>
      </c>
      <c r="AD105" s="57">
        <f t="shared" si="50"/>
        <v>-2.2181717434650494</v>
      </c>
      <c r="AG105" s="609" t="str">
        <f t="shared" si="51"/>
        <v>099</v>
      </c>
      <c r="AH105" s="388" t="str">
        <f t="shared" si="52"/>
        <v>Foxborough</v>
      </c>
      <c r="AI105" s="380">
        <f t="shared" si="53"/>
        <v>0.94360140888949362</v>
      </c>
      <c r="AJ105" s="381">
        <f t="shared" si="31"/>
        <v>82.5</v>
      </c>
      <c r="AK105" s="380">
        <f t="shared" si="54"/>
        <v>3.5799999999999998E-2</v>
      </c>
      <c r="AL105" s="9">
        <f t="shared" si="32"/>
        <v>29533927</v>
      </c>
      <c r="AM105" s="57">
        <f t="shared" si="55"/>
        <v>-2.2181717434650494</v>
      </c>
    </row>
    <row r="106" spans="1:39" ht="12.75" customHeight="1">
      <c r="A106" s="6">
        <v>100</v>
      </c>
      <c r="B106" s="6" t="s">
        <v>781</v>
      </c>
      <c r="C106" s="81">
        <v>12640216800</v>
      </c>
      <c r="D106" s="81">
        <f t="shared" si="33"/>
        <v>49367733.165131822</v>
      </c>
      <c r="E106" s="8">
        <v>3380098000</v>
      </c>
      <c r="F106" s="81">
        <f t="shared" si="56"/>
        <v>48375626.325310051</v>
      </c>
      <c r="G106" s="81">
        <f t="shared" si="34"/>
        <v>97743359</v>
      </c>
      <c r="H106" s="127">
        <f t="shared" si="35"/>
        <v>179028186.64009032</v>
      </c>
      <c r="I106" s="347">
        <f t="shared" si="36"/>
        <v>0.5459663130951472</v>
      </c>
      <c r="J106" s="33">
        <f t="shared" si="29"/>
        <v>147698254</v>
      </c>
      <c r="K106" s="33">
        <f t="shared" si="37"/>
        <v>97743359</v>
      </c>
      <c r="L106" s="126">
        <f t="shared" si="38"/>
        <v>54.6</v>
      </c>
      <c r="M106" s="470"/>
      <c r="N106" s="128">
        <v>81178259</v>
      </c>
      <c r="O106" s="449">
        <v>3.8800000000000001E-2</v>
      </c>
      <c r="P106" s="33">
        <f t="shared" si="39"/>
        <v>84327975</v>
      </c>
      <c r="Q106" s="57">
        <f t="shared" si="40"/>
        <v>47.103183349295115</v>
      </c>
      <c r="R106" s="57">
        <f t="shared" si="41"/>
        <v>7.4968166507048863</v>
      </c>
      <c r="S106" s="88">
        <f t="shared" si="42"/>
        <v>0.01</v>
      </c>
      <c r="T106" s="33">
        <f t="shared" si="43"/>
        <v>811783</v>
      </c>
      <c r="U106" s="9">
        <f t="shared" si="44"/>
        <v>0</v>
      </c>
      <c r="V106" s="9">
        <f t="shared" si="30"/>
        <v>0</v>
      </c>
      <c r="W106" s="9">
        <f t="shared" si="45"/>
        <v>0</v>
      </c>
      <c r="X106" s="127">
        <f>MIN(H106*parameters!C$22,ROUND(P106+T106-V106+W106,0))</f>
        <v>85139758</v>
      </c>
      <c r="Y106" s="94">
        <f t="shared" si="46"/>
        <v>47.556622003417196</v>
      </c>
      <c r="AA106" s="33">
        <f t="shared" si="47"/>
        <v>-13415384</v>
      </c>
      <c r="AB106" s="33">
        <f t="shared" si="48"/>
        <v>-12603601</v>
      </c>
      <c r="AC106" s="33">
        <f t="shared" si="49"/>
        <v>0</v>
      </c>
      <c r="AD106" s="57">
        <f t="shared" si="50"/>
        <v>-7.0433779965828052</v>
      </c>
      <c r="AG106" s="609" t="str">
        <f t="shared" si="51"/>
        <v>100</v>
      </c>
      <c r="AH106" s="388" t="str">
        <f t="shared" si="52"/>
        <v>Framingham</v>
      </c>
      <c r="AI106" s="380">
        <f t="shared" si="53"/>
        <v>0.5459663130951472</v>
      </c>
      <c r="AJ106" s="381">
        <f t="shared" si="31"/>
        <v>54.6</v>
      </c>
      <c r="AK106" s="380">
        <f t="shared" si="54"/>
        <v>3.8800000000000001E-2</v>
      </c>
      <c r="AL106" s="9">
        <f t="shared" si="32"/>
        <v>85139758</v>
      </c>
      <c r="AM106" s="57">
        <f t="shared" si="55"/>
        <v>-7.0433779965828052</v>
      </c>
    </row>
    <row r="107" spans="1:39" ht="12.75" customHeight="1">
      <c r="A107" s="6">
        <v>101</v>
      </c>
      <c r="B107" s="6" t="s">
        <v>782</v>
      </c>
      <c r="C107" s="81">
        <v>6739455100</v>
      </c>
      <c r="D107" s="81">
        <f t="shared" si="33"/>
        <v>26321670.452296894</v>
      </c>
      <c r="E107" s="8">
        <v>2160179000</v>
      </c>
      <c r="F107" s="81">
        <f t="shared" si="56"/>
        <v>30916266.954325564</v>
      </c>
      <c r="G107" s="81">
        <f t="shared" si="34"/>
        <v>57237937</v>
      </c>
      <c r="H107" s="127">
        <f t="shared" si="35"/>
        <v>70532572.66781272</v>
      </c>
      <c r="I107" s="347">
        <f t="shared" si="36"/>
        <v>0.8115106940671728</v>
      </c>
      <c r="J107" s="33">
        <f t="shared" si="29"/>
        <v>58189372</v>
      </c>
      <c r="K107" s="33">
        <f t="shared" si="37"/>
        <v>57237937</v>
      </c>
      <c r="L107" s="126">
        <f t="shared" si="38"/>
        <v>81.150000000000006</v>
      </c>
      <c r="M107" s="470"/>
      <c r="N107" s="128">
        <v>49918273</v>
      </c>
      <c r="O107" s="449">
        <v>4.9000000000000002E-2</v>
      </c>
      <c r="P107" s="33">
        <f t="shared" si="39"/>
        <v>52364268</v>
      </c>
      <c r="Q107" s="57">
        <f t="shared" si="40"/>
        <v>74.241256230110892</v>
      </c>
      <c r="R107" s="57">
        <f t="shared" si="41"/>
        <v>6.9087437698891137</v>
      </c>
      <c r="S107" s="88">
        <f t="shared" si="42"/>
        <v>0.01</v>
      </c>
      <c r="T107" s="33">
        <f t="shared" si="43"/>
        <v>499183</v>
      </c>
      <c r="U107" s="9">
        <f t="shared" si="44"/>
        <v>0</v>
      </c>
      <c r="V107" s="9">
        <f t="shared" si="30"/>
        <v>0</v>
      </c>
      <c r="W107" s="9">
        <f t="shared" si="45"/>
        <v>0</v>
      </c>
      <c r="X107" s="127">
        <f>MIN(H107*parameters!C$22,ROUND(P107+T107-V107+W107,0))</f>
        <v>52863451</v>
      </c>
      <c r="Y107" s="94">
        <f t="shared" si="46"/>
        <v>74.948990233166469</v>
      </c>
      <c r="AA107" s="33">
        <f t="shared" si="47"/>
        <v>-4873669</v>
      </c>
      <c r="AB107" s="33">
        <f t="shared" si="48"/>
        <v>-4374486</v>
      </c>
      <c r="AC107" s="33">
        <f t="shared" si="49"/>
        <v>0</v>
      </c>
      <c r="AD107" s="57">
        <f t="shared" si="50"/>
        <v>-6.2010097668335362</v>
      </c>
      <c r="AG107" s="609" t="str">
        <f t="shared" si="51"/>
        <v>101</v>
      </c>
      <c r="AH107" s="388" t="str">
        <f t="shared" si="52"/>
        <v>Franklin</v>
      </c>
      <c r="AI107" s="380">
        <f t="shared" si="53"/>
        <v>0.8115106940671728</v>
      </c>
      <c r="AJ107" s="381">
        <f t="shared" si="31"/>
        <v>81.150000000000006</v>
      </c>
      <c r="AK107" s="380">
        <f t="shared" si="54"/>
        <v>4.9000000000000002E-2</v>
      </c>
      <c r="AL107" s="9">
        <f t="shared" si="32"/>
        <v>52863451</v>
      </c>
      <c r="AM107" s="57">
        <f t="shared" si="55"/>
        <v>-6.2010097668335362</v>
      </c>
    </row>
    <row r="108" spans="1:39" ht="12.75" customHeight="1">
      <c r="A108" s="6">
        <v>102</v>
      </c>
      <c r="B108" s="6" t="s">
        <v>783</v>
      </c>
      <c r="C108" s="81">
        <v>1813071700</v>
      </c>
      <c r="D108" s="81">
        <f t="shared" si="33"/>
        <v>7081147.5238978444</v>
      </c>
      <c r="E108" s="8">
        <v>424218000</v>
      </c>
      <c r="F108" s="81">
        <f t="shared" si="56"/>
        <v>6071365.8149764827</v>
      </c>
      <c r="G108" s="81">
        <f t="shared" si="34"/>
        <v>13152513</v>
      </c>
      <c r="H108" s="127">
        <f t="shared" si="35"/>
        <v>16716218.165564645</v>
      </c>
      <c r="I108" s="347">
        <f t="shared" si="36"/>
        <v>0.78681151859420773</v>
      </c>
      <c r="J108" s="33">
        <f t="shared" si="29"/>
        <v>13790880</v>
      </c>
      <c r="K108" s="33">
        <f t="shared" si="37"/>
        <v>13152513</v>
      </c>
      <c r="L108" s="126">
        <f t="shared" si="38"/>
        <v>78.680000000000007</v>
      </c>
      <c r="M108" s="470"/>
      <c r="N108" s="128">
        <v>11618817</v>
      </c>
      <c r="O108" s="449">
        <v>3.8699999999999998E-2</v>
      </c>
      <c r="P108" s="33">
        <f t="shared" si="39"/>
        <v>12068465</v>
      </c>
      <c r="Q108" s="57">
        <f t="shared" si="40"/>
        <v>72.196144369908964</v>
      </c>
      <c r="R108" s="57">
        <f t="shared" si="41"/>
        <v>6.4838556300910426</v>
      </c>
      <c r="S108" s="88">
        <f t="shared" si="42"/>
        <v>0.01</v>
      </c>
      <c r="T108" s="33">
        <f t="shared" si="43"/>
        <v>116188</v>
      </c>
      <c r="U108" s="9">
        <f t="shared" si="44"/>
        <v>0</v>
      </c>
      <c r="V108" s="9">
        <f t="shared" si="30"/>
        <v>0</v>
      </c>
      <c r="W108" s="9">
        <f t="shared" si="45"/>
        <v>0</v>
      </c>
      <c r="X108" s="127">
        <f>MIN(H108*parameters!C$22,ROUND(P108+T108-V108+W108,0))</f>
        <v>12184653</v>
      </c>
      <c r="Y108" s="94">
        <f t="shared" si="46"/>
        <v>72.891205889501649</v>
      </c>
      <c r="AA108" s="33">
        <f t="shared" si="47"/>
        <v>-1084048</v>
      </c>
      <c r="AB108" s="33">
        <f t="shared" si="48"/>
        <v>-967860</v>
      </c>
      <c r="AC108" s="33">
        <f t="shared" si="49"/>
        <v>0</v>
      </c>
      <c r="AD108" s="57">
        <f t="shared" si="50"/>
        <v>-5.7887941104983582</v>
      </c>
      <c r="AG108" s="609" t="str">
        <f t="shared" si="51"/>
        <v>102</v>
      </c>
      <c r="AH108" s="388" t="str">
        <f t="shared" si="52"/>
        <v>Freetown</v>
      </c>
      <c r="AI108" s="380">
        <f t="shared" si="53"/>
        <v>0.78681151859420773</v>
      </c>
      <c r="AJ108" s="381">
        <f t="shared" si="31"/>
        <v>78.680000000000007</v>
      </c>
      <c r="AK108" s="380">
        <f t="shared" si="54"/>
        <v>3.8699999999999998E-2</v>
      </c>
      <c r="AL108" s="9">
        <f t="shared" si="32"/>
        <v>12184653</v>
      </c>
      <c r="AM108" s="57">
        <f t="shared" si="55"/>
        <v>-5.7887941104983582</v>
      </c>
    </row>
    <row r="109" spans="1:39" ht="12.75" customHeight="1">
      <c r="A109" s="6">
        <v>103</v>
      </c>
      <c r="B109" s="6" t="s">
        <v>784</v>
      </c>
      <c r="C109" s="81">
        <v>1722018500</v>
      </c>
      <c r="D109" s="81">
        <f t="shared" si="33"/>
        <v>6725529.4081206378</v>
      </c>
      <c r="E109" s="8">
        <v>538929000</v>
      </c>
      <c r="F109" s="81">
        <f t="shared" si="56"/>
        <v>7713098.2355757197</v>
      </c>
      <c r="G109" s="81">
        <f t="shared" si="34"/>
        <v>14438628</v>
      </c>
      <c r="H109" s="127">
        <f t="shared" si="35"/>
        <v>44949886.038973562</v>
      </c>
      <c r="I109" s="347">
        <f t="shared" si="36"/>
        <v>0.32121612026960566</v>
      </c>
      <c r="J109" s="33">
        <f t="shared" si="29"/>
        <v>37083656</v>
      </c>
      <c r="K109" s="33">
        <f t="shared" si="37"/>
        <v>14438628</v>
      </c>
      <c r="L109" s="126">
        <f t="shared" si="38"/>
        <v>32.119999999999997</v>
      </c>
      <c r="M109" s="470"/>
      <c r="N109" s="128">
        <v>12277046</v>
      </c>
      <c r="O109" s="449">
        <v>3.85E-2</v>
      </c>
      <c r="P109" s="33">
        <f t="shared" si="39"/>
        <v>12749712</v>
      </c>
      <c r="Q109" s="57">
        <f t="shared" si="40"/>
        <v>28.364281032760417</v>
      </c>
      <c r="R109" s="57">
        <f t="shared" si="41"/>
        <v>3.7557189672395808</v>
      </c>
      <c r="S109" s="88">
        <f t="shared" si="42"/>
        <v>0.01</v>
      </c>
      <c r="T109" s="33">
        <f t="shared" si="43"/>
        <v>122770</v>
      </c>
      <c r="U109" s="9">
        <f t="shared" si="44"/>
        <v>0</v>
      </c>
      <c r="V109" s="9">
        <f t="shared" si="30"/>
        <v>0</v>
      </c>
      <c r="W109" s="9">
        <f t="shared" si="45"/>
        <v>0</v>
      </c>
      <c r="X109" s="127">
        <f>MIN(H109*parameters!C$22,ROUND(P109+T109-V109+W109,0))</f>
        <v>12872482</v>
      </c>
      <c r="Y109" s="94">
        <f t="shared" si="46"/>
        <v>28.63740742043035</v>
      </c>
      <c r="AA109" s="33">
        <f t="shared" si="47"/>
        <v>-1688916</v>
      </c>
      <c r="AB109" s="33">
        <f t="shared" si="48"/>
        <v>-1566146</v>
      </c>
      <c r="AC109" s="33">
        <f t="shared" si="49"/>
        <v>0</v>
      </c>
      <c r="AD109" s="57">
        <f t="shared" si="50"/>
        <v>-3.4825925795696477</v>
      </c>
      <c r="AG109" s="609" t="str">
        <f t="shared" si="51"/>
        <v>103</v>
      </c>
      <c r="AH109" s="388" t="str">
        <f t="shared" si="52"/>
        <v>Gardner</v>
      </c>
      <c r="AI109" s="380">
        <f t="shared" si="53"/>
        <v>0.32121612026960566</v>
      </c>
      <c r="AJ109" s="381">
        <f t="shared" si="31"/>
        <v>32.119999999999997</v>
      </c>
      <c r="AK109" s="380">
        <f t="shared" si="54"/>
        <v>3.85E-2</v>
      </c>
      <c r="AL109" s="9">
        <f t="shared" si="32"/>
        <v>12872482</v>
      </c>
      <c r="AM109" s="57">
        <f t="shared" si="55"/>
        <v>-3.4825925795696477</v>
      </c>
    </row>
    <row r="110" spans="1:39" ht="12.75" customHeight="1">
      <c r="A110" s="6">
        <v>104</v>
      </c>
      <c r="B110" s="6" t="s">
        <v>785</v>
      </c>
      <c r="C110" s="81">
        <v>860784100</v>
      </c>
      <c r="D110" s="81">
        <f t="shared" si="33"/>
        <v>3361885.3563957973</v>
      </c>
      <c r="E110" s="8">
        <v>28945000</v>
      </c>
      <c r="F110" s="81">
        <f t="shared" si="56"/>
        <v>414257.96056389471</v>
      </c>
      <c r="G110" s="81">
        <f t="shared" si="34"/>
        <v>3776143</v>
      </c>
      <c r="H110" s="127">
        <f t="shared" si="35"/>
        <v>843545.4816510072</v>
      </c>
      <c r="I110" s="347">
        <f t="shared" si="36"/>
        <v>4.4765138124019623</v>
      </c>
      <c r="J110" s="33">
        <f t="shared" si="29"/>
        <v>695925</v>
      </c>
      <c r="K110" s="33">
        <f t="shared" si="37"/>
        <v>695925</v>
      </c>
      <c r="L110" s="126">
        <f t="shared" si="38"/>
        <v>82.5</v>
      </c>
      <c r="M110" s="470"/>
      <c r="N110" s="128">
        <v>730251</v>
      </c>
      <c r="O110" s="449">
        <v>4.130000000000001E-2</v>
      </c>
      <c r="P110" s="33">
        <f t="shared" si="39"/>
        <v>760410</v>
      </c>
      <c r="Q110" s="57">
        <f t="shared" si="40"/>
        <v>90.144516987004366</v>
      </c>
      <c r="R110" s="57">
        <f t="shared" si="41"/>
        <v>0</v>
      </c>
      <c r="S110" s="88">
        <f t="shared" si="42"/>
        <v>0</v>
      </c>
      <c r="T110" s="33">
        <f t="shared" si="43"/>
        <v>0</v>
      </c>
      <c r="U110" s="9">
        <f t="shared" si="44"/>
        <v>64485</v>
      </c>
      <c r="V110" s="9">
        <f t="shared" si="30"/>
        <v>64485</v>
      </c>
      <c r="W110" s="9">
        <f t="shared" si="45"/>
        <v>0</v>
      </c>
      <c r="X110" s="127">
        <f>MIN(H110*parameters!C$22,ROUND(P110+T110-V110+W110,0))</f>
        <v>695925</v>
      </c>
      <c r="Y110" s="94">
        <f t="shared" si="46"/>
        <v>82.499997349036718</v>
      </c>
      <c r="AA110" s="33">
        <f t="shared" si="47"/>
        <v>0</v>
      </c>
      <c r="AB110" s="33">
        <f t="shared" si="48"/>
        <v>0</v>
      </c>
      <c r="AC110" s="33">
        <f t="shared" si="49"/>
        <v>0</v>
      </c>
      <c r="AD110" s="57">
        <f t="shared" si="50"/>
        <v>-2.650963281780605E-6</v>
      </c>
      <c r="AG110" s="609" t="str">
        <f t="shared" si="51"/>
        <v>104</v>
      </c>
      <c r="AH110" s="388" t="str">
        <f t="shared" si="52"/>
        <v>Aquinnah</v>
      </c>
      <c r="AI110" s="380">
        <f t="shared" si="53"/>
        <v>4.4765138124019623</v>
      </c>
      <c r="AJ110" s="381">
        <f t="shared" si="31"/>
        <v>82.5</v>
      </c>
      <c r="AK110" s="380">
        <f t="shared" si="54"/>
        <v>4.130000000000001E-2</v>
      </c>
      <c r="AL110" s="9">
        <f t="shared" si="32"/>
        <v>695925</v>
      </c>
      <c r="AM110" s="57">
        <f t="shared" si="55"/>
        <v>-2.650963281780605E-6</v>
      </c>
    </row>
    <row r="111" spans="1:39" ht="12.75" customHeight="1">
      <c r="A111" s="6">
        <v>105</v>
      </c>
      <c r="B111" s="6" t="s">
        <v>786</v>
      </c>
      <c r="C111" s="81">
        <v>1648088700</v>
      </c>
      <c r="D111" s="81">
        <f t="shared" si="33"/>
        <v>6436788.582144334</v>
      </c>
      <c r="E111" s="8">
        <v>522538000</v>
      </c>
      <c r="F111" s="81">
        <f t="shared" si="56"/>
        <v>7478511.8741453243</v>
      </c>
      <c r="G111" s="81">
        <f t="shared" si="34"/>
        <v>13915300</v>
      </c>
      <c r="H111" s="127">
        <f t="shared" si="35"/>
        <v>16399936.246032229</v>
      </c>
      <c r="I111" s="347">
        <f t="shared" si="36"/>
        <v>0.8484972009184879</v>
      </c>
      <c r="J111" s="33">
        <f t="shared" si="29"/>
        <v>13529947</v>
      </c>
      <c r="K111" s="33">
        <f t="shared" si="37"/>
        <v>13529947</v>
      </c>
      <c r="L111" s="126">
        <f t="shared" si="38"/>
        <v>82.5</v>
      </c>
      <c r="M111" s="470"/>
      <c r="N111" s="128">
        <v>12244676</v>
      </c>
      <c r="O111" s="449">
        <v>4.9399999999999993E-2</v>
      </c>
      <c r="P111" s="33">
        <f t="shared" si="39"/>
        <v>12849563</v>
      </c>
      <c r="Q111" s="57">
        <f t="shared" si="40"/>
        <v>78.351298488180404</v>
      </c>
      <c r="R111" s="57">
        <f t="shared" si="41"/>
        <v>4.1487015118195956</v>
      </c>
      <c r="S111" s="88">
        <f t="shared" si="42"/>
        <v>0.01</v>
      </c>
      <c r="T111" s="33">
        <f t="shared" si="43"/>
        <v>122447</v>
      </c>
      <c r="U111" s="9">
        <f t="shared" si="44"/>
        <v>0</v>
      </c>
      <c r="V111" s="9">
        <f t="shared" si="30"/>
        <v>0</v>
      </c>
      <c r="W111" s="9">
        <f t="shared" si="45"/>
        <v>0</v>
      </c>
      <c r="X111" s="127">
        <f>MIN(H111*parameters!C$22,ROUND(P111+T111-V111+W111,0))</f>
        <v>12972010</v>
      </c>
      <c r="Y111" s="94">
        <f t="shared" si="46"/>
        <v>79.097929439441728</v>
      </c>
      <c r="AA111" s="33">
        <f t="shared" si="47"/>
        <v>-680384</v>
      </c>
      <c r="AB111" s="33">
        <f t="shared" si="48"/>
        <v>-557937</v>
      </c>
      <c r="AC111" s="33">
        <f t="shared" si="49"/>
        <v>0</v>
      </c>
      <c r="AD111" s="57">
        <f t="shared" si="50"/>
        <v>-3.4020705605582719</v>
      </c>
      <c r="AG111" s="609" t="str">
        <f t="shared" si="51"/>
        <v>105</v>
      </c>
      <c r="AH111" s="388" t="str">
        <f t="shared" si="52"/>
        <v>Georgetown</v>
      </c>
      <c r="AI111" s="380">
        <f t="shared" si="53"/>
        <v>0.8484972009184879</v>
      </c>
      <c r="AJ111" s="381">
        <f t="shared" si="31"/>
        <v>82.5</v>
      </c>
      <c r="AK111" s="380">
        <f t="shared" si="54"/>
        <v>4.9399999999999993E-2</v>
      </c>
      <c r="AL111" s="9">
        <f t="shared" si="32"/>
        <v>12972010</v>
      </c>
      <c r="AM111" s="57">
        <f t="shared" si="55"/>
        <v>-3.4020705605582719</v>
      </c>
    </row>
    <row r="112" spans="1:39" ht="12.75" customHeight="1">
      <c r="A112" s="6">
        <v>106</v>
      </c>
      <c r="B112" s="6" t="s">
        <v>787</v>
      </c>
      <c r="C112" s="81">
        <v>183855300</v>
      </c>
      <c r="D112" s="81">
        <f t="shared" si="33"/>
        <v>718066.74956676853</v>
      </c>
      <c r="E112" s="8">
        <v>43933000</v>
      </c>
      <c r="F112" s="81">
        <f t="shared" si="56"/>
        <v>628764.72556412453</v>
      </c>
      <c r="G112" s="81">
        <f t="shared" si="34"/>
        <v>1346831</v>
      </c>
      <c r="H112" s="127">
        <f t="shared" si="35"/>
        <v>1901189.4234480888</v>
      </c>
      <c r="I112" s="347">
        <f t="shared" si="36"/>
        <v>0.70841494455472109</v>
      </c>
      <c r="J112" s="33">
        <f t="shared" si="29"/>
        <v>1568481</v>
      </c>
      <c r="K112" s="33">
        <f t="shared" si="37"/>
        <v>1346831</v>
      </c>
      <c r="L112" s="126">
        <f t="shared" si="38"/>
        <v>70.84</v>
      </c>
      <c r="M112" s="470"/>
      <c r="N112" s="128">
        <v>1215815</v>
      </c>
      <c r="O112" s="449">
        <v>3.4500000000000003E-2</v>
      </c>
      <c r="P112" s="33">
        <f t="shared" si="39"/>
        <v>1257761</v>
      </c>
      <c r="Q112" s="57">
        <f t="shared" si="40"/>
        <v>66.156532562592531</v>
      </c>
      <c r="R112" s="57">
        <f t="shared" si="41"/>
        <v>4.6834674374074723</v>
      </c>
      <c r="S112" s="88">
        <f t="shared" si="42"/>
        <v>0.01</v>
      </c>
      <c r="T112" s="33">
        <f t="shared" si="43"/>
        <v>12158</v>
      </c>
      <c r="U112" s="9">
        <f t="shared" si="44"/>
        <v>0</v>
      </c>
      <c r="V112" s="9">
        <f t="shared" si="30"/>
        <v>0</v>
      </c>
      <c r="W112" s="9">
        <f t="shared" si="45"/>
        <v>0</v>
      </c>
      <c r="X112" s="127">
        <f>MIN(H112*parameters!C$22,ROUND(P112+T112-V112+W112,0))</f>
        <v>1269919</v>
      </c>
      <c r="Y112" s="94">
        <f t="shared" si="46"/>
        <v>66.796026968044757</v>
      </c>
      <c r="AA112" s="33">
        <f t="shared" si="47"/>
        <v>-89070</v>
      </c>
      <c r="AB112" s="33">
        <f t="shared" si="48"/>
        <v>-76912</v>
      </c>
      <c r="AC112" s="33">
        <f t="shared" si="49"/>
        <v>0</v>
      </c>
      <c r="AD112" s="57">
        <f t="shared" si="50"/>
        <v>-4.0439730319552467</v>
      </c>
      <c r="AG112" s="609" t="str">
        <f t="shared" si="51"/>
        <v>106</v>
      </c>
      <c r="AH112" s="388" t="str">
        <f t="shared" si="52"/>
        <v>Gill</v>
      </c>
      <c r="AI112" s="380">
        <f t="shared" si="53"/>
        <v>0.70841494455472109</v>
      </c>
      <c r="AJ112" s="381">
        <f t="shared" si="31"/>
        <v>70.84</v>
      </c>
      <c r="AK112" s="380">
        <f t="shared" si="54"/>
        <v>3.4500000000000003E-2</v>
      </c>
      <c r="AL112" s="9">
        <f t="shared" si="32"/>
        <v>1269919</v>
      </c>
      <c r="AM112" s="57">
        <f t="shared" si="55"/>
        <v>-4.0439730319552467</v>
      </c>
    </row>
    <row r="113" spans="1:39" ht="12.75" customHeight="1">
      <c r="A113" s="6">
        <v>107</v>
      </c>
      <c r="B113" s="6" t="s">
        <v>788</v>
      </c>
      <c r="C113" s="81">
        <v>8654554400</v>
      </c>
      <c r="D113" s="81">
        <f t="shared" si="33"/>
        <v>33801297.797543906</v>
      </c>
      <c r="E113" s="8">
        <v>1755446000</v>
      </c>
      <c r="F113" s="81">
        <f t="shared" si="56"/>
        <v>25123768.520989694</v>
      </c>
      <c r="G113" s="81">
        <f t="shared" si="34"/>
        <v>58925066</v>
      </c>
      <c r="H113" s="127">
        <f t="shared" si="35"/>
        <v>51373399.516618073</v>
      </c>
      <c r="I113" s="347">
        <f t="shared" si="36"/>
        <v>1.1469956544522451</v>
      </c>
      <c r="J113" s="33">
        <f t="shared" si="29"/>
        <v>42383055</v>
      </c>
      <c r="K113" s="33">
        <f t="shared" si="37"/>
        <v>42383055</v>
      </c>
      <c r="L113" s="126">
        <f t="shared" si="38"/>
        <v>82.5</v>
      </c>
      <c r="M113" s="470"/>
      <c r="N113" s="128">
        <v>37316013</v>
      </c>
      <c r="O113" s="449">
        <v>4.0199999999999993E-2</v>
      </c>
      <c r="P113" s="33">
        <f t="shared" si="39"/>
        <v>38816117</v>
      </c>
      <c r="Q113" s="57">
        <f t="shared" si="40"/>
        <v>75.556839464057475</v>
      </c>
      <c r="R113" s="57">
        <f t="shared" si="41"/>
        <v>6.9431605359425248</v>
      </c>
      <c r="S113" s="88">
        <f t="shared" si="42"/>
        <v>0.01</v>
      </c>
      <c r="T113" s="33">
        <f t="shared" si="43"/>
        <v>373160</v>
      </c>
      <c r="U113" s="9">
        <f t="shared" si="44"/>
        <v>0</v>
      </c>
      <c r="V113" s="9">
        <f t="shared" si="30"/>
        <v>0</v>
      </c>
      <c r="W113" s="9">
        <f t="shared" si="45"/>
        <v>0</v>
      </c>
      <c r="X113" s="127">
        <f>MIN(H113*parameters!C$22,ROUND(P113+T113-V113+W113,0))</f>
        <v>39189277</v>
      </c>
      <c r="Y113" s="94">
        <f t="shared" si="46"/>
        <v>76.28320759135903</v>
      </c>
      <c r="AA113" s="33">
        <f t="shared" si="47"/>
        <v>-3566938</v>
      </c>
      <c r="AB113" s="33">
        <f t="shared" si="48"/>
        <v>-3193778</v>
      </c>
      <c r="AC113" s="33">
        <f t="shared" si="49"/>
        <v>0</v>
      </c>
      <c r="AD113" s="57">
        <f t="shared" si="50"/>
        <v>-6.2167924086409698</v>
      </c>
      <c r="AG113" s="609" t="str">
        <f t="shared" si="51"/>
        <v>107</v>
      </c>
      <c r="AH113" s="388" t="str">
        <f t="shared" si="52"/>
        <v>Gloucester</v>
      </c>
      <c r="AI113" s="380">
        <f t="shared" si="53"/>
        <v>1.1469956544522451</v>
      </c>
      <c r="AJ113" s="381">
        <f t="shared" si="31"/>
        <v>82.5</v>
      </c>
      <c r="AK113" s="380">
        <f t="shared" si="54"/>
        <v>4.0199999999999993E-2</v>
      </c>
      <c r="AL113" s="9">
        <f t="shared" si="32"/>
        <v>39189277</v>
      </c>
      <c r="AM113" s="57">
        <f t="shared" si="55"/>
        <v>-6.2167924086409698</v>
      </c>
    </row>
    <row r="114" spans="1:39" ht="12.75" customHeight="1">
      <c r="A114" s="6">
        <v>108</v>
      </c>
      <c r="B114" s="6" t="s">
        <v>789</v>
      </c>
      <c r="C114" s="81">
        <v>175826700</v>
      </c>
      <c r="D114" s="81">
        <f t="shared" si="33"/>
        <v>686710.18434633838</v>
      </c>
      <c r="E114" s="8">
        <v>17600000</v>
      </c>
      <c r="F114" s="81">
        <f t="shared" si="56"/>
        <v>251889.4491595974</v>
      </c>
      <c r="G114" s="81">
        <f t="shared" si="34"/>
        <v>938600</v>
      </c>
      <c r="H114" s="127">
        <f t="shared" si="35"/>
        <v>1350599.7617951706</v>
      </c>
      <c r="I114" s="347">
        <f t="shared" si="36"/>
        <v>0.69495051498635341</v>
      </c>
      <c r="J114" s="33">
        <f t="shared" si="29"/>
        <v>1114245</v>
      </c>
      <c r="K114" s="33">
        <f t="shared" si="37"/>
        <v>938600</v>
      </c>
      <c r="L114" s="126">
        <f t="shared" si="38"/>
        <v>69.5</v>
      </c>
      <c r="M114" s="470"/>
      <c r="N114" s="128">
        <v>850119</v>
      </c>
      <c r="O114" s="449">
        <v>3.6499999999999998E-2</v>
      </c>
      <c r="P114" s="33">
        <f t="shared" si="39"/>
        <v>881148</v>
      </c>
      <c r="Q114" s="57">
        <f t="shared" si="40"/>
        <v>65.241237628296957</v>
      </c>
      <c r="R114" s="57">
        <f t="shared" si="41"/>
        <v>4.2587623717030425</v>
      </c>
      <c r="S114" s="88">
        <f t="shared" si="42"/>
        <v>0.01</v>
      </c>
      <c r="T114" s="33">
        <f t="shared" si="43"/>
        <v>8501</v>
      </c>
      <c r="U114" s="9">
        <f t="shared" si="44"/>
        <v>0</v>
      </c>
      <c r="V114" s="9">
        <f t="shared" si="30"/>
        <v>0</v>
      </c>
      <c r="W114" s="9">
        <f t="shared" si="45"/>
        <v>0</v>
      </c>
      <c r="X114" s="127">
        <f>MIN(H114*parameters!C$22,ROUND(P114+T114-V114+W114,0))</f>
        <v>889649</v>
      </c>
      <c r="Y114" s="94">
        <f t="shared" si="46"/>
        <v>65.870661699029867</v>
      </c>
      <c r="AA114" s="33">
        <f t="shared" si="47"/>
        <v>-57452</v>
      </c>
      <c r="AB114" s="33">
        <f t="shared" si="48"/>
        <v>-48951</v>
      </c>
      <c r="AC114" s="33">
        <f t="shared" si="49"/>
        <v>0</v>
      </c>
      <c r="AD114" s="57">
        <f t="shared" si="50"/>
        <v>-3.629338300970133</v>
      </c>
      <c r="AG114" s="609" t="str">
        <f t="shared" si="51"/>
        <v>108</v>
      </c>
      <c r="AH114" s="388" t="str">
        <f t="shared" si="52"/>
        <v>Goshen</v>
      </c>
      <c r="AI114" s="380">
        <f t="shared" si="53"/>
        <v>0.69495051498635341</v>
      </c>
      <c r="AJ114" s="381">
        <f t="shared" si="31"/>
        <v>69.5</v>
      </c>
      <c r="AK114" s="380">
        <f t="shared" si="54"/>
        <v>3.6499999999999998E-2</v>
      </c>
      <c r="AL114" s="9">
        <f t="shared" si="32"/>
        <v>889649</v>
      </c>
      <c r="AM114" s="57">
        <f t="shared" si="55"/>
        <v>-3.629338300970133</v>
      </c>
    </row>
    <row r="115" spans="1:39" ht="12.75" customHeight="1">
      <c r="A115" s="6">
        <v>109</v>
      </c>
      <c r="B115" s="6" t="s">
        <v>790</v>
      </c>
      <c r="C115" s="81">
        <v>238470900</v>
      </c>
      <c r="D115" s="81">
        <f t="shared" si="33"/>
        <v>931373.87950884143</v>
      </c>
      <c r="E115" s="8">
        <v>900000</v>
      </c>
      <c r="F115" s="81">
        <f t="shared" si="56"/>
        <v>12880.710468388503</v>
      </c>
      <c r="G115" s="81">
        <f t="shared" si="34"/>
        <v>944255</v>
      </c>
      <c r="H115" s="127">
        <f t="shared" si="35"/>
        <v>0</v>
      </c>
      <c r="I115" s="347">
        <f t="shared" si="36"/>
        <v>0</v>
      </c>
      <c r="J115" s="33">
        <f t="shared" si="29"/>
        <v>0</v>
      </c>
      <c r="K115" s="33">
        <f t="shared" si="37"/>
        <v>0</v>
      </c>
      <c r="L115" s="126">
        <f t="shared" si="38"/>
        <v>0</v>
      </c>
      <c r="M115" s="470"/>
      <c r="N115" s="128">
        <v>0</v>
      </c>
      <c r="O115" s="449">
        <v>4.53E-2</v>
      </c>
      <c r="P115" s="33">
        <f t="shared" si="39"/>
        <v>0</v>
      </c>
      <c r="Q115" s="57">
        <f t="shared" si="40"/>
        <v>0</v>
      </c>
      <c r="R115" s="57">
        <f t="shared" si="41"/>
        <v>0</v>
      </c>
      <c r="S115" s="88">
        <f t="shared" si="42"/>
        <v>0</v>
      </c>
      <c r="T115" s="33">
        <f t="shared" si="43"/>
        <v>0</v>
      </c>
      <c r="U115" s="9">
        <f t="shared" si="44"/>
        <v>0</v>
      </c>
      <c r="V115" s="9">
        <f t="shared" si="30"/>
        <v>0</v>
      </c>
      <c r="W115" s="9">
        <f t="shared" si="45"/>
        <v>0</v>
      </c>
      <c r="X115" s="127">
        <f>MIN(H115*parameters!C$22,ROUND(P115+T115-V115+W115,0))</f>
        <v>0</v>
      </c>
      <c r="Y115" s="94">
        <f t="shared" si="46"/>
        <v>0</v>
      </c>
      <c r="AA115" s="33">
        <f t="shared" si="47"/>
        <v>0</v>
      </c>
      <c r="AB115" s="33">
        <f t="shared" si="48"/>
        <v>0</v>
      </c>
      <c r="AC115" s="33">
        <f t="shared" si="49"/>
        <v>0</v>
      </c>
      <c r="AD115" s="57">
        <f t="shared" si="50"/>
        <v>0</v>
      </c>
      <c r="AG115" s="609" t="str">
        <f t="shared" si="51"/>
        <v>109</v>
      </c>
      <c r="AH115" s="388" t="str">
        <f t="shared" si="52"/>
        <v>Gosnold</v>
      </c>
      <c r="AI115" s="380">
        <f t="shared" si="53"/>
        <v>0</v>
      </c>
      <c r="AJ115" s="381">
        <f t="shared" si="31"/>
        <v>0</v>
      </c>
      <c r="AK115" s="380">
        <f t="shared" si="54"/>
        <v>4.53E-2</v>
      </c>
      <c r="AL115" s="9">
        <f t="shared" si="32"/>
        <v>0</v>
      </c>
      <c r="AM115" s="57">
        <f t="shared" si="55"/>
        <v>0</v>
      </c>
    </row>
    <row r="116" spans="1:39" ht="12.75" customHeight="1">
      <c r="A116" s="6">
        <v>110</v>
      </c>
      <c r="B116" s="6" t="s">
        <v>791</v>
      </c>
      <c r="C116" s="81">
        <v>3144522000</v>
      </c>
      <c r="D116" s="81">
        <f t="shared" si="33"/>
        <v>12281270.605096476</v>
      </c>
      <c r="E116" s="8">
        <v>1239803000</v>
      </c>
      <c r="F116" s="81">
        <f t="shared" si="56"/>
        <v>17743937.200932745</v>
      </c>
      <c r="G116" s="81">
        <f t="shared" si="34"/>
        <v>30025208</v>
      </c>
      <c r="H116" s="127">
        <f t="shared" si="35"/>
        <v>39122318.000414729</v>
      </c>
      <c r="I116" s="347">
        <f t="shared" si="36"/>
        <v>0.76747006656614025</v>
      </c>
      <c r="J116" s="33">
        <f t="shared" si="29"/>
        <v>32275912</v>
      </c>
      <c r="K116" s="33">
        <f t="shared" si="37"/>
        <v>30025208</v>
      </c>
      <c r="L116" s="126">
        <f t="shared" si="38"/>
        <v>76.75</v>
      </c>
      <c r="M116" s="470"/>
      <c r="N116" s="128">
        <v>25650988</v>
      </c>
      <c r="O116" s="449">
        <v>4.1099999999999998E-2</v>
      </c>
      <c r="P116" s="33">
        <f t="shared" si="39"/>
        <v>26705244</v>
      </c>
      <c r="Q116" s="57">
        <f t="shared" si="40"/>
        <v>68.260893947329251</v>
      </c>
      <c r="R116" s="57">
        <f t="shared" si="41"/>
        <v>8.4891060526707491</v>
      </c>
      <c r="S116" s="88">
        <f t="shared" si="42"/>
        <v>0.02</v>
      </c>
      <c r="T116" s="33">
        <f t="shared" si="43"/>
        <v>513020</v>
      </c>
      <c r="U116" s="9">
        <f t="shared" si="44"/>
        <v>0</v>
      </c>
      <c r="V116" s="9">
        <f t="shared" si="30"/>
        <v>0</v>
      </c>
      <c r="W116" s="9">
        <f t="shared" si="45"/>
        <v>0</v>
      </c>
      <c r="X116" s="127">
        <f>MIN(H116*parameters!C$22,ROUND(P116+T116-V116+W116,0))</f>
        <v>27218264</v>
      </c>
      <c r="Y116" s="94">
        <f t="shared" si="46"/>
        <v>69.572217064723674</v>
      </c>
      <c r="AA116" s="33">
        <f t="shared" si="47"/>
        <v>-3319964</v>
      </c>
      <c r="AB116" s="33">
        <f t="shared" si="48"/>
        <v>-2806944</v>
      </c>
      <c r="AC116" s="33">
        <f t="shared" si="49"/>
        <v>0</v>
      </c>
      <c r="AD116" s="57">
        <f t="shared" si="50"/>
        <v>-7.1777829352763263</v>
      </c>
      <c r="AG116" s="609" t="str">
        <f t="shared" si="51"/>
        <v>110</v>
      </c>
      <c r="AH116" s="388" t="str">
        <f t="shared" si="52"/>
        <v>Grafton</v>
      </c>
      <c r="AI116" s="380">
        <f t="shared" si="53"/>
        <v>0.76747006656614025</v>
      </c>
      <c r="AJ116" s="381">
        <f t="shared" si="31"/>
        <v>76.75</v>
      </c>
      <c r="AK116" s="380">
        <f t="shared" si="54"/>
        <v>4.1099999999999998E-2</v>
      </c>
      <c r="AL116" s="9">
        <f t="shared" si="32"/>
        <v>27218264</v>
      </c>
      <c r="AM116" s="57">
        <f t="shared" si="55"/>
        <v>-7.1777829352763263</v>
      </c>
    </row>
    <row r="117" spans="1:39" ht="12.75" customHeight="1">
      <c r="A117" s="6">
        <v>111</v>
      </c>
      <c r="B117" s="6" t="s">
        <v>792</v>
      </c>
      <c r="C117" s="81">
        <v>766960200</v>
      </c>
      <c r="D117" s="81">
        <f t="shared" si="33"/>
        <v>2995445.9722459931</v>
      </c>
      <c r="E117" s="8">
        <v>249386000</v>
      </c>
      <c r="F117" s="81">
        <f t="shared" si="56"/>
        <v>3569187.6231883727</v>
      </c>
      <c r="G117" s="81">
        <f t="shared" si="34"/>
        <v>6564634</v>
      </c>
      <c r="H117" s="127">
        <f t="shared" si="35"/>
        <v>10072212.115729321</v>
      </c>
      <c r="I117" s="347">
        <f t="shared" si="36"/>
        <v>0.65175692534793883</v>
      </c>
      <c r="J117" s="33">
        <f t="shared" si="29"/>
        <v>8309575</v>
      </c>
      <c r="K117" s="33">
        <f t="shared" si="37"/>
        <v>6564634</v>
      </c>
      <c r="L117" s="126">
        <f t="shared" si="38"/>
        <v>65.180000000000007</v>
      </c>
      <c r="M117" s="470"/>
      <c r="N117" s="128">
        <v>5880822</v>
      </c>
      <c r="O117" s="449">
        <v>3.9199999999999999E-2</v>
      </c>
      <c r="P117" s="33">
        <f t="shared" si="39"/>
        <v>6111350</v>
      </c>
      <c r="Q117" s="57">
        <f t="shared" si="40"/>
        <v>60.675350457087568</v>
      </c>
      <c r="R117" s="57">
        <f t="shared" si="41"/>
        <v>4.5046495429124391</v>
      </c>
      <c r="S117" s="88">
        <f t="shared" si="42"/>
        <v>0.01</v>
      </c>
      <c r="T117" s="33">
        <f t="shared" si="43"/>
        <v>58808</v>
      </c>
      <c r="U117" s="9">
        <f t="shared" si="44"/>
        <v>0</v>
      </c>
      <c r="V117" s="9">
        <f t="shared" si="30"/>
        <v>0</v>
      </c>
      <c r="W117" s="9">
        <f t="shared" si="45"/>
        <v>0</v>
      </c>
      <c r="X117" s="127">
        <f>MIN(H117*parameters!C$22,ROUND(P117+T117-V117+W117,0))</f>
        <v>6170158</v>
      </c>
      <c r="Y117" s="94">
        <f t="shared" si="46"/>
        <v>61.259214253086881</v>
      </c>
      <c r="AA117" s="33">
        <f t="shared" si="47"/>
        <v>-453284</v>
      </c>
      <c r="AB117" s="33">
        <f t="shared" si="48"/>
        <v>-394476</v>
      </c>
      <c r="AC117" s="33">
        <f t="shared" si="49"/>
        <v>0</v>
      </c>
      <c r="AD117" s="57">
        <f t="shared" si="50"/>
        <v>-3.9207857469131255</v>
      </c>
      <c r="AG117" s="609" t="str">
        <f t="shared" si="51"/>
        <v>111</v>
      </c>
      <c r="AH117" s="388" t="str">
        <f t="shared" si="52"/>
        <v>Granby</v>
      </c>
      <c r="AI117" s="380">
        <f t="shared" si="53"/>
        <v>0.65175692534793883</v>
      </c>
      <c r="AJ117" s="381">
        <f t="shared" si="31"/>
        <v>65.180000000000007</v>
      </c>
      <c r="AK117" s="380">
        <f t="shared" si="54"/>
        <v>3.9199999999999999E-2</v>
      </c>
      <c r="AL117" s="9">
        <f t="shared" si="32"/>
        <v>6170158</v>
      </c>
      <c r="AM117" s="57">
        <f t="shared" si="55"/>
        <v>-3.9207857469131255</v>
      </c>
    </row>
    <row r="118" spans="1:39" ht="12.75" customHeight="1">
      <c r="A118" s="6">
        <v>112</v>
      </c>
      <c r="B118" s="6" t="s">
        <v>793</v>
      </c>
      <c r="C118" s="81">
        <v>236031700</v>
      </c>
      <c r="D118" s="81">
        <f t="shared" si="33"/>
        <v>921847.32022258069</v>
      </c>
      <c r="E118" s="8">
        <v>64167000</v>
      </c>
      <c r="F118" s="81">
        <f t="shared" si="56"/>
        <v>918351.72069453902</v>
      </c>
      <c r="G118" s="81">
        <f t="shared" si="34"/>
        <v>1840199</v>
      </c>
      <c r="H118" s="127">
        <f t="shared" si="35"/>
        <v>2355149.3271885165</v>
      </c>
      <c r="I118" s="347">
        <f t="shared" si="36"/>
        <v>0.78135130488594384</v>
      </c>
      <c r="J118" s="33">
        <f t="shared" si="29"/>
        <v>1942998</v>
      </c>
      <c r="K118" s="33">
        <f t="shared" si="37"/>
        <v>1840199</v>
      </c>
      <c r="L118" s="126">
        <f t="shared" si="38"/>
        <v>78.14</v>
      </c>
      <c r="M118" s="470"/>
      <c r="N118" s="128">
        <v>1631275</v>
      </c>
      <c r="O118" s="449">
        <v>6.2300000000000001E-2</v>
      </c>
      <c r="P118" s="33">
        <f t="shared" si="39"/>
        <v>1732903</v>
      </c>
      <c r="Q118" s="57">
        <f t="shared" si="40"/>
        <v>73.579325947398445</v>
      </c>
      <c r="R118" s="57">
        <f t="shared" si="41"/>
        <v>4.5606740526015557</v>
      </c>
      <c r="S118" s="88">
        <f t="shared" si="42"/>
        <v>0.01</v>
      </c>
      <c r="T118" s="33">
        <f t="shared" si="43"/>
        <v>16313</v>
      </c>
      <c r="U118" s="9">
        <f t="shared" si="44"/>
        <v>0</v>
      </c>
      <c r="V118" s="9">
        <f t="shared" si="30"/>
        <v>0</v>
      </c>
      <c r="W118" s="9">
        <f t="shared" si="45"/>
        <v>0</v>
      </c>
      <c r="X118" s="127">
        <f>MIN(H118*parameters!C$22,ROUND(P118+T118-V118+W118,0))</f>
        <v>1749216</v>
      </c>
      <c r="Y118" s="94">
        <f t="shared" si="46"/>
        <v>74.271978417952141</v>
      </c>
      <c r="AA118" s="33">
        <f t="shared" si="47"/>
        <v>-107296</v>
      </c>
      <c r="AB118" s="33">
        <f t="shared" si="48"/>
        <v>-90983</v>
      </c>
      <c r="AC118" s="33">
        <f t="shared" si="49"/>
        <v>0</v>
      </c>
      <c r="AD118" s="57">
        <f t="shared" si="50"/>
        <v>-3.8680215820478594</v>
      </c>
      <c r="AG118" s="609" t="str">
        <f t="shared" si="51"/>
        <v>112</v>
      </c>
      <c r="AH118" s="388" t="str">
        <f t="shared" si="52"/>
        <v>Granville</v>
      </c>
      <c r="AI118" s="380">
        <f t="shared" si="53"/>
        <v>0.78135130488594384</v>
      </c>
      <c r="AJ118" s="381">
        <f t="shared" si="31"/>
        <v>78.14</v>
      </c>
      <c r="AK118" s="380">
        <f t="shared" si="54"/>
        <v>6.2300000000000001E-2</v>
      </c>
      <c r="AL118" s="9">
        <f t="shared" si="32"/>
        <v>1749216</v>
      </c>
      <c r="AM118" s="57">
        <f t="shared" si="55"/>
        <v>-3.8680215820478594</v>
      </c>
    </row>
    <row r="119" spans="1:39" ht="12.75" customHeight="1">
      <c r="A119" s="6">
        <v>113</v>
      </c>
      <c r="B119" s="6" t="s">
        <v>794</v>
      </c>
      <c r="C119" s="81">
        <v>1741152600</v>
      </c>
      <c r="D119" s="81">
        <f t="shared" si="33"/>
        <v>6800259.7041354142</v>
      </c>
      <c r="E119" s="8">
        <v>422825000</v>
      </c>
      <c r="F119" s="81">
        <f t="shared" si="56"/>
        <v>6051429.3375515211</v>
      </c>
      <c r="G119" s="81">
        <f t="shared" si="34"/>
        <v>12851689</v>
      </c>
      <c r="H119" s="127">
        <f t="shared" si="35"/>
        <v>11314564.987516483</v>
      </c>
      <c r="I119" s="347">
        <f t="shared" si="36"/>
        <v>1.1358535669890488</v>
      </c>
      <c r="J119" s="33">
        <f t="shared" si="29"/>
        <v>9334516</v>
      </c>
      <c r="K119" s="33">
        <f t="shared" si="37"/>
        <v>9334516</v>
      </c>
      <c r="L119" s="126">
        <f t="shared" si="38"/>
        <v>82.5</v>
      </c>
      <c r="M119" s="470"/>
      <c r="N119" s="128">
        <v>8090456</v>
      </c>
      <c r="O119" s="449">
        <v>4.2199999999999994E-2</v>
      </c>
      <c r="P119" s="33">
        <f t="shared" si="39"/>
        <v>8431873</v>
      </c>
      <c r="Q119" s="57">
        <f t="shared" si="40"/>
        <v>74.522290598913898</v>
      </c>
      <c r="R119" s="57">
        <f t="shared" si="41"/>
        <v>7.977709401086102</v>
      </c>
      <c r="S119" s="88">
        <f t="shared" si="42"/>
        <v>0.02</v>
      </c>
      <c r="T119" s="33">
        <f t="shared" si="43"/>
        <v>161809</v>
      </c>
      <c r="U119" s="9">
        <f t="shared" si="44"/>
        <v>0</v>
      </c>
      <c r="V119" s="9">
        <f t="shared" si="30"/>
        <v>0</v>
      </c>
      <c r="W119" s="9">
        <f t="shared" si="45"/>
        <v>0</v>
      </c>
      <c r="X119" s="127">
        <f>MIN(H119*parameters!C$22,ROUND(P119+T119-V119+W119,0))</f>
        <v>8593682</v>
      </c>
      <c r="Y119" s="94">
        <f t="shared" si="46"/>
        <v>75.952385350046853</v>
      </c>
      <c r="AA119" s="33">
        <f t="shared" si="47"/>
        <v>-902643</v>
      </c>
      <c r="AB119" s="33">
        <f t="shared" si="48"/>
        <v>-740834</v>
      </c>
      <c r="AC119" s="33">
        <f t="shared" si="49"/>
        <v>0</v>
      </c>
      <c r="AD119" s="57">
        <f t="shared" si="50"/>
        <v>-6.5476146499531467</v>
      </c>
      <c r="AG119" s="609" t="str">
        <f t="shared" si="51"/>
        <v>113</v>
      </c>
      <c r="AH119" s="388" t="str">
        <f t="shared" si="52"/>
        <v>Great Barrington</v>
      </c>
      <c r="AI119" s="380">
        <f t="shared" si="53"/>
        <v>1.1358535669890488</v>
      </c>
      <c r="AJ119" s="381">
        <f t="shared" si="31"/>
        <v>82.5</v>
      </c>
      <c r="AK119" s="380">
        <f t="shared" si="54"/>
        <v>4.2199999999999994E-2</v>
      </c>
      <c r="AL119" s="9">
        <f t="shared" si="32"/>
        <v>8593682</v>
      </c>
      <c r="AM119" s="57">
        <f t="shared" si="55"/>
        <v>-6.5476146499531467</v>
      </c>
    </row>
    <row r="120" spans="1:39" ht="12.75" customHeight="1">
      <c r="A120" s="6">
        <v>114</v>
      </c>
      <c r="B120" s="6" t="s">
        <v>795</v>
      </c>
      <c r="C120" s="81">
        <v>1751876500</v>
      </c>
      <c r="D120" s="81">
        <f t="shared" si="33"/>
        <v>6842143.054877433</v>
      </c>
      <c r="E120" s="8">
        <v>479053000</v>
      </c>
      <c r="F120" s="81">
        <f t="shared" si="56"/>
        <v>6856158.8800143534</v>
      </c>
      <c r="G120" s="81">
        <f t="shared" si="34"/>
        <v>13698302</v>
      </c>
      <c r="H120" s="127">
        <f t="shared" si="35"/>
        <v>30846065.586611994</v>
      </c>
      <c r="I120" s="347">
        <f t="shared" si="36"/>
        <v>0.44408587414614797</v>
      </c>
      <c r="J120" s="33">
        <f t="shared" si="29"/>
        <v>25448004</v>
      </c>
      <c r="K120" s="33">
        <f t="shared" si="37"/>
        <v>13698302</v>
      </c>
      <c r="L120" s="126">
        <f t="shared" si="38"/>
        <v>44.41</v>
      </c>
      <c r="M120" s="470"/>
      <c r="N120" s="128">
        <v>12106499</v>
      </c>
      <c r="O120" s="449">
        <v>3.4799999999999998E-2</v>
      </c>
      <c r="P120" s="33">
        <f t="shared" si="39"/>
        <v>12527805</v>
      </c>
      <c r="Q120" s="57">
        <f t="shared" si="40"/>
        <v>40.613947878777118</v>
      </c>
      <c r="R120" s="57">
        <f t="shared" si="41"/>
        <v>3.7960521212228784</v>
      </c>
      <c r="S120" s="88">
        <f t="shared" si="42"/>
        <v>0.01</v>
      </c>
      <c r="T120" s="33">
        <f t="shared" si="43"/>
        <v>121065</v>
      </c>
      <c r="U120" s="9">
        <f t="shared" si="44"/>
        <v>0</v>
      </c>
      <c r="V120" s="9">
        <f t="shared" si="30"/>
        <v>0</v>
      </c>
      <c r="W120" s="9">
        <f t="shared" si="45"/>
        <v>0</v>
      </c>
      <c r="X120" s="127">
        <f>MIN(H120*parameters!C$22,ROUND(P120+T120-V120+W120,0))</f>
        <v>12648870</v>
      </c>
      <c r="Y120" s="94">
        <f t="shared" si="46"/>
        <v>41.006429051651708</v>
      </c>
      <c r="AA120" s="33">
        <f t="shared" si="47"/>
        <v>-1170497</v>
      </c>
      <c r="AB120" s="33">
        <f t="shared" si="48"/>
        <v>-1049432</v>
      </c>
      <c r="AC120" s="33">
        <f t="shared" si="49"/>
        <v>0</v>
      </c>
      <c r="AD120" s="57">
        <f t="shared" si="50"/>
        <v>-3.403570948348289</v>
      </c>
      <c r="AG120" s="609" t="str">
        <f t="shared" si="51"/>
        <v>114</v>
      </c>
      <c r="AH120" s="388" t="str">
        <f t="shared" si="52"/>
        <v>Greenfield</v>
      </c>
      <c r="AI120" s="380">
        <f t="shared" si="53"/>
        <v>0.44408587414614797</v>
      </c>
      <c r="AJ120" s="381">
        <f t="shared" si="31"/>
        <v>44.41</v>
      </c>
      <c r="AK120" s="380">
        <f t="shared" si="54"/>
        <v>3.4799999999999998E-2</v>
      </c>
      <c r="AL120" s="9">
        <f t="shared" si="32"/>
        <v>12648870</v>
      </c>
      <c r="AM120" s="57">
        <f t="shared" si="55"/>
        <v>-3.403570948348289</v>
      </c>
    </row>
    <row r="121" spans="1:39" ht="12.75" customHeight="1">
      <c r="A121" s="6">
        <v>115</v>
      </c>
      <c r="B121" s="6" t="s">
        <v>796</v>
      </c>
      <c r="C121" s="81">
        <v>2199159100</v>
      </c>
      <c r="D121" s="81">
        <f t="shared" si="33"/>
        <v>8589053.6020293143</v>
      </c>
      <c r="E121" s="8">
        <v>977367000</v>
      </c>
      <c r="F121" s="81">
        <f t="shared" si="56"/>
        <v>13987979.275952742</v>
      </c>
      <c r="G121" s="81">
        <f t="shared" si="34"/>
        <v>22577033</v>
      </c>
      <c r="H121" s="127">
        <f t="shared" si="35"/>
        <v>22263668.330223288</v>
      </c>
      <c r="I121" s="347">
        <f t="shared" si="36"/>
        <v>1.0140751589149086</v>
      </c>
      <c r="J121" s="33">
        <f t="shared" si="29"/>
        <v>18367526</v>
      </c>
      <c r="K121" s="33">
        <f t="shared" si="37"/>
        <v>18367526</v>
      </c>
      <c r="L121" s="126">
        <f t="shared" si="38"/>
        <v>82.5</v>
      </c>
      <c r="M121" s="470"/>
      <c r="N121" s="128">
        <v>17524894</v>
      </c>
      <c r="O121" s="449">
        <v>4.6300000000000001E-2</v>
      </c>
      <c r="P121" s="33">
        <f t="shared" si="39"/>
        <v>18336297</v>
      </c>
      <c r="Q121" s="57">
        <f t="shared" si="40"/>
        <v>82.359729439142697</v>
      </c>
      <c r="R121" s="57">
        <f t="shared" si="41"/>
        <v>0.14027056085730294</v>
      </c>
      <c r="S121" s="88">
        <f t="shared" si="42"/>
        <v>0</v>
      </c>
      <c r="T121" s="33">
        <f t="shared" si="43"/>
        <v>0</v>
      </c>
      <c r="U121" s="9">
        <f t="shared" si="44"/>
        <v>0</v>
      </c>
      <c r="V121" s="9">
        <f t="shared" si="30"/>
        <v>0</v>
      </c>
      <c r="W121" s="9">
        <f t="shared" si="45"/>
        <v>0</v>
      </c>
      <c r="X121" s="127">
        <f>MIN(H121*parameters!C$22,ROUND(P121+T121-V121+W121,0))</f>
        <v>18336297</v>
      </c>
      <c r="Y121" s="94">
        <f t="shared" si="46"/>
        <v>82.359729439142697</v>
      </c>
      <c r="AA121" s="33">
        <f t="shared" si="47"/>
        <v>-31229</v>
      </c>
      <c r="AB121" s="33">
        <f t="shared" si="48"/>
        <v>-31229</v>
      </c>
      <c r="AC121" s="33">
        <f t="shared" si="49"/>
        <v>0</v>
      </c>
      <c r="AD121" s="57">
        <f t="shared" si="50"/>
        <v>-0.14027056085730294</v>
      </c>
      <c r="AG121" s="609" t="str">
        <f t="shared" si="51"/>
        <v>115</v>
      </c>
      <c r="AH121" s="388" t="str">
        <f t="shared" si="52"/>
        <v>Groton</v>
      </c>
      <c r="AI121" s="380">
        <f t="shared" si="53"/>
        <v>1.0140751589149086</v>
      </c>
      <c r="AJ121" s="381">
        <f t="shared" si="31"/>
        <v>82.5</v>
      </c>
      <c r="AK121" s="380">
        <f t="shared" si="54"/>
        <v>4.6300000000000001E-2</v>
      </c>
      <c r="AL121" s="9">
        <f t="shared" si="32"/>
        <v>18336297</v>
      </c>
      <c r="AM121" s="57">
        <f t="shared" si="55"/>
        <v>-0.14027056085730294</v>
      </c>
    </row>
    <row r="122" spans="1:39" ht="12.75" customHeight="1">
      <c r="A122" s="6">
        <v>116</v>
      </c>
      <c r="B122" s="6" t="s">
        <v>797</v>
      </c>
      <c r="C122" s="81">
        <v>1255397100</v>
      </c>
      <c r="D122" s="81">
        <f t="shared" si="33"/>
        <v>4903089.0869751777</v>
      </c>
      <c r="E122" s="8">
        <v>348319000</v>
      </c>
      <c r="F122" s="81">
        <f t="shared" si="56"/>
        <v>4985106.8773762388</v>
      </c>
      <c r="G122" s="81">
        <f t="shared" si="34"/>
        <v>9888196</v>
      </c>
      <c r="H122" s="127">
        <f t="shared" si="35"/>
        <v>12179566.213975755</v>
      </c>
      <c r="I122" s="347">
        <f t="shared" si="36"/>
        <v>0.81186766640781804</v>
      </c>
      <c r="J122" s="33">
        <f t="shared" si="29"/>
        <v>10048142</v>
      </c>
      <c r="K122" s="33">
        <f t="shared" si="37"/>
        <v>9888196</v>
      </c>
      <c r="L122" s="126">
        <f t="shared" si="38"/>
        <v>81.19</v>
      </c>
      <c r="M122" s="470"/>
      <c r="N122" s="128">
        <v>8476999</v>
      </c>
      <c r="O122" s="449">
        <v>2.4699999999999996E-2</v>
      </c>
      <c r="P122" s="33">
        <f t="shared" si="39"/>
        <v>8686381</v>
      </c>
      <c r="Q122" s="57">
        <f t="shared" si="40"/>
        <v>71.319296988037138</v>
      </c>
      <c r="R122" s="57">
        <f t="shared" si="41"/>
        <v>9.8707030119628598</v>
      </c>
      <c r="S122" s="88">
        <f t="shared" si="42"/>
        <v>0.02</v>
      </c>
      <c r="T122" s="33">
        <f t="shared" si="43"/>
        <v>169540</v>
      </c>
      <c r="U122" s="9">
        <f t="shared" si="44"/>
        <v>0</v>
      </c>
      <c r="V122" s="9">
        <f t="shared" si="30"/>
        <v>0</v>
      </c>
      <c r="W122" s="9">
        <f t="shared" si="45"/>
        <v>0</v>
      </c>
      <c r="X122" s="127">
        <f>MIN(H122*parameters!C$22,ROUND(P122+T122-V122+W122,0))</f>
        <v>8855921</v>
      </c>
      <c r="Y122" s="94">
        <f t="shared" si="46"/>
        <v>72.711300586699437</v>
      </c>
      <c r="AA122" s="33">
        <f t="shared" si="47"/>
        <v>-1201815</v>
      </c>
      <c r="AB122" s="33">
        <f t="shared" si="48"/>
        <v>-1032275</v>
      </c>
      <c r="AC122" s="33">
        <f t="shared" si="49"/>
        <v>0</v>
      </c>
      <c r="AD122" s="57">
        <f t="shared" si="50"/>
        <v>-8.4786994133005606</v>
      </c>
      <c r="AG122" s="609" t="str">
        <f t="shared" si="51"/>
        <v>116</v>
      </c>
      <c r="AH122" s="388" t="str">
        <f t="shared" si="52"/>
        <v>Groveland</v>
      </c>
      <c r="AI122" s="380">
        <f t="shared" si="53"/>
        <v>0.81186766640781804</v>
      </c>
      <c r="AJ122" s="381">
        <f t="shared" si="31"/>
        <v>81.19</v>
      </c>
      <c r="AK122" s="380">
        <f t="shared" si="54"/>
        <v>2.4699999999999996E-2</v>
      </c>
      <c r="AL122" s="9">
        <f t="shared" si="32"/>
        <v>8855921</v>
      </c>
      <c r="AM122" s="57">
        <f t="shared" si="55"/>
        <v>-8.4786994133005606</v>
      </c>
    </row>
    <row r="123" spans="1:39" ht="12.75" customHeight="1">
      <c r="A123" s="6">
        <v>117</v>
      </c>
      <c r="B123" s="6" t="s">
        <v>798</v>
      </c>
      <c r="C123" s="81">
        <v>1161298900</v>
      </c>
      <c r="D123" s="81">
        <f t="shared" si="33"/>
        <v>4535578.3945225608</v>
      </c>
      <c r="E123" s="8">
        <v>223907000</v>
      </c>
      <c r="F123" s="81">
        <f t="shared" si="56"/>
        <v>3204534.7098282939</v>
      </c>
      <c r="G123" s="81">
        <f t="shared" si="34"/>
        <v>7740113</v>
      </c>
      <c r="H123" s="127">
        <f t="shared" si="35"/>
        <v>6210751.3199999984</v>
      </c>
      <c r="I123" s="347">
        <f t="shared" si="36"/>
        <v>1.2462442305611428</v>
      </c>
      <c r="J123" s="33">
        <f t="shared" si="29"/>
        <v>5123870</v>
      </c>
      <c r="K123" s="33">
        <f t="shared" si="37"/>
        <v>5123870</v>
      </c>
      <c r="L123" s="126">
        <f t="shared" si="38"/>
        <v>82.5</v>
      </c>
      <c r="M123" s="470"/>
      <c r="N123" s="128">
        <v>5178613</v>
      </c>
      <c r="O123" s="449">
        <v>5.3699999999999998E-2</v>
      </c>
      <c r="P123" s="33">
        <f t="shared" si="39"/>
        <v>5456705</v>
      </c>
      <c r="Q123" s="57">
        <f t="shared" si="40"/>
        <v>87.859016065064438</v>
      </c>
      <c r="R123" s="57">
        <f t="shared" si="41"/>
        <v>0</v>
      </c>
      <c r="S123" s="88">
        <f t="shared" si="42"/>
        <v>0</v>
      </c>
      <c r="T123" s="33">
        <f t="shared" si="43"/>
        <v>0</v>
      </c>
      <c r="U123" s="9">
        <f t="shared" si="44"/>
        <v>332835</v>
      </c>
      <c r="V123" s="9">
        <f t="shared" si="30"/>
        <v>332835</v>
      </c>
      <c r="W123" s="9">
        <f t="shared" si="45"/>
        <v>0</v>
      </c>
      <c r="X123" s="127">
        <f>MIN(H123*parameters!C$22,ROUND(P123+T123-V123+W123,0))</f>
        <v>5123870</v>
      </c>
      <c r="Y123" s="94">
        <f t="shared" si="46"/>
        <v>82.500002592278989</v>
      </c>
      <c r="AA123" s="33">
        <f t="shared" si="47"/>
        <v>0</v>
      </c>
      <c r="AB123" s="33">
        <f t="shared" si="48"/>
        <v>0</v>
      </c>
      <c r="AC123" s="33">
        <f t="shared" si="49"/>
        <v>0</v>
      </c>
      <c r="AD123" s="57">
        <f t="shared" si="50"/>
        <v>2.5922789887999897E-6</v>
      </c>
      <c r="AG123" s="609" t="str">
        <f t="shared" si="51"/>
        <v>117</v>
      </c>
      <c r="AH123" s="388" t="str">
        <f t="shared" si="52"/>
        <v>Hadley</v>
      </c>
      <c r="AI123" s="380">
        <f t="shared" si="53"/>
        <v>1.2462442305611428</v>
      </c>
      <c r="AJ123" s="381">
        <f t="shared" si="31"/>
        <v>82.5</v>
      </c>
      <c r="AK123" s="380">
        <f t="shared" si="54"/>
        <v>5.3699999999999998E-2</v>
      </c>
      <c r="AL123" s="9">
        <f t="shared" si="32"/>
        <v>5123870</v>
      </c>
      <c r="AM123" s="57">
        <f t="shared" si="55"/>
        <v>2.5922789887999897E-6</v>
      </c>
    </row>
    <row r="124" spans="1:39" ht="12.75" customHeight="1">
      <c r="A124" s="6">
        <v>118</v>
      </c>
      <c r="B124" s="6" t="s">
        <v>799</v>
      </c>
      <c r="C124" s="81">
        <v>1210894200</v>
      </c>
      <c r="D124" s="81">
        <f t="shared" si="33"/>
        <v>4729278.2001022138</v>
      </c>
      <c r="E124" s="8">
        <v>320953000</v>
      </c>
      <c r="F124" s="81">
        <f t="shared" si="56"/>
        <v>4593447.4077341063</v>
      </c>
      <c r="G124" s="81">
        <f t="shared" si="34"/>
        <v>9322726</v>
      </c>
      <c r="H124" s="127">
        <f t="shared" si="35"/>
        <v>16031026.215436898</v>
      </c>
      <c r="I124" s="347">
        <f t="shared" si="36"/>
        <v>0.58154268321405311</v>
      </c>
      <c r="J124" s="33">
        <f t="shared" si="29"/>
        <v>13225597</v>
      </c>
      <c r="K124" s="33">
        <f t="shared" si="37"/>
        <v>9322726</v>
      </c>
      <c r="L124" s="126">
        <f t="shared" si="38"/>
        <v>58.15</v>
      </c>
      <c r="M124" s="470"/>
      <c r="N124" s="128">
        <v>8352708</v>
      </c>
      <c r="O124" s="449">
        <v>2.4899999999999999E-2</v>
      </c>
      <c r="P124" s="33">
        <f t="shared" si="39"/>
        <v>8560690</v>
      </c>
      <c r="Q124" s="57">
        <f t="shared" si="40"/>
        <v>53.400761030236346</v>
      </c>
      <c r="R124" s="57">
        <f t="shared" si="41"/>
        <v>4.7492389697636526</v>
      </c>
      <c r="S124" s="88">
        <f t="shared" si="42"/>
        <v>0.01</v>
      </c>
      <c r="T124" s="33">
        <f t="shared" si="43"/>
        <v>83527</v>
      </c>
      <c r="U124" s="9">
        <f t="shared" si="44"/>
        <v>0</v>
      </c>
      <c r="V124" s="9">
        <f t="shared" si="30"/>
        <v>0</v>
      </c>
      <c r="W124" s="9">
        <f t="shared" si="45"/>
        <v>0</v>
      </c>
      <c r="X124" s="127">
        <f>MIN(H124*parameters!C$22,ROUND(P124+T124-V124+W124,0))</f>
        <v>8644217</v>
      </c>
      <c r="Y124" s="94">
        <f t="shared" si="46"/>
        <v>53.921794424340391</v>
      </c>
      <c r="AA124" s="33">
        <f t="shared" si="47"/>
        <v>-762036</v>
      </c>
      <c r="AB124" s="33">
        <f t="shared" si="48"/>
        <v>-678509</v>
      </c>
      <c r="AC124" s="33">
        <f t="shared" si="49"/>
        <v>0</v>
      </c>
      <c r="AD124" s="57">
        <f t="shared" si="50"/>
        <v>-4.228205575659608</v>
      </c>
      <c r="AG124" s="609" t="str">
        <f t="shared" si="51"/>
        <v>118</v>
      </c>
      <c r="AH124" s="388" t="str">
        <f t="shared" si="52"/>
        <v>Halifax</v>
      </c>
      <c r="AI124" s="380">
        <f t="shared" si="53"/>
        <v>0.58154268321405311</v>
      </c>
      <c r="AJ124" s="381">
        <f t="shared" si="31"/>
        <v>58.15</v>
      </c>
      <c r="AK124" s="380">
        <f t="shared" si="54"/>
        <v>2.4899999999999999E-2</v>
      </c>
      <c r="AL124" s="9">
        <f t="shared" si="32"/>
        <v>8644217</v>
      </c>
      <c r="AM124" s="57">
        <f t="shared" si="55"/>
        <v>-4.228205575659608</v>
      </c>
    </row>
    <row r="125" spans="1:39" ht="12.75" customHeight="1">
      <c r="A125" s="6">
        <v>119</v>
      </c>
      <c r="B125" s="6" t="s">
        <v>800</v>
      </c>
      <c r="C125" s="81">
        <v>1912849100</v>
      </c>
      <c r="D125" s="81">
        <f t="shared" si="33"/>
        <v>7470838.9458923321</v>
      </c>
      <c r="E125" s="8">
        <v>808275000</v>
      </c>
      <c r="F125" s="81">
        <f t="shared" si="56"/>
        <v>11567951.393151909</v>
      </c>
      <c r="G125" s="81">
        <f t="shared" si="34"/>
        <v>19038790</v>
      </c>
      <c r="H125" s="127">
        <f t="shared" si="35"/>
        <v>13990537.50602692</v>
      </c>
      <c r="I125" s="347">
        <f t="shared" si="36"/>
        <v>1.360833348382674</v>
      </c>
      <c r="J125" s="33">
        <f t="shared" si="29"/>
        <v>11542193</v>
      </c>
      <c r="K125" s="33">
        <f t="shared" si="37"/>
        <v>11542193</v>
      </c>
      <c r="L125" s="126">
        <f t="shared" si="38"/>
        <v>82.5</v>
      </c>
      <c r="M125" s="470"/>
      <c r="N125" s="128">
        <v>10868465</v>
      </c>
      <c r="O125" s="449">
        <v>4.4799999999999993E-2</v>
      </c>
      <c r="P125" s="33">
        <f t="shared" si="39"/>
        <v>11355372</v>
      </c>
      <c r="Q125" s="57">
        <f t="shared" si="40"/>
        <v>81.164658578044424</v>
      </c>
      <c r="R125" s="57">
        <f t="shared" si="41"/>
        <v>1.3353414219555759</v>
      </c>
      <c r="S125" s="88">
        <f t="shared" si="42"/>
        <v>0</v>
      </c>
      <c r="T125" s="33">
        <f t="shared" si="43"/>
        <v>0</v>
      </c>
      <c r="U125" s="9">
        <f t="shared" si="44"/>
        <v>0</v>
      </c>
      <c r="V125" s="9">
        <f t="shared" si="30"/>
        <v>0</v>
      </c>
      <c r="W125" s="9">
        <f t="shared" si="45"/>
        <v>0</v>
      </c>
      <c r="X125" s="127">
        <f>MIN(H125*parameters!C$22,ROUND(P125+T125-V125+W125,0))</f>
        <v>11355372</v>
      </c>
      <c r="Y125" s="94">
        <f t="shared" si="46"/>
        <v>81.164658578044424</v>
      </c>
      <c r="AA125" s="33">
        <f t="shared" si="47"/>
        <v>-186821</v>
      </c>
      <c r="AB125" s="33">
        <f t="shared" si="48"/>
        <v>-186821</v>
      </c>
      <c r="AC125" s="33">
        <f t="shared" si="49"/>
        <v>0</v>
      </c>
      <c r="AD125" s="57">
        <f t="shared" si="50"/>
        <v>-1.3353414219555759</v>
      </c>
      <c r="AG125" s="609" t="str">
        <f t="shared" si="51"/>
        <v>119</v>
      </c>
      <c r="AH125" s="388" t="str">
        <f t="shared" si="52"/>
        <v>Hamilton</v>
      </c>
      <c r="AI125" s="380">
        <f t="shared" si="53"/>
        <v>1.360833348382674</v>
      </c>
      <c r="AJ125" s="381">
        <f t="shared" si="31"/>
        <v>82.5</v>
      </c>
      <c r="AK125" s="380">
        <f t="shared" si="54"/>
        <v>4.4799999999999993E-2</v>
      </c>
      <c r="AL125" s="9">
        <f t="shared" si="32"/>
        <v>11355372</v>
      </c>
      <c r="AM125" s="57">
        <f t="shared" si="55"/>
        <v>-1.3353414219555759</v>
      </c>
    </row>
    <row r="126" spans="1:39" ht="12.75" customHeight="1">
      <c r="A126" s="6">
        <v>120</v>
      </c>
      <c r="B126" s="6" t="s">
        <v>801</v>
      </c>
      <c r="C126" s="81">
        <v>758719700</v>
      </c>
      <c r="D126" s="81">
        <f t="shared" si="33"/>
        <v>2963261.8086684132</v>
      </c>
      <c r="E126" s="8">
        <v>261909000</v>
      </c>
      <c r="F126" s="81">
        <f t="shared" si="56"/>
        <v>3748415.5534057384</v>
      </c>
      <c r="G126" s="81">
        <f t="shared" si="34"/>
        <v>6711677</v>
      </c>
      <c r="H126" s="127">
        <f t="shared" si="35"/>
        <v>7149072.5503649637</v>
      </c>
      <c r="I126" s="347">
        <f t="shared" si="36"/>
        <v>0.93881786101854081</v>
      </c>
      <c r="J126" s="33">
        <f t="shared" si="29"/>
        <v>5897985</v>
      </c>
      <c r="K126" s="33">
        <f t="shared" si="37"/>
        <v>5897985</v>
      </c>
      <c r="L126" s="126">
        <f t="shared" si="38"/>
        <v>82.5</v>
      </c>
      <c r="M126" s="470"/>
      <c r="N126" s="128">
        <v>5737268</v>
      </c>
      <c r="O126" s="449">
        <v>3.9100000000000003E-2</v>
      </c>
      <c r="P126" s="33">
        <f t="shared" si="39"/>
        <v>5961595</v>
      </c>
      <c r="Q126" s="57">
        <f t="shared" si="40"/>
        <v>83.389767805554825</v>
      </c>
      <c r="R126" s="57">
        <f t="shared" si="41"/>
        <v>0</v>
      </c>
      <c r="S126" s="88">
        <f t="shared" si="42"/>
        <v>0</v>
      </c>
      <c r="T126" s="33">
        <f t="shared" si="43"/>
        <v>0</v>
      </c>
      <c r="U126" s="9">
        <f t="shared" si="44"/>
        <v>63610</v>
      </c>
      <c r="V126" s="9">
        <f t="shared" si="30"/>
        <v>63610</v>
      </c>
      <c r="W126" s="9">
        <f t="shared" si="45"/>
        <v>0</v>
      </c>
      <c r="X126" s="127">
        <f>MIN(H126*parameters!C$22,ROUND(P126+T126-V126+W126,0))</f>
        <v>5897985</v>
      </c>
      <c r="Y126" s="94">
        <f t="shared" si="46"/>
        <v>82.500002041508239</v>
      </c>
      <c r="AA126" s="33">
        <f t="shared" si="47"/>
        <v>0</v>
      </c>
      <c r="AB126" s="33">
        <f t="shared" si="48"/>
        <v>0</v>
      </c>
      <c r="AC126" s="33">
        <f t="shared" si="49"/>
        <v>0</v>
      </c>
      <c r="AD126" s="57">
        <f t="shared" si="50"/>
        <v>2.0415082389035888E-6</v>
      </c>
      <c r="AG126" s="609" t="str">
        <f t="shared" si="51"/>
        <v>120</v>
      </c>
      <c r="AH126" s="388" t="str">
        <f t="shared" si="52"/>
        <v>Hampden</v>
      </c>
      <c r="AI126" s="380">
        <f t="shared" si="53"/>
        <v>0.93881786101854081</v>
      </c>
      <c r="AJ126" s="381">
        <f t="shared" si="31"/>
        <v>82.5</v>
      </c>
      <c r="AK126" s="380">
        <f t="shared" si="54"/>
        <v>3.9100000000000003E-2</v>
      </c>
      <c r="AL126" s="9">
        <f t="shared" si="32"/>
        <v>5897985</v>
      </c>
      <c r="AM126" s="57">
        <f t="shared" si="55"/>
        <v>2.0415082389035888E-6</v>
      </c>
    </row>
    <row r="127" spans="1:39" ht="12.75" customHeight="1">
      <c r="A127" s="6">
        <v>121</v>
      </c>
      <c r="B127" s="6" t="s">
        <v>802</v>
      </c>
      <c r="C127" s="81">
        <v>338870100</v>
      </c>
      <c r="D127" s="81">
        <f t="shared" si="33"/>
        <v>1323493.8086221381</v>
      </c>
      <c r="E127" s="8">
        <v>15945000</v>
      </c>
      <c r="F127" s="81">
        <f t="shared" si="56"/>
        <v>228203.253798283</v>
      </c>
      <c r="G127" s="81">
        <f t="shared" si="34"/>
        <v>1551697</v>
      </c>
      <c r="H127" s="127">
        <f t="shared" si="35"/>
        <v>1270682.74</v>
      </c>
      <c r="I127" s="347">
        <f t="shared" si="36"/>
        <v>1.2211521815429711</v>
      </c>
      <c r="J127" s="33">
        <f t="shared" si="29"/>
        <v>1048313</v>
      </c>
      <c r="K127" s="33">
        <f t="shared" si="37"/>
        <v>1048313</v>
      </c>
      <c r="L127" s="126">
        <f t="shared" si="38"/>
        <v>82.5</v>
      </c>
      <c r="M127" s="470"/>
      <c r="N127" s="128">
        <v>780690</v>
      </c>
      <c r="O127" s="449">
        <v>3.0899999999999997E-2</v>
      </c>
      <c r="P127" s="33">
        <f t="shared" si="39"/>
        <v>804813</v>
      </c>
      <c r="Q127" s="57">
        <f t="shared" si="40"/>
        <v>63.33705296099324</v>
      </c>
      <c r="R127" s="57">
        <f t="shared" si="41"/>
        <v>19.16294703900676</v>
      </c>
      <c r="S127" s="88">
        <f t="shared" si="42"/>
        <v>0.02</v>
      </c>
      <c r="T127" s="33">
        <f t="shared" si="43"/>
        <v>15614</v>
      </c>
      <c r="U127" s="9">
        <f t="shared" si="44"/>
        <v>0</v>
      </c>
      <c r="V127" s="9">
        <f t="shared" si="30"/>
        <v>0</v>
      </c>
      <c r="W127" s="9">
        <f t="shared" si="45"/>
        <v>0</v>
      </c>
      <c r="X127" s="127">
        <f>MIN(H127*parameters!C$22,ROUND(P127+T127-V127+W127,0))</f>
        <v>820427</v>
      </c>
      <c r="Y127" s="94">
        <f t="shared" si="46"/>
        <v>64.565841194946898</v>
      </c>
      <c r="AA127" s="33">
        <f t="shared" si="47"/>
        <v>-243500</v>
      </c>
      <c r="AB127" s="33">
        <f t="shared" si="48"/>
        <v>-227886</v>
      </c>
      <c r="AC127" s="33">
        <f t="shared" si="49"/>
        <v>0</v>
      </c>
      <c r="AD127" s="57">
        <f t="shared" si="50"/>
        <v>-17.934158805053102</v>
      </c>
      <c r="AG127" s="609" t="str">
        <f t="shared" si="51"/>
        <v>121</v>
      </c>
      <c r="AH127" s="388" t="str">
        <f t="shared" si="52"/>
        <v>Hancock</v>
      </c>
      <c r="AI127" s="380">
        <f t="shared" si="53"/>
        <v>1.2211521815429711</v>
      </c>
      <c r="AJ127" s="381">
        <f t="shared" si="31"/>
        <v>82.5</v>
      </c>
      <c r="AK127" s="380">
        <f t="shared" si="54"/>
        <v>3.0899999999999997E-2</v>
      </c>
      <c r="AL127" s="9">
        <f t="shared" si="32"/>
        <v>820427</v>
      </c>
      <c r="AM127" s="57">
        <f t="shared" si="55"/>
        <v>-17.934158805053102</v>
      </c>
    </row>
    <row r="128" spans="1:39" ht="12.75" customHeight="1">
      <c r="A128" s="6">
        <v>122</v>
      </c>
      <c r="B128" s="6" t="s">
        <v>803</v>
      </c>
      <c r="C128" s="81">
        <v>3333802700</v>
      </c>
      <c r="D128" s="81">
        <f t="shared" si="33"/>
        <v>13020526.840868426</v>
      </c>
      <c r="E128" s="8">
        <v>1092560000</v>
      </c>
      <c r="F128" s="81">
        <f t="shared" si="56"/>
        <v>15636610.032602826</v>
      </c>
      <c r="G128" s="81">
        <f t="shared" si="34"/>
        <v>28657137</v>
      </c>
      <c r="H128" s="127">
        <f t="shared" si="35"/>
        <v>33531091.637281641</v>
      </c>
      <c r="I128" s="347">
        <f t="shared" si="36"/>
        <v>0.85464372320456994</v>
      </c>
      <c r="J128" s="33">
        <f t="shared" si="29"/>
        <v>27663151</v>
      </c>
      <c r="K128" s="33">
        <f t="shared" si="37"/>
        <v>27663151</v>
      </c>
      <c r="L128" s="126">
        <f t="shared" si="38"/>
        <v>82.5</v>
      </c>
      <c r="M128" s="470"/>
      <c r="N128" s="128">
        <v>24430560</v>
      </c>
      <c r="O128" s="449">
        <v>3.9300000000000002E-2</v>
      </c>
      <c r="P128" s="33">
        <f t="shared" si="39"/>
        <v>25390681</v>
      </c>
      <c r="Q128" s="57">
        <f t="shared" si="40"/>
        <v>75.722798633162597</v>
      </c>
      <c r="R128" s="57">
        <f t="shared" si="41"/>
        <v>6.7772013668374029</v>
      </c>
      <c r="S128" s="88">
        <f t="shared" si="42"/>
        <v>0.01</v>
      </c>
      <c r="T128" s="33">
        <f t="shared" si="43"/>
        <v>244306</v>
      </c>
      <c r="U128" s="9">
        <f t="shared" si="44"/>
        <v>0</v>
      </c>
      <c r="V128" s="9">
        <f t="shared" si="30"/>
        <v>0</v>
      </c>
      <c r="W128" s="9">
        <f t="shared" si="45"/>
        <v>0</v>
      </c>
      <c r="X128" s="127">
        <f>MIN(H128*parameters!C$22,ROUND(P128+T128-V128+W128,0))</f>
        <v>25634987</v>
      </c>
      <c r="Y128" s="94">
        <f t="shared" si="46"/>
        <v>76.451394059290536</v>
      </c>
      <c r="AA128" s="33">
        <f t="shared" si="47"/>
        <v>-2272470</v>
      </c>
      <c r="AB128" s="33">
        <f t="shared" si="48"/>
        <v>-2028164</v>
      </c>
      <c r="AC128" s="33">
        <f t="shared" si="49"/>
        <v>0</v>
      </c>
      <c r="AD128" s="57">
        <f t="shared" si="50"/>
        <v>-6.0486059407094643</v>
      </c>
      <c r="AG128" s="609" t="str">
        <f t="shared" si="51"/>
        <v>122</v>
      </c>
      <c r="AH128" s="388" t="str">
        <f t="shared" si="52"/>
        <v>Hanover</v>
      </c>
      <c r="AI128" s="380">
        <f t="shared" si="53"/>
        <v>0.85464372320456994</v>
      </c>
      <c r="AJ128" s="381">
        <f t="shared" si="31"/>
        <v>82.5</v>
      </c>
      <c r="AK128" s="380">
        <f t="shared" si="54"/>
        <v>3.9300000000000002E-2</v>
      </c>
      <c r="AL128" s="9">
        <f t="shared" si="32"/>
        <v>25634987</v>
      </c>
      <c r="AM128" s="57">
        <f t="shared" si="55"/>
        <v>-6.0486059407094643</v>
      </c>
    </row>
    <row r="129" spans="1:39" ht="12.75" customHeight="1">
      <c r="A129" s="6">
        <v>123</v>
      </c>
      <c r="B129" s="6" t="s">
        <v>804</v>
      </c>
      <c r="C129" s="81">
        <v>1705096200</v>
      </c>
      <c r="D129" s="81">
        <f t="shared" si="33"/>
        <v>6659437.5361093674</v>
      </c>
      <c r="E129" s="8">
        <v>495883000</v>
      </c>
      <c r="F129" s="81">
        <f t="shared" si="56"/>
        <v>7097028.1657732185</v>
      </c>
      <c r="G129" s="81">
        <f t="shared" si="34"/>
        <v>13756466</v>
      </c>
      <c r="H129" s="127">
        <f t="shared" si="35"/>
        <v>20574270.904489819</v>
      </c>
      <c r="I129" s="347">
        <f t="shared" si="36"/>
        <v>0.66862471403533408</v>
      </c>
      <c r="J129" s="33">
        <f t="shared" si="29"/>
        <v>16973773</v>
      </c>
      <c r="K129" s="33">
        <f t="shared" si="37"/>
        <v>13756466</v>
      </c>
      <c r="L129" s="126">
        <f t="shared" si="38"/>
        <v>66.86</v>
      </c>
      <c r="M129" s="470"/>
      <c r="N129" s="128">
        <v>11669234</v>
      </c>
      <c r="O129" s="449">
        <v>4.6500000000000007E-2</v>
      </c>
      <c r="P129" s="33">
        <f t="shared" si="39"/>
        <v>12211853</v>
      </c>
      <c r="Q129" s="57">
        <f t="shared" si="40"/>
        <v>59.354973290135248</v>
      </c>
      <c r="R129" s="57">
        <f t="shared" si="41"/>
        <v>7.505026709864751</v>
      </c>
      <c r="S129" s="88">
        <f t="shared" si="42"/>
        <v>0.02</v>
      </c>
      <c r="T129" s="33">
        <f t="shared" si="43"/>
        <v>233385</v>
      </c>
      <c r="U129" s="9">
        <f t="shared" si="44"/>
        <v>0</v>
      </c>
      <c r="V129" s="9">
        <f t="shared" si="30"/>
        <v>0</v>
      </c>
      <c r="W129" s="9">
        <f t="shared" si="45"/>
        <v>0</v>
      </c>
      <c r="X129" s="127">
        <f>MIN(H129*parameters!C$22,ROUND(P129+T129-V129+W129,0))</f>
        <v>12445238</v>
      </c>
      <c r="Y129" s="94">
        <f t="shared" si="46"/>
        <v>60.489326974323738</v>
      </c>
      <c r="AA129" s="33">
        <f t="shared" si="47"/>
        <v>-1544613</v>
      </c>
      <c r="AB129" s="33">
        <f t="shared" si="48"/>
        <v>-1311228</v>
      </c>
      <c r="AC129" s="33">
        <f t="shared" si="49"/>
        <v>0</v>
      </c>
      <c r="AD129" s="57">
        <f t="shared" si="50"/>
        <v>-6.3706730256762611</v>
      </c>
      <c r="AG129" s="609" t="str">
        <f t="shared" si="51"/>
        <v>123</v>
      </c>
      <c r="AH129" s="388" t="str">
        <f t="shared" si="52"/>
        <v>Hanson</v>
      </c>
      <c r="AI129" s="380">
        <f t="shared" si="53"/>
        <v>0.66862471403533408</v>
      </c>
      <c r="AJ129" s="381">
        <f t="shared" si="31"/>
        <v>66.86</v>
      </c>
      <c r="AK129" s="380">
        <f t="shared" si="54"/>
        <v>4.6500000000000007E-2</v>
      </c>
      <c r="AL129" s="9">
        <f t="shared" si="32"/>
        <v>12445238</v>
      </c>
      <c r="AM129" s="57">
        <f t="shared" si="55"/>
        <v>-6.3706730256762611</v>
      </c>
    </row>
    <row r="130" spans="1:39" ht="12.75" customHeight="1">
      <c r="A130" s="6">
        <v>124</v>
      </c>
      <c r="B130" s="6" t="s">
        <v>805</v>
      </c>
      <c r="C130" s="81">
        <v>290003700</v>
      </c>
      <c r="D130" s="81">
        <f t="shared" si="33"/>
        <v>1132640.8007891872</v>
      </c>
      <c r="E130" s="8">
        <v>76213000</v>
      </c>
      <c r="F130" s="81">
        <f t="shared" si="56"/>
        <v>1090752.8743636589</v>
      </c>
      <c r="G130" s="81">
        <f t="shared" si="34"/>
        <v>2223394</v>
      </c>
      <c r="H130" s="127">
        <f t="shared" si="35"/>
        <v>5029473.4202890592</v>
      </c>
      <c r="I130" s="347">
        <f t="shared" si="36"/>
        <v>0.44207291980722202</v>
      </c>
      <c r="J130" s="33">
        <f t="shared" si="29"/>
        <v>4149316</v>
      </c>
      <c r="K130" s="33">
        <f t="shared" si="37"/>
        <v>2223394</v>
      </c>
      <c r="L130" s="126">
        <f t="shared" si="38"/>
        <v>44.21</v>
      </c>
      <c r="M130" s="470"/>
      <c r="N130" s="128">
        <v>1916056</v>
      </c>
      <c r="O130" s="449">
        <v>2.98E-2</v>
      </c>
      <c r="P130" s="33">
        <f t="shared" si="39"/>
        <v>1973154</v>
      </c>
      <c r="Q130" s="57">
        <f t="shared" si="40"/>
        <v>39.231820811304672</v>
      </c>
      <c r="R130" s="57">
        <f t="shared" si="41"/>
        <v>4.9781791886953286</v>
      </c>
      <c r="S130" s="88">
        <f t="shared" si="42"/>
        <v>0.01</v>
      </c>
      <c r="T130" s="33">
        <f t="shared" si="43"/>
        <v>19161</v>
      </c>
      <c r="U130" s="9">
        <f t="shared" si="44"/>
        <v>0</v>
      </c>
      <c r="V130" s="9">
        <f t="shared" si="30"/>
        <v>0</v>
      </c>
      <c r="W130" s="9">
        <f t="shared" si="45"/>
        <v>0</v>
      </c>
      <c r="X130" s="127">
        <f>MIN(H130*parameters!C$22,ROUND(P130+T130-V130+W130,0))</f>
        <v>1992315</v>
      </c>
      <c r="Y130" s="94">
        <f t="shared" si="46"/>
        <v>39.612795088307585</v>
      </c>
      <c r="AA130" s="33">
        <f t="shared" si="47"/>
        <v>-250240</v>
      </c>
      <c r="AB130" s="33">
        <f t="shared" si="48"/>
        <v>-231079</v>
      </c>
      <c r="AC130" s="33">
        <f t="shared" si="49"/>
        <v>0</v>
      </c>
      <c r="AD130" s="57">
        <f t="shared" si="50"/>
        <v>-4.5972049116924154</v>
      </c>
      <c r="AG130" s="609" t="str">
        <f t="shared" si="51"/>
        <v>124</v>
      </c>
      <c r="AH130" s="388" t="str">
        <f t="shared" si="52"/>
        <v>Hardwick</v>
      </c>
      <c r="AI130" s="380">
        <f t="shared" si="53"/>
        <v>0.44207291980722202</v>
      </c>
      <c r="AJ130" s="381">
        <f t="shared" si="31"/>
        <v>44.21</v>
      </c>
      <c r="AK130" s="380">
        <f t="shared" si="54"/>
        <v>2.98E-2</v>
      </c>
      <c r="AL130" s="9">
        <f t="shared" si="32"/>
        <v>1992315</v>
      </c>
      <c r="AM130" s="57">
        <f t="shared" si="55"/>
        <v>-4.5972049116924154</v>
      </c>
    </row>
    <row r="131" spans="1:39" ht="12.75" customHeight="1">
      <c r="A131" s="6">
        <v>125</v>
      </c>
      <c r="B131" s="6" t="s">
        <v>806</v>
      </c>
      <c r="C131" s="81">
        <v>1434003000</v>
      </c>
      <c r="D131" s="81">
        <f t="shared" si="33"/>
        <v>5600653.7373629957</v>
      </c>
      <c r="E131" s="8">
        <v>589660000</v>
      </c>
      <c r="F131" s="81">
        <f t="shared" si="56"/>
        <v>8439155.2608777396</v>
      </c>
      <c r="G131" s="81">
        <f t="shared" si="34"/>
        <v>14039809</v>
      </c>
      <c r="H131" s="127">
        <f t="shared" si="35"/>
        <v>11161202.900680074</v>
      </c>
      <c r="I131" s="347">
        <f t="shared" si="36"/>
        <v>1.2579118151453483</v>
      </c>
      <c r="J131" s="33">
        <f t="shared" si="29"/>
        <v>9207992</v>
      </c>
      <c r="K131" s="33">
        <f t="shared" si="37"/>
        <v>9207992</v>
      </c>
      <c r="L131" s="126">
        <f t="shared" si="38"/>
        <v>82.5</v>
      </c>
      <c r="M131" s="470"/>
      <c r="N131" s="128">
        <v>8475317</v>
      </c>
      <c r="O131" s="449">
        <v>3.3300000000000003E-2</v>
      </c>
      <c r="P131" s="33">
        <f t="shared" si="39"/>
        <v>8757545</v>
      </c>
      <c r="Q131" s="57">
        <f t="shared" si="40"/>
        <v>78.464168046495999</v>
      </c>
      <c r="R131" s="57">
        <f t="shared" si="41"/>
        <v>4.035831953504001</v>
      </c>
      <c r="S131" s="88">
        <f t="shared" si="42"/>
        <v>0.01</v>
      </c>
      <c r="T131" s="33">
        <f t="shared" si="43"/>
        <v>84753</v>
      </c>
      <c r="U131" s="9">
        <f t="shared" si="44"/>
        <v>0</v>
      </c>
      <c r="V131" s="9">
        <f t="shared" si="30"/>
        <v>0</v>
      </c>
      <c r="W131" s="9">
        <f t="shared" si="45"/>
        <v>0</v>
      </c>
      <c r="X131" s="127">
        <f>MIN(H131*parameters!C$22,ROUND(P131+T131-V131+W131,0))</f>
        <v>8842298</v>
      </c>
      <c r="Y131" s="94">
        <f t="shared" si="46"/>
        <v>79.223521682069062</v>
      </c>
      <c r="AA131" s="33">
        <f t="shared" si="47"/>
        <v>-450447</v>
      </c>
      <c r="AB131" s="33">
        <f t="shared" si="48"/>
        <v>-365694</v>
      </c>
      <c r="AC131" s="33">
        <f t="shared" si="49"/>
        <v>0</v>
      </c>
      <c r="AD131" s="57">
        <f t="shared" si="50"/>
        <v>-3.2764783179309376</v>
      </c>
      <c r="AG131" s="609" t="str">
        <f t="shared" si="51"/>
        <v>125</v>
      </c>
      <c r="AH131" s="388" t="str">
        <f t="shared" si="52"/>
        <v>Harvard</v>
      </c>
      <c r="AI131" s="380">
        <f t="shared" si="53"/>
        <v>1.2579118151453483</v>
      </c>
      <c r="AJ131" s="381">
        <f t="shared" si="31"/>
        <v>82.5</v>
      </c>
      <c r="AK131" s="380">
        <f t="shared" si="54"/>
        <v>3.3300000000000003E-2</v>
      </c>
      <c r="AL131" s="9">
        <f t="shared" si="32"/>
        <v>8842298</v>
      </c>
      <c r="AM131" s="57">
        <f t="shared" si="55"/>
        <v>-3.2764783179309376</v>
      </c>
    </row>
    <row r="132" spans="1:39" ht="12.75" customHeight="1">
      <c r="A132" s="6">
        <v>126</v>
      </c>
      <c r="B132" s="6" t="s">
        <v>807</v>
      </c>
      <c r="C132" s="81">
        <v>7143004400</v>
      </c>
      <c r="D132" s="81">
        <f t="shared" si="33"/>
        <v>27897775.868572325</v>
      </c>
      <c r="E132" s="8">
        <v>740161000</v>
      </c>
      <c r="F132" s="81">
        <f t="shared" si="56"/>
        <v>10593110.601103226</v>
      </c>
      <c r="G132" s="81">
        <f t="shared" si="34"/>
        <v>38490886</v>
      </c>
      <c r="H132" s="127">
        <f t="shared" si="35"/>
        <v>20264873.395775482</v>
      </c>
      <c r="I132" s="347">
        <f t="shared" si="36"/>
        <v>1.8993894138032958</v>
      </c>
      <c r="J132" s="33">
        <f t="shared" si="29"/>
        <v>16718521</v>
      </c>
      <c r="K132" s="33">
        <f t="shared" si="37"/>
        <v>16718521</v>
      </c>
      <c r="L132" s="126">
        <f t="shared" si="38"/>
        <v>82.5</v>
      </c>
      <c r="M132" s="470"/>
      <c r="N132" s="128">
        <v>16248682</v>
      </c>
      <c r="O132" s="449">
        <v>3.6299999999999999E-2</v>
      </c>
      <c r="P132" s="33">
        <f t="shared" si="39"/>
        <v>16838509</v>
      </c>
      <c r="Q132" s="57">
        <f t="shared" si="40"/>
        <v>83.092100656845162</v>
      </c>
      <c r="R132" s="57">
        <f t="shared" si="41"/>
        <v>0</v>
      </c>
      <c r="S132" s="88">
        <f t="shared" si="42"/>
        <v>0</v>
      </c>
      <c r="T132" s="33">
        <f t="shared" si="43"/>
        <v>0</v>
      </c>
      <c r="U132" s="9">
        <f t="shared" si="44"/>
        <v>119988</v>
      </c>
      <c r="V132" s="9">
        <f t="shared" si="30"/>
        <v>119988</v>
      </c>
      <c r="W132" s="9">
        <f t="shared" si="45"/>
        <v>0</v>
      </c>
      <c r="X132" s="127">
        <f>MIN(H132*parameters!C$22,ROUND(P132+T132-V132+W132,0))</f>
        <v>16718521</v>
      </c>
      <c r="Y132" s="94">
        <f t="shared" si="46"/>
        <v>82.50000221311636</v>
      </c>
      <c r="AA132" s="33">
        <f t="shared" si="47"/>
        <v>0</v>
      </c>
      <c r="AB132" s="33">
        <f t="shared" si="48"/>
        <v>0</v>
      </c>
      <c r="AC132" s="33">
        <f t="shared" si="49"/>
        <v>0</v>
      </c>
      <c r="AD132" s="57">
        <f t="shared" si="50"/>
        <v>2.2131163603944515E-6</v>
      </c>
      <c r="AG132" s="609" t="str">
        <f t="shared" si="51"/>
        <v>126</v>
      </c>
      <c r="AH132" s="388" t="str">
        <f t="shared" si="52"/>
        <v>Harwich</v>
      </c>
      <c r="AI132" s="380">
        <f t="shared" si="53"/>
        <v>1.8993894138032958</v>
      </c>
      <c r="AJ132" s="381">
        <f t="shared" si="31"/>
        <v>82.5</v>
      </c>
      <c r="AK132" s="380">
        <f t="shared" si="54"/>
        <v>3.6299999999999999E-2</v>
      </c>
      <c r="AL132" s="9">
        <f t="shared" si="32"/>
        <v>16718521</v>
      </c>
      <c r="AM132" s="57">
        <f t="shared" si="55"/>
        <v>2.2131163603944515E-6</v>
      </c>
    </row>
    <row r="133" spans="1:39" ht="12.75" customHeight="1">
      <c r="A133" s="6">
        <v>127</v>
      </c>
      <c r="B133" s="6" t="s">
        <v>808</v>
      </c>
      <c r="C133" s="81">
        <v>664037600</v>
      </c>
      <c r="D133" s="81">
        <f t="shared" si="33"/>
        <v>2593470.6316441135</v>
      </c>
      <c r="E133" s="8">
        <v>145276000</v>
      </c>
      <c r="F133" s="81">
        <f t="shared" si="56"/>
        <v>2079175.6600062314</v>
      </c>
      <c r="G133" s="81">
        <f t="shared" si="34"/>
        <v>4672646</v>
      </c>
      <c r="H133" s="127">
        <f t="shared" si="35"/>
        <v>4167872.81</v>
      </c>
      <c r="I133" s="347">
        <f t="shared" si="36"/>
        <v>1.1211105072085921</v>
      </c>
      <c r="J133" s="33">
        <f t="shared" si="29"/>
        <v>3438495</v>
      </c>
      <c r="K133" s="33">
        <f t="shared" si="37"/>
        <v>3438495</v>
      </c>
      <c r="L133" s="126">
        <f t="shared" si="38"/>
        <v>82.5</v>
      </c>
      <c r="M133" s="470"/>
      <c r="N133" s="128">
        <v>3472030</v>
      </c>
      <c r="O133" s="449">
        <v>3.4200000000000001E-2</v>
      </c>
      <c r="P133" s="33">
        <f t="shared" si="39"/>
        <v>3590773</v>
      </c>
      <c r="Q133" s="57">
        <f t="shared" si="40"/>
        <v>86.153612734645804</v>
      </c>
      <c r="R133" s="57">
        <f t="shared" si="41"/>
        <v>0</v>
      </c>
      <c r="S133" s="88">
        <f t="shared" si="42"/>
        <v>0</v>
      </c>
      <c r="T133" s="33">
        <f t="shared" si="43"/>
        <v>0</v>
      </c>
      <c r="U133" s="9">
        <f t="shared" si="44"/>
        <v>152278</v>
      </c>
      <c r="V133" s="9">
        <f t="shared" si="30"/>
        <v>152278</v>
      </c>
      <c r="W133" s="9">
        <f t="shared" si="45"/>
        <v>0</v>
      </c>
      <c r="X133" s="127">
        <f>MIN(H133*parameters!C$22,ROUND(P133+T133-V133+W133,0))</f>
        <v>3438495</v>
      </c>
      <c r="Y133" s="94">
        <f t="shared" si="46"/>
        <v>82.499998362474017</v>
      </c>
      <c r="AA133" s="33">
        <f t="shared" si="47"/>
        <v>0</v>
      </c>
      <c r="AB133" s="33">
        <f t="shared" si="48"/>
        <v>0</v>
      </c>
      <c r="AC133" s="33">
        <f t="shared" si="49"/>
        <v>0</v>
      </c>
      <c r="AD133" s="57">
        <f t="shared" si="50"/>
        <v>-1.6375259832557276E-6</v>
      </c>
      <c r="AG133" s="609" t="str">
        <f t="shared" si="51"/>
        <v>127</v>
      </c>
      <c r="AH133" s="388" t="str">
        <f t="shared" si="52"/>
        <v>Hatfield</v>
      </c>
      <c r="AI133" s="380">
        <f t="shared" si="53"/>
        <v>1.1211105072085921</v>
      </c>
      <c r="AJ133" s="381">
        <f t="shared" si="31"/>
        <v>82.5</v>
      </c>
      <c r="AK133" s="380">
        <f t="shared" si="54"/>
        <v>3.4200000000000001E-2</v>
      </c>
      <c r="AL133" s="9">
        <f t="shared" si="32"/>
        <v>3438495</v>
      </c>
      <c r="AM133" s="57">
        <f t="shared" si="55"/>
        <v>-1.6375259832557276E-6</v>
      </c>
    </row>
    <row r="134" spans="1:39" ht="12.75" customHeight="1">
      <c r="A134" s="6">
        <v>128</v>
      </c>
      <c r="B134" s="6" t="s">
        <v>809</v>
      </c>
      <c r="C134" s="81">
        <v>8774764300</v>
      </c>
      <c r="D134" s="81">
        <f t="shared" si="33"/>
        <v>34270790.557114869</v>
      </c>
      <c r="E134" s="8">
        <v>2349091000</v>
      </c>
      <c r="F134" s="81">
        <f t="shared" si="56"/>
        <v>33619956.705441356</v>
      </c>
      <c r="G134" s="81">
        <f t="shared" si="34"/>
        <v>67890747</v>
      </c>
      <c r="H134" s="127">
        <f t="shared" si="35"/>
        <v>159065671.85754564</v>
      </c>
      <c r="I134" s="347">
        <f t="shared" si="36"/>
        <v>0.42680954480738548</v>
      </c>
      <c r="J134" s="33">
        <f t="shared" si="29"/>
        <v>131229179</v>
      </c>
      <c r="K134" s="33">
        <f t="shared" si="37"/>
        <v>67890747</v>
      </c>
      <c r="L134" s="126">
        <f t="shared" si="38"/>
        <v>42.68</v>
      </c>
      <c r="M134" s="470"/>
      <c r="N134" s="128">
        <v>56709246</v>
      </c>
      <c r="O134" s="449">
        <v>4.3999999999999997E-2</v>
      </c>
      <c r="P134" s="33">
        <f t="shared" si="39"/>
        <v>59204453</v>
      </c>
      <c r="Q134" s="57">
        <f t="shared" si="40"/>
        <v>37.220131979841447</v>
      </c>
      <c r="R134" s="57">
        <f t="shared" si="41"/>
        <v>5.4598680201585523</v>
      </c>
      <c r="S134" s="88">
        <f t="shared" si="42"/>
        <v>0.01</v>
      </c>
      <c r="T134" s="33">
        <f t="shared" si="43"/>
        <v>567092</v>
      </c>
      <c r="U134" s="9">
        <f t="shared" si="44"/>
        <v>0</v>
      </c>
      <c r="V134" s="9">
        <f t="shared" si="30"/>
        <v>0</v>
      </c>
      <c r="W134" s="9">
        <f t="shared" si="45"/>
        <v>0</v>
      </c>
      <c r="X134" s="127">
        <f>MIN(H134*parameters!C$22,ROUND(P134+T134-V134+W134,0))</f>
        <v>59771545</v>
      </c>
      <c r="Y134" s="94">
        <f t="shared" si="46"/>
        <v>37.576646363729296</v>
      </c>
      <c r="AA134" s="33">
        <f t="shared" si="47"/>
        <v>-8686294</v>
      </c>
      <c r="AB134" s="33">
        <f t="shared" si="48"/>
        <v>-8119202</v>
      </c>
      <c r="AC134" s="33">
        <f t="shared" si="49"/>
        <v>0</v>
      </c>
      <c r="AD134" s="57">
        <f t="shared" si="50"/>
        <v>-5.1033536362707039</v>
      </c>
      <c r="AG134" s="609" t="str">
        <f t="shared" si="51"/>
        <v>128</v>
      </c>
      <c r="AH134" s="388" t="str">
        <f t="shared" si="52"/>
        <v>Haverhill</v>
      </c>
      <c r="AI134" s="380">
        <f t="shared" si="53"/>
        <v>0.42680954480738548</v>
      </c>
      <c r="AJ134" s="381">
        <f t="shared" si="31"/>
        <v>42.68</v>
      </c>
      <c r="AK134" s="380">
        <f t="shared" si="54"/>
        <v>4.3999999999999997E-2</v>
      </c>
      <c r="AL134" s="9">
        <f t="shared" si="32"/>
        <v>59771545</v>
      </c>
      <c r="AM134" s="57">
        <f t="shared" si="55"/>
        <v>-5.1033536362707039</v>
      </c>
    </row>
    <row r="135" spans="1:39" ht="12.75" customHeight="1">
      <c r="A135" s="6">
        <v>129</v>
      </c>
      <c r="B135" s="6" t="s">
        <v>810</v>
      </c>
      <c r="C135" s="81">
        <v>52571500</v>
      </c>
      <c r="D135" s="81">
        <f t="shared" si="33"/>
        <v>205323.67641753799</v>
      </c>
      <c r="E135" s="8">
        <v>9120000</v>
      </c>
      <c r="F135" s="81">
        <f t="shared" si="56"/>
        <v>130524.53274633683</v>
      </c>
      <c r="G135" s="81">
        <f t="shared" si="34"/>
        <v>335848</v>
      </c>
      <c r="H135" s="127">
        <f t="shared" si="35"/>
        <v>359824.33937150298</v>
      </c>
      <c r="I135" s="347">
        <f t="shared" si="36"/>
        <v>0.93336654376026396</v>
      </c>
      <c r="J135" s="33">
        <f t="shared" ref="J135:J198" si="57">ROUND(H135*maxloc,0)</f>
        <v>296855</v>
      </c>
      <c r="K135" s="33">
        <f t="shared" si="37"/>
        <v>296855</v>
      </c>
      <c r="L135" s="126">
        <f t="shared" si="38"/>
        <v>82.5</v>
      </c>
      <c r="M135" s="470"/>
      <c r="N135" s="128">
        <v>294808</v>
      </c>
      <c r="O135" s="449">
        <v>3.4200000000000001E-2</v>
      </c>
      <c r="P135" s="33">
        <f t="shared" si="39"/>
        <v>304890</v>
      </c>
      <c r="Q135" s="57">
        <f t="shared" si="40"/>
        <v>84.733011816972819</v>
      </c>
      <c r="R135" s="57">
        <f t="shared" si="41"/>
        <v>0</v>
      </c>
      <c r="S135" s="88">
        <f t="shared" si="42"/>
        <v>0</v>
      </c>
      <c r="T135" s="33">
        <f t="shared" si="43"/>
        <v>0</v>
      </c>
      <c r="U135" s="9">
        <f t="shared" si="44"/>
        <v>8035</v>
      </c>
      <c r="V135" s="9">
        <f t="shared" ref="V135:V198" si="58">MAX(U135*(V$5),0)</f>
        <v>8035</v>
      </c>
      <c r="W135" s="9">
        <f t="shared" si="45"/>
        <v>0</v>
      </c>
      <c r="X135" s="127">
        <f>MIN(H135*parameters!C$22,ROUND(P135+T135-V135+W135,0))</f>
        <v>296855</v>
      </c>
      <c r="Y135" s="94">
        <f t="shared" si="46"/>
        <v>82.499977772073422</v>
      </c>
      <c r="AA135" s="33">
        <f t="shared" si="47"/>
        <v>0</v>
      </c>
      <c r="AB135" s="33">
        <f t="shared" si="48"/>
        <v>0</v>
      </c>
      <c r="AC135" s="33">
        <f t="shared" si="49"/>
        <v>0</v>
      </c>
      <c r="AD135" s="57">
        <f t="shared" si="50"/>
        <v>-2.2227926578466395E-5</v>
      </c>
      <c r="AG135" s="609" t="str">
        <f t="shared" si="51"/>
        <v>129</v>
      </c>
      <c r="AH135" s="388" t="str">
        <f t="shared" si="52"/>
        <v>Hawley</v>
      </c>
      <c r="AI135" s="380">
        <f t="shared" si="53"/>
        <v>0.93336654376026396</v>
      </c>
      <c r="AJ135" s="381">
        <f t="shared" ref="AJ135:AJ198" si="59">L135</f>
        <v>82.5</v>
      </c>
      <c r="AK135" s="380">
        <f t="shared" si="54"/>
        <v>3.4200000000000001E-2</v>
      </c>
      <c r="AL135" s="9">
        <f t="shared" ref="AL135:AL198" si="60">X135</f>
        <v>296855</v>
      </c>
      <c r="AM135" s="57">
        <f t="shared" si="55"/>
        <v>-2.2227926578466395E-5</v>
      </c>
    </row>
    <row r="136" spans="1:39" ht="12.75" customHeight="1">
      <c r="A136" s="6">
        <v>130</v>
      </c>
      <c r="B136" s="6" t="s">
        <v>811</v>
      </c>
      <c r="C136" s="81">
        <v>105196700</v>
      </c>
      <c r="D136" s="81">
        <f t="shared" ref="D136:D199" si="61">D$5*C136</f>
        <v>410857.08399023837</v>
      </c>
      <c r="E136" s="8">
        <v>13330000</v>
      </c>
      <c r="F136" s="81">
        <f t="shared" si="56"/>
        <v>190777.63393735417</v>
      </c>
      <c r="G136" s="81">
        <f t="shared" ref="G136:G199" si="62">ROUND(D136+F136,0)</f>
        <v>601635</v>
      </c>
      <c r="H136" s="127">
        <f t="shared" ref="H136:H199" si="63">(SUMIF(town1755,A136,found1755)/2)</f>
        <v>1425212.5346735034</v>
      </c>
      <c r="I136" s="347">
        <f t="shared" ref="I136:I199" si="64">IF(H136=0,0,G136/H136)</f>
        <v>0.42213703946817049</v>
      </c>
      <c r="J136" s="33">
        <f t="shared" si="57"/>
        <v>1175800</v>
      </c>
      <c r="K136" s="33">
        <f t="shared" ref="K136:K199" si="65">MIN(G136,J136)</f>
        <v>601635</v>
      </c>
      <c r="L136" s="126">
        <f t="shared" ref="L136:L199" si="66">IF(H136&gt;0, ROUND((K136*100/H136), 2), 0)</f>
        <v>42.21</v>
      </c>
      <c r="M136" s="470"/>
      <c r="N136" s="128">
        <v>489726</v>
      </c>
      <c r="O136" s="449">
        <v>3.5700000000000003E-2</v>
      </c>
      <c r="P136" s="33">
        <f t="shared" ref="P136:P199" si="67">ROUND(N136*(1+O136),0)</f>
        <v>507209</v>
      </c>
      <c r="Q136" s="57">
        <f t="shared" ref="Q136:Q199" si="68">IF(H136=0,0,P136*100/H136)</f>
        <v>35.588306141034231</v>
      </c>
      <c r="R136" s="57">
        <f t="shared" ref="R136:R199" si="69">IF(L136&gt;Q136,L136-Q136,0)</f>
        <v>6.6216938589657701</v>
      </c>
      <c r="S136" s="88">
        <f t="shared" ref="S136:S199" si="70">IF(AND(R136&gt;$T$4,R136&lt;=$T$5),$S$4,IF(R136&gt;$T$5,$S$5,0))</f>
        <v>0.01</v>
      </c>
      <c r="T136" s="33">
        <f t="shared" ref="T136:T199" si="71">ROUND(S136*N136,0)</f>
        <v>4897</v>
      </c>
      <c r="U136" s="9">
        <f t="shared" ref="U136:U199" si="72">MAX(P136-K136,0)</f>
        <v>0</v>
      </c>
      <c r="V136" s="9">
        <f t="shared" si="58"/>
        <v>0</v>
      </c>
      <c r="W136" s="9">
        <f t="shared" ref="W136:W199" si="73">IF(AND(I136&gt;1.75,$W$5=1),MAX(K136-(P136+T136),0),0)</f>
        <v>0</v>
      </c>
      <c r="X136" s="127">
        <f>MIN(H136*parameters!C$22,ROUND(P136+T136-V136+W136,0))</f>
        <v>512106</v>
      </c>
      <c r="Y136" s="94">
        <f t="shared" ref="Y136:Y199" si="74">IF(H136=0,0,X136*100/H136)</f>
        <v>35.931904017200949</v>
      </c>
      <c r="AA136" s="33">
        <f t="shared" ref="AA136:AA199" si="75">IF(Q136&lt;L136, P136-K136, 0)</f>
        <v>-94426</v>
      </c>
      <c r="AB136" s="33">
        <f t="shared" ref="AB136:AB199" si="76">-1*MAX(K136-(P136+T136+W136),0)</f>
        <v>-89529</v>
      </c>
      <c r="AC136" s="33">
        <f t="shared" ref="AC136:AC199" si="77">IF(Q136&gt;L136, X136-K136,0)</f>
        <v>0</v>
      </c>
      <c r="AD136" s="57">
        <f t="shared" ref="AD136:AD199" si="78">Y136-L136</f>
        <v>-6.2780959827990515</v>
      </c>
      <c r="AG136" s="609" t="str">
        <f t="shared" ref="AG136:AG199" si="79">TEXT(A136,"000")</f>
        <v>130</v>
      </c>
      <c r="AH136" s="388" t="str">
        <f t="shared" ref="AH136:AH199" si="80">B136</f>
        <v>Heath</v>
      </c>
      <c r="AI136" s="380">
        <f t="shared" ref="AI136:AI199" si="81">I136</f>
        <v>0.42213703946817049</v>
      </c>
      <c r="AJ136" s="381">
        <f t="shared" si="59"/>
        <v>42.21</v>
      </c>
      <c r="AK136" s="380">
        <f t="shared" ref="AK136:AK199" si="82">O136</f>
        <v>3.5700000000000003E-2</v>
      </c>
      <c r="AL136" s="9">
        <f t="shared" si="60"/>
        <v>512106</v>
      </c>
      <c r="AM136" s="57">
        <f t="shared" ref="AM136:AM199" si="83">AD136</f>
        <v>-6.2780959827990515</v>
      </c>
    </row>
    <row r="137" spans="1:39" ht="12.75" customHeight="1">
      <c r="A137" s="6">
        <v>131</v>
      </c>
      <c r="B137" s="6" t="s">
        <v>812</v>
      </c>
      <c r="C137" s="81">
        <v>8672525700</v>
      </c>
      <c r="D137" s="81">
        <f t="shared" si="61"/>
        <v>33871486.652455837</v>
      </c>
      <c r="E137" s="8">
        <v>4528742000</v>
      </c>
      <c r="F137" s="81">
        <f t="shared" ref="F137:F200" si="84">E137*F$5</f>
        <v>64814904.986700766</v>
      </c>
      <c r="G137" s="81">
        <f t="shared" si="62"/>
        <v>98686392</v>
      </c>
      <c r="H137" s="127">
        <f t="shared" si="63"/>
        <v>45884665.988949992</v>
      </c>
      <c r="I137" s="347">
        <f t="shared" si="64"/>
        <v>2.150748836741359</v>
      </c>
      <c r="J137" s="33">
        <f t="shared" si="57"/>
        <v>37854849</v>
      </c>
      <c r="K137" s="33">
        <f t="shared" si="65"/>
        <v>37854849</v>
      </c>
      <c r="L137" s="126">
        <f t="shared" si="66"/>
        <v>82.5</v>
      </c>
      <c r="M137" s="470"/>
      <c r="N137" s="128">
        <v>38822578</v>
      </c>
      <c r="O137" s="449">
        <v>3.6900000000000002E-2</v>
      </c>
      <c r="P137" s="33">
        <f t="shared" si="67"/>
        <v>40255131</v>
      </c>
      <c r="Q137" s="57">
        <f t="shared" si="68"/>
        <v>87.731119171041357</v>
      </c>
      <c r="R137" s="57">
        <f t="shared" si="69"/>
        <v>0</v>
      </c>
      <c r="S137" s="88">
        <f t="shared" si="70"/>
        <v>0</v>
      </c>
      <c r="T137" s="33">
        <f t="shared" si="71"/>
        <v>0</v>
      </c>
      <c r="U137" s="9">
        <f t="shared" si="72"/>
        <v>2400282</v>
      </c>
      <c r="V137" s="9">
        <f t="shared" si="58"/>
        <v>2400282</v>
      </c>
      <c r="W137" s="9">
        <f t="shared" si="73"/>
        <v>0</v>
      </c>
      <c r="X137" s="127">
        <f>MIN(H137*parameters!C$22,ROUND(P137+T137-V137+W137,0))</f>
        <v>37854849</v>
      </c>
      <c r="Y137" s="94">
        <f t="shared" si="74"/>
        <v>82.49999903914798</v>
      </c>
      <c r="AA137" s="33">
        <f t="shared" si="75"/>
        <v>0</v>
      </c>
      <c r="AB137" s="33">
        <f t="shared" si="76"/>
        <v>0</v>
      </c>
      <c r="AC137" s="33">
        <f t="shared" si="77"/>
        <v>0</v>
      </c>
      <c r="AD137" s="57">
        <f t="shared" si="78"/>
        <v>-9.6085202017093252E-7</v>
      </c>
      <c r="AG137" s="609" t="str">
        <f t="shared" si="79"/>
        <v>131</v>
      </c>
      <c r="AH137" s="388" t="str">
        <f t="shared" si="80"/>
        <v>Hingham</v>
      </c>
      <c r="AI137" s="380">
        <f t="shared" si="81"/>
        <v>2.150748836741359</v>
      </c>
      <c r="AJ137" s="381">
        <f t="shared" si="59"/>
        <v>82.5</v>
      </c>
      <c r="AK137" s="380">
        <f t="shared" si="82"/>
        <v>3.6900000000000002E-2</v>
      </c>
      <c r="AL137" s="9">
        <f t="shared" si="60"/>
        <v>37854849</v>
      </c>
      <c r="AM137" s="57">
        <f t="shared" si="83"/>
        <v>-9.6085202017093252E-7</v>
      </c>
    </row>
    <row r="138" spans="1:39" ht="12.75" customHeight="1">
      <c r="A138" s="6">
        <v>132</v>
      </c>
      <c r="B138" s="6" t="s">
        <v>813</v>
      </c>
      <c r="C138" s="81">
        <v>363382200</v>
      </c>
      <c r="D138" s="81">
        <f t="shared" si="61"/>
        <v>1419228.4650179865</v>
      </c>
      <c r="E138" s="8">
        <v>87188000</v>
      </c>
      <c r="F138" s="81">
        <f t="shared" si="84"/>
        <v>1247825.9825753965</v>
      </c>
      <c r="G138" s="81">
        <f t="shared" si="62"/>
        <v>2667054</v>
      </c>
      <c r="H138" s="127">
        <f t="shared" si="63"/>
        <v>3080744.9160100282</v>
      </c>
      <c r="I138" s="347">
        <f t="shared" si="64"/>
        <v>0.86571724459881194</v>
      </c>
      <c r="J138" s="33">
        <f t="shared" si="57"/>
        <v>2541615</v>
      </c>
      <c r="K138" s="33">
        <f t="shared" si="65"/>
        <v>2541615</v>
      </c>
      <c r="L138" s="126">
        <f t="shared" si="66"/>
        <v>82.5</v>
      </c>
      <c r="M138" s="470"/>
      <c r="N138" s="128">
        <v>2107490</v>
      </c>
      <c r="O138" s="449">
        <v>3.7999999999999999E-2</v>
      </c>
      <c r="P138" s="33">
        <f t="shared" si="67"/>
        <v>2187575</v>
      </c>
      <c r="Q138" s="57">
        <f t="shared" si="68"/>
        <v>71.007988640396704</v>
      </c>
      <c r="R138" s="57">
        <f t="shared" si="69"/>
        <v>11.492011359603296</v>
      </c>
      <c r="S138" s="88">
        <f t="shared" si="70"/>
        <v>0.02</v>
      </c>
      <c r="T138" s="33">
        <f t="shared" si="71"/>
        <v>42150</v>
      </c>
      <c r="U138" s="9">
        <f t="shared" si="72"/>
        <v>0</v>
      </c>
      <c r="V138" s="9">
        <f t="shared" si="58"/>
        <v>0</v>
      </c>
      <c r="W138" s="9">
        <f t="shared" si="73"/>
        <v>0</v>
      </c>
      <c r="X138" s="127">
        <f>MIN(H138*parameters!C$22,ROUND(P138+T138-V138+W138,0))</f>
        <v>2229725</v>
      </c>
      <c r="Y138" s="94">
        <f t="shared" si="74"/>
        <v>72.376164232635929</v>
      </c>
      <c r="AA138" s="33">
        <f t="shared" si="75"/>
        <v>-354040</v>
      </c>
      <c r="AB138" s="33">
        <f t="shared" si="76"/>
        <v>-311890</v>
      </c>
      <c r="AC138" s="33">
        <f t="shared" si="77"/>
        <v>0</v>
      </c>
      <c r="AD138" s="57">
        <f t="shared" si="78"/>
        <v>-10.123835767364071</v>
      </c>
      <c r="AG138" s="609" t="str">
        <f t="shared" si="79"/>
        <v>132</v>
      </c>
      <c r="AH138" s="388" t="str">
        <f t="shared" si="80"/>
        <v>Hinsdale</v>
      </c>
      <c r="AI138" s="380">
        <f t="shared" si="81"/>
        <v>0.86571724459881194</v>
      </c>
      <c r="AJ138" s="381">
        <f t="shared" si="59"/>
        <v>82.5</v>
      </c>
      <c r="AK138" s="380">
        <f t="shared" si="82"/>
        <v>3.7999999999999999E-2</v>
      </c>
      <c r="AL138" s="9">
        <f t="shared" si="60"/>
        <v>2229725</v>
      </c>
      <c r="AM138" s="57">
        <f t="shared" si="83"/>
        <v>-10.123835767364071</v>
      </c>
    </row>
    <row r="139" spans="1:39" ht="12.75" customHeight="1">
      <c r="A139" s="6">
        <v>133</v>
      </c>
      <c r="B139" s="6" t="s">
        <v>814</v>
      </c>
      <c r="C139" s="81">
        <v>1670268000</v>
      </c>
      <c r="D139" s="81">
        <f t="shared" si="61"/>
        <v>6523412.2359561427</v>
      </c>
      <c r="E139" s="8">
        <v>421763000</v>
      </c>
      <c r="F139" s="81">
        <f t="shared" si="84"/>
        <v>6036230.0991988229</v>
      </c>
      <c r="G139" s="81">
        <f t="shared" si="62"/>
        <v>12559642</v>
      </c>
      <c r="H139" s="127">
        <f t="shared" si="63"/>
        <v>23923398.979099456</v>
      </c>
      <c r="I139" s="347">
        <f t="shared" si="64"/>
        <v>0.52499404499221292</v>
      </c>
      <c r="J139" s="33">
        <f t="shared" si="57"/>
        <v>19736804</v>
      </c>
      <c r="K139" s="33">
        <f t="shared" si="65"/>
        <v>12559642</v>
      </c>
      <c r="L139" s="126">
        <f t="shared" si="66"/>
        <v>52.5</v>
      </c>
      <c r="M139" s="470"/>
      <c r="N139" s="128">
        <v>10705706</v>
      </c>
      <c r="O139" s="449">
        <v>4.1099999999999998E-2</v>
      </c>
      <c r="P139" s="33">
        <f t="shared" si="67"/>
        <v>11145711</v>
      </c>
      <c r="Q139" s="57">
        <f t="shared" si="68"/>
        <v>46.589161555752959</v>
      </c>
      <c r="R139" s="57">
        <f t="shared" si="69"/>
        <v>5.910838444247041</v>
      </c>
      <c r="S139" s="88">
        <f t="shared" si="70"/>
        <v>0.01</v>
      </c>
      <c r="T139" s="33">
        <f t="shared" si="71"/>
        <v>107057</v>
      </c>
      <c r="U139" s="9">
        <f t="shared" si="72"/>
        <v>0</v>
      </c>
      <c r="V139" s="9">
        <f t="shared" si="58"/>
        <v>0</v>
      </c>
      <c r="W139" s="9">
        <f t="shared" si="73"/>
        <v>0</v>
      </c>
      <c r="X139" s="127">
        <f>MIN(H139*parameters!C$22,ROUND(P139+T139-V139+W139,0))</f>
        <v>11252768</v>
      </c>
      <c r="Y139" s="94">
        <f t="shared" si="74"/>
        <v>47.036660676147726</v>
      </c>
      <c r="AA139" s="33">
        <f t="shared" si="75"/>
        <v>-1413931</v>
      </c>
      <c r="AB139" s="33">
        <f t="shared" si="76"/>
        <v>-1306874</v>
      </c>
      <c r="AC139" s="33">
        <f t="shared" si="77"/>
        <v>0</v>
      </c>
      <c r="AD139" s="57">
        <f t="shared" si="78"/>
        <v>-5.4633393238522743</v>
      </c>
      <c r="AG139" s="609" t="str">
        <f t="shared" si="79"/>
        <v>133</v>
      </c>
      <c r="AH139" s="388" t="str">
        <f t="shared" si="80"/>
        <v>Holbrook</v>
      </c>
      <c r="AI139" s="380">
        <f t="shared" si="81"/>
        <v>0.52499404499221292</v>
      </c>
      <c r="AJ139" s="381">
        <f t="shared" si="59"/>
        <v>52.5</v>
      </c>
      <c r="AK139" s="380">
        <f t="shared" si="82"/>
        <v>4.1099999999999998E-2</v>
      </c>
      <c r="AL139" s="9">
        <f t="shared" si="60"/>
        <v>11252768</v>
      </c>
      <c r="AM139" s="57">
        <f t="shared" si="83"/>
        <v>-5.4633393238522743</v>
      </c>
    </row>
    <row r="140" spans="1:39" ht="12.75" customHeight="1">
      <c r="A140" s="6">
        <v>134</v>
      </c>
      <c r="B140" s="6" t="s">
        <v>815</v>
      </c>
      <c r="C140" s="81">
        <v>2958213400</v>
      </c>
      <c r="D140" s="81">
        <f t="shared" si="61"/>
        <v>11553622.227169186</v>
      </c>
      <c r="E140" s="8">
        <v>1123903000</v>
      </c>
      <c r="F140" s="81">
        <f t="shared" si="84"/>
        <v>16085187.930614715</v>
      </c>
      <c r="G140" s="81">
        <f t="shared" si="62"/>
        <v>27638810</v>
      </c>
      <c r="H140" s="127">
        <f t="shared" si="63"/>
        <v>43668934.853536278</v>
      </c>
      <c r="I140" s="347">
        <f t="shared" si="64"/>
        <v>0.63291697158859894</v>
      </c>
      <c r="J140" s="33">
        <f t="shared" si="57"/>
        <v>36026871</v>
      </c>
      <c r="K140" s="33">
        <f t="shared" si="65"/>
        <v>27638810</v>
      </c>
      <c r="L140" s="126">
        <f t="shared" si="66"/>
        <v>63.29</v>
      </c>
      <c r="M140" s="470"/>
      <c r="N140" s="128">
        <v>23651517</v>
      </c>
      <c r="O140" s="449">
        <v>4.130000000000001E-2</v>
      </c>
      <c r="P140" s="33">
        <f t="shared" si="67"/>
        <v>24628325</v>
      </c>
      <c r="Q140" s="57">
        <f t="shared" si="68"/>
        <v>56.397814791229365</v>
      </c>
      <c r="R140" s="57">
        <f t="shared" si="69"/>
        <v>6.8921852087706341</v>
      </c>
      <c r="S140" s="88">
        <f t="shared" si="70"/>
        <v>0.01</v>
      </c>
      <c r="T140" s="33">
        <f t="shared" si="71"/>
        <v>236515</v>
      </c>
      <c r="U140" s="9">
        <f t="shared" si="72"/>
        <v>0</v>
      </c>
      <c r="V140" s="9">
        <f t="shared" si="58"/>
        <v>0</v>
      </c>
      <c r="W140" s="9">
        <f t="shared" si="73"/>
        <v>0</v>
      </c>
      <c r="X140" s="127">
        <f>MIN(H140*parameters!C$22,ROUND(P140+T140-V140+W140,0))</f>
        <v>24864840</v>
      </c>
      <c r="Y140" s="94">
        <f t="shared" si="74"/>
        <v>56.939424062884974</v>
      </c>
      <c r="AA140" s="33">
        <f t="shared" si="75"/>
        <v>-3010485</v>
      </c>
      <c r="AB140" s="33">
        <f t="shared" si="76"/>
        <v>-2773970</v>
      </c>
      <c r="AC140" s="33">
        <f t="shared" si="77"/>
        <v>0</v>
      </c>
      <c r="AD140" s="57">
        <f t="shared" si="78"/>
        <v>-6.3505759371150248</v>
      </c>
      <c r="AG140" s="609" t="str">
        <f t="shared" si="79"/>
        <v>134</v>
      </c>
      <c r="AH140" s="388" t="str">
        <f t="shared" si="80"/>
        <v>Holden</v>
      </c>
      <c r="AI140" s="380">
        <f t="shared" si="81"/>
        <v>0.63291697158859894</v>
      </c>
      <c r="AJ140" s="381">
        <f t="shared" si="59"/>
        <v>63.29</v>
      </c>
      <c r="AK140" s="380">
        <f t="shared" si="82"/>
        <v>4.130000000000001E-2</v>
      </c>
      <c r="AL140" s="9">
        <f t="shared" si="60"/>
        <v>24864840</v>
      </c>
      <c r="AM140" s="57">
        <f t="shared" si="83"/>
        <v>-6.3505759371150248</v>
      </c>
    </row>
    <row r="141" spans="1:39" ht="12.75" customHeight="1">
      <c r="A141" s="6">
        <v>135</v>
      </c>
      <c r="B141" s="6" t="s">
        <v>816</v>
      </c>
      <c r="C141" s="81">
        <v>412648100</v>
      </c>
      <c r="D141" s="81">
        <f t="shared" si="61"/>
        <v>1611641.7632883189</v>
      </c>
      <c r="E141" s="8">
        <v>95625000</v>
      </c>
      <c r="F141" s="81">
        <f t="shared" si="84"/>
        <v>1368575.4872662786</v>
      </c>
      <c r="G141" s="81">
        <f t="shared" si="62"/>
        <v>2980217</v>
      </c>
      <c r="H141" s="127">
        <f t="shared" si="63"/>
        <v>4388256.886501791</v>
      </c>
      <c r="I141" s="347">
        <f t="shared" si="64"/>
        <v>0.67913458055910547</v>
      </c>
      <c r="J141" s="33">
        <f t="shared" si="57"/>
        <v>3620312</v>
      </c>
      <c r="K141" s="33">
        <f t="shared" si="65"/>
        <v>2980217</v>
      </c>
      <c r="L141" s="126">
        <f t="shared" si="66"/>
        <v>67.91</v>
      </c>
      <c r="M141" s="470"/>
      <c r="N141" s="128">
        <v>2678179</v>
      </c>
      <c r="O141" s="449">
        <v>3.6799999999999999E-2</v>
      </c>
      <c r="P141" s="33">
        <f t="shared" si="67"/>
        <v>2776736</v>
      </c>
      <c r="Q141" s="57">
        <f t="shared" si="68"/>
        <v>63.27651438413271</v>
      </c>
      <c r="R141" s="57">
        <f t="shared" si="69"/>
        <v>4.6334856158672864</v>
      </c>
      <c r="S141" s="88">
        <f t="shared" si="70"/>
        <v>0.01</v>
      </c>
      <c r="T141" s="33">
        <f t="shared" si="71"/>
        <v>26782</v>
      </c>
      <c r="U141" s="9">
        <f t="shared" si="72"/>
        <v>0</v>
      </c>
      <c r="V141" s="9">
        <f t="shared" si="58"/>
        <v>0</v>
      </c>
      <c r="W141" s="9">
        <f t="shared" si="73"/>
        <v>0</v>
      </c>
      <c r="X141" s="127">
        <f>MIN(H141*parameters!C$22,ROUND(P141+T141-V141+W141,0))</f>
        <v>2803518</v>
      </c>
      <c r="Y141" s="94">
        <f t="shared" si="74"/>
        <v>63.886825054011247</v>
      </c>
      <c r="AA141" s="33">
        <f t="shared" si="75"/>
        <v>-203481</v>
      </c>
      <c r="AB141" s="33">
        <f t="shared" si="76"/>
        <v>-176699</v>
      </c>
      <c r="AC141" s="33">
        <f t="shared" si="77"/>
        <v>0</v>
      </c>
      <c r="AD141" s="57">
        <f t="shared" si="78"/>
        <v>-4.0231749459887496</v>
      </c>
      <c r="AG141" s="609" t="str">
        <f t="shared" si="79"/>
        <v>135</v>
      </c>
      <c r="AH141" s="388" t="str">
        <f t="shared" si="80"/>
        <v>Holland</v>
      </c>
      <c r="AI141" s="380">
        <f t="shared" si="81"/>
        <v>0.67913458055910547</v>
      </c>
      <c r="AJ141" s="381">
        <f t="shared" si="59"/>
        <v>67.91</v>
      </c>
      <c r="AK141" s="380">
        <f t="shared" si="82"/>
        <v>3.6799999999999999E-2</v>
      </c>
      <c r="AL141" s="9">
        <f t="shared" si="60"/>
        <v>2803518</v>
      </c>
      <c r="AM141" s="57">
        <f t="shared" si="83"/>
        <v>-4.0231749459887496</v>
      </c>
    </row>
    <row r="142" spans="1:39" ht="12.75" customHeight="1">
      <c r="A142" s="6">
        <v>136</v>
      </c>
      <c r="B142" s="6" t="s">
        <v>817</v>
      </c>
      <c r="C142" s="81">
        <v>3243894200</v>
      </c>
      <c r="D142" s="81">
        <f t="shared" si="61"/>
        <v>12669379.474687392</v>
      </c>
      <c r="E142" s="8">
        <v>1190746000</v>
      </c>
      <c r="F142" s="81">
        <f t="shared" si="84"/>
        <v>17041838.29710193</v>
      </c>
      <c r="G142" s="81">
        <f t="shared" si="62"/>
        <v>29711218</v>
      </c>
      <c r="H142" s="127">
        <f t="shared" si="63"/>
        <v>35356451.717304721</v>
      </c>
      <c r="I142" s="347">
        <f t="shared" si="64"/>
        <v>0.84033370309776478</v>
      </c>
      <c r="J142" s="33">
        <f t="shared" si="57"/>
        <v>29169073</v>
      </c>
      <c r="K142" s="33">
        <f t="shared" si="65"/>
        <v>29169073</v>
      </c>
      <c r="L142" s="126">
        <f t="shared" si="66"/>
        <v>82.5</v>
      </c>
      <c r="M142" s="470"/>
      <c r="N142" s="128">
        <v>25123536</v>
      </c>
      <c r="O142" s="449">
        <v>5.1200000000000002E-2</v>
      </c>
      <c r="P142" s="33">
        <f t="shared" si="67"/>
        <v>26409861</v>
      </c>
      <c r="Q142" s="57">
        <f t="shared" si="68"/>
        <v>74.696016475754163</v>
      </c>
      <c r="R142" s="57">
        <f t="shared" si="69"/>
        <v>7.8039835242458366</v>
      </c>
      <c r="S142" s="88">
        <f t="shared" si="70"/>
        <v>0.02</v>
      </c>
      <c r="T142" s="33">
        <f t="shared" si="71"/>
        <v>502471</v>
      </c>
      <c r="U142" s="9">
        <f t="shared" si="72"/>
        <v>0</v>
      </c>
      <c r="V142" s="9">
        <f t="shared" si="58"/>
        <v>0</v>
      </c>
      <c r="W142" s="9">
        <f t="shared" si="73"/>
        <v>0</v>
      </c>
      <c r="X142" s="127">
        <f>MIN(H142*parameters!C$22,ROUND(P142+T142-V142+W142,0))</f>
        <v>26912332</v>
      </c>
      <c r="Y142" s="94">
        <f t="shared" si="74"/>
        <v>76.117174356690711</v>
      </c>
      <c r="AA142" s="33">
        <f t="shared" si="75"/>
        <v>-2759212</v>
      </c>
      <c r="AB142" s="33">
        <f t="shared" si="76"/>
        <v>-2256741</v>
      </c>
      <c r="AC142" s="33">
        <f t="shared" si="77"/>
        <v>0</v>
      </c>
      <c r="AD142" s="57">
        <f t="shared" si="78"/>
        <v>-6.3828256433092889</v>
      </c>
      <c r="AG142" s="609" t="str">
        <f t="shared" si="79"/>
        <v>136</v>
      </c>
      <c r="AH142" s="388" t="str">
        <f t="shared" si="80"/>
        <v>Holliston</v>
      </c>
      <c r="AI142" s="380">
        <f t="shared" si="81"/>
        <v>0.84033370309776478</v>
      </c>
      <c r="AJ142" s="381">
        <f t="shared" si="59"/>
        <v>82.5</v>
      </c>
      <c r="AK142" s="380">
        <f t="shared" si="82"/>
        <v>5.1200000000000002E-2</v>
      </c>
      <c r="AL142" s="9">
        <f t="shared" si="60"/>
        <v>26912332</v>
      </c>
      <c r="AM142" s="57">
        <f t="shared" si="83"/>
        <v>-6.3828256433092889</v>
      </c>
    </row>
    <row r="143" spans="1:39" ht="12.75" customHeight="1">
      <c r="A143" s="6">
        <v>137</v>
      </c>
      <c r="B143" s="6" t="s">
        <v>818</v>
      </c>
      <c r="C143" s="81">
        <v>2572663000</v>
      </c>
      <c r="D143" s="81">
        <f t="shared" si="61"/>
        <v>10047813.46058934</v>
      </c>
      <c r="E143" s="8">
        <v>843705000</v>
      </c>
      <c r="F143" s="81">
        <f t="shared" si="84"/>
        <v>12075022.028590802</v>
      </c>
      <c r="G143" s="81">
        <f t="shared" si="62"/>
        <v>22122835</v>
      </c>
      <c r="H143" s="127">
        <f t="shared" si="63"/>
        <v>114374878.07000002</v>
      </c>
      <c r="I143" s="347">
        <f t="shared" si="64"/>
        <v>0.19342390018951822</v>
      </c>
      <c r="J143" s="33">
        <f t="shared" si="57"/>
        <v>94359274</v>
      </c>
      <c r="K143" s="33">
        <f t="shared" si="65"/>
        <v>22122835</v>
      </c>
      <c r="L143" s="126">
        <f t="shared" si="66"/>
        <v>19.34</v>
      </c>
      <c r="M143" s="470"/>
      <c r="N143" s="128">
        <v>12452771</v>
      </c>
      <c r="O143" s="449">
        <v>3.8699999999999998E-2</v>
      </c>
      <c r="P143" s="33">
        <f t="shared" si="67"/>
        <v>12934693</v>
      </c>
      <c r="Q143" s="57">
        <f t="shared" si="68"/>
        <v>11.309033258233223</v>
      </c>
      <c r="R143" s="57">
        <f t="shared" si="69"/>
        <v>8.0309667417667772</v>
      </c>
      <c r="S143" s="88">
        <f t="shared" si="70"/>
        <v>0.02</v>
      </c>
      <c r="T143" s="33">
        <f t="shared" si="71"/>
        <v>249055</v>
      </c>
      <c r="U143" s="9">
        <f t="shared" si="72"/>
        <v>0</v>
      </c>
      <c r="V143" s="9">
        <f t="shared" si="58"/>
        <v>0</v>
      </c>
      <c r="W143" s="9">
        <f t="shared" si="73"/>
        <v>0</v>
      </c>
      <c r="X143" s="127">
        <f>MIN(H143*parameters!C$22,ROUND(P143+T143-V143+W143,0))</f>
        <v>13183748</v>
      </c>
      <c r="Y143" s="94">
        <f t="shared" si="74"/>
        <v>11.526786495834555</v>
      </c>
      <c r="AA143" s="33">
        <f t="shared" si="75"/>
        <v>-9188142</v>
      </c>
      <c r="AB143" s="33">
        <f t="shared" si="76"/>
        <v>-8939087</v>
      </c>
      <c r="AC143" s="33">
        <f t="shared" si="77"/>
        <v>0</v>
      </c>
      <c r="AD143" s="57">
        <f t="shared" si="78"/>
        <v>-7.8132135041654447</v>
      </c>
      <c r="AG143" s="609" t="str">
        <f t="shared" si="79"/>
        <v>137</v>
      </c>
      <c r="AH143" s="388" t="str">
        <f t="shared" si="80"/>
        <v>Holyoke</v>
      </c>
      <c r="AI143" s="380">
        <f t="shared" si="81"/>
        <v>0.19342390018951822</v>
      </c>
      <c r="AJ143" s="381">
        <f t="shared" si="59"/>
        <v>19.34</v>
      </c>
      <c r="AK143" s="380">
        <f t="shared" si="82"/>
        <v>3.8699999999999998E-2</v>
      </c>
      <c r="AL143" s="9">
        <f t="shared" si="60"/>
        <v>13183748</v>
      </c>
      <c r="AM143" s="57">
        <f t="shared" si="83"/>
        <v>-7.8132135041654447</v>
      </c>
    </row>
    <row r="144" spans="1:39" ht="12.75" customHeight="1">
      <c r="A144" s="6">
        <v>138</v>
      </c>
      <c r="B144" s="6" t="s">
        <v>819</v>
      </c>
      <c r="C144" s="81">
        <v>929315000</v>
      </c>
      <c r="D144" s="81">
        <f t="shared" si="61"/>
        <v>3629540.1947816652</v>
      </c>
      <c r="E144" s="8">
        <v>295074000</v>
      </c>
      <c r="F144" s="81">
        <f t="shared" si="84"/>
        <v>4223069.7341658548</v>
      </c>
      <c r="G144" s="81">
        <f t="shared" si="62"/>
        <v>7852610</v>
      </c>
      <c r="H144" s="127">
        <f t="shared" si="63"/>
        <v>13032985.356936542</v>
      </c>
      <c r="I144" s="347">
        <f t="shared" si="64"/>
        <v>0.60251813264108423</v>
      </c>
      <c r="J144" s="33">
        <f t="shared" si="57"/>
        <v>10752213</v>
      </c>
      <c r="K144" s="33">
        <f t="shared" si="65"/>
        <v>7852610</v>
      </c>
      <c r="L144" s="126">
        <f t="shared" si="66"/>
        <v>60.25</v>
      </c>
      <c r="M144" s="470"/>
      <c r="N144" s="128">
        <v>7268126</v>
      </c>
      <c r="O144" s="449">
        <v>5.2499999999999998E-2</v>
      </c>
      <c r="P144" s="33">
        <f t="shared" si="67"/>
        <v>7649703</v>
      </c>
      <c r="Q144" s="57">
        <f t="shared" si="68"/>
        <v>58.694940495184404</v>
      </c>
      <c r="R144" s="57">
        <f t="shared" si="69"/>
        <v>1.5550595048155955</v>
      </c>
      <c r="S144" s="88">
        <f t="shared" si="70"/>
        <v>0</v>
      </c>
      <c r="T144" s="33">
        <f t="shared" si="71"/>
        <v>0</v>
      </c>
      <c r="U144" s="9">
        <f t="shared" si="72"/>
        <v>0</v>
      </c>
      <c r="V144" s="9">
        <f t="shared" si="58"/>
        <v>0</v>
      </c>
      <c r="W144" s="9">
        <f t="shared" si="73"/>
        <v>0</v>
      </c>
      <c r="X144" s="127">
        <f>MIN(H144*parameters!C$22,ROUND(P144+T144-V144+W144,0))</f>
        <v>7649703</v>
      </c>
      <c r="Y144" s="94">
        <f t="shared" si="74"/>
        <v>58.694940495184404</v>
      </c>
      <c r="AA144" s="33">
        <f t="shared" si="75"/>
        <v>-202907</v>
      </c>
      <c r="AB144" s="33">
        <f t="shared" si="76"/>
        <v>-202907</v>
      </c>
      <c r="AC144" s="33">
        <f t="shared" si="77"/>
        <v>0</v>
      </c>
      <c r="AD144" s="57">
        <f t="shared" si="78"/>
        <v>-1.5550595048155955</v>
      </c>
      <c r="AG144" s="609" t="str">
        <f t="shared" si="79"/>
        <v>138</v>
      </c>
      <c r="AH144" s="388" t="str">
        <f t="shared" si="80"/>
        <v>Hopedale</v>
      </c>
      <c r="AI144" s="380">
        <f t="shared" si="81"/>
        <v>0.60251813264108423</v>
      </c>
      <c r="AJ144" s="381">
        <f t="shared" si="59"/>
        <v>60.25</v>
      </c>
      <c r="AK144" s="380">
        <f t="shared" si="82"/>
        <v>5.2499999999999998E-2</v>
      </c>
      <c r="AL144" s="9">
        <f t="shared" si="60"/>
        <v>7649703</v>
      </c>
      <c r="AM144" s="57">
        <f t="shared" si="83"/>
        <v>-1.5550595048155955</v>
      </c>
    </row>
    <row r="145" spans="1:39" ht="12.75" customHeight="1">
      <c r="A145" s="6">
        <v>139</v>
      </c>
      <c r="B145" s="6" t="s">
        <v>820</v>
      </c>
      <c r="C145" s="81">
        <v>5173582300</v>
      </c>
      <c r="D145" s="81">
        <f t="shared" si="61"/>
        <v>20205984.955435965</v>
      </c>
      <c r="E145" s="8">
        <v>2217371000</v>
      </c>
      <c r="F145" s="81">
        <f t="shared" si="84"/>
        <v>31734793.168890093</v>
      </c>
      <c r="G145" s="81">
        <f t="shared" si="62"/>
        <v>51940778</v>
      </c>
      <c r="H145" s="127">
        <f t="shared" si="63"/>
        <v>53281588.370470174</v>
      </c>
      <c r="I145" s="347">
        <f t="shared" si="64"/>
        <v>0.97483539039513167</v>
      </c>
      <c r="J145" s="33">
        <f t="shared" si="57"/>
        <v>43957310</v>
      </c>
      <c r="K145" s="33">
        <f t="shared" si="65"/>
        <v>43957310</v>
      </c>
      <c r="L145" s="126">
        <f t="shared" si="66"/>
        <v>82.5</v>
      </c>
      <c r="M145" s="470"/>
      <c r="N145" s="128">
        <v>41517729</v>
      </c>
      <c r="O145" s="449">
        <v>7.7399999999999997E-2</v>
      </c>
      <c r="P145" s="33">
        <f t="shared" si="67"/>
        <v>44731201</v>
      </c>
      <c r="Q145" s="57">
        <f t="shared" si="68"/>
        <v>83.952454061581648</v>
      </c>
      <c r="R145" s="57">
        <f t="shared" si="69"/>
        <v>0</v>
      </c>
      <c r="S145" s="88">
        <f t="shared" si="70"/>
        <v>0</v>
      </c>
      <c r="T145" s="33">
        <f t="shared" si="71"/>
        <v>0</v>
      </c>
      <c r="U145" s="9">
        <f t="shared" si="72"/>
        <v>773891</v>
      </c>
      <c r="V145" s="9">
        <f t="shared" si="58"/>
        <v>773891</v>
      </c>
      <c r="W145" s="9">
        <f t="shared" si="73"/>
        <v>0</v>
      </c>
      <c r="X145" s="127">
        <f>MIN(H145*parameters!C$22,ROUND(P145+T145-V145+W145,0))</f>
        <v>43957310</v>
      </c>
      <c r="Y145" s="94">
        <f t="shared" si="74"/>
        <v>82.499999238690307</v>
      </c>
      <c r="AA145" s="33">
        <f t="shared" si="75"/>
        <v>0</v>
      </c>
      <c r="AB145" s="33">
        <f t="shared" si="76"/>
        <v>0</v>
      </c>
      <c r="AC145" s="33">
        <f t="shared" si="77"/>
        <v>0</v>
      </c>
      <c r="AD145" s="57">
        <f t="shared" si="78"/>
        <v>-7.6130969262067083E-7</v>
      </c>
      <c r="AG145" s="609" t="str">
        <f t="shared" si="79"/>
        <v>139</v>
      </c>
      <c r="AH145" s="388" t="str">
        <f t="shared" si="80"/>
        <v>Hopkinton</v>
      </c>
      <c r="AI145" s="380">
        <f t="shared" si="81"/>
        <v>0.97483539039513167</v>
      </c>
      <c r="AJ145" s="381">
        <f t="shared" si="59"/>
        <v>82.5</v>
      </c>
      <c r="AK145" s="380">
        <f t="shared" si="82"/>
        <v>7.7399999999999997E-2</v>
      </c>
      <c r="AL145" s="9">
        <f t="shared" si="60"/>
        <v>43957310</v>
      </c>
      <c r="AM145" s="57">
        <f t="shared" si="83"/>
        <v>-7.6130969262067083E-7</v>
      </c>
    </row>
    <row r="146" spans="1:39" ht="12.75" customHeight="1">
      <c r="A146" s="6">
        <v>140</v>
      </c>
      <c r="B146" s="6" t="s">
        <v>821</v>
      </c>
      <c r="C146" s="81">
        <v>587783900</v>
      </c>
      <c r="D146" s="81">
        <f t="shared" si="61"/>
        <v>2295653.5629958916</v>
      </c>
      <c r="E146" s="8">
        <v>194653000</v>
      </c>
      <c r="F146" s="81">
        <f t="shared" si="84"/>
        <v>2785854.372003586</v>
      </c>
      <c r="G146" s="81">
        <f t="shared" si="62"/>
        <v>5081508</v>
      </c>
      <c r="H146" s="127">
        <f t="shared" si="63"/>
        <v>8698595.5503098033</v>
      </c>
      <c r="I146" s="347">
        <f t="shared" si="64"/>
        <v>0.58417568337442938</v>
      </c>
      <c r="J146" s="33">
        <f t="shared" si="57"/>
        <v>7176341</v>
      </c>
      <c r="K146" s="33">
        <f t="shared" si="65"/>
        <v>5081508</v>
      </c>
      <c r="L146" s="126">
        <f t="shared" si="66"/>
        <v>58.42</v>
      </c>
      <c r="M146" s="470"/>
      <c r="N146" s="128">
        <v>4357140</v>
      </c>
      <c r="O146" s="449">
        <v>3.7900000000000003E-2</v>
      </c>
      <c r="P146" s="33">
        <f t="shared" si="67"/>
        <v>4522276</v>
      </c>
      <c r="Q146" s="57">
        <f t="shared" si="68"/>
        <v>51.988576475876471</v>
      </c>
      <c r="R146" s="57">
        <f t="shared" si="69"/>
        <v>6.4314235241235309</v>
      </c>
      <c r="S146" s="88">
        <f t="shared" si="70"/>
        <v>0.01</v>
      </c>
      <c r="T146" s="33">
        <f t="shared" si="71"/>
        <v>43571</v>
      </c>
      <c r="U146" s="9">
        <f t="shared" si="72"/>
        <v>0</v>
      </c>
      <c r="V146" s="9">
        <f t="shared" si="58"/>
        <v>0</v>
      </c>
      <c r="W146" s="9">
        <f t="shared" si="73"/>
        <v>0</v>
      </c>
      <c r="X146" s="127">
        <f>MIN(H146*parameters!C$22,ROUND(P146+T146-V146+W146,0))</f>
        <v>4565847</v>
      </c>
      <c r="Y146" s="94">
        <f t="shared" si="74"/>
        <v>52.489473428125827</v>
      </c>
      <c r="AA146" s="33">
        <f t="shared" si="75"/>
        <v>-559232</v>
      </c>
      <c r="AB146" s="33">
        <f t="shared" si="76"/>
        <v>-515661</v>
      </c>
      <c r="AC146" s="33">
        <f t="shared" si="77"/>
        <v>0</v>
      </c>
      <c r="AD146" s="57">
        <f t="shared" si="78"/>
        <v>-5.9305265718741751</v>
      </c>
      <c r="AG146" s="609" t="str">
        <f t="shared" si="79"/>
        <v>140</v>
      </c>
      <c r="AH146" s="388" t="str">
        <f t="shared" si="80"/>
        <v>Hubbardston</v>
      </c>
      <c r="AI146" s="380">
        <f t="shared" si="81"/>
        <v>0.58417568337442938</v>
      </c>
      <c r="AJ146" s="381">
        <f t="shared" si="59"/>
        <v>58.42</v>
      </c>
      <c r="AK146" s="380">
        <f t="shared" si="82"/>
        <v>3.7900000000000003E-2</v>
      </c>
      <c r="AL146" s="9">
        <f t="shared" si="60"/>
        <v>4565847</v>
      </c>
      <c r="AM146" s="57">
        <f t="shared" si="83"/>
        <v>-5.9305265718741751</v>
      </c>
    </row>
    <row r="147" spans="1:39" ht="12.75" customHeight="1">
      <c r="A147" s="6">
        <v>141</v>
      </c>
      <c r="B147" s="6" t="s">
        <v>822</v>
      </c>
      <c r="C147" s="81">
        <v>3508853900</v>
      </c>
      <c r="D147" s="81">
        <f t="shared" si="61"/>
        <v>13704208.226130435</v>
      </c>
      <c r="E147" s="8">
        <v>984288000</v>
      </c>
      <c r="F147" s="81">
        <f t="shared" si="84"/>
        <v>14087031.939454649</v>
      </c>
      <c r="G147" s="81">
        <f t="shared" si="62"/>
        <v>27791240</v>
      </c>
      <c r="H147" s="127">
        <f t="shared" si="63"/>
        <v>39806108.848408654</v>
      </c>
      <c r="I147" s="347">
        <f t="shared" si="64"/>
        <v>0.69816520137237736</v>
      </c>
      <c r="J147" s="33">
        <f t="shared" si="57"/>
        <v>32840040</v>
      </c>
      <c r="K147" s="33">
        <f t="shared" si="65"/>
        <v>27791240</v>
      </c>
      <c r="L147" s="126">
        <f t="shared" si="66"/>
        <v>69.819999999999993</v>
      </c>
      <c r="M147" s="470"/>
      <c r="N147" s="128">
        <v>24014966</v>
      </c>
      <c r="O147" s="449">
        <v>4.0800000000000003E-2</v>
      </c>
      <c r="P147" s="33">
        <f t="shared" si="67"/>
        <v>24994777</v>
      </c>
      <c r="Q147" s="57">
        <f t="shared" si="68"/>
        <v>62.791309482637928</v>
      </c>
      <c r="R147" s="57">
        <f t="shared" si="69"/>
        <v>7.0286905173620653</v>
      </c>
      <c r="S147" s="88">
        <f t="shared" si="70"/>
        <v>0.01</v>
      </c>
      <c r="T147" s="33">
        <f t="shared" si="71"/>
        <v>240150</v>
      </c>
      <c r="U147" s="9">
        <f t="shared" si="72"/>
        <v>0</v>
      </c>
      <c r="V147" s="9">
        <f t="shared" si="58"/>
        <v>0</v>
      </c>
      <c r="W147" s="9">
        <f t="shared" si="73"/>
        <v>0</v>
      </c>
      <c r="X147" s="127">
        <f>MIN(H147*parameters!C$22,ROUND(P147+T147-V147+W147,0))</f>
        <v>25234927</v>
      </c>
      <c r="Y147" s="94">
        <f t="shared" si="74"/>
        <v>63.394608842830486</v>
      </c>
      <c r="AA147" s="33">
        <f t="shared" si="75"/>
        <v>-2796463</v>
      </c>
      <c r="AB147" s="33">
        <f t="shared" si="76"/>
        <v>-2556313</v>
      </c>
      <c r="AC147" s="33">
        <f t="shared" si="77"/>
        <v>0</v>
      </c>
      <c r="AD147" s="57">
        <f t="shared" si="78"/>
        <v>-6.425391157169507</v>
      </c>
      <c r="AG147" s="609" t="str">
        <f t="shared" si="79"/>
        <v>141</v>
      </c>
      <c r="AH147" s="388" t="str">
        <f t="shared" si="80"/>
        <v>Hudson</v>
      </c>
      <c r="AI147" s="380">
        <f t="shared" si="81"/>
        <v>0.69816520137237736</v>
      </c>
      <c r="AJ147" s="381">
        <f t="shared" si="59"/>
        <v>69.819999999999993</v>
      </c>
      <c r="AK147" s="380">
        <f t="shared" si="82"/>
        <v>4.0800000000000003E-2</v>
      </c>
      <c r="AL147" s="9">
        <f t="shared" si="60"/>
        <v>25234927</v>
      </c>
      <c r="AM147" s="57">
        <f t="shared" si="83"/>
        <v>-6.425391157169507</v>
      </c>
    </row>
    <row r="148" spans="1:39" ht="12.75" customHeight="1">
      <c r="A148" s="6">
        <v>142</v>
      </c>
      <c r="B148" s="6" t="s">
        <v>823</v>
      </c>
      <c r="C148" s="81">
        <v>2851555900</v>
      </c>
      <c r="D148" s="81">
        <f t="shared" si="61"/>
        <v>11137059.830861233</v>
      </c>
      <c r="E148" s="8">
        <v>604391000</v>
      </c>
      <c r="F148" s="81">
        <f t="shared" si="84"/>
        <v>8649983.8674442172</v>
      </c>
      <c r="G148" s="81">
        <f t="shared" si="62"/>
        <v>19787044</v>
      </c>
      <c r="H148" s="127">
        <f t="shared" si="63"/>
        <v>10813118.211879998</v>
      </c>
      <c r="I148" s="347">
        <f t="shared" si="64"/>
        <v>1.8299110036789075</v>
      </c>
      <c r="J148" s="33">
        <f t="shared" si="57"/>
        <v>8920823</v>
      </c>
      <c r="K148" s="33">
        <f t="shared" si="65"/>
        <v>8920823</v>
      </c>
      <c r="L148" s="126">
        <f t="shared" si="66"/>
        <v>82.5</v>
      </c>
      <c r="M148" s="470"/>
      <c r="N148" s="128">
        <v>9052274</v>
      </c>
      <c r="O148" s="449">
        <v>4.0500000000000001E-2</v>
      </c>
      <c r="P148" s="33">
        <f t="shared" si="67"/>
        <v>9418891</v>
      </c>
      <c r="Q148" s="57">
        <f t="shared" si="68"/>
        <v>87.10615028375247</v>
      </c>
      <c r="R148" s="57">
        <f t="shared" si="69"/>
        <v>0</v>
      </c>
      <c r="S148" s="88">
        <f t="shared" si="70"/>
        <v>0</v>
      </c>
      <c r="T148" s="33">
        <f t="shared" si="71"/>
        <v>0</v>
      </c>
      <c r="U148" s="9">
        <f t="shared" si="72"/>
        <v>498068</v>
      </c>
      <c r="V148" s="9">
        <f t="shared" si="58"/>
        <v>498068</v>
      </c>
      <c r="W148" s="9">
        <f t="shared" si="73"/>
        <v>0</v>
      </c>
      <c r="X148" s="127">
        <f>MIN(H148*parameters!C$22,ROUND(P148+T148-V148+W148,0))</f>
        <v>8920823</v>
      </c>
      <c r="Y148" s="94">
        <f t="shared" si="74"/>
        <v>82.500004394652791</v>
      </c>
      <c r="AA148" s="33">
        <f t="shared" si="75"/>
        <v>0</v>
      </c>
      <c r="AB148" s="33">
        <f t="shared" si="76"/>
        <v>0</v>
      </c>
      <c r="AC148" s="33">
        <f t="shared" si="77"/>
        <v>0</v>
      </c>
      <c r="AD148" s="57">
        <f t="shared" si="78"/>
        <v>4.3946527910065925E-6</v>
      </c>
      <c r="AG148" s="609" t="str">
        <f t="shared" si="79"/>
        <v>142</v>
      </c>
      <c r="AH148" s="388" t="str">
        <f t="shared" si="80"/>
        <v>Hull</v>
      </c>
      <c r="AI148" s="380">
        <f t="shared" si="81"/>
        <v>1.8299110036789075</v>
      </c>
      <c r="AJ148" s="381">
        <f t="shared" si="59"/>
        <v>82.5</v>
      </c>
      <c r="AK148" s="380">
        <f t="shared" si="82"/>
        <v>4.0500000000000001E-2</v>
      </c>
      <c r="AL148" s="9">
        <f t="shared" si="60"/>
        <v>8920823</v>
      </c>
      <c r="AM148" s="57">
        <f t="shared" si="83"/>
        <v>4.3946527910065925E-6</v>
      </c>
    </row>
    <row r="149" spans="1:39" ht="12.75" customHeight="1">
      <c r="A149" s="6">
        <v>143</v>
      </c>
      <c r="B149" s="6" t="s">
        <v>824</v>
      </c>
      <c r="C149" s="81">
        <v>255469400</v>
      </c>
      <c r="D149" s="81">
        <f t="shared" si="61"/>
        <v>997763.35885760491</v>
      </c>
      <c r="E149" s="8">
        <v>75187000</v>
      </c>
      <c r="F149" s="81">
        <f t="shared" si="84"/>
        <v>1076068.864429696</v>
      </c>
      <c r="G149" s="81">
        <f t="shared" si="62"/>
        <v>2073832</v>
      </c>
      <c r="H149" s="127">
        <f t="shared" si="63"/>
        <v>4842580.9208917767</v>
      </c>
      <c r="I149" s="347">
        <f t="shared" si="64"/>
        <v>0.42824932280493461</v>
      </c>
      <c r="J149" s="33">
        <f t="shared" si="57"/>
        <v>3995129</v>
      </c>
      <c r="K149" s="33">
        <f t="shared" si="65"/>
        <v>2073832</v>
      </c>
      <c r="L149" s="126">
        <f t="shared" si="66"/>
        <v>42.82</v>
      </c>
      <c r="M149" s="470"/>
      <c r="N149" s="128">
        <v>1791647</v>
      </c>
      <c r="O149" s="449">
        <v>3.4599999999999999E-2</v>
      </c>
      <c r="P149" s="33">
        <f t="shared" si="67"/>
        <v>1853638</v>
      </c>
      <c r="Q149" s="57">
        <f t="shared" si="68"/>
        <v>38.277894170091571</v>
      </c>
      <c r="R149" s="57">
        <f t="shared" si="69"/>
        <v>4.5421058299084294</v>
      </c>
      <c r="S149" s="88">
        <f t="shared" si="70"/>
        <v>0.01</v>
      </c>
      <c r="T149" s="33">
        <f t="shared" si="71"/>
        <v>17916</v>
      </c>
      <c r="U149" s="9">
        <f t="shared" si="72"/>
        <v>0</v>
      </c>
      <c r="V149" s="9">
        <f t="shared" si="58"/>
        <v>0</v>
      </c>
      <c r="W149" s="9">
        <f t="shared" si="73"/>
        <v>0</v>
      </c>
      <c r="X149" s="127">
        <f>MIN(H149*parameters!C$22,ROUND(P149+T149-V149+W149,0))</f>
        <v>1871554</v>
      </c>
      <c r="Y149" s="94">
        <f t="shared" si="74"/>
        <v>38.647862174605592</v>
      </c>
      <c r="AA149" s="33">
        <f t="shared" si="75"/>
        <v>-220194</v>
      </c>
      <c r="AB149" s="33">
        <f t="shared" si="76"/>
        <v>-202278</v>
      </c>
      <c r="AC149" s="33">
        <f t="shared" si="77"/>
        <v>0</v>
      </c>
      <c r="AD149" s="57">
        <f t="shared" si="78"/>
        <v>-4.1721378253944081</v>
      </c>
      <c r="AG149" s="609" t="str">
        <f t="shared" si="79"/>
        <v>143</v>
      </c>
      <c r="AH149" s="388" t="str">
        <f t="shared" si="80"/>
        <v>Huntington</v>
      </c>
      <c r="AI149" s="380">
        <f t="shared" si="81"/>
        <v>0.42824932280493461</v>
      </c>
      <c r="AJ149" s="381">
        <f t="shared" si="59"/>
        <v>42.82</v>
      </c>
      <c r="AK149" s="380">
        <f t="shared" si="82"/>
        <v>3.4599999999999999E-2</v>
      </c>
      <c r="AL149" s="9">
        <f t="shared" si="60"/>
        <v>1871554</v>
      </c>
      <c r="AM149" s="57">
        <f t="shared" si="83"/>
        <v>-4.1721378253944081</v>
      </c>
    </row>
    <row r="150" spans="1:39" ht="12.75" customHeight="1">
      <c r="A150" s="6">
        <v>144</v>
      </c>
      <c r="B150" s="6" t="s">
        <v>825</v>
      </c>
      <c r="C150" s="81">
        <v>3651224100</v>
      </c>
      <c r="D150" s="81">
        <f t="shared" si="61"/>
        <v>14260250.432959234</v>
      </c>
      <c r="E150" s="8">
        <v>1121767000</v>
      </c>
      <c r="F150" s="81">
        <f t="shared" si="84"/>
        <v>16054617.711103074</v>
      </c>
      <c r="G150" s="81">
        <f t="shared" si="62"/>
        <v>30314868</v>
      </c>
      <c r="H150" s="127">
        <f t="shared" si="63"/>
        <v>21613223.058861624</v>
      </c>
      <c r="I150" s="347">
        <f t="shared" si="64"/>
        <v>1.402607464765447</v>
      </c>
      <c r="J150" s="33">
        <f t="shared" si="57"/>
        <v>17830909</v>
      </c>
      <c r="K150" s="33">
        <f t="shared" si="65"/>
        <v>17830909</v>
      </c>
      <c r="L150" s="126">
        <f t="shared" si="66"/>
        <v>82.5</v>
      </c>
      <c r="M150" s="470"/>
      <c r="N150" s="128">
        <v>16917853</v>
      </c>
      <c r="O150" s="449">
        <v>4.4199999999999996E-2</v>
      </c>
      <c r="P150" s="33">
        <f t="shared" si="67"/>
        <v>17665622</v>
      </c>
      <c r="Q150" s="57">
        <f t="shared" si="68"/>
        <v>81.735250461670176</v>
      </c>
      <c r="R150" s="57">
        <f t="shared" si="69"/>
        <v>0.76474953832982351</v>
      </c>
      <c r="S150" s="88">
        <f t="shared" si="70"/>
        <v>0</v>
      </c>
      <c r="T150" s="33">
        <f t="shared" si="71"/>
        <v>0</v>
      </c>
      <c r="U150" s="9">
        <f t="shared" si="72"/>
        <v>0</v>
      </c>
      <c r="V150" s="9">
        <f t="shared" si="58"/>
        <v>0</v>
      </c>
      <c r="W150" s="9">
        <f t="shared" si="73"/>
        <v>0</v>
      </c>
      <c r="X150" s="127">
        <f>MIN(H150*parameters!C$22,ROUND(P150+T150-V150+W150,0))</f>
        <v>17665622</v>
      </c>
      <c r="Y150" s="94">
        <f t="shared" si="74"/>
        <v>81.735250461670176</v>
      </c>
      <c r="AA150" s="33">
        <f t="shared" si="75"/>
        <v>-165287</v>
      </c>
      <c r="AB150" s="33">
        <f t="shared" si="76"/>
        <v>-165287</v>
      </c>
      <c r="AC150" s="33">
        <f t="shared" si="77"/>
        <v>0</v>
      </c>
      <c r="AD150" s="57">
        <f t="shared" si="78"/>
        <v>-0.76474953832982351</v>
      </c>
      <c r="AG150" s="609" t="str">
        <f t="shared" si="79"/>
        <v>144</v>
      </c>
      <c r="AH150" s="388" t="str">
        <f t="shared" si="80"/>
        <v>Ipswich</v>
      </c>
      <c r="AI150" s="380">
        <f t="shared" si="81"/>
        <v>1.402607464765447</v>
      </c>
      <c r="AJ150" s="381">
        <f t="shared" si="59"/>
        <v>82.5</v>
      </c>
      <c r="AK150" s="380">
        <f t="shared" si="82"/>
        <v>4.4199999999999996E-2</v>
      </c>
      <c r="AL150" s="9">
        <f t="shared" si="60"/>
        <v>17665622</v>
      </c>
      <c r="AM150" s="57">
        <f t="shared" si="83"/>
        <v>-0.76474953832982351</v>
      </c>
    </row>
    <row r="151" spans="1:39" ht="12.75" customHeight="1">
      <c r="A151" s="6">
        <v>145</v>
      </c>
      <c r="B151" s="6" t="s">
        <v>826</v>
      </c>
      <c r="C151" s="81">
        <v>2686343300</v>
      </c>
      <c r="D151" s="81">
        <f t="shared" si="61"/>
        <v>10491804.16148714</v>
      </c>
      <c r="E151" s="8">
        <v>721415000</v>
      </c>
      <c r="F151" s="81">
        <f t="shared" si="84"/>
        <v>10324819.713947214</v>
      </c>
      <c r="G151" s="81">
        <f t="shared" si="62"/>
        <v>20816624</v>
      </c>
      <c r="H151" s="127">
        <f t="shared" si="63"/>
        <v>30267505.261453688</v>
      </c>
      <c r="I151" s="347">
        <f t="shared" si="64"/>
        <v>0.68775486516592477</v>
      </c>
      <c r="J151" s="33">
        <f t="shared" si="57"/>
        <v>24970692</v>
      </c>
      <c r="K151" s="33">
        <f t="shared" si="65"/>
        <v>20816624</v>
      </c>
      <c r="L151" s="126">
        <f t="shared" si="66"/>
        <v>68.78</v>
      </c>
      <c r="M151" s="470"/>
      <c r="N151" s="128">
        <v>17876514</v>
      </c>
      <c r="O151" s="449">
        <v>6.0199999999999997E-2</v>
      </c>
      <c r="P151" s="33">
        <f t="shared" si="67"/>
        <v>18952680</v>
      </c>
      <c r="Q151" s="57">
        <f t="shared" si="68"/>
        <v>62.61725185569437</v>
      </c>
      <c r="R151" s="57">
        <f t="shared" si="69"/>
        <v>6.1627481443056311</v>
      </c>
      <c r="S151" s="88">
        <f t="shared" si="70"/>
        <v>0.01</v>
      </c>
      <c r="T151" s="33">
        <f t="shared" si="71"/>
        <v>178765</v>
      </c>
      <c r="U151" s="9">
        <f t="shared" si="72"/>
        <v>0</v>
      </c>
      <c r="V151" s="9">
        <f t="shared" si="58"/>
        <v>0</v>
      </c>
      <c r="W151" s="9">
        <f t="shared" si="73"/>
        <v>0</v>
      </c>
      <c r="X151" s="127">
        <f>MIN(H151*parameters!C$22,ROUND(P151+T151-V151+W151,0))</f>
        <v>19131445</v>
      </c>
      <c r="Y151" s="94">
        <f t="shared" si="74"/>
        <v>63.207868751457035</v>
      </c>
      <c r="AA151" s="33">
        <f t="shared" si="75"/>
        <v>-1863944</v>
      </c>
      <c r="AB151" s="33">
        <f t="shared" si="76"/>
        <v>-1685179</v>
      </c>
      <c r="AC151" s="33">
        <f t="shared" si="77"/>
        <v>0</v>
      </c>
      <c r="AD151" s="57">
        <f t="shared" si="78"/>
        <v>-5.5721312485429664</v>
      </c>
      <c r="AG151" s="609" t="str">
        <f t="shared" si="79"/>
        <v>145</v>
      </c>
      <c r="AH151" s="388" t="str">
        <f t="shared" si="80"/>
        <v>Kingston</v>
      </c>
      <c r="AI151" s="380">
        <f t="shared" si="81"/>
        <v>0.68775486516592477</v>
      </c>
      <c r="AJ151" s="381">
        <f t="shared" si="59"/>
        <v>68.78</v>
      </c>
      <c r="AK151" s="380">
        <f t="shared" si="82"/>
        <v>6.0199999999999997E-2</v>
      </c>
      <c r="AL151" s="9">
        <f t="shared" si="60"/>
        <v>19131445</v>
      </c>
      <c r="AM151" s="57">
        <f t="shared" si="83"/>
        <v>-5.5721312485429664</v>
      </c>
    </row>
    <row r="152" spans="1:39" ht="12.75" customHeight="1">
      <c r="A152" s="6">
        <v>146</v>
      </c>
      <c r="B152" s="6" t="s">
        <v>827</v>
      </c>
      <c r="C152" s="81">
        <v>2334757300</v>
      </c>
      <c r="D152" s="81">
        <f t="shared" si="61"/>
        <v>9118647.0307806451</v>
      </c>
      <c r="E152" s="8">
        <v>627678000</v>
      </c>
      <c r="F152" s="81">
        <f t="shared" si="84"/>
        <v>8983265.0948635098</v>
      </c>
      <c r="G152" s="81">
        <f t="shared" si="62"/>
        <v>18101912</v>
      </c>
      <c r="H152" s="127">
        <f t="shared" si="63"/>
        <v>23555125.079963874</v>
      </c>
      <c r="I152" s="347">
        <f t="shared" si="64"/>
        <v>0.76849144033616668</v>
      </c>
      <c r="J152" s="33">
        <f t="shared" si="57"/>
        <v>19432978</v>
      </c>
      <c r="K152" s="33">
        <f t="shared" si="65"/>
        <v>18101912</v>
      </c>
      <c r="L152" s="126">
        <f t="shared" si="66"/>
        <v>76.849999999999994</v>
      </c>
      <c r="M152" s="470"/>
      <c r="N152" s="128">
        <v>15151628</v>
      </c>
      <c r="O152" s="449">
        <v>4.58E-2</v>
      </c>
      <c r="P152" s="33">
        <f t="shared" si="67"/>
        <v>15845573</v>
      </c>
      <c r="Q152" s="57">
        <f t="shared" si="68"/>
        <v>67.270171337270185</v>
      </c>
      <c r="R152" s="57">
        <f t="shared" si="69"/>
        <v>9.5798286627298097</v>
      </c>
      <c r="S152" s="88">
        <f t="shared" si="70"/>
        <v>0.02</v>
      </c>
      <c r="T152" s="33">
        <f t="shared" si="71"/>
        <v>303033</v>
      </c>
      <c r="U152" s="9">
        <f t="shared" si="72"/>
        <v>0</v>
      </c>
      <c r="V152" s="9">
        <f t="shared" si="58"/>
        <v>0</v>
      </c>
      <c r="W152" s="9">
        <f t="shared" si="73"/>
        <v>0</v>
      </c>
      <c r="X152" s="127">
        <f>MIN(H152*parameters!C$22,ROUND(P152+T152-V152+W152,0))</f>
        <v>16148606</v>
      </c>
      <c r="Y152" s="94">
        <f t="shared" si="74"/>
        <v>68.556655696709072</v>
      </c>
      <c r="AA152" s="33">
        <f t="shared" si="75"/>
        <v>-2256339</v>
      </c>
      <c r="AB152" s="33">
        <f t="shared" si="76"/>
        <v>-1953306</v>
      </c>
      <c r="AC152" s="33">
        <f t="shared" si="77"/>
        <v>0</v>
      </c>
      <c r="AD152" s="57">
        <f t="shared" si="78"/>
        <v>-8.2933443032909224</v>
      </c>
      <c r="AG152" s="609" t="str">
        <f t="shared" si="79"/>
        <v>146</v>
      </c>
      <c r="AH152" s="388" t="str">
        <f t="shared" si="80"/>
        <v>Lakeville</v>
      </c>
      <c r="AI152" s="380">
        <f t="shared" si="81"/>
        <v>0.76849144033616668</v>
      </c>
      <c r="AJ152" s="381">
        <f t="shared" si="59"/>
        <v>76.849999999999994</v>
      </c>
      <c r="AK152" s="380">
        <f t="shared" si="82"/>
        <v>4.58E-2</v>
      </c>
      <c r="AL152" s="9">
        <f t="shared" si="60"/>
        <v>16148606</v>
      </c>
      <c r="AM152" s="57">
        <f t="shared" si="83"/>
        <v>-8.2933443032909224</v>
      </c>
    </row>
    <row r="153" spans="1:39" ht="12.75" customHeight="1">
      <c r="A153" s="6">
        <v>147</v>
      </c>
      <c r="B153" s="6" t="s">
        <v>828</v>
      </c>
      <c r="C153" s="81">
        <v>1181869900</v>
      </c>
      <c r="D153" s="81">
        <f t="shared" si="61"/>
        <v>4615920.658821376</v>
      </c>
      <c r="E153" s="8">
        <v>395641000</v>
      </c>
      <c r="F153" s="81">
        <f t="shared" si="84"/>
        <v>5662374.6338041062</v>
      </c>
      <c r="G153" s="81">
        <f t="shared" si="62"/>
        <v>10278295</v>
      </c>
      <c r="H153" s="127">
        <f t="shared" si="63"/>
        <v>14303427.739697965</v>
      </c>
      <c r="I153" s="347">
        <f t="shared" si="64"/>
        <v>0.71858964068266329</v>
      </c>
      <c r="J153" s="33">
        <f t="shared" si="57"/>
        <v>11800328</v>
      </c>
      <c r="K153" s="33">
        <f t="shared" si="65"/>
        <v>10278295</v>
      </c>
      <c r="L153" s="126">
        <f t="shared" si="66"/>
        <v>71.86</v>
      </c>
      <c r="M153" s="470"/>
      <c r="N153" s="128">
        <v>8983193</v>
      </c>
      <c r="O153" s="449">
        <v>3.3599999999999998E-2</v>
      </c>
      <c r="P153" s="33">
        <f t="shared" si="67"/>
        <v>9285028</v>
      </c>
      <c r="Q153" s="57">
        <f t="shared" si="68"/>
        <v>64.914705544533092</v>
      </c>
      <c r="R153" s="57">
        <f t="shared" si="69"/>
        <v>6.9452944554669074</v>
      </c>
      <c r="S153" s="88">
        <f t="shared" si="70"/>
        <v>0.01</v>
      </c>
      <c r="T153" s="33">
        <f t="shared" si="71"/>
        <v>89832</v>
      </c>
      <c r="U153" s="9">
        <f t="shared" si="72"/>
        <v>0</v>
      </c>
      <c r="V153" s="9">
        <f t="shared" si="58"/>
        <v>0</v>
      </c>
      <c r="W153" s="9">
        <f t="shared" si="73"/>
        <v>0</v>
      </c>
      <c r="X153" s="127">
        <f>MIN(H153*parameters!C$22,ROUND(P153+T153-V153+W153,0))</f>
        <v>9374860</v>
      </c>
      <c r="Y153" s="94">
        <f t="shared" si="74"/>
        <v>65.542750804975668</v>
      </c>
      <c r="AA153" s="33">
        <f t="shared" si="75"/>
        <v>-993267</v>
      </c>
      <c r="AB153" s="33">
        <f t="shared" si="76"/>
        <v>-903435</v>
      </c>
      <c r="AC153" s="33">
        <f t="shared" si="77"/>
        <v>0</v>
      </c>
      <c r="AD153" s="57">
        <f t="shared" si="78"/>
        <v>-6.3172491950243312</v>
      </c>
      <c r="AG153" s="609" t="str">
        <f t="shared" si="79"/>
        <v>147</v>
      </c>
      <c r="AH153" s="388" t="str">
        <f t="shared" si="80"/>
        <v>Lancaster</v>
      </c>
      <c r="AI153" s="380">
        <f t="shared" si="81"/>
        <v>0.71858964068266329</v>
      </c>
      <c r="AJ153" s="381">
        <f t="shared" si="59"/>
        <v>71.86</v>
      </c>
      <c r="AK153" s="380">
        <f t="shared" si="82"/>
        <v>3.3599999999999998E-2</v>
      </c>
      <c r="AL153" s="9">
        <f t="shared" si="60"/>
        <v>9374860</v>
      </c>
      <c r="AM153" s="57">
        <f t="shared" si="83"/>
        <v>-6.3172491950243312</v>
      </c>
    </row>
    <row r="154" spans="1:39" ht="12.75" customHeight="1">
      <c r="A154" s="6">
        <v>148</v>
      </c>
      <c r="B154" s="6" t="s">
        <v>829</v>
      </c>
      <c r="C154" s="81">
        <v>475467900</v>
      </c>
      <c r="D154" s="81">
        <f t="shared" si="61"/>
        <v>1856991.2832338111</v>
      </c>
      <c r="E154" s="8">
        <v>115070000</v>
      </c>
      <c r="F154" s="81">
        <f t="shared" si="84"/>
        <v>1646870.3928860724</v>
      </c>
      <c r="G154" s="81">
        <f t="shared" si="62"/>
        <v>3503862</v>
      </c>
      <c r="H154" s="127">
        <f t="shared" si="63"/>
        <v>5792958.3863726417</v>
      </c>
      <c r="I154" s="347">
        <f t="shared" si="64"/>
        <v>0.60484846710490558</v>
      </c>
      <c r="J154" s="33">
        <f t="shared" si="57"/>
        <v>4779191</v>
      </c>
      <c r="K154" s="33">
        <f t="shared" si="65"/>
        <v>3503862</v>
      </c>
      <c r="L154" s="126">
        <f t="shared" si="66"/>
        <v>60.48</v>
      </c>
      <c r="M154" s="470"/>
      <c r="N154" s="128">
        <v>2878989</v>
      </c>
      <c r="O154" s="449">
        <v>7.3300000000000004E-2</v>
      </c>
      <c r="P154" s="33">
        <f t="shared" si="67"/>
        <v>3090019</v>
      </c>
      <c r="Q154" s="57">
        <f t="shared" si="68"/>
        <v>53.340949371722786</v>
      </c>
      <c r="R154" s="57">
        <f t="shared" si="69"/>
        <v>7.1390506282772108</v>
      </c>
      <c r="S154" s="88">
        <f t="shared" si="70"/>
        <v>0.01</v>
      </c>
      <c r="T154" s="33">
        <f t="shared" si="71"/>
        <v>28790</v>
      </c>
      <c r="U154" s="9">
        <f t="shared" si="72"/>
        <v>0</v>
      </c>
      <c r="V154" s="9">
        <f t="shared" si="58"/>
        <v>0</v>
      </c>
      <c r="W154" s="9">
        <f t="shared" si="73"/>
        <v>0</v>
      </c>
      <c r="X154" s="127">
        <f>MIN(H154*parameters!C$22,ROUND(P154+T154-V154+W154,0))</f>
        <v>3118809</v>
      </c>
      <c r="Y154" s="94">
        <f t="shared" si="74"/>
        <v>53.837932054486842</v>
      </c>
      <c r="AA154" s="33">
        <f t="shared" si="75"/>
        <v>-413843</v>
      </c>
      <c r="AB154" s="33">
        <f t="shared" si="76"/>
        <v>-385053</v>
      </c>
      <c r="AC154" s="33">
        <f t="shared" si="77"/>
        <v>0</v>
      </c>
      <c r="AD154" s="57">
        <f t="shared" si="78"/>
        <v>-6.6420679455131548</v>
      </c>
      <c r="AG154" s="609" t="str">
        <f t="shared" si="79"/>
        <v>148</v>
      </c>
      <c r="AH154" s="388" t="str">
        <f t="shared" si="80"/>
        <v>Lanesborough</v>
      </c>
      <c r="AI154" s="380">
        <f t="shared" si="81"/>
        <v>0.60484846710490558</v>
      </c>
      <c r="AJ154" s="381">
        <f t="shared" si="59"/>
        <v>60.48</v>
      </c>
      <c r="AK154" s="380">
        <f t="shared" si="82"/>
        <v>7.3300000000000004E-2</v>
      </c>
      <c r="AL154" s="9">
        <f t="shared" si="60"/>
        <v>3118809</v>
      </c>
      <c r="AM154" s="57">
        <f t="shared" si="83"/>
        <v>-6.6420679455131548</v>
      </c>
    </row>
    <row r="155" spans="1:39" ht="12.75" customHeight="1">
      <c r="A155" s="6">
        <v>149</v>
      </c>
      <c r="B155" s="6" t="s">
        <v>830</v>
      </c>
      <c r="C155" s="81">
        <v>6494397200</v>
      </c>
      <c r="D155" s="81">
        <f t="shared" si="61"/>
        <v>25364570.332209747</v>
      </c>
      <c r="E155" s="8">
        <v>1839598000</v>
      </c>
      <c r="F155" s="81">
        <f t="shared" si="84"/>
        <v>26328143.573585059</v>
      </c>
      <c r="G155" s="81">
        <f t="shared" si="62"/>
        <v>51692714</v>
      </c>
      <c r="H155" s="127">
        <f t="shared" si="63"/>
        <v>334523209.00563681</v>
      </c>
      <c r="I155" s="347">
        <f t="shared" si="64"/>
        <v>0.15452653988838475</v>
      </c>
      <c r="J155" s="33">
        <f t="shared" si="57"/>
        <v>275981647</v>
      </c>
      <c r="K155" s="33">
        <f t="shared" si="65"/>
        <v>51692714</v>
      </c>
      <c r="L155" s="126">
        <f t="shared" si="66"/>
        <v>15.45</v>
      </c>
      <c r="M155" s="470"/>
      <c r="N155" s="128">
        <v>15225269</v>
      </c>
      <c r="O155" s="449">
        <v>8.8100000000000012E-2</v>
      </c>
      <c r="P155" s="33">
        <f t="shared" si="67"/>
        <v>16566615</v>
      </c>
      <c r="Q155" s="57">
        <f t="shared" si="68"/>
        <v>4.9523066125199247</v>
      </c>
      <c r="R155" s="57">
        <f t="shared" si="69"/>
        <v>10.497693387480075</v>
      </c>
      <c r="S155" s="88">
        <f t="shared" si="70"/>
        <v>0.02</v>
      </c>
      <c r="T155" s="33">
        <f t="shared" si="71"/>
        <v>304505</v>
      </c>
      <c r="U155" s="9">
        <f t="shared" si="72"/>
        <v>0</v>
      </c>
      <c r="V155" s="9">
        <f t="shared" si="58"/>
        <v>0</v>
      </c>
      <c r="W155" s="9">
        <f t="shared" si="73"/>
        <v>0</v>
      </c>
      <c r="X155" s="127">
        <f>MIN(H155*parameters!C$22,ROUND(P155+T155-V155+W155,0))</f>
        <v>16871120</v>
      </c>
      <c r="Y155" s="94">
        <f t="shared" si="74"/>
        <v>5.0433331816196096</v>
      </c>
      <c r="AA155" s="33">
        <f t="shared" si="75"/>
        <v>-35126099</v>
      </c>
      <c r="AB155" s="33">
        <f t="shared" si="76"/>
        <v>-34821594</v>
      </c>
      <c r="AC155" s="33">
        <f t="shared" si="77"/>
        <v>0</v>
      </c>
      <c r="AD155" s="57">
        <f t="shared" si="78"/>
        <v>-10.406666818380391</v>
      </c>
      <c r="AG155" s="609" t="str">
        <f t="shared" si="79"/>
        <v>149</v>
      </c>
      <c r="AH155" s="388" t="str">
        <f t="shared" si="80"/>
        <v>Lawrence</v>
      </c>
      <c r="AI155" s="380">
        <f t="shared" si="81"/>
        <v>0.15452653988838475</v>
      </c>
      <c r="AJ155" s="381">
        <f t="shared" si="59"/>
        <v>15.45</v>
      </c>
      <c r="AK155" s="380">
        <f t="shared" si="82"/>
        <v>8.8100000000000012E-2</v>
      </c>
      <c r="AL155" s="9">
        <f t="shared" si="60"/>
        <v>16871120</v>
      </c>
      <c r="AM155" s="57">
        <f t="shared" si="83"/>
        <v>-10.406666818380391</v>
      </c>
    </row>
    <row r="156" spans="1:39" ht="12.75" customHeight="1">
      <c r="A156" s="6">
        <v>150</v>
      </c>
      <c r="B156" s="6" t="s">
        <v>831</v>
      </c>
      <c r="C156" s="81">
        <v>1176406900</v>
      </c>
      <c r="D156" s="81">
        <f t="shared" si="61"/>
        <v>4594584.3217514995</v>
      </c>
      <c r="E156" s="8">
        <v>225800000</v>
      </c>
      <c r="F156" s="81">
        <f t="shared" si="84"/>
        <v>3231627.1375134713</v>
      </c>
      <c r="G156" s="81">
        <f t="shared" si="62"/>
        <v>7826211</v>
      </c>
      <c r="H156" s="127">
        <f t="shared" si="63"/>
        <v>8566370.1999999974</v>
      </c>
      <c r="I156" s="347">
        <f t="shared" si="64"/>
        <v>0.9135971032398299</v>
      </c>
      <c r="J156" s="33">
        <f t="shared" si="57"/>
        <v>7067255</v>
      </c>
      <c r="K156" s="33">
        <f t="shared" si="65"/>
        <v>7067255</v>
      </c>
      <c r="L156" s="126">
        <f t="shared" si="66"/>
        <v>82.5</v>
      </c>
      <c r="M156" s="470"/>
      <c r="N156" s="128">
        <v>6760874</v>
      </c>
      <c r="O156" s="449">
        <v>5.5899999999999998E-2</v>
      </c>
      <c r="P156" s="33">
        <f t="shared" si="67"/>
        <v>7138807</v>
      </c>
      <c r="Q156" s="57">
        <f t="shared" si="68"/>
        <v>83.335261415622711</v>
      </c>
      <c r="R156" s="57">
        <f t="shared" si="69"/>
        <v>0</v>
      </c>
      <c r="S156" s="88">
        <f t="shared" si="70"/>
        <v>0</v>
      </c>
      <c r="T156" s="33">
        <f t="shared" si="71"/>
        <v>0</v>
      </c>
      <c r="U156" s="9">
        <f t="shared" si="72"/>
        <v>71552</v>
      </c>
      <c r="V156" s="9">
        <f t="shared" si="58"/>
        <v>71552</v>
      </c>
      <c r="W156" s="9">
        <f t="shared" si="73"/>
        <v>0</v>
      </c>
      <c r="X156" s="127">
        <f>MIN(H156*parameters!C$22,ROUND(P156+T156-V156+W156,0))</f>
        <v>7067255</v>
      </c>
      <c r="Y156" s="94">
        <f t="shared" si="74"/>
        <v>82.499995155474394</v>
      </c>
      <c r="AA156" s="33">
        <f t="shared" si="75"/>
        <v>0</v>
      </c>
      <c r="AB156" s="33">
        <f t="shared" si="76"/>
        <v>0</v>
      </c>
      <c r="AC156" s="33">
        <f t="shared" si="77"/>
        <v>0</v>
      </c>
      <c r="AD156" s="57">
        <f t="shared" si="78"/>
        <v>-4.8445256055629216E-6</v>
      </c>
      <c r="AG156" s="609" t="str">
        <f t="shared" si="79"/>
        <v>150</v>
      </c>
      <c r="AH156" s="388" t="str">
        <f t="shared" si="80"/>
        <v>Lee</v>
      </c>
      <c r="AI156" s="380">
        <f t="shared" si="81"/>
        <v>0.9135971032398299</v>
      </c>
      <c r="AJ156" s="381">
        <f t="shared" si="59"/>
        <v>82.5</v>
      </c>
      <c r="AK156" s="380">
        <f t="shared" si="82"/>
        <v>5.5899999999999998E-2</v>
      </c>
      <c r="AL156" s="9">
        <f t="shared" si="60"/>
        <v>7067255</v>
      </c>
      <c r="AM156" s="57">
        <f t="shared" si="83"/>
        <v>-4.8445256055629216E-6</v>
      </c>
    </row>
    <row r="157" spans="1:39" ht="12.75" customHeight="1">
      <c r="A157" s="6">
        <v>151</v>
      </c>
      <c r="B157" s="6" t="s">
        <v>832</v>
      </c>
      <c r="C157" s="81">
        <v>1309322100</v>
      </c>
      <c r="D157" s="81">
        <f t="shared" si="61"/>
        <v>5113699.0039609158</v>
      </c>
      <c r="E157" s="8">
        <v>426901000</v>
      </c>
      <c r="F157" s="81">
        <f t="shared" si="84"/>
        <v>6109764.6440728009</v>
      </c>
      <c r="G157" s="81">
        <f t="shared" si="62"/>
        <v>11223464</v>
      </c>
      <c r="H157" s="127">
        <f t="shared" si="63"/>
        <v>21380842.219999999</v>
      </c>
      <c r="I157" s="347">
        <f t="shared" si="64"/>
        <v>0.52493086495448638</v>
      </c>
      <c r="J157" s="33">
        <f t="shared" si="57"/>
        <v>17639195</v>
      </c>
      <c r="K157" s="33">
        <f t="shared" si="65"/>
        <v>11223464</v>
      </c>
      <c r="L157" s="126">
        <f t="shared" si="66"/>
        <v>52.49</v>
      </c>
      <c r="M157" s="470"/>
      <c r="N157" s="128">
        <v>9660962</v>
      </c>
      <c r="O157" s="449">
        <v>8.8300000000000003E-2</v>
      </c>
      <c r="P157" s="33">
        <f t="shared" si="67"/>
        <v>10514025</v>
      </c>
      <c r="Q157" s="57">
        <f t="shared" si="68"/>
        <v>49.174980535448711</v>
      </c>
      <c r="R157" s="57">
        <f t="shared" si="69"/>
        <v>3.3150194645512912</v>
      </c>
      <c r="S157" s="88">
        <f t="shared" si="70"/>
        <v>0.01</v>
      </c>
      <c r="T157" s="33">
        <f t="shared" si="71"/>
        <v>96610</v>
      </c>
      <c r="U157" s="9">
        <f t="shared" si="72"/>
        <v>0</v>
      </c>
      <c r="V157" s="9">
        <f t="shared" si="58"/>
        <v>0</v>
      </c>
      <c r="W157" s="9">
        <f t="shared" si="73"/>
        <v>0</v>
      </c>
      <c r="X157" s="127">
        <f>MIN(H157*parameters!C$22,ROUND(P157+T157-V157+W157,0))</f>
        <v>10610635</v>
      </c>
      <c r="Y157" s="94">
        <f t="shared" si="74"/>
        <v>49.626833643038786</v>
      </c>
      <c r="AA157" s="33">
        <f t="shared" si="75"/>
        <v>-709439</v>
      </c>
      <c r="AB157" s="33">
        <f t="shared" si="76"/>
        <v>-612829</v>
      </c>
      <c r="AC157" s="33">
        <f t="shared" si="77"/>
        <v>0</v>
      </c>
      <c r="AD157" s="57">
        <f t="shared" si="78"/>
        <v>-2.8631663569612158</v>
      </c>
      <c r="AG157" s="609" t="str">
        <f t="shared" si="79"/>
        <v>151</v>
      </c>
      <c r="AH157" s="388" t="str">
        <f t="shared" si="80"/>
        <v>Leicester</v>
      </c>
      <c r="AI157" s="380">
        <f t="shared" si="81"/>
        <v>0.52493086495448638</v>
      </c>
      <c r="AJ157" s="381">
        <f t="shared" si="59"/>
        <v>52.49</v>
      </c>
      <c r="AK157" s="380">
        <f t="shared" si="82"/>
        <v>8.8300000000000003E-2</v>
      </c>
      <c r="AL157" s="9">
        <f t="shared" si="60"/>
        <v>10610635</v>
      </c>
      <c r="AM157" s="57">
        <f t="shared" si="83"/>
        <v>-2.8631663569612158</v>
      </c>
    </row>
    <row r="158" spans="1:39" ht="12.75" customHeight="1">
      <c r="A158" s="6">
        <v>152</v>
      </c>
      <c r="B158" s="6" t="s">
        <v>833</v>
      </c>
      <c r="C158" s="81">
        <v>1497427400</v>
      </c>
      <c r="D158" s="81">
        <f t="shared" si="61"/>
        <v>5848364.5879679145</v>
      </c>
      <c r="E158" s="8">
        <v>361190000</v>
      </c>
      <c r="F158" s="81">
        <f t="shared" si="84"/>
        <v>5169315.348974715</v>
      </c>
      <c r="G158" s="81">
        <f t="shared" si="62"/>
        <v>11017680</v>
      </c>
      <c r="H158" s="127">
        <f t="shared" si="63"/>
        <v>6823610.0699999994</v>
      </c>
      <c r="I158" s="347">
        <f t="shared" si="64"/>
        <v>1.6146409139700448</v>
      </c>
      <c r="J158" s="33">
        <f t="shared" si="57"/>
        <v>5629478</v>
      </c>
      <c r="K158" s="33">
        <f t="shared" si="65"/>
        <v>5629478</v>
      </c>
      <c r="L158" s="126">
        <f t="shared" si="66"/>
        <v>82.5</v>
      </c>
      <c r="M158" s="470"/>
      <c r="N158" s="128">
        <v>5422289</v>
      </c>
      <c r="O158" s="449">
        <v>4.6799999999999994E-2</v>
      </c>
      <c r="P158" s="33">
        <f t="shared" si="67"/>
        <v>5676052</v>
      </c>
      <c r="Q158" s="57">
        <f t="shared" si="68"/>
        <v>83.182537421866499</v>
      </c>
      <c r="R158" s="57">
        <f t="shared" si="69"/>
        <v>0</v>
      </c>
      <c r="S158" s="88">
        <f t="shared" si="70"/>
        <v>0</v>
      </c>
      <c r="T158" s="33">
        <f t="shared" si="71"/>
        <v>0</v>
      </c>
      <c r="U158" s="9">
        <f t="shared" si="72"/>
        <v>46574</v>
      </c>
      <c r="V158" s="9">
        <f t="shared" si="58"/>
        <v>46574</v>
      </c>
      <c r="W158" s="9">
        <f t="shared" si="73"/>
        <v>0</v>
      </c>
      <c r="X158" s="127">
        <f>MIN(H158*parameters!C$22,ROUND(P158+T158-V158+W158,0))</f>
        <v>5629478</v>
      </c>
      <c r="Y158" s="94">
        <f t="shared" si="74"/>
        <v>82.499995489924004</v>
      </c>
      <c r="AA158" s="33">
        <f t="shared" si="75"/>
        <v>0</v>
      </c>
      <c r="AB158" s="33">
        <f t="shared" si="76"/>
        <v>0</v>
      </c>
      <c r="AC158" s="33">
        <f t="shared" si="77"/>
        <v>0</v>
      </c>
      <c r="AD158" s="57">
        <f t="shared" si="78"/>
        <v>-4.5100759962224402E-6</v>
      </c>
      <c r="AG158" s="609" t="str">
        <f t="shared" si="79"/>
        <v>152</v>
      </c>
      <c r="AH158" s="388" t="str">
        <f t="shared" si="80"/>
        <v>Lenox</v>
      </c>
      <c r="AI158" s="380">
        <f t="shared" si="81"/>
        <v>1.6146409139700448</v>
      </c>
      <c r="AJ158" s="381">
        <f t="shared" si="59"/>
        <v>82.5</v>
      </c>
      <c r="AK158" s="380">
        <f t="shared" si="82"/>
        <v>4.6799999999999994E-2</v>
      </c>
      <c r="AL158" s="9">
        <f t="shared" si="60"/>
        <v>5629478</v>
      </c>
      <c r="AM158" s="57">
        <f t="shared" si="83"/>
        <v>-4.5100759962224402E-6</v>
      </c>
    </row>
    <row r="159" spans="1:39" ht="12.75" customHeight="1">
      <c r="A159" s="6">
        <v>153</v>
      </c>
      <c r="B159" s="6" t="s">
        <v>834</v>
      </c>
      <c r="C159" s="81">
        <v>5149133300</v>
      </c>
      <c r="D159" s="81">
        <f t="shared" si="61"/>
        <v>20110496.742911454</v>
      </c>
      <c r="E159" s="8">
        <v>1514293000</v>
      </c>
      <c r="F159" s="81">
        <f t="shared" si="84"/>
        <v>21672410.774786036</v>
      </c>
      <c r="G159" s="81">
        <f t="shared" si="62"/>
        <v>41782908</v>
      </c>
      <c r="H159" s="127">
        <f t="shared" si="63"/>
        <v>103734761.66000001</v>
      </c>
      <c r="I159" s="347">
        <f t="shared" si="64"/>
        <v>0.40278598351579803</v>
      </c>
      <c r="J159" s="33">
        <f t="shared" si="57"/>
        <v>85581178</v>
      </c>
      <c r="K159" s="33">
        <f t="shared" si="65"/>
        <v>41782908</v>
      </c>
      <c r="L159" s="126">
        <f t="shared" si="66"/>
        <v>40.28</v>
      </c>
      <c r="M159" s="470"/>
      <c r="N159" s="128">
        <v>35204065</v>
      </c>
      <c r="O159" s="449">
        <v>0.04</v>
      </c>
      <c r="P159" s="33">
        <f t="shared" si="67"/>
        <v>36612228</v>
      </c>
      <c r="Q159" s="57">
        <f t="shared" si="68"/>
        <v>35.294078295566784</v>
      </c>
      <c r="R159" s="57">
        <f t="shared" si="69"/>
        <v>4.9859217044332169</v>
      </c>
      <c r="S159" s="88">
        <f t="shared" si="70"/>
        <v>0.01</v>
      </c>
      <c r="T159" s="33">
        <f t="shared" si="71"/>
        <v>352041</v>
      </c>
      <c r="U159" s="9">
        <f t="shared" si="72"/>
        <v>0</v>
      </c>
      <c r="V159" s="9">
        <f t="shared" si="58"/>
        <v>0</v>
      </c>
      <c r="W159" s="9">
        <f t="shared" si="73"/>
        <v>0</v>
      </c>
      <c r="X159" s="127">
        <f>MIN(H159*parameters!C$22,ROUND(P159+T159-V159+W159,0))</f>
        <v>36964269</v>
      </c>
      <c r="Y159" s="94">
        <f t="shared" si="74"/>
        <v>35.633444766715435</v>
      </c>
      <c r="AA159" s="33">
        <f t="shared" si="75"/>
        <v>-5170680</v>
      </c>
      <c r="AB159" s="33">
        <f t="shared" si="76"/>
        <v>-4818639</v>
      </c>
      <c r="AC159" s="33">
        <f t="shared" si="77"/>
        <v>0</v>
      </c>
      <c r="AD159" s="57">
        <f t="shared" si="78"/>
        <v>-4.6465552332845661</v>
      </c>
      <c r="AG159" s="609" t="str">
        <f t="shared" si="79"/>
        <v>153</v>
      </c>
      <c r="AH159" s="388" t="str">
        <f t="shared" si="80"/>
        <v>Leominster</v>
      </c>
      <c r="AI159" s="380">
        <f t="shared" si="81"/>
        <v>0.40278598351579803</v>
      </c>
      <c r="AJ159" s="381">
        <f t="shared" si="59"/>
        <v>40.28</v>
      </c>
      <c r="AK159" s="380">
        <f t="shared" si="82"/>
        <v>0.04</v>
      </c>
      <c r="AL159" s="9">
        <f t="shared" si="60"/>
        <v>36964269</v>
      </c>
      <c r="AM159" s="57">
        <f t="shared" si="83"/>
        <v>-4.6465552332845661</v>
      </c>
    </row>
    <row r="160" spans="1:39" ht="12.75" customHeight="1">
      <c r="A160" s="6">
        <v>154</v>
      </c>
      <c r="B160" s="6" t="s">
        <v>835</v>
      </c>
      <c r="C160" s="81">
        <v>338579700</v>
      </c>
      <c r="D160" s="81">
        <f t="shared" si="61"/>
        <v>1322359.6200288576</v>
      </c>
      <c r="E160" s="8">
        <v>93938000</v>
      </c>
      <c r="F160" s="81">
        <f t="shared" si="84"/>
        <v>1344431.3110883103</v>
      </c>
      <c r="G160" s="81">
        <f t="shared" si="62"/>
        <v>2666791</v>
      </c>
      <c r="H160" s="127">
        <f t="shared" si="63"/>
        <v>2838165.0283958716</v>
      </c>
      <c r="I160" s="347">
        <f t="shared" si="64"/>
        <v>0.93961801844456805</v>
      </c>
      <c r="J160" s="33">
        <f t="shared" si="57"/>
        <v>2341486</v>
      </c>
      <c r="K160" s="33">
        <f t="shared" si="65"/>
        <v>2341486</v>
      </c>
      <c r="L160" s="126">
        <f t="shared" si="66"/>
        <v>82.5</v>
      </c>
      <c r="M160" s="470"/>
      <c r="N160" s="128">
        <v>2055731</v>
      </c>
      <c r="O160" s="449">
        <v>5.3499999999999999E-2</v>
      </c>
      <c r="P160" s="33">
        <f t="shared" si="67"/>
        <v>2165713</v>
      </c>
      <c r="Q160" s="57">
        <f t="shared" si="68"/>
        <v>76.306803104541771</v>
      </c>
      <c r="R160" s="57">
        <f t="shared" si="69"/>
        <v>6.1931968954582288</v>
      </c>
      <c r="S160" s="88">
        <f t="shared" si="70"/>
        <v>0.01</v>
      </c>
      <c r="T160" s="33">
        <f t="shared" si="71"/>
        <v>20557</v>
      </c>
      <c r="U160" s="9">
        <f t="shared" si="72"/>
        <v>0</v>
      </c>
      <c r="V160" s="9">
        <f t="shared" si="58"/>
        <v>0</v>
      </c>
      <c r="W160" s="9">
        <f t="shared" si="73"/>
        <v>0</v>
      </c>
      <c r="X160" s="127">
        <f>MIN(H160*parameters!C$22,ROUND(P160+T160-V160+W160,0))</f>
        <v>2186270</v>
      </c>
      <c r="Y160" s="94">
        <f t="shared" si="74"/>
        <v>77.031109118967535</v>
      </c>
      <c r="AA160" s="33">
        <f t="shared" si="75"/>
        <v>-175773</v>
      </c>
      <c r="AB160" s="33">
        <f t="shared" si="76"/>
        <v>-155216</v>
      </c>
      <c r="AC160" s="33">
        <f t="shared" si="77"/>
        <v>0</v>
      </c>
      <c r="AD160" s="57">
        <f t="shared" si="78"/>
        <v>-5.4688908810324648</v>
      </c>
      <c r="AG160" s="609" t="str">
        <f t="shared" si="79"/>
        <v>154</v>
      </c>
      <c r="AH160" s="388" t="str">
        <f t="shared" si="80"/>
        <v>Leverett</v>
      </c>
      <c r="AI160" s="380">
        <f t="shared" si="81"/>
        <v>0.93961801844456805</v>
      </c>
      <c r="AJ160" s="381">
        <f t="shared" si="59"/>
        <v>82.5</v>
      </c>
      <c r="AK160" s="380">
        <f t="shared" si="82"/>
        <v>5.3499999999999999E-2</v>
      </c>
      <c r="AL160" s="9">
        <f t="shared" si="60"/>
        <v>2186270</v>
      </c>
      <c r="AM160" s="57">
        <f t="shared" si="83"/>
        <v>-5.4688908810324648</v>
      </c>
    </row>
    <row r="161" spans="1:39" ht="12.75" customHeight="1">
      <c r="A161" s="6">
        <v>155</v>
      </c>
      <c r="B161" s="6" t="s">
        <v>836</v>
      </c>
      <c r="C161" s="81">
        <v>15034185600</v>
      </c>
      <c r="D161" s="81">
        <f t="shared" si="61"/>
        <v>58717637.110137798</v>
      </c>
      <c r="E161" s="8">
        <v>5936265000</v>
      </c>
      <c r="F161" s="81">
        <f t="shared" si="84"/>
        <v>84959234.142920315</v>
      </c>
      <c r="G161" s="81">
        <f t="shared" si="62"/>
        <v>143676871</v>
      </c>
      <c r="H161" s="127">
        <f t="shared" si="63"/>
        <v>93150537.438051656</v>
      </c>
      <c r="I161" s="347">
        <f t="shared" si="64"/>
        <v>1.5424159103274107</v>
      </c>
      <c r="J161" s="33">
        <f t="shared" si="57"/>
        <v>76849193</v>
      </c>
      <c r="K161" s="33">
        <f t="shared" si="65"/>
        <v>76849193</v>
      </c>
      <c r="L161" s="126">
        <f t="shared" si="66"/>
        <v>82.5</v>
      </c>
      <c r="M161" s="470"/>
      <c r="N161" s="128">
        <v>74332213</v>
      </c>
      <c r="O161" s="449">
        <v>5.33E-2</v>
      </c>
      <c r="P161" s="33">
        <f t="shared" si="67"/>
        <v>78294120</v>
      </c>
      <c r="Q161" s="57">
        <f t="shared" si="68"/>
        <v>84.0511736736552</v>
      </c>
      <c r="R161" s="57">
        <f t="shared" si="69"/>
        <v>0</v>
      </c>
      <c r="S161" s="88">
        <f t="shared" si="70"/>
        <v>0</v>
      </c>
      <c r="T161" s="33">
        <f t="shared" si="71"/>
        <v>0</v>
      </c>
      <c r="U161" s="9">
        <f t="shared" si="72"/>
        <v>1444927</v>
      </c>
      <c r="V161" s="9">
        <f t="shared" si="58"/>
        <v>1444927</v>
      </c>
      <c r="W161" s="9">
        <f t="shared" si="73"/>
        <v>0</v>
      </c>
      <c r="X161" s="127">
        <f>MIN(H161*parameters!C$22,ROUND(P161+T161-V161+W161,0))</f>
        <v>76849193</v>
      </c>
      <c r="Y161" s="94">
        <f t="shared" si="74"/>
        <v>82.499999585195511</v>
      </c>
      <c r="AA161" s="33">
        <f t="shared" si="75"/>
        <v>0</v>
      </c>
      <c r="AB161" s="33">
        <f t="shared" si="76"/>
        <v>0</v>
      </c>
      <c r="AC161" s="33">
        <f t="shared" si="77"/>
        <v>0</v>
      </c>
      <c r="AD161" s="57">
        <f t="shared" si="78"/>
        <v>-4.1480448942365911E-7</v>
      </c>
      <c r="AG161" s="609" t="str">
        <f t="shared" si="79"/>
        <v>155</v>
      </c>
      <c r="AH161" s="388" t="str">
        <f t="shared" si="80"/>
        <v>Lexington</v>
      </c>
      <c r="AI161" s="380">
        <f t="shared" si="81"/>
        <v>1.5424159103274107</v>
      </c>
      <c r="AJ161" s="381">
        <f t="shared" si="59"/>
        <v>82.5</v>
      </c>
      <c r="AK161" s="380">
        <f t="shared" si="82"/>
        <v>5.33E-2</v>
      </c>
      <c r="AL161" s="9">
        <f t="shared" si="60"/>
        <v>76849193</v>
      </c>
      <c r="AM161" s="57">
        <f t="shared" si="83"/>
        <v>-4.1480448942365911E-7</v>
      </c>
    </row>
    <row r="162" spans="1:39" ht="12.75" customHeight="1">
      <c r="A162" s="6">
        <v>156</v>
      </c>
      <c r="B162" s="6" t="s">
        <v>837</v>
      </c>
      <c r="C162" s="81">
        <v>104479300</v>
      </c>
      <c r="D162" s="81">
        <f t="shared" si="61"/>
        <v>408055.20073672762</v>
      </c>
      <c r="E162" s="8">
        <v>37072000</v>
      </c>
      <c r="F162" s="81">
        <f t="shared" si="84"/>
        <v>530570.77609344292</v>
      </c>
      <c r="G162" s="81">
        <f t="shared" si="62"/>
        <v>938626</v>
      </c>
      <c r="H162" s="127">
        <f t="shared" si="63"/>
        <v>1061261.8404363641</v>
      </c>
      <c r="I162" s="347">
        <f t="shared" si="64"/>
        <v>0.88444337131170259</v>
      </c>
      <c r="J162" s="33">
        <f t="shared" si="57"/>
        <v>875541</v>
      </c>
      <c r="K162" s="33">
        <f t="shared" si="65"/>
        <v>875541</v>
      </c>
      <c r="L162" s="126">
        <f t="shared" si="66"/>
        <v>82.5</v>
      </c>
      <c r="M162" s="470"/>
      <c r="N162" s="128">
        <v>565499</v>
      </c>
      <c r="O162" s="449">
        <v>3.2300000000000002E-2</v>
      </c>
      <c r="P162" s="33">
        <f t="shared" si="67"/>
        <v>583765</v>
      </c>
      <c r="Q162" s="57">
        <f t="shared" si="68"/>
        <v>55.006688995806215</v>
      </c>
      <c r="R162" s="57">
        <f t="shared" si="69"/>
        <v>27.493311004193785</v>
      </c>
      <c r="S162" s="88">
        <f t="shared" si="70"/>
        <v>0.02</v>
      </c>
      <c r="T162" s="33">
        <f t="shared" si="71"/>
        <v>11310</v>
      </c>
      <c r="U162" s="9">
        <f t="shared" si="72"/>
        <v>0</v>
      </c>
      <c r="V162" s="9">
        <f t="shared" si="58"/>
        <v>0</v>
      </c>
      <c r="W162" s="9">
        <f t="shared" si="73"/>
        <v>0</v>
      </c>
      <c r="X162" s="127">
        <f>MIN(H162*parameters!C$22,ROUND(P162+T162-V162+W162,0))</f>
        <v>595075</v>
      </c>
      <c r="Y162" s="94">
        <f t="shared" si="74"/>
        <v>56.072401487206982</v>
      </c>
      <c r="AA162" s="33">
        <f t="shared" si="75"/>
        <v>-291776</v>
      </c>
      <c r="AB162" s="33">
        <f t="shared" si="76"/>
        <v>-280466</v>
      </c>
      <c r="AC162" s="33">
        <f t="shared" si="77"/>
        <v>0</v>
      </c>
      <c r="AD162" s="57">
        <f t="shared" si="78"/>
        <v>-26.427598512793018</v>
      </c>
      <c r="AG162" s="609" t="str">
        <f t="shared" si="79"/>
        <v>156</v>
      </c>
      <c r="AH162" s="388" t="str">
        <f t="shared" si="80"/>
        <v>Leyden</v>
      </c>
      <c r="AI162" s="380">
        <f t="shared" si="81"/>
        <v>0.88444337131170259</v>
      </c>
      <c r="AJ162" s="381">
        <f t="shared" si="59"/>
        <v>82.5</v>
      </c>
      <c r="AK162" s="380">
        <f t="shared" si="82"/>
        <v>3.2300000000000002E-2</v>
      </c>
      <c r="AL162" s="9">
        <f t="shared" si="60"/>
        <v>595075</v>
      </c>
      <c r="AM162" s="57">
        <f t="shared" si="83"/>
        <v>-26.427598512793018</v>
      </c>
    </row>
    <row r="163" spans="1:39" ht="12.75" customHeight="1">
      <c r="A163" s="6">
        <v>157</v>
      </c>
      <c r="B163" s="6" t="s">
        <v>838</v>
      </c>
      <c r="C163" s="81">
        <v>2475327700</v>
      </c>
      <c r="D163" s="81">
        <f t="shared" si="61"/>
        <v>9667659.9241446126</v>
      </c>
      <c r="E163" s="8">
        <v>1428344000</v>
      </c>
      <c r="F163" s="81">
        <f t="shared" si="84"/>
        <v>20442317.236955453</v>
      </c>
      <c r="G163" s="81">
        <f t="shared" si="62"/>
        <v>30109977</v>
      </c>
      <c r="H163" s="127">
        <f t="shared" si="63"/>
        <v>10198078.45144761</v>
      </c>
      <c r="I163" s="347">
        <f t="shared" si="64"/>
        <v>2.9525147451406308</v>
      </c>
      <c r="J163" s="33">
        <f t="shared" si="57"/>
        <v>8413415</v>
      </c>
      <c r="K163" s="33">
        <f t="shared" si="65"/>
        <v>8413415</v>
      </c>
      <c r="L163" s="126">
        <f t="shared" si="66"/>
        <v>82.5</v>
      </c>
      <c r="M163" s="470"/>
      <c r="N163" s="128">
        <v>8136480</v>
      </c>
      <c r="O163" s="449">
        <v>4.5600000000000002E-2</v>
      </c>
      <c r="P163" s="33">
        <f t="shared" si="67"/>
        <v>8507503</v>
      </c>
      <c r="Q163" s="57">
        <f t="shared" si="68"/>
        <v>83.422607901122447</v>
      </c>
      <c r="R163" s="57">
        <f t="shared" si="69"/>
        <v>0</v>
      </c>
      <c r="S163" s="88">
        <f t="shared" si="70"/>
        <v>0</v>
      </c>
      <c r="T163" s="33">
        <f t="shared" si="71"/>
        <v>0</v>
      </c>
      <c r="U163" s="9">
        <f t="shared" si="72"/>
        <v>94088</v>
      </c>
      <c r="V163" s="9">
        <f t="shared" si="58"/>
        <v>94088</v>
      </c>
      <c r="W163" s="9">
        <f t="shared" si="73"/>
        <v>0</v>
      </c>
      <c r="X163" s="127">
        <f>MIN(H163*parameters!C$22,ROUND(P163+T163-V163+W163,0))</f>
        <v>8413415</v>
      </c>
      <c r="Y163" s="94">
        <f t="shared" si="74"/>
        <v>82.500002721647249</v>
      </c>
      <c r="AA163" s="33">
        <f t="shared" si="75"/>
        <v>0</v>
      </c>
      <c r="AB163" s="33">
        <f t="shared" si="76"/>
        <v>0</v>
      </c>
      <c r="AC163" s="33">
        <f t="shared" si="77"/>
        <v>0</v>
      </c>
      <c r="AD163" s="57">
        <f t="shared" si="78"/>
        <v>2.7216472489044463E-6</v>
      </c>
      <c r="AG163" s="609" t="str">
        <f t="shared" si="79"/>
        <v>157</v>
      </c>
      <c r="AH163" s="388" t="str">
        <f t="shared" si="80"/>
        <v>Lincoln</v>
      </c>
      <c r="AI163" s="380">
        <f t="shared" si="81"/>
        <v>2.9525147451406308</v>
      </c>
      <c r="AJ163" s="381">
        <f t="shared" si="59"/>
        <v>82.5</v>
      </c>
      <c r="AK163" s="380">
        <f t="shared" si="82"/>
        <v>4.5600000000000002E-2</v>
      </c>
      <c r="AL163" s="9">
        <f t="shared" si="60"/>
        <v>8413415</v>
      </c>
      <c r="AM163" s="57">
        <f t="shared" si="83"/>
        <v>2.7216472489044463E-6</v>
      </c>
    </row>
    <row r="164" spans="1:39" ht="12.75" customHeight="1">
      <c r="A164" s="6">
        <v>158</v>
      </c>
      <c r="B164" s="6" t="s">
        <v>839</v>
      </c>
      <c r="C164" s="81">
        <v>2447845900</v>
      </c>
      <c r="D164" s="81">
        <f t="shared" si="61"/>
        <v>9560326.7833635528</v>
      </c>
      <c r="E164" s="8">
        <v>763859000</v>
      </c>
      <c r="F164" s="81">
        <f t="shared" si="84"/>
        <v>10932274.019636415</v>
      </c>
      <c r="G164" s="81">
        <f t="shared" si="62"/>
        <v>20492601</v>
      </c>
      <c r="H164" s="127">
        <f t="shared" si="63"/>
        <v>21174806.494296882</v>
      </c>
      <c r="I164" s="347">
        <f t="shared" si="64"/>
        <v>0.96778220880173693</v>
      </c>
      <c r="J164" s="33">
        <f t="shared" si="57"/>
        <v>17469215</v>
      </c>
      <c r="K164" s="33">
        <f t="shared" si="65"/>
        <v>17469215</v>
      </c>
      <c r="L164" s="126">
        <f t="shared" si="66"/>
        <v>82.5</v>
      </c>
      <c r="M164" s="470"/>
      <c r="N164" s="128">
        <v>15886824</v>
      </c>
      <c r="O164" s="449">
        <v>4.2700000000000002E-2</v>
      </c>
      <c r="P164" s="33">
        <f t="shared" si="67"/>
        <v>16565191</v>
      </c>
      <c r="Q164" s="57">
        <f t="shared" si="68"/>
        <v>78.230660594048814</v>
      </c>
      <c r="R164" s="57">
        <f t="shared" si="69"/>
        <v>4.269339405951186</v>
      </c>
      <c r="S164" s="88">
        <f t="shared" si="70"/>
        <v>0.01</v>
      </c>
      <c r="T164" s="33">
        <f t="shared" si="71"/>
        <v>158868</v>
      </c>
      <c r="U164" s="9">
        <f t="shared" si="72"/>
        <v>0</v>
      </c>
      <c r="V164" s="9">
        <f t="shared" si="58"/>
        <v>0</v>
      </c>
      <c r="W164" s="9">
        <f t="shared" si="73"/>
        <v>0</v>
      </c>
      <c r="X164" s="127">
        <f>MIN(H164*parameters!C$22,ROUND(P164+T164-V164+W164,0))</f>
        <v>16724059</v>
      </c>
      <c r="Y164" s="94">
        <f t="shared" si="74"/>
        <v>78.980929551844426</v>
      </c>
      <c r="AA164" s="33">
        <f t="shared" si="75"/>
        <v>-904024</v>
      </c>
      <c r="AB164" s="33">
        <f t="shared" si="76"/>
        <v>-745156</v>
      </c>
      <c r="AC164" s="33">
        <f t="shared" si="77"/>
        <v>0</v>
      </c>
      <c r="AD164" s="57">
        <f t="shared" si="78"/>
        <v>-3.5190704481555741</v>
      </c>
      <c r="AG164" s="609" t="str">
        <f t="shared" si="79"/>
        <v>158</v>
      </c>
      <c r="AH164" s="388" t="str">
        <f t="shared" si="80"/>
        <v>Littleton</v>
      </c>
      <c r="AI164" s="380">
        <f t="shared" si="81"/>
        <v>0.96778220880173693</v>
      </c>
      <c r="AJ164" s="381">
        <f t="shared" si="59"/>
        <v>82.5</v>
      </c>
      <c r="AK164" s="380">
        <f t="shared" si="82"/>
        <v>4.2700000000000002E-2</v>
      </c>
      <c r="AL164" s="9">
        <f t="shared" si="60"/>
        <v>16724059</v>
      </c>
      <c r="AM164" s="57">
        <f t="shared" si="83"/>
        <v>-3.5190704481555741</v>
      </c>
    </row>
    <row r="165" spans="1:39" ht="12.75" customHeight="1">
      <c r="A165" s="6">
        <v>159</v>
      </c>
      <c r="B165" s="6" t="s">
        <v>840</v>
      </c>
      <c r="C165" s="81">
        <v>2458304800</v>
      </c>
      <c r="D165" s="81">
        <f t="shared" si="61"/>
        <v>9601175.1479581222</v>
      </c>
      <c r="E165" s="8">
        <v>1796501000</v>
      </c>
      <c r="F165" s="81">
        <f t="shared" si="84"/>
        <v>25711343.596856017</v>
      </c>
      <c r="G165" s="81">
        <f t="shared" si="62"/>
        <v>35312519</v>
      </c>
      <c r="H165" s="127">
        <f t="shared" si="63"/>
        <v>34218165.739999995</v>
      </c>
      <c r="I165" s="347">
        <f t="shared" si="64"/>
        <v>1.0319816458987088</v>
      </c>
      <c r="J165" s="33">
        <f t="shared" si="57"/>
        <v>28229987</v>
      </c>
      <c r="K165" s="33">
        <f t="shared" si="65"/>
        <v>28229987</v>
      </c>
      <c r="L165" s="126">
        <f t="shared" si="66"/>
        <v>82.5</v>
      </c>
      <c r="M165" s="470"/>
      <c r="N165" s="128">
        <v>26093332</v>
      </c>
      <c r="O165" s="449">
        <v>3.73E-2</v>
      </c>
      <c r="P165" s="33">
        <f t="shared" si="67"/>
        <v>27066613</v>
      </c>
      <c r="Q165" s="57">
        <f t="shared" si="68"/>
        <v>79.100128293434366</v>
      </c>
      <c r="R165" s="57">
        <f t="shared" si="69"/>
        <v>3.3998717065656336</v>
      </c>
      <c r="S165" s="88">
        <f t="shared" si="70"/>
        <v>0.01</v>
      </c>
      <c r="T165" s="33">
        <f t="shared" si="71"/>
        <v>260933</v>
      </c>
      <c r="U165" s="9">
        <f t="shared" si="72"/>
        <v>0</v>
      </c>
      <c r="V165" s="9">
        <f t="shared" si="58"/>
        <v>0</v>
      </c>
      <c r="W165" s="9">
        <f t="shared" si="73"/>
        <v>0</v>
      </c>
      <c r="X165" s="127">
        <f>MIN(H165*parameters!C$22,ROUND(P165+T165-V165+W165,0))</f>
        <v>27327546</v>
      </c>
      <c r="Y165" s="94">
        <f t="shared" si="74"/>
        <v>79.862685240474278</v>
      </c>
      <c r="AA165" s="33">
        <f t="shared" si="75"/>
        <v>-1163374</v>
      </c>
      <c r="AB165" s="33">
        <f t="shared" si="76"/>
        <v>-902441</v>
      </c>
      <c r="AC165" s="33">
        <f t="shared" si="77"/>
        <v>0</v>
      </c>
      <c r="AD165" s="57">
        <f t="shared" si="78"/>
        <v>-2.6373147595257223</v>
      </c>
      <c r="AG165" s="609" t="str">
        <f t="shared" si="79"/>
        <v>159</v>
      </c>
      <c r="AH165" s="388" t="str">
        <f t="shared" si="80"/>
        <v>Longmeadow</v>
      </c>
      <c r="AI165" s="380">
        <f t="shared" si="81"/>
        <v>1.0319816458987088</v>
      </c>
      <c r="AJ165" s="381">
        <f t="shared" si="59"/>
        <v>82.5</v>
      </c>
      <c r="AK165" s="380">
        <f t="shared" si="82"/>
        <v>3.73E-2</v>
      </c>
      <c r="AL165" s="9">
        <f t="shared" si="60"/>
        <v>27327546</v>
      </c>
      <c r="AM165" s="57">
        <f t="shared" si="83"/>
        <v>-2.6373147595257223</v>
      </c>
    </row>
    <row r="166" spans="1:39" ht="12.75" customHeight="1">
      <c r="A166" s="6">
        <v>160</v>
      </c>
      <c r="B166" s="6" t="s">
        <v>841</v>
      </c>
      <c r="C166" s="81">
        <v>11375052400</v>
      </c>
      <c r="D166" s="81">
        <f t="shared" si="61"/>
        <v>44426496.832126513</v>
      </c>
      <c r="E166" s="8">
        <v>3043181000</v>
      </c>
      <c r="F166" s="81">
        <f t="shared" si="84"/>
        <v>43553703.737667769</v>
      </c>
      <c r="G166" s="81">
        <f t="shared" si="62"/>
        <v>87980201</v>
      </c>
      <c r="H166" s="127">
        <f t="shared" si="63"/>
        <v>347861659.37757123</v>
      </c>
      <c r="I166" s="347">
        <f t="shared" si="64"/>
        <v>0.25291721185204186</v>
      </c>
      <c r="J166" s="33">
        <f t="shared" si="57"/>
        <v>286985869</v>
      </c>
      <c r="K166" s="33">
        <f t="shared" si="65"/>
        <v>87980201</v>
      </c>
      <c r="L166" s="126">
        <f t="shared" si="66"/>
        <v>25.29</v>
      </c>
      <c r="M166" s="470"/>
      <c r="N166" s="128">
        <v>68340513</v>
      </c>
      <c r="O166" s="449">
        <v>6.3899999999999998E-2</v>
      </c>
      <c r="P166" s="33">
        <f t="shared" si="67"/>
        <v>72707472</v>
      </c>
      <c r="Q166" s="57">
        <f t="shared" si="68"/>
        <v>20.901260613226377</v>
      </c>
      <c r="R166" s="57">
        <f t="shared" si="69"/>
        <v>4.3887393867736222</v>
      </c>
      <c r="S166" s="88">
        <f t="shared" si="70"/>
        <v>0.01</v>
      </c>
      <c r="T166" s="33">
        <f t="shared" si="71"/>
        <v>683405</v>
      </c>
      <c r="U166" s="9">
        <f t="shared" si="72"/>
        <v>0</v>
      </c>
      <c r="V166" s="9">
        <f t="shared" si="58"/>
        <v>0</v>
      </c>
      <c r="W166" s="9">
        <f t="shared" si="73"/>
        <v>0</v>
      </c>
      <c r="X166" s="127">
        <f>MIN(H166*parameters!C$22,ROUND(P166+T166-V166+W166,0))</f>
        <v>73390877</v>
      </c>
      <c r="Y166" s="94">
        <f t="shared" si="74"/>
        <v>21.097719458740659</v>
      </c>
      <c r="AA166" s="33">
        <f t="shared" si="75"/>
        <v>-15272729</v>
      </c>
      <c r="AB166" s="33">
        <f t="shared" si="76"/>
        <v>-14589324</v>
      </c>
      <c r="AC166" s="33">
        <f t="shared" si="77"/>
        <v>0</v>
      </c>
      <c r="AD166" s="57">
        <f t="shared" si="78"/>
        <v>-4.1922805412593398</v>
      </c>
      <c r="AG166" s="609" t="str">
        <f t="shared" si="79"/>
        <v>160</v>
      </c>
      <c r="AH166" s="388" t="str">
        <f t="shared" si="80"/>
        <v>Lowell</v>
      </c>
      <c r="AI166" s="380">
        <f t="shared" si="81"/>
        <v>0.25291721185204186</v>
      </c>
      <c r="AJ166" s="381">
        <f t="shared" si="59"/>
        <v>25.29</v>
      </c>
      <c r="AK166" s="380">
        <f t="shared" si="82"/>
        <v>6.3899999999999998E-2</v>
      </c>
      <c r="AL166" s="9">
        <f t="shared" si="60"/>
        <v>73390877</v>
      </c>
      <c r="AM166" s="57">
        <f t="shared" si="83"/>
        <v>-4.1922805412593398</v>
      </c>
    </row>
    <row r="167" spans="1:39" ht="12.75" customHeight="1">
      <c r="A167" s="6">
        <v>161</v>
      </c>
      <c r="B167" s="6" t="s">
        <v>842</v>
      </c>
      <c r="C167" s="81">
        <v>2411393900</v>
      </c>
      <c r="D167" s="81">
        <f t="shared" si="61"/>
        <v>9417959.5567717291</v>
      </c>
      <c r="E167" s="8">
        <v>749441000</v>
      </c>
      <c r="F167" s="81">
        <f t="shared" si="84"/>
        <v>10725925.037932832</v>
      </c>
      <c r="G167" s="81">
        <f t="shared" si="62"/>
        <v>20143885</v>
      </c>
      <c r="H167" s="127">
        <f t="shared" si="63"/>
        <v>33328396.509999994</v>
      </c>
      <c r="I167" s="347">
        <f t="shared" si="64"/>
        <v>0.60440606537899122</v>
      </c>
      <c r="J167" s="33">
        <f t="shared" si="57"/>
        <v>27495927</v>
      </c>
      <c r="K167" s="33">
        <f t="shared" si="65"/>
        <v>20143885</v>
      </c>
      <c r="L167" s="126">
        <f t="shared" si="66"/>
        <v>60.44</v>
      </c>
      <c r="M167" s="470"/>
      <c r="N167" s="128">
        <v>18168773</v>
      </c>
      <c r="O167" s="449">
        <v>2.9000000000000005E-2</v>
      </c>
      <c r="P167" s="33">
        <f t="shared" si="67"/>
        <v>18695667</v>
      </c>
      <c r="Q167" s="57">
        <f t="shared" si="68"/>
        <v>56.095308978907738</v>
      </c>
      <c r="R167" s="57">
        <f t="shared" si="69"/>
        <v>4.3446910210922596</v>
      </c>
      <c r="S167" s="88">
        <f t="shared" si="70"/>
        <v>0.01</v>
      </c>
      <c r="T167" s="33">
        <f t="shared" si="71"/>
        <v>181688</v>
      </c>
      <c r="U167" s="9">
        <f t="shared" si="72"/>
        <v>0</v>
      </c>
      <c r="V167" s="9">
        <f t="shared" si="58"/>
        <v>0</v>
      </c>
      <c r="W167" s="9">
        <f t="shared" si="73"/>
        <v>0</v>
      </c>
      <c r="X167" s="127">
        <f>MIN(H167*parameters!C$22,ROUND(P167+T167-V167+W167,0))</f>
        <v>18877355</v>
      </c>
      <c r="Y167" s="94">
        <f t="shared" si="74"/>
        <v>56.640453717405691</v>
      </c>
      <c r="AA167" s="33">
        <f t="shared" si="75"/>
        <v>-1448218</v>
      </c>
      <c r="AB167" s="33">
        <f t="shared" si="76"/>
        <v>-1266530</v>
      </c>
      <c r="AC167" s="33">
        <f t="shared" si="77"/>
        <v>0</v>
      </c>
      <c r="AD167" s="57">
        <f t="shared" si="78"/>
        <v>-3.7995462825943065</v>
      </c>
      <c r="AG167" s="609" t="str">
        <f t="shared" si="79"/>
        <v>161</v>
      </c>
      <c r="AH167" s="388" t="str">
        <f t="shared" si="80"/>
        <v>Ludlow</v>
      </c>
      <c r="AI167" s="380">
        <f t="shared" si="81"/>
        <v>0.60440606537899122</v>
      </c>
      <c r="AJ167" s="381">
        <f t="shared" si="59"/>
        <v>60.44</v>
      </c>
      <c r="AK167" s="380">
        <f t="shared" si="82"/>
        <v>2.9000000000000005E-2</v>
      </c>
      <c r="AL167" s="9">
        <f t="shared" si="60"/>
        <v>18877355</v>
      </c>
      <c r="AM167" s="57">
        <f t="shared" si="83"/>
        <v>-3.7995462825943065</v>
      </c>
    </row>
    <row r="168" spans="1:39" ht="12.75" customHeight="1">
      <c r="A168" s="6">
        <v>162</v>
      </c>
      <c r="B168" s="6" t="s">
        <v>843</v>
      </c>
      <c r="C168" s="81">
        <v>1855455700</v>
      </c>
      <c r="D168" s="81">
        <f t="shared" si="61"/>
        <v>7246682.8177601257</v>
      </c>
      <c r="E168" s="8">
        <v>576297000</v>
      </c>
      <c r="F168" s="81">
        <f t="shared" si="84"/>
        <v>8247905.3342232108</v>
      </c>
      <c r="G168" s="81">
        <f t="shared" si="62"/>
        <v>15494588</v>
      </c>
      <c r="H168" s="127">
        <f t="shared" si="63"/>
        <v>23559120.125985529</v>
      </c>
      <c r="I168" s="347">
        <f t="shared" si="64"/>
        <v>0.65768958760516649</v>
      </c>
      <c r="J168" s="33">
        <f t="shared" si="57"/>
        <v>19436274</v>
      </c>
      <c r="K168" s="33">
        <f t="shared" si="65"/>
        <v>15494588</v>
      </c>
      <c r="L168" s="126">
        <f t="shared" si="66"/>
        <v>65.77</v>
      </c>
      <c r="M168" s="470"/>
      <c r="N168" s="128">
        <v>13038099</v>
      </c>
      <c r="O168" s="449">
        <v>3.6000000000000004E-2</v>
      </c>
      <c r="P168" s="33">
        <f t="shared" si="67"/>
        <v>13507471</v>
      </c>
      <c r="Q168" s="57">
        <f t="shared" si="68"/>
        <v>57.334361078711773</v>
      </c>
      <c r="R168" s="57">
        <f t="shared" si="69"/>
        <v>8.4356389212882235</v>
      </c>
      <c r="S168" s="88">
        <f t="shared" si="70"/>
        <v>0.02</v>
      </c>
      <c r="T168" s="33">
        <f t="shared" si="71"/>
        <v>260762</v>
      </c>
      <c r="U168" s="9">
        <f t="shared" si="72"/>
        <v>0</v>
      </c>
      <c r="V168" s="9">
        <f t="shared" si="58"/>
        <v>0</v>
      </c>
      <c r="W168" s="9">
        <f t="shared" si="73"/>
        <v>0</v>
      </c>
      <c r="X168" s="127">
        <f>MIN(H168*parameters!C$22,ROUND(P168+T168-V168+W168,0))</f>
        <v>13768233</v>
      </c>
      <c r="Y168" s="94">
        <f t="shared" si="74"/>
        <v>58.441202075342979</v>
      </c>
      <c r="AA168" s="33">
        <f t="shared" si="75"/>
        <v>-1987117</v>
      </c>
      <c r="AB168" s="33">
        <f t="shared" si="76"/>
        <v>-1726355</v>
      </c>
      <c r="AC168" s="33">
        <f t="shared" si="77"/>
        <v>0</v>
      </c>
      <c r="AD168" s="57">
        <f t="shared" si="78"/>
        <v>-7.3287979246570174</v>
      </c>
      <c r="AG168" s="609" t="str">
        <f t="shared" si="79"/>
        <v>162</v>
      </c>
      <c r="AH168" s="388" t="str">
        <f t="shared" si="80"/>
        <v>Lunenburg</v>
      </c>
      <c r="AI168" s="380">
        <f t="shared" si="81"/>
        <v>0.65768958760516649</v>
      </c>
      <c r="AJ168" s="381">
        <f t="shared" si="59"/>
        <v>65.77</v>
      </c>
      <c r="AK168" s="380">
        <f t="shared" si="82"/>
        <v>3.6000000000000004E-2</v>
      </c>
      <c r="AL168" s="9">
        <f t="shared" si="60"/>
        <v>13768233</v>
      </c>
      <c r="AM168" s="57">
        <f t="shared" si="83"/>
        <v>-7.3287979246570174</v>
      </c>
    </row>
    <row r="169" spans="1:39" ht="12.75" customHeight="1">
      <c r="A169" s="6">
        <v>163</v>
      </c>
      <c r="B169" s="6" t="s">
        <v>844</v>
      </c>
      <c r="C169" s="81">
        <v>11636407900</v>
      </c>
      <c r="D169" s="81">
        <f t="shared" si="61"/>
        <v>45447248.990842618</v>
      </c>
      <c r="E169" s="8">
        <v>2554529000</v>
      </c>
      <c r="F169" s="81">
        <f t="shared" si="84"/>
        <v>36560164.924557798</v>
      </c>
      <c r="G169" s="81">
        <f t="shared" si="62"/>
        <v>82007414</v>
      </c>
      <c r="H169" s="127">
        <f t="shared" si="63"/>
        <v>351967448.88</v>
      </c>
      <c r="I169" s="347">
        <f t="shared" si="64"/>
        <v>0.23299715431343671</v>
      </c>
      <c r="J169" s="33">
        <f t="shared" si="57"/>
        <v>290373145</v>
      </c>
      <c r="K169" s="33">
        <f t="shared" si="65"/>
        <v>82007414</v>
      </c>
      <c r="L169" s="126">
        <f t="shared" si="66"/>
        <v>23.3</v>
      </c>
      <c r="M169" s="470"/>
      <c r="N169" s="128">
        <v>60851330</v>
      </c>
      <c r="O169" s="449">
        <v>4.8300000000000003E-2</v>
      </c>
      <c r="P169" s="33">
        <f t="shared" si="67"/>
        <v>63790449</v>
      </c>
      <c r="Q169" s="57">
        <f t="shared" si="68"/>
        <v>18.1239626570549</v>
      </c>
      <c r="R169" s="57">
        <f t="shared" si="69"/>
        <v>5.1760373429451008</v>
      </c>
      <c r="S169" s="88">
        <f t="shared" si="70"/>
        <v>0.01</v>
      </c>
      <c r="T169" s="33">
        <f t="shared" si="71"/>
        <v>608513</v>
      </c>
      <c r="U169" s="9">
        <f t="shared" si="72"/>
        <v>0</v>
      </c>
      <c r="V169" s="9">
        <f t="shared" si="58"/>
        <v>0</v>
      </c>
      <c r="W169" s="9">
        <f t="shared" si="73"/>
        <v>0</v>
      </c>
      <c r="X169" s="127">
        <f>MIN(H169*parameters!C$22,ROUND(P169+T169-V169+W169,0))</f>
        <v>64398962</v>
      </c>
      <c r="Y169" s="94">
        <f t="shared" si="74"/>
        <v>18.296851656289448</v>
      </c>
      <c r="AA169" s="33">
        <f t="shared" si="75"/>
        <v>-18216965</v>
      </c>
      <c r="AB169" s="33">
        <f t="shared" si="76"/>
        <v>-17608452</v>
      </c>
      <c r="AC169" s="33">
        <f t="shared" si="77"/>
        <v>0</v>
      </c>
      <c r="AD169" s="57">
        <f t="shared" si="78"/>
        <v>-5.0031483437105528</v>
      </c>
      <c r="AG169" s="609" t="str">
        <f t="shared" si="79"/>
        <v>163</v>
      </c>
      <c r="AH169" s="388" t="str">
        <f t="shared" si="80"/>
        <v>Lynn</v>
      </c>
      <c r="AI169" s="380">
        <f t="shared" si="81"/>
        <v>0.23299715431343671</v>
      </c>
      <c r="AJ169" s="381">
        <f t="shared" si="59"/>
        <v>23.3</v>
      </c>
      <c r="AK169" s="380">
        <f t="shared" si="82"/>
        <v>4.8300000000000003E-2</v>
      </c>
      <c r="AL169" s="9">
        <f t="shared" si="60"/>
        <v>64398962</v>
      </c>
      <c r="AM169" s="57">
        <f t="shared" si="83"/>
        <v>-5.0031483437105528</v>
      </c>
    </row>
    <row r="170" spans="1:39" ht="12.75" customHeight="1">
      <c r="A170" s="6">
        <v>164</v>
      </c>
      <c r="B170" s="6" t="s">
        <v>845</v>
      </c>
      <c r="C170" s="81">
        <v>4134919200</v>
      </c>
      <c r="D170" s="81">
        <f t="shared" si="61"/>
        <v>16149373.935182847</v>
      </c>
      <c r="E170" s="8">
        <v>1396516000</v>
      </c>
      <c r="F170" s="81">
        <f t="shared" si="84"/>
        <v>19986798.067191154</v>
      </c>
      <c r="G170" s="81">
        <f t="shared" si="62"/>
        <v>36136172</v>
      </c>
      <c r="H170" s="127">
        <f t="shared" si="63"/>
        <v>28701385.633307967</v>
      </c>
      <c r="I170" s="347">
        <f t="shared" si="64"/>
        <v>1.2590392833879058</v>
      </c>
      <c r="J170" s="33">
        <f t="shared" si="57"/>
        <v>23678643</v>
      </c>
      <c r="K170" s="33">
        <f t="shared" si="65"/>
        <v>23678643</v>
      </c>
      <c r="L170" s="126">
        <f t="shared" si="66"/>
        <v>82.5</v>
      </c>
      <c r="M170" s="470"/>
      <c r="N170" s="128">
        <v>22048089</v>
      </c>
      <c r="O170" s="449">
        <v>3.27E-2</v>
      </c>
      <c r="P170" s="33">
        <f t="shared" si="67"/>
        <v>22769062</v>
      </c>
      <c r="Q170" s="57">
        <f t="shared" si="68"/>
        <v>79.330880713914027</v>
      </c>
      <c r="R170" s="57">
        <f t="shared" si="69"/>
        <v>3.1691192860859729</v>
      </c>
      <c r="S170" s="88">
        <f t="shared" si="70"/>
        <v>0.01</v>
      </c>
      <c r="T170" s="33">
        <f t="shared" si="71"/>
        <v>220481</v>
      </c>
      <c r="U170" s="9">
        <f t="shared" si="72"/>
        <v>0</v>
      </c>
      <c r="V170" s="9">
        <f t="shared" si="58"/>
        <v>0</v>
      </c>
      <c r="W170" s="9">
        <f t="shared" si="73"/>
        <v>0</v>
      </c>
      <c r="X170" s="127">
        <f>MIN(H170*parameters!C$22,ROUND(P170+T170-V170+W170,0))</f>
        <v>22989543</v>
      </c>
      <c r="Y170" s="94">
        <f t="shared" si="74"/>
        <v>80.099070106638436</v>
      </c>
      <c r="AA170" s="33">
        <f t="shared" si="75"/>
        <v>-909581</v>
      </c>
      <c r="AB170" s="33">
        <f t="shared" si="76"/>
        <v>-689100</v>
      </c>
      <c r="AC170" s="33">
        <f t="shared" si="77"/>
        <v>0</v>
      </c>
      <c r="AD170" s="57">
        <f t="shared" si="78"/>
        <v>-2.4009298933615639</v>
      </c>
      <c r="AG170" s="609" t="str">
        <f t="shared" si="79"/>
        <v>164</v>
      </c>
      <c r="AH170" s="388" t="str">
        <f t="shared" si="80"/>
        <v>Lynnfield</v>
      </c>
      <c r="AI170" s="380">
        <f t="shared" si="81"/>
        <v>1.2590392833879058</v>
      </c>
      <c r="AJ170" s="381">
        <f t="shared" si="59"/>
        <v>82.5</v>
      </c>
      <c r="AK170" s="380">
        <f t="shared" si="82"/>
        <v>3.27E-2</v>
      </c>
      <c r="AL170" s="9">
        <f t="shared" si="60"/>
        <v>22989543</v>
      </c>
      <c r="AM170" s="57">
        <f t="shared" si="83"/>
        <v>-2.4009298933615639</v>
      </c>
    </row>
    <row r="171" spans="1:39" ht="12.75" customHeight="1">
      <c r="A171" s="6">
        <v>165</v>
      </c>
      <c r="B171" s="6" t="s">
        <v>846</v>
      </c>
      <c r="C171" s="81">
        <v>9978319100</v>
      </c>
      <c r="D171" s="81">
        <f t="shared" si="61"/>
        <v>38971403.93710164</v>
      </c>
      <c r="E171" s="8">
        <v>2221793000</v>
      </c>
      <c r="F171" s="81">
        <f t="shared" si="84"/>
        <v>31798080.392991442</v>
      </c>
      <c r="G171" s="81">
        <f t="shared" si="62"/>
        <v>70769484</v>
      </c>
      <c r="H171" s="127">
        <f t="shared" si="63"/>
        <v>125778963.66361195</v>
      </c>
      <c r="I171" s="347">
        <f t="shared" si="64"/>
        <v>0.56264960322990576</v>
      </c>
      <c r="J171" s="33">
        <f t="shared" si="57"/>
        <v>103767645</v>
      </c>
      <c r="K171" s="33">
        <f t="shared" si="65"/>
        <v>70769484</v>
      </c>
      <c r="L171" s="126">
        <f t="shared" si="66"/>
        <v>56.26</v>
      </c>
      <c r="M171" s="470"/>
      <c r="N171" s="128">
        <v>56111790</v>
      </c>
      <c r="O171" s="449">
        <v>4.3299999999999998E-2</v>
      </c>
      <c r="P171" s="33">
        <f t="shared" si="67"/>
        <v>58541431</v>
      </c>
      <c r="Q171" s="57">
        <f t="shared" si="68"/>
        <v>46.543101719748172</v>
      </c>
      <c r="R171" s="57">
        <f t="shared" si="69"/>
        <v>9.7168982802518258</v>
      </c>
      <c r="S171" s="88">
        <f t="shared" si="70"/>
        <v>0.02</v>
      </c>
      <c r="T171" s="33">
        <f t="shared" si="71"/>
        <v>1122236</v>
      </c>
      <c r="U171" s="9">
        <f t="shared" si="72"/>
        <v>0</v>
      </c>
      <c r="V171" s="9">
        <f t="shared" si="58"/>
        <v>0</v>
      </c>
      <c r="W171" s="9">
        <f t="shared" si="73"/>
        <v>0</v>
      </c>
      <c r="X171" s="127">
        <f>MIN(H171*parameters!C$22,ROUND(P171+T171-V171+W171,0))</f>
        <v>59663667</v>
      </c>
      <c r="Y171" s="94">
        <f t="shared" si="74"/>
        <v>47.435330409914002</v>
      </c>
      <c r="AA171" s="33">
        <f t="shared" si="75"/>
        <v>-12228053</v>
      </c>
      <c r="AB171" s="33">
        <f t="shared" si="76"/>
        <v>-11105817</v>
      </c>
      <c r="AC171" s="33">
        <f t="shared" si="77"/>
        <v>0</v>
      </c>
      <c r="AD171" s="57">
        <f t="shared" si="78"/>
        <v>-8.8246695900859962</v>
      </c>
      <c r="AG171" s="609" t="str">
        <f t="shared" si="79"/>
        <v>165</v>
      </c>
      <c r="AH171" s="388" t="str">
        <f t="shared" si="80"/>
        <v>Malden</v>
      </c>
      <c r="AI171" s="380">
        <f t="shared" si="81"/>
        <v>0.56264960322990576</v>
      </c>
      <c r="AJ171" s="381">
        <f t="shared" si="59"/>
        <v>56.26</v>
      </c>
      <c r="AK171" s="380">
        <f t="shared" si="82"/>
        <v>4.3299999999999998E-2</v>
      </c>
      <c r="AL171" s="9">
        <f t="shared" si="60"/>
        <v>59663667</v>
      </c>
      <c r="AM171" s="57">
        <f t="shared" si="83"/>
        <v>-8.8246695900859962</v>
      </c>
    </row>
    <row r="172" spans="1:39" ht="12.75" customHeight="1">
      <c r="A172" s="6">
        <v>166</v>
      </c>
      <c r="B172" s="6" t="s">
        <v>847</v>
      </c>
      <c r="C172" s="81">
        <v>2969651000</v>
      </c>
      <c r="D172" s="81">
        <f t="shared" si="61"/>
        <v>11598293.010414733</v>
      </c>
      <c r="E172" s="8">
        <v>1288357000</v>
      </c>
      <c r="F172" s="81">
        <f t="shared" si="84"/>
        <v>18438837.218801785</v>
      </c>
      <c r="G172" s="81">
        <f t="shared" si="62"/>
        <v>30037130</v>
      </c>
      <c r="H172" s="127">
        <f t="shared" si="63"/>
        <v>8625192.1193161607</v>
      </c>
      <c r="I172" s="347">
        <f t="shared" si="64"/>
        <v>3.4824882257093956</v>
      </c>
      <c r="J172" s="33">
        <f t="shared" si="57"/>
        <v>7115783</v>
      </c>
      <c r="K172" s="33">
        <f t="shared" si="65"/>
        <v>7115783</v>
      </c>
      <c r="L172" s="126">
        <f t="shared" si="66"/>
        <v>82.5</v>
      </c>
      <c r="M172" s="470"/>
      <c r="N172" s="128">
        <v>7353470</v>
      </c>
      <c r="O172" s="449">
        <v>3.3599999999999998E-2</v>
      </c>
      <c r="P172" s="33">
        <f t="shared" si="67"/>
        <v>7600547</v>
      </c>
      <c r="Q172" s="57">
        <f t="shared" si="68"/>
        <v>88.120321203959477</v>
      </c>
      <c r="R172" s="57">
        <f t="shared" si="69"/>
        <v>0</v>
      </c>
      <c r="S172" s="88">
        <f t="shared" si="70"/>
        <v>0</v>
      </c>
      <c r="T172" s="33">
        <f t="shared" si="71"/>
        <v>0</v>
      </c>
      <c r="U172" s="9">
        <f t="shared" si="72"/>
        <v>484764</v>
      </c>
      <c r="V172" s="9">
        <f t="shared" si="58"/>
        <v>484764</v>
      </c>
      <c r="W172" s="9">
        <f t="shared" si="73"/>
        <v>0</v>
      </c>
      <c r="X172" s="127">
        <f>MIN(H172*parameters!C$22,ROUND(P172+T172-V172+W172,0))</f>
        <v>7115783</v>
      </c>
      <c r="Y172" s="94">
        <f t="shared" si="74"/>
        <v>82.499994221162552</v>
      </c>
      <c r="AA172" s="33">
        <f t="shared" si="75"/>
        <v>0</v>
      </c>
      <c r="AB172" s="33">
        <f t="shared" si="76"/>
        <v>0</v>
      </c>
      <c r="AC172" s="33">
        <f t="shared" si="77"/>
        <v>0</v>
      </c>
      <c r="AD172" s="57">
        <f t="shared" si="78"/>
        <v>-5.7788374476785975E-6</v>
      </c>
      <c r="AG172" s="609" t="str">
        <f t="shared" si="79"/>
        <v>166</v>
      </c>
      <c r="AH172" s="388" t="str">
        <f t="shared" si="80"/>
        <v>Manchester</v>
      </c>
      <c r="AI172" s="380">
        <f t="shared" si="81"/>
        <v>3.4824882257093956</v>
      </c>
      <c r="AJ172" s="381">
        <f t="shared" si="59"/>
        <v>82.5</v>
      </c>
      <c r="AK172" s="380">
        <f t="shared" si="82"/>
        <v>3.3599999999999998E-2</v>
      </c>
      <c r="AL172" s="9">
        <f t="shared" si="60"/>
        <v>7115783</v>
      </c>
      <c r="AM172" s="57">
        <f t="shared" si="83"/>
        <v>-5.7788374476785975E-6</v>
      </c>
    </row>
    <row r="173" spans="1:39" ht="12.75" customHeight="1">
      <c r="A173" s="6">
        <v>167</v>
      </c>
      <c r="B173" s="6" t="s">
        <v>848</v>
      </c>
      <c r="C173" s="81">
        <v>4776050100</v>
      </c>
      <c r="D173" s="81">
        <f t="shared" si="61"/>
        <v>18653379.973680604</v>
      </c>
      <c r="E173" s="8">
        <v>1463900000</v>
      </c>
      <c r="F173" s="81">
        <f t="shared" si="84"/>
        <v>20951191.171859924</v>
      </c>
      <c r="G173" s="81">
        <f t="shared" si="62"/>
        <v>39604571</v>
      </c>
      <c r="H173" s="127">
        <f t="shared" si="63"/>
        <v>48222893.451864965</v>
      </c>
      <c r="I173" s="347">
        <f t="shared" si="64"/>
        <v>0.82128151516939596</v>
      </c>
      <c r="J173" s="33">
        <f t="shared" si="57"/>
        <v>39783887</v>
      </c>
      <c r="K173" s="33">
        <f t="shared" si="65"/>
        <v>39604571</v>
      </c>
      <c r="L173" s="126">
        <f t="shared" si="66"/>
        <v>82.13</v>
      </c>
      <c r="M173" s="470"/>
      <c r="N173" s="128">
        <v>34205572</v>
      </c>
      <c r="O173" s="449">
        <v>4.9399999999999993E-2</v>
      </c>
      <c r="P173" s="33">
        <f t="shared" si="67"/>
        <v>35895327</v>
      </c>
      <c r="Q173" s="57">
        <f t="shared" si="68"/>
        <v>74.436277938879655</v>
      </c>
      <c r="R173" s="57">
        <f t="shared" si="69"/>
        <v>7.6937220611203401</v>
      </c>
      <c r="S173" s="88">
        <f t="shared" si="70"/>
        <v>0.02</v>
      </c>
      <c r="T173" s="33">
        <f t="shared" si="71"/>
        <v>684111</v>
      </c>
      <c r="U173" s="9">
        <f t="shared" si="72"/>
        <v>0</v>
      </c>
      <c r="V173" s="9">
        <f t="shared" si="58"/>
        <v>0</v>
      </c>
      <c r="W173" s="9">
        <f t="shared" si="73"/>
        <v>0</v>
      </c>
      <c r="X173" s="127">
        <f>MIN(H173*parameters!C$22,ROUND(P173+T173-V173+W173,0))</f>
        <v>36579438</v>
      </c>
      <c r="Y173" s="94">
        <f t="shared" si="74"/>
        <v>75.854921556112743</v>
      </c>
      <c r="AA173" s="33">
        <f t="shared" si="75"/>
        <v>-3709244</v>
      </c>
      <c r="AB173" s="33">
        <f t="shared" si="76"/>
        <v>-3025133</v>
      </c>
      <c r="AC173" s="33">
        <f t="shared" si="77"/>
        <v>0</v>
      </c>
      <c r="AD173" s="57">
        <f t="shared" si="78"/>
        <v>-6.2750784438872529</v>
      </c>
      <c r="AG173" s="609" t="str">
        <f t="shared" si="79"/>
        <v>167</v>
      </c>
      <c r="AH173" s="388" t="str">
        <f t="shared" si="80"/>
        <v>Mansfield</v>
      </c>
      <c r="AI173" s="380">
        <f t="shared" si="81"/>
        <v>0.82128151516939596</v>
      </c>
      <c r="AJ173" s="381">
        <f t="shared" si="59"/>
        <v>82.13</v>
      </c>
      <c r="AK173" s="380">
        <f t="shared" si="82"/>
        <v>4.9399999999999993E-2</v>
      </c>
      <c r="AL173" s="9">
        <f t="shared" si="60"/>
        <v>36579438</v>
      </c>
      <c r="AM173" s="57">
        <f t="shared" si="83"/>
        <v>-6.2750784438872529</v>
      </c>
    </row>
    <row r="174" spans="1:39" ht="12.75" customHeight="1">
      <c r="A174" s="6">
        <v>168</v>
      </c>
      <c r="B174" s="6" t="s">
        <v>849</v>
      </c>
      <c r="C174" s="81">
        <v>7507193000</v>
      </c>
      <c r="D174" s="81">
        <f t="shared" si="61"/>
        <v>29320153.815965042</v>
      </c>
      <c r="E174" s="8">
        <v>2642633000</v>
      </c>
      <c r="F174" s="81">
        <f t="shared" si="84"/>
        <v>37821100.608009905</v>
      </c>
      <c r="G174" s="81">
        <f t="shared" si="62"/>
        <v>67141254</v>
      </c>
      <c r="H174" s="127">
        <f t="shared" si="63"/>
        <v>33430588.906525388</v>
      </c>
      <c r="I174" s="347">
        <f t="shared" si="64"/>
        <v>2.0083778418541276</v>
      </c>
      <c r="J174" s="33">
        <f t="shared" si="57"/>
        <v>27580236</v>
      </c>
      <c r="K174" s="33">
        <f t="shared" si="65"/>
        <v>27580236</v>
      </c>
      <c r="L174" s="126">
        <f t="shared" si="66"/>
        <v>82.5</v>
      </c>
      <c r="M174" s="470"/>
      <c r="N174" s="128">
        <v>27385589</v>
      </c>
      <c r="O174" s="449">
        <v>4.4900000000000002E-2</v>
      </c>
      <c r="P174" s="33">
        <f t="shared" si="67"/>
        <v>28615202</v>
      </c>
      <c r="Q174" s="57">
        <f t="shared" si="68"/>
        <v>85.595865750407214</v>
      </c>
      <c r="R174" s="57">
        <f t="shared" si="69"/>
        <v>0</v>
      </c>
      <c r="S174" s="88">
        <f t="shared" si="70"/>
        <v>0</v>
      </c>
      <c r="T174" s="33">
        <f t="shared" si="71"/>
        <v>0</v>
      </c>
      <c r="U174" s="9">
        <f t="shared" si="72"/>
        <v>1034966</v>
      </c>
      <c r="V174" s="9">
        <f t="shared" si="58"/>
        <v>1034966</v>
      </c>
      <c r="W174" s="9">
        <f t="shared" si="73"/>
        <v>0</v>
      </c>
      <c r="X174" s="127">
        <f>MIN(H174*parameters!C$22,ROUND(P174+T174-V174+W174,0))</f>
        <v>27580236</v>
      </c>
      <c r="Y174" s="94">
        <f t="shared" si="74"/>
        <v>82.500000455022061</v>
      </c>
      <c r="AA174" s="33">
        <f t="shared" si="75"/>
        <v>0</v>
      </c>
      <c r="AB174" s="33">
        <f t="shared" si="76"/>
        <v>0</v>
      </c>
      <c r="AC174" s="33">
        <f t="shared" si="77"/>
        <v>0</v>
      </c>
      <c r="AD174" s="57">
        <f t="shared" si="78"/>
        <v>4.5502206091896369E-7</v>
      </c>
      <c r="AG174" s="609" t="str">
        <f t="shared" si="79"/>
        <v>168</v>
      </c>
      <c r="AH174" s="388" t="str">
        <f t="shared" si="80"/>
        <v>Marblehead</v>
      </c>
      <c r="AI174" s="380">
        <f t="shared" si="81"/>
        <v>2.0083778418541276</v>
      </c>
      <c r="AJ174" s="381">
        <f t="shared" si="59"/>
        <v>82.5</v>
      </c>
      <c r="AK174" s="380">
        <f t="shared" si="82"/>
        <v>4.4900000000000002E-2</v>
      </c>
      <c r="AL174" s="9">
        <f t="shared" si="60"/>
        <v>27580236</v>
      </c>
      <c r="AM174" s="57">
        <f t="shared" si="83"/>
        <v>4.5502206091896369E-7</v>
      </c>
    </row>
    <row r="175" spans="1:39" ht="12.75" customHeight="1">
      <c r="A175" s="6">
        <v>169</v>
      </c>
      <c r="B175" s="6" t="s">
        <v>850</v>
      </c>
      <c r="C175" s="81">
        <v>2022826200</v>
      </c>
      <c r="D175" s="81">
        <f t="shared" si="61"/>
        <v>7900366.3988609416</v>
      </c>
      <c r="E175" s="8">
        <v>478101000</v>
      </c>
      <c r="F175" s="81">
        <f t="shared" si="84"/>
        <v>6842533.9507189021</v>
      </c>
      <c r="G175" s="81">
        <f t="shared" si="62"/>
        <v>14742900</v>
      </c>
      <c r="H175" s="127">
        <f t="shared" si="63"/>
        <v>10076722.872250138</v>
      </c>
      <c r="I175" s="347">
        <f t="shared" si="64"/>
        <v>1.4630649455092042</v>
      </c>
      <c r="J175" s="33">
        <f t="shared" si="57"/>
        <v>8313296</v>
      </c>
      <c r="K175" s="33">
        <f t="shared" si="65"/>
        <v>8313296</v>
      </c>
      <c r="L175" s="126">
        <f t="shared" si="66"/>
        <v>82.5</v>
      </c>
      <c r="M175" s="470"/>
      <c r="N175" s="128">
        <v>7487299</v>
      </c>
      <c r="O175" s="449">
        <v>3.1899999999999998E-2</v>
      </c>
      <c r="P175" s="33">
        <f t="shared" si="67"/>
        <v>7726144</v>
      </c>
      <c r="Q175" s="57">
        <f t="shared" si="68"/>
        <v>76.673181330377773</v>
      </c>
      <c r="R175" s="57">
        <f t="shared" si="69"/>
        <v>5.8268186696222273</v>
      </c>
      <c r="S175" s="88">
        <f t="shared" si="70"/>
        <v>0.01</v>
      </c>
      <c r="T175" s="33">
        <f t="shared" si="71"/>
        <v>74873</v>
      </c>
      <c r="U175" s="9">
        <f t="shared" si="72"/>
        <v>0</v>
      </c>
      <c r="V175" s="9">
        <f t="shared" si="58"/>
        <v>0</v>
      </c>
      <c r="W175" s="9">
        <f t="shared" si="73"/>
        <v>0</v>
      </c>
      <c r="X175" s="127">
        <f>MIN(H175*parameters!C$22,ROUND(P175+T175-V175+W175,0))</f>
        <v>7801017</v>
      </c>
      <c r="Y175" s="94">
        <f t="shared" si="74"/>
        <v>77.416210596432023</v>
      </c>
      <c r="AA175" s="33">
        <f t="shared" si="75"/>
        <v>-587152</v>
      </c>
      <c r="AB175" s="33">
        <f t="shared" si="76"/>
        <v>-512279</v>
      </c>
      <c r="AC175" s="33">
        <f t="shared" si="77"/>
        <v>0</v>
      </c>
      <c r="AD175" s="57">
        <f t="shared" si="78"/>
        <v>-5.0837894035679767</v>
      </c>
      <c r="AG175" s="609" t="str">
        <f t="shared" si="79"/>
        <v>169</v>
      </c>
      <c r="AH175" s="388" t="str">
        <f t="shared" si="80"/>
        <v>Marion</v>
      </c>
      <c r="AI175" s="380">
        <f t="shared" si="81"/>
        <v>1.4630649455092042</v>
      </c>
      <c r="AJ175" s="381">
        <f t="shared" si="59"/>
        <v>82.5</v>
      </c>
      <c r="AK175" s="380">
        <f t="shared" si="82"/>
        <v>3.1899999999999998E-2</v>
      </c>
      <c r="AL175" s="9">
        <f t="shared" si="60"/>
        <v>7801017</v>
      </c>
      <c r="AM175" s="57">
        <f t="shared" si="83"/>
        <v>-5.0837894035679767</v>
      </c>
    </row>
    <row r="176" spans="1:39" ht="12.75" customHeight="1">
      <c r="A176" s="6">
        <v>170</v>
      </c>
      <c r="B176" s="6" t="s">
        <v>851</v>
      </c>
      <c r="C176" s="81">
        <v>7495113200</v>
      </c>
      <c r="D176" s="81">
        <f t="shared" si="61"/>
        <v>29272974.851195376</v>
      </c>
      <c r="E176" s="8">
        <v>1750639000</v>
      </c>
      <c r="F176" s="81">
        <f t="shared" si="84"/>
        <v>25054971.215187978</v>
      </c>
      <c r="G176" s="81">
        <f t="shared" si="62"/>
        <v>54327946</v>
      </c>
      <c r="H176" s="127">
        <f t="shared" si="63"/>
        <v>104306130.25188798</v>
      </c>
      <c r="I176" s="347">
        <f t="shared" si="64"/>
        <v>0.52085094010106514</v>
      </c>
      <c r="J176" s="33">
        <f t="shared" si="57"/>
        <v>86052557</v>
      </c>
      <c r="K176" s="33">
        <f t="shared" si="65"/>
        <v>54327946</v>
      </c>
      <c r="L176" s="126">
        <f t="shared" si="66"/>
        <v>52.09</v>
      </c>
      <c r="M176" s="470"/>
      <c r="N176" s="128">
        <v>46698359</v>
      </c>
      <c r="O176" s="449">
        <v>5.3499999999999999E-2</v>
      </c>
      <c r="P176" s="33">
        <f t="shared" si="67"/>
        <v>49196721</v>
      </c>
      <c r="Q176" s="57">
        <f t="shared" si="68"/>
        <v>47.165704337027229</v>
      </c>
      <c r="R176" s="57">
        <f t="shared" si="69"/>
        <v>4.9242956629727743</v>
      </c>
      <c r="S176" s="88">
        <f t="shared" si="70"/>
        <v>0.01</v>
      </c>
      <c r="T176" s="33">
        <f t="shared" si="71"/>
        <v>466984</v>
      </c>
      <c r="U176" s="9">
        <f t="shared" si="72"/>
        <v>0</v>
      </c>
      <c r="V176" s="9">
        <f t="shared" si="58"/>
        <v>0</v>
      </c>
      <c r="W176" s="9">
        <f t="shared" si="73"/>
        <v>0</v>
      </c>
      <c r="X176" s="127">
        <f>MIN(H176*parameters!C$22,ROUND(P176+T176-V176+W176,0))</f>
        <v>49663705</v>
      </c>
      <c r="Y176" s="94">
        <f t="shared" si="74"/>
        <v>47.613409566693299</v>
      </c>
      <c r="AA176" s="33">
        <f t="shared" si="75"/>
        <v>-5131225</v>
      </c>
      <c r="AB176" s="33">
        <f t="shared" si="76"/>
        <v>-4664241</v>
      </c>
      <c r="AC176" s="33">
        <f t="shared" si="77"/>
        <v>0</v>
      </c>
      <c r="AD176" s="57">
        <f t="shared" si="78"/>
        <v>-4.4765904333067041</v>
      </c>
      <c r="AG176" s="609" t="str">
        <f t="shared" si="79"/>
        <v>170</v>
      </c>
      <c r="AH176" s="388" t="str">
        <f t="shared" si="80"/>
        <v>Marlborough</v>
      </c>
      <c r="AI176" s="380">
        <f t="shared" si="81"/>
        <v>0.52085094010106514</v>
      </c>
      <c r="AJ176" s="381">
        <f t="shared" si="59"/>
        <v>52.09</v>
      </c>
      <c r="AK176" s="380">
        <f t="shared" si="82"/>
        <v>5.3499999999999999E-2</v>
      </c>
      <c r="AL176" s="9">
        <f t="shared" si="60"/>
        <v>49663705</v>
      </c>
      <c r="AM176" s="57">
        <f t="shared" si="83"/>
        <v>-4.4765904333067041</v>
      </c>
    </row>
    <row r="177" spans="1:39" ht="12.75" customHeight="1">
      <c r="A177" s="6">
        <v>171</v>
      </c>
      <c r="B177" s="6" t="s">
        <v>852</v>
      </c>
      <c r="C177" s="81">
        <v>6249685700</v>
      </c>
      <c r="D177" s="81">
        <f t="shared" si="61"/>
        <v>24408823.114769682</v>
      </c>
      <c r="E177" s="8">
        <v>1724877000</v>
      </c>
      <c r="F177" s="81">
        <f t="shared" si="84"/>
        <v>24686268.033980619</v>
      </c>
      <c r="G177" s="81">
        <f t="shared" si="62"/>
        <v>49095091</v>
      </c>
      <c r="H177" s="127">
        <f t="shared" si="63"/>
        <v>49792941.878732353</v>
      </c>
      <c r="I177" s="347">
        <f t="shared" si="64"/>
        <v>0.98598494380123336</v>
      </c>
      <c r="J177" s="33">
        <f t="shared" si="57"/>
        <v>41079177</v>
      </c>
      <c r="K177" s="33">
        <f t="shared" si="65"/>
        <v>41079177</v>
      </c>
      <c r="L177" s="126">
        <f t="shared" si="66"/>
        <v>82.5</v>
      </c>
      <c r="M177" s="470"/>
      <c r="N177" s="128">
        <v>39070159</v>
      </c>
      <c r="O177" s="449">
        <v>3.56E-2</v>
      </c>
      <c r="P177" s="33">
        <f t="shared" si="67"/>
        <v>40461057</v>
      </c>
      <c r="Q177" s="57">
        <f t="shared" si="68"/>
        <v>81.258619140319951</v>
      </c>
      <c r="R177" s="57">
        <f t="shared" si="69"/>
        <v>1.2413808596800493</v>
      </c>
      <c r="S177" s="88">
        <f t="shared" si="70"/>
        <v>0</v>
      </c>
      <c r="T177" s="33">
        <f t="shared" si="71"/>
        <v>0</v>
      </c>
      <c r="U177" s="9">
        <f t="shared" si="72"/>
        <v>0</v>
      </c>
      <c r="V177" s="9">
        <f t="shared" si="58"/>
        <v>0</v>
      </c>
      <c r="W177" s="9">
        <f t="shared" si="73"/>
        <v>0</v>
      </c>
      <c r="X177" s="127">
        <f>MIN(H177*parameters!C$22,ROUND(P177+T177-V177+W177,0))</f>
        <v>40461057</v>
      </c>
      <c r="Y177" s="94">
        <f t="shared" si="74"/>
        <v>81.258619140319951</v>
      </c>
      <c r="AA177" s="33">
        <f t="shared" si="75"/>
        <v>-618120</v>
      </c>
      <c r="AB177" s="33">
        <f t="shared" si="76"/>
        <v>-618120</v>
      </c>
      <c r="AC177" s="33">
        <f t="shared" si="77"/>
        <v>0</v>
      </c>
      <c r="AD177" s="57">
        <f t="shared" si="78"/>
        <v>-1.2413808596800493</v>
      </c>
      <c r="AG177" s="609" t="str">
        <f t="shared" si="79"/>
        <v>171</v>
      </c>
      <c r="AH177" s="388" t="str">
        <f t="shared" si="80"/>
        <v>Marshfield</v>
      </c>
      <c r="AI177" s="380">
        <f t="shared" si="81"/>
        <v>0.98598494380123336</v>
      </c>
      <c r="AJ177" s="381">
        <f t="shared" si="59"/>
        <v>82.5</v>
      </c>
      <c r="AK177" s="380">
        <f t="shared" si="82"/>
        <v>3.56E-2</v>
      </c>
      <c r="AL177" s="9">
        <f t="shared" si="60"/>
        <v>40461057</v>
      </c>
      <c r="AM177" s="57">
        <f t="shared" si="83"/>
        <v>-1.2413808596800493</v>
      </c>
    </row>
    <row r="178" spans="1:39" ht="12.75" customHeight="1">
      <c r="A178" s="6">
        <v>172</v>
      </c>
      <c r="B178" s="6" t="s">
        <v>853</v>
      </c>
      <c r="C178" s="81">
        <v>6829860600</v>
      </c>
      <c r="D178" s="81">
        <f t="shared" si="61"/>
        <v>26674758.905705407</v>
      </c>
      <c r="E178" s="8">
        <v>885765000</v>
      </c>
      <c r="F178" s="81">
        <f t="shared" si="84"/>
        <v>12676980.564480159</v>
      </c>
      <c r="G178" s="81">
        <f t="shared" si="62"/>
        <v>39351739</v>
      </c>
      <c r="H178" s="127">
        <f t="shared" si="63"/>
        <v>22508679.368622728</v>
      </c>
      <c r="I178" s="347">
        <f t="shared" si="64"/>
        <v>1.748291774721205</v>
      </c>
      <c r="J178" s="33">
        <f t="shared" si="57"/>
        <v>18569660</v>
      </c>
      <c r="K178" s="33">
        <f t="shared" si="65"/>
        <v>18569660</v>
      </c>
      <c r="L178" s="126">
        <f t="shared" si="66"/>
        <v>82.5</v>
      </c>
      <c r="M178" s="470"/>
      <c r="N178" s="128">
        <v>17402017</v>
      </c>
      <c r="O178" s="449">
        <v>4.6399999999999997E-2</v>
      </c>
      <c r="P178" s="33">
        <f t="shared" si="67"/>
        <v>18209471</v>
      </c>
      <c r="Q178" s="57">
        <f t="shared" si="68"/>
        <v>80.899775156885227</v>
      </c>
      <c r="R178" s="57">
        <f t="shared" si="69"/>
        <v>1.6002248431147734</v>
      </c>
      <c r="S178" s="88">
        <f t="shared" si="70"/>
        <v>0</v>
      </c>
      <c r="T178" s="33">
        <f t="shared" si="71"/>
        <v>0</v>
      </c>
      <c r="U178" s="9">
        <f t="shared" si="72"/>
        <v>0</v>
      </c>
      <c r="V178" s="9">
        <f t="shared" si="58"/>
        <v>0</v>
      </c>
      <c r="W178" s="9">
        <f t="shared" si="73"/>
        <v>0</v>
      </c>
      <c r="X178" s="127">
        <f>MIN(H178*parameters!C$22,ROUND(P178+T178-V178+W178,0))</f>
        <v>18209471</v>
      </c>
      <c r="Y178" s="94">
        <f t="shared" si="74"/>
        <v>80.899775156885227</v>
      </c>
      <c r="AA178" s="33">
        <f t="shared" si="75"/>
        <v>-360189</v>
      </c>
      <c r="AB178" s="33">
        <f t="shared" si="76"/>
        <v>-360189</v>
      </c>
      <c r="AC178" s="33">
        <f t="shared" si="77"/>
        <v>0</v>
      </c>
      <c r="AD178" s="57">
        <f t="shared" si="78"/>
        <v>-1.6002248431147734</v>
      </c>
      <c r="AG178" s="609" t="str">
        <f t="shared" si="79"/>
        <v>172</v>
      </c>
      <c r="AH178" s="388" t="str">
        <f t="shared" si="80"/>
        <v>Mashpee</v>
      </c>
      <c r="AI178" s="380">
        <f t="shared" si="81"/>
        <v>1.748291774721205</v>
      </c>
      <c r="AJ178" s="381">
        <f t="shared" si="59"/>
        <v>82.5</v>
      </c>
      <c r="AK178" s="380">
        <f t="shared" si="82"/>
        <v>4.6399999999999997E-2</v>
      </c>
      <c r="AL178" s="9">
        <f t="shared" si="60"/>
        <v>18209471</v>
      </c>
      <c r="AM178" s="57">
        <f t="shared" si="83"/>
        <v>-1.6002248431147734</v>
      </c>
    </row>
    <row r="179" spans="1:39" ht="12.75" customHeight="1">
      <c r="A179" s="6">
        <v>173</v>
      </c>
      <c r="B179" s="6" t="s">
        <v>854</v>
      </c>
      <c r="C179" s="81">
        <v>2214714000</v>
      </c>
      <c r="D179" s="81">
        <f t="shared" si="61"/>
        <v>8649804.9455197435</v>
      </c>
      <c r="E179" s="8">
        <v>498159000</v>
      </c>
      <c r="F179" s="81">
        <f t="shared" si="84"/>
        <v>7129602.051357721</v>
      </c>
      <c r="G179" s="81">
        <f t="shared" si="62"/>
        <v>15779407</v>
      </c>
      <c r="H179" s="127">
        <f t="shared" si="63"/>
        <v>10197485.355792468</v>
      </c>
      <c r="I179" s="347">
        <f t="shared" si="64"/>
        <v>1.5473821681966757</v>
      </c>
      <c r="J179" s="33">
        <f t="shared" si="57"/>
        <v>8412925</v>
      </c>
      <c r="K179" s="33">
        <f t="shared" si="65"/>
        <v>8412925</v>
      </c>
      <c r="L179" s="126">
        <f t="shared" si="66"/>
        <v>82.5</v>
      </c>
      <c r="M179" s="470"/>
      <c r="N179" s="128">
        <v>8380870</v>
      </c>
      <c r="O179" s="449">
        <v>4.2700000000000002E-2</v>
      </c>
      <c r="P179" s="33">
        <f t="shared" si="67"/>
        <v>8738733</v>
      </c>
      <c r="Q179" s="57">
        <f t="shared" si="68"/>
        <v>85.694979645507857</v>
      </c>
      <c r="R179" s="57">
        <f t="shared" si="69"/>
        <v>0</v>
      </c>
      <c r="S179" s="88">
        <f t="shared" si="70"/>
        <v>0</v>
      </c>
      <c r="T179" s="33">
        <f t="shared" si="71"/>
        <v>0</v>
      </c>
      <c r="U179" s="9">
        <f t="shared" si="72"/>
        <v>325808</v>
      </c>
      <c r="V179" s="9">
        <f t="shared" si="58"/>
        <v>325808</v>
      </c>
      <c r="W179" s="9">
        <f t="shared" si="73"/>
        <v>0</v>
      </c>
      <c r="X179" s="127">
        <f>MIN(H179*parameters!C$22,ROUND(P179+T179-V179+W179,0))</f>
        <v>8412925</v>
      </c>
      <c r="Y179" s="94">
        <f t="shared" si="74"/>
        <v>82.499995895764769</v>
      </c>
      <c r="AA179" s="33">
        <f t="shared" si="75"/>
        <v>0</v>
      </c>
      <c r="AB179" s="33">
        <f t="shared" si="76"/>
        <v>0</v>
      </c>
      <c r="AC179" s="33">
        <f t="shared" si="77"/>
        <v>0</v>
      </c>
      <c r="AD179" s="57">
        <f t="shared" si="78"/>
        <v>-4.1042352307840702E-6</v>
      </c>
      <c r="AG179" s="609" t="str">
        <f t="shared" si="79"/>
        <v>173</v>
      </c>
      <c r="AH179" s="388" t="str">
        <f t="shared" si="80"/>
        <v>Mattapoisett</v>
      </c>
      <c r="AI179" s="380">
        <f t="shared" si="81"/>
        <v>1.5473821681966757</v>
      </c>
      <c r="AJ179" s="381">
        <f t="shared" si="59"/>
        <v>82.5</v>
      </c>
      <c r="AK179" s="380">
        <f t="shared" si="82"/>
        <v>4.2700000000000002E-2</v>
      </c>
      <c r="AL179" s="9">
        <f t="shared" si="60"/>
        <v>8412925</v>
      </c>
      <c r="AM179" s="57">
        <f t="shared" si="83"/>
        <v>-4.1042352307840702E-6</v>
      </c>
    </row>
    <row r="180" spans="1:39" ht="12.75" customHeight="1">
      <c r="A180" s="6">
        <v>174</v>
      </c>
      <c r="B180" s="6" t="s">
        <v>855</v>
      </c>
      <c r="C180" s="81">
        <v>1839094900</v>
      </c>
      <c r="D180" s="81">
        <f t="shared" si="61"/>
        <v>7182783.9446990173</v>
      </c>
      <c r="E180" s="8">
        <v>542797000</v>
      </c>
      <c r="F180" s="81">
        <f t="shared" si="84"/>
        <v>7768456.6667887494</v>
      </c>
      <c r="G180" s="81">
        <f t="shared" si="62"/>
        <v>14951241</v>
      </c>
      <c r="H180" s="127">
        <f t="shared" si="63"/>
        <v>19432028.077665649</v>
      </c>
      <c r="I180" s="347">
        <f t="shared" si="64"/>
        <v>0.76941227854566163</v>
      </c>
      <c r="J180" s="33">
        <f t="shared" si="57"/>
        <v>16031423</v>
      </c>
      <c r="K180" s="33">
        <f t="shared" si="65"/>
        <v>14951241</v>
      </c>
      <c r="L180" s="126">
        <f t="shared" si="66"/>
        <v>76.94</v>
      </c>
      <c r="M180" s="470"/>
      <c r="N180" s="128">
        <v>13128186</v>
      </c>
      <c r="O180" s="449">
        <v>4.7E-2</v>
      </c>
      <c r="P180" s="33">
        <f t="shared" si="67"/>
        <v>13745211</v>
      </c>
      <c r="Q180" s="57">
        <f t="shared" si="68"/>
        <v>70.734824718569456</v>
      </c>
      <c r="R180" s="57">
        <f t="shared" si="69"/>
        <v>6.2051752814305416</v>
      </c>
      <c r="S180" s="88">
        <f t="shared" si="70"/>
        <v>0.01</v>
      </c>
      <c r="T180" s="33">
        <f t="shared" si="71"/>
        <v>131282</v>
      </c>
      <c r="U180" s="9">
        <f t="shared" si="72"/>
        <v>0</v>
      </c>
      <c r="V180" s="9">
        <f t="shared" si="58"/>
        <v>0</v>
      </c>
      <c r="W180" s="9">
        <f t="shared" si="73"/>
        <v>0</v>
      </c>
      <c r="X180" s="127">
        <f>MIN(H180*parameters!C$22,ROUND(P180+T180-V180+W180,0))</f>
        <v>13876493</v>
      </c>
      <c r="Y180" s="94">
        <f t="shared" si="74"/>
        <v>71.410420695866804</v>
      </c>
      <c r="AA180" s="33">
        <f t="shared" si="75"/>
        <v>-1206030</v>
      </c>
      <c r="AB180" s="33">
        <f t="shared" si="76"/>
        <v>-1074748</v>
      </c>
      <c r="AC180" s="33">
        <f t="shared" si="77"/>
        <v>0</v>
      </c>
      <c r="AD180" s="57">
        <f t="shared" si="78"/>
        <v>-5.5295793041331933</v>
      </c>
      <c r="AG180" s="609" t="str">
        <f t="shared" si="79"/>
        <v>174</v>
      </c>
      <c r="AH180" s="388" t="str">
        <f t="shared" si="80"/>
        <v>Maynard</v>
      </c>
      <c r="AI180" s="380">
        <f t="shared" si="81"/>
        <v>0.76941227854566163</v>
      </c>
      <c r="AJ180" s="381">
        <f t="shared" si="59"/>
        <v>76.94</v>
      </c>
      <c r="AK180" s="380">
        <f t="shared" si="82"/>
        <v>4.7E-2</v>
      </c>
      <c r="AL180" s="9">
        <f t="shared" si="60"/>
        <v>13876493</v>
      </c>
      <c r="AM180" s="57">
        <f t="shared" si="83"/>
        <v>-5.5295793041331933</v>
      </c>
    </row>
    <row r="181" spans="1:39" ht="12.75" customHeight="1">
      <c r="A181" s="6">
        <v>175</v>
      </c>
      <c r="B181" s="6" t="s">
        <v>856</v>
      </c>
      <c r="C181" s="81">
        <v>3244189600</v>
      </c>
      <c r="D181" s="81">
        <f t="shared" si="61"/>
        <v>12670533.19132119</v>
      </c>
      <c r="E181" s="8">
        <v>1782813000</v>
      </c>
      <c r="F181" s="81">
        <f t="shared" si="84"/>
        <v>25515442.302532349</v>
      </c>
      <c r="G181" s="81">
        <f t="shared" si="62"/>
        <v>38185975</v>
      </c>
      <c r="H181" s="127">
        <f t="shared" si="63"/>
        <v>30184150.633129373</v>
      </c>
      <c r="I181" s="347">
        <f t="shared" si="64"/>
        <v>1.2651001999071667</v>
      </c>
      <c r="J181" s="33">
        <f t="shared" si="57"/>
        <v>24901924</v>
      </c>
      <c r="K181" s="33">
        <f t="shared" si="65"/>
        <v>24901924</v>
      </c>
      <c r="L181" s="126">
        <f t="shared" si="66"/>
        <v>82.5</v>
      </c>
      <c r="M181" s="470"/>
      <c r="N181" s="128">
        <v>24016508</v>
      </c>
      <c r="O181" s="449">
        <v>3.7999999999999999E-2</v>
      </c>
      <c r="P181" s="33">
        <f t="shared" si="67"/>
        <v>24929135</v>
      </c>
      <c r="Q181" s="57">
        <f t="shared" si="68"/>
        <v>82.59014905868645</v>
      </c>
      <c r="R181" s="57">
        <f t="shared" si="69"/>
        <v>0</v>
      </c>
      <c r="S181" s="88">
        <f t="shared" si="70"/>
        <v>0</v>
      </c>
      <c r="T181" s="33">
        <f t="shared" si="71"/>
        <v>0</v>
      </c>
      <c r="U181" s="9">
        <f t="shared" si="72"/>
        <v>27211</v>
      </c>
      <c r="V181" s="9">
        <f t="shared" si="58"/>
        <v>27211</v>
      </c>
      <c r="W181" s="9">
        <f t="shared" si="73"/>
        <v>0</v>
      </c>
      <c r="X181" s="127">
        <f>MIN(H181*parameters!C$22,ROUND(P181+T181-V181+W181,0))</f>
        <v>24901924</v>
      </c>
      <c r="Y181" s="94">
        <f t="shared" si="74"/>
        <v>82.499999097765794</v>
      </c>
      <c r="AA181" s="33">
        <f t="shared" si="75"/>
        <v>0</v>
      </c>
      <c r="AB181" s="33">
        <f t="shared" si="76"/>
        <v>0</v>
      </c>
      <c r="AC181" s="33">
        <f t="shared" si="77"/>
        <v>0</v>
      </c>
      <c r="AD181" s="57">
        <f t="shared" si="78"/>
        <v>-9.0223420556867495E-7</v>
      </c>
      <c r="AG181" s="609" t="str">
        <f t="shared" si="79"/>
        <v>175</v>
      </c>
      <c r="AH181" s="388" t="str">
        <f t="shared" si="80"/>
        <v>Medfield</v>
      </c>
      <c r="AI181" s="380">
        <f t="shared" si="81"/>
        <v>1.2651001999071667</v>
      </c>
      <c r="AJ181" s="381">
        <f t="shared" si="59"/>
        <v>82.5</v>
      </c>
      <c r="AK181" s="380">
        <f t="shared" si="82"/>
        <v>3.7999999999999999E-2</v>
      </c>
      <c r="AL181" s="9">
        <f t="shared" si="60"/>
        <v>24901924</v>
      </c>
      <c r="AM181" s="57">
        <f t="shared" si="83"/>
        <v>-9.0223420556867495E-7</v>
      </c>
    </row>
    <row r="182" spans="1:39" ht="12.75" customHeight="1">
      <c r="A182" s="6">
        <v>176</v>
      </c>
      <c r="B182" s="6" t="s">
        <v>857</v>
      </c>
      <c r="C182" s="81">
        <v>13888346300</v>
      </c>
      <c r="D182" s="81">
        <f t="shared" si="61"/>
        <v>54242437.854653396</v>
      </c>
      <c r="E182" s="8">
        <v>3110142000</v>
      </c>
      <c r="F182" s="81">
        <f t="shared" si="84"/>
        <v>44512042.908416398</v>
      </c>
      <c r="G182" s="81">
        <f t="shared" si="62"/>
        <v>98754481</v>
      </c>
      <c r="H182" s="127">
        <f t="shared" si="63"/>
        <v>73681605.546039999</v>
      </c>
      <c r="I182" s="347">
        <f t="shared" si="64"/>
        <v>1.3402867685652315</v>
      </c>
      <c r="J182" s="33">
        <f t="shared" si="57"/>
        <v>60787325</v>
      </c>
      <c r="K182" s="33">
        <f t="shared" si="65"/>
        <v>60787325</v>
      </c>
      <c r="L182" s="126">
        <f t="shared" si="66"/>
        <v>82.5</v>
      </c>
      <c r="M182" s="470"/>
      <c r="N182" s="128">
        <v>54480958</v>
      </c>
      <c r="O182" s="449">
        <v>4.1000000000000009E-2</v>
      </c>
      <c r="P182" s="33">
        <f t="shared" si="67"/>
        <v>56714677</v>
      </c>
      <c r="Q182" s="57">
        <f t="shared" si="68"/>
        <v>76.972640022836899</v>
      </c>
      <c r="R182" s="57">
        <f t="shared" si="69"/>
        <v>5.5273599771631012</v>
      </c>
      <c r="S182" s="88">
        <f t="shared" si="70"/>
        <v>0.01</v>
      </c>
      <c r="T182" s="33">
        <f t="shared" si="71"/>
        <v>544810</v>
      </c>
      <c r="U182" s="9">
        <f t="shared" si="72"/>
        <v>0</v>
      </c>
      <c r="V182" s="9">
        <f t="shared" si="58"/>
        <v>0</v>
      </c>
      <c r="W182" s="9">
        <f t="shared" si="73"/>
        <v>0</v>
      </c>
      <c r="X182" s="127">
        <f>MIN(H182*parameters!C$22,ROUND(P182+T182-V182+W182,0))</f>
        <v>57259487</v>
      </c>
      <c r="Y182" s="94">
        <f t="shared" si="74"/>
        <v>77.712051163463556</v>
      </c>
      <c r="AA182" s="33">
        <f t="shared" si="75"/>
        <v>-4072648</v>
      </c>
      <c r="AB182" s="33">
        <f t="shared" si="76"/>
        <v>-3527838</v>
      </c>
      <c r="AC182" s="33">
        <f t="shared" si="77"/>
        <v>0</v>
      </c>
      <c r="AD182" s="57">
        <f t="shared" si="78"/>
        <v>-4.7879488365364438</v>
      </c>
      <c r="AG182" s="609" t="str">
        <f t="shared" si="79"/>
        <v>176</v>
      </c>
      <c r="AH182" s="388" t="str">
        <f t="shared" si="80"/>
        <v>Medford</v>
      </c>
      <c r="AI182" s="380">
        <f t="shared" si="81"/>
        <v>1.3402867685652315</v>
      </c>
      <c r="AJ182" s="381">
        <f t="shared" si="59"/>
        <v>82.5</v>
      </c>
      <c r="AK182" s="380">
        <f t="shared" si="82"/>
        <v>4.1000000000000009E-2</v>
      </c>
      <c r="AL182" s="9">
        <f t="shared" si="60"/>
        <v>57259487</v>
      </c>
      <c r="AM182" s="57">
        <f t="shared" si="83"/>
        <v>-4.7879488365364438</v>
      </c>
    </row>
    <row r="183" spans="1:39" ht="12.75" customHeight="1">
      <c r="A183" s="6">
        <v>177</v>
      </c>
      <c r="B183" s="6" t="s">
        <v>858</v>
      </c>
      <c r="C183" s="81">
        <v>2799149700</v>
      </c>
      <c r="D183" s="81">
        <f t="shared" si="61"/>
        <v>10932381.751463218</v>
      </c>
      <c r="E183" s="8">
        <v>871574000</v>
      </c>
      <c r="F183" s="81">
        <f t="shared" si="84"/>
        <v>12473880.384194713</v>
      </c>
      <c r="G183" s="81">
        <f t="shared" si="62"/>
        <v>23406262</v>
      </c>
      <c r="H183" s="127">
        <f t="shared" si="63"/>
        <v>30151292.890039444</v>
      </c>
      <c r="I183" s="347">
        <f t="shared" si="64"/>
        <v>0.77629380887120492</v>
      </c>
      <c r="J183" s="33">
        <f t="shared" si="57"/>
        <v>24874817</v>
      </c>
      <c r="K183" s="33">
        <f t="shared" si="65"/>
        <v>23406262</v>
      </c>
      <c r="L183" s="126">
        <f t="shared" si="66"/>
        <v>77.63</v>
      </c>
      <c r="M183" s="470"/>
      <c r="N183" s="128">
        <v>20673135</v>
      </c>
      <c r="O183" s="449">
        <v>4.0800000000000003E-2</v>
      </c>
      <c r="P183" s="33">
        <f t="shared" si="67"/>
        <v>21516599</v>
      </c>
      <c r="Q183" s="57">
        <f t="shared" si="68"/>
        <v>71.362110667924497</v>
      </c>
      <c r="R183" s="57">
        <f t="shared" si="69"/>
        <v>6.267889332075498</v>
      </c>
      <c r="S183" s="88">
        <f t="shared" si="70"/>
        <v>0.01</v>
      </c>
      <c r="T183" s="33">
        <f t="shared" si="71"/>
        <v>206731</v>
      </c>
      <c r="U183" s="9">
        <f t="shared" si="72"/>
        <v>0</v>
      </c>
      <c r="V183" s="9">
        <f t="shared" si="58"/>
        <v>0</v>
      </c>
      <c r="W183" s="9">
        <f t="shared" si="73"/>
        <v>0</v>
      </c>
      <c r="X183" s="127">
        <f>MIN(H183*parameters!C$22,ROUND(P183+T183-V183+W183,0))</f>
        <v>21723330</v>
      </c>
      <c r="Y183" s="94">
        <f t="shared" si="74"/>
        <v>72.047756224663772</v>
      </c>
      <c r="AA183" s="33">
        <f t="shared" si="75"/>
        <v>-1889663</v>
      </c>
      <c r="AB183" s="33">
        <f t="shared" si="76"/>
        <v>-1682932</v>
      </c>
      <c r="AC183" s="33">
        <f t="shared" si="77"/>
        <v>0</v>
      </c>
      <c r="AD183" s="57">
        <f t="shared" si="78"/>
        <v>-5.5822437753362237</v>
      </c>
      <c r="AG183" s="609" t="str">
        <f t="shared" si="79"/>
        <v>177</v>
      </c>
      <c r="AH183" s="388" t="str">
        <f t="shared" si="80"/>
        <v>Medway</v>
      </c>
      <c r="AI183" s="380">
        <f t="shared" si="81"/>
        <v>0.77629380887120492</v>
      </c>
      <c r="AJ183" s="381">
        <f t="shared" si="59"/>
        <v>77.63</v>
      </c>
      <c r="AK183" s="380">
        <f t="shared" si="82"/>
        <v>4.0800000000000003E-2</v>
      </c>
      <c r="AL183" s="9">
        <f t="shared" si="60"/>
        <v>21723330</v>
      </c>
      <c r="AM183" s="57">
        <f t="shared" si="83"/>
        <v>-5.5822437753362237</v>
      </c>
    </row>
    <row r="184" spans="1:39" ht="12.75" customHeight="1">
      <c r="A184" s="6">
        <v>178</v>
      </c>
      <c r="B184" s="6" t="s">
        <v>859</v>
      </c>
      <c r="C184" s="81">
        <v>6830692800</v>
      </c>
      <c r="D184" s="81">
        <f t="shared" si="61"/>
        <v>26678009.152769208</v>
      </c>
      <c r="E184" s="8">
        <v>1959672000</v>
      </c>
      <c r="F184" s="81">
        <f t="shared" si="84"/>
        <v>28046630.716675375</v>
      </c>
      <c r="G184" s="81">
        <f t="shared" si="62"/>
        <v>54724640</v>
      </c>
      <c r="H184" s="127">
        <f t="shared" si="63"/>
        <v>55198039.592837736</v>
      </c>
      <c r="I184" s="347">
        <f t="shared" si="64"/>
        <v>0.99142361583256011</v>
      </c>
      <c r="J184" s="33">
        <f t="shared" si="57"/>
        <v>45538383</v>
      </c>
      <c r="K184" s="33">
        <f t="shared" si="65"/>
        <v>45538383</v>
      </c>
      <c r="L184" s="126">
        <f t="shared" si="66"/>
        <v>82.5</v>
      </c>
      <c r="M184" s="470"/>
      <c r="N184" s="128">
        <v>40225506</v>
      </c>
      <c r="O184" s="449">
        <v>4.3200000000000002E-2</v>
      </c>
      <c r="P184" s="33">
        <f t="shared" si="67"/>
        <v>41963248</v>
      </c>
      <c r="Q184" s="57">
        <f t="shared" si="68"/>
        <v>76.023076742466358</v>
      </c>
      <c r="R184" s="57">
        <f t="shared" si="69"/>
        <v>6.4769232575336417</v>
      </c>
      <c r="S184" s="88">
        <f t="shared" si="70"/>
        <v>0.01</v>
      </c>
      <c r="T184" s="33">
        <f t="shared" si="71"/>
        <v>402255</v>
      </c>
      <c r="U184" s="9">
        <f t="shared" si="72"/>
        <v>0</v>
      </c>
      <c r="V184" s="9">
        <f t="shared" si="58"/>
        <v>0</v>
      </c>
      <c r="W184" s="9">
        <f t="shared" si="73"/>
        <v>0</v>
      </c>
      <c r="X184" s="127">
        <f>MIN(H184*parameters!C$22,ROUND(P184+T184-V184+W184,0))</f>
        <v>42365503</v>
      </c>
      <c r="Y184" s="94">
        <f t="shared" si="74"/>
        <v>76.751825449788555</v>
      </c>
      <c r="AA184" s="33">
        <f t="shared" si="75"/>
        <v>-3575135</v>
      </c>
      <c r="AB184" s="33">
        <f t="shared" si="76"/>
        <v>-3172880</v>
      </c>
      <c r="AC184" s="33">
        <f t="shared" si="77"/>
        <v>0</v>
      </c>
      <c r="AD184" s="57">
        <f t="shared" si="78"/>
        <v>-5.748174550211445</v>
      </c>
      <c r="AG184" s="609" t="str">
        <f t="shared" si="79"/>
        <v>178</v>
      </c>
      <c r="AH184" s="388" t="str">
        <f t="shared" si="80"/>
        <v>Melrose</v>
      </c>
      <c r="AI184" s="380">
        <f t="shared" si="81"/>
        <v>0.99142361583256011</v>
      </c>
      <c r="AJ184" s="381">
        <f t="shared" si="59"/>
        <v>82.5</v>
      </c>
      <c r="AK184" s="380">
        <f t="shared" si="82"/>
        <v>4.3200000000000002E-2</v>
      </c>
      <c r="AL184" s="9">
        <f t="shared" si="60"/>
        <v>42365503</v>
      </c>
      <c r="AM184" s="57">
        <f t="shared" si="83"/>
        <v>-5.748174550211445</v>
      </c>
    </row>
    <row r="185" spans="1:39" ht="12.75" customHeight="1">
      <c r="A185" s="6">
        <v>179</v>
      </c>
      <c r="B185" s="6" t="s">
        <v>860</v>
      </c>
      <c r="C185" s="81">
        <v>1231055600</v>
      </c>
      <c r="D185" s="81">
        <f t="shared" si="61"/>
        <v>4808020.7273218008</v>
      </c>
      <c r="E185" s="8">
        <v>486906000</v>
      </c>
      <c r="F185" s="81">
        <f t="shared" si="84"/>
        <v>6968550.2348013027</v>
      </c>
      <c r="G185" s="81">
        <f t="shared" si="62"/>
        <v>11776571</v>
      </c>
      <c r="H185" s="127">
        <f t="shared" si="63"/>
        <v>12496308.089068387</v>
      </c>
      <c r="I185" s="347">
        <f t="shared" si="64"/>
        <v>0.94240402173678772</v>
      </c>
      <c r="J185" s="33">
        <f t="shared" si="57"/>
        <v>10309454</v>
      </c>
      <c r="K185" s="33">
        <f t="shared" si="65"/>
        <v>10309454</v>
      </c>
      <c r="L185" s="126">
        <f t="shared" si="66"/>
        <v>82.5</v>
      </c>
      <c r="M185" s="470"/>
      <c r="N185" s="128">
        <v>9572127</v>
      </c>
      <c r="O185" s="449">
        <v>3.9300000000000002E-2</v>
      </c>
      <c r="P185" s="33">
        <f t="shared" si="67"/>
        <v>9948312</v>
      </c>
      <c r="Q185" s="57">
        <f t="shared" si="68"/>
        <v>79.610009045012731</v>
      </c>
      <c r="R185" s="57">
        <f t="shared" si="69"/>
        <v>2.8899909549872689</v>
      </c>
      <c r="S185" s="88">
        <f t="shared" si="70"/>
        <v>0.01</v>
      </c>
      <c r="T185" s="33">
        <f t="shared" si="71"/>
        <v>95721</v>
      </c>
      <c r="U185" s="9">
        <f t="shared" si="72"/>
        <v>0</v>
      </c>
      <c r="V185" s="9">
        <f t="shared" si="58"/>
        <v>0</v>
      </c>
      <c r="W185" s="9">
        <f t="shared" si="73"/>
        <v>0</v>
      </c>
      <c r="X185" s="127">
        <f>MIN(H185*parameters!C$22,ROUND(P185+T185-V185+W185,0))</f>
        <v>10044033</v>
      </c>
      <c r="Y185" s="94">
        <f t="shared" si="74"/>
        <v>80.376003283612974</v>
      </c>
      <c r="AA185" s="33">
        <f t="shared" si="75"/>
        <v>-361142</v>
      </c>
      <c r="AB185" s="33">
        <f t="shared" si="76"/>
        <v>-265421</v>
      </c>
      <c r="AC185" s="33">
        <f t="shared" si="77"/>
        <v>0</v>
      </c>
      <c r="AD185" s="57">
        <f t="shared" si="78"/>
        <v>-2.1239967163870261</v>
      </c>
      <c r="AG185" s="609" t="str">
        <f t="shared" si="79"/>
        <v>179</v>
      </c>
      <c r="AH185" s="388" t="str">
        <f t="shared" si="80"/>
        <v>Mendon</v>
      </c>
      <c r="AI185" s="380">
        <f t="shared" si="81"/>
        <v>0.94240402173678772</v>
      </c>
      <c r="AJ185" s="381">
        <f t="shared" si="59"/>
        <v>82.5</v>
      </c>
      <c r="AK185" s="380">
        <f t="shared" si="82"/>
        <v>3.9300000000000002E-2</v>
      </c>
      <c r="AL185" s="9">
        <f t="shared" si="60"/>
        <v>10044033</v>
      </c>
      <c r="AM185" s="57">
        <f t="shared" si="83"/>
        <v>-2.1239967163870261</v>
      </c>
    </row>
    <row r="186" spans="1:39" ht="12.75" customHeight="1">
      <c r="A186" s="6">
        <v>180</v>
      </c>
      <c r="B186" s="6" t="s">
        <v>861</v>
      </c>
      <c r="C186" s="81">
        <v>1063280200</v>
      </c>
      <c r="D186" s="81">
        <f t="shared" si="61"/>
        <v>4152755.7654998442</v>
      </c>
      <c r="E186" s="8">
        <v>319781000</v>
      </c>
      <c r="F186" s="81">
        <f t="shared" si="84"/>
        <v>4576673.8603241602</v>
      </c>
      <c r="G186" s="81">
        <f t="shared" si="62"/>
        <v>8729430</v>
      </c>
      <c r="H186" s="127">
        <f t="shared" si="63"/>
        <v>11335346.509244515</v>
      </c>
      <c r="I186" s="347">
        <f t="shared" si="64"/>
        <v>0.77010702697802258</v>
      </c>
      <c r="J186" s="33">
        <f t="shared" si="57"/>
        <v>9351661</v>
      </c>
      <c r="K186" s="33">
        <f t="shared" si="65"/>
        <v>8729430</v>
      </c>
      <c r="L186" s="126">
        <f t="shared" si="66"/>
        <v>77.010000000000005</v>
      </c>
      <c r="M186" s="470"/>
      <c r="N186" s="128">
        <v>7732338</v>
      </c>
      <c r="O186" s="449">
        <v>4.6500000000000007E-2</v>
      </c>
      <c r="P186" s="33">
        <f t="shared" si="67"/>
        <v>8091892</v>
      </c>
      <c r="Q186" s="57">
        <f t="shared" si="68"/>
        <v>71.386366472349806</v>
      </c>
      <c r="R186" s="57">
        <f t="shared" si="69"/>
        <v>5.623633527650199</v>
      </c>
      <c r="S186" s="88">
        <f t="shared" si="70"/>
        <v>0.01</v>
      </c>
      <c r="T186" s="33">
        <f t="shared" si="71"/>
        <v>77323</v>
      </c>
      <c r="U186" s="9">
        <f t="shared" si="72"/>
        <v>0</v>
      </c>
      <c r="V186" s="9">
        <f t="shared" si="58"/>
        <v>0</v>
      </c>
      <c r="W186" s="9">
        <f t="shared" si="73"/>
        <v>0</v>
      </c>
      <c r="X186" s="127">
        <f>MIN(H186*parameters!C$22,ROUND(P186+T186-V186+W186,0))</f>
        <v>8169215</v>
      </c>
      <c r="Y186" s="94">
        <f t="shared" si="74"/>
        <v>72.068507066260537</v>
      </c>
      <c r="AA186" s="33">
        <f t="shared" si="75"/>
        <v>-637538</v>
      </c>
      <c r="AB186" s="33">
        <f t="shared" si="76"/>
        <v>-560215</v>
      </c>
      <c r="AC186" s="33">
        <f t="shared" si="77"/>
        <v>0</v>
      </c>
      <c r="AD186" s="57">
        <f t="shared" si="78"/>
        <v>-4.9414929337394682</v>
      </c>
      <c r="AG186" s="609" t="str">
        <f t="shared" si="79"/>
        <v>180</v>
      </c>
      <c r="AH186" s="388" t="str">
        <f t="shared" si="80"/>
        <v>Merrimac</v>
      </c>
      <c r="AI186" s="380">
        <f t="shared" si="81"/>
        <v>0.77010702697802258</v>
      </c>
      <c r="AJ186" s="381">
        <f t="shared" si="59"/>
        <v>77.010000000000005</v>
      </c>
      <c r="AK186" s="380">
        <f t="shared" si="82"/>
        <v>4.6500000000000007E-2</v>
      </c>
      <c r="AL186" s="9">
        <f t="shared" si="60"/>
        <v>8169215</v>
      </c>
      <c r="AM186" s="57">
        <f t="shared" si="83"/>
        <v>-4.9414929337394682</v>
      </c>
    </row>
    <row r="187" spans="1:39" ht="12.75" customHeight="1">
      <c r="A187" s="6">
        <v>181</v>
      </c>
      <c r="B187" s="6" t="s">
        <v>862</v>
      </c>
      <c r="C187" s="81">
        <v>7484419600</v>
      </c>
      <c r="D187" s="81">
        <f t="shared" si="61"/>
        <v>29231209.840378895</v>
      </c>
      <c r="E187" s="8">
        <v>1973140000</v>
      </c>
      <c r="F187" s="81">
        <f t="shared" si="84"/>
        <v>28239383.392884545</v>
      </c>
      <c r="G187" s="81">
        <f t="shared" si="62"/>
        <v>57470593</v>
      </c>
      <c r="H187" s="127">
        <f t="shared" si="63"/>
        <v>126489842.29042378</v>
      </c>
      <c r="I187" s="347">
        <f t="shared" si="64"/>
        <v>0.45434947154132826</v>
      </c>
      <c r="J187" s="33">
        <f t="shared" si="57"/>
        <v>104354120</v>
      </c>
      <c r="K187" s="33">
        <f t="shared" si="65"/>
        <v>57470593</v>
      </c>
      <c r="L187" s="126">
        <f t="shared" si="66"/>
        <v>45.43</v>
      </c>
      <c r="M187" s="470"/>
      <c r="N187" s="128">
        <v>48807836</v>
      </c>
      <c r="O187" s="449">
        <v>4.36E-2</v>
      </c>
      <c r="P187" s="33">
        <f t="shared" si="67"/>
        <v>50935858</v>
      </c>
      <c r="Q187" s="57">
        <f t="shared" si="68"/>
        <v>40.268733898054847</v>
      </c>
      <c r="R187" s="57">
        <f t="shared" si="69"/>
        <v>5.1612661019451522</v>
      </c>
      <c r="S187" s="88">
        <f t="shared" si="70"/>
        <v>0.01</v>
      </c>
      <c r="T187" s="33">
        <f t="shared" si="71"/>
        <v>488078</v>
      </c>
      <c r="U187" s="9">
        <f t="shared" si="72"/>
        <v>0</v>
      </c>
      <c r="V187" s="9">
        <f t="shared" si="58"/>
        <v>0</v>
      </c>
      <c r="W187" s="9">
        <f t="shared" si="73"/>
        <v>0</v>
      </c>
      <c r="X187" s="127">
        <f>MIN(H187*parameters!C$22,ROUND(P187+T187-V187+W187,0))</f>
        <v>51423936</v>
      </c>
      <c r="Y187" s="94">
        <f t="shared" si="74"/>
        <v>40.654597293219311</v>
      </c>
      <c r="AA187" s="33">
        <f t="shared" si="75"/>
        <v>-6534735</v>
      </c>
      <c r="AB187" s="33">
        <f t="shared" si="76"/>
        <v>-6046657</v>
      </c>
      <c r="AC187" s="33">
        <f t="shared" si="77"/>
        <v>0</v>
      </c>
      <c r="AD187" s="57">
        <f t="shared" si="78"/>
        <v>-4.7754027067806888</v>
      </c>
      <c r="AG187" s="609" t="str">
        <f t="shared" si="79"/>
        <v>181</v>
      </c>
      <c r="AH187" s="388" t="str">
        <f t="shared" si="80"/>
        <v>Methuen</v>
      </c>
      <c r="AI187" s="380">
        <f t="shared" si="81"/>
        <v>0.45434947154132826</v>
      </c>
      <c r="AJ187" s="381">
        <f t="shared" si="59"/>
        <v>45.43</v>
      </c>
      <c r="AK187" s="380">
        <f t="shared" si="82"/>
        <v>4.36E-2</v>
      </c>
      <c r="AL187" s="9">
        <f t="shared" si="60"/>
        <v>51423936</v>
      </c>
      <c r="AM187" s="57">
        <f t="shared" si="83"/>
        <v>-4.7754027067806888</v>
      </c>
    </row>
    <row r="188" spans="1:39" ht="12.75" customHeight="1">
      <c r="A188" s="6">
        <v>182</v>
      </c>
      <c r="B188" s="6" t="s">
        <v>863</v>
      </c>
      <c r="C188" s="81">
        <v>3517109700</v>
      </c>
      <c r="D188" s="81">
        <f t="shared" si="61"/>
        <v>13736452.145512</v>
      </c>
      <c r="E188" s="8">
        <v>915651000</v>
      </c>
      <c r="F188" s="81">
        <f t="shared" si="84"/>
        <v>13104706.02343378</v>
      </c>
      <c r="G188" s="81">
        <f t="shared" si="62"/>
        <v>26841158</v>
      </c>
      <c r="H188" s="127">
        <f t="shared" si="63"/>
        <v>48588258.295043059</v>
      </c>
      <c r="I188" s="347">
        <f t="shared" si="64"/>
        <v>0.55242066585330385</v>
      </c>
      <c r="J188" s="33">
        <f t="shared" si="57"/>
        <v>40085313</v>
      </c>
      <c r="K188" s="33">
        <f t="shared" si="65"/>
        <v>26841158</v>
      </c>
      <c r="L188" s="126">
        <f t="shared" si="66"/>
        <v>55.24</v>
      </c>
      <c r="M188" s="470"/>
      <c r="N188" s="128">
        <v>23582204</v>
      </c>
      <c r="O188" s="449">
        <v>3.7999999999999999E-2</v>
      </c>
      <c r="P188" s="33">
        <f t="shared" si="67"/>
        <v>24478328</v>
      </c>
      <c r="Q188" s="57">
        <f t="shared" si="68"/>
        <v>50.379101575034767</v>
      </c>
      <c r="R188" s="57">
        <f t="shared" si="69"/>
        <v>4.8608984249652352</v>
      </c>
      <c r="S188" s="88">
        <f t="shared" si="70"/>
        <v>0.01</v>
      </c>
      <c r="T188" s="33">
        <f t="shared" si="71"/>
        <v>235822</v>
      </c>
      <c r="U188" s="9">
        <f t="shared" si="72"/>
        <v>0</v>
      </c>
      <c r="V188" s="9">
        <f t="shared" si="58"/>
        <v>0</v>
      </c>
      <c r="W188" s="9">
        <f t="shared" si="73"/>
        <v>0</v>
      </c>
      <c r="X188" s="127">
        <f>MIN(H188*parameters!C$22,ROUND(P188+T188-V188+W188,0))</f>
        <v>24714150</v>
      </c>
      <c r="Y188" s="94">
        <f t="shared" si="74"/>
        <v>50.864449287167226</v>
      </c>
      <c r="AA188" s="33">
        <f t="shared" si="75"/>
        <v>-2362830</v>
      </c>
      <c r="AB188" s="33">
        <f t="shared" si="76"/>
        <v>-2127008</v>
      </c>
      <c r="AC188" s="33">
        <f t="shared" si="77"/>
        <v>0</v>
      </c>
      <c r="AD188" s="57">
        <f t="shared" si="78"/>
        <v>-4.3755507128327764</v>
      </c>
      <c r="AG188" s="609" t="str">
        <f t="shared" si="79"/>
        <v>182</v>
      </c>
      <c r="AH188" s="388" t="str">
        <f t="shared" si="80"/>
        <v>Middleborough</v>
      </c>
      <c r="AI188" s="380">
        <f t="shared" si="81"/>
        <v>0.55242066585330385</v>
      </c>
      <c r="AJ188" s="381">
        <f t="shared" si="59"/>
        <v>55.24</v>
      </c>
      <c r="AK188" s="380">
        <f t="shared" si="82"/>
        <v>3.7999999999999999E-2</v>
      </c>
      <c r="AL188" s="9">
        <f t="shared" si="60"/>
        <v>24714150</v>
      </c>
      <c r="AM188" s="57">
        <f t="shared" si="83"/>
        <v>-4.3755507128327764</v>
      </c>
    </row>
    <row r="189" spans="1:39" ht="12.75" customHeight="1">
      <c r="A189" s="6">
        <v>183</v>
      </c>
      <c r="B189" s="6" t="s">
        <v>864</v>
      </c>
      <c r="C189" s="81">
        <v>74262900</v>
      </c>
      <c r="D189" s="81">
        <f t="shared" si="61"/>
        <v>290041.78403560829</v>
      </c>
      <c r="E189" s="8">
        <v>23691000</v>
      </c>
      <c r="F189" s="81">
        <f t="shared" si="84"/>
        <v>339063.23522954673</v>
      </c>
      <c r="G189" s="81">
        <f t="shared" si="62"/>
        <v>629105</v>
      </c>
      <c r="H189" s="127">
        <f t="shared" si="63"/>
        <v>425235.58121664124</v>
      </c>
      <c r="I189" s="347">
        <f t="shared" si="64"/>
        <v>1.4794269995000608</v>
      </c>
      <c r="J189" s="33">
        <f t="shared" si="57"/>
        <v>350819</v>
      </c>
      <c r="K189" s="33">
        <f t="shared" si="65"/>
        <v>350819</v>
      </c>
      <c r="L189" s="126">
        <f t="shared" si="66"/>
        <v>82.5</v>
      </c>
      <c r="M189" s="470"/>
      <c r="N189" s="128">
        <v>273659</v>
      </c>
      <c r="O189" s="449">
        <v>3.6600000000000001E-2</v>
      </c>
      <c r="P189" s="33">
        <f t="shared" si="67"/>
        <v>283675</v>
      </c>
      <c r="Q189" s="57">
        <f t="shared" si="68"/>
        <v>66.710080842336296</v>
      </c>
      <c r="R189" s="57">
        <f t="shared" si="69"/>
        <v>15.789919157663704</v>
      </c>
      <c r="S189" s="88">
        <f t="shared" si="70"/>
        <v>0.02</v>
      </c>
      <c r="T189" s="33">
        <f t="shared" si="71"/>
        <v>5473</v>
      </c>
      <c r="U189" s="9">
        <f t="shared" si="72"/>
        <v>0</v>
      </c>
      <c r="V189" s="9">
        <f t="shared" si="58"/>
        <v>0</v>
      </c>
      <c r="W189" s="9">
        <f t="shared" si="73"/>
        <v>0</v>
      </c>
      <c r="X189" s="127">
        <f>MIN(H189*parameters!C$22,ROUND(P189+T189-V189+W189,0))</f>
        <v>289148</v>
      </c>
      <c r="Y189" s="94">
        <f t="shared" si="74"/>
        <v>67.99713212443767</v>
      </c>
      <c r="AA189" s="33">
        <f t="shared" si="75"/>
        <v>-67144</v>
      </c>
      <c r="AB189" s="33">
        <f t="shared" si="76"/>
        <v>-61671</v>
      </c>
      <c r="AC189" s="33">
        <f t="shared" si="77"/>
        <v>0</v>
      </c>
      <c r="AD189" s="57">
        <f t="shared" si="78"/>
        <v>-14.50286787556233</v>
      </c>
      <c r="AG189" s="609" t="str">
        <f t="shared" si="79"/>
        <v>183</v>
      </c>
      <c r="AH189" s="388" t="str">
        <f t="shared" si="80"/>
        <v>Middlefield</v>
      </c>
      <c r="AI189" s="380">
        <f t="shared" si="81"/>
        <v>1.4794269995000608</v>
      </c>
      <c r="AJ189" s="381">
        <f t="shared" si="59"/>
        <v>82.5</v>
      </c>
      <c r="AK189" s="380">
        <f t="shared" si="82"/>
        <v>3.6600000000000001E-2</v>
      </c>
      <c r="AL189" s="9">
        <f t="shared" si="60"/>
        <v>289148</v>
      </c>
      <c r="AM189" s="57">
        <f t="shared" si="83"/>
        <v>-14.50286787556233</v>
      </c>
    </row>
    <row r="190" spans="1:39" ht="12.75" customHeight="1">
      <c r="A190" s="6">
        <v>184</v>
      </c>
      <c r="B190" s="6" t="s">
        <v>865</v>
      </c>
      <c r="C190" s="81">
        <v>2600183100</v>
      </c>
      <c r="D190" s="81">
        <f t="shared" si="61"/>
        <v>10155296.186160767</v>
      </c>
      <c r="E190" s="8">
        <v>767563000</v>
      </c>
      <c r="F190" s="81">
        <f t="shared" si="84"/>
        <v>10985285.299164094</v>
      </c>
      <c r="G190" s="81">
        <f t="shared" si="62"/>
        <v>21140581</v>
      </c>
      <c r="H190" s="127">
        <f t="shared" si="63"/>
        <v>16568065.349168237</v>
      </c>
      <c r="I190" s="347">
        <f t="shared" si="64"/>
        <v>1.2759836803191578</v>
      </c>
      <c r="J190" s="33">
        <f t="shared" si="57"/>
        <v>13668654</v>
      </c>
      <c r="K190" s="33">
        <f t="shared" si="65"/>
        <v>13668654</v>
      </c>
      <c r="L190" s="126">
        <f t="shared" si="66"/>
        <v>82.5</v>
      </c>
      <c r="M190" s="470"/>
      <c r="N190" s="128">
        <v>13313782</v>
      </c>
      <c r="O190" s="449">
        <v>4.4900000000000002E-2</v>
      </c>
      <c r="P190" s="33">
        <f t="shared" si="67"/>
        <v>13911571</v>
      </c>
      <c r="Q190" s="57">
        <f t="shared" si="68"/>
        <v>83.966176537916652</v>
      </c>
      <c r="R190" s="57">
        <f t="shared" si="69"/>
        <v>0</v>
      </c>
      <c r="S190" s="88">
        <f t="shared" si="70"/>
        <v>0</v>
      </c>
      <c r="T190" s="33">
        <f t="shared" si="71"/>
        <v>0</v>
      </c>
      <c r="U190" s="9">
        <f t="shared" si="72"/>
        <v>242917</v>
      </c>
      <c r="V190" s="9">
        <f t="shared" si="58"/>
        <v>242917</v>
      </c>
      <c r="W190" s="9">
        <f t="shared" si="73"/>
        <v>0</v>
      </c>
      <c r="X190" s="127">
        <f>MIN(H190*parameters!C$22,ROUND(P190+T190-V190+W190,0))</f>
        <v>13668654</v>
      </c>
      <c r="Y190" s="94">
        <f t="shared" si="74"/>
        <v>82.500000524721514</v>
      </c>
      <c r="AA190" s="33">
        <f t="shared" si="75"/>
        <v>0</v>
      </c>
      <c r="AB190" s="33">
        <f t="shared" si="76"/>
        <v>0</v>
      </c>
      <c r="AC190" s="33">
        <f t="shared" si="77"/>
        <v>0</v>
      </c>
      <c r="AD190" s="57">
        <f t="shared" si="78"/>
        <v>5.2472151423899049E-7</v>
      </c>
      <c r="AG190" s="609" t="str">
        <f t="shared" si="79"/>
        <v>184</v>
      </c>
      <c r="AH190" s="388" t="str">
        <f t="shared" si="80"/>
        <v>Middleton</v>
      </c>
      <c r="AI190" s="380">
        <f t="shared" si="81"/>
        <v>1.2759836803191578</v>
      </c>
      <c r="AJ190" s="381">
        <f t="shared" si="59"/>
        <v>82.5</v>
      </c>
      <c r="AK190" s="380">
        <f t="shared" si="82"/>
        <v>4.4900000000000002E-2</v>
      </c>
      <c r="AL190" s="9">
        <f t="shared" si="60"/>
        <v>13668654</v>
      </c>
      <c r="AM190" s="57">
        <f t="shared" si="83"/>
        <v>5.2472151423899049E-7</v>
      </c>
    </row>
    <row r="191" spans="1:39" ht="12.75" customHeight="1">
      <c r="A191" s="6">
        <v>185</v>
      </c>
      <c r="B191" s="6" t="s">
        <v>866</v>
      </c>
      <c r="C191" s="81">
        <v>4423092300</v>
      </c>
      <c r="D191" s="81">
        <f t="shared" si="61"/>
        <v>17274865.129777614</v>
      </c>
      <c r="E191" s="8">
        <v>1203549000</v>
      </c>
      <c r="F191" s="81">
        <f t="shared" si="84"/>
        <v>17225073.559465017</v>
      </c>
      <c r="G191" s="81">
        <f t="shared" si="62"/>
        <v>34499939</v>
      </c>
      <c r="H191" s="127">
        <f t="shared" si="63"/>
        <v>82340188.868547916</v>
      </c>
      <c r="I191" s="347">
        <f t="shared" si="64"/>
        <v>0.41899271150661876</v>
      </c>
      <c r="J191" s="33">
        <f t="shared" si="57"/>
        <v>67930656</v>
      </c>
      <c r="K191" s="33">
        <f t="shared" si="65"/>
        <v>34499939</v>
      </c>
      <c r="L191" s="126">
        <f t="shared" si="66"/>
        <v>41.9</v>
      </c>
      <c r="M191" s="470"/>
      <c r="N191" s="128">
        <v>29771691</v>
      </c>
      <c r="O191" s="449">
        <v>5.28E-2</v>
      </c>
      <c r="P191" s="33">
        <f t="shared" si="67"/>
        <v>31343636</v>
      </c>
      <c r="Q191" s="57">
        <f t="shared" si="68"/>
        <v>38.066023931568317</v>
      </c>
      <c r="R191" s="57">
        <f t="shared" si="69"/>
        <v>3.8339760684316815</v>
      </c>
      <c r="S191" s="88">
        <f t="shared" si="70"/>
        <v>0.01</v>
      </c>
      <c r="T191" s="33">
        <f t="shared" si="71"/>
        <v>297717</v>
      </c>
      <c r="U191" s="9">
        <f t="shared" si="72"/>
        <v>0</v>
      </c>
      <c r="V191" s="9">
        <f t="shared" si="58"/>
        <v>0</v>
      </c>
      <c r="W191" s="9">
        <f t="shared" si="73"/>
        <v>0</v>
      </c>
      <c r="X191" s="127">
        <f>MIN(H191*parameters!C$22,ROUND(P191+T191-V191+W191,0))</f>
        <v>31641353</v>
      </c>
      <c r="Y191" s="94">
        <f t="shared" si="74"/>
        <v>38.427593420406012</v>
      </c>
      <c r="AA191" s="33">
        <f t="shared" si="75"/>
        <v>-3156303</v>
      </c>
      <c r="AB191" s="33">
        <f t="shared" si="76"/>
        <v>-2858586</v>
      </c>
      <c r="AC191" s="33">
        <f t="shared" si="77"/>
        <v>0</v>
      </c>
      <c r="AD191" s="57">
        <f t="shared" si="78"/>
        <v>-3.4724065795939865</v>
      </c>
      <c r="AG191" s="609" t="str">
        <f t="shared" si="79"/>
        <v>185</v>
      </c>
      <c r="AH191" s="388" t="str">
        <f t="shared" si="80"/>
        <v>Milford</v>
      </c>
      <c r="AI191" s="380">
        <f t="shared" si="81"/>
        <v>0.41899271150661876</v>
      </c>
      <c r="AJ191" s="381">
        <f t="shared" si="59"/>
        <v>41.9</v>
      </c>
      <c r="AK191" s="380">
        <f t="shared" si="82"/>
        <v>5.28E-2</v>
      </c>
      <c r="AL191" s="9">
        <f t="shared" si="60"/>
        <v>31641353</v>
      </c>
      <c r="AM191" s="57">
        <f t="shared" si="83"/>
        <v>-3.4724065795939865</v>
      </c>
    </row>
    <row r="192" spans="1:39" ht="12.75" customHeight="1">
      <c r="A192" s="6">
        <v>186</v>
      </c>
      <c r="B192" s="6" t="s">
        <v>867</v>
      </c>
      <c r="C192" s="81">
        <v>2138952900</v>
      </c>
      <c r="D192" s="81">
        <f t="shared" si="61"/>
        <v>8353911.7794233467</v>
      </c>
      <c r="E192" s="8">
        <v>588539000</v>
      </c>
      <c r="F192" s="81">
        <f t="shared" si="84"/>
        <v>8423111.6203943342</v>
      </c>
      <c r="G192" s="81">
        <f t="shared" si="62"/>
        <v>16777023</v>
      </c>
      <c r="H192" s="127">
        <f t="shared" si="63"/>
        <v>25104349.816612892</v>
      </c>
      <c r="I192" s="347">
        <f t="shared" si="64"/>
        <v>0.66829147628024788</v>
      </c>
      <c r="J192" s="33">
        <f t="shared" si="57"/>
        <v>20711089</v>
      </c>
      <c r="K192" s="33">
        <f t="shared" si="65"/>
        <v>16777023</v>
      </c>
      <c r="L192" s="126">
        <f t="shared" si="66"/>
        <v>66.83</v>
      </c>
      <c r="M192" s="470"/>
      <c r="N192" s="128">
        <v>14644956</v>
      </c>
      <c r="O192" s="449">
        <v>4.2599999999999999E-2</v>
      </c>
      <c r="P192" s="33">
        <f t="shared" si="67"/>
        <v>15268831</v>
      </c>
      <c r="Q192" s="57">
        <f t="shared" si="68"/>
        <v>60.821455690104337</v>
      </c>
      <c r="R192" s="57">
        <f t="shared" si="69"/>
        <v>6.0085443098956617</v>
      </c>
      <c r="S192" s="88">
        <f t="shared" si="70"/>
        <v>0.01</v>
      </c>
      <c r="T192" s="33">
        <f t="shared" si="71"/>
        <v>146450</v>
      </c>
      <c r="U192" s="9">
        <f t="shared" si="72"/>
        <v>0</v>
      </c>
      <c r="V192" s="9">
        <f t="shared" si="58"/>
        <v>0</v>
      </c>
      <c r="W192" s="9">
        <f t="shared" si="73"/>
        <v>0</v>
      </c>
      <c r="X192" s="127">
        <f>MIN(H192*parameters!C$22,ROUND(P192+T192-V192+W192,0))</f>
        <v>15415281</v>
      </c>
      <c r="Y192" s="94">
        <f t="shared" si="74"/>
        <v>61.404820728712451</v>
      </c>
      <c r="AA192" s="33">
        <f t="shared" si="75"/>
        <v>-1508192</v>
      </c>
      <c r="AB192" s="33">
        <f t="shared" si="76"/>
        <v>-1361742</v>
      </c>
      <c r="AC192" s="33">
        <f t="shared" si="77"/>
        <v>0</v>
      </c>
      <c r="AD192" s="57">
        <f t="shared" si="78"/>
        <v>-5.4251792712875471</v>
      </c>
      <c r="AG192" s="609" t="str">
        <f t="shared" si="79"/>
        <v>186</v>
      </c>
      <c r="AH192" s="388" t="str">
        <f t="shared" si="80"/>
        <v>Millbury</v>
      </c>
      <c r="AI192" s="380">
        <f t="shared" si="81"/>
        <v>0.66829147628024788</v>
      </c>
      <c r="AJ192" s="381">
        <f t="shared" si="59"/>
        <v>66.83</v>
      </c>
      <c r="AK192" s="380">
        <f t="shared" si="82"/>
        <v>4.2599999999999999E-2</v>
      </c>
      <c r="AL192" s="9">
        <f t="shared" si="60"/>
        <v>15415281</v>
      </c>
      <c r="AM192" s="57">
        <f t="shared" si="83"/>
        <v>-5.4251792712875471</v>
      </c>
    </row>
    <row r="193" spans="1:39" ht="12.75" customHeight="1">
      <c r="A193" s="6">
        <v>187</v>
      </c>
      <c r="B193" s="6" t="s">
        <v>868</v>
      </c>
      <c r="C193" s="81">
        <v>1670717600</v>
      </c>
      <c r="D193" s="81">
        <f t="shared" si="61"/>
        <v>6525168.1973595135</v>
      </c>
      <c r="E193" s="8">
        <v>529663000</v>
      </c>
      <c r="F193" s="81">
        <f t="shared" si="84"/>
        <v>7580484.1653533997</v>
      </c>
      <c r="G193" s="81">
        <f t="shared" si="62"/>
        <v>14105652</v>
      </c>
      <c r="H193" s="127">
        <f t="shared" si="63"/>
        <v>15286477.59286801</v>
      </c>
      <c r="I193" s="347">
        <f t="shared" si="64"/>
        <v>0.92275358494497584</v>
      </c>
      <c r="J193" s="33">
        <f t="shared" si="57"/>
        <v>12611344</v>
      </c>
      <c r="K193" s="33">
        <f t="shared" si="65"/>
        <v>12611344</v>
      </c>
      <c r="L193" s="126">
        <f t="shared" si="66"/>
        <v>82.5</v>
      </c>
      <c r="M193" s="470"/>
      <c r="N193" s="128">
        <v>11778097</v>
      </c>
      <c r="O193" s="449">
        <v>7.4099999999999999E-2</v>
      </c>
      <c r="P193" s="33">
        <f t="shared" si="67"/>
        <v>12650854</v>
      </c>
      <c r="Q193" s="57">
        <f t="shared" si="68"/>
        <v>82.758463636530138</v>
      </c>
      <c r="R193" s="57">
        <f t="shared" si="69"/>
        <v>0</v>
      </c>
      <c r="S193" s="88">
        <f t="shared" si="70"/>
        <v>0</v>
      </c>
      <c r="T193" s="33">
        <f t="shared" si="71"/>
        <v>0</v>
      </c>
      <c r="U193" s="9">
        <f t="shared" si="72"/>
        <v>39510</v>
      </c>
      <c r="V193" s="9">
        <f t="shared" si="58"/>
        <v>39510</v>
      </c>
      <c r="W193" s="9">
        <f t="shared" si="73"/>
        <v>0</v>
      </c>
      <c r="X193" s="127">
        <f>MIN(H193*parameters!C$22,ROUND(P193+T193-V193+W193,0))</f>
        <v>12611344</v>
      </c>
      <c r="Y193" s="94">
        <f t="shared" si="74"/>
        <v>82.499999907656246</v>
      </c>
      <c r="AA193" s="33">
        <f t="shared" si="75"/>
        <v>0</v>
      </c>
      <c r="AB193" s="33">
        <f t="shared" si="76"/>
        <v>0</v>
      </c>
      <c r="AC193" s="33">
        <f t="shared" si="77"/>
        <v>0</v>
      </c>
      <c r="AD193" s="57">
        <f t="shared" si="78"/>
        <v>-9.2343753976820153E-8</v>
      </c>
      <c r="AG193" s="609" t="str">
        <f t="shared" si="79"/>
        <v>187</v>
      </c>
      <c r="AH193" s="388" t="str">
        <f t="shared" si="80"/>
        <v>Millis</v>
      </c>
      <c r="AI193" s="380">
        <f t="shared" si="81"/>
        <v>0.92275358494497584</v>
      </c>
      <c r="AJ193" s="381">
        <f t="shared" si="59"/>
        <v>82.5</v>
      </c>
      <c r="AK193" s="380">
        <f t="shared" si="82"/>
        <v>7.4099999999999999E-2</v>
      </c>
      <c r="AL193" s="9">
        <f t="shared" si="60"/>
        <v>12611344</v>
      </c>
      <c r="AM193" s="57">
        <f t="shared" si="83"/>
        <v>-9.2343753976820153E-8</v>
      </c>
    </row>
    <row r="194" spans="1:39" ht="12.75" customHeight="1">
      <c r="A194" s="6">
        <v>188</v>
      </c>
      <c r="B194" s="6" t="s">
        <v>869</v>
      </c>
      <c r="C194" s="81">
        <v>387116000</v>
      </c>
      <c r="D194" s="81">
        <f t="shared" si="61"/>
        <v>1511923.3866268157</v>
      </c>
      <c r="E194" s="8">
        <v>121102000</v>
      </c>
      <c r="F194" s="81">
        <f t="shared" si="84"/>
        <v>1733199.7768253163</v>
      </c>
      <c r="G194" s="81">
        <f t="shared" si="62"/>
        <v>3245123</v>
      </c>
      <c r="H194" s="127">
        <f t="shared" si="63"/>
        <v>6176474.737452046</v>
      </c>
      <c r="I194" s="347">
        <f t="shared" si="64"/>
        <v>0.5254005137141865</v>
      </c>
      <c r="J194" s="33">
        <f t="shared" si="57"/>
        <v>5095592</v>
      </c>
      <c r="K194" s="33">
        <f t="shared" si="65"/>
        <v>3245123</v>
      </c>
      <c r="L194" s="126">
        <f t="shared" si="66"/>
        <v>52.54</v>
      </c>
      <c r="M194" s="470"/>
      <c r="N194" s="128">
        <v>2842895</v>
      </c>
      <c r="O194" s="449">
        <v>3.8699999999999998E-2</v>
      </c>
      <c r="P194" s="33">
        <f t="shared" si="67"/>
        <v>2952915</v>
      </c>
      <c r="Q194" s="57">
        <f t="shared" si="68"/>
        <v>47.809067882922371</v>
      </c>
      <c r="R194" s="57">
        <f t="shared" si="69"/>
        <v>4.7309321170776286</v>
      </c>
      <c r="S194" s="88">
        <f t="shared" si="70"/>
        <v>0.01</v>
      </c>
      <c r="T194" s="33">
        <f t="shared" si="71"/>
        <v>28429</v>
      </c>
      <c r="U194" s="9">
        <f t="shared" si="72"/>
        <v>0</v>
      </c>
      <c r="V194" s="9">
        <f t="shared" si="58"/>
        <v>0</v>
      </c>
      <c r="W194" s="9">
        <f t="shared" si="73"/>
        <v>0</v>
      </c>
      <c r="X194" s="127">
        <f>MIN(H194*parameters!C$22,ROUND(P194+T194-V194+W194,0))</f>
        <v>2981344</v>
      </c>
      <c r="Y194" s="94">
        <f t="shared" si="74"/>
        <v>48.269346621336311</v>
      </c>
      <c r="AA194" s="33">
        <f t="shared" si="75"/>
        <v>-292208</v>
      </c>
      <c r="AB194" s="33">
        <f t="shared" si="76"/>
        <v>-263779</v>
      </c>
      <c r="AC194" s="33">
        <f t="shared" si="77"/>
        <v>0</v>
      </c>
      <c r="AD194" s="57">
        <f t="shared" si="78"/>
        <v>-4.2706533786636882</v>
      </c>
      <c r="AG194" s="609" t="str">
        <f t="shared" si="79"/>
        <v>188</v>
      </c>
      <c r="AH194" s="388" t="str">
        <f t="shared" si="80"/>
        <v>Millville</v>
      </c>
      <c r="AI194" s="380">
        <f t="shared" si="81"/>
        <v>0.5254005137141865</v>
      </c>
      <c r="AJ194" s="381">
        <f t="shared" si="59"/>
        <v>52.54</v>
      </c>
      <c r="AK194" s="380">
        <f t="shared" si="82"/>
        <v>3.8699999999999998E-2</v>
      </c>
      <c r="AL194" s="9">
        <f t="shared" si="60"/>
        <v>2981344</v>
      </c>
      <c r="AM194" s="57">
        <f t="shared" si="83"/>
        <v>-4.2706533786636882</v>
      </c>
    </row>
    <row r="195" spans="1:39" ht="12.75" customHeight="1">
      <c r="A195" s="6">
        <v>189</v>
      </c>
      <c r="B195" s="6" t="s">
        <v>870</v>
      </c>
      <c r="C195" s="81">
        <v>7603573400</v>
      </c>
      <c r="D195" s="81">
        <f t="shared" si="61"/>
        <v>29696577.887231659</v>
      </c>
      <c r="E195" s="8">
        <v>2853979000</v>
      </c>
      <c r="F195" s="81">
        <f t="shared" si="84"/>
        <v>40845863.535401061</v>
      </c>
      <c r="G195" s="81">
        <f t="shared" si="62"/>
        <v>70542441</v>
      </c>
      <c r="H195" s="127">
        <f t="shared" si="63"/>
        <v>56631891.700077035</v>
      </c>
      <c r="I195" s="347">
        <f t="shared" si="64"/>
        <v>1.2456310195956961</v>
      </c>
      <c r="J195" s="33">
        <f t="shared" si="57"/>
        <v>46721311</v>
      </c>
      <c r="K195" s="33">
        <f t="shared" si="65"/>
        <v>46721311</v>
      </c>
      <c r="L195" s="126">
        <f t="shared" si="66"/>
        <v>82.5</v>
      </c>
      <c r="M195" s="470"/>
      <c r="N195" s="128">
        <v>43288434</v>
      </c>
      <c r="O195" s="449">
        <v>4.1599999999999998E-2</v>
      </c>
      <c r="P195" s="33">
        <f t="shared" si="67"/>
        <v>45089233</v>
      </c>
      <c r="Q195" s="57">
        <f t="shared" si="68"/>
        <v>79.618094410112505</v>
      </c>
      <c r="R195" s="57">
        <f t="shared" si="69"/>
        <v>2.881905589887495</v>
      </c>
      <c r="S195" s="88">
        <f t="shared" si="70"/>
        <v>0.01</v>
      </c>
      <c r="T195" s="33">
        <f t="shared" si="71"/>
        <v>432884</v>
      </c>
      <c r="U195" s="9">
        <f t="shared" si="72"/>
        <v>0</v>
      </c>
      <c r="V195" s="9">
        <f t="shared" si="58"/>
        <v>0</v>
      </c>
      <c r="W195" s="9">
        <f t="shared" si="73"/>
        <v>0</v>
      </c>
      <c r="X195" s="127">
        <f>MIN(H195*parameters!C$22,ROUND(P195+T195-V195+W195,0))</f>
        <v>45522117</v>
      </c>
      <c r="Y195" s="94">
        <f t="shared" si="74"/>
        <v>80.382476434100965</v>
      </c>
      <c r="AA195" s="33">
        <f t="shared" si="75"/>
        <v>-1632078</v>
      </c>
      <c r="AB195" s="33">
        <f t="shared" si="76"/>
        <v>-1199194</v>
      </c>
      <c r="AC195" s="33">
        <f t="shared" si="77"/>
        <v>0</v>
      </c>
      <c r="AD195" s="57">
        <f t="shared" si="78"/>
        <v>-2.1175235658990346</v>
      </c>
      <c r="AG195" s="609" t="str">
        <f t="shared" si="79"/>
        <v>189</v>
      </c>
      <c r="AH195" s="388" t="str">
        <f t="shared" si="80"/>
        <v>Milton</v>
      </c>
      <c r="AI195" s="380">
        <f t="shared" si="81"/>
        <v>1.2456310195956961</v>
      </c>
      <c r="AJ195" s="381">
        <f t="shared" si="59"/>
        <v>82.5</v>
      </c>
      <c r="AK195" s="380">
        <f t="shared" si="82"/>
        <v>4.1599999999999998E-2</v>
      </c>
      <c r="AL195" s="9">
        <f t="shared" si="60"/>
        <v>45522117</v>
      </c>
      <c r="AM195" s="57">
        <f t="shared" si="83"/>
        <v>-2.1175235658990346</v>
      </c>
    </row>
    <row r="196" spans="1:39" ht="12.75" customHeight="1">
      <c r="A196" s="6">
        <v>190</v>
      </c>
      <c r="B196" s="6" t="s">
        <v>871</v>
      </c>
      <c r="C196" s="81">
        <v>31522700</v>
      </c>
      <c r="D196" s="81">
        <f t="shared" si="61"/>
        <v>123115.3125668304</v>
      </c>
      <c r="E196" s="8">
        <v>1142000</v>
      </c>
      <c r="F196" s="81">
        <f t="shared" si="84"/>
        <v>16344.190394332967</v>
      </c>
      <c r="G196" s="81">
        <f t="shared" si="62"/>
        <v>139460</v>
      </c>
      <c r="H196" s="127">
        <f t="shared" si="63"/>
        <v>259171.20398543423</v>
      </c>
      <c r="I196" s="347">
        <f t="shared" si="64"/>
        <v>0.53809990406124686</v>
      </c>
      <c r="J196" s="33">
        <f t="shared" si="57"/>
        <v>213816</v>
      </c>
      <c r="K196" s="33">
        <f t="shared" si="65"/>
        <v>139460</v>
      </c>
      <c r="L196" s="126">
        <f t="shared" si="66"/>
        <v>53.81</v>
      </c>
      <c r="M196" s="470"/>
      <c r="N196" s="128">
        <v>112898</v>
      </c>
      <c r="O196" s="449">
        <v>3.3300000000000003E-2</v>
      </c>
      <c r="P196" s="33">
        <f t="shared" si="67"/>
        <v>116658</v>
      </c>
      <c r="Q196" s="57">
        <f t="shared" si="68"/>
        <v>45.011945079576179</v>
      </c>
      <c r="R196" s="57">
        <f t="shared" si="69"/>
        <v>8.798054920423823</v>
      </c>
      <c r="S196" s="88">
        <f t="shared" si="70"/>
        <v>0.02</v>
      </c>
      <c r="T196" s="33">
        <f t="shared" si="71"/>
        <v>2258</v>
      </c>
      <c r="U196" s="9">
        <f t="shared" si="72"/>
        <v>0</v>
      </c>
      <c r="V196" s="9">
        <f t="shared" si="58"/>
        <v>0</v>
      </c>
      <c r="W196" s="9">
        <f t="shared" si="73"/>
        <v>0</v>
      </c>
      <c r="X196" s="127">
        <f>MIN(H196*parameters!C$22,ROUND(P196+T196-V196+W196,0))</f>
        <v>118916</v>
      </c>
      <c r="Y196" s="94">
        <f t="shared" si="74"/>
        <v>45.883183845796097</v>
      </c>
      <c r="AA196" s="33">
        <f t="shared" si="75"/>
        <v>-22802</v>
      </c>
      <c r="AB196" s="33">
        <f t="shared" si="76"/>
        <v>-20544</v>
      </c>
      <c r="AC196" s="33">
        <f t="shared" si="77"/>
        <v>0</v>
      </c>
      <c r="AD196" s="57">
        <f t="shared" si="78"/>
        <v>-7.9268161542039053</v>
      </c>
      <c r="AG196" s="609" t="str">
        <f t="shared" si="79"/>
        <v>190</v>
      </c>
      <c r="AH196" s="388" t="str">
        <f t="shared" si="80"/>
        <v>Monroe</v>
      </c>
      <c r="AI196" s="380">
        <f t="shared" si="81"/>
        <v>0.53809990406124686</v>
      </c>
      <c r="AJ196" s="381">
        <f t="shared" si="59"/>
        <v>53.81</v>
      </c>
      <c r="AK196" s="380">
        <f t="shared" si="82"/>
        <v>3.3300000000000003E-2</v>
      </c>
      <c r="AL196" s="9">
        <f t="shared" si="60"/>
        <v>118916</v>
      </c>
      <c r="AM196" s="57">
        <f t="shared" si="83"/>
        <v>-7.9268161542039053</v>
      </c>
    </row>
    <row r="197" spans="1:39" ht="12.75" customHeight="1">
      <c r="A197" s="6">
        <v>191</v>
      </c>
      <c r="B197" s="6" t="s">
        <v>872</v>
      </c>
      <c r="C197" s="81">
        <v>925835900</v>
      </c>
      <c r="D197" s="81">
        <f t="shared" si="61"/>
        <v>3615952.1936284881</v>
      </c>
      <c r="E197" s="8">
        <v>303232000</v>
      </c>
      <c r="F197" s="81">
        <f t="shared" si="84"/>
        <v>4339826.2186115365</v>
      </c>
      <c r="G197" s="81">
        <f t="shared" si="62"/>
        <v>7955778</v>
      </c>
      <c r="H197" s="127">
        <f t="shared" si="63"/>
        <v>13766041.73979155</v>
      </c>
      <c r="I197" s="347">
        <f t="shared" si="64"/>
        <v>0.57792778420853963</v>
      </c>
      <c r="J197" s="33">
        <f t="shared" si="57"/>
        <v>11356984</v>
      </c>
      <c r="K197" s="33">
        <f t="shared" si="65"/>
        <v>7955778</v>
      </c>
      <c r="L197" s="126">
        <f t="shared" si="66"/>
        <v>57.79</v>
      </c>
      <c r="M197" s="470"/>
      <c r="N197" s="128">
        <v>7387712</v>
      </c>
      <c r="O197" s="449">
        <v>3.8800000000000001E-2</v>
      </c>
      <c r="P197" s="33">
        <f t="shared" si="67"/>
        <v>7674355</v>
      </c>
      <c r="Q197" s="57">
        <f t="shared" si="68"/>
        <v>55.748450753398686</v>
      </c>
      <c r="R197" s="57">
        <f t="shared" si="69"/>
        <v>2.0415492466013134</v>
      </c>
      <c r="S197" s="88">
        <f t="shared" si="70"/>
        <v>0</v>
      </c>
      <c r="T197" s="33">
        <f t="shared" si="71"/>
        <v>0</v>
      </c>
      <c r="U197" s="9">
        <f t="shared" si="72"/>
        <v>0</v>
      </c>
      <c r="V197" s="9">
        <f t="shared" si="58"/>
        <v>0</v>
      </c>
      <c r="W197" s="9">
        <f t="shared" si="73"/>
        <v>0</v>
      </c>
      <c r="X197" s="127">
        <f>MIN(H197*parameters!C$22,ROUND(P197+T197-V197+W197,0))</f>
        <v>7674355</v>
      </c>
      <c r="Y197" s="94">
        <f t="shared" si="74"/>
        <v>55.748450753398686</v>
      </c>
      <c r="AA197" s="33">
        <f t="shared" si="75"/>
        <v>-281423</v>
      </c>
      <c r="AB197" s="33">
        <f t="shared" si="76"/>
        <v>-281423</v>
      </c>
      <c r="AC197" s="33">
        <f t="shared" si="77"/>
        <v>0</v>
      </c>
      <c r="AD197" s="57">
        <f t="shared" si="78"/>
        <v>-2.0415492466013134</v>
      </c>
      <c r="AG197" s="609" t="str">
        <f t="shared" si="79"/>
        <v>191</v>
      </c>
      <c r="AH197" s="388" t="str">
        <f t="shared" si="80"/>
        <v>Monson</v>
      </c>
      <c r="AI197" s="380">
        <f t="shared" si="81"/>
        <v>0.57792778420853963</v>
      </c>
      <c r="AJ197" s="381">
        <f t="shared" si="59"/>
        <v>57.79</v>
      </c>
      <c r="AK197" s="380">
        <f t="shared" si="82"/>
        <v>3.8800000000000001E-2</v>
      </c>
      <c r="AL197" s="9">
        <f t="shared" si="60"/>
        <v>7674355</v>
      </c>
      <c r="AM197" s="57">
        <f t="shared" si="83"/>
        <v>-2.0415492466013134</v>
      </c>
    </row>
    <row r="198" spans="1:39" ht="12.75" customHeight="1">
      <c r="A198" s="6">
        <v>192</v>
      </c>
      <c r="B198" s="6" t="s">
        <v>873</v>
      </c>
      <c r="C198" s="81">
        <v>1034121100</v>
      </c>
      <c r="D198" s="81">
        <f t="shared" si="61"/>
        <v>4038871.7482466437</v>
      </c>
      <c r="E198" s="8">
        <v>235734000</v>
      </c>
      <c r="F198" s="81">
        <f t="shared" si="84"/>
        <v>3373801.5572834397</v>
      </c>
      <c r="G198" s="81">
        <f t="shared" si="62"/>
        <v>7412673</v>
      </c>
      <c r="H198" s="127">
        <f t="shared" si="63"/>
        <v>15188951.325932503</v>
      </c>
      <c r="I198" s="347">
        <f t="shared" si="64"/>
        <v>0.48803059809297994</v>
      </c>
      <c r="J198" s="33">
        <f t="shared" si="57"/>
        <v>12530885</v>
      </c>
      <c r="K198" s="33">
        <f t="shared" si="65"/>
        <v>7412673</v>
      </c>
      <c r="L198" s="126">
        <f t="shared" si="66"/>
        <v>48.8</v>
      </c>
      <c r="M198" s="470"/>
      <c r="N198" s="128">
        <v>6735739</v>
      </c>
      <c r="O198" s="449">
        <v>3.5099999999999999E-2</v>
      </c>
      <c r="P198" s="33">
        <f t="shared" si="67"/>
        <v>6972163</v>
      </c>
      <c r="Q198" s="57">
        <f t="shared" si="68"/>
        <v>45.902859587786288</v>
      </c>
      <c r="R198" s="57">
        <f t="shared" si="69"/>
        <v>2.8971404122137088</v>
      </c>
      <c r="S198" s="88">
        <f t="shared" si="70"/>
        <v>0.01</v>
      </c>
      <c r="T198" s="33">
        <f t="shared" si="71"/>
        <v>67357</v>
      </c>
      <c r="U198" s="9">
        <f t="shared" si="72"/>
        <v>0</v>
      </c>
      <c r="V198" s="9">
        <f t="shared" si="58"/>
        <v>0</v>
      </c>
      <c r="W198" s="9">
        <f t="shared" si="73"/>
        <v>0</v>
      </c>
      <c r="X198" s="127">
        <f>MIN(H198*parameters!C$22,ROUND(P198+T198-V198+W198,0))</f>
        <v>7039520</v>
      </c>
      <c r="Y198" s="94">
        <f t="shared" si="74"/>
        <v>46.346320091112801</v>
      </c>
      <c r="AA198" s="33">
        <f t="shared" si="75"/>
        <v>-440510</v>
      </c>
      <c r="AB198" s="33">
        <f t="shared" si="76"/>
        <v>-373153</v>
      </c>
      <c r="AC198" s="33">
        <f t="shared" si="77"/>
        <v>0</v>
      </c>
      <c r="AD198" s="57">
        <f t="shared" si="78"/>
        <v>-2.4536799088871959</v>
      </c>
      <c r="AG198" s="609" t="str">
        <f t="shared" si="79"/>
        <v>192</v>
      </c>
      <c r="AH198" s="388" t="str">
        <f t="shared" si="80"/>
        <v>Montague</v>
      </c>
      <c r="AI198" s="380">
        <f t="shared" si="81"/>
        <v>0.48803059809297994</v>
      </c>
      <c r="AJ198" s="381">
        <f t="shared" si="59"/>
        <v>48.8</v>
      </c>
      <c r="AK198" s="380">
        <f t="shared" si="82"/>
        <v>3.5099999999999999E-2</v>
      </c>
      <c r="AL198" s="9">
        <f t="shared" si="60"/>
        <v>7039520</v>
      </c>
      <c r="AM198" s="57">
        <f t="shared" si="83"/>
        <v>-2.4536799088871959</v>
      </c>
    </row>
    <row r="199" spans="1:39" ht="12.75" customHeight="1">
      <c r="A199" s="6">
        <v>193</v>
      </c>
      <c r="B199" s="6" t="s">
        <v>874</v>
      </c>
      <c r="C199" s="81">
        <v>554257700</v>
      </c>
      <c r="D199" s="81">
        <f t="shared" si="61"/>
        <v>2164713.3645935315</v>
      </c>
      <c r="E199" s="8">
        <v>53717000</v>
      </c>
      <c r="F199" s="81">
        <f t="shared" si="84"/>
        <v>768792.36025602801</v>
      </c>
      <c r="G199" s="81">
        <f t="shared" si="62"/>
        <v>2933506</v>
      </c>
      <c r="H199" s="127">
        <f t="shared" si="63"/>
        <v>1213819.9337935641</v>
      </c>
      <c r="I199" s="347">
        <f t="shared" si="64"/>
        <v>2.4167554991718445</v>
      </c>
      <c r="J199" s="33">
        <f t="shared" ref="J199:J262" si="85">ROUND(H199*maxloc,0)</f>
        <v>1001401</v>
      </c>
      <c r="K199" s="33">
        <f t="shared" si="65"/>
        <v>1001401</v>
      </c>
      <c r="L199" s="126">
        <f t="shared" si="66"/>
        <v>82.5</v>
      </c>
      <c r="M199" s="470"/>
      <c r="N199" s="128">
        <v>883822</v>
      </c>
      <c r="O199" s="449">
        <v>3.4299999999999997E-2</v>
      </c>
      <c r="P199" s="33">
        <f t="shared" si="67"/>
        <v>914137</v>
      </c>
      <c r="Q199" s="57">
        <f t="shared" si="68"/>
        <v>75.310758585339599</v>
      </c>
      <c r="R199" s="57">
        <f t="shared" si="69"/>
        <v>7.1892414146604011</v>
      </c>
      <c r="S199" s="88">
        <f t="shared" si="70"/>
        <v>0.01</v>
      </c>
      <c r="T199" s="33">
        <f t="shared" si="71"/>
        <v>8838</v>
      </c>
      <c r="U199" s="9">
        <f t="shared" si="72"/>
        <v>0</v>
      </c>
      <c r="V199" s="9">
        <f t="shared" ref="V199:V262" si="86">MAX(U199*(V$5),0)</f>
        <v>0</v>
      </c>
      <c r="W199" s="9">
        <f t="shared" si="73"/>
        <v>78426</v>
      </c>
      <c r="X199" s="127">
        <f>MIN(H199*parameters!C$22,ROUND(P199+T199-V199+W199,0))</f>
        <v>1001401</v>
      </c>
      <c r="Y199" s="94">
        <f t="shared" si="74"/>
        <v>82.499963307597938</v>
      </c>
      <c r="AA199" s="33">
        <f t="shared" si="75"/>
        <v>-87264</v>
      </c>
      <c r="AB199" s="33">
        <f t="shared" si="76"/>
        <v>0</v>
      </c>
      <c r="AC199" s="33">
        <f t="shared" si="77"/>
        <v>0</v>
      </c>
      <c r="AD199" s="57">
        <f t="shared" si="78"/>
        <v>-3.6692402062499241E-5</v>
      </c>
      <c r="AG199" s="609" t="str">
        <f t="shared" si="79"/>
        <v>193</v>
      </c>
      <c r="AH199" s="388" t="str">
        <f t="shared" si="80"/>
        <v>Monterey</v>
      </c>
      <c r="AI199" s="380">
        <f t="shared" si="81"/>
        <v>2.4167554991718445</v>
      </c>
      <c r="AJ199" s="381">
        <f t="shared" ref="AJ199:AJ262" si="87">L199</f>
        <v>82.5</v>
      </c>
      <c r="AK199" s="380">
        <f t="shared" si="82"/>
        <v>3.4299999999999997E-2</v>
      </c>
      <c r="AL199" s="9">
        <f t="shared" ref="AL199:AL262" si="88">X199</f>
        <v>1001401</v>
      </c>
      <c r="AM199" s="57">
        <f t="shared" si="83"/>
        <v>-3.6692402062499241E-5</v>
      </c>
    </row>
    <row r="200" spans="1:39" ht="12.75" customHeight="1">
      <c r="A200" s="6">
        <v>194</v>
      </c>
      <c r="B200" s="6" t="s">
        <v>875</v>
      </c>
      <c r="C200" s="81">
        <v>130260900</v>
      </c>
      <c r="D200" s="81">
        <f t="shared" ref="D200:D263" si="89">D$5*C200</f>
        <v>508748.02662007499</v>
      </c>
      <c r="E200" s="8">
        <v>32542000</v>
      </c>
      <c r="F200" s="81">
        <f t="shared" si="84"/>
        <v>465737.86673588742</v>
      </c>
      <c r="G200" s="81">
        <f t="shared" ref="G200:G263" si="90">ROUND(D200+F200,0)</f>
        <v>974486</v>
      </c>
      <c r="H200" s="127">
        <f t="shared" ref="H200:H263" si="91">(SUMIF(town1755,A200,found1755)/2)</f>
        <v>1093205.4852610545</v>
      </c>
      <c r="I200" s="347">
        <f t="shared" ref="I200:I263" si="92">IF(H200=0,0,G200/H200)</f>
        <v>0.89140240617004896</v>
      </c>
      <c r="J200" s="33">
        <f t="shared" si="85"/>
        <v>901895</v>
      </c>
      <c r="K200" s="33">
        <f t="shared" ref="K200:K263" si="93">MIN(G200,J200)</f>
        <v>901895</v>
      </c>
      <c r="L200" s="126">
        <f t="shared" ref="L200:L263" si="94">IF(H200&gt;0, ROUND((K200*100/H200), 2), 0)</f>
        <v>82.5</v>
      </c>
      <c r="M200" s="470"/>
      <c r="N200" s="128">
        <v>809175</v>
      </c>
      <c r="O200" s="449">
        <v>3.73E-2</v>
      </c>
      <c r="P200" s="33">
        <f t="shared" ref="P200:P263" si="95">ROUND(N200*(1+O200),0)</f>
        <v>839357</v>
      </c>
      <c r="Q200" s="57">
        <f t="shared" ref="Q200:Q263" si="96">IF(H200=0,0,P200*100/H200)</f>
        <v>76.779435459891047</v>
      </c>
      <c r="R200" s="57">
        <f t="shared" ref="R200:R263" si="97">IF(L200&gt;Q200,L200-Q200,0)</f>
        <v>5.7205645401089527</v>
      </c>
      <c r="S200" s="88">
        <f t="shared" ref="S200:S263" si="98">IF(AND(R200&gt;$T$4,R200&lt;=$T$5),$S$4,IF(R200&gt;$T$5,$S$5,0))</f>
        <v>0.01</v>
      </c>
      <c r="T200" s="33">
        <f t="shared" ref="T200:T263" si="99">ROUND(S200*N200,0)</f>
        <v>8092</v>
      </c>
      <c r="U200" s="9">
        <f t="shared" ref="U200:U263" si="100">MAX(P200-K200,0)</f>
        <v>0</v>
      </c>
      <c r="V200" s="9">
        <f t="shared" si="86"/>
        <v>0</v>
      </c>
      <c r="W200" s="9">
        <f t="shared" ref="W200:W263" si="101">IF(AND(I200&gt;1.75,$W$5=1),MAX(K200-(P200+T200),0),0)</f>
        <v>0</v>
      </c>
      <c r="X200" s="127">
        <f>MIN(H200*parameters!C$22,ROUND(P200+T200-V200+W200,0))</f>
        <v>847449</v>
      </c>
      <c r="Y200" s="94">
        <f t="shared" ref="Y200:Y263" si="102">IF(H200=0,0,X200*100/H200)</f>
        <v>77.519643966809355</v>
      </c>
      <c r="AA200" s="33">
        <f t="shared" ref="AA200:AA263" si="103">IF(Q200&lt;L200, P200-K200, 0)</f>
        <v>-62538</v>
      </c>
      <c r="AB200" s="33">
        <f t="shared" ref="AB200:AB263" si="104">-1*MAX(K200-(P200+T200+W200),0)</f>
        <v>-54446</v>
      </c>
      <c r="AC200" s="33">
        <f t="shared" ref="AC200:AC263" si="105">IF(Q200&gt;L200, X200-K200,0)</f>
        <v>0</v>
      </c>
      <c r="AD200" s="57">
        <f t="shared" ref="AD200:AD263" si="106">Y200-L200</f>
        <v>-4.9803560331906453</v>
      </c>
      <c r="AG200" s="609" t="str">
        <f t="shared" ref="AG200:AG263" si="107">TEXT(A200,"000")</f>
        <v>194</v>
      </c>
      <c r="AH200" s="388" t="str">
        <f t="shared" ref="AH200:AH263" si="108">B200</f>
        <v>Montgomery</v>
      </c>
      <c r="AI200" s="380">
        <f t="shared" ref="AI200:AI263" si="109">I200</f>
        <v>0.89140240617004896</v>
      </c>
      <c r="AJ200" s="381">
        <f t="shared" si="87"/>
        <v>82.5</v>
      </c>
      <c r="AK200" s="380">
        <f t="shared" ref="AK200:AK263" si="110">O200</f>
        <v>3.73E-2</v>
      </c>
      <c r="AL200" s="9">
        <f t="shared" si="88"/>
        <v>847449</v>
      </c>
      <c r="AM200" s="57">
        <f t="shared" ref="AM200:AM263" si="111">AD200</f>
        <v>-4.9803560331906453</v>
      </c>
    </row>
    <row r="201" spans="1:39" ht="12.75" customHeight="1">
      <c r="A201" s="6">
        <v>195</v>
      </c>
      <c r="B201" s="6" t="s">
        <v>876</v>
      </c>
      <c r="C201" s="81">
        <v>98571900</v>
      </c>
      <c r="D201" s="81">
        <f t="shared" si="89"/>
        <v>384983.21142561868</v>
      </c>
      <c r="E201" s="8">
        <v>11686000</v>
      </c>
      <c r="F201" s="81">
        <f t="shared" ref="F201:F264" si="112">E201*F$5</f>
        <v>167248.8694817645</v>
      </c>
      <c r="G201" s="81">
        <f t="shared" si="90"/>
        <v>552232</v>
      </c>
      <c r="H201" s="127">
        <f t="shared" si="91"/>
        <v>71641.610000000015</v>
      </c>
      <c r="I201" s="347">
        <f t="shared" si="92"/>
        <v>7.7082578127431791</v>
      </c>
      <c r="J201" s="33">
        <f t="shared" si="85"/>
        <v>59104</v>
      </c>
      <c r="K201" s="33">
        <f t="shared" si="93"/>
        <v>59104</v>
      </c>
      <c r="L201" s="126">
        <f t="shared" si="94"/>
        <v>82.5</v>
      </c>
      <c r="M201" s="470"/>
      <c r="N201" s="128">
        <v>65140</v>
      </c>
      <c r="O201" s="449">
        <v>2.63E-2</v>
      </c>
      <c r="P201" s="33">
        <f t="shared" si="95"/>
        <v>66853</v>
      </c>
      <c r="Q201" s="57">
        <f t="shared" si="96"/>
        <v>93.315881650342561</v>
      </c>
      <c r="R201" s="57">
        <f t="shared" si="97"/>
        <v>0</v>
      </c>
      <c r="S201" s="88">
        <f t="shared" si="98"/>
        <v>0</v>
      </c>
      <c r="T201" s="33">
        <f t="shared" si="99"/>
        <v>0</v>
      </c>
      <c r="U201" s="9">
        <f t="shared" si="100"/>
        <v>7749</v>
      </c>
      <c r="V201" s="9">
        <f t="shared" si="86"/>
        <v>7749</v>
      </c>
      <c r="W201" s="9">
        <f t="shared" si="101"/>
        <v>0</v>
      </c>
      <c r="X201" s="127">
        <f>MIN(H201*parameters!C$22,ROUND(P201+T201-V201+W201,0))</f>
        <v>59104</v>
      </c>
      <c r="Y201" s="94">
        <f t="shared" si="102"/>
        <v>82.499541816550447</v>
      </c>
      <c r="AA201" s="33">
        <f t="shared" si="103"/>
        <v>0</v>
      </c>
      <c r="AB201" s="33">
        <f t="shared" si="104"/>
        <v>0</v>
      </c>
      <c r="AC201" s="33">
        <f t="shared" si="105"/>
        <v>0</v>
      </c>
      <c r="AD201" s="57">
        <f t="shared" si="106"/>
        <v>-4.5818344955250723E-4</v>
      </c>
      <c r="AG201" s="609" t="str">
        <f t="shared" si="107"/>
        <v>195</v>
      </c>
      <c r="AH201" s="388" t="str">
        <f t="shared" si="108"/>
        <v>Mount Washington</v>
      </c>
      <c r="AI201" s="380">
        <f t="shared" si="109"/>
        <v>7.7082578127431791</v>
      </c>
      <c r="AJ201" s="381">
        <f t="shared" si="87"/>
        <v>82.5</v>
      </c>
      <c r="AK201" s="380">
        <f t="shared" si="110"/>
        <v>2.63E-2</v>
      </c>
      <c r="AL201" s="9">
        <f t="shared" si="88"/>
        <v>59104</v>
      </c>
      <c r="AM201" s="57">
        <f t="shared" si="111"/>
        <v>-4.5818344955250723E-4</v>
      </c>
    </row>
    <row r="202" spans="1:39" ht="12.75" customHeight="1">
      <c r="A202" s="6">
        <v>196</v>
      </c>
      <c r="B202" s="6" t="s">
        <v>877</v>
      </c>
      <c r="C202" s="81">
        <v>1183644400</v>
      </c>
      <c r="D202" s="81">
        <f t="shared" si="89"/>
        <v>4622851.160401185</v>
      </c>
      <c r="E202" s="8">
        <v>280072000</v>
      </c>
      <c r="F202" s="81">
        <f t="shared" si="112"/>
        <v>4008362.602558339</v>
      </c>
      <c r="G202" s="81">
        <f t="shared" si="90"/>
        <v>8631214</v>
      </c>
      <c r="H202" s="127">
        <f t="shared" si="91"/>
        <v>3187006.1280428143</v>
      </c>
      <c r="I202" s="347">
        <f t="shared" si="92"/>
        <v>2.7082514602193597</v>
      </c>
      <c r="J202" s="33">
        <f t="shared" si="85"/>
        <v>2629280</v>
      </c>
      <c r="K202" s="33">
        <f t="shared" si="93"/>
        <v>2629280</v>
      </c>
      <c r="L202" s="126">
        <f t="shared" si="94"/>
        <v>82.5</v>
      </c>
      <c r="M202" s="470"/>
      <c r="N202" s="128">
        <v>2600062</v>
      </c>
      <c r="O202" s="449">
        <v>3.2099999999999997E-2</v>
      </c>
      <c r="P202" s="33">
        <f t="shared" si="95"/>
        <v>2683524</v>
      </c>
      <c r="Q202" s="57">
        <f t="shared" si="96"/>
        <v>84.202034517203458</v>
      </c>
      <c r="R202" s="57">
        <f t="shared" si="97"/>
        <v>0</v>
      </c>
      <c r="S202" s="88">
        <f t="shared" si="98"/>
        <v>0</v>
      </c>
      <c r="T202" s="33">
        <f t="shared" si="99"/>
        <v>0</v>
      </c>
      <c r="U202" s="9">
        <f t="shared" si="100"/>
        <v>54244</v>
      </c>
      <c r="V202" s="9">
        <f t="shared" si="86"/>
        <v>54244</v>
      </c>
      <c r="W202" s="9">
        <f t="shared" si="101"/>
        <v>0</v>
      </c>
      <c r="X202" s="127">
        <f>MIN(H202*parameters!C$22,ROUND(P202+T202-V202+W202,0))</f>
        <v>2629280</v>
      </c>
      <c r="Y202" s="94">
        <f t="shared" si="102"/>
        <v>82.499998254307656</v>
      </c>
      <c r="AA202" s="33">
        <f t="shared" si="103"/>
        <v>0</v>
      </c>
      <c r="AB202" s="33">
        <f t="shared" si="104"/>
        <v>0</v>
      </c>
      <c r="AC202" s="33">
        <f t="shared" si="105"/>
        <v>0</v>
      </c>
      <c r="AD202" s="57">
        <f t="shared" si="106"/>
        <v>-1.7456923444569838E-6</v>
      </c>
      <c r="AG202" s="609" t="str">
        <f t="shared" si="107"/>
        <v>196</v>
      </c>
      <c r="AH202" s="388" t="str">
        <f t="shared" si="108"/>
        <v>Nahant</v>
      </c>
      <c r="AI202" s="380">
        <f t="shared" si="109"/>
        <v>2.7082514602193597</v>
      </c>
      <c r="AJ202" s="381">
        <f t="shared" si="87"/>
        <v>82.5</v>
      </c>
      <c r="AK202" s="380">
        <f t="shared" si="110"/>
        <v>3.2099999999999997E-2</v>
      </c>
      <c r="AL202" s="9">
        <f t="shared" si="88"/>
        <v>2629280</v>
      </c>
      <c r="AM202" s="57">
        <f t="shared" si="111"/>
        <v>-1.7456923444569838E-6</v>
      </c>
    </row>
    <row r="203" spans="1:39" ht="12.75" customHeight="1">
      <c r="A203" s="6">
        <v>197</v>
      </c>
      <c r="B203" s="6" t="s">
        <v>878</v>
      </c>
      <c r="C203" s="81">
        <v>26748129600</v>
      </c>
      <c r="D203" s="81">
        <f t="shared" si="89"/>
        <v>104467711.72146067</v>
      </c>
      <c r="E203" s="8">
        <v>1507292000</v>
      </c>
      <c r="F203" s="81">
        <f t="shared" si="112"/>
        <v>21572213.159242492</v>
      </c>
      <c r="G203" s="81">
        <f t="shared" si="90"/>
        <v>126039925</v>
      </c>
      <c r="H203" s="127">
        <f t="shared" si="91"/>
        <v>25535123.509999998</v>
      </c>
      <c r="I203" s="347">
        <f t="shared" si="92"/>
        <v>4.9359434251665384</v>
      </c>
      <c r="J203" s="33">
        <f t="shared" si="85"/>
        <v>21066477</v>
      </c>
      <c r="K203" s="33">
        <f t="shared" si="93"/>
        <v>21066477</v>
      </c>
      <c r="L203" s="126">
        <f t="shared" si="94"/>
        <v>82.5</v>
      </c>
      <c r="M203" s="470"/>
      <c r="N203" s="128">
        <v>20791207</v>
      </c>
      <c r="O203" s="449">
        <v>7.7100000000000002E-2</v>
      </c>
      <c r="P203" s="33">
        <f t="shared" si="95"/>
        <v>22394209</v>
      </c>
      <c r="Q203" s="57">
        <f t="shared" si="96"/>
        <v>87.69963063319446</v>
      </c>
      <c r="R203" s="57">
        <f t="shared" si="97"/>
        <v>0</v>
      </c>
      <c r="S203" s="88">
        <f t="shared" si="98"/>
        <v>0</v>
      </c>
      <c r="T203" s="33">
        <f t="shared" si="99"/>
        <v>0</v>
      </c>
      <c r="U203" s="9">
        <f t="shared" si="100"/>
        <v>1327732</v>
      </c>
      <c r="V203" s="9">
        <f t="shared" si="86"/>
        <v>1327732</v>
      </c>
      <c r="W203" s="9">
        <f t="shared" si="101"/>
        <v>0</v>
      </c>
      <c r="X203" s="127">
        <f>MIN(H203*parameters!C$22,ROUND(P203+T203-V203+W203,0))</f>
        <v>21066477</v>
      </c>
      <c r="Y203" s="94">
        <f t="shared" si="102"/>
        <v>82.500000408261201</v>
      </c>
      <c r="AA203" s="33">
        <f t="shared" si="103"/>
        <v>0</v>
      </c>
      <c r="AB203" s="33">
        <f t="shared" si="104"/>
        <v>0</v>
      </c>
      <c r="AC203" s="33">
        <f t="shared" si="105"/>
        <v>0</v>
      </c>
      <c r="AD203" s="57">
        <f t="shared" si="106"/>
        <v>4.0826120084602735E-7</v>
      </c>
      <c r="AG203" s="609" t="str">
        <f t="shared" si="107"/>
        <v>197</v>
      </c>
      <c r="AH203" s="388" t="str">
        <f t="shared" si="108"/>
        <v>Nantucket</v>
      </c>
      <c r="AI203" s="380">
        <f t="shared" si="109"/>
        <v>4.9359434251665384</v>
      </c>
      <c r="AJ203" s="381">
        <f t="shared" si="87"/>
        <v>82.5</v>
      </c>
      <c r="AK203" s="380">
        <f t="shared" si="110"/>
        <v>7.7100000000000002E-2</v>
      </c>
      <c r="AL203" s="9">
        <f t="shared" si="88"/>
        <v>21066477</v>
      </c>
      <c r="AM203" s="57">
        <f t="shared" si="111"/>
        <v>4.0826120084602735E-7</v>
      </c>
    </row>
    <row r="204" spans="1:39" ht="12.75" customHeight="1">
      <c r="A204" s="6">
        <v>198</v>
      </c>
      <c r="B204" s="6" t="s">
        <v>879</v>
      </c>
      <c r="C204" s="81">
        <v>10516104300</v>
      </c>
      <c r="D204" s="81">
        <f t="shared" si="89"/>
        <v>41071782.17220889</v>
      </c>
      <c r="E204" s="8">
        <v>2912473000</v>
      </c>
      <c r="F204" s="81">
        <f t="shared" si="112"/>
        <v>41683023.844443187</v>
      </c>
      <c r="G204" s="81">
        <f t="shared" si="90"/>
        <v>82754806</v>
      </c>
      <c r="H204" s="127">
        <f t="shared" si="91"/>
        <v>69151927.246726036</v>
      </c>
      <c r="I204" s="347">
        <f t="shared" si="92"/>
        <v>1.1967100454733601</v>
      </c>
      <c r="J204" s="33">
        <f t="shared" si="85"/>
        <v>57050340</v>
      </c>
      <c r="K204" s="33">
        <f t="shared" si="93"/>
        <v>57050340</v>
      </c>
      <c r="L204" s="126">
        <f t="shared" si="94"/>
        <v>82.5</v>
      </c>
      <c r="M204" s="470"/>
      <c r="N204" s="128">
        <v>52906812</v>
      </c>
      <c r="O204" s="449">
        <v>5.489999999999999E-2</v>
      </c>
      <c r="P204" s="33">
        <f t="shared" si="95"/>
        <v>55811396</v>
      </c>
      <c r="Q204" s="57">
        <f t="shared" si="96"/>
        <v>80.70837389805699</v>
      </c>
      <c r="R204" s="57">
        <f t="shared" si="97"/>
        <v>1.7916261019430095</v>
      </c>
      <c r="S204" s="88">
        <f t="shared" si="98"/>
        <v>0</v>
      </c>
      <c r="T204" s="33">
        <f t="shared" si="99"/>
        <v>0</v>
      </c>
      <c r="U204" s="9">
        <f t="shared" si="100"/>
        <v>0</v>
      </c>
      <c r="V204" s="9">
        <f t="shared" si="86"/>
        <v>0</v>
      </c>
      <c r="W204" s="9">
        <f t="shared" si="101"/>
        <v>0</v>
      </c>
      <c r="X204" s="127">
        <f>MIN(H204*parameters!C$22,ROUND(P204+T204-V204+W204,0))</f>
        <v>55811396</v>
      </c>
      <c r="Y204" s="94">
        <f t="shared" si="102"/>
        <v>80.70837389805699</v>
      </c>
      <c r="AA204" s="33">
        <f t="shared" si="103"/>
        <v>-1238944</v>
      </c>
      <c r="AB204" s="33">
        <f t="shared" si="104"/>
        <v>-1238944</v>
      </c>
      <c r="AC204" s="33">
        <f t="shared" si="105"/>
        <v>0</v>
      </c>
      <c r="AD204" s="57">
        <f t="shared" si="106"/>
        <v>-1.7916261019430095</v>
      </c>
      <c r="AG204" s="609" t="str">
        <f t="shared" si="107"/>
        <v>198</v>
      </c>
      <c r="AH204" s="388" t="str">
        <f t="shared" si="108"/>
        <v>Natick</v>
      </c>
      <c r="AI204" s="380">
        <f t="shared" si="109"/>
        <v>1.1967100454733601</v>
      </c>
      <c r="AJ204" s="381">
        <f t="shared" si="87"/>
        <v>82.5</v>
      </c>
      <c r="AK204" s="380">
        <f t="shared" si="110"/>
        <v>5.489999999999999E-2</v>
      </c>
      <c r="AL204" s="9">
        <f t="shared" si="88"/>
        <v>55811396</v>
      </c>
      <c r="AM204" s="57">
        <f t="shared" si="111"/>
        <v>-1.7916261019430095</v>
      </c>
    </row>
    <row r="205" spans="1:39" ht="12.75" customHeight="1">
      <c r="A205" s="6">
        <v>199</v>
      </c>
      <c r="B205" s="6" t="s">
        <v>880</v>
      </c>
      <c r="C205" s="81">
        <v>12307796200</v>
      </c>
      <c r="D205" s="81">
        <f t="shared" si="89"/>
        <v>48069428.575973742</v>
      </c>
      <c r="E205" s="8">
        <v>5455217000</v>
      </c>
      <c r="F205" s="81">
        <f t="shared" si="112"/>
        <v>78074523.021367699</v>
      </c>
      <c r="G205" s="81">
        <f t="shared" si="90"/>
        <v>126143952</v>
      </c>
      <c r="H205" s="127">
        <f t="shared" si="91"/>
        <v>73813098.758714646</v>
      </c>
      <c r="I205" s="347">
        <f t="shared" si="92"/>
        <v>1.70896431827565</v>
      </c>
      <c r="J205" s="33">
        <f t="shared" si="85"/>
        <v>60895806</v>
      </c>
      <c r="K205" s="33">
        <f t="shared" si="93"/>
        <v>60895806</v>
      </c>
      <c r="L205" s="126">
        <f t="shared" si="94"/>
        <v>82.5</v>
      </c>
      <c r="M205" s="470"/>
      <c r="N205" s="128">
        <v>58139306</v>
      </c>
      <c r="O205" s="449">
        <v>5.8200000000000002E-2</v>
      </c>
      <c r="P205" s="33">
        <f t="shared" si="95"/>
        <v>61523014</v>
      </c>
      <c r="Q205" s="57">
        <f t="shared" si="96"/>
        <v>83.349723876395814</v>
      </c>
      <c r="R205" s="57">
        <f t="shared" si="97"/>
        <v>0</v>
      </c>
      <c r="S205" s="88">
        <f t="shared" si="98"/>
        <v>0</v>
      </c>
      <c r="T205" s="33">
        <f t="shared" si="99"/>
        <v>0</v>
      </c>
      <c r="U205" s="9">
        <f t="shared" si="100"/>
        <v>627208</v>
      </c>
      <c r="V205" s="9">
        <f t="shared" si="86"/>
        <v>627208</v>
      </c>
      <c r="W205" s="9">
        <f t="shared" si="101"/>
        <v>0</v>
      </c>
      <c r="X205" s="127">
        <f>MIN(H205*parameters!C$22,ROUND(P205+T205-V205+W205,0))</f>
        <v>60895806</v>
      </c>
      <c r="Y205" s="94">
        <f t="shared" si="102"/>
        <v>82.499999355209866</v>
      </c>
      <c r="AA205" s="33">
        <f t="shared" si="103"/>
        <v>0</v>
      </c>
      <c r="AB205" s="33">
        <f t="shared" si="104"/>
        <v>0</v>
      </c>
      <c r="AC205" s="33">
        <f t="shared" si="105"/>
        <v>0</v>
      </c>
      <c r="AD205" s="57">
        <f t="shared" si="106"/>
        <v>-6.4479013417440001E-7</v>
      </c>
      <c r="AG205" s="609" t="str">
        <f t="shared" si="107"/>
        <v>199</v>
      </c>
      <c r="AH205" s="388" t="str">
        <f t="shared" si="108"/>
        <v>Needham</v>
      </c>
      <c r="AI205" s="380">
        <f t="shared" si="109"/>
        <v>1.70896431827565</v>
      </c>
      <c r="AJ205" s="381">
        <f t="shared" si="87"/>
        <v>82.5</v>
      </c>
      <c r="AK205" s="380">
        <f t="shared" si="110"/>
        <v>5.8200000000000002E-2</v>
      </c>
      <c r="AL205" s="9">
        <f t="shared" si="88"/>
        <v>60895806</v>
      </c>
      <c r="AM205" s="57">
        <f t="shared" si="111"/>
        <v>-6.4479013417440001E-7</v>
      </c>
    </row>
    <row r="206" spans="1:39" ht="12.75" customHeight="1">
      <c r="A206" s="6">
        <v>200</v>
      </c>
      <c r="B206" s="6" t="s">
        <v>881</v>
      </c>
      <c r="C206" s="81">
        <v>42627400</v>
      </c>
      <c r="D206" s="81">
        <f t="shared" si="89"/>
        <v>166485.91887469369</v>
      </c>
      <c r="E206" s="8">
        <v>8667000</v>
      </c>
      <c r="F206" s="81">
        <f t="shared" si="112"/>
        <v>124041.24181058128</v>
      </c>
      <c r="G206" s="81">
        <f t="shared" si="90"/>
        <v>290527</v>
      </c>
      <c r="H206" s="127">
        <f t="shared" si="91"/>
        <v>183449.93</v>
      </c>
      <c r="I206" s="347">
        <f t="shared" si="92"/>
        <v>1.5836855320686141</v>
      </c>
      <c r="J206" s="33">
        <f t="shared" si="85"/>
        <v>151346</v>
      </c>
      <c r="K206" s="33">
        <f t="shared" si="93"/>
        <v>151346</v>
      </c>
      <c r="L206" s="126">
        <f t="shared" si="94"/>
        <v>82.5</v>
      </c>
      <c r="M206" s="470"/>
      <c r="N206" s="128">
        <v>184328</v>
      </c>
      <c r="O206" s="449">
        <v>2.8899999999999995E-2</v>
      </c>
      <c r="P206" s="33">
        <f t="shared" si="95"/>
        <v>189655</v>
      </c>
      <c r="Q206" s="57">
        <f t="shared" si="96"/>
        <v>103.38243247081098</v>
      </c>
      <c r="R206" s="57">
        <f t="shared" si="97"/>
        <v>0</v>
      </c>
      <c r="S206" s="88">
        <f t="shared" si="98"/>
        <v>0</v>
      </c>
      <c r="T206" s="33">
        <f t="shared" si="99"/>
        <v>0</v>
      </c>
      <c r="U206" s="9">
        <f t="shared" si="100"/>
        <v>38309</v>
      </c>
      <c r="V206" s="9">
        <f t="shared" si="86"/>
        <v>38309</v>
      </c>
      <c r="W206" s="9">
        <f t="shared" si="101"/>
        <v>0</v>
      </c>
      <c r="X206" s="127">
        <f>MIN(H206*parameters!C$22,ROUND(P206+T206-V206+W206,0))</f>
        <v>151346</v>
      </c>
      <c r="Y206" s="94">
        <f t="shared" si="102"/>
        <v>82.499895203012613</v>
      </c>
      <c r="AA206" s="33">
        <f t="shared" si="103"/>
        <v>0</v>
      </c>
      <c r="AB206" s="33">
        <f t="shared" si="104"/>
        <v>0</v>
      </c>
      <c r="AC206" s="33">
        <f t="shared" si="105"/>
        <v>0</v>
      </c>
      <c r="AD206" s="57">
        <f t="shared" si="106"/>
        <v>-1.0479698738663501E-4</v>
      </c>
      <c r="AG206" s="609" t="str">
        <f t="shared" si="107"/>
        <v>200</v>
      </c>
      <c r="AH206" s="388" t="str">
        <f t="shared" si="108"/>
        <v>New Ashford</v>
      </c>
      <c r="AI206" s="380">
        <f t="shared" si="109"/>
        <v>1.5836855320686141</v>
      </c>
      <c r="AJ206" s="381">
        <f t="shared" si="87"/>
        <v>82.5</v>
      </c>
      <c r="AK206" s="380">
        <f t="shared" si="110"/>
        <v>2.8899999999999995E-2</v>
      </c>
      <c r="AL206" s="9">
        <f t="shared" si="88"/>
        <v>151346</v>
      </c>
      <c r="AM206" s="57">
        <f t="shared" si="111"/>
        <v>-1.0479698738663501E-4</v>
      </c>
    </row>
    <row r="207" spans="1:39" ht="12.75" customHeight="1">
      <c r="A207" s="6">
        <v>201</v>
      </c>
      <c r="B207" s="6" t="s">
        <v>882</v>
      </c>
      <c r="C207" s="81">
        <v>8074839600</v>
      </c>
      <c r="D207" s="81">
        <f t="shared" si="89"/>
        <v>31537158.976896644</v>
      </c>
      <c r="E207" s="8">
        <v>2177490000</v>
      </c>
      <c r="F207" s="81">
        <f t="shared" si="112"/>
        <v>31164020.264234759</v>
      </c>
      <c r="G207" s="81">
        <f t="shared" si="90"/>
        <v>62701179</v>
      </c>
      <c r="H207" s="127">
        <f t="shared" si="91"/>
        <v>313501021.17528081</v>
      </c>
      <c r="I207" s="347">
        <f t="shared" si="92"/>
        <v>0.20000310928793846</v>
      </c>
      <c r="J207" s="33">
        <f t="shared" si="85"/>
        <v>258638342</v>
      </c>
      <c r="K207" s="33">
        <f t="shared" si="93"/>
        <v>62701179</v>
      </c>
      <c r="L207" s="126">
        <f t="shared" si="94"/>
        <v>20</v>
      </c>
      <c r="M207" s="470"/>
      <c r="N207" s="128">
        <v>40837707</v>
      </c>
      <c r="O207" s="449">
        <v>5.5800000000000002E-2</v>
      </c>
      <c r="P207" s="33">
        <f t="shared" si="95"/>
        <v>43116451</v>
      </c>
      <c r="Q207" s="57">
        <f t="shared" si="96"/>
        <v>13.753209108653353</v>
      </c>
      <c r="R207" s="57">
        <f t="shared" si="97"/>
        <v>6.246790891346647</v>
      </c>
      <c r="S207" s="88">
        <f t="shared" si="98"/>
        <v>0.01</v>
      </c>
      <c r="T207" s="33">
        <f t="shared" si="99"/>
        <v>408377</v>
      </c>
      <c r="U207" s="9">
        <f t="shared" si="100"/>
        <v>0</v>
      </c>
      <c r="V207" s="9">
        <f t="shared" si="86"/>
        <v>0</v>
      </c>
      <c r="W207" s="9">
        <f t="shared" si="101"/>
        <v>0</v>
      </c>
      <c r="X207" s="127">
        <f>MIN(H207*parameters!C$22,ROUND(P207+T207-V207+W207,0))</f>
        <v>43524828</v>
      </c>
      <c r="Y207" s="94">
        <f t="shared" si="102"/>
        <v>13.883472480194868</v>
      </c>
      <c r="AA207" s="33">
        <f t="shared" si="103"/>
        <v>-19584728</v>
      </c>
      <c r="AB207" s="33">
        <f t="shared" si="104"/>
        <v>-19176351</v>
      </c>
      <c r="AC207" s="33">
        <f t="shared" si="105"/>
        <v>0</v>
      </c>
      <c r="AD207" s="57">
        <f t="shared" si="106"/>
        <v>-6.1165275198051319</v>
      </c>
      <c r="AG207" s="609" t="str">
        <f t="shared" si="107"/>
        <v>201</v>
      </c>
      <c r="AH207" s="388" t="str">
        <f t="shared" si="108"/>
        <v>New Bedford</v>
      </c>
      <c r="AI207" s="380">
        <f t="shared" si="109"/>
        <v>0.20000310928793846</v>
      </c>
      <c r="AJ207" s="381">
        <f t="shared" si="87"/>
        <v>20</v>
      </c>
      <c r="AK207" s="380">
        <f t="shared" si="110"/>
        <v>5.5800000000000002E-2</v>
      </c>
      <c r="AL207" s="9">
        <f t="shared" si="88"/>
        <v>43524828</v>
      </c>
      <c r="AM207" s="57">
        <f t="shared" si="111"/>
        <v>-6.1165275198051319</v>
      </c>
    </row>
    <row r="208" spans="1:39" ht="12.75" customHeight="1">
      <c r="A208" s="6">
        <v>202</v>
      </c>
      <c r="B208" s="6" t="s">
        <v>883</v>
      </c>
      <c r="C208" s="81">
        <v>134349700</v>
      </c>
      <c r="D208" s="81">
        <f t="shared" si="89"/>
        <v>524717.27703400713</v>
      </c>
      <c r="E208" s="8">
        <v>46044000</v>
      </c>
      <c r="F208" s="81">
        <f t="shared" si="112"/>
        <v>658977.14756275585</v>
      </c>
      <c r="G208" s="81">
        <f t="shared" si="90"/>
        <v>1183694</v>
      </c>
      <c r="H208" s="127">
        <f t="shared" si="91"/>
        <v>1711097.2327594452</v>
      </c>
      <c r="I208" s="347">
        <f t="shared" si="92"/>
        <v>0.69177483157464126</v>
      </c>
      <c r="J208" s="33">
        <f t="shared" si="85"/>
        <v>1411655</v>
      </c>
      <c r="K208" s="33">
        <f t="shared" si="93"/>
        <v>1183694</v>
      </c>
      <c r="L208" s="126">
        <f t="shared" si="94"/>
        <v>69.180000000000007</v>
      </c>
      <c r="M208" s="470"/>
      <c r="N208" s="128">
        <v>1078541</v>
      </c>
      <c r="O208" s="449">
        <v>3.5900000000000001E-2</v>
      </c>
      <c r="P208" s="33">
        <f t="shared" si="95"/>
        <v>1117261</v>
      </c>
      <c r="Q208" s="57">
        <f t="shared" si="96"/>
        <v>65.295003615792197</v>
      </c>
      <c r="R208" s="57">
        <f t="shared" si="97"/>
        <v>3.8849963842078097</v>
      </c>
      <c r="S208" s="88">
        <f t="shared" si="98"/>
        <v>0.01</v>
      </c>
      <c r="T208" s="33">
        <f t="shared" si="99"/>
        <v>10785</v>
      </c>
      <c r="U208" s="9">
        <f t="shared" si="100"/>
        <v>0</v>
      </c>
      <c r="V208" s="9">
        <f t="shared" si="86"/>
        <v>0</v>
      </c>
      <c r="W208" s="9">
        <f t="shared" si="101"/>
        <v>0</v>
      </c>
      <c r="X208" s="127">
        <f>MIN(H208*parameters!C$22,ROUND(P208+T208-V208+W208,0))</f>
        <v>1128046</v>
      </c>
      <c r="Y208" s="94">
        <f t="shared" si="102"/>
        <v>65.925300935752631</v>
      </c>
      <c r="AA208" s="33">
        <f t="shared" si="103"/>
        <v>-66433</v>
      </c>
      <c r="AB208" s="33">
        <f t="shared" si="104"/>
        <v>-55648</v>
      </c>
      <c r="AC208" s="33">
        <f t="shared" si="105"/>
        <v>0</v>
      </c>
      <c r="AD208" s="57">
        <f t="shared" si="106"/>
        <v>-3.2546990642473759</v>
      </c>
      <c r="AG208" s="609" t="str">
        <f t="shared" si="107"/>
        <v>202</v>
      </c>
      <c r="AH208" s="388" t="str">
        <f t="shared" si="108"/>
        <v>New Braintree</v>
      </c>
      <c r="AI208" s="380">
        <f t="shared" si="109"/>
        <v>0.69177483157464126</v>
      </c>
      <c r="AJ208" s="381">
        <f t="shared" si="87"/>
        <v>69.180000000000007</v>
      </c>
      <c r="AK208" s="380">
        <f t="shared" si="110"/>
        <v>3.5900000000000001E-2</v>
      </c>
      <c r="AL208" s="9">
        <f t="shared" si="88"/>
        <v>1128046</v>
      </c>
      <c r="AM208" s="57">
        <f t="shared" si="111"/>
        <v>-3.2546990642473759</v>
      </c>
    </row>
    <row r="209" spans="1:39" ht="12.75" customHeight="1">
      <c r="A209" s="6">
        <v>203</v>
      </c>
      <c r="B209" s="6" t="s">
        <v>884</v>
      </c>
      <c r="C209" s="81">
        <v>2013812100</v>
      </c>
      <c r="D209" s="81">
        <f t="shared" si="89"/>
        <v>7865160.8568544295</v>
      </c>
      <c r="E209" s="8">
        <v>852808000</v>
      </c>
      <c r="F209" s="81">
        <f t="shared" si="112"/>
        <v>12205303.259028291</v>
      </c>
      <c r="G209" s="81">
        <f t="shared" si="90"/>
        <v>20070464</v>
      </c>
      <c r="H209" s="127">
        <f t="shared" si="91"/>
        <v>9020966.6129931454</v>
      </c>
      <c r="I209" s="347">
        <f t="shared" si="92"/>
        <v>2.2248684493623956</v>
      </c>
      <c r="J209" s="33">
        <f t="shared" si="85"/>
        <v>7442297</v>
      </c>
      <c r="K209" s="33">
        <f t="shared" si="93"/>
        <v>7442297</v>
      </c>
      <c r="L209" s="126">
        <f t="shared" si="94"/>
        <v>82.5</v>
      </c>
      <c r="M209" s="470"/>
      <c r="N209" s="128">
        <v>6859253</v>
      </c>
      <c r="O209" s="449">
        <v>4.3200000000000002E-2</v>
      </c>
      <c r="P209" s="33">
        <f t="shared" si="95"/>
        <v>7155573</v>
      </c>
      <c r="Q209" s="57">
        <f t="shared" si="96"/>
        <v>79.321577243104215</v>
      </c>
      <c r="R209" s="57">
        <f t="shared" si="97"/>
        <v>3.1784227568957846</v>
      </c>
      <c r="S209" s="88">
        <f t="shared" si="98"/>
        <v>0.01</v>
      </c>
      <c r="T209" s="33">
        <f t="shared" si="99"/>
        <v>68593</v>
      </c>
      <c r="U209" s="9">
        <f t="shared" si="100"/>
        <v>0</v>
      </c>
      <c r="V209" s="9">
        <f t="shared" si="86"/>
        <v>0</v>
      </c>
      <c r="W209" s="9">
        <f t="shared" si="101"/>
        <v>218131</v>
      </c>
      <c r="X209" s="127">
        <f>MIN(H209*parameters!C$22,ROUND(P209+T209-V209+W209,0))</f>
        <v>7442297</v>
      </c>
      <c r="Y209" s="94">
        <f t="shared" si="102"/>
        <v>82.499994948220461</v>
      </c>
      <c r="AA209" s="33">
        <f t="shared" si="103"/>
        <v>-286724</v>
      </c>
      <c r="AB209" s="33">
        <f t="shared" si="104"/>
        <v>0</v>
      </c>
      <c r="AC209" s="33">
        <f t="shared" si="105"/>
        <v>0</v>
      </c>
      <c r="AD209" s="57">
        <f t="shared" si="106"/>
        <v>-5.0517795386895159E-6</v>
      </c>
      <c r="AG209" s="609" t="str">
        <f t="shared" si="107"/>
        <v>203</v>
      </c>
      <c r="AH209" s="388" t="str">
        <f t="shared" si="108"/>
        <v>Newbury</v>
      </c>
      <c r="AI209" s="380">
        <f t="shared" si="109"/>
        <v>2.2248684493623956</v>
      </c>
      <c r="AJ209" s="381">
        <f t="shared" si="87"/>
        <v>82.5</v>
      </c>
      <c r="AK209" s="380">
        <f t="shared" si="110"/>
        <v>4.3200000000000002E-2</v>
      </c>
      <c r="AL209" s="9">
        <f t="shared" si="88"/>
        <v>7442297</v>
      </c>
      <c r="AM209" s="57">
        <f t="shared" si="111"/>
        <v>-5.0517795386895159E-6</v>
      </c>
    </row>
    <row r="210" spans="1:39" ht="12.75" customHeight="1">
      <c r="A210" s="6">
        <v>204</v>
      </c>
      <c r="B210" s="6" t="s">
        <v>885</v>
      </c>
      <c r="C210" s="81">
        <v>5656251800</v>
      </c>
      <c r="D210" s="81">
        <f t="shared" si="89"/>
        <v>22091102.865988545</v>
      </c>
      <c r="E210" s="8">
        <v>1630726000</v>
      </c>
      <c r="F210" s="81">
        <f t="shared" si="112"/>
        <v>23338788.288081456</v>
      </c>
      <c r="G210" s="81">
        <f t="shared" si="90"/>
        <v>45429891</v>
      </c>
      <c r="H210" s="127">
        <f t="shared" si="91"/>
        <v>28196432.777629785</v>
      </c>
      <c r="I210" s="347">
        <f t="shared" si="92"/>
        <v>1.6111928540138853</v>
      </c>
      <c r="J210" s="33">
        <f t="shared" si="85"/>
        <v>23262057</v>
      </c>
      <c r="K210" s="33">
        <f t="shared" si="93"/>
        <v>23262057</v>
      </c>
      <c r="L210" s="126">
        <f t="shared" si="94"/>
        <v>82.5</v>
      </c>
      <c r="M210" s="470"/>
      <c r="N210" s="128">
        <v>22266865</v>
      </c>
      <c r="O210" s="449">
        <v>4.3099999999999999E-2</v>
      </c>
      <c r="P210" s="33">
        <f t="shared" si="95"/>
        <v>23226567</v>
      </c>
      <c r="Q210" s="57">
        <f t="shared" si="96"/>
        <v>82.374132867003198</v>
      </c>
      <c r="R210" s="57">
        <f t="shared" si="97"/>
        <v>0.12586713299680241</v>
      </c>
      <c r="S210" s="88">
        <f t="shared" si="98"/>
        <v>0</v>
      </c>
      <c r="T210" s="33">
        <f t="shared" si="99"/>
        <v>0</v>
      </c>
      <c r="U210" s="9">
        <f t="shared" si="100"/>
        <v>0</v>
      </c>
      <c r="V210" s="9">
        <f t="shared" si="86"/>
        <v>0</v>
      </c>
      <c r="W210" s="9">
        <f t="shared" si="101"/>
        <v>0</v>
      </c>
      <c r="X210" s="127">
        <f>MIN(H210*parameters!C$22,ROUND(P210+T210-V210+W210,0))</f>
        <v>23226567</v>
      </c>
      <c r="Y210" s="94">
        <f t="shared" si="102"/>
        <v>82.374132867003198</v>
      </c>
      <c r="AA210" s="33">
        <f t="shared" si="103"/>
        <v>-35490</v>
      </c>
      <c r="AB210" s="33">
        <f t="shared" si="104"/>
        <v>-35490</v>
      </c>
      <c r="AC210" s="33">
        <f t="shared" si="105"/>
        <v>0</v>
      </c>
      <c r="AD210" s="57">
        <f t="shared" si="106"/>
        <v>-0.12586713299680241</v>
      </c>
      <c r="AG210" s="609" t="str">
        <f t="shared" si="107"/>
        <v>204</v>
      </c>
      <c r="AH210" s="388" t="str">
        <f t="shared" si="108"/>
        <v>Newburyport</v>
      </c>
      <c r="AI210" s="380">
        <f t="shared" si="109"/>
        <v>1.6111928540138853</v>
      </c>
      <c r="AJ210" s="381">
        <f t="shared" si="87"/>
        <v>82.5</v>
      </c>
      <c r="AK210" s="380">
        <f t="shared" si="110"/>
        <v>4.3099999999999999E-2</v>
      </c>
      <c r="AL210" s="9">
        <f t="shared" si="88"/>
        <v>23226567</v>
      </c>
      <c r="AM210" s="57">
        <f t="shared" si="111"/>
        <v>-0.12586713299680241</v>
      </c>
    </row>
    <row r="211" spans="1:39" ht="12.75" customHeight="1">
      <c r="A211" s="6">
        <v>205</v>
      </c>
      <c r="B211" s="6" t="s">
        <v>886</v>
      </c>
      <c r="C211" s="81">
        <v>606394600</v>
      </c>
      <c r="D211" s="81">
        <f t="shared" si="89"/>
        <v>2368339.6637292523</v>
      </c>
      <c r="E211" s="8">
        <v>64968000</v>
      </c>
      <c r="F211" s="81">
        <f t="shared" si="112"/>
        <v>929815.55301140482</v>
      </c>
      <c r="G211" s="81">
        <f t="shared" si="90"/>
        <v>3298155</v>
      </c>
      <c r="H211" s="127">
        <f t="shared" si="91"/>
        <v>1562618.7653067869</v>
      </c>
      <c r="I211" s="347">
        <f t="shared" si="92"/>
        <v>2.1106587692567982</v>
      </c>
      <c r="J211" s="33">
        <f t="shared" si="85"/>
        <v>1289160</v>
      </c>
      <c r="K211" s="33">
        <f t="shared" si="93"/>
        <v>1289160</v>
      </c>
      <c r="L211" s="126">
        <f t="shared" si="94"/>
        <v>82.5</v>
      </c>
      <c r="M211" s="470"/>
      <c r="N211" s="128">
        <v>1342951</v>
      </c>
      <c r="O211" s="449">
        <v>5.0599999999999999E-2</v>
      </c>
      <c r="P211" s="33">
        <f t="shared" si="95"/>
        <v>1410904</v>
      </c>
      <c r="Q211" s="57">
        <f t="shared" si="96"/>
        <v>90.290993000010403</v>
      </c>
      <c r="R211" s="57">
        <f t="shared" si="97"/>
        <v>0</v>
      </c>
      <c r="S211" s="88">
        <f t="shared" si="98"/>
        <v>0</v>
      </c>
      <c r="T211" s="33">
        <f t="shared" si="99"/>
        <v>0</v>
      </c>
      <c r="U211" s="9">
        <f t="shared" si="100"/>
        <v>121744</v>
      </c>
      <c r="V211" s="9">
        <f t="shared" si="86"/>
        <v>121744</v>
      </c>
      <c r="W211" s="9">
        <f t="shared" si="101"/>
        <v>0</v>
      </c>
      <c r="X211" s="127">
        <f>MIN(H211*parameters!C$22,ROUND(P211+T211-V211+W211,0))</f>
        <v>1289160</v>
      </c>
      <c r="Y211" s="94">
        <f t="shared" si="102"/>
        <v>82.499969194143205</v>
      </c>
      <c r="AA211" s="33">
        <f t="shared" si="103"/>
        <v>0</v>
      </c>
      <c r="AB211" s="33">
        <f t="shared" si="104"/>
        <v>0</v>
      </c>
      <c r="AC211" s="33">
        <f t="shared" si="105"/>
        <v>0</v>
      </c>
      <c r="AD211" s="57">
        <f t="shared" si="106"/>
        <v>-3.0805856795268483E-5</v>
      </c>
      <c r="AG211" s="609" t="str">
        <f t="shared" si="107"/>
        <v>205</v>
      </c>
      <c r="AH211" s="388" t="str">
        <f t="shared" si="108"/>
        <v>New Marlborough</v>
      </c>
      <c r="AI211" s="380">
        <f t="shared" si="109"/>
        <v>2.1106587692567982</v>
      </c>
      <c r="AJ211" s="381">
        <f t="shared" si="87"/>
        <v>82.5</v>
      </c>
      <c r="AK211" s="380">
        <f t="shared" si="110"/>
        <v>5.0599999999999999E-2</v>
      </c>
      <c r="AL211" s="9">
        <f t="shared" si="88"/>
        <v>1289160</v>
      </c>
      <c r="AM211" s="57">
        <f t="shared" si="111"/>
        <v>-3.0805856795268483E-5</v>
      </c>
    </row>
    <row r="212" spans="1:39" ht="12.75" customHeight="1">
      <c r="A212" s="6">
        <v>206</v>
      </c>
      <c r="B212" s="6" t="s">
        <v>887</v>
      </c>
      <c r="C212" s="81">
        <v>134880400</v>
      </c>
      <c r="D212" s="81">
        <f t="shared" si="89"/>
        <v>526789.98325457878</v>
      </c>
      <c r="E212" s="8">
        <v>30469000</v>
      </c>
      <c r="F212" s="81">
        <f t="shared" si="112"/>
        <v>436069.29695703258</v>
      </c>
      <c r="G212" s="81">
        <f t="shared" si="90"/>
        <v>962859</v>
      </c>
      <c r="H212" s="127">
        <f t="shared" si="91"/>
        <v>1401358.2881666042</v>
      </c>
      <c r="I212" s="347">
        <f t="shared" si="92"/>
        <v>0.68708981002974445</v>
      </c>
      <c r="J212" s="33">
        <f t="shared" si="85"/>
        <v>1156121</v>
      </c>
      <c r="K212" s="33">
        <f t="shared" si="93"/>
        <v>962859</v>
      </c>
      <c r="L212" s="126">
        <f t="shared" si="94"/>
        <v>68.709999999999994</v>
      </c>
      <c r="M212" s="470"/>
      <c r="N212" s="128">
        <v>865629</v>
      </c>
      <c r="O212" s="449">
        <v>2.6699999999999998E-2</v>
      </c>
      <c r="P212" s="33">
        <f t="shared" si="95"/>
        <v>888741</v>
      </c>
      <c r="Q212" s="57">
        <f t="shared" si="96"/>
        <v>63.419969575570789</v>
      </c>
      <c r="R212" s="57">
        <f t="shared" si="97"/>
        <v>5.2900304244292045</v>
      </c>
      <c r="S212" s="88">
        <f t="shared" si="98"/>
        <v>0.01</v>
      </c>
      <c r="T212" s="33">
        <f t="shared" si="99"/>
        <v>8656</v>
      </c>
      <c r="U212" s="9">
        <f t="shared" si="100"/>
        <v>0</v>
      </c>
      <c r="V212" s="9">
        <f t="shared" si="86"/>
        <v>0</v>
      </c>
      <c r="W212" s="9">
        <f t="shared" si="101"/>
        <v>0</v>
      </c>
      <c r="X212" s="127">
        <f>MIN(H212*parameters!C$22,ROUND(P212+T212-V212+W212,0))</f>
        <v>897397</v>
      </c>
      <c r="Y212" s="94">
        <f t="shared" si="102"/>
        <v>64.037656006877697</v>
      </c>
      <c r="AA212" s="33">
        <f t="shared" si="103"/>
        <v>-74118</v>
      </c>
      <c r="AB212" s="33">
        <f t="shared" si="104"/>
        <v>-65462</v>
      </c>
      <c r="AC212" s="33">
        <f t="shared" si="105"/>
        <v>0</v>
      </c>
      <c r="AD212" s="57">
        <f t="shared" si="106"/>
        <v>-4.672343993122297</v>
      </c>
      <c r="AG212" s="609" t="str">
        <f t="shared" si="107"/>
        <v>206</v>
      </c>
      <c r="AH212" s="388" t="str">
        <f t="shared" si="108"/>
        <v>New Salem</v>
      </c>
      <c r="AI212" s="380">
        <f t="shared" si="109"/>
        <v>0.68708981002974445</v>
      </c>
      <c r="AJ212" s="381">
        <f t="shared" si="87"/>
        <v>68.709999999999994</v>
      </c>
      <c r="AK212" s="380">
        <f t="shared" si="110"/>
        <v>2.6699999999999998E-2</v>
      </c>
      <c r="AL212" s="9">
        <f t="shared" si="88"/>
        <v>897397</v>
      </c>
      <c r="AM212" s="57">
        <f t="shared" si="111"/>
        <v>-4.672343993122297</v>
      </c>
    </row>
    <row r="213" spans="1:39" ht="12.75" customHeight="1">
      <c r="A213" s="6">
        <v>207</v>
      </c>
      <c r="B213" s="6" t="s">
        <v>888</v>
      </c>
      <c r="C213" s="81">
        <v>36300210300</v>
      </c>
      <c r="D213" s="81">
        <f t="shared" si="89"/>
        <v>141774395.50946385</v>
      </c>
      <c r="E213" s="8">
        <v>20914273000</v>
      </c>
      <c r="F213" s="81">
        <f t="shared" si="112"/>
        <v>299322994.63315004</v>
      </c>
      <c r="G213" s="81">
        <f t="shared" si="90"/>
        <v>441097390</v>
      </c>
      <c r="H213" s="127">
        <f t="shared" si="91"/>
        <v>159609730.37020001</v>
      </c>
      <c r="I213" s="347">
        <f t="shared" si="92"/>
        <v>2.7635996187507827</v>
      </c>
      <c r="J213" s="33">
        <f t="shared" si="85"/>
        <v>131678028</v>
      </c>
      <c r="K213" s="33">
        <f t="shared" si="93"/>
        <v>131678028</v>
      </c>
      <c r="L213" s="126">
        <f t="shared" si="94"/>
        <v>82.5</v>
      </c>
      <c r="M213" s="470"/>
      <c r="N213" s="128">
        <v>129330798</v>
      </c>
      <c r="O213" s="449">
        <v>4.3200000000000002E-2</v>
      </c>
      <c r="P213" s="33">
        <f t="shared" si="95"/>
        <v>134917888</v>
      </c>
      <c r="Q213" s="57">
        <f t="shared" si="96"/>
        <v>84.529863992045122</v>
      </c>
      <c r="R213" s="57">
        <f t="shared" si="97"/>
        <v>0</v>
      </c>
      <c r="S213" s="88">
        <f t="shared" si="98"/>
        <v>0</v>
      </c>
      <c r="T213" s="33">
        <f t="shared" si="99"/>
        <v>0</v>
      </c>
      <c r="U213" s="9">
        <f t="shared" si="100"/>
        <v>3239860</v>
      </c>
      <c r="V213" s="9">
        <f t="shared" si="86"/>
        <v>3239860</v>
      </c>
      <c r="W213" s="9">
        <f t="shared" si="101"/>
        <v>0</v>
      </c>
      <c r="X213" s="127">
        <f>MIN(H213*parameters!C$22,ROUND(P213+T213-V213+W213,0))</f>
        <v>131678028</v>
      </c>
      <c r="Y213" s="94">
        <f t="shared" si="102"/>
        <v>82.500000278545045</v>
      </c>
      <c r="AA213" s="33">
        <f t="shared" si="103"/>
        <v>0</v>
      </c>
      <c r="AB213" s="33">
        <f t="shared" si="104"/>
        <v>0</v>
      </c>
      <c r="AC213" s="33">
        <f t="shared" si="105"/>
        <v>0</v>
      </c>
      <c r="AD213" s="57">
        <f t="shared" si="106"/>
        <v>2.7854504480728792E-7</v>
      </c>
      <c r="AG213" s="609" t="str">
        <f t="shared" si="107"/>
        <v>207</v>
      </c>
      <c r="AH213" s="388" t="str">
        <f t="shared" si="108"/>
        <v>Newton</v>
      </c>
      <c r="AI213" s="380">
        <f t="shared" si="109"/>
        <v>2.7635996187507827</v>
      </c>
      <c r="AJ213" s="381">
        <f t="shared" si="87"/>
        <v>82.5</v>
      </c>
      <c r="AK213" s="380">
        <f t="shared" si="110"/>
        <v>4.3200000000000002E-2</v>
      </c>
      <c r="AL213" s="9">
        <f t="shared" si="88"/>
        <v>131678028</v>
      </c>
      <c r="AM213" s="57">
        <f t="shared" si="111"/>
        <v>2.7854504480728792E-7</v>
      </c>
    </row>
    <row r="214" spans="1:39" ht="12.75" customHeight="1">
      <c r="A214" s="6">
        <v>208</v>
      </c>
      <c r="B214" s="6" t="s">
        <v>889</v>
      </c>
      <c r="C214" s="81">
        <v>2184884400</v>
      </c>
      <c r="D214" s="81">
        <f t="shared" si="89"/>
        <v>8533302.2180330902</v>
      </c>
      <c r="E214" s="8">
        <v>856429000</v>
      </c>
      <c r="F214" s="81">
        <f t="shared" si="112"/>
        <v>12257126.650812775</v>
      </c>
      <c r="G214" s="81">
        <f t="shared" si="90"/>
        <v>20790429</v>
      </c>
      <c r="H214" s="127">
        <f t="shared" si="91"/>
        <v>22961642.454447191</v>
      </c>
      <c r="I214" s="347">
        <f t="shared" si="92"/>
        <v>0.90544171834595077</v>
      </c>
      <c r="J214" s="33">
        <f t="shared" si="85"/>
        <v>18943355</v>
      </c>
      <c r="K214" s="33">
        <f t="shared" si="93"/>
        <v>18943355</v>
      </c>
      <c r="L214" s="126">
        <f t="shared" si="94"/>
        <v>82.5</v>
      </c>
      <c r="M214" s="470"/>
      <c r="N214" s="128">
        <v>16917341</v>
      </c>
      <c r="O214" s="449">
        <v>4.7400000000000005E-2</v>
      </c>
      <c r="P214" s="33">
        <f t="shared" si="95"/>
        <v>17719223</v>
      </c>
      <c r="Q214" s="57">
        <f t="shared" si="96"/>
        <v>77.168795895818661</v>
      </c>
      <c r="R214" s="57">
        <f t="shared" si="97"/>
        <v>5.3312041041813387</v>
      </c>
      <c r="S214" s="88">
        <f t="shared" si="98"/>
        <v>0.01</v>
      </c>
      <c r="T214" s="33">
        <f t="shared" si="99"/>
        <v>169173</v>
      </c>
      <c r="U214" s="9">
        <f t="shared" si="100"/>
        <v>0</v>
      </c>
      <c r="V214" s="9">
        <f t="shared" si="86"/>
        <v>0</v>
      </c>
      <c r="W214" s="9">
        <f t="shared" si="101"/>
        <v>0</v>
      </c>
      <c r="X214" s="127">
        <f>MIN(H214*parameters!C$22,ROUND(P214+T214-V214+W214,0))</f>
        <v>17888396</v>
      </c>
      <c r="Y214" s="94">
        <f t="shared" si="102"/>
        <v>77.90555939318439</v>
      </c>
      <c r="AA214" s="33">
        <f t="shared" si="103"/>
        <v>-1224132</v>
      </c>
      <c r="AB214" s="33">
        <f t="shared" si="104"/>
        <v>-1054959</v>
      </c>
      <c r="AC214" s="33">
        <f t="shared" si="105"/>
        <v>0</v>
      </c>
      <c r="AD214" s="57">
        <f t="shared" si="106"/>
        <v>-4.5944406068156098</v>
      </c>
      <c r="AG214" s="609" t="str">
        <f t="shared" si="107"/>
        <v>208</v>
      </c>
      <c r="AH214" s="388" t="str">
        <f t="shared" si="108"/>
        <v>Norfolk</v>
      </c>
      <c r="AI214" s="380">
        <f t="shared" si="109"/>
        <v>0.90544171834595077</v>
      </c>
      <c r="AJ214" s="381">
        <f t="shared" si="87"/>
        <v>82.5</v>
      </c>
      <c r="AK214" s="380">
        <f t="shared" si="110"/>
        <v>4.7400000000000005E-2</v>
      </c>
      <c r="AL214" s="9">
        <f t="shared" si="88"/>
        <v>17888396</v>
      </c>
      <c r="AM214" s="57">
        <f t="shared" si="111"/>
        <v>-4.5944406068156098</v>
      </c>
    </row>
    <row r="215" spans="1:39" ht="12.75" customHeight="1">
      <c r="A215" s="6">
        <v>209</v>
      </c>
      <c r="B215" s="6" t="s">
        <v>890</v>
      </c>
      <c r="C215" s="81">
        <v>884487200</v>
      </c>
      <c r="D215" s="81">
        <f t="shared" si="89"/>
        <v>3454460.3758358466</v>
      </c>
      <c r="E215" s="8">
        <v>255310000</v>
      </c>
      <c r="F215" s="81">
        <f t="shared" si="112"/>
        <v>3653971.3218714097</v>
      </c>
      <c r="G215" s="81">
        <f t="shared" si="90"/>
        <v>7108432</v>
      </c>
      <c r="H215" s="127">
        <f t="shared" si="91"/>
        <v>25748604.746618014</v>
      </c>
      <c r="I215" s="347">
        <f t="shared" si="92"/>
        <v>0.27607057042318639</v>
      </c>
      <c r="J215" s="33">
        <f t="shared" si="85"/>
        <v>21242599</v>
      </c>
      <c r="K215" s="33">
        <f t="shared" si="93"/>
        <v>7108432</v>
      </c>
      <c r="L215" s="126">
        <f t="shared" si="94"/>
        <v>27.61</v>
      </c>
      <c r="M215" s="470"/>
      <c r="N215" s="128">
        <v>6422403</v>
      </c>
      <c r="O215" s="449">
        <v>4.07E-2</v>
      </c>
      <c r="P215" s="33">
        <f t="shared" si="95"/>
        <v>6683795</v>
      </c>
      <c r="Q215" s="57">
        <f t="shared" si="96"/>
        <v>25.957891954817057</v>
      </c>
      <c r="R215" s="57">
        <f t="shared" si="97"/>
        <v>1.652108045182942</v>
      </c>
      <c r="S215" s="88">
        <f t="shared" si="98"/>
        <v>0</v>
      </c>
      <c r="T215" s="33">
        <f t="shared" si="99"/>
        <v>0</v>
      </c>
      <c r="U215" s="9">
        <f t="shared" si="100"/>
        <v>0</v>
      </c>
      <c r="V215" s="9">
        <f t="shared" si="86"/>
        <v>0</v>
      </c>
      <c r="W215" s="9">
        <f t="shared" si="101"/>
        <v>0</v>
      </c>
      <c r="X215" s="127">
        <f>MIN(H215*parameters!C$22,ROUND(P215+T215-V215+W215,0))</f>
        <v>6683795</v>
      </c>
      <c r="Y215" s="94">
        <f t="shared" si="102"/>
        <v>25.957891954817057</v>
      </c>
      <c r="AA215" s="33">
        <f t="shared" si="103"/>
        <v>-424637</v>
      </c>
      <c r="AB215" s="33">
        <f t="shared" si="104"/>
        <v>-424637</v>
      </c>
      <c r="AC215" s="33">
        <f t="shared" si="105"/>
        <v>0</v>
      </c>
      <c r="AD215" s="57">
        <f t="shared" si="106"/>
        <v>-1.652108045182942</v>
      </c>
      <c r="AG215" s="609" t="str">
        <f t="shared" si="107"/>
        <v>209</v>
      </c>
      <c r="AH215" s="388" t="str">
        <f t="shared" si="108"/>
        <v>North Adams</v>
      </c>
      <c r="AI215" s="380">
        <f t="shared" si="109"/>
        <v>0.27607057042318639</v>
      </c>
      <c r="AJ215" s="381">
        <f t="shared" si="87"/>
        <v>27.61</v>
      </c>
      <c r="AK215" s="380">
        <f t="shared" si="110"/>
        <v>4.07E-2</v>
      </c>
      <c r="AL215" s="9">
        <f t="shared" si="88"/>
        <v>6683795</v>
      </c>
      <c r="AM215" s="57">
        <f t="shared" si="111"/>
        <v>-1.652108045182942</v>
      </c>
    </row>
    <row r="216" spans="1:39" ht="12.75" customHeight="1">
      <c r="A216" s="6">
        <v>210</v>
      </c>
      <c r="B216" s="6" t="s">
        <v>891</v>
      </c>
      <c r="C216" s="81">
        <v>4233284000</v>
      </c>
      <c r="D216" s="81">
        <f t="shared" si="89"/>
        <v>16533548.295170214</v>
      </c>
      <c r="E216" s="8">
        <v>1345315000</v>
      </c>
      <c r="F216" s="81">
        <f t="shared" si="112"/>
        <v>19254014.448644534</v>
      </c>
      <c r="G216" s="81">
        <f t="shared" si="90"/>
        <v>35787563</v>
      </c>
      <c r="H216" s="127">
        <f t="shared" si="91"/>
        <v>39772534.699999996</v>
      </c>
      <c r="I216" s="347">
        <f t="shared" si="92"/>
        <v>0.89980594070611253</v>
      </c>
      <c r="J216" s="33">
        <f t="shared" si="85"/>
        <v>32812341</v>
      </c>
      <c r="K216" s="33">
        <f t="shared" si="93"/>
        <v>32812341</v>
      </c>
      <c r="L216" s="126">
        <f t="shared" si="94"/>
        <v>82.5</v>
      </c>
      <c r="M216" s="470"/>
      <c r="N216" s="128">
        <v>30947493</v>
      </c>
      <c r="O216" s="449">
        <v>3.85E-2</v>
      </c>
      <c r="P216" s="33">
        <f t="shared" si="95"/>
        <v>32138971</v>
      </c>
      <c r="Q216" s="57">
        <f t="shared" si="96"/>
        <v>80.806946910527188</v>
      </c>
      <c r="R216" s="57">
        <f t="shared" si="97"/>
        <v>1.6930530894728122</v>
      </c>
      <c r="S216" s="88">
        <f t="shared" si="98"/>
        <v>0</v>
      </c>
      <c r="T216" s="33">
        <f t="shared" si="99"/>
        <v>0</v>
      </c>
      <c r="U216" s="9">
        <f t="shared" si="100"/>
        <v>0</v>
      </c>
      <c r="V216" s="9">
        <f t="shared" si="86"/>
        <v>0</v>
      </c>
      <c r="W216" s="9">
        <f t="shared" si="101"/>
        <v>0</v>
      </c>
      <c r="X216" s="127">
        <f>MIN(H216*parameters!C$22,ROUND(P216+T216-V216+W216,0))</f>
        <v>32138971</v>
      </c>
      <c r="Y216" s="94">
        <f t="shared" si="102"/>
        <v>80.806946910527188</v>
      </c>
      <c r="AA216" s="33">
        <f t="shared" si="103"/>
        <v>-673370</v>
      </c>
      <c r="AB216" s="33">
        <f t="shared" si="104"/>
        <v>-673370</v>
      </c>
      <c r="AC216" s="33">
        <f t="shared" si="105"/>
        <v>0</v>
      </c>
      <c r="AD216" s="57">
        <f t="shared" si="106"/>
        <v>-1.6930530894728122</v>
      </c>
      <c r="AG216" s="609" t="str">
        <f t="shared" si="107"/>
        <v>210</v>
      </c>
      <c r="AH216" s="388" t="str">
        <f t="shared" si="108"/>
        <v>Northampton</v>
      </c>
      <c r="AI216" s="380">
        <f t="shared" si="109"/>
        <v>0.89980594070611253</v>
      </c>
      <c r="AJ216" s="381">
        <f t="shared" si="87"/>
        <v>82.5</v>
      </c>
      <c r="AK216" s="380">
        <f t="shared" si="110"/>
        <v>3.85E-2</v>
      </c>
      <c r="AL216" s="9">
        <f t="shared" si="88"/>
        <v>32138971</v>
      </c>
      <c r="AM216" s="57">
        <f t="shared" si="111"/>
        <v>-1.6930530894728122</v>
      </c>
    </row>
    <row r="217" spans="1:39" ht="12.75" customHeight="1">
      <c r="A217" s="6">
        <v>211</v>
      </c>
      <c r="B217" s="6" t="s">
        <v>892</v>
      </c>
      <c r="C217" s="81">
        <v>6388823400</v>
      </c>
      <c r="D217" s="81">
        <f t="shared" si="89"/>
        <v>24952240.443403646</v>
      </c>
      <c r="E217" s="8">
        <v>2541360000</v>
      </c>
      <c r="F217" s="81">
        <f t="shared" si="112"/>
        <v>36371691.506604232</v>
      </c>
      <c r="G217" s="81">
        <f t="shared" si="90"/>
        <v>61323932</v>
      </c>
      <c r="H217" s="127">
        <f t="shared" si="91"/>
        <v>59954111.416664451</v>
      </c>
      <c r="I217" s="347">
        <f t="shared" si="92"/>
        <v>1.022847817288387</v>
      </c>
      <c r="J217" s="33">
        <f t="shared" si="85"/>
        <v>49462142</v>
      </c>
      <c r="K217" s="33">
        <f t="shared" si="93"/>
        <v>49462142</v>
      </c>
      <c r="L217" s="126">
        <f t="shared" si="94"/>
        <v>82.5</v>
      </c>
      <c r="M217" s="470"/>
      <c r="N217" s="128">
        <v>46392256</v>
      </c>
      <c r="O217" s="449">
        <v>4.0899999999999999E-2</v>
      </c>
      <c r="P217" s="33">
        <f t="shared" si="95"/>
        <v>48289699</v>
      </c>
      <c r="Q217" s="57">
        <f t="shared" si="96"/>
        <v>80.544432831970411</v>
      </c>
      <c r="R217" s="57">
        <f t="shared" si="97"/>
        <v>1.9555671680295887</v>
      </c>
      <c r="S217" s="88">
        <f t="shared" si="98"/>
        <v>0</v>
      </c>
      <c r="T217" s="33">
        <f t="shared" si="99"/>
        <v>0</v>
      </c>
      <c r="U217" s="9">
        <f t="shared" si="100"/>
        <v>0</v>
      </c>
      <c r="V217" s="9">
        <f t="shared" si="86"/>
        <v>0</v>
      </c>
      <c r="W217" s="9">
        <f t="shared" si="101"/>
        <v>0</v>
      </c>
      <c r="X217" s="127">
        <f>MIN(H217*parameters!C$22,ROUND(P217+T217-V217+W217,0))</f>
        <v>48289699</v>
      </c>
      <c r="Y217" s="94">
        <f t="shared" si="102"/>
        <v>80.544432831970411</v>
      </c>
      <c r="AA217" s="33">
        <f t="shared" si="103"/>
        <v>-1172443</v>
      </c>
      <c r="AB217" s="33">
        <f t="shared" si="104"/>
        <v>-1172443</v>
      </c>
      <c r="AC217" s="33">
        <f t="shared" si="105"/>
        <v>0</v>
      </c>
      <c r="AD217" s="57">
        <f t="shared" si="106"/>
        <v>-1.9555671680295887</v>
      </c>
      <c r="AG217" s="609" t="str">
        <f t="shared" si="107"/>
        <v>211</v>
      </c>
      <c r="AH217" s="388" t="str">
        <f t="shared" si="108"/>
        <v>North Andover</v>
      </c>
      <c r="AI217" s="380">
        <f t="shared" si="109"/>
        <v>1.022847817288387</v>
      </c>
      <c r="AJ217" s="381">
        <f t="shared" si="87"/>
        <v>82.5</v>
      </c>
      <c r="AK217" s="380">
        <f t="shared" si="110"/>
        <v>4.0899999999999999E-2</v>
      </c>
      <c r="AL217" s="9">
        <f t="shared" si="88"/>
        <v>48289699</v>
      </c>
      <c r="AM217" s="57">
        <f t="shared" si="111"/>
        <v>-1.9555671680295887</v>
      </c>
    </row>
    <row r="218" spans="1:39" ht="12.75" customHeight="1">
      <c r="A218" s="6">
        <v>212</v>
      </c>
      <c r="B218" s="6" t="s">
        <v>893</v>
      </c>
      <c r="C218" s="81">
        <v>4784669200</v>
      </c>
      <c r="D218" s="81">
        <f t="shared" si="89"/>
        <v>18687042.8004862</v>
      </c>
      <c r="E218" s="8">
        <v>1705460000</v>
      </c>
      <c r="F218" s="81">
        <f t="shared" si="112"/>
        <v>24408373.861575399</v>
      </c>
      <c r="G218" s="81">
        <f t="shared" si="90"/>
        <v>43095417</v>
      </c>
      <c r="H218" s="127">
        <f t="shared" si="91"/>
        <v>57861865.173593529</v>
      </c>
      <c r="I218" s="347">
        <f t="shared" si="92"/>
        <v>0.74479826861280463</v>
      </c>
      <c r="J218" s="33">
        <f t="shared" si="85"/>
        <v>47736039</v>
      </c>
      <c r="K218" s="33">
        <f t="shared" si="93"/>
        <v>43095417</v>
      </c>
      <c r="L218" s="126">
        <f t="shared" si="94"/>
        <v>74.48</v>
      </c>
      <c r="M218" s="470"/>
      <c r="N218" s="128">
        <v>35379415</v>
      </c>
      <c r="O218" s="449">
        <v>5.0599999999999999E-2</v>
      </c>
      <c r="P218" s="33">
        <f t="shared" si="95"/>
        <v>37169613</v>
      </c>
      <c r="Q218" s="57">
        <f t="shared" si="96"/>
        <v>64.238532388276923</v>
      </c>
      <c r="R218" s="57">
        <f t="shared" si="97"/>
        <v>10.241467611723081</v>
      </c>
      <c r="S218" s="88">
        <f t="shared" si="98"/>
        <v>0.02</v>
      </c>
      <c r="T218" s="33">
        <f t="shared" si="99"/>
        <v>707588</v>
      </c>
      <c r="U218" s="9">
        <f t="shared" si="100"/>
        <v>0</v>
      </c>
      <c r="V218" s="9">
        <f t="shared" si="86"/>
        <v>0</v>
      </c>
      <c r="W218" s="9">
        <f t="shared" si="101"/>
        <v>0</v>
      </c>
      <c r="X218" s="127">
        <f>MIN(H218*parameters!C$22,ROUND(P218+T218-V218+W218,0))</f>
        <v>37877201</v>
      </c>
      <c r="Y218" s="94">
        <f t="shared" si="102"/>
        <v>65.461424180439408</v>
      </c>
      <c r="AA218" s="33">
        <f t="shared" si="103"/>
        <v>-5925804</v>
      </c>
      <c r="AB218" s="33">
        <f t="shared" si="104"/>
        <v>-5218216</v>
      </c>
      <c r="AC218" s="33">
        <f t="shared" si="105"/>
        <v>0</v>
      </c>
      <c r="AD218" s="57">
        <f t="shared" si="106"/>
        <v>-9.0185758195605956</v>
      </c>
      <c r="AG218" s="609" t="str">
        <f t="shared" si="107"/>
        <v>212</v>
      </c>
      <c r="AH218" s="388" t="str">
        <f t="shared" si="108"/>
        <v>North Attleborough</v>
      </c>
      <c r="AI218" s="380">
        <f t="shared" si="109"/>
        <v>0.74479826861280463</v>
      </c>
      <c r="AJ218" s="381">
        <f t="shared" si="87"/>
        <v>74.48</v>
      </c>
      <c r="AK218" s="380">
        <f t="shared" si="110"/>
        <v>5.0599999999999999E-2</v>
      </c>
      <c r="AL218" s="9">
        <f t="shared" si="88"/>
        <v>37877201</v>
      </c>
      <c r="AM218" s="57">
        <f t="shared" si="111"/>
        <v>-9.0185758195605956</v>
      </c>
    </row>
    <row r="219" spans="1:39" ht="12.75" customHeight="1">
      <c r="A219" s="6">
        <v>213</v>
      </c>
      <c r="B219" s="6" t="s">
        <v>894</v>
      </c>
      <c r="C219" s="81">
        <v>3635129100</v>
      </c>
      <c r="D219" s="81">
        <f t="shared" si="89"/>
        <v>14197389.670532057</v>
      </c>
      <c r="E219" s="8">
        <v>1196132000</v>
      </c>
      <c r="F219" s="81">
        <f t="shared" si="112"/>
        <v>17118922.193304975</v>
      </c>
      <c r="G219" s="81">
        <f t="shared" si="90"/>
        <v>31316312</v>
      </c>
      <c r="H219" s="127">
        <f t="shared" si="91"/>
        <v>32727820.879101772</v>
      </c>
      <c r="I219" s="347">
        <f t="shared" si="92"/>
        <v>0.95687128439391189</v>
      </c>
      <c r="J219" s="33">
        <f t="shared" si="85"/>
        <v>27000452</v>
      </c>
      <c r="K219" s="33">
        <f t="shared" si="93"/>
        <v>27000452</v>
      </c>
      <c r="L219" s="126">
        <f t="shared" si="94"/>
        <v>82.5</v>
      </c>
      <c r="M219" s="470"/>
      <c r="N219" s="128">
        <v>25007957</v>
      </c>
      <c r="O219" s="449">
        <v>3.6999999999999998E-2</v>
      </c>
      <c r="P219" s="33">
        <f t="shared" si="95"/>
        <v>25933251</v>
      </c>
      <c r="Q219" s="57">
        <f t="shared" si="96"/>
        <v>79.239161983313039</v>
      </c>
      <c r="R219" s="57">
        <f t="shared" si="97"/>
        <v>3.2608380166869608</v>
      </c>
      <c r="S219" s="88">
        <f t="shared" si="98"/>
        <v>0.01</v>
      </c>
      <c r="T219" s="33">
        <f t="shared" si="99"/>
        <v>250080</v>
      </c>
      <c r="U219" s="9">
        <f t="shared" si="100"/>
        <v>0</v>
      </c>
      <c r="V219" s="9">
        <f t="shared" si="86"/>
        <v>0</v>
      </c>
      <c r="W219" s="9">
        <f t="shared" si="101"/>
        <v>0</v>
      </c>
      <c r="X219" s="127">
        <f>MIN(H219*parameters!C$22,ROUND(P219+T219-V219+W219,0))</f>
        <v>26183331</v>
      </c>
      <c r="Y219" s="94">
        <f t="shared" si="102"/>
        <v>80.003282518327609</v>
      </c>
      <c r="AA219" s="33">
        <f t="shared" si="103"/>
        <v>-1067201</v>
      </c>
      <c r="AB219" s="33">
        <f t="shared" si="104"/>
        <v>-817121</v>
      </c>
      <c r="AC219" s="33">
        <f t="shared" si="105"/>
        <v>0</v>
      </c>
      <c r="AD219" s="57">
        <f t="shared" si="106"/>
        <v>-2.4967174816723912</v>
      </c>
      <c r="AG219" s="609" t="str">
        <f t="shared" si="107"/>
        <v>213</v>
      </c>
      <c r="AH219" s="388" t="str">
        <f t="shared" si="108"/>
        <v>Northborough</v>
      </c>
      <c r="AI219" s="380">
        <f t="shared" si="109"/>
        <v>0.95687128439391189</v>
      </c>
      <c r="AJ219" s="381">
        <f t="shared" si="87"/>
        <v>82.5</v>
      </c>
      <c r="AK219" s="380">
        <f t="shared" si="110"/>
        <v>3.6999999999999998E-2</v>
      </c>
      <c r="AL219" s="9">
        <f t="shared" si="88"/>
        <v>26183331</v>
      </c>
      <c r="AM219" s="57">
        <f t="shared" si="111"/>
        <v>-2.4967174816723912</v>
      </c>
    </row>
    <row r="220" spans="1:39" ht="12.75" customHeight="1">
      <c r="A220" s="6">
        <v>214</v>
      </c>
      <c r="B220" s="6" t="s">
        <v>895</v>
      </c>
      <c r="C220" s="81">
        <v>2148275600</v>
      </c>
      <c r="D220" s="81">
        <f t="shared" si="89"/>
        <v>8390322.5920906253</v>
      </c>
      <c r="E220" s="8">
        <v>735000000</v>
      </c>
      <c r="F220" s="81">
        <f t="shared" si="112"/>
        <v>10519246.882517278</v>
      </c>
      <c r="G220" s="81">
        <f t="shared" si="90"/>
        <v>18909569</v>
      </c>
      <c r="H220" s="127">
        <f t="shared" si="91"/>
        <v>30834490.381760716</v>
      </c>
      <c r="I220" s="347">
        <f t="shared" si="92"/>
        <v>0.6132603057771121</v>
      </c>
      <c r="J220" s="33">
        <f t="shared" si="85"/>
        <v>25438455</v>
      </c>
      <c r="K220" s="33">
        <f t="shared" si="93"/>
        <v>18909569</v>
      </c>
      <c r="L220" s="126">
        <f t="shared" si="94"/>
        <v>61.33</v>
      </c>
      <c r="M220" s="470"/>
      <c r="N220" s="128">
        <v>15882550</v>
      </c>
      <c r="O220" s="449">
        <v>4.3099999999999999E-2</v>
      </c>
      <c r="P220" s="33">
        <f t="shared" si="95"/>
        <v>16567088</v>
      </c>
      <c r="Q220" s="57">
        <f t="shared" si="96"/>
        <v>53.729079984405381</v>
      </c>
      <c r="R220" s="57">
        <f t="shared" si="97"/>
        <v>7.6009200155946175</v>
      </c>
      <c r="S220" s="88">
        <f t="shared" si="98"/>
        <v>0.02</v>
      </c>
      <c r="T220" s="33">
        <f t="shared" si="99"/>
        <v>317651</v>
      </c>
      <c r="U220" s="9">
        <f t="shared" si="100"/>
        <v>0</v>
      </c>
      <c r="V220" s="9">
        <f t="shared" si="86"/>
        <v>0</v>
      </c>
      <c r="W220" s="9">
        <f t="shared" si="101"/>
        <v>0</v>
      </c>
      <c r="X220" s="127">
        <f>MIN(H220*parameters!C$22,ROUND(P220+T220-V220+W220,0))</f>
        <v>16884739</v>
      </c>
      <c r="Y220" s="94">
        <f t="shared" si="102"/>
        <v>54.75926078540833</v>
      </c>
      <c r="AA220" s="33">
        <f t="shared" si="103"/>
        <v>-2342481</v>
      </c>
      <c r="AB220" s="33">
        <f t="shared" si="104"/>
        <v>-2024830</v>
      </c>
      <c r="AC220" s="33">
        <f t="shared" si="105"/>
        <v>0</v>
      </c>
      <c r="AD220" s="57">
        <f t="shared" si="106"/>
        <v>-6.5707392145916685</v>
      </c>
      <c r="AG220" s="609" t="str">
        <f t="shared" si="107"/>
        <v>214</v>
      </c>
      <c r="AH220" s="388" t="str">
        <f t="shared" si="108"/>
        <v>Northbridge</v>
      </c>
      <c r="AI220" s="380">
        <f t="shared" si="109"/>
        <v>0.6132603057771121</v>
      </c>
      <c r="AJ220" s="381">
        <f t="shared" si="87"/>
        <v>61.33</v>
      </c>
      <c r="AK220" s="380">
        <f t="shared" si="110"/>
        <v>4.3099999999999999E-2</v>
      </c>
      <c r="AL220" s="9">
        <f t="shared" si="88"/>
        <v>16884739</v>
      </c>
      <c r="AM220" s="57">
        <f t="shared" si="111"/>
        <v>-6.5707392145916685</v>
      </c>
    </row>
    <row r="221" spans="1:39" ht="12.75" customHeight="1">
      <c r="A221" s="6">
        <v>215</v>
      </c>
      <c r="B221" s="6" t="s">
        <v>896</v>
      </c>
      <c r="C221" s="81">
        <v>548749600</v>
      </c>
      <c r="D221" s="81">
        <f t="shared" si="89"/>
        <v>2143200.8845981834</v>
      </c>
      <c r="E221" s="8">
        <v>162744000</v>
      </c>
      <c r="F221" s="81">
        <f t="shared" si="112"/>
        <v>2329175.938297132</v>
      </c>
      <c r="G221" s="81">
        <f t="shared" si="90"/>
        <v>4472377</v>
      </c>
      <c r="H221" s="127">
        <f t="shared" si="91"/>
        <v>9194389.3511874136</v>
      </c>
      <c r="I221" s="347">
        <f t="shared" si="92"/>
        <v>0.48642458233753316</v>
      </c>
      <c r="J221" s="33">
        <f t="shared" si="85"/>
        <v>7585371</v>
      </c>
      <c r="K221" s="33">
        <f t="shared" si="93"/>
        <v>4472377</v>
      </c>
      <c r="L221" s="126">
        <f t="shared" si="94"/>
        <v>48.64</v>
      </c>
      <c r="M221" s="470"/>
      <c r="N221" s="128">
        <v>3771259</v>
      </c>
      <c r="O221" s="449">
        <v>4.2500000000000003E-2</v>
      </c>
      <c r="P221" s="33">
        <f t="shared" si="95"/>
        <v>3931538</v>
      </c>
      <c r="Q221" s="57">
        <f t="shared" si="96"/>
        <v>42.760186129079464</v>
      </c>
      <c r="R221" s="57">
        <f t="shared" si="97"/>
        <v>5.8798138709205361</v>
      </c>
      <c r="S221" s="88">
        <f t="shared" si="98"/>
        <v>0.01</v>
      </c>
      <c r="T221" s="33">
        <f t="shared" si="99"/>
        <v>37713</v>
      </c>
      <c r="U221" s="9">
        <f t="shared" si="100"/>
        <v>0</v>
      </c>
      <c r="V221" s="9">
        <f t="shared" si="86"/>
        <v>0</v>
      </c>
      <c r="W221" s="9">
        <f t="shared" si="101"/>
        <v>0</v>
      </c>
      <c r="X221" s="127">
        <f>MIN(H221*parameters!C$22,ROUND(P221+T221-V221+W221,0))</f>
        <v>3969251</v>
      </c>
      <c r="Y221" s="94">
        <f t="shared" si="102"/>
        <v>43.170360188057394</v>
      </c>
      <c r="AA221" s="33">
        <f t="shared" si="103"/>
        <v>-540839</v>
      </c>
      <c r="AB221" s="33">
        <f t="shared" si="104"/>
        <v>-503126</v>
      </c>
      <c r="AC221" s="33">
        <f t="shared" si="105"/>
        <v>0</v>
      </c>
      <c r="AD221" s="57">
        <f t="shared" si="106"/>
        <v>-5.4696398119426064</v>
      </c>
      <c r="AG221" s="609" t="str">
        <f t="shared" si="107"/>
        <v>215</v>
      </c>
      <c r="AH221" s="388" t="str">
        <f t="shared" si="108"/>
        <v>North Brookfield</v>
      </c>
      <c r="AI221" s="380">
        <f t="shared" si="109"/>
        <v>0.48642458233753316</v>
      </c>
      <c r="AJ221" s="381">
        <f t="shared" si="87"/>
        <v>48.64</v>
      </c>
      <c r="AK221" s="380">
        <f t="shared" si="110"/>
        <v>4.2500000000000003E-2</v>
      </c>
      <c r="AL221" s="9">
        <f t="shared" si="88"/>
        <v>3969251</v>
      </c>
      <c r="AM221" s="57">
        <f t="shared" si="111"/>
        <v>-5.4696398119426064</v>
      </c>
    </row>
    <row r="222" spans="1:39" ht="12.75" customHeight="1">
      <c r="A222" s="6">
        <v>216</v>
      </c>
      <c r="B222" s="6" t="s">
        <v>897</v>
      </c>
      <c r="C222" s="81">
        <v>612926000</v>
      </c>
      <c r="D222" s="81">
        <f t="shared" si="89"/>
        <v>2393848.7524969974</v>
      </c>
      <c r="E222" s="8">
        <v>109660000</v>
      </c>
      <c r="F222" s="81">
        <f t="shared" si="112"/>
        <v>1569443.0110705369</v>
      </c>
      <c r="G222" s="81">
        <f t="shared" si="90"/>
        <v>3963292</v>
      </c>
      <c r="H222" s="127">
        <f t="shared" si="91"/>
        <v>4473229.4275655821</v>
      </c>
      <c r="I222" s="347">
        <f t="shared" si="92"/>
        <v>0.88600239808332393</v>
      </c>
      <c r="J222" s="33">
        <f t="shared" si="85"/>
        <v>3690414</v>
      </c>
      <c r="K222" s="33">
        <f t="shared" si="93"/>
        <v>3690414</v>
      </c>
      <c r="L222" s="126">
        <f t="shared" si="94"/>
        <v>82.5</v>
      </c>
      <c r="M222" s="470"/>
      <c r="N222" s="128">
        <v>3339058</v>
      </c>
      <c r="O222" s="449">
        <v>3.5499999999999997E-2</v>
      </c>
      <c r="P222" s="33">
        <f t="shared" si="95"/>
        <v>3457595</v>
      </c>
      <c r="Q222" s="57">
        <f t="shared" si="96"/>
        <v>77.295275281279061</v>
      </c>
      <c r="R222" s="57">
        <f t="shared" si="97"/>
        <v>5.2047247187209393</v>
      </c>
      <c r="S222" s="88">
        <f t="shared" si="98"/>
        <v>0.01</v>
      </c>
      <c r="T222" s="33">
        <f t="shared" si="99"/>
        <v>33391</v>
      </c>
      <c r="U222" s="9">
        <f t="shared" si="100"/>
        <v>0</v>
      </c>
      <c r="V222" s="9">
        <f t="shared" si="86"/>
        <v>0</v>
      </c>
      <c r="W222" s="9">
        <f t="shared" si="101"/>
        <v>0</v>
      </c>
      <c r="X222" s="127">
        <f>MIN(H222*parameters!C$22,ROUND(P222+T222-V222+W222,0))</f>
        <v>3490986</v>
      </c>
      <c r="Y222" s="94">
        <f t="shared" si="102"/>
        <v>78.041738223560372</v>
      </c>
      <c r="AA222" s="33">
        <f t="shared" si="103"/>
        <v>-232819</v>
      </c>
      <c r="AB222" s="33">
        <f t="shared" si="104"/>
        <v>-199428</v>
      </c>
      <c r="AC222" s="33">
        <f t="shared" si="105"/>
        <v>0</v>
      </c>
      <c r="AD222" s="57">
        <f t="shared" si="106"/>
        <v>-4.4582617764396275</v>
      </c>
      <c r="AG222" s="609" t="str">
        <f t="shared" si="107"/>
        <v>216</v>
      </c>
      <c r="AH222" s="388" t="str">
        <f t="shared" si="108"/>
        <v>Northfield</v>
      </c>
      <c r="AI222" s="380">
        <f t="shared" si="109"/>
        <v>0.88600239808332393</v>
      </c>
      <c r="AJ222" s="381">
        <f t="shared" si="87"/>
        <v>82.5</v>
      </c>
      <c r="AK222" s="380">
        <f t="shared" si="110"/>
        <v>3.5499999999999997E-2</v>
      </c>
      <c r="AL222" s="9">
        <f t="shared" si="88"/>
        <v>3490986</v>
      </c>
      <c r="AM222" s="57">
        <f t="shared" si="111"/>
        <v>-4.4582617764396275</v>
      </c>
    </row>
    <row r="223" spans="1:39" ht="12.75" customHeight="1">
      <c r="A223" s="6">
        <v>217</v>
      </c>
      <c r="B223" s="6" t="s">
        <v>898</v>
      </c>
      <c r="C223" s="81">
        <v>4047916800</v>
      </c>
      <c r="D223" s="81">
        <f t="shared" si="89"/>
        <v>15809576.656711636</v>
      </c>
      <c r="E223" s="8">
        <v>1326145000</v>
      </c>
      <c r="F223" s="81">
        <f t="shared" si="112"/>
        <v>18979655.315667856</v>
      </c>
      <c r="G223" s="81">
        <f t="shared" si="90"/>
        <v>34789232</v>
      </c>
      <c r="H223" s="127">
        <f t="shared" si="91"/>
        <v>30625945.63705653</v>
      </c>
      <c r="I223" s="347">
        <f t="shared" si="92"/>
        <v>1.1359398469611992</v>
      </c>
      <c r="J223" s="33">
        <f t="shared" si="85"/>
        <v>25266405</v>
      </c>
      <c r="K223" s="33">
        <f t="shared" si="93"/>
        <v>25266405</v>
      </c>
      <c r="L223" s="126">
        <f t="shared" si="94"/>
        <v>82.5</v>
      </c>
      <c r="M223" s="470"/>
      <c r="N223" s="128">
        <v>23739727</v>
      </c>
      <c r="O223" s="449">
        <v>4.5400000000000003E-2</v>
      </c>
      <c r="P223" s="33">
        <f t="shared" si="95"/>
        <v>24817511</v>
      </c>
      <c r="Q223" s="57">
        <f t="shared" si="96"/>
        <v>81.034268440584938</v>
      </c>
      <c r="R223" s="57">
        <f t="shared" si="97"/>
        <v>1.4657315594150617</v>
      </c>
      <c r="S223" s="88">
        <f t="shared" si="98"/>
        <v>0</v>
      </c>
      <c r="T223" s="33">
        <f t="shared" si="99"/>
        <v>0</v>
      </c>
      <c r="U223" s="9">
        <f t="shared" si="100"/>
        <v>0</v>
      </c>
      <c r="V223" s="9">
        <f t="shared" si="86"/>
        <v>0</v>
      </c>
      <c r="W223" s="9">
        <f t="shared" si="101"/>
        <v>0</v>
      </c>
      <c r="X223" s="127">
        <f>MIN(H223*parameters!C$22,ROUND(P223+T223-V223+W223,0))</f>
        <v>24817511</v>
      </c>
      <c r="Y223" s="94">
        <f t="shared" si="102"/>
        <v>81.034268440584938</v>
      </c>
      <c r="AA223" s="33">
        <f t="shared" si="103"/>
        <v>-448894</v>
      </c>
      <c r="AB223" s="33">
        <f t="shared" si="104"/>
        <v>-448894</v>
      </c>
      <c r="AC223" s="33">
        <f t="shared" si="105"/>
        <v>0</v>
      </c>
      <c r="AD223" s="57">
        <f t="shared" si="106"/>
        <v>-1.4657315594150617</v>
      </c>
      <c r="AG223" s="609" t="str">
        <f t="shared" si="107"/>
        <v>217</v>
      </c>
      <c r="AH223" s="388" t="str">
        <f t="shared" si="108"/>
        <v>North Reading</v>
      </c>
      <c r="AI223" s="380">
        <f t="shared" si="109"/>
        <v>1.1359398469611992</v>
      </c>
      <c r="AJ223" s="381">
        <f t="shared" si="87"/>
        <v>82.5</v>
      </c>
      <c r="AK223" s="380">
        <f t="shared" si="110"/>
        <v>4.5400000000000003E-2</v>
      </c>
      <c r="AL223" s="9">
        <f t="shared" si="88"/>
        <v>24817511</v>
      </c>
      <c r="AM223" s="57">
        <f t="shared" si="111"/>
        <v>-1.4657315594150617</v>
      </c>
    </row>
    <row r="224" spans="1:39" ht="12.75" customHeight="1">
      <c r="A224" s="6">
        <v>218</v>
      </c>
      <c r="B224" s="6" t="s">
        <v>899</v>
      </c>
      <c r="C224" s="81">
        <v>3164775400</v>
      </c>
      <c r="D224" s="81">
        <f t="shared" si="89"/>
        <v>12360372.448261593</v>
      </c>
      <c r="E224" s="8">
        <v>905209000</v>
      </c>
      <c r="F224" s="81">
        <f t="shared" si="112"/>
        <v>12955261.158199431</v>
      </c>
      <c r="G224" s="81">
        <f t="shared" si="90"/>
        <v>25315634</v>
      </c>
      <c r="H224" s="127">
        <f t="shared" si="91"/>
        <v>31801424.407531835</v>
      </c>
      <c r="I224" s="347">
        <f t="shared" si="92"/>
        <v>0.79605346212115757</v>
      </c>
      <c r="J224" s="33">
        <f t="shared" si="85"/>
        <v>26236175</v>
      </c>
      <c r="K224" s="33">
        <f t="shared" si="93"/>
        <v>25315634</v>
      </c>
      <c r="L224" s="126">
        <f t="shared" si="94"/>
        <v>79.61</v>
      </c>
      <c r="M224" s="470"/>
      <c r="N224" s="128">
        <v>22765513</v>
      </c>
      <c r="O224" s="449">
        <v>4.9000000000000002E-2</v>
      </c>
      <c r="P224" s="33">
        <f t="shared" si="95"/>
        <v>23881023</v>
      </c>
      <c r="Q224" s="57">
        <f t="shared" si="96"/>
        <v>75.094192932892739</v>
      </c>
      <c r="R224" s="57">
        <f t="shared" si="97"/>
        <v>4.5158070671072608</v>
      </c>
      <c r="S224" s="88">
        <f t="shared" si="98"/>
        <v>0.01</v>
      </c>
      <c r="T224" s="33">
        <f t="shared" si="99"/>
        <v>227655</v>
      </c>
      <c r="U224" s="9">
        <f t="shared" si="100"/>
        <v>0</v>
      </c>
      <c r="V224" s="9">
        <f t="shared" si="86"/>
        <v>0</v>
      </c>
      <c r="W224" s="9">
        <f t="shared" si="101"/>
        <v>0</v>
      </c>
      <c r="X224" s="127">
        <f>MIN(H224*parameters!C$22,ROUND(P224+T224-V224+W224,0))</f>
        <v>24108678</v>
      </c>
      <c r="Y224" s="94">
        <f t="shared" si="102"/>
        <v>75.810057093826629</v>
      </c>
      <c r="AA224" s="33">
        <f t="shared" si="103"/>
        <v>-1434611</v>
      </c>
      <c r="AB224" s="33">
        <f t="shared" si="104"/>
        <v>-1206956</v>
      </c>
      <c r="AC224" s="33">
        <f t="shared" si="105"/>
        <v>0</v>
      </c>
      <c r="AD224" s="57">
        <f t="shared" si="106"/>
        <v>-3.7999429061733707</v>
      </c>
      <c r="AG224" s="609" t="str">
        <f t="shared" si="107"/>
        <v>218</v>
      </c>
      <c r="AH224" s="388" t="str">
        <f t="shared" si="108"/>
        <v>Norton</v>
      </c>
      <c r="AI224" s="380">
        <f t="shared" si="109"/>
        <v>0.79605346212115757</v>
      </c>
      <c r="AJ224" s="381">
        <f t="shared" si="87"/>
        <v>79.61</v>
      </c>
      <c r="AK224" s="380">
        <f t="shared" si="110"/>
        <v>4.9000000000000002E-2</v>
      </c>
      <c r="AL224" s="9">
        <f t="shared" si="88"/>
        <v>24108678</v>
      </c>
      <c r="AM224" s="57">
        <f t="shared" si="111"/>
        <v>-3.7999429061733707</v>
      </c>
    </row>
    <row r="225" spans="1:39" ht="12.75" customHeight="1">
      <c r="A225" s="6">
        <v>219</v>
      </c>
      <c r="B225" s="6" t="s">
        <v>900</v>
      </c>
      <c r="C225" s="81">
        <v>3200575000</v>
      </c>
      <c r="D225" s="81">
        <f t="shared" si="89"/>
        <v>12500191.656126639</v>
      </c>
      <c r="E225" s="8">
        <v>1492736000</v>
      </c>
      <c r="F225" s="81">
        <f t="shared" si="112"/>
        <v>21363889.13526709</v>
      </c>
      <c r="G225" s="81">
        <f t="shared" si="90"/>
        <v>33864081</v>
      </c>
      <c r="H225" s="127">
        <f t="shared" si="91"/>
        <v>27156764.849310026</v>
      </c>
      <c r="I225" s="347">
        <f t="shared" si="92"/>
        <v>1.2469850951653538</v>
      </c>
      <c r="J225" s="33">
        <f t="shared" si="85"/>
        <v>22404331</v>
      </c>
      <c r="K225" s="33">
        <f t="shared" si="93"/>
        <v>22404331</v>
      </c>
      <c r="L225" s="126">
        <f t="shared" si="94"/>
        <v>82.5</v>
      </c>
      <c r="M225" s="470"/>
      <c r="N225" s="128">
        <v>21380775</v>
      </c>
      <c r="O225" s="449">
        <v>4.9399999999999993E-2</v>
      </c>
      <c r="P225" s="33">
        <f t="shared" si="95"/>
        <v>22436985</v>
      </c>
      <c r="Q225" s="57">
        <f t="shared" si="96"/>
        <v>82.620242597011909</v>
      </c>
      <c r="R225" s="57">
        <f t="shared" si="97"/>
        <v>0</v>
      </c>
      <c r="S225" s="88">
        <f t="shared" si="98"/>
        <v>0</v>
      </c>
      <c r="T225" s="33">
        <f t="shared" si="99"/>
        <v>0</v>
      </c>
      <c r="U225" s="9">
        <f t="shared" si="100"/>
        <v>32654</v>
      </c>
      <c r="V225" s="9">
        <f t="shared" si="86"/>
        <v>32654</v>
      </c>
      <c r="W225" s="9">
        <f t="shared" si="101"/>
        <v>0</v>
      </c>
      <c r="X225" s="127">
        <f>MIN(H225*parameters!C$22,ROUND(P225+T225-V225+W225,0))</f>
        <v>22404331</v>
      </c>
      <c r="Y225" s="94">
        <f t="shared" si="102"/>
        <v>82.499999997493177</v>
      </c>
      <c r="AA225" s="33">
        <f t="shared" si="103"/>
        <v>0</v>
      </c>
      <c r="AB225" s="33">
        <f t="shared" si="104"/>
        <v>0</v>
      </c>
      <c r="AC225" s="33">
        <f t="shared" si="105"/>
        <v>0</v>
      </c>
      <c r="AD225" s="57">
        <f t="shared" si="106"/>
        <v>-2.5068231934710639E-9</v>
      </c>
      <c r="AG225" s="609" t="str">
        <f t="shared" si="107"/>
        <v>219</v>
      </c>
      <c r="AH225" s="388" t="str">
        <f t="shared" si="108"/>
        <v>Norwell</v>
      </c>
      <c r="AI225" s="380">
        <f t="shared" si="109"/>
        <v>1.2469850951653538</v>
      </c>
      <c r="AJ225" s="381">
        <f t="shared" si="87"/>
        <v>82.5</v>
      </c>
      <c r="AK225" s="380">
        <f t="shared" si="110"/>
        <v>4.9399999999999993E-2</v>
      </c>
      <c r="AL225" s="9">
        <f t="shared" si="88"/>
        <v>22404331</v>
      </c>
      <c r="AM225" s="57">
        <f t="shared" si="111"/>
        <v>-2.5068231934710639E-9</v>
      </c>
    </row>
    <row r="226" spans="1:39" ht="12.75" customHeight="1">
      <c r="A226" s="6">
        <v>220</v>
      </c>
      <c r="B226" s="6" t="s">
        <v>901</v>
      </c>
      <c r="C226" s="81">
        <v>7062039200</v>
      </c>
      <c r="D226" s="81">
        <f t="shared" si="89"/>
        <v>27581557.52734407</v>
      </c>
      <c r="E226" s="8">
        <v>1654999000</v>
      </c>
      <c r="F226" s="81">
        <f t="shared" si="112"/>
        <v>23686181.049413893</v>
      </c>
      <c r="G226" s="81">
        <f t="shared" si="90"/>
        <v>51267739</v>
      </c>
      <c r="H226" s="127">
        <f t="shared" si="91"/>
        <v>59201782.886565536</v>
      </c>
      <c r="I226" s="347">
        <f t="shared" si="92"/>
        <v>0.86598302450168296</v>
      </c>
      <c r="J226" s="33">
        <f t="shared" si="85"/>
        <v>48841471</v>
      </c>
      <c r="K226" s="33">
        <f t="shared" si="93"/>
        <v>48841471</v>
      </c>
      <c r="L226" s="126">
        <f t="shared" si="94"/>
        <v>82.5</v>
      </c>
      <c r="M226" s="470"/>
      <c r="N226" s="128">
        <v>38913033</v>
      </c>
      <c r="O226" s="449">
        <v>3.27E-2</v>
      </c>
      <c r="P226" s="33">
        <f t="shared" si="95"/>
        <v>40185489</v>
      </c>
      <c r="Q226" s="57">
        <f t="shared" si="96"/>
        <v>67.87884931945041</v>
      </c>
      <c r="R226" s="57">
        <f t="shared" si="97"/>
        <v>14.62115068054959</v>
      </c>
      <c r="S226" s="88">
        <f t="shared" si="98"/>
        <v>0.02</v>
      </c>
      <c r="T226" s="33">
        <f t="shared" si="99"/>
        <v>778261</v>
      </c>
      <c r="U226" s="9">
        <f t="shared" si="100"/>
        <v>0</v>
      </c>
      <c r="V226" s="9">
        <f t="shared" si="86"/>
        <v>0</v>
      </c>
      <c r="W226" s="9">
        <f t="shared" si="101"/>
        <v>0</v>
      </c>
      <c r="X226" s="127">
        <f>MIN(H226*parameters!C$22,ROUND(P226+T226-V226+W226,0))</f>
        <v>40963750</v>
      </c>
      <c r="Y226" s="94">
        <f t="shared" si="102"/>
        <v>69.193439796381142</v>
      </c>
      <c r="AA226" s="33">
        <f t="shared" si="103"/>
        <v>-8655982</v>
      </c>
      <c r="AB226" s="33">
        <f t="shared" si="104"/>
        <v>-7877721</v>
      </c>
      <c r="AC226" s="33">
        <f t="shared" si="105"/>
        <v>0</v>
      </c>
      <c r="AD226" s="57">
        <f t="shared" si="106"/>
        <v>-13.306560203618858</v>
      </c>
      <c r="AG226" s="609" t="str">
        <f t="shared" si="107"/>
        <v>220</v>
      </c>
      <c r="AH226" s="388" t="str">
        <f t="shared" si="108"/>
        <v>Norwood</v>
      </c>
      <c r="AI226" s="380">
        <f t="shared" si="109"/>
        <v>0.86598302450168296</v>
      </c>
      <c r="AJ226" s="381">
        <f t="shared" si="87"/>
        <v>82.5</v>
      </c>
      <c r="AK226" s="380">
        <f t="shared" si="110"/>
        <v>3.27E-2</v>
      </c>
      <c r="AL226" s="9">
        <f t="shared" si="88"/>
        <v>40963750</v>
      </c>
      <c r="AM226" s="57">
        <f t="shared" si="111"/>
        <v>-13.306560203618858</v>
      </c>
    </row>
    <row r="227" spans="1:39" ht="12.75" customHeight="1">
      <c r="A227" s="6">
        <v>221</v>
      </c>
      <c r="B227" s="6" t="s">
        <v>902</v>
      </c>
      <c r="C227" s="81">
        <v>4343520600</v>
      </c>
      <c r="D227" s="81">
        <f t="shared" si="89"/>
        <v>16964089.253441703</v>
      </c>
      <c r="E227" s="8">
        <v>188532000</v>
      </c>
      <c r="F227" s="81">
        <f t="shared" si="112"/>
        <v>2698251.2289180239</v>
      </c>
      <c r="G227" s="81">
        <f t="shared" si="90"/>
        <v>19662340</v>
      </c>
      <c r="H227" s="127">
        <f t="shared" si="91"/>
        <v>10071940.635885034</v>
      </c>
      <c r="I227" s="347">
        <f t="shared" si="92"/>
        <v>1.9521898222816765</v>
      </c>
      <c r="J227" s="33">
        <f t="shared" si="85"/>
        <v>8309351</v>
      </c>
      <c r="K227" s="33">
        <f t="shared" si="93"/>
        <v>8309351</v>
      </c>
      <c r="L227" s="126">
        <f t="shared" si="94"/>
        <v>82.5</v>
      </c>
      <c r="M227" s="470"/>
      <c r="N227" s="128">
        <v>7488129</v>
      </c>
      <c r="O227" s="449">
        <v>5.1200000000000002E-2</v>
      </c>
      <c r="P227" s="33">
        <f t="shared" si="95"/>
        <v>7871521</v>
      </c>
      <c r="Q227" s="57">
        <f t="shared" si="96"/>
        <v>78.15297254587442</v>
      </c>
      <c r="R227" s="57">
        <f t="shared" si="97"/>
        <v>4.3470274541255804</v>
      </c>
      <c r="S227" s="88">
        <f t="shared" si="98"/>
        <v>0.01</v>
      </c>
      <c r="T227" s="33">
        <f t="shared" si="99"/>
        <v>74881</v>
      </c>
      <c r="U227" s="9">
        <f t="shared" si="100"/>
        <v>0</v>
      </c>
      <c r="V227" s="9">
        <f t="shared" si="86"/>
        <v>0</v>
      </c>
      <c r="W227" s="9">
        <f t="shared" si="101"/>
        <v>362949</v>
      </c>
      <c r="X227" s="127">
        <f>MIN(H227*parameters!C$22,ROUND(P227+T227-V227+W227,0))</f>
        <v>8309351</v>
      </c>
      <c r="Y227" s="94">
        <f t="shared" si="102"/>
        <v>82.499999755705943</v>
      </c>
      <c r="AA227" s="33">
        <f t="shared" si="103"/>
        <v>-437830</v>
      </c>
      <c r="AB227" s="33">
        <f t="shared" si="104"/>
        <v>0</v>
      </c>
      <c r="AC227" s="33">
        <f t="shared" si="105"/>
        <v>0</v>
      </c>
      <c r="AD227" s="57">
        <f t="shared" si="106"/>
        <v>-2.4429405698356277E-7</v>
      </c>
      <c r="AG227" s="609" t="str">
        <f t="shared" si="107"/>
        <v>221</v>
      </c>
      <c r="AH227" s="388" t="str">
        <f t="shared" si="108"/>
        <v>Oak Bluffs</v>
      </c>
      <c r="AI227" s="380">
        <f t="shared" si="109"/>
        <v>1.9521898222816765</v>
      </c>
      <c r="AJ227" s="381">
        <f t="shared" si="87"/>
        <v>82.5</v>
      </c>
      <c r="AK227" s="380">
        <f t="shared" si="110"/>
        <v>5.1200000000000002E-2</v>
      </c>
      <c r="AL227" s="9">
        <f t="shared" si="88"/>
        <v>8309351</v>
      </c>
      <c r="AM227" s="57">
        <f t="shared" si="111"/>
        <v>-2.4429405698356277E-7</v>
      </c>
    </row>
    <row r="228" spans="1:39" ht="12.75" customHeight="1">
      <c r="A228" s="6">
        <v>222</v>
      </c>
      <c r="B228" s="6" t="s">
        <v>903</v>
      </c>
      <c r="C228" s="81">
        <v>269560200</v>
      </c>
      <c r="D228" s="81">
        <f t="shared" si="89"/>
        <v>1052796.5015235788</v>
      </c>
      <c r="E228" s="8">
        <v>77317000</v>
      </c>
      <c r="F228" s="81">
        <f t="shared" si="112"/>
        <v>1106553.2125382156</v>
      </c>
      <c r="G228" s="81">
        <f t="shared" si="90"/>
        <v>2159350</v>
      </c>
      <c r="H228" s="127">
        <f t="shared" si="91"/>
        <v>3578073.9231819627</v>
      </c>
      <c r="I228" s="347">
        <f t="shared" si="92"/>
        <v>0.60349507761977739</v>
      </c>
      <c r="J228" s="33">
        <f t="shared" si="85"/>
        <v>2951911</v>
      </c>
      <c r="K228" s="33">
        <f t="shared" si="93"/>
        <v>2159350</v>
      </c>
      <c r="L228" s="126">
        <f t="shared" si="94"/>
        <v>60.35</v>
      </c>
      <c r="M228" s="470"/>
      <c r="N228" s="128">
        <v>1878847</v>
      </c>
      <c r="O228" s="449">
        <v>3.9199999999999999E-2</v>
      </c>
      <c r="P228" s="33">
        <f t="shared" si="95"/>
        <v>1952498</v>
      </c>
      <c r="Q228" s="57">
        <f t="shared" si="96"/>
        <v>54.568408644381883</v>
      </c>
      <c r="R228" s="57">
        <f t="shared" si="97"/>
        <v>5.7815913556181187</v>
      </c>
      <c r="S228" s="88">
        <f t="shared" si="98"/>
        <v>0.01</v>
      </c>
      <c r="T228" s="33">
        <f t="shared" si="99"/>
        <v>18788</v>
      </c>
      <c r="U228" s="9">
        <f t="shared" si="100"/>
        <v>0</v>
      </c>
      <c r="V228" s="9">
        <f t="shared" si="86"/>
        <v>0</v>
      </c>
      <c r="W228" s="9">
        <f t="shared" si="101"/>
        <v>0</v>
      </c>
      <c r="X228" s="127">
        <f>MIN(H228*parameters!C$22,ROUND(P228+T228-V228+W228,0))</f>
        <v>1971286</v>
      </c>
      <c r="Y228" s="94">
        <f t="shared" si="102"/>
        <v>55.093495615846457</v>
      </c>
      <c r="AA228" s="33">
        <f t="shared" si="103"/>
        <v>-206852</v>
      </c>
      <c r="AB228" s="33">
        <f t="shared" si="104"/>
        <v>-188064</v>
      </c>
      <c r="AC228" s="33">
        <f t="shared" si="105"/>
        <v>0</v>
      </c>
      <c r="AD228" s="57">
        <f t="shared" si="106"/>
        <v>-5.2565043841535442</v>
      </c>
      <c r="AG228" s="609" t="str">
        <f t="shared" si="107"/>
        <v>222</v>
      </c>
      <c r="AH228" s="388" t="str">
        <f t="shared" si="108"/>
        <v>Oakham</v>
      </c>
      <c r="AI228" s="380">
        <f t="shared" si="109"/>
        <v>0.60349507761977739</v>
      </c>
      <c r="AJ228" s="381">
        <f t="shared" si="87"/>
        <v>60.35</v>
      </c>
      <c r="AK228" s="380">
        <f t="shared" si="110"/>
        <v>3.9199999999999999E-2</v>
      </c>
      <c r="AL228" s="9">
        <f t="shared" si="88"/>
        <v>1971286</v>
      </c>
      <c r="AM228" s="57">
        <f t="shared" si="111"/>
        <v>-5.2565043841535442</v>
      </c>
    </row>
    <row r="229" spans="1:39" ht="12.75" customHeight="1">
      <c r="A229" s="6">
        <v>223</v>
      </c>
      <c r="B229" s="6" t="s">
        <v>904</v>
      </c>
      <c r="C229" s="81">
        <v>704170400</v>
      </c>
      <c r="D229" s="81">
        <f t="shared" si="89"/>
        <v>2750213.620543608</v>
      </c>
      <c r="E229" s="8">
        <v>181835000</v>
      </c>
      <c r="F229" s="81">
        <f t="shared" si="112"/>
        <v>2602404.4311326928</v>
      </c>
      <c r="G229" s="81">
        <f t="shared" si="90"/>
        <v>5352618</v>
      </c>
      <c r="H229" s="127">
        <f t="shared" si="91"/>
        <v>18572757.808817711</v>
      </c>
      <c r="I229" s="347">
        <f t="shared" si="92"/>
        <v>0.28819726478416469</v>
      </c>
      <c r="J229" s="33">
        <f t="shared" si="85"/>
        <v>15322525</v>
      </c>
      <c r="K229" s="33">
        <f t="shared" si="93"/>
        <v>5352618</v>
      </c>
      <c r="L229" s="126">
        <f t="shared" si="94"/>
        <v>28.82</v>
      </c>
      <c r="M229" s="470"/>
      <c r="N229" s="128">
        <v>4569947</v>
      </c>
      <c r="O229" s="449">
        <v>4.590000000000001E-2</v>
      </c>
      <c r="P229" s="33">
        <f t="shared" si="95"/>
        <v>4779708</v>
      </c>
      <c r="Q229" s="57">
        <f t="shared" si="96"/>
        <v>25.735047262236726</v>
      </c>
      <c r="R229" s="57">
        <f t="shared" si="97"/>
        <v>3.0849527377632739</v>
      </c>
      <c r="S229" s="88">
        <f t="shared" si="98"/>
        <v>0.01</v>
      </c>
      <c r="T229" s="33">
        <f t="shared" si="99"/>
        <v>45699</v>
      </c>
      <c r="U229" s="9">
        <f t="shared" si="100"/>
        <v>0</v>
      </c>
      <c r="V229" s="9">
        <f t="shared" si="86"/>
        <v>0</v>
      </c>
      <c r="W229" s="9">
        <f t="shared" si="101"/>
        <v>0</v>
      </c>
      <c r="X229" s="127">
        <f>MIN(H229*parameters!C$22,ROUND(P229+T229-V229+W229,0))</f>
        <v>4825407</v>
      </c>
      <c r="Y229" s="94">
        <f t="shared" si="102"/>
        <v>25.981101189555499</v>
      </c>
      <c r="AA229" s="33">
        <f t="shared" si="103"/>
        <v>-572910</v>
      </c>
      <c r="AB229" s="33">
        <f t="shared" si="104"/>
        <v>-527211</v>
      </c>
      <c r="AC229" s="33">
        <f t="shared" si="105"/>
        <v>0</v>
      </c>
      <c r="AD229" s="57">
        <f t="shared" si="106"/>
        <v>-2.8388988104445012</v>
      </c>
      <c r="AG229" s="609" t="str">
        <f t="shared" si="107"/>
        <v>223</v>
      </c>
      <c r="AH229" s="388" t="str">
        <f t="shared" si="108"/>
        <v>Orange</v>
      </c>
      <c r="AI229" s="380">
        <f t="shared" si="109"/>
        <v>0.28819726478416469</v>
      </c>
      <c r="AJ229" s="381">
        <f t="shared" si="87"/>
        <v>28.82</v>
      </c>
      <c r="AK229" s="380">
        <f t="shared" si="110"/>
        <v>4.590000000000001E-2</v>
      </c>
      <c r="AL229" s="9">
        <f t="shared" si="88"/>
        <v>4825407</v>
      </c>
      <c r="AM229" s="57">
        <f t="shared" si="111"/>
        <v>-2.8388988104445012</v>
      </c>
    </row>
    <row r="230" spans="1:39" ht="12.75" customHeight="1">
      <c r="A230" s="6">
        <v>224</v>
      </c>
      <c r="B230" s="6" t="s">
        <v>905</v>
      </c>
      <c r="C230" s="81">
        <v>4865120300</v>
      </c>
      <c r="D230" s="81">
        <f t="shared" si="89"/>
        <v>19001253.268588405</v>
      </c>
      <c r="E230" s="8">
        <v>480766000</v>
      </c>
      <c r="F230" s="81">
        <f t="shared" si="112"/>
        <v>6880675.1656058524</v>
      </c>
      <c r="G230" s="81">
        <f t="shared" si="90"/>
        <v>25881928</v>
      </c>
      <c r="H230" s="127">
        <f t="shared" si="91"/>
        <v>6180356.933859284</v>
      </c>
      <c r="I230" s="347">
        <f t="shared" si="92"/>
        <v>4.187772369295538</v>
      </c>
      <c r="J230" s="33">
        <f t="shared" si="85"/>
        <v>5098794</v>
      </c>
      <c r="K230" s="33">
        <f t="shared" si="93"/>
        <v>5098794</v>
      </c>
      <c r="L230" s="126">
        <f t="shared" si="94"/>
        <v>82.5</v>
      </c>
      <c r="M230" s="470"/>
      <c r="N230" s="128">
        <v>4967297</v>
      </c>
      <c r="O230" s="449">
        <v>4.590000000000001E-2</v>
      </c>
      <c r="P230" s="33">
        <f t="shared" si="95"/>
        <v>5195296</v>
      </c>
      <c r="Q230" s="57">
        <f t="shared" si="96"/>
        <v>84.061423241389249</v>
      </c>
      <c r="R230" s="57">
        <f t="shared" si="97"/>
        <v>0</v>
      </c>
      <c r="S230" s="88">
        <f t="shared" si="98"/>
        <v>0</v>
      </c>
      <c r="T230" s="33">
        <f t="shared" si="99"/>
        <v>0</v>
      </c>
      <c r="U230" s="9">
        <f t="shared" si="100"/>
        <v>96502</v>
      </c>
      <c r="V230" s="9">
        <f t="shared" si="86"/>
        <v>96502</v>
      </c>
      <c r="W230" s="9">
        <f t="shared" si="101"/>
        <v>0</v>
      </c>
      <c r="X230" s="127">
        <f>MIN(H230*parameters!C$22,ROUND(P230+T230-V230+W230,0))</f>
        <v>5098794</v>
      </c>
      <c r="Y230" s="94">
        <f t="shared" si="102"/>
        <v>82.499992388240443</v>
      </c>
      <c r="AA230" s="33">
        <f t="shared" si="103"/>
        <v>0</v>
      </c>
      <c r="AB230" s="33">
        <f t="shared" si="104"/>
        <v>0</v>
      </c>
      <c r="AC230" s="33">
        <f t="shared" si="105"/>
        <v>0</v>
      </c>
      <c r="AD230" s="57">
        <f t="shared" si="106"/>
        <v>-7.6117595568803154E-6</v>
      </c>
      <c r="AG230" s="609" t="str">
        <f t="shared" si="107"/>
        <v>224</v>
      </c>
      <c r="AH230" s="388" t="str">
        <f t="shared" si="108"/>
        <v>Orleans</v>
      </c>
      <c r="AI230" s="380">
        <f t="shared" si="109"/>
        <v>4.187772369295538</v>
      </c>
      <c r="AJ230" s="381">
        <f t="shared" si="87"/>
        <v>82.5</v>
      </c>
      <c r="AK230" s="380">
        <f t="shared" si="110"/>
        <v>4.590000000000001E-2</v>
      </c>
      <c r="AL230" s="9">
        <f t="shared" si="88"/>
        <v>5098794</v>
      </c>
      <c r="AM230" s="57">
        <f t="shared" si="111"/>
        <v>-7.6117595568803154E-6</v>
      </c>
    </row>
    <row r="231" spans="1:39" ht="12.75" customHeight="1">
      <c r="A231" s="6">
        <v>225</v>
      </c>
      <c r="B231" s="6" t="s">
        <v>906</v>
      </c>
      <c r="C231" s="81">
        <v>755586300</v>
      </c>
      <c r="D231" s="81">
        <f t="shared" si="89"/>
        <v>2951023.9762366451</v>
      </c>
      <c r="E231" s="8">
        <v>81743000</v>
      </c>
      <c r="F231" s="81">
        <f t="shared" si="112"/>
        <v>1169897.684241646</v>
      </c>
      <c r="G231" s="81">
        <f t="shared" si="90"/>
        <v>4120922</v>
      </c>
      <c r="H231" s="127">
        <f t="shared" si="91"/>
        <v>1870547.6596054086</v>
      </c>
      <c r="I231" s="347">
        <f t="shared" si="92"/>
        <v>2.2030564037429055</v>
      </c>
      <c r="J231" s="33">
        <f t="shared" si="85"/>
        <v>1543202</v>
      </c>
      <c r="K231" s="33">
        <f t="shared" si="93"/>
        <v>1543202</v>
      </c>
      <c r="L231" s="126">
        <f t="shared" si="94"/>
        <v>82.5</v>
      </c>
      <c r="M231" s="470"/>
      <c r="N231" s="128">
        <v>1443945</v>
      </c>
      <c r="O231" s="449">
        <v>3.73E-2</v>
      </c>
      <c r="P231" s="33">
        <f t="shared" si="95"/>
        <v>1497804</v>
      </c>
      <c r="Q231" s="57">
        <f t="shared" si="96"/>
        <v>80.073019915245638</v>
      </c>
      <c r="R231" s="57">
        <f t="shared" si="97"/>
        <v>2.4269800847543621</v>
      </c>
      <c r="S231" s="88">
        <f t="shared" si="98"/>
        <v>0</v>
      </c>
      <c r="T231" s="33">
        <f t="shared" si="99"/>
        <v>0</v>
      </c>
      <c r="U231" s="9">
        <f t="shared" si="100"/>
        <v>0</v>
      </c>
      <c r="V231" s="9">
        <f t="shared" si="86"/>
        <v>0</v>
      </c>
      <c r="W231" s="9">
        <f t="shared" si="101"/>
        <v>45398</v>
      </c>
      <c r="X231" s="127">
        <f>MIN(H231*parameters!C$22,ROUND(P231+T231-V231+W231,0))</f>
        <v>1543202</v>
      </c>
      <c r="Y231" s="94">
        <f t="shared" si="102"/>
        <v>82.500009666983729</v>
      </c>
      <c r="AA231" s="33">
        <f t="shared" si="103"/>
        <v>-45398</v>
      </c>
      <c r="AB231" s="33">
        <f t="shared" si="104"/>
        <v>0</v>
      </c>
      <c r="AC231" s="33">
        <f t="shared" si="105"/>
        <v>0</v>
      </c>
      <c r="AD231" s="57">
        <f t="shared" si="106"/>
        <v>9.6669837290619398E-6</v>
      </c>
      <c r="AG231" s="609" t="str">
        <f t="shared" si="107"/>
        <v>225</v>
      </c>
      <c r="AH231" s="388" t="str">
        <f t="shared" si="108"/>
        <v>Otis</v>
      </c>
      <c r="AI231" s="380">
        <f t="shared" si="109"/>
        <v>2.2030564037429055</v>
      </c>
      <c r="AJ231" s="381">
        <f t="shared" si="87"/>
        <v>82.5</v>
      </c>
      <c r="AK231" s="380">
        <f t="shared" si="110"/>
        <v>3.73E-2</v>
      </c>
      <c r="AL231" s="9">
        <f t="shared" si="88"/>
        <v>1543202</v>
      </c>
      <c r="AM231" s="57">
        <f t="shared" si="111"/>
        <v>9.6669837290619398E-6</v>
      </c>
    </row>
    <row r="232" spans="1:39" ht="12.75" customHeight="1">
      <c r="A232" s="6">
        <v>226</v>
      </c>
      <c r="B232" s="6" t="s">
        <v>907</v>
      </c>
      <c r="C232" s="81">
        <v>1732020300</v>
      </c>
      <c r="D232" s="81">
        <f t="shared" si="89"/>
        <v>6764592.5192510597</v>
      </c>
      <c r="E232" s="8">
        <v>493678000</v>
      </c>
      <c r="F232" s="81">
        <f t="shared" si="112"/>
        <v>7065470.425125666</v>
      </c>
      <c r="G232" s="81">
        <f t="shared" si="90"/>
        <v>13830063</v>
      </c>
      <c r="H232" s="127">
        <f t="shared" si="91"/>
        <v>26955865.849174738</v>
      </c>
      <c r="I232" s="347">
        <f t="shared" si="92"/>
        <v>0.51306320774049308</v>
      </c>
      <c r="J232" s="33">
        <f t="shared" si="85"/>
        <v>22238589</v>
      </c>
      <c r="K232" s="33">
        <f t="shared" si="93"/>
        <v>13830063</v>
      </c>
      <c r="L232" s="126">
        <f t="shared" si="94"/>
        <v>51.31</v>
      </c>
      <c r="M232" s="470"/>
      <c r="N232" s="128">
        <v>12544937</v>
      </c>
      <c r="O232" s="449">
        <v>3.8600000000000002E-2</v>
      </c>
      <c r="P232" s="33">
        <f t="shared" si="95"/>
        <v>13029172</v>
      </c>
      <c r="Q232" s="57">
        <f t="shared" si="96"/>
        <v>48.335201224481878</v>
      </c>
      <c r="R232" s="57">
        <f t="shared" si="97"/>
        <v>2.9747987755181242</v>
      </c>
      <c r="S232" s="88">
        <f t="shared" si="98"/>
        <v>0.01</v>
      </c>
      <c r="T232" s="33">
        <f t="shared" si="99"/>
        <v>125449</v>
      </c>
      <c r="U232" s="9">
        <f t="shared" si="100"/>
        <v>0</v>
      </c>
      <c r="V232" s="9">
        <f t="shared" si="86"/>
        <v>0</v>
      </c>
      <c r="W232" s="9">
        <f t="shared" si="101"/>
        <v>0</v>
      </c>
      <c r="X232" s="127">
        <f>MIN(H232*parameters!C$22,ROUND(P232+T232-V232+W232,0))</f>
        <v>13154621</v>
      </c>
      <c r="Y232" s="94">
        <f t="shared" si="102"/>
        <v>48.800587870571896</v>
      </c>
      <c r="AA232" s="33">
        <f t="shared" si="103"/>
        <v>-800891</v>
      </c>
      <c r="AB232" s="33">
        <f t="shared" si="104"/>
        <v>-675442</v>
      </c>
      <c r="AC232" s="33">
        <f t="shared" si="105"/>
        <v>0</v>
      </c>
      <c r="AD232" s="57">
        <f t="shared" si="106"/>
        <v>-2.5094121294281067</v>
      </c>
      <c r="AG232" s="609" t="str">
        <f t="shared" si="107"/>
        <v>226</v>
      </c>
      <c r="AH232" s="388" t="str">
        <f t="shared" si="108"/>
        <v>Oxford</v>
      </c>
      <c r="AI232" s="380">
        <f t="shared" si="109"/>
        <v>0.51306320774049308</v>
      </c>
      <c r="AJ232" s="381">
        <f t="shared" si="87"/>
        <v>51.31</v>
      </c>
      <c r="AK232" s="380">
        <f t="shared" si="110"/>
        <v>3.8600000000000002E-2</v>
      </c>
      <c r="AL232" s="9">
        <f t="shared" si="88"/>
        <v>13154621</v>
      </c>
      <c r="AM232" s="57">
        <f t="shared" si="111"/>
        <v>-2.5094121294281067</v>
      </c>
    </row>
    <row r="233" spans="1:39" ht="12.75" customHeight="1">
      <c r="A233" s="6">
        <v>227</v>
      </c>
      <c r="B233" s="6" t="s">
        <v>908</v>
      </c>
      <c r="C233" s="81">
        <v>1131204500</v>
      </c>
      <c r="D233" s="81">
        <f t="shared" si="89"/>
        <v>4418041.4620100781</v>
      </c>
      <c r="E233" s="8">
        <v>367359000</v>
      </c>
      <c r="F233" s="81">
        <f t="shared" si="112"/>
        <v>5257605.463285258</v>
      </c>
      <c r="G233" s="81">
        <f t="shared" si="90"/>
        <v>9675647</v>
      </c>
      <c r="H233" s="127">
        <f t="shared" si="91"/>
        <v>23138036.430427063</v>
      </c>
      <c r="I233" s="347">
        <f t="shared" si="92"/>
        <v>0.41817061828445806</v>
      </c>
      <c r="J233" s="33">
        <f t="shared" si="85"/>
        <v>19088880</v>
      </c>
      <c r="K233" s="33">
        <f t="shared" si="93"/>
        <v>9675647</v>
      </c>
      <c r="L233" s="126">
        <f t="shared" si="94"/>
        <v>41.82</v>
      </c>
      <c r="M233" s="470"/>
      <c r="N233" s="128">
        <v>8819498</v>
      </c>
      <c r="O233" s="449">
        <v>4.1399999999999999E-2</v>
      </c>
      <c r="P233" s="33">
        <f t="shared" si="95"/>
        <v>9184625</v>
      </c>
      <c r="Q233" s="57">
        <f t="shared" si="96"/>
        <v>39.694919781187664</v>
      </c>
      <c r="R233" s="57">
        <f t="shared" si="97"/>
        <v>2.1250802188123359</v>
      </c>
      <c r="S233" s="88">
        <f t="shared" si="98"/>
        <v>0</v>
      </c>
      <c r="T233" s="33">
        <f t="shared" si="99"/>
        <v>0</v>
      </c>
      <c r="U233" s="9">
        <f t="shared" si="100"/>
        <v>0</v>
      </c>
      <c r="V233" s="9">
        <f t="shared" si="86"/>
        <v>0</v>
      </c>
      <c r="W233" s="9">
        <f t="shared" si="101"/>
        <v>0</v>
      </c>
      <c r="X233" s="127">
        <f>MIN(H233*parameters!C$22,ROUND(P233+T233-V233+W233,0))</f>
        <v>9184625</v>
      </c>
      <c r="Y233" s="94">
        <f t="shared" si="102"/>
        <v>39.694919781187664</v>
      </c>
      <c r="AA233" s="33">
        <f t="shared" si="103"/>
        <v>-491022</v>
      </c>
      <c r="AB233" s="33">
        <f t="shared" si="104"/>
        <v>-491022</v>
      </c>
      <c r="AC233" s="33">
        <f t="shared" si="105"/>
        <v>0</v>
      </c>
      <c r="AD233" s="57">
        <f t="shared" si="106"/>
        <v>-2.1250802188123359</v>
      </c>
      <c r="AG233" s="609" t="str">
        <f t="shared" si="107"/>
        <v>227</v>
      </c>
      <c r="AH233" s="388" t="str">
        <f t="shared" si="108"/>
        <v>Palmer</v>
      </c>
      <c r="AI233" s="380">
        <f t="shared" si="109"/>
        <v>0.41817061828445806</v>
      </c>
      <c r="AJ233" s="381">
        <f t="shared" si="87"/>
        <v>41.82</v>
      </c>
      <c r="AK233" s="380">
        <f t="shared" si="110"/>
        <v>4.1399999999999999E-2</v>
      </c>
      <c r="AL233" s="9">
        <f t="shared" si="88"/>
        <v>9184625</v>
      </c>
      <c r="AM233" s="57">
        <f t="shared" si="111"/>
        <v>-2.1250802188123359</v>
      </c>
    </row>
    <row r="234" spans="1:39" ht="12.75" customHeight="1">
      <c r="A234" s="6">
        <v>228</v>
      </c>
      <c r="B234" s="6" t="s">
        <v>909</v>
      </c>
      <c r="C234" s="81">
        <v>657742900</v>
      </c>
      <c r="D234" s="81">
        <f t="shared" si="89"/>
        <v>2568886.0003144867</v>
      </c>
      <c r="E234" s="8">
        <v>239601000</v>
      </c>
      <c r="F234" s="81">
        <f t="shared" si="112"/>
        <v>3429145.6765959486</v>
      </c>
      <c r="G234" s="81">
        <f t="shared" si="90"/>
        <v>5998032</v>
      </c>
      <c r="H234" s="127">
        <f t="shared" si="91"/>
        <v>8662963.7634369135</v>
      </c>
      <c r="I234" s="347">
        <f t="shared" si="92"/>
        <v>0.69237643880208988</v>
      </c>
      <c r="J234" s="33">
        <f t="shared" si="85"/>
        <v>7146945</v>
      </c>
      <c r="K234" s="33">
        <f t="shared" si="93"/>
        <v>5998032</v>
      </c>
      <c r="L234" s="126">
        <f t="shared" si="94"/>
        <v>69.239999999999995</v>
      </c>
      <c r="M234" s="470"/>
      <c r="N234" s="128">
        <v>5293757</v>
      </c>
      <c r="O234" s="449">
        <v>3.3700000000000001E-2</v>
      </c>
      <c r="P234" s="33">
        <f t="shared" si="95"/>
        <v>5472157</v>
      </c>
      <c r="Q234" s="57">
        <f t="shared" si="96"/>
        <v>63.167261798968852</v>
      </c>
      <c r="R234" s="57">
        <f t="shared" si="97"/>
        <v>6.072738201031143</v>
      </c>
      <c r="S234" s="88">
        <f t="shared" si="98"/>
        <v>0.01</v>
      </c>
      <c r="T234" s="33">
        <f t="shared" si="99"/>
        <v>52938</v>
      </c>
      <c r="U234" s="9">
        <f t="shared" si="100"/>
        <v>0</v>
      </c>
      <c r="V234" s="9">
        <f t="shared" si="86"/>
        <v>0</v>
      </c>
      <c r="W234" s="9">
        <f t="shared" si="101"/>
        <v>0</v>
      </c>
      <c r="X234" s="127">
        <f>MIN(H234*parameters!C$22,ROUND(P234+T234-V234+W234,0))</f>
        <v>5525095</v>
      </c>
      <c r="Y234" s="94">
        <f t="shared" si="102"/>
        <v>63.7783459665309</v>
      </c>
      <c r="AA234" s="33">
        <f t="shared" si="103"/>
        <v>-525875</v>
      </c>
      <c r="AB234" s="33">
        <f t="shared" si="104"/>
        <v>-472937</v>
      </c>
      <c r="AC234" s="33">
        <f t="shared" si="105"/>
        <v>0</v>
      </c>
      <c r="AD234" s="57">
        <f t="shared" si="106"/>
        <v>-5.4616540334690953</v>
      </c>
      <c r="AG234" s="609" t="str">
        <f t="shared" si="107"/>
        <v>228</v>
      </c>
      <c r="AH234" s="388" t="str">
        <f t="shared" si="108"/>
        <v>Paxton</v>
      </c>
      <c r="AI234" s="380">
        <f t="shared" si="109"/>
        <v>0.69237643880208988</v>
      </c>
      <c r="AJ234" s="381">
        <f t="shared" si="87"/>
        <v>69.239999999999995</v>
      </c>
      <c r="AK234" s="380">
        <f t="shared" si="110"/>
        <v>3.3700000000000001E-2</v>
      </c>
      <c r="AL234" s="9">
        <f t="shared" si="88"/>
        <v>5525095</v>
      </c>
      <c r="AM234" s="57">
        <f t="shared" si="111"/>
        <v>-5.4616540334690953</v>
      </c>
    </row>
    <row r="235" spans="1:39" ht="12.75" customHeight="1">
      <c r="A235" s="6">
        <v>229</v>
      </c>
      <c r="B235" s="6" t="s">
        <v>910</v>
      </c>
      <c r="C235" s="81">
        <v>9902814600</v>
      </c>
      <c r="D235" s="81">
        <f t="shared" si="89"/>
        <v>38676512.950044625</v>
      </c>
      <c r="E235" s="8">
        <v>2173171000</v>
      </c>
      <c r="F235" s="81">
        <f t="shared" si="112"/>
        <v>31102207.165887013</v>
      </c>
      <c r="G235" s="81">
        <f t="shared" si="90"/>
        <v>69778720</v>
      </c>
      <c r="H235" s="127">
        <f t="shared" si="91"/>
        <v>103702813.05135216</v>
      </c>
      <c r="I235" s="347">
        <f t="shared" si="92"/>
        <v>0.67287200748784481</v>
      </c>
      <c r="J235" s="33">
        <f t="shared" si="85"/>
        <v>85554821</v>
      </c>
      <c r="K235" s="33">
        <f t="shared" si="93"/>
        <v>69778720</v>
      </c>
      <c r="L235" s="126">
        <f t="shared" si="94"/>
        <v>67.290000000000006</v>
      </c>
      <c r="M235" s="470"/>
      <c r="N235" s="128">
        <v>60430874</v>
      </c>
      <c r="O235" s="449">
        <v>3.8699999999999998E-2</v>
      </c>
      <c r="P235" s="33">
        <f t="shared" si="95"/>
        <v>62769549</v>
      </c>
      <c r="Q235" s="57">
        <f t="shared" si="96"/>
        <v>60.528299236123338</v>
      </c>
      <c r="R235" s="57">
        <f t="shared" si="97"/>
        <v>6.761700763876668</v>
      </c>
      <c r="S235" s="88">
        <f t="shared" si="98"/>
        <v>0.01</v>
      </c>
      <c r="T235" s="33">
        <f t="shared" si="99"/>
        <v>604309</v>
      </c>
      <c r="U235" s="9">
        <f t="shared" si="100"/>
        <v>0</v>
      </c>
      <c r="V235" s="9">
        <f t="shared" si="86"/>
        <v>0</v>
      </c>
      <c r="W235" s="9">
        <f t="shared" si="101"/>
        <v>0</v>
      </c>
      <c r="X235" s="127">
        <f>MIN(H235*parameters!C$22,ROUND(P235+T235-V235+W235,0))</f>
        <v>63373858</v>
      </c>
      <c r="Y235" s="94">
        <f t="shared" si="102"/>
        <v>61.111030776588642</v>
      </c>
      <c r="AA235" s="33">
        <f t="shared" si="103"/>
        <v>-7009171</v>
      </c>
      <c r="AB235" s="33">
        <f t="shared" si="104"/>
        <v>-6404862</v>
      </c>
      <c r="AC235" s="33">
        <f t="shared" si="105"/>
        <v>0</v>
      </c>
      <c r="AD235" s="57">
        <f t="shared" si="106"/>
        <v>-6.1789692234113645</v>
      </c>
      <c r="AG235" s="609" t="str">
        <f t="shared" si="107"/>
        <v>229</v>
      </c>
      <c r="AH235" s="388" t="str">
        <f t="shared" si="108"/>
        <v>Peabody</v>
      </c>
      <c r="AI235" s="380">
        <f t="shared" si="109"/>
        <v>0.67287200748784481</v>
      </c>
      <c r="AJ235" s="381">
        <f t="shared" si="87"/>
        <v>67.290000000000006</v>
      </c>
      <c r="AK235" s="380">
        <f t="shared" si="110"/>
        <v>3.8699999999999998E-2</v>
      </c>
      <c r="AL235" s="9">
        <f t="shared" si="88"/>
        <v>63373858</v>
      </c>
      <c r="AM235" s="57">
        <f t="shared" si="111"/>
        <v>-6.1789692234113645</v>
      </c>
    </row>
    <row r="236" spans="1:39" ht="12.75" customHeight="1">
      <c r="A236" s="6">
        <v>230</v>
      </c>
      <c r="B236" s="6" t="s">
        <v>911</v>
      </c>
      <c r="C236" s="81">
        <v>202643200</v>
      </c>
      <c r="D236" s="81">
        <f t="shared" si="89"/>
        <v>791444.92405608424</v>
      </c>
      <c r="E236" s="8">
        <v>69821000</v>
      </c>
      <c r="F236" s="81">
        <f t="shared" si="112"/>
        <v>999271.20623705967</v>
      </c>
      <c r="G236" s="81">
        <f t="shared" si="90"/>
        <v>1790716</v>
      </c>
      <c r="H236" s="127">
        <f t="shared" si="91"/>
        <v>1979736.813818844</v>
      </c>
      <c r="I236" s="347">
        <f t="shared" si="92"/>
        <v>0.9045222513924821</v>
      </c>
      <c r="J236" s="33">
        <f t="shared" si="85"/>
        <v>1633283</v>
      </c>
      <c r="K236" s="33">
        <f t="shared" si="93"/>
        <v>1633283</v>
      </c>
      <c r="L236" s="126">
        <f t="shared" si="94"/>
        <v>82.5</v>
      </c>
      <c r="M236" s="470"/>
      <c r="N236" s="128">
        <v>1373567</v>
      </c>
      <c r="O236" s="449">
        <v>2.81E-2</v>
      </c>
      <c r="P236" s="33">
        <f t="shared" si="95"/>
        <v>1412164</v>
      </c>
      <c r="Q236" s="57">
        <f t="shared" si="96"/>
        <v>71.33089560909788</v>
      </c>
      <c r="R236" s="57">
        <f t="shared" si="97"/>
        <v>11.16910439090212</v>
      </c>
      <c r="S236" s="88">
        <f t="shared" si="98"/>
        <v>0.02</v>
      </c>
      <c r="T236" s="33">
        <f t="shared" si="99"/>
        <v>27471</v>
      </c>
      <c r="U236" s="9">
        <f t="shared" si="100"/>
        <v>0</v>
      </c>
      <c r="V236" s="9">
        <f t="shared" si="86"/>
        <v>0</v>
      </c>
      <c r="W236" s="9">
        <f t="shared" si="101"/>
        <v>0</v>
      </c>
      <c r="X236" s="127">
        <f>MIN(H236*parameters!C$22,ROUND(P236+T236-V236+W236,0))</f>
        <v>1439635</v>
      </c>
      <c r="Y236" s="94">
        <f t="shared" si="102"/>
        <v>72.718504295679267</v>
      </c>
      <c r="AA236" s="33">
        <f t="shared" si="103"/>
        <v>-221119</v>
      </c>
      <c r="AB236" s="33">
        <f t="shared" si="104"/>
        <v>-193648</v>
      </c>
      <c r="AC236" s="33">
        <f t="shared" si="105"/>
        <v>0</v>
      </c>
      <c r="AD236" s="57">
        <f t="shared" si="106"/>
        <v>-9.7814957043207329</v>
      </c>
      <c r="AG236" s="609" t="str">
        <f t="shared" si="107"/>
        <v>230</v>
      </c>
      <c r="AH236" s="388" t="str">
        <f t="shared" si="108"/>
        <v>Pelham</v>
      </c>
      <c r="AI236" s="380">
        <f t="shared" si="109"/>
        <v>0.9045222513924821</v>
      </c>
      <c r="AJ236" s="381">
        <f t="shared" si="87"/>
        <v>82.5</v>
      </c>
      <c r="AK236" s="380">
        <f t="shared" si="110"/>
        <v>2.81E-2</v>
      </c>
      <c r="AL236" s="9">
        <f t="shared" si="88"/>
        <v>1439635</v>
      </c>
      <c r="AM236" s="57">
        <f t="shared" si="111"/>
        <v>-9.7814957043207329</v>
      </c>
    </row>
    <row r="237" spans="1:39" ht="12.75" customHeight="1">
      <c r="A237" s="6">
        <v>231</v>
      </c>
      <c r="B237" s="6" t="s">
        <v>912</v>
      </c>
      <c r="C237" s="81">
        <v>3412515200</v>
      </c>
      <c r="D237" s="81">
        <f t="shared" si="89"/>
        <v>13327947.018721739</v>
      </c>
      <c r="E237" s="8">
        <v>957432000</v>
      </c>
      <c r="F237" s="81">
        <f t="shared" si="112"/>
        <v>13702671.539077936</v>
      </c>
      <c r="G237" s="81">
        <f t="shared" si="90"/>
        <v>27030619</v>
      </c>
      <c r="H237" s="127">
        <f t="shared" si="91"/>
        <v>33089290.707739998</v>
      </c>
      <c r="I237" s="347">
        <f t="shared" si="92"/>
        <v>0.81689931762959189</v>
      </c>
      <c r="J237" s="33">
        <f t="shared" si="85"/>
        <v>27298665</v>
      </c>
      <c r="K237" s="33">
        <f t="shared" si="93"/>
        <v>27030619</v>
      </c>
      <c r="L237" s="126">
        <f t="shared" si="94"/>
        <v>81.69</v>
      </c>
      <c r="M237" s="470"/>
      <c r="N237" s="128">
        <v>23884371</v>
      </c>
      <c r="O237" s="449">
        <v>4.7600000000000003E-2</v>
      </c>
      <c r="P237" s="33">
        <f t="shared" si="95"/>
        <v>25021267</v>
      </c>
      <c r="Q237" s="57">
        <f t="shared" si="96"/>
        <v>75.617417190956033</v>
      </c>
      <c r="R237" s="57">
        <f t="shared" si="97"/>
        <v>6.0725828090439649</v>
      </c>
      <c r="S237" s="88">
        <f t="shared" si="98"/>
        <v>0.01</v>
      </c>
      <c r="T237" s="33">
        <f t="shared" si="99"/>
        <v>238844</v>
      </c>
      <c r="U237" s="9">
        <f t="shared" si="100"/>
        <v>0</v>
      </c>
      <c r="V237" s="9">
        <f t="shared" si="86"/>
        <v>0</v>
      </c>
      <c r="W237" s="9">
        <f t="shared" si="101"/>
        <v>0</v>
      </c>
      <c r="X237" s="127">
        <f>MIN(H237*parameters!C$22,ROUND(P237+T237-V237+W237,0))</f>
        <v>25260111</v>
      </c>
      <c r="Y237" s="94">
        <f t="shared" si="102"/>
        <v>76.339233811655404</v>
      </c>
      <c r="AA237" s="33">
        <f t="shared" si="103"/>
        <v>-2009352</v>
      </c>
      <c r="AB237" s="33">
        <f t="shared" si="104"/>
        <v>-1770508</v>
      </c>
      <c r="AC237" s="33">
        <f t="shared" si="105"/>
        <v>0</v>
      </c>
      <c r="AD237" s="57">
        <f t="shared" si="106"/>
        <v>-5.3507661883445934</v>
      </c>
      <c r="AG237" s="609" t="str">
        <f t="shared" si="107"/>
        <v>231</v>
      </c>
      <c r="AH237" s="388" t="str">
        <f t="shared" si="108"/>
        <v>Pembroke</v>
      </c>
      <c r="AI237" s="380">
        <f t="shared" si="109"/>
        <v>0.81689931762959189</v>
      </c>
      <c r="AJ237" s="381">
        <f t="shared" si="87"/>
        <v>81.69</v>
      </c>
      <c r="AK237" s="380">
        <f t="shared" si="110"/>
        <v>4.7600000000000003E-2</v>
      </c>
      <c r="AL237" s="9">
        <f t="shared" si="88"/>
        <v>25260111</v>
      </c>
      <c r="AM237" s="57">
        <f t="shared" si="111"/>
        <v>-5.3507661883445934</v>
      </c>
    </row>
    <row r="238" spans="1:39" ht="12.75" customHeight="1">
      <c r="A238" s="6">
        <v>232</v>
      </c>
      <c r="B238" s="6" t="s">
        <v>913</v>
      </c>
      <c r="C238" s="81">
        <v>1671752500</v>
      </c>
      <c r="D238" s="81">
        <f t="shared" si="89"/>
        <v>6529210.111185912</v>
      </c>
      <c r="E238" s="8">
        <v>574168000</v>
      </c>
      <c r="F238" s="81">
        <f t="shared" si="112"/>
        <v>8217435.2980152117</v>
      </c>
      <c r="G238" s="81">
        <f t="shared" si="90"/>
        <v>14746645</v>
      </c>
      <c r="H238" s="127">
        <f t="shared" si="91"/>
        <v>22801370.768485688</v>
      </c>
      <c r="I238" s="347">
        <f t="shared" si="92"/>
        <v>0.64674379228031698</v>
      </c>
      <c r="J238" s="33">
        <f t="shared" si="85"/>
        <v>18811131</v>
      </c>
      <c r="K238" s="33">
        <f t="shared" si="93"/>
        <v>14746645</v>
      </c>
      <c r="L238" s="126">
        <f t="shared" si="94"/>
        <v>64.67</v>
      </c>
      <c r="M238" s="470"/>
      <c r="N238" s="128">
        <v>12638892</v>
      </c>
      <c r="O238" s="449">
        <v>3.7999999999999999E-2</v>
      </c>
      <c r="P238" s="33">
        <f t="shared" si="95"/>
        <v>13119170</v>
      </c>
      <c r="Q238" s="57">
        <f t="shared" si="96"/>
        <v>57.536760106249027</v>
      </c>
      <c r="R238" s="57">
        <f t="shared" si="97"/>
        <v>7.1332398937509751</v>
      </c>
      <c r="S238" s="88">
        <f t="shared" si="98"/>
        <v>0.01</v>
      </c>
      <c r="T238" s="33">
        <f t="shared" si="99"/>
        <v>126389</v>
      </c>
      <c r="U238" s="9">
        <f t="shared" si="100"/>
        <v>0</v>
      </c>
      <c r="V238" s="9">
        <f t="shared" si="86"/>
        <v>0</v>
      </c>
      <c r="W238" s="9">
        <f t="shared" si="101"/>
        <v>0</v>
      </c>
      <c r="X238" s="127">
        <f>MIN(H238*parameters!C$22,ROUND(P238+T238-V238+W238,0))</f>
        <v>13245559</v>
      </c>
      <c r="Y238" s="94">
        <f t="shared" si="102"/>
        <v>58.091064499977342</v>
      </c>
      <c r="AA238" s="33">
        <f t="shared" si="103"/>
        <v>-1627475</v>
      </c>
      <c r="AB238" s="33">
        <f t="shared" si="104"/>
        <v>-1501086</v>
      </c>
      <c r="AC238" s="33">
        <f t="shared" si="105"/>
        <v>0</v>
      </c>
      <c r="AD238" s="57">
        <f t="shared" si="106"/>
        <v>-6.5789355000226593</v>
      </c>
      <c r="AG238" s="609" t="str">
        <f t="shared" si="107"/>
        <v>232</v>
      </c>
      <c r="AH238" s="388" t="str">
        <f t="shared" si="108"/>
        <v>Pepperell</v>
      </c>
      <c r="AI238" s="380">
        <f t="shared" si="109"/>
        <v>0.64674379228031698</v>
      </c>
      <c r="AJ238" s="381">
        <f t="shared" si="87"/>
        <v>64.67</v>
      </c>
      <c r="AK238" s="380">
        <f t="shared" si="110"/>
        <v>3.7999999999999999E-2</v>
      </c>
      <c r="AL238" s="9">
        <f t="shared" si="88"/>
        <v>13245559</v>
      </c>
      <c r="AM238" s="57">
        <f t="shared" si="111"/>
        <v>-6.5789355000226593</v>
      </c>
    </row>
    <row r="239" spans="1:39" ht="12.75" customHeight="1">
      <c r="A239" s="6">
        <v>233</v>
      </c>
      <c r="B239" s="6" t="s">
        <v>914</v>
      </c>
      <c r="C239" s="81">
        <v>114245700</v>
      </c>
      <c r="D239" s="81">
        <f t="shared" si="89"/>
        <v>446198.93171956512</v>
      </c>
      <c r="E239" s="8">
        <v>21151000</v>
      </c>
      <c r="F239" s="81">
        <f t="shared" si="112"/>
        <v>302711.00790765026</v>
      </c>
      <c r="G239" s="81">
        <f t="shared" si="90"/>
        <v>748910</v>
      </c>
      <c r="H239" s="127">
        <f t="shared" si="91"/>
        <v>1482291.4473371468</v>
      </c>
      <c r="I239" s="347">
        <f t="shared" si="92"/>
        <v>0.50523802275549434</v>
      </c>
      <c r="J239" s="33">
        <f t="shared" si="85"/>
        <v>1222890</v>
      </c>
      <c r="K239" s="33">
        <f t="shared" si="93"/>
        <v>748910</v>
      </c>
      <c r="L239" s="126">
        <f t="shared" si="94"/>
        <v>50.52</v>
      </c>
      <c r="M239" s="470"/>
      <c r="N239" s="128">
        <v>634874</v>
      </c>
      <c r="O239" s="449">
        <v>3.8399999999999997E-2</v>
      </c>
      <c r="P239" s="33">
        <f t="shared" si="95"/>
        <v>659253</v>
      </c>
      <c r="Q239" s="57">
        <f t="shared" si="96"/>
        <v>44.475261675719096</v>
      </c>
      <c r="R239" s="57">
        <f t="shared" si="97"/>
        <v>6.0447383242809067</v>
      </c>
      <c r="S239" s="88">
        <f t="shared" si="98"/>
        <v>0.01</v>
      </c>
      <c r="T239" s="33">
        <f t="shared" si="99"/>
        <v>6349</v>
      </c>
      <c r="U239" s="9">
        <f t="shared" si="100"/>
        <v>0</v>
      </c>
      <c r="V239" s="9">
        <f t="shared" si="86"/>
        <v>0</v>
      </c>
      <c r="W239" s="9">
        <f t="shared" si="101"/>
        <v>0</v>
      </c>
      <c r="X239" s="127">
        <f>MIN(H239*parameters!C$22,ROUND(P239+T239-V239+W239,0))</f>
        <v>665602</v>
      </c>
      <c r="Y239" s="94">
        <f t="shared" si="102"/>
        <v>44.903584999813397</v>
      </c>
      <c r="AA239" s="33">
        <f t="shared" si="103"/>
        <v>-89657</v>
      </c>
      <c r="AB239" s="33">
        <f t="shared" si="104"/>
        <v>-83308</v>
      </c>
      <c r="AC239" s="33">
        <f t="shared" si="105"/>
        <v>0</v>
      </c>
      <c r="AD239" s="57">
        <f t="shared" si="106"/>
        <v>-5.6164150001866062</v>
      </c>
      <c r="AG239" s="609" t="str">
        <f t="shared" si="107"/>
        <v>233</v>
      </c>
      <c r="AH239" s="388" t="str">
        <f t="shared" si="108"/>
        <v>Peru</v>
      </c>
      <c r="AI239" s="380">
        <f t="shared" si="109"/>
        <v>0.50523802275549434</v>
      </c>
      <c r="AJ239" s="381">
        <f t="shared" si="87"/>
        <v>50.52</v>
      </c>
      <c r="AK239" s="380">
        <f t="shared" si="110"/>
        <v>3.8399999999999997E-2</v>
      </c>
      <c r="AL239" s="9">
        <f t="shared" si="88"/>
        <v>665602</v>
      </c>
      <c r="AM239" s="57">
        <f t="shared" si="111"/>
        <v>-5.6164150001866062</v>
      </c>
    </row>
    <row r="240" spans="1:39" ht="12.75" customHeight="1">
      <c r="A240" s="6">
        <v>234</v>
      </c>
      <c r="B240" s="6" t="s">
        <v>915</v>
      </c>
      <c r="C240" s="81">
        <v>190689500</v>
      </c>
      <c r="D240" s="81">
        <f t="shared" si="89"/>
        <v>744758.45646827866</v>
      </c>
      <c r="E240" s="8">
        <v>55544000</v>
      </c>
      <c r="F240" s="81">
        <f t="shared" si="112"/>
        <v>794940.20250685676</v>
      </c>
      <c r="G240" s="81">
        <f t="shared" si="90"/>
        <v>1539699</v>
      </c>
      <c r="H240" s="127">
        <f t="shared" si="91"/>
        <v>2376891.8812539526</v>
      </c>
      <c r="I240" s="347">
        <f t="shared" si="92"/>
        <v>0.64777830752138232</v>
      </c>
      <c r="J240" s="33">
        <f t="shared" si="85"/>
        <v>1960936</v>
      </c>
      <c r="K240" s="33">
        <f t="shared" si="93"/>
        <v>1539699</v>
      </c>
      <c r="L240" s="126">
        <f t="shared" si="94"/>
        <v>64.78</v>
      </c>
      <c r="M240" s="470"/>
      <c r="N240" s="128">
        <v>1256560</v>
      </c>
      <c r="O240" s="449">
        <v>2.6800000000000001E-2</v>
      </c>
      <c r="P240" s="33">
        <f t="shared" si="95"/>
        <v>1290236</v>
      </c>
      <c r="Q240" s="57">
        <f t="shared" si="96"/>
        <v>54.282485887381775</v>
      </c>
      <c r="R240" s="57">
        <f t="shared" si="97"/>
        <v>10.497514112618227</v>
      </c>
      <c r="S240" s="88">
        <f t="shared" si="98"/>
        <v>0.02</v>
      </c>
      <c r="T240" s="33">
        <f t="shared" si="99"/>
        <v>25131</v>
      </c>
      <c r="U240" s="9">
        <f t="shared" si="100"/>
        <v>0</v>
      </c>
      <c r="V240" s="9">
        <f t="shared" si="86"/>
        <v>0</v>
      </c>
      <c r="W240" s="9">
        <f t="shared" si="101"/>
        <v>0</v>
      </c>
      <c r="X240" s="127">
        <f>MIN(H240*parameters!C$22,ROUND(P240+T240-V240+W240,0))</f>
        <v>1315367</v>
      </c>
      <c r="Y240" s="94">
        <f t="shared" si="102"/>
        <v>55.339791026004313</v>
      </c>
      <c r="AA240" s="33">
        <f t="shared" si="103"/>
        <v>-249463</v>
      </c>
      <c r="AB240" s="33">
        <f t="shared" si="104"/>
        <v>-224332</v>
      </c>
      <c r="AC240" s="33">
        <f t="shared" si="105"/>
        <v>0</v>
      </c>
      <c r="AD240" s="57">
        <f t="shared" si="106"/>
        <v>-9.4402089739956878</v>
      </c>
      <c r="AG240" s="609" t="str">
        <f t="shared" si="107"/>
        <v>234</v>
      </c>
      <c r="AH240" s="388" t="str">
        <f t="shared" si="108"/>
        <v>Petersham</v>
      </c>
      <c r="AI240" s="380">
        <f t="shared" si="109"/>
        <v>0.64777830752138232</v>
      </c>
      <c r="AJ240" s="381">
        <f t="shared" si="87"/>
        <v>64.78</v>
      </c>
      <c r="AK240" s="380">
        <f t="shared" si="110"/>
        <v>2.6800000000000001E-2</v>
      </c>
      <c r="AL240" s="9">
        <f t="shared" si="88"/>
        <v>1315367</v>
      </c>
      <c r="AM240" s="57">
        <f t="shared" si="111"/>
        <v>-9.4402089739956878</v>
      </c>
    </row>
    <row r="241" spans="1:39" ht="12.75" customHeight="1">
      <c r="A241" s="6">
        <v>235</v>
      </c>
      <c r="B241" s="6" t="s">
        <v>916</v>
      </c>
      <c r="C241" s="81">
        <v>265707500</v>
      </c>
      <c r="D241" s="81">
        <f t="shared" si="89"/>
        <v>1037749.3651829028</v>
      </c>
      <c r="E241" s="8">
        <v>63687000</v>
      </c>
      <c r="F241" s="81">
        <f t="shared" si="112"/>
        <v>911482.00844473182</v>
      </c>
      <c r="G241" s="81">
        <f t="shared" si="90"/>
        <v>1949231</v>
      </c>
      <c r="H241" s="127">
        <f t="shared" si="91"/>
        <v>3465236.9437809866</v>
      </c>
      <c r="I241" s="347">
        <f t="shared" si="92"/>
        <v>0.56251016355411376</v>
      </c>
      <c r="J241" s="33">
        <f t="shared" si="85"/>
        <v>2858820</v>
      </c>
      <c r="K241" s="33">
        <f t="shared" si="93"/>
        <v>1949231</v>
      </c>
      <c r="L241" s="126">
        <f t="shared" si="94"/>
        <v>56.25</v>
      </c>
      <c r="M241" s="470"/>
      <c r="N241" s="128">
        <v>1678064</v>
      </c>
      <c r="O241" s="449">
        <v>3.0200000000000001E-2</v>
      </c>
      <c r="P241" s="33">
        <f t="shared" si="95"/>
        <v>1728742</v>
      </c>
      <c r="Q241" s="57">
        <f t="shared" si="96"/>
        <v>49.888132559089492</v>
      </c>
      <c r="R241" s="57">
        <f t="shared" si="97"/>
        <v>6.3618674409105083</v>
      </c>
      <c r="S241" s="88">
        <f t="shared" si="98"/>
        <v>0.01</v>
      </c>
      <c r="T241" s="33">
        <f t="shared" si="99"/>
        <v>16781</v>
      </c>
      <c r="U241" s="9">
        <f t="shared" si="100"/>
        <v>0</v>
      </c>
      <c r="V241" s="9">
        <f t="shared" si="86"/>
        <v>0</v>
      </c>
      <c r="W241" s="9">
        <f t="shared" si="101"/>
        <v>0</v>
      </c>
      <c r="X241" s="127">
        <f>MIN(H241*parameters!C$22,ROUND(P241+T241-V241+W241,0))</f>
        <v>1745523</v>
      </c>
      <c r="Y241" s="94">
        <f t="shared" si="102"/>
        <v>50.372399588220546</v>
      </c>
      <c r="AA241" s="33">
        <f t="shared" si="103"/>
        <v>-220489</v>
      </c>
      <c r="AB241" s="33">
        <f t="shared" si="104"/>
        <v>-203708</v>
      </c>
      <c r="AC241" s="33">
        <f t="shared" si="105"/>
        <v>0</v>
      </c>
      <c r="AD241" s="57">
        <f t="shared" si="106"/>
        <v>-5.8776004117794542</v>
      </c>
      <c r="AG241" s="609" t="str">
        <f t="shared" si="107"/>
        <v>235</v>
      </c>
      <c r="AH241" s="388" t="str">
        <f t="shared" si="108"/>
        <v>Phillipston</v>
      </c>
      <c r="AI241" s="380">
        <f t="shared" si="109"/>
        <v>0.56251016355411376</v>
      </c>
      <c r="AJ241" s="381">
        <f t="shared" si="87"/>
        <v>56.25</v>
      </c>
      <c r="AK241" s="380">
        <f t="shared" si="110"/>
        <v>3.0200000000000001E-2</v>
      </c>
      <c r="AL241" s="9">
        <f t="shared" si="88"/>
        <v>1745523</v>
      </c>
      <c r="AM241" s="57">
        <f t="shared" si="111"/>
        <v>-5.8776004117794542</v>
      </c>
    </row>
    <row r="242" spans="1:39" ht="12.75" customHeight="1">
      <c r="A242" s="6">
        <v>236</v>
      </c>
      <c r="B242" s="6" t="s">
        <v>917</v>
      </c>
      <c r="C242" s="81">
        <v>4240409000</v>
      </c>
      <c r="D242" s="81">
        <f t="shared" si="89"/>
        <v>16561375.752908245</v>
      </c>
      <c r="E242" s="8">
        <v>1364118000</v>
      </c>
      <c r="F242" s="81">
        <f t="shared" si="112"/>
        <v>19523121.11413021</v>
      </c>
      <c r="G242" s="81">
        <f t="shared" si="90"/>
        <v>36084497</v>
      </c>
      <c r="H242" s="127">
        <f t="shared" si="91"/>
        <v>97815674.270000011</v>
      </c>
      <c r="I242" s="347">
        <f t="shared" si="92"/>
        <v>0.36890301344134463</v>
      </c>
      <c r="J242" s="33">
        <f t="shared" si="85"/>
        <v>80697931</v>
      </c>
      <c r="K242" s="33">
        <f t="shared" si="93"/>
        <v>36084497</v>
      </c>
      <c r="L242" s="126">
        <f t="shared" si="94"/>
        <v>36.89</v>
      </c>
      <c r="M242" s="470"/>
      <c r="N242" s="128">
        <v>32068500</v>
      </c>
      <c r="O242" s="449">
        <v>4.5699999999999991E-2</v>
      </c>
      <c r="P242" s="33">
        <f t="shared" si="95"/>
        <v>33534030</v>
      </c>
      <c r="Q242" s="57">
        <f t="shared" si="96"/>
        <v>34.282879763662642</v>
      </c>
      <c r="R242" s="57">
        <f t="shared" si="97"/>
        <v>2.6071202363373587</v>
      </c>
      <c r="S242" s="88">
        <f t="shared" si="98"/>
        <v>0.01</v>
      </c>
      <c r="T242" s="33">
        <f t="shared" si="99"/>
        <v>320685</v>
      </c>
      <c r="U242" s="9">
        <f t="shared" si="100"/>
        <v>0</v>
      </c>
      <c r="V242" s="9">
        <f t="shared" si="86"/>
        <v>0</v>
      </c>
      <c r="W242" s="9">
        <f t="shared" si="101"/>
        <v>0</v>
      </c>
      <c r="X242" s="127">
        <f>MIN(H242*parameters!C$22,ROUND(P242+T242-V242+W242,0))</f>
        <v>33854715</v>
      </c>
      <c r="Y242" s="94">
        <f t="shared" si="102"/>
        <v>34.610725993209471</v>
      </c>
      <c r="AA242" s="33">
        <f t="shared" si="103"/>
        <v>-2550467</v>
      </c>
      <c r="AB242" s="33">
        <f t="shared" si="104"/>
        <v>-2229782</v>
      </c>
      <c r="AC242" s="33">
        <f t="shared" si="105"/>
        <v>0</v>
      </c>
      <c r="AD242" s="57">
        <f t="shared" si="106"/>
        <v>-2.2792740067905299</v>
      </c>
      <c r="AG242" s="609" t="str">
        <f t="shared" si="107"/>
        <v>236</v>
      </c>
      <c r="AH242" s="388" t="str">
        <f t="shared" si="108"/>
        <v>Pittsfield</v>
      </c>
      <c r="AI242" s="380">
        <f t="shared" si="109"/>
        <v>0.36890301344134463</v>
      </c>
      <c r="AJ242" s="381">
        <f t="shared" si="87"/>
        <v>36.89</v>
      </c>
      <c r="AK242" s="380">
        <f t="shared" si="110"/>
        <v>4.5699999999999991E-2</v>
      </c>
      <c r="AL242" s="9">
        <f t="shared" si="88"/>
        <v>33854715</v>
      </c>
      <c r="AM242" s="57">
        <f t="shared" si="111"/>
        <v>-2.2792740067905299</v>
      </c>
    </row>
    <row r="243" spans="1:39" ht="12.75" customHeight="1">
      <c r="A243" s="6">
        <v>237</v>
      </c>
      <c r="B243" s="6" t="s">
        <v>918</v>
      </c>
      <c r="C243" s="81">
        <v>120158000</v>
      </c>
      <c r="D243" s="81">
        <f t="shared" si="89"/>
        <v>469290.05851038167</v>
      </c>
      <c r="E243" s="8">
        <v>20269000</v>
      </c>
      <c r="F243" s="81">
        <f t="shared" si="112"/>
        <v>290087.91164862952</v>
      </c>
      <c r="G243" s="81">
        <f t="shared" si="90"/>
        <v>759378</v>
      </c>
      <c r="H243" s="127">
        <f t="shared" si="91"/>
        <v>1010268.7721221654</v>
      </c>
      <c r="I243" s="347">
        <f t="shared" si="92"/>
        <v>0.75165938110197594</v>
      </c>
      <c r="J243" s="33">
        <f t="shared" si="85"/>
        <v>833472</v>
      </c>
      <c r="K243" s="33">
        <f t="shared" si="93"/>
        <v>759378</v>
      </c>
      <c r="L243" s="126">
        <f t="shared" si="94"/>
        <v>75.17</v>
      </c>
      <c r="M243" s="470"/>
      <c r="N243" s="128">
        <v>649865</v>
      </c>
      <c r="O243" s="449">
        <v>5.0999999999999997E-2</v>
      </c>
      <c r="P243" s="33">
        <f t="shared" si="95"/>
        <v>683008</v>
      </c>
      <c r="Q243" s="57">
        <f t="shared" si="96"/>
        <v>67.606563604383894</v>
      </c>
      <c r="R243" s="57">
        <f t="shared" si="97"/>
        <v>7.5634363956161081</v>
      </c>
      <c r="S243" s="88">
        <f t="shared" si="98"/>
        <v>0.02</v>
      </c>
      <c r="T243" s="33">
        <f t="shared" si="99"/>
        <v>12997</v>
      </c>
      <c r="U243" s="9">
        <f t="shared" si="100"/>
        <v>0</v>
      </c>
      <c r="V243" s="9">
        <f t="shared" si="86"/>
        <v>0</v>
      </c>
      <c r="W243" s="9">
        <f t="shared" si="101"/>
        <v>0</v>
      </c>
      <c r="X243" s="127">
        <f>MIN(H243*parameters!C$22,ROUND(P243+T243-V243+W243,0))</f>
        <v>696005</v>
      </c>
      <c r="Y243" s="94">
        <f t="shared" si="102"/>
        <v>68.893052938573504</v>
      </c>
      <c r="AA243" s="33">
        <f t="shared" si="103"/>
        <v>-76370</v>
      </c>
      <c r="AB243" s="33">
        <f t="shared" si="104"/>
        <v>-63373</v>
      </c>
      <c r="AC243" s="33">
        <f t="shared" si="105"/>
        <v>0</v>
      </c>
      <c r="AD243" s="57">
        <f t="shared" si="106"/>
        <v>-6.2769470614264975</v>
      </c>
      <c r="AG243" s="609" t="str">
        <f t="shared" si="107"/>
        <v>237</v>
      </c>
      <c r="AH243" s="388" t="str">
        <f t="shared" si="108"/>
        <v>Plainfield</v>
      </c>
      <c r="AI243" s="380">
        <f t="shared" si="109"/>
        <v>0.75165938110197594</v>
      </c>
      <c r="AJ243" s="381">
        <f t="shared" si="87"/>
        <v>75.17</v>
      </c>
      <c r="AK243" s="380">
        <f t="shared" si="110"/>
        <v>5.0999999999999997E-2</v>
      </c>
      <c r="AL243" s="9">
        <f t="shared" si="88"/>
        <v>696005</v>
      </c>
      <c r="AM243" s="57">
        <f t="shared" si="111"/>
        <v>-6.2769470614264975</v>
      </c>
    </row>
    <row r="244" spans="1:39" ht="12.75" customHeight="1">
      <c r="A244" s="6">
        <v>238</v>
      </c>
      <c r="B244" s="6" t="s">
        <v>919</v>
      </c>
      <c r="C244" s="81">
        <v>1865402800</v>
      </c>
      <c r="D244" s="81">
        <f t="shared" si="89"/>
        <v>7285532.2921272805</v>
      </c>
      <c r="E244" s="8">
        <v>498055000</v>
      </c>
      <c r="F244" s="81">
        <f t="shared" si="112"/>
        <v>7128113.6137035955</v>
      </c>
      <c r="G244" s="81">
        <f t="shared" si="90"/>
        <v>14413646</v>
      </c>
      <c r="H244" s="127">
        <f t="shared" si="91"/>
        <v>17742697.365248341</v>
      </c>
      <c r="I244" s="347">
        <f t="shared" si="92"/>
        <v>0.81237061667022659</v>
      </c>
      <c r="J244" s="33">
        <f t="shared" si="85"/>
        <v>14637725</v>
      </c>
      <c r="K244" s="33">
        <f t="shared" si="93"/>
        <v>14413646</v>
      </c>
      <c r="L244" s="126">
        <f t="shared" si="94"/>
        <v>81.239999999999995</v>
      </c>
      <c r="M244" s="470"/>
      <c r="N244" s="128">
        <v>12559428</v>
      </c>
      <c r="O244" s="449">
        <v>6.6299999999999998E-2</v>
      </c>
      <c r="P244" s="33">
        <f t="shared" si="95"/>
        <v>13392118</v>
      </c>
      <c r="Q244" s="57">
        <f t="shared" si="96"/>
        <v>75.47960563330362</v>
      </c>
      <c r="R244" s="57">
        <f t="shared" si="97"/>
        <v>5.7603943666963744</v>
      </c>
      <c r="S244" s="88">
        <f t="shared" si="98"/>
        <v>0.01</v>
      </c>
      <c r="T244" s="33">
        <f t="shared" si="99"/>
        <v>125594</v>
      </c>
      <c r="U244" s="9">
        <f t="shared" si="100"/>
        <v>0</v>
      </c>
      <c r="V244" s="9">
        <f t="shared" si="86"/>
        <v>0</v>
      </c>
      <c r="W244" s="9">
        <f t="shared" si="101"/>
        <v>0</v>
      </c>
      <c r="X244" s="127">
        <f>MIN(H244*parameters!C$22,ROUND(P244+T244-V244+W244,0))</f>
        <v>13517712</v>
      </c>
      <c r="Y244" s="94">
        <f t="shared" si="102"/>
        <v>76.18746869050706</v>
      </c>
      <c r="AA244" s="33">
        <f t="shared" si="103"/>
        <v>-1021528</v>
      </c>
      <c r="AB244" s="33">
        <f t="shared" si="104"/>
        <v>-895934</v>
      </c>
      <c r="AC244" s="33">
        <f t="shared" si="105"/>
        <v>0</v>
      </c>
      <c r="AD244" s="57">
        <f t="shared" si="106"/>
        <v>-5.0525313094929345</v>
      </c>
      <c r="AG244" s="609" t="str">
        <f t="shared" si="107"/>
        <v>238</v>
      </c>
      <c r="AH244" s="388" t="str">
        <f t="shared" si="108"/>
        <v>Plainville</v>
      </c>
      <c r="AI244" s="380">
        <f t="shared" si="109"/>
        <v>0.81237061667022659</v>
      </c>
      <c r="AJ244" s="381">
        <f t="shared" si="87"/>
        <v>81.239999999999995</v>
      </c>
      <c r="AK244" s="380">
        <f t="shared" si="110"/>
        <v>6.6299999999999998E-2</v>
      </c>
      <c r="AL244" s="9">
        <f t="shared" si="88"/>
        <v>13517712</v>
      </c>
      <c r="AM244" s="57">
        <f t="shared" si="111"/>
        <v>-5.0525313094929345</v>
      </c>
    </row>
    <row r="245" spans="1:39" ht="12.75" customHeight="1">
      <c r="A245" s="6">
        <v>239</v>
      </c>
      <c r="B245" s="6" t="s">
        <v>920</v>
      </c>
      <c r="C245" s="81">
        <v>13647134600</v>
      </c>
      <c r="D245" s="81">
        <f t="shared" si="89"/>
        <v>53300359.484454252</v>
      </c>
      <c r="E245" s="8">
        <v>3121175000</v>
      </c>
      <c r="F245" s="81">
        <f t="shared" si="112"/>
        <v>44669946.106858321</v>
      </c>
      <c r="G245" s="81">
        <f t="shared" si="90"/>
        <v>97970306</v>
      </c>
      <c r="H245" s="127">
        <f t="shared" si="91"/>
        <v>112170810.485</v>
      </c>
      <c r="I245" s="347">
        <f t="shared" si="92"/>
        <v>0.87340285388328409</v>
      </c>
      <c r="J245" s="33">
        <f t="shared" si="85"/>
        <v>92540919</v>
      </c>
      <c r="K245" s="33">
        <f t="shared" si="93"/>
        <v>92540919</v>
      </c>
      <c r="L245" s="126">
        <f t="shared" si="94"/>
        <v>82.5</v>
      </c>
      <c r="M245" s="470"/>
      <c r="N245" s="128">
        <v>83683584</v>
      </c>
      <c r="O245" s="449">
        <v>4.7600000000000003E-2</v>
      </c>
      <c r="P245" s="33">
        <f t="shared" si="95"/>
        <v>87666923</v>
      </c>
      <c r="Q245" s="57">
        <f t="shared" si="96"/>
        <v>78.154844937777483</v>
      </c>
      <c r="R245" s="57">
        <f t="shared" si="97"/>
        <v>4.345155062222517</v>
      </c>
      <c r="S245" s="88">
        <f t="shared" si="98"/>
        <v>0.01</v>
      </c>
      <c r="T245" s="33">
        <f t="shared" si="99"/>
        <v>836836</v>
      </c>
      <c r="U245" s="9">
        <f t="shared" si="100"/>
        <v>0</v>
      </c>
      <c r="V245" s="9">
        <f t="shared" si="86"/>
        <v>0</v>
      </c>
      <c r="W245" s="9">
        <f t="shared" si="101"/>
        <v>0</v>
      </c>
      <c r="X245" s="127">
        <f>MIN(H245*parameters!C$22,ROUND(P245+T245-V245+W245,0))</f>
        <v>88503759</v>
      </c>
      <c r="Y245" s="94">
        <f t="shared" si="102"/>
        <v>78.900882161170742</v>
      </c>
      <c r="AA245" s="33">
        <f t="shared" si="103"/>
        <v>-4873996</v>
      </c>
      <c r="AB245" s="33">
        <f t="shared" si="104"/>
        <v>-4037160</v>
      </c>
      <c r="AC245" s="33">
        <f t="shared" si="105"/>
        <v>0</v>
      </c>
      <c r="AD245" s="57">
        <f t="shared" si="106"/>
        <v>-3.5991178388292582</v>
      </c>
      <c r="AG245" s="609" t="str">
        <f t="shared" si="107"/>
        <v>239</v>
      </c>
      <c r="AH245" s="388" t="str">
        <f t="shared" si="108"/>
        <v>Plymouth</v>
      </c>
      <c r="AI245" s="380">
        <f t="shared" si="109"/>
        <v>0.87340285388328409</v>
      </c>
      <c r="AJ245" s="381">
        <f t="shared" si="87"/>
        <v>82.5</v>
      </c>
      <c r="AK245" s="380">
        <f t="shared" si="110"/>
        <v>4.7600000000000003E-2</v>
      </c>
      <c r="AL245" s="9">
        <f t="shared" si="88"/>
        <v>88503759</v>
      </c>
      <c r="AM245" s="57">
        <f t="shared" si="111"/>
        <v>-3.5991178388292582</v>
      </c>
    </row>
    <row r="246" spans="1:39" ht="12.75" customHeight="1">
      <c r="A246" s="6">
        <v>240</v>
      </c>
      <c r="B246" s="6" t="s">
        <v>921</v>
      </c>
      <c r="C246" s="81">
        <v>654578500</v>
      </c>
      <c r="D246" s="81">
        <f t="shared" si="89"/>
        <v>2556527.0940315071</v>
      </c>
      <c r="E246" s="8">
        <v>154653000</v>
      </c>
      <c r="F246" s="81">
        <f t="shared" si="112"/>
        <v>2213378.3511863193</v>
      </c>
      <c r="G246" s="81">
        <f t="shared" si="90"/>
        <v>4769905</v>
      </c>
      <c r="H246" s="127">
        <f t="shared" si="91"/>
        <v>6386487.2396694049</v>
      </c>
      <c r="I246" s="347">
        <f t="shared" si="92"/>
        <v>0.74687458394529149</v>
      </c>
      <c r="J246" s="33">
        <f t="shared" si="85"/>
        <v>5268852</v>
      </c>
      <c r="K246" s="33">
        <f t="shared" si="93"/>
        <v>4769905</v>
      </c>
      <c r="L246" s="126">
        <f t="shared" si="94"/>
        <v>74.69</v>
      </c>
      <c r="M246" s="470"/>
      <c r="N246" s="128">
        <v>4135286</v>
      </c>
      <c r="O246" s="449">
        <v>3.8199999999999998E-2</v>
      </c>
      <c r="P246" s="33">
        <f t="shared" si="95"/>
        <v>4293254</v>
      </c>
      <c r="Q246" s="57">
        <f t="shared" si="96"/>
        <v>67.224028466425608</v>
      </c>
      <c r="R246" s="57">
        <f t="shared" si="97"/>
        <v>7.4659715335743897</v>
      </c>
      <c r="S246" s="88">
        <f t="shared" si="98"/>
        <v>0.01</v>
      </c>
      <c r="T246" s="33">
        <f t="shared" si="99"/>
        <v>41353</v>
      </c>
      <c r="U246" s="9">
        <f t="shared" si="100"/>
        <v>0</v>
      </c>
      <c r="V246" s="9">
        <f t="shared" si="86"/>
        <v>0</v>
      </c>
      <c r="W246" s="9">
        <f t="shared" si="101"/>
        <v>0</v>
      </c>
      <c r="X246" s="127">
        <f>MIN(H246*parameters!C$22,ROUND(P246+T246-V246+W246,0))</f>
        <v>4334607</v>
      </c>
      <c r="Y246" s="94">
        <f t="shared" si="102"/>
        <v>67.871536219093429</v>
      </c>
      <c r="AA246" s="33">
        <f t="shared" si="103"/>
        <v>-476651</v>
      </c>
      <c r="AB246" s="33">
        <f t="shared" si="104"/>
        <v>-435298</v>
      </c>
      <c r="AC246" s="33">
        <f t="shared" si="105"/>
        <v>0</v>
      </c>
      <c r="AD246" s="57">
        <f t="shared" si="106"/>
        <v>-6.8184637809065691</v>
      </c>
      <c r="AG246" s="609" t="str">
        <f t="shared" si="107"/>
        <v>240</v>
      </c>
      <c r="AH246" s="388" t="str">
        <f t="shared" si="108"/>
        <v>Plympton</v>
      </c>
      <c r="AI246" s="380">
        <f t="shared" si="109"/>
        <v>0.74687458394529149</v>
      </c>
      <c r="AJ246" s="381">
        <f t="shared" si="87"/>
        <v>74.69</v>
      </c>
      <c r="AK246" s="380">
        <f t="shared" si="110"/>
        <v>3.8199999999999998E-2</v>
      </c>
      <c r="AL246" s="9">
        <f t="shared" si="88"/>
        <v>4334607</v>
      </c>
      <c r="AM246" s="57">
        <f t="shared" si="111"/>
        <v>-6.8184637809065691</v>
      </c>
    </row>
    <row r="247" spans="1:39" ht="12.75" customHeight="1">
      <c r="A247" s="6">
        <v>241</v>
      </c>
      <c r="B247" s="6" t="s">
        <v>922</v>
      </c>
      <c r="C247" s="81">
        <v>639721900</v>
      </c>
      <c r="D247" s="81">
        <f t="shared" si="89"/>
        <v>2498503.0366798094</v>
      </c>
      <c r="E247" s="8">
        <v>254259000</v>
      </c>
      <c r="F247" s="81">
        <f t="shared" si="112"/>
        <v>3638929.5144244363</v>
      </c>
      <c r="G247" s="81">
        <f t="shared" si="90"/>
        <v>6137433</v>
      </c>
      <c r="H247" s="127">
        <f t="shared" si="91"/>
        <v>5878392.6798423268</v>
      </c>
      <c r="I247" s="347">
        <f t="shared" si="92"/>
        <v>1.0440665219671275</v>
      </c>
      <c r="J247" s="33">
        <f t="shared" si="85"/>
        <v>4849674</v>
      </c>
      <c r="K247" s="33">
        <f t="shared" si="93"/>
        <v>4849674</v>
      </c>
      <c r="L247" s="126">
        <f t="shared" si="94"/>
        <v>82.5</v>
      </c>
      <c r="M247" s="470"/>
      <c r="N247" s="128">
        <v>4424289</v>
      </c>
      <c r="O247" s="449">
        <v>3.4599999999999999E-2</v>
      </c>
      <c r="P247" s="33">
        <f t="shared" si="95"/>
        <v>4577369</v>
      </c>
      <c r="Q247" s="57">
        <f t="shared" si="96"/>
        <v>77.867696993028659</v>
      </c>
      <c r="R247" s="57">
        <f t="shared" si="97"/>
        <v>4.6323030069713411</v>
      </c>
      <c r="S247" s="88">
        <f t="shared" si="98"/>
        <v>0.01</v>
      </c>
      <c r="T247" s="33">
        <f t="shared" si="99"/>
        <v>44243</v>
      </c>
      <c r="U247" s="9">
        <f t="shared" si="100"/>
        <v>0</v>
      </c>
      <c r="V247" s="9">
        <f t="shared" si="86"/>
        <v>0</v>
      </c>
      <c r="W247" s="9">
        <f t="shared" si="101"/>
        <v>0</v>
      </c>
      <c r="X247" s="127">
        <f>MIN(H247*parameters!C$22,ROUND(P247+T247-V247+W247,0))</f>
        <v>4621612</v>
      </c>
      <c r="Y247" s="94">
        <f t="shared" si="102"/>
        <v>78.620334702171732</v>
      </c>
      <c r="AA247" s="33">
        <f t="shared" si="103"/>
        <v>-272305</v>
      </c>
      <c r="AB247" s="33">
        <f t="shared" si="104"/>
        <v>-228062</v>
      </c>
      <c r="AC247" s="33">
        <f t="shared" si="105"/>
        <v>0</v>
      </c>
      <c r="AD247" s="57">
        <f t="shared" si="106"/>
        <v>-3.879665297828268</v>
      </c>
      <c r="AG247" s="609" t="str">
        <f t="shared" si="107"/>
        <v>241</v>
      </c>
      <c r="AH247" s="388" t="str">
        <f t="shared" si="108"/>
        <v>Princeton</v>
      </c>
      <c r="AI247" s="380">
        <f t="shared" si="109"/>
        <v>1.0440665219671275</v>
      </c>
      <c r="AJ247" s="381">
        <f t="shared" si="87"/>
        <v>82.5</v>
      </c>
      <c r="AK247" s="380">
        <f t="shared" si="110"/>
        <v>3.4599999999999999E-2</v>
      </c>
      <c r="AL247" s="9">
        <f t="shared" si="88"/>
        <v>4621612</v>
      </c>
      <c r="AM247" s="57">
        <f t="shared" si="111"/>
        <v>-3.879665297828268</v>
      </c>
    </row>
    <row r="248" spans="1:39" ht="12.75" customHeight="1">
      <c r="A248" s="6">
        <v>242</v>
      </c>
      <c r="B248" s="6" t="s">
        <v>923</v>
      </c>
      <c r="C248" s="81">
        <v>4042523100</v>
      </c>
      <c r="D248" s="81">
        <f t="shared" si="89"/>
        <v>15788510.978283338</v>
      </c>
      <c r="E248" s="8">
        <v>386943000</v>
      </c>
      <c r="F248" s="81">
        <f t="shared" si="112"/>
        <v>5537889.7230773922</v>
      </c>
      <c r="G248" s="81">
        <f t="shared" si="90"/>
        <v>21326401</v>
      </c>
      <c r="H248" s="127">
        <f t="shared" si="91"/>
        <v>1711862.2409153054</v>
      </c>
      <c r="I248" s="347">
        <f t="shared" si="92"/>
        <v>12.458012385737952</v>
      </c>
      <c r="J248" s="33">
        <f t="shared" si="85"/>
        <v>1412286</v>
      </c>
      <c r="K248" s="33">
        <f t="shared" si="93"/>
        <v>1412286</v>
      </c>
      <c r="L248" s="126">
        <f t="shared" si="94"/>
        <v>82.5</v>
      </c>
      <c r="M248" s="470"/>
      <c r="N248" s="128">
        <v>1571417</v>
      </c>
      <c r="O248" s="449">
        <v>4.4999999999999998E-2</v>
      </c>
      <c r="P248" s="33">
        <f t="shared" si="95"/>
        <v>1642131</v>
      </c>
      <c r="Q248" s="57">
        <f t="shared" si="96"/>
        <v>95.92658572350885</v>
      </c>
      <c r="R248" s="57">
        <f t="shared" si="97"/>
        <v>0</v>
      </c>
      <c r="S248" s="88">
        <f t="shared" si="98"/>
        <v>0</v>
      </c>
      <c r="T248" s="33">
        <f t="shared" si="99"/>
        <v>0</v>
      </c>
      <c r="U248" s="9">
        <f t="shared" si="100"/>
        <v>229845</v>
      </c>
      <c r="V248" s="9">
        <f t="shared" si="86"/>
        <v>229845</v>
      </c>
      <c r="W248" s="9">
        <f t="shared" si="101"/>
        <v>0</v>
      </c>
      <c r="X248" s="127">
        <f>MIN(H248*parameters!C$22,ROUND(P248+T248-V248+W248,0))</f>
        <v>1412286</v>
      </c>
      <c r="Y248" s="94">
        <f t="shared" si="102"/>
        <v>82.499979627149969</v>
      </c>
      <c r="AA248" s="33">
        <f t="shared" si="103"/>
        <v>0</v>
      </c>
      <c r="AB248" s="33">
        <f t="shared" si="104"/>
        <v>0</v>
      </c>
      <c r="AC248" s="33">
        <f t="shared" si="105"/>
        <v>0</v>
      </c>
      <c r="AD248" s="57">
        <f t="shared" si="106"/>
        <v>-2.0372850030980771E-5</v>
      </c>
      <c r="AG248" s="609" t="str">
        <f t="shared" si="107"/>
        <v>242</v>
      </c>
      <c r="AH248" s="388" t="str">
        <f t="shared" si="108"/>
        <v>Provincetown</v>
      </c>
      <c r="AI248" s="380">
        <f t="shared" si="109"/>
        <v>12.458012385737952</v>
      </c>
      <c r="AJ248" s="381">
        <f t="shared" si="87"/>
        <v>82.5</v>
      </c>
      <c r="AK248" s="380">
        <f t="shared" si="110"/>
        <v>4.4999999999999998E-2</v>
      </c>
      <c r="AL248" s="9">
        <f t="shared" si="88"/>
        <v>1412286</v>
      </c>
      <c r="AM248" s="57">
        <f t="shared" si="111"/>
        <v>-2.0372850030980771E-5</v>
      </c>
    </row>
    <row r="249" spans="1:39" ht="12.75" customHeight="1">
      <c r="A249" s="6">
        <v>243</v>
      </c>
      <c r="B249" s="6" t="s">
        <v>924</v>
      </c>
      <c r="C249" s="81">
        <v>20526193400</v>
      </c>
      <c r="D249" s="81">
        <f t="shared" si="89"/>
        <v>80167267.278761372</v>
      </c>
      <c r="E249" s="8">
        <v>4374250000</v>
      </c>
      <c r="F249" s="81">
        <f t="shared" si="112"/>
        <v>62603830.851498239</v>
      </c>
      <c r="G249" s="81">
        <f t="shared" si="90"/>
        <v>142771098</v>
      </c>
      <c r="H249" s="127">
        <f t="shared" si="91"/>
        <v>168339599.26749</v>
      </c>
      <c r="I249" s="347">
        <f t="shared" si="92"/>
        <v>0.84811356698751617</v>
      </c>
      <c r="J249" s="33">
        <f t="shared" si="85"/>
        <v>138880169</v>
      </c>
      <c r="K249" s="33">
        <f t="shared" si="93"/>
        <v>138880169</v>
      </c>
      <c r="L249" s="126">
        <f t="shared" si="94"/>
        <v>82.5</v>
      </c>
      <c r="M249" s="470"/>
      <c r="N249" s="128">
        <v>119210415</v>
      </c>
      <c r="O249" s="449">
        <v>5.2299999999999992E-2</v>
      </c>
      <c r="P249" s="33">
        <f t="shared" si="95"/>
        <v>125445120</v>
      </c>
      <c r="Q249" s="57">
        <f t="shared" si="96"/>
        <v>74.519079613982512</v>
      </c>
      <c r="R249" s="57">
        <f t="shared" si="97"/>
        <v>7.9809203860174875</v>
      </c>
      <c r="S249" s="88">
        <f t="shared" si="98"/>
        <v>0.02</v>
      </c>
      <c r="T249" s="33">
        <f t="shared" si="99"/>
        <v>2384208</v>
      </c>
      <c r="U249" s="9">
        <f t="shared" si="100"/>
        <v>0</v>
      </c>
      <c r="V249" s="9">
        <f t="shared" si="86"/>
        <v>0</v>
      </c>
      <c r="W249" s="9">
        <f t="shared" si="101"/>
        <v>0</v>
      </c>
      <c r="X249" s="127">
        <f>MIN(H249*parameters!C$22,ROUND(P249+T249-V249+W249,0))</f>
        <v>127829328</v>
      </c>
      <c r="Y249" s="94">
        <f t="shared" si="102"/>
        <v>75.935388082325431</v>
      </c>
      <c r="AA249" s="33">
        <f t="shared" si="103"/>
        <v>-13435049</v>
      </c>
      <c r="AB249" s="33">
        <f t="shared" si="104"/>
        <v>-11050841</v>
      </c>
      <c r="AC249" s="33">
        <f t="shared" si="105"/>
        <v>0</v>
      </c>
      <c r="AD249" s="57">
        <f t="shared" si="106"/>
        <v>-6.5646119176745685</v>
      </c>
      <c r="AG249" s="609" t="str">
        <f t="shared" si="107"/>
        <v>243</v>
      </c>
      <c r="AH249" s="388" t="str">
        <f t="shared" si="108"/>
        <v>Quincy</v>
      </c>
      <c r="AI249" s="380">
        <f t="shared" si="109"/>
        <v>0.84811356698751617</v>
      </c>
      <c r="AJ249" s="381">
        <f t="shared" si="87"/>
        <v>82.5</v>
      </c>
      <c r="AK249" s="380">
        <f t="shared" si="110"/>
        <v>5.2299999999999992E-2</v>
      </c>
      <c r="AL249" s="9">
        <f t="shared" si="88"/>
        <v>127829328</v>
      </c>
      <c r="AM249" s="57">
        <f t="shared" si="111"/>
        <v>-6.5646119176745685</v>
      </c>
    </row>
    <row r="250" spans="1:39" ht="12.75" customHeight="1">
      <c r="A250" s="6">
        <v>244</v>
      </c>
      <c r="B250" s="6" t="s">
        <v>925</v>
      </c>
      <c r="C250" s="81">
        <v>4869345300</v>
      </c>
      <c r="D250" s="81">
        <f t="shared" si="89"/>
        <v>19017754.462826043</v>
      </c>
      <c r="E250" s="8">
        <v>1160321000</v>
      </c>
      <c r="F250" s="81">
        <f t="shared" si="112"/>
        <v>16606398.723767797</v>
      </c>
      <c r="G250" s="81">
        <f t="shared" si="90"/>
        <v>35624153</v>
      </c>
      <c r="H250" s="127">
        <f t="shared" si="91"/>
        <v>60191203.387914509</v>
      </c>
      <c r="I250" s="347">
        <f t="shared" si="92"/>
        <v>0.5918498218155378</v>
      </c>
      <c r="J250" s="33">
        <f t="shared" si="85"/>
        <v>49657743</v>
      </c>
      <c r="K250" s="33">
        <f t="shared" si="93"/>
        <v>35624153</v>
      </c>
      <c r="L250" s="126">
        <f t="shared" si="94"/>
        <v>59.18</v>
      </c>
      <c r="M250" s="470"/>
      <c r="N250" s="128">
        <v>29524145</v>
      </c>
      <c r="O250" s="449">
        <v>3.4000000000000002E-2</v>
      </c>
      <c r="P250" s="33">
        <f t="shared" si="95"/>
        <v>30527966</v>
      </c>
      <c r="Q250" s="57">
        <f t="shared" si="96"/>
        <v>50.71831809584581</v>
      </c>
      <c r="R250" s="57">
        <f t="shared" si="97"/>
        <v>8.4616819041541902</v>
      </c>
      <c r="S250" s="88">
        <f t="shared" si="98"/>
        <v>0.02</v>
      </c>
      <c r="T250" s="33">
        <f t="shared" si="99"/>
        <v>590483</v>
      </c>
      <c r="U250" s="9">
        <f t="shared" si="100"/>
        <v>0</v>
      </c>
      <c r="V250" s="9">
        <f t="shared" si="86"/>
        <v>0</v>
      </c>
      <c r="W250" s="9">
        <f t="shared" si="101"/>
        <v>0</v>
      </c>
      <c r="X250" s="127">
        <f>MIN(H250*parameters!C$22,ROUND(P250+T250-V250+W250,0))</f>
        <v>31118449</v>
      </c>
      <c r="Y250" s="94">
        <f t="shared" si="102"/>
        <v>51.699330215165823</v>
      </c>
      <c r="AA250" s="33">
        <f t="shared" si="103"/>
        <v>-5096187</v>
      </c>
      <c r="AB250" s="33">
        <f t="shared" si="104"/>
        <v>-4505704</v>
      </c>
      <c r="AC250" s="33">
        <f t="shared" si="105"/>
        <v>0</v>
      </c>
      <c r="AD250" s="57">
        <f t="shared" si="106"/>
        <v>-7.480669784834177</v>
      </c>
      <c r="AG250" s="609" t="str">
        <f t="shared" si="107"/>
        <v>244</v>
      </c>
      <c r="AH250" s="388" t="str">
        <f t="shared" si="108"/>
        <v>Randolph</v>
      </c>
      <c r="AI250" s="380">
        <f t="shared" si="109"/>
        <v>0.5918498218155378</v>
      </c>
      <c r="AJ250" s="381">
        <f t="shared" si="87"/>
        <v>59.18</v>
      </c>
      <c r="AK250" s="380">
        <f t="shared" si="110"/>
        <v>3.4000000000000002E-2</v>
      </c>
      <c r="AL250" s="9">
        <f t="shared" si="88"/>
        <v>31118449</v>
      </c>
      <c r="AM250" s="57">
        <f t="shared" si="111"/>
        <v>-7.480669784834177</v>
      </c>
    </row>
    <row r="251" spans="1:39" ht="12.75" customHeight="1">
      <c r="A251" s="6">
        <v>245</v>
      </c>
      <c r="B251" s="6" t="s">
        <v>926</v>
      </c>
      <c r="C251" s="81">
        <v>2735332900</v>
      </c>
      <c r="D251" s="81">
        <f t="shared" si="89"/>
        <v>10683138.340238452</v>
      </c>
      <c r="E251" s="8">
        <v>753244000</v>
      </c>
      <c r="F251" s="81">
        <f t="shared" si="112"/>
        <v>10780353.195612034</v>
      </c>
      <c r="G251" s="81">
        <f t="shared" si="90"/>
        <v>21463492</v>
      </c>
      <c r="H251" s="127">
        <f t="shared" si="91"/>
        <v>33423479.029986277</v>
      </c>
      <c r="I251" s="347">
        <f t="shared" si="92"/>
        <v>0.64216809927966412</v>
      </c>
      <c r="J251" s="33">
        <f t="shared" si="85"/>
        <v>27574370</v>
      </c>
      <c r="K251" s="33">
        <f t="shared" si="93"/>
        <v>21463492</v>
      </c>
      <c r="L251" s="126">
        <f t="shared" si="94"/>
        <v>64.22</v>
      </c>
      <c r="M251" s="470"/>
      <c r="N251" s="128">
        <v>18916571</v>
      </c>
      <c r="O251" s="449">
        <v>4.1099999999999998E-2</v>
      </c>
      <c r="P251" s="33">
        <f t="shared" si="95"/>
        <v>19694042</v>
      </c>
      <c r="Q251" s="57">
        <f t="shared" si="96"/>
        <v>58.922776956675435</v>
      </c>
      <c r="R251" s="57">
        <f t="shared" si="97"/>
        <v>5.2972230433245642</v>
      </c>
      <c r="S251" s="88">
        <f t="shared" si="98"/>
        <v>0.01</v>
      </c>
      <c r="T251" s="33">
        <f t="shared" si="99"/>
        <v>189166</v>
      </c>
      <c r="U251" s="9">
        <f t="shared" si="100"/>
        <v>0</v>
      </c>
      <c r="V251" s="9">
        <f t="shared" si="86"/>
        <v>0</v>
      </c>
      <c r="W251" s="9">
        <f t="shared" si="101"/>
        <v>0</v>
      </c>
      <c r="X251" s="127">
        <f>MIN(H251*parameters!C$22,ROUND(P251+T251-V251+W251,0))</f>
        <v>19883208</v>
      </c>
      <c r="Y251" s="94">
        <f t="shared" si="102"/>
        <v>59.488744370870371</v>
      </c>
      <c r="AA251" s="33">
        <f t="shared" si="103"/>
        <v>-1769450</v>
      </c>
      <c r="AB251" s="33">
        <f t="shared" si="104"/>
        <v>-1580284</v>
      </c>
      <c r="AC251" s="33">
        <f t="shared" si="105"/>
        <v>0</v>
      </c>
      <c r="AD251" s="57">
        <f t="shared" si="106"/>
        <v>-4.7312556291296275</v>
      </c>
      <c r="AG251" s="609" t="str">
        <f t="shared" si="107"/>
        <v>245</v>
      </c>
      <c r="AH251" s="388" t="str">
        <f t="shared" si="108"/>
        <v>Raynham</v>
      </c>
      <c r="AI251" s="380">
        <f t="shared" si="109"/>
        <v>0.64216809927966412</v>
      </c>
      <c r="AJ251" s="381">
        <f t="shared" si="87"/>
        <v>64.22</v>
      </c>
      <c r="AK251" s="380">
        <f t="shared" si="110"/>
        <v>4.1099999999999998E-2</v>
      </c>
      <c r="AL251" s="9">
        <f t="shared" si="88"/>
        <v>19883208</v>
      </c>
      <c r="AM251" s="57">
        <f t="shared" si="111"/>
        <v>-4.7312556291296275</v>
      </c>
    </row>
    <row r="252" spans="1:39" ht="12.75" customHeight="1">
      <c r="A252" s="6">
        <v>246</v>
      </c>
      <c r="B252" s="6" t="s">
        <v>927</v>
      </c>
      <c r="C252" s="81">
        <v>6543953300</v>
      </c>
      <c r="D252" s="81">
        <f t="shared" si="89"/>
        <v>25558117.037951738</v>
      </c>
      <c r="E252" s="8">
        <v>2120815000</v>
      </c>
      <c r="F252" s="81">
        <f t="shared" si="112"/>
        <v>30352893.302239295</v>
      </c>
      <c r="G252" s="81">
        <f t="shared" si="90"/>
        <v>55911010</v>
      </c>
      <c r="H252" s="127">
        <f t="shared" si="91"/>
        <v>47895950.058648601</v>
      </c>
      <c r="I252" s="347">
        <f t="shared" si="92"/>
        <v>1.1673431664167211</v>
      </c>
      <c r="J252" s="33">
        <f t="shared" si="85"/>
        <v>39514159</v>
      </c>
      <c r="K252" s="33">
        <f t="shared" si="93"/>
        <v>39514159</v>
      </c>
      <c r="L252" s="126">
        <f t="shared" si="94"/>
        <v>82.5</v>
      </c>
      <c r="M252" s="470"/>
      <c r="N252" s="128">
        <v>37861804</v>
      </c>
      <c r="O252" s="449">
        <v>4.8899999999999999E-2</v>
      </c>
      <c r="P252" s="33">
        <f t="shared" si="95"/>
        <v>39713246</v>
      </c>
      <c r="Q252" s="57">
        <f t="shared" si="96"/>
        <v>82.915666045607452</v>
      </c>
      <c r="R252" s="57">
        <f t="shared" si="97"/>
        <v>0</v>
      </c>
      <c r="S252" s="88">
        <f t="shared" si="98"/>
        <v>0</v>
      </c>
      <c r="T252" s="33">
        <f t="shared" si="99"/>
        <v>0</v>
      </c>
      <c r="U252" s="9">
        <f t="shared" si="100"/>
        <v>199087</v>
      </c>
      <c r="V252" s="9">
        <f t="shared" si="86"/>
        <v>199087</v>
      </c>
      <c r="W252" s="9">
        <f t="shared" si="101"/>
        <v>0</v>
      </c>
      <c r="X252" s="127">
        <f>MIN(H252*parameters!C$22,ROUND(P252+T252-V252+W252,0))</f>
        <v>39514159</v>
      </c>
      <c r="Y252" s="94">
        <f t="shared" si="102"/>
        <v>82.500000420943536</v>
      </c>
      <c r="AA252" s="33">
        <f t="shared" si="103"/>
        <v>0</v>
      </c>
      <c r="AB252" s="33">
        <f t="shared" si="104"/>
        <v>0</v>
      </c>
      <c r="AC252" s="33">
        <f t="shared" si="105"/>
        <v>0</v>
      </c>
      <c r="AD252" s="57">
        <f t="shared" si="106"/>
        <v>4.2094353602806223E-7</v>
      </c>
      <c r="AG252" s="609" t="str">
        <f t="shared" si="107"/>
        <v>246</v>
      </c>
      <c r="AH252" s="388" t="str">
        <f t="shared" si="108"/>
        <v>Reading</v>
      </c>
      <c r="AI252" s="380">
        <f t="shared" si="109"/>
        <v>1.1673431664167211</v>
      </c>
      <c r="AJ252" s="381">
        <f t="shared" si="87"/>
        <v>82.5</v>
      </c>
      <c r="AK252" s="380">
        <f t="shared" si="110"/>
        <v>4.8899999999999999E-2</v>
      </c>
      <c r="AL252" s="9">
        <f t="shared" si="88"/>
        <v>39514159</v>
      </c>
      <c r="AM252" s="57">
        <f t="shared" si="111"/>
        <v>4.2094353602806223E-7</v>
      </c>
    </row>
    <row r="253" spans="1:39" ht="12.75" customHeight="1">
      <c r="A253" s="6">
        <v>247</v>
      </c>
      <c r="B253" s="6" t="s">
        <v>928</v>
      </c>
      <c r="C253" s="81">
        <v>2389985700</v>
      </c>
      <c r="D253" s="81">
        <f t="shared" si="89"/>
        <v>9334347.5173685942</v>
      </c>
      <c r="E253" s="8">
        <v>723201000</v>
      </c>
      <c r="F253" s="81">
        <f t="shared" si="112"/>
        <v>10350380.768276704</v>
      </c>
      <c r="G253" s="81">
        <f t="shared" si="90"/>
        <v>19684728</v>
      </c>
      <c r="H253" s="127">
        <f t="shared" si="91"/>
        <v>21323569.517577067</v>
      </c>
      <c r="I253" s="347">
        <f t="shared" si="92"/>
        <v>0.92314412855567329</v>
      </c>
      <c r="J253" s="33">
        <f t="shared" si="85"/>
        <v>17591945</v>
      </c>
      <c r="K253" s="33">
        <f t="shared" si="93"/>
        <v>17591945</v>
      </c>
      <c r="L253" s="126">
        <f t="shared" si="94"/>
        <v>82.5</v>
      </c>
      <c r="M253" s="470"/>
      <c r="N253" s="128">
        <v>16839351</v>
      </c>
      <c r="O253" s="449">
        <v>5.800000000000001E-2</v>
      </c>
      <c r="P253" s="33">
        <f t="shared" si="95"/>
        <v>17816033</v>
      </c>
      <c r="Q253" s="57">
        <f t="shared" si="96"/>
        <v>83.550894165792471</v>
      </c>
      <c r="R253" s="57">
        <f t="shared" si="97"/>
        <v>0</v>
      </c>
      <c r="S253" s="88">
        <f t="shared" si="98"/>
        <v>0</v>
      </c>
      <c r="T253" s="33">
        <f t="shared" si="99"/>
        <v>0</v>
      </c>
      <c r="U253" s="9">
        <f t="shared" si="100"/>
        <v>224088</v>
      </c>
      <c r="V253" s="9">
        <f t="shared" si="86"/>
        <v>224088</v>
      </c>
      <c r="W253" s="9">
        <f t="shared" si="101"/>
        <v>0</v>
      </c>
      <c r="X253" s="127">
        <f>MIN(H253*parameters!C$22,ROUND(P253+T253-V253+W253,0))</f>
        <v>17591945</v>
      </c>
      <c r="Y253" s="94">
        <f t="shared" si="102"/>
        <v>82.500000694062592</v>
      </c>
      <c r="AA253" s="33">
        <f t="shared" si="103"/>
        <v>0</v>
      </c>
      <c r="AB253" s="33">
        <f t="shared" si="104"/>
        <v>0</v>
      </c>
      <c r="AC253" s="33">
        <f t="shared" si="105"/>
        <v>0</v>
      </c>
      <c r="AD253" s="57">
        <f t="shared" si="106"/>
        <v>6.9406259228799172E-7</v>
      </c>
      <c r="AG253" s="609" t="str">
        <f t="shared" si="107"/>
        <v>247</v>
      </c>
      <c r="AH253" s="388" t="str">
        <f t="shared" si="108"/>
        <v>Rehoboth</v>
      </c>
      <c r="AI253" s="380">
        <f t="shared" si="109"/>
        <v>0.92314412855567329</v>
      </c>
      <c r="AJ253" s="381">
        <f t="shared" si="87"/>
        <v>82.5</v>
      </c>
      <c r="AK253" s="380">
        <f t="shared" si="110"/>
        <v>5.800000000000001E-2</v>
      </c>
      <c r="AL253" s="9">
        <f t="shared" si="88"/>
        <v>17591945</v>
      </c>
      <c r="AM253" s="57">
        <f t="shared" si="111"/>
        <v>6.9406259228799172E-7</v>
      </c>
    </row>
    <row r="254" spans="1:39" ht="12.75" customHeight="1">
      <c r="A254" s="6">
        <v>248</v>
      </c>
      <c r="B254" s="6" t="s">
        <v>929</v>
      </c>
      <c r="C254" s="81">
        <v>9389475300</v>
      </c>
      <c r="D254" s="81">
        <f t="shared" si="89"/>
        <v>36671610.820076756</v>
      </c>
      <c r="E254" s="8">
        <v>1767210000</v>
      </c>
      <c r="F254" s="81">
        <f t="shared" si="112"/>
        <v>25292133.718712054</v>
      </c>
      <c r="G254" s="81">
        <f t="shared" si="90"/>
        <v>61963745</v>
      </c>
      <c r="H254" s="127">
        <f t="shared" si="91"/>
        <v>157271350.79600716</v>
      </c>
      <c r="I254" s="347">
        <f t="shared" si="92"/>
        <v>0.39399257834550977</v>
      </c>
      <c r="J254" s="33">
        <f t="shared" si="85"/>
        <v>129748864</v>
      </c>
      <c r="K254" s="33">
        <f t="shared" si="93"/>
        <v>61963745</v>
      </c>
      <c r="L254" s="126">
        <f t="shared" si="94"/>
        <v>39.4</v>
      </c>
      <c r="M254" s="470"/>
      <c r="N254" s="128">
        <v>46384194</v>
      </c>
      <c r="O254" s="449">
        <v>7.1599999999999997E-2</v>
      </c>
      <c r="P254" s="33">
        <f t="shared" si="95"/>
        <v>49705302</v>
      </c>
      <c r="Q254" s="57">
        <f t="shared" si="96"/>
        <v>31.604803893667537</v>
      </c>
      <c r="R254" s="57">
        <f t="shared" si="97"/>
        <v>7.7951961063324617</v>
      </c>
      <c r="S254" s="88">
        <f t="shared" si="98"/>
        <v>0.02</v>
      </c>
      <c r="T254" s="33">
        <f t="shared" si="99"/>
        <v>927684</v>
      </c>
      <c r="U254" s="9">
        <f t="shared" si="100"/>
        <v>0</v>
      </c>
      <c r="V254" s="9">
        <f t="shared" si="86"/>
        <v>0</v>
      </c>
      <c r="W254" s="9">
        <f t="shared" si="101"/>
        <v>0</v>
      </c>
      <c r="X254" s="127">
        <f>MIN(H254*parameters!C$22,ROUND(P254+T254-V254+W254,0))</f>
        <v>50632986</v>
      </c>
      <c r="Y254" s="94">
        <f t="shared" si="102"/>
        <v>32.194665934849645</v>
      </c>
      <c r="AA254" s="33">
        <f t="shared" si="103"/>
        <v>-12258443</v>
      </c>
      <c r="AB254" s="33">
        <f t="shared" si="104"/>
        <v>-11330759</v>
      </c>
      <c r="AC254" s="33">
        <f t="shared" si="105"/>
        <v>0</v>
      </c>
      <c r="AD254" s="57">
        <f t="shared" si="106"/>
        <v>-7.2053340651503532</v>
      </c>
      <c r="AG254" s="609" t="str">
        <f t="shared" si="107"/>
        <v>248</v>
      </c>
      <c r="AH254" s="388" t="str">
        <f t="shared" si="108"/>
        <v>Revere</v>
      </c>
      <c r="AI254" s="380">
        <f t="shared" si="109"/>
        <v>0.39399257834550977</v>
      </c>
      <c r="AJ254" s="381">
        <f t="shared" si="87"/>
        <v>39.4</v>
      </c>
      <c r="AK254" s="380">
        <f t="shared" si="110"/>
        <v>7.1599999999999997E-2</v>
      </c>
      <c r="AL254" s="9">
        <f t="shared" si="88"/>
        <v>50632986</v>
      </c>
      <c r="AM254" s="57">
        <f t="shared" si="111"/>
        <v>-7.2053340651503532</v>
      </c>
    </row>
    <row r="255" spans="1:39" ht="12.75" customHeight="1">
      <c r="A255" s="6">
        <v>249</v>
      </c>
      <c r="B255" s="6" t="s">
        <v>930</v>
      </c>
      <c r="C255" s="81">
        <v>507363800</v>
      </c>
      <c r="D255" s="81">
        <f t="shared" si="89"/>
        <v>1981564.1687448991</v>
      </c>
      <c r="E255" s="8">
        <v>82471000</v>
      </c>
      <c r="F255" s="81">
        <f t="shared" si="112"/>
        <v>1180316.7478205203</v>
      </c>
      <c r="G255" s="81">
        <f t="shared" si="90"/>
        <v>3161881</v>
      </c>
      <c r="H255" s="127">
        <f t="shared" si="91"/>
        <v>1660447.3899999997</v>
      </c>
      <c r="I255" s="347">
        <f t="shared" si="92"/>
        <v>1.9042343762544627</v>
      </c>
      <c r="J255" s="33">
        <f t="shared" si="85"/>
        <v>1369869</v>
      </c>
      <c r="K255" s="33">
        <f t="shared" si="93"/>
        <v>1369869</v>
      </c>
      <c r="L255" s="126">
        <f t="shared" si="94"/>
        <v>82.5</v>
      </c>
      <c r="M255" s="470"/>
      <c r="N255" s="128">
        <v>1364099</v>
      </c>
      <c r="O255" s="449">
        <v>3.0899999999999997E-2</v>
      </c>
      <c r="P255" s="33">
        <f t="shared" si="95"/>
        <v>1406250</v>
      </c>
      <c r="Q255" s="57">
        <f t="shared" si="96"/>
        <v>84.691030168682445</v>
      </c>
      <c r="R255" s="57">
        <f t="shared" si="97"/>
        <v>0</v>
      </c>
      <c r="S255" s="88">
        <f t="shared" si="98"/>
        <v>0</v>
      </c>
      <c r="T255" s="33">
        <f t="shared" si="99"/>
        <v>0</v>
      </c>
      <c r="U255" s="9">
        <f t="shared" si="100"/>
        <v>36381</v>
      </c>
      <c r="V255" s="9">
        <f t="shared" si="86"/>
        <v>36381</v>
      </c>
      <c r="W255" s="9">
        <f t="shared" si="101"/>
        <v>0</v>
      </c>
      <c r="X255" s="127">
        <f>MIN(H255*parameters!C$22,ROUND(P255+T255-V255+W255,0))</f>
        <v>1369869</v>
      </c>
      <c r="Y255" s="94">
        <f t="shared" si="102"/>
        <v>82.499994173257136</v>
      </c>
      <c r="AA255" s="33">
        <f t="shared" si="103"/>
        <v>0</v>
      </c>
      <c r="AB255" s="33">
        <f t="shared" si="104"/>
        <v>0</v>
      </c>
      <c r="AC255" s="33">
        <f t="shared" si="105"/>
        <v>0</v>
      </c>
      <c r="AD255" s="57">
        <f t="shared" si="106"/>
        <v>-5.826742864201151E-6</v>
      </c>
      <c r="AG255" s="609" t="str">
        <f t="shared" si="107"/>
        <v>249</v>
      </c>
      <c r="AH255" s="388" t="str">
        <f t="shared" si="108"/>
        <v>Richmond</v>
      </c>
      <c r="AI255" s="380">
        <f t="shared" si="109"/>
        <v>1.9042343762544627</v>
      </c>
      <c r="AJ255" s="381">
        <f t="shared" si="87"/>
        <v>82.5</v>
      </c>
      <c r="AK255" s="380">
        <f t="shared" si="110"/>
        <v>3.0899999999999997E-2</v>
      </c>
      <c r="AL255" s="9">
        <f t="shared" si="88"/>
        <v>1369869</v>
      </c>
      <c r="AM255" s="57">
        <f t="shared" si="111"/>
        <v>-5.826742864201151E-6</v>
      </c>
    </row>
    <row r="256" spans="1:39" ht="12.75" customHeight="1">
      <c r="A256" s="6">
        <v>250</v>
      </c>
      <c r="B256" s="6" t="s">
        <v>931</v>
      </c>
      <c r="C256" s="81">
        <v>1249707700</v>
      </c>
      <c r="D256" s="81">
        <f t="shared" si="89"/>
        <v>4880868.52023065</v>
      </c>
      <c r="E256" s="8">
        <v>307271000</v>
      </c>
      <c r="F256" s="81">
        <f t="shared" si="112"/>
        <v>4397631.9848135598</v>
      </c>
      <c r="G256" s="81">
        <f t="shared" si="90"/>
        <v>9278501</v>
      </c>
      <c r="H256" s="127">
        <f t="shared" si="91"/>
        <v>12600651.504602695</v>
      </c>
      <c r="I256" s="347">
        <f t="shared" si="92"/>
        <v>0.73635089396852227</v>
      </c>
      <c r="J256" s="33">
        <f t="shared" si="85"/>
        <v>10395537</v>
      </c>
      <c r="K256" s="33">
        <f t="shared" si="93"/>
        <v>9278501</v>
      </c>
      <c r="L256" s="126">
        <f t="shared" si="94"/>
        <v>73.64</v>
      </c>
      <c r="M256" s="470"/>
      <c r="N256" s="128">
        <v>7784107</v>
      </c>
      <c r="O256" s="449">
        <v>5.050000000000001E-2</v>
      </c>
      <c r="P256" s="33">
        <f t="shared" si="95"/>
        <v>8177204</v>
      </c>
      <c r="Q256" s="57">
        <f t="shared" si="96"/>
        <v>64.895088932608587</v>
      </c>
      <c r="R256" s="57">
        <f t="shared" si="97"/>
        <v>8.7449110673914134</v>
      </c>
      <c r="S256" s="88">
        <f t="shared" si="98"/>
        <v>0.02</v>
      </c>
      <c r="T256" s="33">
        <f t="shared" si="99"/>
        <v>155682</v>
      </c>
      <c r="U256" s="9">
        <f t="shared" si="100"/>
        <v>0</v>
      </c>
      <c r="V256" s="9">
        <f t="shared" si="86"/>
        <v>0</v>
      </c>
      <c r="W256" s="9">
        <f t="shared" si="101"/>
        <v>0</v>
      </c>
      <c r="X256" s="127">
        <f>MIN(H256*parameters!C$22,ROUND(P256+T256-V256+W256,0))</f>
        <v>8332886</v>
      </c>
      <c r="Y256" s="94">
        <f t="shared" si="102"/>
        <v>66.130596477144138</v>
      </c>
      <c r="AA256" s="33">
        <f t="shared" si="103"/>
        <v>-1101297</v>
      </c>
      <c r="AB256" s="33">
        <f t="shared" si="104"/>
        <v>-945615</v>
      </c>
      <c r="AC256" s="33">
        <f t="shared" si="105"/>
        <v>0</v>
      </c>
      <c r="AD256" s="57">
        <f t="shared" si="106"/>
        <v>-7.5094035228558624</v>
      </c>
      <c r="AG256" s="609" t="str">
        <f t="shared" si="107"/>
        <v>250</v>
      </c>
      <c r="AH256" s="388" t="str">
        <f t="shared" si="108"/>
        <v>Rochester</v>
      </c>
      <c r="AI256" s="380">
        <f t="shared" si="109"/>
        <v>0.73635089396852227</v>
      </c>
      <c r="AJ256" s="381">
        <f t="shared" si="87"/>
        <v>73.64</v>
      </c>
      <c r="AK256" s="380">
        <f t="shared" si="110"/>
        <v>5.050000000000001E-2</v>
      </c>
      <c r="AL256" s="9">
        <f t="shared" si="88"/>
        <v>8332886</v>
      </c>
      <c r="AM256" s="57">
        <f t="shared" si="111"/>
        <v>-7.5094035228558624</v>
      </c>
    </row>
    <row r="257" spans="1:39" ht="12.75" customHeight="1">
      <c r="A257" s="6">
        <v>251</v>
      </c>
      <c r="B257" s="6" t="s">
        <v>932</v>
      </c>
      <c r="C257" s="81">
        <v>2667214100</v>
      </c>
      <c r="D257" s="81">
        <f t="shared" si="89"/>
        <v>10417093.002952071</v>
      </c>
      <c r="E257" s="8">
        <v>636847000</v>
      </c>
      <c r="F257" s="81">
        <f t="shared" si="112"/>
        <v>9114490.9107353482</v>
      </c>
      <c r="G257" s="81">
        <f t="shared" si="90"/>
        <v>19531584</v>
      </c>
      <c r="H257" s="127">
        <f t="shared" si="91"/>
        <v>38566690.43813514</v>
      </c>
      <c r="I257" s="347">
        <f t="shared" si="92"/>
        <v>0.50643661092285397</v>
      </c>
      <c r="J257" s="33">
        <f t="shared" si="85"/>
        <v>31817520</v>
      </c>
      <c r="K257" s="33">
        <f t="shared" si="93"/>
        <v>19531584</v>
      </c>
      <c r="L257" s="126">
        <f t="shared" si="94"/>
        <v>50.64</v>
      </c>
      <c r="M257" s="470"/>
      <c r="N257" s="128">
        <v>17636587</v>
      </c>
      <c r="O257" s="449">
        <v>3.8600000000000002E-2</v>
      </c>
      <c r="P257" s="33">
        <f t="shared" si="95"/>
        <v>18317359</v>
      </c>
      <c r="Q257" s="57">
        <f t="shared" si="96"/>
        <v>47.495283603302418</v>
      </c>
      <c r="R257" s="57">
        <f t="shared" si="97"/>
        <v>3.1447163966975822</v>
      </c>
      <c r="S257" s="88">
        <f t="shared" si="98"/>
        <v>0.01</v>
      </c>
      <c r="T257" s="33">
        <f t="shared" si="99"/>
        <v>176366</v>
      </c>
      <c r="U257" s="9">
        <f t="shared" si="100"/>
        <v>0</v>
      </c>
      <c r="V257" s="9">
        <f t="shared" si="86"/>
        <v>0</v>
      </c>
      <c r="W257" s="9">
        <f t="shared" si="101"/>
        <v>0</v>
      </c>
      <c r="X257" s="127">
        <f>MIN(H257*parameters!C$22,ROUND(P257+T257-V257+W257,0))</f>
        <v>18493725</v>
      </c>
      <c r="Y257" s="94">
        <f t="shared" si="102"/>
        <v>47.952584963612054</v>
      </c>
      <c r="AA257" s="33">
        <f t="shared" si="103"/>
        <v>-1214225</v>
      </c>
      <c r="AB257" s="33">
        <f t="shared" si="104"/>
        <v>-1037859</v>
      </c>
      <c r="AC257" s="33">
        <f t="shared" si="105"/>
        <v>0</v>
      </c>
      <c r="AD257" s="57">
        <f t="shared" si="106"/>
        <v>-2.6874150363879465</v>
      </c>
      <c r="AG257" s="609" t="str">
        <f t="shared" si="107"/>
        <v>251</v>
      </c>
      <c r="AH257" s="388" t="str">
        <f t="shared" si="108"/>
        <v>Rockland</v>
      </c>
      <c r="AI257" s="380">
        <f t="shared" si="109"/>
        <v>0.50643661092285397</v>
      </c>
      <c r="AJ257" s="381">
        <f t="shared" si="87"/>
        <v>50.64</v>
      </c>
      <c r="AK257" s="380">
        <f t="shared" si="110"/>
        <v>3.8600000000000002E-2</v>
      </c>
      <c r="AL257" s="9">
        <f t="shared" si="88"/>
        <v>18493725</v>
      </c>
      <c r="AM257" s="57">
        <f t="shared" si="111"/>
        <v>-2.6874150363879465</v>
      </c>
    </row>
    <row r="258" spans="1:39" ht="12.75" customHeight="1">
      <c r="A258" s="6">
        <v>252</v>
      </c>
      <c r="B258" s="6" t="s">
        <v>933</v>
      </c>
      <c r="C258" s="81">
        <v>2710915200</v>
      </c>
      <c r="D258" s="81">
        <f t="shared" si="89"/>
        <v>10587772.373247582</v>
      </c>
      <c r="E258" s="8">
        <v>482365000</v>
      </c>
      <c r="F258" s="81">
        <f t="shared" si="112"/>
        <v>6903559.8945380226</v>
      </c>
      <c r="G258" s="81">
        <f t="shared" si="90"/>
        <v>17491332</v>
      </c>
      <c r="H258" s="127">
        <f t="shared" si="91"/>
        <v>7955448.6653711963</v>
      </c>
      <c r="I258" s="347">
        <f t="shared" si="92"/>
        <v>2.1986606583406147</v>
      </c>
      <c r="J258" s="33">
        <f t="shared" si="85"/>
        <v>6563245</v>
      </c>
      <c r="K258" s="33">
        <f t="shared" si="93"/>
        <v>6563245</v>
      </c>
      <c r="L258" s="126">
        <f t="shared" si="94"/>
        <v>82.5</v>
      </c>
      <c r="M258" s="470"/>
      <c r="N258" s="128">
        <v>6902130</v>
      </c>
      <c r="O258" s="449">
        <v>5.0599999999999999E-2</v>
      </c>
      <c r="P258" s="33">
        <f t="shared" si="95"/>
        <v>7251378</v>
      </c>
      <c r="Q258" s="57">
        <f t="shared" si="96"/>
        <v>91.149830826815531</v>
      </c>
      <c r="R258" s="57">
        <f t="shared" si="97"/>
        <v>0</v>
      </c>
      <c r="S258" s="88">
        <f t="shared" si="98"/>
        <v>0</v>
      </c>
      <c r="T258" s="33">
        <f t="shared" si="99"/>
        <v>0</v>
      </c>
      <c r="U258" s="9">
        <f t="shared" si="100"/>
        <v>688133</v>
      </c>
      <c r="V258" s="9">
        <f t="shared" si="86"/>
        <v>688133</v>
      </c>
      <c r="W258" s="9">
        <f t="shared" si="101"/>
        <v>0</v>
      </c>
      <c r="X258" s="127">
        <f>MIN(H258*parameters!C$22,ROUND(P258+T258-V258+W258,0))</f>
        <v>6563245</v>
      </c>
      <c r="Y258" s="94">
        <f t="shared" si="102"/>
        <v>82.499998127934163</v>
      </c>
      <c r="AA258" s="33">
        <f t="shared" si="103"/>
        <v>0</v>
      </c>
      <c r="AB258" s="33">
        <f t="shared" si="104"/>
        <v>0</v>
      </c>
      <c r="AC258" s="33">
        <f t="shared" si="105"/>
        <v>0</v>
      </c>
      <c r="AD258" s="57">
        <f t="shared" si="106"/>
        <v>-1.8720658374604682E-6</v>
      </c>
      <c r="AG258" s="609" t="str">
        <f t="shared" si="107"/>
        <v>252</v>
      </c>
      <c r="AH258" s="388" t="str">
        <f t="shared" si="108"/>
        <v>Rockport</v>
      </c>
      <c r="AI258" s="380">
        <f t="shared" si="109"/>
        <v>2.1986606583406147</v>
      </c>
      <c r="AJ258" s="381">
        <f t="shared" si="87"/>
        <v>82.5</v>
      </c>
      <c r="AK258" s="380">
        <f t="shared" si="110"/>
        <v>5.0599999999999999E-2</v>
      </c>
      <c r="AL258" s="9">
        <f t="shared" si="88"/>
        <v>6563245</v>
      </c>
      <c r="AM258" s="57">
        <f t="shared" si="111"/>
        <v>-1.8720658374604682E-6</v>
      </c>
    </row>
    <row r="259" spans="1:39" ht="12.75" customHeight="1">
      <c r="A259" s="6">
        <v>253</v>
      </c>
      <c r="B259" s="6" t="s">
        <v>934</v>
      </c>
      <c r="C259" s="81">
        <v>539813700</v>
      </c>
      <c r="D259" s="81">
        <f t="shared" si="89"/>
        <v>2108300.7611453719</v>
      </c>
      <c r="E259" s="8">
        <v>14934000</v>
      </c>
      <c r="F259" s="81">
        <f t="shared" si="112"/>
        <v>213733.92237212657</v>
      </c>
      <c r="G259" s="81">
        <f t="shared" si="90"/>
        <v>2322035</v>
      </c>
      <c r="H259" s="127">
        <f t="shared" si="91"/>
        <v>784243.28</v>
      </c>
      <c r="I259" s="347">
        <f t="shared" si="92"/>
        <v>2.9608605635740992</v>
      </c>
      <c r="J259" s="33">
        <f t="shared" si="85"/>
        <v>647001</v>
      </c>
      <c r="K259" s="33">
        <f t="shared" si="93"/>
        <v>647001</v>
      </c>
      <c r="L259" s="126">
        <f t="shared" si="94"/>
        <v>82.5</v>
      </c>
      <c r="M259" s="470"/>
      <c r="N259" s="128">
        <v>619878</v>
      </c>
      <c r="O259" s="449">
        <v>6.4000000000000001E-2</v>
      </c>
      <c r="P259" s="33">
        <f t="shared" si="95"/>
        <v>659550</v>
      </c>
      <c r="Q259" s="57">
        <f t="shared" si="96"/>
        <v>84.100178709851363</v>
      </c>
      <c r="R259" s="57">
        <f t="shared" si="97"/>
        <v>0</v>
      </c>
      <c r="S259" s="88">
        <f t="shared" si="98"/>
        <v>0</v>
      </c>
      <c r="T259" s="33">
        <f t="shared" si="99"/>
        <v>0</v>
      </c>
      <c r="U259" s="9">
        <f t="shared" si="100"/>
        <v>12549</v>
      </c>
      <c r="V259" s="9">
        <f t="shared" si="86"/>
        <v>12549</v>
      </c>
      <c r="W259" s="9">
        <f t="shared" si="101"/>
        <v>0</v>
      </c>
      <c r="X259" s="127">
        <f>MIN(H259*parameters!C$22,ROUND(P259+T259-V259+W259,0))</f>
        <v>647001</v>
      </c>
      <c r="Y259" s="94">
        <f t="shared" si="102"/>
        <v>82.500037488367127</v>
      </c>
      <c r="AA259" s="33">
        <f t="shared" si="103"/>
        <v>0</v>
      </c>
      <c r="AB259" s="33">
        <f t="shared" si="104"/>
        <v>0</v>
      </c>
      <c r="AC259" s="33">
        <f t="shared" si="105"/>
        <v>0</v>
      </c>
      <c r="AD259" s="57">
        <f t="shared" si="106"/>
        <v>3.7488367127025413E-5</v>
      </c>
      <c r="AG259" s="609" t="str">
        <f t="shared" si="107"/>
        <v>253</v>
      </c>
      <c r="AH259" s="388" t="str">
        <f t="shared" si="108"/>
        <v>Rowe</v>
      </c>
      <c r="AI259" s="380">
        <f t="shared" si="109"/>
        <v>2.9608605635740992</v>
      </c>
      <c r="AJ259" s="381">
        <f t="shared" si="87"/>
        <v>82.5</v>
      </c>
      <c r="AK259" s="380">
        <f t="shared" si="110"/>
        <v>6.4000000000000001E-2</v>
      </c>
      <c r="AL259" s="9">
        <f t="shared" si="88"/>
        <v>647001</v>
      </c>
      <c r="AM259" s="57">
        <f t="shared" si="111"/>
        <v>3.7488367127025413E-5</v>
      </c>
    </row>
    <row r="260" spans="1:39" ht="12.75" customHeight="1">
      <c r="A260" s="6">
        <v>254</v>
      </c>
      <c r="B260" s="6" t="s">
        <v>935</v>
      </c>
      <c r="C260" s="81">
        <v>1360711500</v>
      </c>
      <c r="D260" s="81">
        <f t="shared" si="89"/>
        <v>5314405.8610392082</v>
      </c>
      <c r="E260" s="8">
        <v>375487000</v>
      </c>
      <c r="F260" s="81">
        <f t="shared" si="112"/>
        <v>5373932.5907153264</v>
      </c>
      <c r="G260" s="81">
        <f t="shared" si="90"/>
        <v>10688338</v>
      </c>
      <c r="H260" s="127">
        <f t="shared" si="91"/>
        <v>10407446.412152706</v>
      </c>
      <c r="I260" s="347">
        <f t="shared" si="92"/>
        <v>1.0269894820231118</v>
      </c>
      <c r="J260" s="33">
        <f t="shared" si="85"/>
        <v>8586143</v>
      </c>
      <c r="K260" s="33">
        <f t="shared" si="93"/>
        <v>8586143</v>
      </c>
      <c r="L260" s="126">
        <f t="shared" si="94"/>
        <v>82.5</v>
      </c>
      <c r="M260" s="470"/>
      <c r="N260" s="128">
        <v>7732886</v>
      </c>
      <c r="O260" s="449">
        <v>4.1200000000000001E-2</v>
      </c>
      <c r="P260" s="33">
        <f t="shared" si="95"/>
        <v>8051481</v>
      </c>
      <c r="Q260" s="57">
        <f t="shared" si="96"/>
        <v>77.362694758613785</v>
      </c>
      <c r="R260" s="57">
        <f t="shared" si="97"/>
        <v>5.1373052413862155</v>
      </c>
      <c r="S260" s="88">
        <f t="shared" si="98"/>
        <v>0.01</v>
      </c>
      <c r="T260" s="33">
        <f t="shared" si="99"/>
        <v>77329</v>
      </c>
      <c r="U260" s="9">
        <f t="shared" si="100"/>
        <v>0</v>
      </c>
      <c r="V260" s="9">
        <f t="shared" si="86"/>
        <v>0</v>
      </c>
      <c r="W260" s="9">
        <f t="shared" si="101"/>
        <v>0</v>
      </c>
      <c r="X260" s="127">
        <f>MIN(H260*parameters!C$22,ROUND(P260+T260-V260+W260,0))</f>
        <v>8128810</v>
      </c>
      <c r="Y260" s="94">
        <f t="shared" si="102"/>
        <v>78.105710835157822</v>
      </c>
      <c r="AA260" s="33">
        <f t="shared" si="103"/>
        <v>-534662</v>
      </c>
      <c r="AB260" s="33">
        <f t="shared" si="104"/>
        <v>-457333</v>
      </c>
      <c r="AC260" s="33">
        <f t="shared" si="105"/>
        <v>0</v>
      </c>
      <c r="AD260" s="57">
        <f t="shared" si="106"/>
        <v>-4.3942891648421778</v>
      </c>
      <c r="AG260" s="609" t="str">
        <f t="shared" si="107"/>
        <v>254</v>
      </c>
      <c r="AH260" s="388" t="str">
        <f t="shared" si="108"/>
        <v>Rowley</v>
      </c>
      <c r="AI260" s="380">
        <f t="shared" si="109"/>
        <v>1.0269894820231118</v>
      </c>
      <c r="AJ260" s="381">
        <f t="shared" si="87"/>
        <v>82.5</v>
      </c>
      <c r="AK260" s="380">
        <f t="shared" si="110"/>
        <v>4.1200000000000001E-2</v>
      </c>
      <c r="AL260" s="9">
        <f t="shared" si="88"/>
        <v>8128810</v>
      </c>
      <c r="AM260" s="57">
        <f t="shared" si="111"/>
        <v>-4.3942891648421778</v>
      </c>
    </row>
    <row r="261" spans="1:39" ht="12.75" customHeight="1">
      <c r="A261" s="6">
        <v>255</v>
      </c>
      <c r="B261" s="6" t="s">
        <v>936</v>
      </c>
      <c r="C261" s="81">
        <v>173106900</v>
      </c>
      <c r="D261" s="81">
        <f t="shared" si="89"/>
        <v>676087.71142621199</v>
      </c>
      <c r="E261" s="8">
        <v>37799000</v>
      </c>
      <c r="F261" s="81">
        <f t="shared" si="112"/>
        <v>540975.52777179668</v>
      </c>
      <c r="G261" s="81">
        <f t="shared" si="90"/>
        <v>1217063</v>
      </c>
      <c r="H261" s="127">
        <f t="shared" si="91"/>
        <v>2111166.0435989923</v>
      </c>
      <c r="I261" s="347">
        <f t="shared" si="92"/>
        <v>0.57648852570839115</v>
      </c>
      <c r="J261" s="33">
        <f t="shared" si="85"/>
        <v>1741712</v>
      </c>
      <c r="K261" s="33">
        <f t="shared" si="93"/>
        <v>1217063</v>
      </c>
      <c r="L261" s="126">
        <f t="shared" si="94"/>
        <v>57.65</v>
      </c>
      <c r="M261" s="470"/>
      <c r="N261" s="128">
        <v>715490</v>
      </c>
      <c r="O261" s="449">
        <v>3.8900000000000004E-2</v>
      </c>
      <c r="P261" s="33">
        <f t="shared" si="95"/>
        <v>743323</v>
      </c>
      <c r="Q261" s="57">
        <f t="shared" si="96"/>
        <v>35.209120677823449</v>
      </c>
      <c r="R261" s="57">
        <f t="shared" si="97"/>
        <v>22.440879322176549</v>
      </c>
      <c r="S261" s="88">
        <f t="shared" si="98"/>
        <v>0.02</v>
      </c>
      <c r="T261" s="33">
        <f t="shared" si="99"/>
        <v>14310</v>
      </c>
      <c r="U261" s="9">
        <f t="shared" si="100"/>
        <v>0</v>
      </c>
      <c r="V261" s="9">
        <f t="shared" si="86"/>
        <v>0</v>
      </c>
      <c r="W261" s="9">
        <f t="shared" si="101"/>
        <v>0</v>
      </c>
      <c r="X261" s="127">
        <f>MIN(H261*parameters!C$22,ROUND(P261+T261-V261+W261,0))</f>
        <v>757633</v>
      </c>
      <c r="Y261" s="94">
        <f t="shared" si="102"/>
        <v>35.886945145651907</v>
      </c>
      <c r="AA261" s="33">
        <f t="shared" si="103"/>
        <v>-473740</v>
      </c>
      <c r="AB261" s="33">
        <f t="shared" si="104"/>
        <v>-459430</v>
      </c>
      <c r="AC261" s="33">
        <f t="shared" si="105"/>
        <v>0</v>
      </c>
      <c r="AD261" s="57">
        <f t="shared" si="106"/>
        <v>-21.763054854348091</v>
      </c>
      <c r="AG261" s="609" t="str">
        <f t="shared" si="107"/>
        <v>255</v>
      </c>
      <c r="AH261" s="388" t="str">
        <f t="shared" si="108"/>
        <v>Royalston</v>
      </c>
      <c r="AI261" s="380">
        <f t="shared" si="109"/>
        <v>0.57648852570839115</v>
      </c>
      <c r="AJ261" s="381">
        <f t="shared" si="87"/>
        <v>57.65</v>
      </c>
      <c r="AK261" s="380">
        <f t="shared" si="110"/>
        <v>3.8900000000000004E-2</v>
      </c>
      <c r="AL261" s="9">
        <f t="shared" si="88"/>
        <v>757633</v>
      </c>
      <c r="AM261" s="57">
        <f t="shared" si="111"/>
        <v>-21.763054854348091</v>
      </c>
    </row>
    <row r="262" spans="1:39" ht="12.75" customHeight="1">
      <c r="A262" s="6">
        <v>256</v>
      </c>
      <c r="B262" s="6" t="s">
        <v>937</v>
      </c>
      <c r="C262" s="81">
        <v>189182200</v>
      </c>
      <c r="D262" s="81">
        <f t="shared" si="89"/>
        <v>738871.53337374725</v>
      </c>
      <c r="E262" s="8">
        <v>60372000</v>
      </c>
      <c r="F262" s="81">
        <f t="shared" si="112"/>
        <v>864038.05821950082</v>
      </c>
      <c r="G262" s="81">
        <f t="shared" si="90"/>
        <v>1602910</v>
      </c>
      <c r="H262" s="127">
        <f t="shared" si="91"/>
        <v>3504905.4727133429</v>
      </c>
      <c r="I262" s="347">
        <f t="shared" si="92"/>
        <v>0.45733330398753891</v>
      </c>
      <c r="J262" s="33">
        <f t="shared" si="85"/>
        <v>2891547</v>
      </c>
      <c r="K262" s="33">
        <f t="shared" si="93"/>
        <v>1602910</v>
      </c>
      <c r="L262" s="126">
        <f t="shared" si="94"/>
        <v>45.73</v>
      </c>
      <c r="M262" s="470"/>
      <c r="N262" s="128">
        <v>1321630</v>
      </c>
      <c r="O262" s="449">
        <v>4.2900000000000001E-2</v>
      </c>
      <c r="P262" s="33">
        <f t="shared" si="95"/>
        <v>1378328</v>
      </c>
      <c r="Q262" s="57">
        <f t="shared" si="96"/>
        <v>39.325682553514326</v>
      </c>
      <c r="R262" s="57">
        <f t="shared" si="97"/>
        <v>6.4043174464856705</v>
      </c>
      <c r="S262" s="88">
        <f t="shared" si="98"/>
        <v>0.01</v>
      </c>
      <c r="T262" s="33">
        <f t="shared" si="99"/>
        <v>13216</v>
      </c>
      <c r="U262" s="9">
        <f t="shared" si="100"/>
        <v>0</v>
      </c>
      <c r="V262" s="9">
        <f t="shared" si="86"/>
        <v>0</v>
      </c>
      <c r="W262" s="9">
        <f t="shared" si="101"/>
        <v>0</v>
      </c>
      <c r="X262" s="127">
        <f>MIN(H262*parameters!C$22,ROUND(P262+T262-V262+W262,0))</f>
        <v>1391544</v>
      </c>
      <c r="Y262" s="94">
        <f t="shared" si="102"/>
        <v>39.702754063798707</v>
      </c>
      <c r="AA262" s="33">
        <f t="shared" si="103"/>
        <v>-224582</v>
      </c>
      <c r="AB262" s="33">
        <f t="shared" si="104"/>
        <v>-211366</v>
      </c>
      <c r="AC262" s="33">
        <f t="shared" si="105"/>
        <v>0</v>
      </c>
      <c r="AD262" s="57">
        <f t="shared" si="106"/>
        <v>-6.0272459362012896</v>
      </c>
      <c r="AG262" s="609" t="str">
        <f t="shared" si="107"/>
        <v>256</v>
      </c>
      <c r="AH262" s="388" t="str">
        <f t="shared" si="108"/>
        <v>Russell</v>
      </c>
      <c r="AI262" s="380">
        <f t="shared" si="109"/>
        <v>0.45733330398753891</v>
      </c>
      <c r="AJ262" s="381">
        <f t="shared" si="87"/>
        <v>45.73</v>
      </c>
      <c r="AK262" s="380">
        <f t="shared" si="110"/>
        <v>4.2900000000000001E-2</v>
      </c>
      <c r="AL262" s="9">
        <f t="shared" si="88"/>
        <v>1391544</v>
      </c>
      <c r="AM262" s="57">
        <f t="shared" si="111"/>
        <v>-6.0272459362012896</v>
      </c>
    </row>
    <row r="263" spans="1:39" ht="12.75" customHeight="1">
      <c r="A263" s="6">
        <v>257</v>
      </c>
      <c r="B263" s="6" t="s">
        <v>938</v>
      </c>
      <c r="C263" s="81">
        <v>1250864000</v>
      </c>
      <c r="D263" s="81">
        <f t="shared" si="89"/>
        <v>4885384.5748808235</v>
      </c>
      <c r="E263" s="8">
        <v>434549000</v>
      </c>
      <c r="F263" s="81">
        <f t="shared" si="112"/>
        <v>6219222.0592530621</v>
      </c>
      <c r="G263" s="81">
        <f t="shared" si="90"/>
        <v>11104607</v>
      </c>
      <c r="H263" s="127">
        <f t="shared" si="91"/>
        <v>22331499.775409993</v>
      </c>
      <c r="I263" s="347">
        <f t="shared" si="92"/>
        <v>0.49726203397353891</v>
      </c>
      <c r="J263" s="33">
        <f t="shared" ref="J263:J326" si="113">ROUND(H263*maxloc,0)</f>
        <v>18423487</v>
      </c>
      <c r="K263" s="33">
        <f t="shared" si="93"/>
        <v>11104607</v>
      </c>
      <c r="L263" s="126">
        <f t="shared" si="94"/>
        <v>49.73</v>
      </c>
      <c r="M263" s="470"/>
      <c r="N263" s="128">
        <v>9214982</v>
      </c>
      <c r="O263" s="449">
        <v>5.4800000000000001E-2</v>
      </c>
      <c r="P263" s="33">
        <f t="shared" si="95"/>
        <v>9719963</v>
      </c>
      <c r="Q263" s="57">
        <f t="shared" si="96"/>
        <v>43.525795838858059</v>
      </c>
      <c r="R263" s="57">
        <f t="shared" si="97"/>
        <v>6.2042041611419378</v>
      </c>
      <c r="S263" s="88">
        <f t="shared" si="98"/>
        <v>0.01</v>
      </c>
      <c r="T263" s="33">
        <f t="shared" si="99"/>
        <v>92150</v>
      </c>
      <c r="U263" s="9">
        <f t="shared" si="100"/>
        <v>0</v>
      </c>
      <c r="V263" s="9">
        <f t="shared" ref="V263:V326" si="114">MAX(U263*(V$5),0)</f>
        <v>0</v>
      </c>
      <c r="W263" s="9">
        <f t="shared" si="101"/>
        <v>0</v>
      </c>
      <c r="X263" s="127">
        <f>MIN(H263*parameters!C$22,ROUND(P263+T263-V263+W263,0))</f>
        <v>9812113</v>
      </c>
      <c r="Y263" s="94">
        <f t="shared" si="102"/>
        <v>43.938441657216707</v>
      </c>
      <c r="AA263" s="33">
        <f t="shared" si="103"/>
        <v>-1384644</v>
      </c>
      <c r="AB263" s="33">
        <f t="shared" si="104"/>
        <v>-1292494</v>
      </c>
      <c r="AC263" s="33">
        <f t="shared" si="105"/>
        <v>0</v>
      </c>
      <c r="AD263" s="57">
        <f t="shared" si="106"/>
        <v>-5.79155834278329</v>
      </c>
      <c r="AG263" s="609" t="str">
        <f t="shared" si="107"/>
        <v>257</v>
      </c>
      <c r="AH263" s="388" t="str">
        <f t="shared" si="108"/>
        <v>Rutland</v>
      </c>
      <c r="AI263" s="380">
        <f t="shared" si="109"/>
        <v>0.49726203397353891</v>
      </c>
      <c r="AJ263" s="381">
        <f t="shared" ref="AJ263:AJ327" si="115">L263</f>
        <v>49.73</v>
      </c>
      <c r="AK263" s="380">
        <f t="shared" si="110"/>
        <v>5.4800000000000001E-2</v>
      </c>
      <c r="AL263" s="9">
        <f t="shared" ref="AL263:AL327" si="116">X263</f>
        <v>9812113</v>
      </c>
      <c r="AM263" s="57">
        <f t="shared" si="111"/>
        <v>-5.79155834278329</v>
      </c>
    </row>
    <row r="264" spans="1:39" ht="12.75" customHeight="1">
      <c r="A264" s="6">
        <v>258</v>
      </c>
      <c r="B264" s="6" t="s">
        <v>939</v>
      </c>
      <c r="C264" s="81">
        <v>7783083000</v>
      </c>
      <c r="D264" s="81">
        <f t="shared" ref="D264:D327" si="117">D$5*C264</f>
        <v>30397672.035662685</v>
      </c>
      <c r="E264" s="8">
        <v>1770413000</v>
      </c>
      <c r="F264" s="81">
        <f t="shared" si="112"/>
        <v>25337974.736078996</v>
      </c>
      <c r="G264" s="81">
        <f t="shared" ref="G264:G327" si="118">ROUND(D264+F264,0)</f>
        <v>55735647</v>
      </c>
      <c r="H264" s="127">
        <f t="shared" ref="H264:H327" si="119">(SUMIF(town1755,A264,found1755)/2)</f>
        <v>78620937.656030521</v>
      </c>
      <c r="I264" s="347">
        <f t="shared" ref="I264:I327" si="120">IF(H264=0,0,G264/H264)</f>
        <v>0.70891608090258973</v>
      </c>
      <c r="J264" s="33">
        <f t="shared" si="113"/>
        <v>64862274</v>
      </c>
      <c r="K264" s="33">
        <f t="shared" ref="K264:K327" si="121">MIN(G264,J264)</f>
        <v>55735647</v>
      </c>
      <c r="L264" s="126">
        <f t="shared" ref="L264:L327" si="122">IF(H264&gt;0, ROUND((K264*100/H264), 2), 0)</f>
        <v>70.89</v>
      </c>
      <c r="M264" s="470"/>
      <c r="N264" s="128">
        <v>44719657</v>
      </c>
      <c r="O264" s="449">
        <v>4.4999999999999998E-2</v>
      </c>
      <c r="P264" s="33">
        <f t="shared" ref="P264:P327" si="123">ROUND(N264*(1+O264),0)</f>
        <v>46732042</v>
      </c>
      <c r="Q264" s="57">
        <f t="shared" ref="Q264:Q327" si="124">IF(H264=0,0,P264*100/H264)</f>
        <v>59.439690486081957</v>
      </c>
      <c r="R264" s="57">
        <f t="shared" ref="R264:R327" si="125">IF(L264&gt;Q264,L264-Q264,0)</f>
        <v>11.450309513918043</v>
      </c>
      <c r="S264" s="88">
        <f t="shared" ref="S264:S327" si="126">IF(AND(R264&gt;$T$4,R264&lt;=$T$5),$S$4,IF(R264&gt;$T$5,$S$5,0))</f>
        <v>0.02</v>
      </c>
      <c r="T264" s="33">
        <f t="shared" ref="T264:T327" si="127">ROUND(S264*N264,0)</f>
        <v>894393</v>
      </c>
      <c r="U264" s="9">
        <f t="shared" ref="U264:U327" si="128">MAX(P264-K264,0)</f>
        <v>0</v>
      </c>
      <c r="V264" s="9">
        <f t="shared" si="114"/>
        <v>0</v>
      </c>
      <c r="W264" s="9">
        <f t="shared" ref="W264:W327" si="129">IF(AND(I264&gt;1.75,$W$5=1),MAX(K264-(P264+T264),0),0)</f>
        <v>0</v>
      </c>
      <c r="X264" s="127">
        <f>MIN(H264*parameters!C$22,ROUND(P264+T264-V264+W264,0))</f>
        <v>47626435</v>
      </c>
      <c r="Y264" s="94">
        <f t="shared" ref="Y264:Y327" si="130">IF(H264=0,0,X264*100/H264)</f>
        <v>60.577292029214149</v>
      </c>
      <c r="AA264" s="33">
        <f t="shared" ref="AA264:AA327" si="131">IF(Q264&lt;L264, P264-K264, 0)</f>
        <v>-9003605</v>
      </c>
      <c r="AB264" s="33">
        <f t="shared" ref="AB264:AB327" si="132">-1*MAX(K264-(P264+T264+W264),0)</f>
        <v>-8109212</v>
      </c>
      <c r="AC264" s="33">
        <f t="shared" ref="AC264:AC327" si="133">IF(Q264&gt;L264, X264-K264,0)</f>
        <v>0</v>
      </c>
      <c r="AD264" s="57">
        <f t="shared" ref="AD264:AD327" si="134">Y264-L264</f>
        <v>-10.312707970785851</v>
      </c>
      <c r="AG264" s="609" t="str">
        <f t="shared" ref="AG264:AG327" si="135">TEXT(A264,"000")</f>
        <v>258</v>
      </c>
      <c r="AH264" s="388" t="str">
        <f t="shared" ref="AH264:AH327" si="136">B264</f>
        <v>Salem</v>
      </c>
      <c r="AI264" s="380">
        <f t="shared" ref="AI264:AI327" si="137">I264</f>
        <v>0.70891608090258973</v>
      </c>
      <c r="AJ264" s="381">
        <f t="shared" si="115"/>
        <v>70.89</v>
      </c>
      <c r="AK264" s="380">
        <f t="shared" ref="AK264:AK327" si="138">O264</f>
        <v>4.4999999999999998E-2</v>
      </c>
      <c r="AL264" s="9">
        <f t="shared" si="116"/>
        <v>47626435</v>
      </c>
      <c r="AM264" s="57">
        <f t="shared" ref="AM264:AM327" si="139">AD264</f>
        <v>-10.312707970785851</v>
      </c>
    </row>
    <row r="265" spans="1:39" ht="12.75" customHeight="1">
      <c r="A265" s="6">
        <v>259</v>
      </c>
      <c r="B265" s="6" t="s">
        <v>940</v>
      </c>
      <c r="C265" s="81">
        <v>2258891500</v>
      </c>
      <c r="D265" s="81">
        <f t="shared" si="117"/>
        <v>8822344.9475158025</v>
      </c>
      <c r="E265" s="8">
        <v>384208000</v>
      </c>
      <c r="F265" s="81">
        <f t="shared" ref="F265:F328" si="140">E265*F$5</f>
        <v>5498746.6751540117</v>
      </c>
      <c r="G265" s="81">
        <f t="shared" si="118"/>
        <v>14321092</v>
      </c>
      <c r="H265" s="127">
        <f t="shared" si="119"/>
        <v>12787169.489438403</v>
      </c>
      <c r="I265" s="347">
        <f t="shared" si="120"/>
        <v>1.1199579400138979</v>
      </c>
      <c r="J265" s="33">
        <f t="shared" si="113"/>
        <v>10549415</v>
      </c>
      <c r="K265" s="33">
        <f t="shared" si="121"/>
        <v>10549415</v>
      </c>
      <c r="L265" s="126">
        <f t="shared" si="122"/>
        <v>82.5</v>
      </c>
      <c r="M265" s="470"/>
      <c r="N265" s="128">
        <v>9780389</v>
      </c>
      <c r="O265" s="449">
        <v>3.8300000000000001E-2</v>
      </c>
      <c r="P265" s="33">
        <f t="shared" si="123"/>
        <v>10154978</v>
      </c>
      <c r="Q265" s="57">
        <f t="shared" si="124"/>
        <v>79.415370292757373</v>
      </c>
      <c r="R265" s="57">
        <f t="shared" si="125"/>
        <v>3.0846297072426268</v>
      </c>
      <c r="S265" s="88">
        <f t="shared" si="126"/>
        <v>0.01</v>
      </c>
      <c r="T265" s="33">
        <f t="shared" si="127"/>
        <v>97804</v>
      </c>
      <c r="U265" s="9">
        <f t="shared" si="128"/>
        <v>0</v>
      </c>
      <c r="V265" s="9">
        <f t="shared" si="114"/>
        <v>0</v>
      </c>
      <c r="W265" s="9">
        <f t="shared" si="129"/>
        <v>0</v>
      </c>
      <c r="X265" s="127">
        <f>MIN(H265*parameters!C$22,ROUND(P265+T265-V265+W265,0))</f>
        <v>10252782</v>
      </c>
      <c r="Y265" s="94">
        <f t="shared" si="130"/>
        <v>80.180230726341065</v>
      </c>
      <c r="AA265" s="33">
        <f t="shared" si="131"/>
        <v>-394437</v>
      </c>
      <c r="AB265" s="33">
        <f t="shared" si="132"/>
        <v>-296633</v>
      </c>
      <c r="AC265" s="33">
        <f t="shared" si="133"/>
        <v>0</v>
      </c>
      <c r="AD265" s="57">
        <f t="shared" si="134"/>
        <v>-2.3197692736589346</v>
      </c>
      <c r="AG265" s="609" t="str">
        <f t="shared" si="135"/>
        <v>259</v>
      </c>
      <c r="AH265" s="388" t="str">
        <f t="shared" si="136"/>
        <v>Salisbury</v>
      </c>
      <c r="AI265" s="380">
        <f t="shared" si="137"/>
        <v>1.1199579400138979</v>
      </c>
      <c r="AJ265" s="381">
        <f t="shared" si="115"/>
        <v>82.5</v>
      </c>
      <c r="AK265" s="380">
        <f t="shared" si="138"/>
        <v>3.8300000000000001E-2</v>
      </c>
      <c r="AL265" s="9">
        <f t="shared" si="116"/>
        <v>10252782</v>
      </c>
      <c r="AM265" s="57">
        <f t="shared" si="139"/>
        <v>-2.3197692736589346</v>
      </c>
    </row>
    <row r="266" spans="1:39" ht="12.75" customHeight="1">
      <c r="A266" s="6">
        <v>260</v>
      </c>
      <c r="B266" s="6" t="s">
        <v>941</v>
      </c>
      <c r="C266" s="81">
        <v>262006000</v>
      </c>
      <c r="D266" s="81">
        <f t="shared" si="117"/>
        <v>1023292.7567874886</v>
      </c>
      <c r="E266" s="8">
        <v>28970000</v>
      </c>
      <c r="F266" s="81">
        <f t="shared" si="140"/>
        <v>414615.75807690551</v>
      </c>
      <c r="G266" s="81">
        <f t="shared" si="118"/>
        <v>1437909</v>
      </c>
      <c r="H266" s="127">
        <f t="shared" si="119"/>
        <v>1371734.9503945918</v>
      </c>
      <c r="I266" s="347">
        <f t="shared" si="120"/>
        <v>1.0482411340371349</v>
      </c>
      <c r="J266" s="33">
        <f t="shared" si="113"/>
        <v>1131681</v>
      </c>
      <c r="K266" s="33">
        <f t="shared" si="121"/>
        <v>1131681</v>
      </c>
      <c r="L266" s="126">
        <f t="shared" si="122"/>
        <v>82.5</v>
      </c>
      <c r="M266" s="470"/>
      <c r="N266" s="128">
        <v>907243</v>
      </c>
      <c r="O266" s="449">
        <v>4.2599999999999999E-2</v>
      </c>
      <c r="P266" s="33">
        <f t="shared" si="123"/>
        <v>945892</v>
      </c>
      <c r="Q266" s="57">
        <f t="shared" si="124"/>
        <v>68.955886829879617</v>
      </c>
      <c r="R266" s="57">
        <f t="shared" si="125"/>
        <v>13.544113170120383</v>
      </c>
      <c r="S266" s="88">
        <f t="shared" si="126"/>
        <v>0.02</v>
      </c>
      <c r="T266" s="33">
        <f t="shared" si="127"/>
        <v>18145</v>
      </c>
      <c r="U266" s="9">
        <f t="shared" si="128"/>
        <v>0</v>
      </c>
      <c r="V266" s="9">
        <f t="shared" si="114"/>
        <v>0</v>
      </c>
      <c r="W266" s="9">
        <f t="shared" si="129"/>
        <v>0</v>
      </c>
      <c r="X266" s="127">
        <f>MIN(H266*parameters!C$22,ROUND(P266+T266-V266+W266,0))</f>
        <v>964037</v>
      </c>
      <c r="Y266" s="94">
        <f t="shared" si="130"/>
        <v>70.278664236315194</v>
      </c>
      <c r="AA266" s="33">
        <f t="shared" si="131"/>
        <v>-185789</v>
      </c>
      <c r="AB266" s="33">
        <f t="shared" si="132"/>
        <v>-167644</v>
      </c>
      <c r="AC266" s="33">
        <f t="shared" si="133"/>
        <v>0</v>
      </c>
      <c r="AD266" s="57">
        <f t="shared" si="134"/>
        <v>-12.221335763684806</v>
      </c>
      <c r="AG266" s="609" t="str">
        <f t="shared" si="135"/>
        <v>260</v>
      </c>
      <c r="AH266" s="388" t="str">
        <f t="shared" si="136"/>
        <v>Sandisfield</v>
      </c>
      <c r="AI266" s="380">
        <f t="shared" si="137"/>
        <v>1.0482411340371349</v>
      </c>
      <c r="AJ266" s="381">
        <f t="shared" si="115"/>
        <v>82.5</v>
      </c>
      <c r="AK266" s="380">
        <f t="shared" si="138"/>
        <v>4.2599999999999999E-2</v>
      </c>
      <c r="AL266" s="9">
        <f t="shared" si="116"/>
        <v>964037</v>
      </c>
      <c r="AM266" s="57">
        <f t="shared" si="139"/>
        <v>-12.221335763684806</v>
      </c>
    </row>
    <row r="267" spans="1:39" ht="12.75" customHeight="1">
      <c r="A267" s="6">
        <v>261</v>
      </c>
      <c r="B267" s="6" t="s">
        <v>942</v>
      </c>
      <c r="C267" s="81">
        <v>5437055800</v>
      </c>
      <c r="D267" s="81">
        <f t="shared" si="117"/>
        <v>21235009.192115463</v>
      </c>
      <c r="E267" s="8">
        <v>1189274000</v>
      </c>
      <c r="F267" s="81">
        <f t="shared" si="140"/>
        <v>17020771.179535855</v>
      </c>
      <c r="G267" s="81">
        <f t="shared" si="118"/>
        <v>38255780</v>
      </c>
      <c r="H267" s="127">
        <f t="shared" si="119"/>
        <v>32810503.31574535</v>
      </c>
      <c r="I267" s="347">
        <f t="shared" si="120"/>
        <v>1.1659613883960607</v>
      </c>
      <c r="J267" s="33">
        <f t="shared" si="113"/>
        <v>27068665</v>
      </c>
      <c r="K267" s="33">
        <f t="shared" si="121"/>
        <v>27068665</v>
      </c>
      <c r="L267" s="126">
        <f t="shared" si="122"/>
        <v>82.5</v>
      </c>
      <c r="M267" s="470"/>
      <c r="N267" s="128">
        <v>26684634</v>
      </c>
      <c r="O267" s="449">
        <v>3.5700000000000003E-2</v>
      </c>
      <c r="P267" s="33">
        <f t="shared" si="123"/>
        <v>27637275</v>
      </c>
      <c r="Q267" s="57">
        <f t="shared" si="124"/>
        <v>84.233011405031448</v>
      </c>
      <c r="R267" s="57">
        <f t="shared" si="125"/>
        <v>0</v>
      </c>
      <c r="S267" s="88">
        <f t="shared" si="126"/>
        <v>0</v>
      </c>
      <c r="T267" s="33">
        <f t="shared" si="127"/>
        <v>0</v>
      </c>
      <c r="U267" s="9">
        <f t="shared" si="128"/>
        <v>568610</v>
      </c>
      <c r="V267" s="9">
        <f t="shared" si="114"/>
        <v>568610</v>
      </c>
      <c r="W267" s="9">
        <f t="shared" si="129"/>
        <v>0</v>
      </c>
      <c r="X267" s="127">
        <f>MIN(H267*parameters!C$22,ROUND(P267+T267-V267+W267,0))</f>
        <v>27068665</v>
      </c>
      <c r="Y267" s="94">
        <f t="shared" si="130"/>
        <v>82.499999282272782</v>
      </c>
      <c r="AA267" s="33">
        <f t="shared" si="131"/>
        <v>0</v>
      </c>
      <c r="AB267" s="33">
        <f t="shared" si="132"/>
        <v>0</v>
      </c>
      <c r="AC267" s="33">
        <f t="shared" si="133"/>
        <v>0</v>
      </c>
      <c r="AD267" s="57">
        <f t="shared" si="134"/>
        <v>-7.1772721810248186E-7</v>
      </c>
      <c r="AG267" s="609" t="str">
        <f t="shared" si="135"/>
        <v>261</v>
      </c>
      <c r="AH267" s="388" t="str">
        <f t="shared" si="136"/>
        <v>Sandwich</v>
      </c>
      <c r="AI267" s="380">
        <f t="shared" si="137"/>
        <v>1.1659613883960607</v>
      </c>
      <c r="AJ267" s="381">
        <f t="shared" si="115"/>
        <v>82.5</v>
      </c>
      <c r="AK267" s="380">
        <f t="shared" si="138"/>
        <v>3.5700000000000003E-2</v>
      </c>
      <c r="AL267" s="9">
        <f t="shared" si="116"/>
        <v>27068665</v>
      </c>
      <c r="AM267" s="57">
        <f t="shared" si="139"/>
        <v>-7.1772721810248186E-7</v>
      </c>
    </row>
    <row r="268" spans="1:39" ht="12.75" customHeight="1">
      <c r="A268" s="6">
        <v>262</v>
      </c>
      <c r="B268" s="6" t="s">
        <v>943</v>
      </c>
      <c r="C268" s="81">
        <v>6097491800</v>
      </c>
      <c r="D268" s="81">
        <f t="shared" si="117"/>
        <v>23814413.38561371</v>
      </c>
      <c r="E268" s="8">
        <v>1272860000</v>
      </c>
      <c r="F268" s="81">
        <f t="shared" si="140"/>
        <v>18217045.696436655</v>
      </c>
      <c r="G268" s="81">
        <f t="shared" si="118"/>
        <v>42031459</v>
      </c>
      <c r="H268" s="127">
        <f t="shared" si="119"/>
        <v>49312371.434980631</v>
      </c>
      <c r="I268" s="347">
        <f t="shared" si="120"/>
        <v>0.8523512006600481</v>
      </c>
      <c r="J268" s="33">
        <f t="shared" si="113"/>
        <v>40682706</v>
      </c>
      <c r="K268" s="33">
        <f t="shared" si="121"/>
        <v>40682706</v>
      </c>
      <c r="L268" s="126">
        <f t="shared" si="122"/>
        <v>82.5</v>
      </c>
      <c r="M268" s="470"/>
      <c r="N268" s="128">
        <v>32464556</v>
      </c>
      <c r="O268" s="449">
        <v>3.7699999999999997E-2</v>
      </c>
      <c r="P268" s="33">
        <f t="shared" si="123"/>
        <v>33688470</v>
      </c>
      <c r="Q268" s="57">
        <f t="shared" si="124"/>
        <v>68.31646708457113</v>
      </c>
      <c r="R268" s="57">
        <f t="shared" si="125"/>
        <v>14.18353291542887</v>
      </c>
      <c r="S268" s="88">
        <f t="shared" si="126"/>
        <v>0.02</v>
      </c>
      <c r="T268" s="33">
        <f t="shared" si="127"/>
        <v>649291</v>
      </c>
      <c r="U268" s="9">
        <f t="shared" si="128"/>
        <v>0</v>
      </c>
      <c r="V268" s="9">
        <f t="shared" si="114"/>
        <v>0</v>
      </c>
      <c r="W268" s="9">
        <f t="shared" si="129"/>
        <v>0</v>
      </c>
      <c r="X268" s="127">
        <f>MIN(H268*parameters!C$22,ROUND(P268+T268-V268+W268,0))</f>
        <v>34337761</v>
      </c>
      <c r="Y268" s="94">
        <f t="shared" si="130"/>
        <v>69.633156955907182</v>
      </c>
      <c r="AA268" s="33">
        <f t="shared" si="131"/>
        <v>-6994236</v>
      </c>
      <c r="AB268" s="33">
        <f t="shared" si="132"/>
        <v>-6344945</v>
      </c>
      <c r="AC268" s="33">
        <f t="shared" si="133"/>
        <v>0</v>
      </c>
      <c r="AD268" s="57">
        <f t="shared" si="134"/>
        <v>-12.866843044092818</v>
      </c>
      <c r="AG268" s="609" t="str">
        <f t="shared" si="135"/>
        <v>262</v>
      </c>
      <c r="AH268" s="388" t="str">
        <f t="shared" si="136"/>
        <v>Saugus</v>
      </c>
      <c r="AI268" s="380">
        <f t="shared" si="137"/>
        <v>0.8523512006600481</v>
      </c>
      <c r="AJ268" s="381">
        <f t="shared" si="115"/>
        <v>82.5</v>
      </c>
      <c r="AK268" s="380">
        <f t="shared" si="138"/>
        <v>3.7699999999999997E-2</v>
      </c>
      <c r="AL268" s="9">
        <f t="shared" si="116"/>
        <v>34337761</v>
      </c>
      <c r="AM268" s="57">
        <f t="shared" si="139"/>
        <v>-12.866843044092818</v>
      </c>
    </row>
    <row r="269" spans="1:39" ht="12.75" customHeight="1">
      <c r="A269" s="6">
        <v>263</v>
      </c>
      <c r="B269" s="6" t="s">
        <v>944</v>
      </c>
      <c r="C269" s="81">
        <v>82500500</v>
      </c>
      <c r="D269" s="81">
        <f t="shared" si="117"/>
        <v>322214.6213496874</v>
      </c>
      <c r="E269" s="8">
        <v>21471000</v>
      </c>
      <c r="F269" s="81">
        <f t="shared" si="140"/>
        <v>307290.81607418839</v>
      </c>
      <c r="G269" s="81">
        <f t="shared" si="118"/>
        <v>629505</v>
      </c>
      <c r="H269" s="127">
        <f t="shared" si="119"/>
        <v>863458.13208399003</v>
      </c>
      <c r="I269" s="347">
        <f t="shared" si="120"/>
        <v>0.7290509830287486</v>
      </c>
      <c r="J269" s="33">
        <f t="shared" si="113"/>
        <v>712353</v>
      </c>
      <c r="K269" s="33">
        <f t="shared" si="121"/>
        <v>629505</v>
      </c>
      <c r="L269" s="126">
        <f t="shared" si="122"/>
        <v>72.91</v>
      </c>
      <c r="M269" s="470"/>
      <c r="N269" s="128">
        <v>571931</v>
      </c>
      <c r="O269" s="449">
        <v>2.2099999999999998E-2</v>
      </c>
      <c r="P269" s="33">
        <f t="shared" si="123"/>
        <v>584571</v>
      </c>
      <c r="Q269" s="57">
        <f t="shared" si="124"/>
        <v>67.701140133930409</v>
      </c>
      <c r="R269" s="57">
        <f t="shared" si="125"/>
        <v>5.208859866069588</v>
      </c>
      <c r="S269" s="88">
        <f t="shared" si="126"/>
        <v>0.01</v>
      </c>
      <c r="T269" s="33">
        <f t="shared" si="127"/>
        <v>5719</v>
      </c>
      <c r="U269" s="9">
        <f t="shared" si="128"/>
        <v>0</v>
      </c>
      <c r="V269" s="9">
        <f t="shared" si="114"/>
        <v>0</v>
      </c>
      <c r="W269" s="9">
        <f t="shared" si="129"/>
        <v>0</v>
      </c>
      <c r="X269" s="127">
        <f>MIN(H269*parameters!C$22,ROUND(P269+T269-V269+W269,0))</f>
        <v>590290</v>
      </c>
      <c r="Y269" s="94">
        <f t="shared" si="130"/>
        <v>68.363476822589178</v>
      </c>
      <c r="AA269" s="33">
        <f t="shared" si="131"/>
        <v>-44934</v>
      </c>
      <c r="AB269" s="33">
        <f t="shared" si="132"/>
        <v>-39215</v>
      </c>
      <c r="AC269" s="33">
        <f t="shared" si="133"/>
        <v>0</v>
      </c>
      <c r="AD269" s="57">
        <f t="shared" si="134"/>
        <v>-4.546523177410819</v>
      </c>
      <c r="AG269" s="609" t="str">
        <f t="shared" si="135"/>
        <v>263</v>
      </c>
      <c r="AH269" s="388" t="str">
        <f t="shared" si="136"/>
        <v>Savoy</v>
      </c>
      <c r="AI269" s="380">
        <f t="shared" si="137"/>
        <v>0.7290509830287486</v>
      </c>
      <c r="AJ269" s="381">
        <f t="shared" si="115"/>
        <v>72.91</v>
      </c>
      <c r="AK269" s="380">
        <f t="shared" si="138"/>
        <v>2.2099999999999998E-2</v>
      </c>
      <c r="AL269" s="9">
        <f t="shared" si="116"/>
        <v>590290</v>
      </c>
      <c r="AM269" s="57">
        <f t="shared" si="139"/>
        <v>-4.546523177410819</v>
      </c>
    </row>
    <row r="270" spans="1:39" ht="12.75" customHeight="1">
      <c r="A270" s="6">
        <v>264</v>
      </c>
      <c r="B270" s="6" t="s">
        <v>945</v>
      </c>
      <c r="C270" s="81">
        <v>5952520200</v>
      </c>
      <c r="D270" s="81">
        <f t="shared" si="117"/>
        <v>23248211.129864249</v>
      </c>
      <c r="E270" s="8">
        <v>1823029000</v>
      </c>
      <c r="F270" s="81">
        <f t="shared" si="140"/>
        <v>26091009.693862028</v>
      </c>
      <c r="G270" s="81">
        <f t="shared" si="118"/>
        <v>49339221</v>
      </c>
      <c r="H270" s="127">
        <f t="shared" si="119"/>
        <v>36178568.025969014</v>
      </c>
      <c r="I270" s="347">
        <f t="shared" si="120"/>
        <v>1.363769316811662</v>
      </c>
      <c r="J270" s="33">
        <f t="shared" si="113"/>
        <v>29847319</v>
      </c>
      <c r="K270" s="33">
        <f t="shared" si="121"/>
        <v>29847319</v>
      </c>
      <c r="L270" s="126">
        <f t="shared" si="122"/>
        <v>82.5</v>
      </c>
      <c r="M270" s="470"/>
      <c r="N270" s="128">
        <v>28428654</v>
      </c>
      <c r="O270" s="449">
        <v>5.5399999999999998E-2</v>
      </c>
      <c r="P270" s="33">
        <f t="shared" si="123"/>
        <v>30003601</v>
      </c>
      <c r="Q270" s="57">
        <f t="shared" si="124"/>
        <v>82.931975025831278</v>
      </c>
      <c r="R270" s="57">
        <f t="shared" si="125"/>
        <v>0</v>
      </c>
      <c r="S270" s="88">
        <f t="shared" si="126"/>
        <v>0</v>
      </c>
      <c r="T270" s="33">
        <f t="shared" si="127"/>
        <v>0</v>
      </c>
      <c r="U270" s="9">
        <f t="shared" si="128"/>
        <v>156282</v>
      </c>
      <c r="V270" s="9">
        <f t="shared" si="114"/>
        <v>156282</v>
      </c>
      <c r="W270" s="9">
        <f t="shared" si="129"/>
        <v>0</v>
      </c>
      <c r="X270" s="127">
        <f>MIN(H270*parameters!C$22,ROUND(P270+T270-V270+W270,0))</f>
        <v>29847319</v>
      </c>
      <c r="Y270" s="94">
        <f t="shared" si="130"/>
        <v>82.500001046408372</v>
      </c>
      <c r="AA270" s="33">
        <f t="shared" si="131"/>
        <v>0</v>
      </c>
      <c r="AB270" s="33">
        <f t="shared" si="132"/>
        <v>0</v>
      </c>
      <c r="AC270" s="33">
        <f t="shared" si="133"/>
        <v>0</v>
      </c>
      <c r="AD270" s="57">
        <f t="shared" si="134"/>
        <v>1.0464083715078232E-6</v>
      </c>
      <c r="AG270" s="609" t="str">
        <f t="shared" si="135"/>
        <v>264</v>
      </c>
      <c r="AH270" s="388" t="str">
        <f t="shared" si="136"/>
        <v>Scituate</v>
      </c>
      <c r="AI270" s="380">
        <f t="shared" si="137"/>
        <v>1.363769316811662</v>
      </c>
      <c r="AJ270" s="381">
        <f t="shared" si="115"/>
        <v>82.5</v>
      </c>
      <c r="AK270" s="380">
        <f t="shared" si="138"/>
        <v>5.5399999999999998E-2</v>
      </c>
      <c r="AL270" s="9">
        <f t="shared" si="116"/>
        <v>29847319</v>
      </c>
      <c r="AM270" s="57">
        <f t="shared" si="139"/>
        <v>1.0464083715078232E-6</v>
      </c>
    </row>
    <row r="271" spans="1:39" ht="12.75" customHeight="1">
      <c r="A271" s="6">
        <v>265</v>
      </c>
      <c r="B271" s="6" t="s">
        <v>946</v>
      </c>
      <c r="C271" s="81">
        <v>2959677700</v>
      </c>
      <c r="D271" s="81">
        <f t="shared" si="117"/>
        <v>11559341.209115263</v>
      </c>
      <c r="E271" s="8">
        <v>759541000</v>
      </c>
      <c r="F271" s="81">
        <f t="shared" si="140"/>
        <v>10870475.233189192</v>
      </c>
      <c r="G271" s="81">
        <f t="shared" si="118"/>
        <v>22429816</v>
      </c>
      <c r="H271" s="127">
        <f t="shared" si="119"/>
        <v>28829091.108598817</v>
      </c>
      <c r="I271" s="347">
        <f t="shared" si="120"/>
        <v>0.77802716414149753</v>
      </c>
      <c r="J271" s="33">
        <f t="shared" si="113"/>
        <v>23784000</v>
      </c>
      <c r="K271" s="33">
        <f t="shared" si="121"/>
        <v>22429816</v>
      </c>
      <c r="L271" s="126">
        <f t="shared" si="122"/>
        <v>77.8</v>
      </c>
      <c r="M271" s="470"/>
      <c r="N271" s="128">
        <v>19616337</v>
      </c>
      <c r="O271" s="449">
        <v>4.7500000000000001E-2</v>
      </c>
      <c r="P271" s="33">
        <f t="shared" si="123"/>
        <v>20548113</v>
      </c>
      <c r="Q271" s="57">
        <f t="shared" si="124"/>
        <v>71.275618515323714</v>
      </c>
      <c r="R271" s="57">
        <f t="shared" si="125"/>
        <v>6.5243814846762831</v>
      </c>
      <c r="S271" s="88">
        <f t="shared" si="126"/>
        <v>0.01</v>
      </c>
      <c r="T271" s="33">
        <f t="shared" si="127"/>
        <v>196163</v>
      </c>
      <c r="U271" s="9">
        <f t="shared" si="128"/>
        <v>0</v>
      </c>
      <c r="V271" s="9">
        <f t="shared" si="114"/>
        <v>0</v>
      </c>
      <c r="W271" s="9">
        <f t="shared" si="129"/>
        <v>0</v>
      </c>
      <c r="X271" s="127">
        <f>MIN(H271*parameters!C$22,ROUND(P271+T271-V271+W271,0))</f>
        <v>20744276</v>
      </c>
      <c r="Y271" s="94">
        <f t="shared" si="130"/>
        <v>71.95605273109922</v>
      </c>
      <c r="AA271" s="33">
        <f t="shared" si="131"/>
        <v>-1881703</v>
      </c>
      <c r="AB271" s="33">
        <f t="shared" si="132"/>
        <v>-1685540</v>
      </c>
      <c r="AC271" s="33">
        <f t="shared" si="133"/>
        <v>0</v>
      </c>
      <c r="AD271" s="57">
        <f t="shared" si="134"/>
        <v>-5.8439472689007772</v>
      </c>
      <c r="AG271" s="609" t="str">
        <f t="shared" si="135"/>
        <v>265</v>
      </c>
      <c r="AH271" s="388" t="str">
        <f t="shared" si="136"/>
        <v>Seekonk</v>
      </c>
      <c r="AI271" s="380">
        <f t="shared" si="137"/>
        <v>0.77802716414149753</v>
      </c>
      <c r="AJ271" s="381">
        <f t="shared" si="115"/>
        <v>77.8</v>
      </c>
      <c r="AK271" s="380">
        <f t="shared" si="138"/>
        <v>4.7500000000000001E-2</v>
      </c>
      <c r="AL271" s="9">
        <f t="shared" si="116"/>
        <v>20744276</v>
      </c>
      <c r="AM271" s="57">
        <f t="shared" si="139"/>
        <v>-5.8439472689007772</v>
      </c>
    </row>
    <row r="272" spans="1:39" ht="12.75" customHeight="1">
      <c r="A272" s="6">
        <v>266</v>
      </c>
      <c r="B272" s="6" t="s">
        <v>947</v>
      </c>
      <c r="C272" s="81">
        <v>4292191400</v>
      </c>
      <c r="D272" s="81">
        <f t="shared" si="117"/>
        <v>16763617.513971245</v>
      </c>
      <c r="E272" s="8">
        <v>1652071000</v>
      </c>
      <c r="F272" s="81">
        <f t="shared" si="140"/>
        <v>23644275.80469007</v>
      </c>
      <c r="G272" s="81">
        <f t="shared" si="118"/>
        <v>40407893</v>
      </c>
      <c r="H272" s="127">
        <f t="shared" si="119"/>
        <v>46282111.766331337</v>
      </c>
      <c r="I272" s="347">
        <f t="shared" si="120"/>
        <v>0.87307798753892141</v>
      </c>
      <c r="J272" s="33">
        <f t="shared" si="113"/>
        <v>38182742</v>
      </c>
      <c r="K272" s="33">
        <f t="shared" si="121"/>
        <v>38182742</v>
      </c>
      <c r="L272" s="126">
        <f t="shared" si="122"/>
        <v>82.5</v>
      </c>
      <c r="M272" s="470"/>
      <c r="N272" s="128">
        <v>34104990</v>
      </c>
      <c r="O272" s="449">
        <v>4.2700000000000002E-2</v>
      </c>
      <c r="P272" s="33">
        <f t="shared" si="123"/>
        <v>35561273</v>
      </c>
      <c r="Q272" s="57">
        <f t="shared" si="124"/>
        <v>76.83589110959629</v>
      </c>
      <c r="R272" s="57">
        <f t="shared" si="125"/>
        <v>5.6641088904037105</v>
      </c>
      <c r="S272" s="88">
        <f t="shared" si="126"/>
        <v>0.01</v>
      </c>
      <c r="T272" s="33">
        <f t="shared" si="127"/>
        <v>341050</v>
      </c>
      <c r="U272" s="9">
        <f t="shared" si="128"/>
        <v>0</v>
      </c>
      <c r="V272" s="9">
        <f t="shared" si="114"/>
        <v>0</v>
      </c>
      <c r="W272" s="9">
        <f t="shared" si="129"/>
        <v>0</v>
      </c>
      <c r="X272" s="127">
        <f>MIN(H272*parameters!C$22,ROUND(P272+T272-V272+W272,0))</f>
        <v>35902323</v>
      </c>
      <c r="Y272" s="94">
        <f t="shared" si="130"/>
        <v>77.572784883419516</v>
      </c>
      <c r="AA272" s="33">
        <f t="shared" si="131"/>
        <v>-2621469</v>
      </c>
      <c r="AB272" s="33">
        <f t="shared" si="132"/>
        <v>-2280419</v>
      </c>
      <c r="AC272" s="33">
        <f t="shared" si="133"/>
        <v>0</v>
      </c>
      <c r="AD272" s="57">
        <f t="shared" si="134"/>
        <v>-4.9272151165804843</v>
      </c>
      <c r="AG272" s="609" t="str">
        <f t="shared" si="135"/>
        <v>266</v>
      </c>
      <c r="AH272" s="388" t="str">
        <f t="shared" si="136"/>
        <v>Sharon</v>
      </c>
      <c r="AI272" s="380">
        <f t="shared" si="137"/>
        <v>0.87307798753892141</v>
      </c>
      <c r="AJ272" s="381">
        <f t="shared" si="115"/>
        <v>82.5</v>
      </c>
      <c r="AK272" s="380">
        <f t="shared" si="138"/>
        <v>4.2700000000000002E-2</v>
      </c>
      <c r="AL272" s="9">
        <f t="shared" si="116"/>
        <v>35902323</v>
      </c>
      <c r="AM272" s="57">
        <f t="shared" si="139"/>
        <v>-4.9272151165804843</v>
      </c>
    </row>
    <row r="273" spans="1:39" ht="12.75" customHeight="1">
      <c r="A273" s="6">
        <v>267</v>
      </c>
      <c r="B273" s="6" t="s">
        <v>948</v>
      </c>
      <c r="C273" s="81">
        <v>788173500</v>
      </c>
      <c r="D273" s="81">
        <f t="shared" si="117"/>
        <v>3078296.80862974</v>
      </c>
      <c r="E273" s="8">
        <v>188328000</v>
      </c>
      <c r="F273" s="81">
        <f t="shared" si="140"/>
        <v>2695331.6012118557</v>
      </c>
      <c r="G273" s="81">
        <f t="shared" si="118"/>
        <v>5773628</v>
      </c>
      <c r="H273" s="127">
        <f t="shared" si="119"/>
        <v>4830855.6887805052</v>
      </c>
      <c r="I273" s="347">
        <f t="shared" si="120"/>
        <v>1.1951563805578069</v>
      </c>
      <c r="J273" s="33">
        <f t="shared" si="113"/>
        <v>3985456</v>
      </c>
      <c r="K273" s="33">
        <f t="shared" si="121"/>
        <v>3985456</v>
      </c>
      <c r="L273" s="126">
        <f t="shared" si="122"/>
        <v>82.5</v>
      </c>
      <c r="M273" s="470"/>
      <c r="N273" s="128">
        <v>3962675</v>
      </c>
      <c r="O273" s="449">
        <v>3.85E-2</v>
      </c>
      <c r="P273" s="33">
        <f t="shared" si="123"/>
        <v>4115238</v>
      </c>
      <c r="Q273" s="57">
        <f t="shared" si="124"/>
        <v>85.186523156911875</v>
      </c>
      <c r="R273" s="57">
        <f t="shared" si="125"/>
        <v>0</v>
      </c>
      <c r="S273" s="88">
        <f t="shared" si="126"/>
        <v>0</v>
      </c>
      <c r="T273" s="33">
        <f t="shared" si="127"/>
        <v>0</v>
      </c>
      <c r="U273" s="9">
        <f t="shared" si="128"/>
        <v>129782</v>
      </c>
      <c r="V273" s="9">
        <f t="shared" si="114"/>
        <v>129782</v>
      </c>
      <c r="W273" s="9">
        <f t="shared" si="129"/>
        <v>0</v>
      </c>
      <c r="X273" s="127">
        <f>MIN(H273*parameters!C$22,ROUND(P273+T273-V273+W273,0))</f>
        <v>3985456</v>
      </c>
      <c r="Y273" s="94">
        <f t="shared" si="130"/>
        <v>82.500001174866043</v>
      </c>
      <c r="AA273" s="33">
        <f t="shared" si="131"/>
        <v>0</v>
      </c>
      <c r="AB273" s="33">
        <f t="shared" si="132"/>
        <v>0</v>
      </c>
      <c r="AC273" s="33">
        <f t="shared" si="133"/>
        <v>0</v>
      </c>
      <c r="AD273" s="57">
        <f t="shared" si="134"/>
        <v>1.1748660426746937E-6</v>
      </c>
      <c r="AG273" s="609" t="str">
        <f t="shared" si="135"/>
        <v>267</v>
      </c>
      <c r="AH273" s="388" t="str">
        <f t="shared" si="136"/>
        <v>Sheffield</v>
      </c>
      <c r="AI273" s="380">
        <f t="shared" si="137"/>
        <v>1.1951563805578069</v>
      </c>
      <c r="AJ273" s="381">
        <f t="shared" si="115"/>
        <v>82.5</v>
      </c>
      <c r="AK273" s="380">
        <f t="shared" si="138"/>
        <v>3.85E-2</v>
      </c>
      <c r="AL273" s="9">
        <f t="shared" si="116"/>
        <v>3985456</v>
      </c>
      <c r="AM273" s="57">
        <f t="shared" si="139"/>
        <v>1.1748660426746937E-6</v>
      </c>
    </row>
    <row r="274" spans="1:39" ht="12.75" customHeight="1">
      <c r="A274" s="6">
        <v>268</v>
      </c>
      <c r="B274" s="6" t="s">
        <v>949</v>
      </c>
      <c r="C274" s="81">
        <v>315346600</v>
      </c>
      <c r="D274" s="81">
        <f t="shared" si="117"/>
        <v>1231620.2363974927</v>
      </c>
      <c r="E274" s="8">
        <v>47828535.5</v>
      </c>
      <c r="F274" s="81">
        <f t="shared" si="140"/>
        <v>684517.2421139346</v>
      </c>
      <c r="G274" s="81">
        <f t="shared" si="118"/>
        <v>1916137</v>
      </c>
      <c r="H274" s="127">
        <f t="shared" si="119"/>
        <v>2383364.0120237013</v>
      </c>
      <c r="I274" s="347">
        <f t="shared" si="120"/>
        <v>0.80396321767610246</v>
      </c>
      <c r="J274" s="33">
        <f t="shared" si="113"/>
        <v>1966275</v>
      </c>
      <c r="K274" s="33">
        <f t="shared" si="121"/>
        <v>1916137</v>
      </c>
      <c r="L274" s="126">
        <f t="shared" si="122"/>
        <v>80.400000000000006</v>
      </c>
      <c r="M274" s="470"/>
      <c r="N274" s="128">
        <v>1719064</v>
      </c>
      <c r="O274" s="449">
        <v>4.3200000000000002E-2</v>
      </c>
      <c r="P274" s="33">
        <f t="shared" si="123"/>
        <v>1793328</v>
      </c>
      <c r="Q274" s="57">
        <f t="shared" si="124"/>
        <v>75.243562920013005</v>
      </c>
      <c r="R274" s="57">
        <f t="shared" si="125"/>
        <v>5.1564370799870005</v>
      </c>
      <c r="S274" s="88">
        <f t="shared" si="126"/>
        <v>0.01</v>
      </c>
      <c r="T274" s="33">
        <f t="shared" si="127"/>
        <v>17191</v>
      </c>
      <c r="U274" s="9">
        <f t="shared" si="128"/>
        <v>0</v>
      </c>
      <c r="V274" s="9">
        <f t="shared" si="114"/>
        <v>0</v>
      </c>
      <c r="W274" s="9">
        <f t="shared" si="129"/>
        <v>0</v>
      </c>
      <c r="X274" s="127">
        <f>MIN(H274*parameters!C$22,ROUND(P274+T274-V274+W274,0))</f>
        <v>1810519</v>
      </c>
      <c r="Y274" s="94">
        <f t="shared" si="130"/>
        <v>75.964854334722389</v>
      </c>
      <c r="AA274" s="33">
        <f t="shared" si="131"/>
        <v>-122809</v>
      </c>
      <c r="AB274" s="33">
        <f t="shared" si="132"/>
        <v>-105618</v>
      </c>
      <c r="AC274" s="33">
        <f t="shared" si="133"/>
        <v>0</v>
      </c>
      <c r="AD274" s="57">
        <f t="shared" si="134"/>
        <v>-4.4351456652776164</v>
      </c>
      <c r="AG274" s="609" t="str">
        <f t="shared" si="135"/>
        <v>268</v>
      </c>
      <c r="AH274" s="388" t="str">
        <f t="shared" si="136"/>
        <v>Shelburne</v>
      </c>
      <c r="AI274" s="380">
        <f t="shared" si="137"/>
        <v>0.80396321767610246</v>
      </c>
      <c r="AJ274" s="381">
        <f t="shared" si="115"/>
        <v>80.400000000000006</v>
      </c>
      <c r="AK274" s="380">
        <f t="shared" si="138"/>
        <v>4.3200000000000002E-2</v>
      </c>
      <c r="AL274" s="9">
        <f t="shared" si="116"/>
        <v>1810519</v>
      </c>
      <c r="AM274" s="57">
        <f t="shared" si="139"/>
        <v>-4.4351456652776164</v>
      </c>
    </row>
    <row r="275" spans="1:39" ht="12.75" customHeight="1">
      <c r="A275" s="6">
        <v>269</v>
      </c>
      <c r="B275" s="6" t="s">
        <v>950</v>
      </c>
      <c r="C275" s="81">
        <v>1468975200</v>
      </c>
      <c r="D275" s="81">
        <f t="shared" si="117"/>
        <v>5737241.4450831367</v>
      </c>
      <c r="E275" s="8">
        <v>1434070000</v>
      </c>
      <c r="F275" s="81">
        <f t="shared" si="140"/>
        <v>20524267.179335445</v>
      </c>
      <c r="G275" s="81">
        <f t="shared" si="118"/>
        <v>26261509</v>
      </c>
      <c r="H275" s="127">
        <f t="shared" si="119"/>
        <v>11955577.081493825</v>
      </c>
      <c r="I275" s="347">
        <f t="shared" si="120"/>
        <v>2.196590664004876</v>
      </c>
      <c r="J275" s="33">
        <f t="shared" si="113"/>
        <v>9863351</v>
      </c>
      <c r="K275" s="33">
        <f t="shared" si="121"/>
        <v>9863351</v>
      </c>
      <c r="L275" s="126">
        <f t="shared" si="122"/>
        <v>82.5</v>
      </c>
      <c r="M275" s="470"/>
      <c r="N275" s="128">
        <v>9642913</v>
      </c>
      <c r="O275" s="449">
        <v>4.0199999999999993E-2</v>
      </c>
      <c r="P275" s="33">
        <f t="shared" si="123"/>
        <v>10030558</v>
      </c>
      <c r="Q275" s="57">
        <f t="shared" si="124"/>
        <v>83.898568271760098</v>
      </c>
      <c r="R275" s="57">
        <f t="shared" si="125"/>
        <v>0</v>
      </c>
      <c r="S275" s="88">
        <f t="shared" si="126"/>
        <v>0</v>
      </c>
      <c r="T275" s="33">
        <f t="shared" si="127"/>
        <v>0</v>
      </c>
      <c r="U275" s="9">
        <f t="shared" si="128"/>
        <v>167207</v>
      </c>
      <c r="V275" s="9">
        <f t="shared" si="114"/>
        <v>167207</v>
      </c>
      <c r="W275" s="9">
        <f t="shared" si="129"/>
        <v>0</v>
      </c>
      <c r="X275" s="127">
        <f>MIN(H275*parameters!C$22,ROUND(P275+T275-V275+W275,0))</f>
        <v>9863351</v>
      </c>
      <c r="Y275" s="94">
        <f t="shared" si="130"/>
        <v>82.499999228540744</v>
      </c>
      <c r="AA275" s="33">
        <f t="shared" si="131"/>
        <v>0</v>
      </c>
      <c r="AB275" s="33">
        <f t="shared" si="132"/>
        <v>0</v>
      </c>
      <c r="AC275" s="33">
        <f t="shared" si="133"/>
        <v>0</v>
      </c>
      <c r="AD275" s="57">
        <f t="shared" si="134"/>
        <v>-7.7145925558852468E-7</v>
      </c>
      <c r="AG275" s="609" t="str">
        <f t="shared" si="135"/>
        <v>269</v>
      </c>
      <c r="AH275" s="388" t="str">
        <f t="shared" si="136"/>
        <v>Sherborn</v>
      </c>
      <c r="AI275" s="380">
        <f t="shared" si="137"/>
        <v>2.196590664004876</v>
      </c>
      <c r="AJ275" s="381">
        <f t="shared" si="115"/>
        <v>82.5</v>
      </c>
      <c r="AK275" s="380">
        <f t="shared" si="138"/>
        <v>4.0199999999999993E-2</v>
      </c>
      <c r="AL275" s="9">
        <f t="shared" si="116"/>
        <v>9863351</v>
      </c>
      <c r="AM275" s="57">
        <f t="shared" si="139"/>
        <v>-7.7145925558852468E-7</v>
      </c>
    </row>
    <row r="276" spans="1:39" ht="12.75" customHeight="1">
      <c r="A276" s="6">
        <v>270</v>
      </c>
      <c r="B276" s="6" t="s">
        <v>951</v>
      </c>
      <c r="C276" s="81">
        <v>847533600</v>
      </c>
      <c r="D276" s="81">
        <f t="shared" si="117"/>
        <v>3310134.0962192644</v>
      </c>
      <c r="E276" s="8">
        <v>265457000</v>
      </c>
      <c r="F276" s="81">
        <f t="shared" si="140"/>
        <v>3799194.1764522302</v>
      </c>
      <c r="G276" s="81">
        <f t="shared" si="118"/>
        <v>7109328</v>
      </c>
      <c r="H276" s="127">
        <f t="shared" si="119"/>
        <v>11231023.436802957</v>
      </c>
      <c r="I276" s="347">
        <f t="shared" si="120"/>
        <v>0.63300802816450663</v>
      </c>
      <c r="J276" s="33">
        <f t="shared" si="113"/>
        <v>9265594</v>
      </c>
      <c r="K276" s="33">
        <f t="shared" si="121"/>
        <v>7109328</v>
      </c>
      <c r="L276" s="126">
        <f t="shared" si="122"/>
        <v>63.3</v>
      </c>
      <c r="M276" s="470"/>
      <c r="N276" s="128">
        <v>6239530</v>
      </c>
      <c r="O276" s="449">
        <v>3.4099999999999998E-2</v>
      </c>
      <c r="P276" s="33">
        <f t="shared" si="123"/>
        <v>6452298</v>
      </c>
      <c r="Q276" s="57">
        <f t="shared" si="124"/>
        <v>57.450668109697425</v>
      </c>
      <c r="R276" s="57">
        <f t="shared" si="125"/>
        <v>5.8493318903025724</v>
      </c>
      <c r="S276" s="88">
        <f t="shared" si="126"/>
        <v>0.01</v>
      </c>
      <c r="T276" s="33">
        <f t="shared" si="127"/>
        <v>62395</v>
      </c>
      <c r="U276" s="9">
        <f t="shared" si="128"/>
        <v>0</v>
      </c>
      <c r="V276" s="9">
        <f t="shared" si="114"/>
        <v>0</v>
      </c>
      <c r="W276" s="9">
        <f t="shared" si="129"/>
        <v>0</v>
      </c>
      <c r="X276" s="127">
        <f>MIN(H276*parameters!C$22,ROUND(P276+T276-V276+W276,0))</f>
        <v>6514693</v>
      </c>
      <c r="Y276" s="94">
        <f t="shared" si="130"/>
        <v>58.006227452540017</v>
      </c>
      <c r="AA276" s="33">
        <f t="shared" si="131"/>
        <v>-657030</v>
      </c>
      <c r="AB276" s="33">
        <f t="shared" si="132"/>
        <v>-594635</v>
      </c>
      <c r="AC276" s="33">
        <f t="shared" si="133"/>
        <v>0</v>
      </c>
      <c r="AD276" s="57">
        <f t="shared" si="134"/>
        <v>-5.2937725474599802</v>
      </c>
      <c r="AG276" s="609" t="str">
        <f t="shared" si="135"/>
        <v>270</v>
      </c>
      <c r="AH276" s="388" t="str">
        <f t="shared" si="136"/>
        <v>Shirley</v>
      </c>
      <c r="AI276" s="380">
        <f t="shared" si="137"/>
        <v>0.63300802816450663</v>
      </c>
      <c r="AJ276" s="381">
        <f t="shared" si="115"/>
        <v>63.3</v>
      </c>
      <c r="AK276" s="380">
        <f t="shared" si="138"/>
        <v>3.4099999999999998E-2</v>
      </c>
      <c r="AL276" s="9">
        <f t="shared" si="116"/>
        <v>6514693</v>
      </c>
      <c r="AM276" s="57">
        <f t="shared" si="139"/>
        <v>-5.2937725474599802</v>
      </c>
    </row>
    <row r="277" spans="1:39" ht="12.75" customHeight="1">
      <c r="A277" s="6">
        <v>271</v>
      </c>
      <c r="B277" s="6" t="s">
        <v>952</v>
      </c>
      <c r="C277" s="81">
        <v>7215094200</v>
      </c>
      <c r="D277" s="81">
        <f t="shared" si="117"/>
        <v>28179330.375638038</v>
      </c>
      <c r="E277" s="8">
        <v>2891218000</v>
      </c>
      <c r="F277" s="81">
        <f t="shared" si="140"/>
        <v>41378824.398881413</v>
      </c>
      <c r="G277" s="81">
        <f t="shared" si="118"/>
        <v>69558155</v>
      </c>
      <c r="H277" s="127">
        <f t="shared" si="119"/>
        <v>77754351.169999987</v>
      </c>
      <c r="I277" s="347">
        <f t="shared" si="120"/>
        <v>0.89458858511879225</v>
      </c>
      <c r="J277" s="33">
        <f t="shared" si="113"/>
        <v>64147340</v>
      </c>
      <c r="K277" s="33">
        <f t="shared" si="121"/>
        <v>64147340</v>
      </c>
      <c r="L277" s="126">
        <f t="shared" si="122"/>
        <v>82.5</v>
      </c>
      <c r="M277" s="470"/>
      <c r="N277" s="128">
        <v>57993834</v>
      </c>
      <c r="O277" s="449">
        <v>3.9399999999999998E-2</v>
      </c>
      <c r="P277" s="33">
        <f t="shared" si="123"/>
        <v>60278791</v>
      </c>
      <c r="Q277" s="57">
        <f t="shared" si="124"/>
        <v>77.524653081096517</v>
      </c>
      <c r="R277" s="57">
        <f t="shared" si="125"/>
        <v>4.9753469189034831</v>
      </c>
      <c r="S277" s="88">
        <f t="shared" si="126"/>
        <v>0.01</v>
      </c>
      <c r="T277" s="33">
        <f t="shared" si="127"/>
        <v>579938</v>
      </c>
      <c r="U277" s="9">
        <f t="shared" si="128"/>
        <v>0</v>
      </c>
      <c r="V277" s="9">
        <f t="shared" si="114"/>
        <v>0</v>
      </c>
      <c r="W277" s="9">
        <f t="shared" si="129"/>
        <v>0</v>
      </c>
      <c r="X277" s="127">
        <f>MIN(H277*parameters!C$22,ROUND(P277+T277-V277+W277,0))</f>
        <v>60858729</v>
      </c>
      <c r="Y277" s="94">
        <f t="shared" si="130"/>
        <v>78.270512304758526</v>
      </c>
      <c r="AA277" s="33">
        <f t="shared" si="131"/>
        <v>-3868549</v>
      </c>
      <c r="AB277" s="33">
        <f t="shared" si="132"/>
        <v>-3288611</v>
      </c>
      <c r="AC277" s="33">
        <f t="shared" si="133"/>
        <v>0</v>
      </c>
      <c r="AD277" s="57">
        <f t="shared" si="134"/>
        <v>-4.2294876952414739</v>
      </c>
      <c r="AG277" s="609" t="str">
        <f t="shared" si="135"/>
        <v>271</v>
      </c>
      <c r="AH277" s="388" t="str">
        <f t="shared" si="136"/>
        <v>Shrewsbury</v>
      </c>
      <c r="AI277" s="380">
        <f t="shared" si="137"/>
        <v>0.89458858511879225</v>
      </c>
      <c r="AJ277" s="381">
        <f t="shared" si="115"/>
        <v>82.5</v>
      </c>
      <c r="AK277" s="380">
        <f t="shared" si="138"/>
        <v>3.9399999999999998E-2</v>
      </c>
      <c r="AL277" s="9">
        <f t="shared" si="116"/>
        <v>60858729</v>
      </c>
      <c r="AM277" s="57">
        <f t="shared" si="139"/>
        <v>-4.2294876952414739</v>
      </c>
    </row>
    <row r="278" spans="1:39" ht="12.75" customHeight="1">
      <c r="A278" s="6">
        <v>272</v>
      </c>
      <c r="B278" s="6" t="s">
        <v>953</v>
      </c>
      <c r="C278" s="81">
        <v>258085500</v>
      </c>
      <c r="D278" s="81">
        <f t="shared" si="117"/>
        <v>1007980.8202173896</v>
      </c>
      <c r="E278" s="8">
        <v>63654000</v>
      </c>
      <c r="F278" s="81">
        <f t="shared" si="140"/>
        <v>911009.71572755754</v>
      </c>
      <c r="G278" s="81">
        <f t="shared" si="118"/>
        <v>1918991</v>
      </c>
      <c r="H278" s="127">
        <f t="shared" si="119"/>
        <v>2833614.9074189081</v>
      </c>
      <c r="I278" s="347">
        <f t="shared" si="120"/>
        <v>0.67722363930812901</v>
      </c>
      <c r="J278" s="33">
        <f t="shared" si="113"/>
        <v>2337732</v>
      </c>
      <c r="K278" s="33">
        <f t="shared" si="121"/>
        <v>1918991</v>
      </c>
      <c r="L278" s="126">
        <f t="shared" si="122"/>
        <v>67.72</v>
      </c>
      <c r="M278" s="470"/>
      <c r="N278" s="128">
        <v>1659860</v>
      </c>
      <c r="O278" s="449">
        <v>4.53E-2</v>
      </c>
      <c r="P278" s="33">
        <f t="shared" si="123"/>
        <v>1735052</v>
      </c>
      <c r="Q278" s="57">
        <f t="shared" si="124"/>
        <v>61.231044326359417</v>
      </c>
      <c r="R278" s="57">
        <f t="shared" si="125"/>
        <v>6.4889556736405822</v>
      </c>
      <c r="S278" s="88">
        <f t="shared" si="126"/>
        <v>0.01</v>
      </c>
      <c r="T278" s="33">
        <f t="shared" si="127"/>
        <v>16599</v>
      </c>
      <c r="U278" s="9">
        <f t="shared" si="128"/>
        <v>0</v>
      </c>
      <c r="V278" s="9">
        <f t="shared" si="114"/>
        <v>0</v>
      </c>
      <c r="W278" s="9">
        <f t="shared" si="129"/>
        <v>0</v>
      </c>
      <c r="X278" s="127">
        <f>MIN(H278*parameters!C$22,ROUND(P278+T278-V278+W278,0))</f>
        <v>1751651</v>
      </c>
      <c r="Y278" s="94">
        <f t="shared" si="130"/>
        <v>61.816833170021305</v>
      </c>
      <c r="AA278" s="33">
        <f t="shared" si="131"/>
        <v>-183939</v>
      </c>
      <c r="AB278" s="33">
        <f t="shared" si="132"/>
        <v>-167340</v>
      </c>
      <c r="AC278" s="33">
        <f t="shared" si="133"/>
        <v>0</v>
      </c>
      <c r="AD278" s="57">
        <f t="shared" si="134"/>
        <v>-5.9031668299786944</v>
      </c>
      <c r="AG278" s="609" t="str">
        <f t="shared" si="135"/>
        <v>272</v>
      </c>
      <c r="AH278" s="388" t="str">
        <f t="shared" si="136"/>
        <v>Shutesbury</v>
      </c>
      <c r="AI278" s="380">
        <f t="shared" si="137"/>
        <v>0.67722363930812901</v>
      </c>
      <c r="AJ278" s="381">
        <f t="shared" si="115"/>
        <v>67.72</v>
      </c>
      <c r="AK278" s="380">
        <f t="shared" si="138"/>
        <v>4.53E-2</v>
      </c>
      <c r="AL278" s="9">
        <f t="shared" si="116"/>
        <v>1751651</v>
      </c>
      <c r="AM278" s="57">
        <f t="shared" si="139"/>
        <v>-5.9031668299786944</v>
      </c>
    </row>
    <row r="279" spans="1:39" ht="12.75" customHeight="1">
      <c r="A279" s="6">
        <v>273</v>
      </c>
      <c r="B279" s="6" t="s">
        <v>954</v>
      </c>
      <c r="C279" s="81">
        <v>2845873800</v>
      </c>
      <c r="D279" s="81">
        <f t="shared" si="117"/>
        <v>11114867.775055861</v>
      </c>
      <c r="E279" s="8">
        <v>719659000</v>
      </c>
      <c r="F279" s="81">
        <f t="shared" si="140"/>
        <v>10299688.016633336</v>
      </c>
      <c r="G279" s="81">
        <f t="shared" si="118"/>
        <v>21414556</v>
      </c>
      <c r="H279" s="127">
        <f t="shared" si="119"/>
        <v>35671878.426925927</v>
      </c>
      <c r="I279" s="347">
        <f t="shared" si="120"/>
        <v>0.60032039086104916</v>
      </c>
      <c r="J279" s="33">
        <f t="shared" si="113"/>
        <v>29429300</v>
      </c>
      <c r="K279" s="33">
        <f t="shared" si="121"/>
        <v>21414556</v>
      </c>
      <c r="L279" s="126">
        <f t="shared" si="122"/>
        <v>60.03</v>
      </c>
      <c r="M279" s="470"/>
      <c r="N279" s="128">
        <v>17574152</v>
      </c>
      <c r="O279" s="449">
        <v>3.61E-2</v>
      </c>
      <c r="P279" s="33">
        <f t="shared" si="123"/>
        <v>18208579</v>
      </c>
      <c r="Q279" s="57">
        <f t="shared" si="124"/>
        <v>51.044631802332447</v>
      </c>
      <c r="R279" s="57">
        <f t="shared" si="125"/>
        <v>8.9853681976675546</v>
      </c>
      <c r="S279" s="88">
        <f t="shared" si="126"/>
        <v>0.02</v>
      </c>
      <c r="T279" s="33">
        <f t="shared" si="127"/>
        <v>351483</v>
      </c>
      <c r="U279" s="9">
        <f t="shared" si="128"/>
        <v>0</v>
      </c>
      <c r="V279" s="9">
        <f t="shared" si="114"/>
        <v>0</v>
      </c>
      <c r="W279" s="9">
        <f t="shared" si="129"/>
        <v>0</v>
      </c>
      <c r="X279" s="127">
        <f>MIN(H279*parameters!C$22,ROUND(P279+T279-V279+W279,0))</f>
        <v>18560062</v>
      </c>
      <c r="Y279" s="94">
        <f t="shared" si="130"/>
        <v>52.029954178108134</v>
      </c>
      <c r="AA279" s="33">
        <f t="shared" si="131"/>
        <v>-3205977</v>
      </c>
      <c r="AB279" s="33">
        <f t="shared" si="132"/>
        <v>-2854494</v>
      </c>
      <c r="AC279" s="33">
        <f t="shared" si="133"/>
        <v>0</v>
      </c>
      <c r="AD279" s="57">
        <f t="shared" si="134"/>
        <v>-8.0000458218918666</v>
      </c>
      <c r="AG279" s="609" t="str">
        <f t="shared" si="135"/>
        <v>273</v>
      </c>
      <c r="AH279" s="388" t="str">
        <f t="shared" si="136"/>
        <v>Somerset</v>
      </c>
      <c r="AI279" s="380">
        <f t="shared" si="137"/>
        <v>0.60032039086104916</v>
      </c>
      <c r="AJ279" s="381">
        <f t="shared" si="115"/>
        <v>60.03</v>
      </c>
      <c r="AK279" s="380">
        <f t="shared" si="138"/>
        <v>3.61E-2</v>
      </c>
      <c r="AL279" s="9">
        <f t="shared" si="116"/>
        <v>18560062</v>
      </c>
      <c r="AM279" s="57">
        <f t="shared" si="139"/>
        <v>-8.0000458218918666</v>
      </c>
    </row>
    <row r="280" spans="1:39" ht="12.75" customHeight="1">
      <c r="A280" s="6">
        <v>274</v>
      </c>
      <c r="B280" s="6" t="s">
        <v>955</v>
      </c>
      <c r="C280" s="81">
        <v>22812899800</v>
      </c>
      <c r="D280" s="81">
        <f t="shared" si="117"/>
        <v>89098246.325117543</v>
      </c>
      <c r="E280" s="8">
        <v>4758117000</v>
      </c>
      <c r="F280" s="81">
        <f t="shared" si="140"/>
        <v>68097697.16857478</v>
      </c>
      <c r="G280" s="81">
        <f t="shared" si="118"/>
        <v>157195943</v>
      </c>
      <c r="H280" s="127">
        <f t="shared" si="119"/>
        <v>92273702.112999991</v>
      </c>
      <c r="I280" s="347">
        <f t="shared" si="120"/>
        <v>1.7035833547406074</v>
      </c>
      <c r="J280" s="33">
        <f t="shared" si="113"/>
        <v>76125804</v>
      </c>
      <c r="K280" s="33">
        <f t="shared" si="121"/>
        <v>76125804</v>
      </c>
      <c r="L280" s="126">
        <f t="shared" si="122"/>
        <v>82.5</v>
      </c>
      <c r="M280" s="470"/>
      <c r="N280" s="128">
        <v>71896983</v>
      </c>
      <c r="O280" s="449">
        <v>8.0600000000000005E-2</v>
      </c>
      <c r="P280" s="33">
        <f t="shared" si="123"/>
        <v>77691880</v>
      </c>
      <c r="Q280" s="57">
        <f t="shared" si="124"/>
        <v>84.197207027476978</v>
      </c>
      <c r="R280" s="57">
        <f t="shared" si="125"/>
        <v>0</v>
      </c>
      <c r="S280" s="88">
        <f t="shared" si="126"/>
        <v>0</v>
      </c>
      <c r="T280" s="33">
        <f t="shared" si="127"/>
        <v>0</v>
      </c>
      <c r="U280" s="9">
        <f t="shared" si="128"/>
        <v>1566076</v>
      </c>
      <c r="V280" s="9">
        <f t="shared" si="114"/>
        <v>1566076</v>
      </c>
      <c r="W280" s="9">
        <f t="shared" si="129"/>
        <v>0</v>
      </c>
      <c r="X280" s="127">
        <f>MIN(H280*parameters!C$22,ROUND(P280+T280-V280+W280,0))</f>
        <v>76125804</v>
      </c>
      <c r="Y280" s="94">
        <f t="shared" si="130"/>
        <v>82.499999736409194</v>
      </c>
      <c r="AA280" s="33">
        <f t="shared" si="131"/>
        <v>0</v>
      </c>
      <c r="AB280" s="33">
        <f t="shared" si="132"/>
        <v>0</v>
      </c>
      <c r="AC280" s="33">
        <f t="shared" si="133"/>
        <v>0</v>
      </c>
      <c r="AD280" s="57">
        <f t="shared" si="134"/>
        <v>-2.6359080607107899E-7</v>
      </c>
      <c r="AG280" s="609" t="str">
        <f t="shared" si="135"/>
        <v>274</v>
      </c>
      <c r="AH280" s="388" t="str">
        <f t="shared" si="136"/>
        <v>Somerville</v>
      </c>
      <c r="AI280" s="380">
        <f t="shared" si="137"/>
        <v>1.7035833547406074</v>
      </c>
      <c r="AJ280" s="381">
        <f t="shared" si="115"/>
        <v>82.5</v>
      </c>
      <c r="AK280" s="380">
        <f t="shared" si="138"/>
        <v>8.0600000000000005E-2</v>
      </c>
      <c r="AL280" s="9">
        <f t="shared" si="116"/>
        <v>76125804</v>
      </c>
      <c r="AM280" s="57">
        <f t="shared" si="139"/>
        <v>-2.6359080607107899E-7</v>
      </c>
    </row>
    <row r="281" spans="1:39" ht="12.75" customHeight="1">
      <c r="A281" s="6">
        <v>275</v>
      </c>
      <c r="B281" s="6" t="s">
        <v>956</v>
      </c>
      <c r="C281" s="81">
        <v>940959000</v>
      </c>
      <c r="D281" s="81">
        <f t="shared" si="117"/>
        <v>3675017.095539791</v>
      </c>
      <c r="E281" s="8">
        <v>340974000</v>
      </c>
      <c r="F281" s="81">
        <f t="shared" si="140"/>
        <v>4879985.9680536687</v>
      </c>
      <c r="G281" s="81">
        <f t="shared" si="118"/>
        <v>8555003</v>
      </c>
      <c r="H281" s="127">
        <f t="shared" si="119"/>
        <v>10553922.675267763</v>
      </c>
      <c r="I281" s="347">
        <f t="shared" si="120"/>
        <v>0.81059936321572024</v>
      </c>
      <c r="J281" s="33">
        <f t="shared" si="113"/>
        <v>8706986</v>
      </c>
      <c r="K281" s="33">
        <f t="shared" si="121"/>
        <v>8555003</v>
      </c>
      <c r="L281" s="126">
        <f t="shared" si="122"/>
        <v>81.06</v>
      </c>
      <c r="M281" s="470"/>
      <c r="N281" s="128">
        <v>7201435</v>
      </c>
      <c r="O281" s="449">
        <v>4.3999999999999997E-2</v>
      </c>
      <c r="P281" s="33">
        <f t="shared" si="123"/>
        <v>7518298</v>
      </c>
      <c r="Q281" s="57">
        <f t="shared" si="124"/>
        <v>71.237000983705357</v>
      </c>
      <c r="R281" s="57">
        <f t="shared" si="125"/>
        <v>9.822999016294645</v>
      </c>
      <c r="S281" s="88">
        <f t="shared" si="126"/>
        <v>0.02</v>
      </c>
      <c r="T281" s="33">
        <f t="shared" si="127"/>
        <v>144029</v>
      </c>
      <c r="U281" s="9">
        <f t="shared" si="128"/>
        <v>0</v>
      </c>
      <c r="V281" s="9">
        <f t="shared" si="114"/>
        <v>0</v>
      </c>
      <c r="W281" s="9">
        <f t="shared" si="129"/>
        <v>0</v>
      </c>
      <c r="X281" s="127">
        <f>MIN(H281*parameters!C$22,ROUND(P281+T281-V281+W281,0))</f>
        <v>7662327</v>
      </c>
      <c r="Y281" s="94">
        <f t="shared" si="130"/>
        <v>72.601697357097592</v>
      </c>
      <c r="AA281" s="33">
        <f t="shared" si="131"/>
        <v>-1036705</v>
      </c>
      <c r="AB281" s="33">
        <f t="shared" si="132"/>
        <v>-892676</v>
      </c>
      <c r="AC281" s="33">
        <f t="shared" si="133"/>
        <v>0</v>
      </c>
      <c r="AD281" s="57">
        <f t="shared" si="134"/>
        <v>-8.4583026429024102</v>
      </c>
      <c r="AG281" s="609" t="str">
        <f t="shared" si="135"/>
        <v>275</v>
      </c>
      <c r="AH281" s="388" t="str">
        <f t="shared" si="136"/>
        <v>Southampton</v>
      </c>
      <c r="AI281" s="380">
        <f t="shared" si="137"/>
        <v>0.81059936321572024</v>
      </c>
      <c r="AJ281" s="381">
        <f t="shared" si="115"/>
        <v>81.06</v>
      </c>
      <c r="AK281" s="380">
        <f t="shared" si="138"/>
        <v>4.3999999999999997E-2</v>
      </c>
      <c r="AL281" s="9">
        <f t="shared" si="116"/>
        <v>7662327</v>
      </c>
      <c r="AM281" s="57">
        <f t="shared" si="139"/>
        <v>-8.4583026429024102</v>
      </c>
    </row>
    <row r="282" spans="1:39" ht="12.75" customHeight="1">
      <c r="A282" s="6">
        <v>276</v>
      </c>
      <c r="B282" s="6" t="s">
        <v>957</v>
      </c>
      <c r="C282" s="81">
        <v>3033118400</v>
      </c>
      <c r="D282" s="81">
        <f t="shared" si="117"/>
        <v>11846171.802168105</v>
      </c>
      <c r="E282" s="8">
        <v>1609518000</v>
      </c>
      <c r="F282" s="81">
        <f t="shared" si="140"/>
        <v>23035261.501844142</v>
      </c>
      <c r="G282" s="81">
        <f t="shared" si="118"/>
        <v>34881433</v>
      </c>
      <c r="H282" s="127">
        <f t="shared" si="119"/>
        <v>21851961.9042756</v>
      </c>
      <c r="I282" s="347">
        <f t="shared" si="120"/>
        <v>1.5962609285519131</v>
      </c>
      <c r="J282" s="33">
        <f t="shared" si="113"/>
        <v>18027869</v>
      </c>
      <c r="K282" s="33">
        <f t="shared" si="121"/>
        <v>18027869</v>
      </c>
      <c r="L282" s="126">
        <f t="shared" si="122"/>
        <v>82.5</v>
      </c>
      <c r="M282" s="470"/>
      <c r="N282" s="128">
        <v>16980669</v>
      </c>
      <c r="O282" s="449">
        <v>4.1599999999999998E-2</v>
      </c>
      <c r="P282" s="33">
        <f t="shared" si="123"/>
        <v>17687065</v>
      </c>
      <c r="Q282" s="57">
        <f t="shared" si="124"/>
        <v>80.940398292289316</v>
      </c>
      <c r="R282" s="57">
        <f t="shared" si="125"/>
        <v>1.5596017077106836</v>
      </c>
      <c r="S282" s="88">
        <f t="shared" si="126"/>
        <v>0</v>
      </c>
      <c r="T282" s="33">
        <f t="shared" si="127"/>
        <v>0</v>
      </c>
      <c r="U282" s="9">
        <f t="shared" si="128"/>
        <v>0</v>
      </c>
      <c r="V282" s="9">
        <f t="shared" si="114"/>
        <v>0</v>
      </c>
      <c r="W282" s="9">
        <f t="shared" si="129"/>
        <v>0</v>
      </c>
      <c r="X282" s="127">
        <f>MIN(H282*parameters!C$22,ROUND(P282+T282-V282+W282,0))</f>
        <v>17687065</v>
      </c>
      <c r="Y282" s="94">
        <f t="shared" si="130"/>
        <v>80.940398292289316</v>
      </c>
      <c r="AA282" s="33">
        <f t="shared" si="131"/>
        <v>-340804</v>
      </c>
      <c r="AB282" s="33">
        <f t="shared" si="132"/>
        <v>-340804</v>
      </c>
      <c r="AC282" s="33">
        <f t="shared" si="133"/>
        <v>0</v>
      </c>
      <c r="AD282" s="57">
        <f t="shared" si="134"/>
        <v>-1.5596017077106836</v>
      </c>
      <c r="AG282" s="609" t="str">
        <f t="shared" si="135"/>
        <v>276</v>
      </c>
      <c r="AH282" s="388" t="str">
        <f t="shared" si="136"/>
        <v>Southborough</v>
      </c>
      <c r="AI282" s="380">
        <f t="shared" si="137"/>
        <v>1.5962609285519131</v>
      </c>
      <c r="AJ282" s="381">
        <f t="shared" si="115"/>
        <v>82.5</v>
      </c>
      <c r="AK282" s="380">
        <f t="shared" si="138"/>
        <v>4.1599999999999998E-2</v>
      </c>
      <c r="AL282" s="9">
        <f t="shared" si="116"/>
        <v>17687065</v>
      </c>
      <c r="AM282" s="57">
        <f t="shared" si="139"/>
        <v>-1.5596017077106836</v>
      </c>
    </row>
    <row r="283" spans="1:39" ht="12.75" customHeight="1">
      <c r="A283" s="6">
        <v>277</v>
      </c>
      <c r="B283" s="6" t="s">
        <v>958</v>
      </c>
      <c r="C283" s="81">
        <v>1422813300</v>
      </c>
      <c r="D283" s="81">
        <f t="shared" si="117"/>
        <v>5556951.1543663274</v>
      </c>
      <c r="E283" s="8">
        <v>433215000</v>
      </c>
      <c r="F283" s="81">
        <f t="shared" si="140"/>
        <v>6200129.9839588059</v>
      </c>
      <c r="G283" s="81">
        <f t="shared" si="118"/>
        <v>11757081</v>
      </c>
      <c r="H283" s="127">
        <f t="shared" si="119"/>
        <v>46174208.03893932</v>
      </c>
      <c r="I283" s="347">
        <f t="shared" si="120"/>
        <v>0.25462442128049273</v>
      </c>
      <c r="J283" s="33">
        <f t="shared" si="113"/>
        <v>38093722</v>
      </c>
      <c r="K283" s="33">
        <f t="shared" si="121"/>
        <v>11757081</v>
      </c>
      <c r="L283" s="126">
        <f t="shared" si="122"/>
        <v>25.46</v>
      </c>
      <c r="M283" s="470"/>
      <c r="N283" s="128">
        <v>10113381</v>
      </c>
      <c r="O283" s="449">
        <v>5.5800000000000002E-2</v>
      </c>
      <c r="P283" s="33">
        <f t="shared" si="123"/>
        <v>10677708</v>
      </c>
      <c r="Q283" s="57">
        <f t="shared" si="124"/>
        <v>23.124831921308424</v>
      </c>
      <c r="R283" s="57">
        <f t="shared" si="125"/>
        <v>2.3351680786915772</v>
      </c>
      <c r="S283" s="88">
        <f t="shared" si="126"/>
        <v>0</v>
      </c>
      <c r="T283" s="33">
        <f t="shared" si="127"/>
        <v>0</v>
      </c>
      <c r="U283" s="9">
        <f t="shared" si="128"/>
        <v>0</v>
      </c>
      <c r="V283" s="9">
        <f t="shared" si="114"/>
        <v>0</v>
      </c>
      <c r="W283" s="9">
        <f t="shared" si="129"/>
        <v>0</v>
      </c>
      <c r="X283" s="127">
        <f>MIN(H283*parameters!C$22,ROUND(P283+T283-V283+W283,0))</f>
        <v>10677708</v>
      </c>
      <c r="Y283" s="94">
        <f t="shared" si="130"/>
        <v>23.124831921308424</v>
      </c>
      <c r="AA283" s="33">
        <f t="shared" si="131"/>
        <v>-1079373</v>
      </c>
      <c r="AB283" s="33">
        <f t="shared" si="132"/>
        <v>-1079373</v>
      </c>
      <c r="AC283" s="33">
        <f t="shared" si="133"/>
        <v>0</v>
      </c>
      <c r="AD283" s="57">
        <f t="shared" si="134"/>
        <v>-2.3351680786915772</v>
      </c>
      <c r="AG283" s="609" t="str">
        <f t="shared" si="135"/>
        <v>277</v>
      </c>
      <c r="AH283" s="388" t="str">
        <f t="shared" si="136"/>
        <v>Southbridge</v>
      </c>
      <c r="AI283" s="380">
        <f t="shared" si="137"/>
        <v>0.25462442128049273</v>
      </c>
      <c r="AJ283" s="381">
        <f t="shared" si="115"/>
        <v>25.46</v>
      </c>
      <c r="AK283" s="380">
        <f t="shared" si="138"/>
        <v>5.5800000000000002E-2</v>
      </c>
      <c r="AL283" s="9">
        <f t="shared" si="116"/>
        <v>10677708</v>
      </c>
      <c r="AM283" s="57">
        <f t="shared" si="139"/>
        <v>-2.3351680786915772</v>
      </c>
    </row>
    <row r="284" spans="1:39" ht="12.75" customHeight="1">
      <c r="A284" s="6">
        <v>278</v>
      </c>
      <c r="B284" s="6" t="s">
        <v>959</v>
      </c>
      <c r="C284" s="81">
        <v>1917250100</v>
      </c>
      <c r="D284" s="81">
        <f t="shared" si="117"/>
        <v>7488027.5271562031</v>
      </c>
      <c r="E284" s="8">
        <v>699816000</v>
      </c>
      <c r="F284" s="81">
        <f t="shared" si="140"/>
        <v>10015696.97460641</v>
      </c>
      <c r="G284" s="81">
        <f t="shared" si="118"/>
        <v>17503725</v>
      </c>
      <c r="H284" s="127">
        <f t="shared" si="119"/>
        <v>26078106.460000001</v>
      </c>
      <c r="I284" s="347">
        <f t="shared" si="120"/>
        <v>0.67120383248868754</v>
      </c>
      <c r="J284" s="33">
        <f t="shared" si="113"/>
        <v>21514438</v>
      </c>
      <c r="K284" s="33">
        <f t="shared" si="121"/>
        <v>17503725</v>
      </c>
      <c r="L284" s="126">
        <f t="shared" si="122"/>
        <v>67.12</v>
      </c>
      <c r="M284" s="470"/>
      <c r="N284" s="128">
        <v>15249839</v>
      </c>
      <c r="O284" s="449">
        <v>3.49E-2</v>
      </c>
      <c r="P284" s="33">
        <f t="shared" si="123"/>
        <v>15782058</v>
      </c>
      <c r="Q284" s="57">
        <f t="shared" si="124"/>
        <v>60.518420017217764</v>
      </c>
      <c r="R284" s="57">
        <f t="shared" si="125"/>
        <v>6.6015799827822406</v>
      </c>
      <c r="S284" s="88">
        <f t="shared" si="126"/>
        <v>0.01</v>
      </c>
      <c r="T284" s="33">
        <f t="shared" si="127"/>
        <v>152498</v>
      </c>
      <c r="U284" s="9">
        <f t="shared" si="128"/>
        <v>0</v>
      </c>
      <c r="V284" s="9">
        <f t="shared" si="114"/>
        <v>0</v>
      </c>
      <c r="W284" s="9">
        <f t="shared" si="129"/>
        <v>0</v>
      </c>
      <c r="X284" s="127">
        <f>MIN(H284*parameters!C$22,ROUND(P284+T284-V284+W284,0))</f>
        <v>15934556</v>
      </c>
      <c r="Y284" s="94">
        <f t="shared" si="130"/>
        <v>61.103194069865758</v>
      </c>
      <c r="AA284" s="33">
        <f t="shared" si="131"/>
        <v>-1721667</v>
      </c>
      <c r="AB284" s="33">
        <f t="shared" si="132"/>
        <v>-1569169</v>
      </c>
      <c r="AC284" s="33">
        <f t="shared" si="133"/>
        <v>0</v>
      </c>
      <c r="AD284" s="57">
        <f t="shared" si="134"/>
        <v>-6.0168059301342467</v>
      </c>
      <c r="AG284" s="609" t="str">
        <f t="shared" si="135"/>
        <v>278</v>
      </c>
      <c r="AH284" s="388" t="str">
        <f t="shared" si="136"/>
        <v>South Hadley</v>
      </c>
      <c r="AI284" s="380">
        <f t="shared" si="137"/>
        <v>0.67120383248868754</v>
      </c>
      <c r="AJ284" s="381">
        <f t="shared" si="115"/>
        <v>67.12</v>
      </c>
      <c r="AK284" s="380">
        <f t="shared" si="138"/>
        <v>3.49E-2</v>
      </c>
      <c r="AL284" s="9">
        <f t="shared" si="116"/>
        <v>15934556</v>
      </c>
      <c r="AM284" s="57">
        <f t="shared" si="139"/>
        <v>-6.0168059301342467</v>
      </c>
    </row>
    <row r="285" spans="1:39" ht="12.75" customHeight="1">
      <c r="A285" s="6">
        <v>279</v>
      </c>
      <c r="B285" s="6" t="s">
        <v>960</v>
      </c>
      <c r="C285" s="81">
        <v>1295630000</v>
      </c>
      <c r="D285" s="81">
        <f t="shared" si="117"/>
        <v>5060223.027245841</v>
      </c>
      <c r="E285" s="8">
        <v>432271000</v>
      </c>
      <c r="F285" s="81">
        <f t="shared" si="140"/>
        <v>6186619.5498675182</v>
      </c>
      <c r="G285" s="81">
        <f t="shared" si="118"/>
        <v>11246843</v>
      </c>
      <c r="H285" s="127">
        <f t="shared" si="119"/>
        <v>15700995.515083062</v>
      </c>
      <c r="I285" s="347">
        <f t="shared" si="120"/>
        <v>0.71631400628041653</v>
      </c>
      <c r="J285" s="33">
        <f t="shared" si="113"/>
        <v>12953321</v>
      </c>
      <c r="K285" s="33">
        <f t="shared" si="121"/>
        <v>11246843</v>
      </c>
      <c r="L285" s="126">
        <f t="shared" si="122"/>
        <v>71.63</v>
      </c>
      <c r="M285" s="470"/>
      <c r="N285" s="128">
        <v>10057190</v>
      </c>
      <c r="O285" s="449">
        <v>3.39E-2</v>
      </c>
      <c r="P285" s="33">
        <f t="shared" si="123"/>
        <v>10398129</v>
      </c>
      <c r="Q285" s="57">
        <f t="shared" si="124"/>
        <v>66.225921725861923</v>
      </c>
      <c r="R285" s="57">
        <f t="shared" si="125"/>
        <v>5.4040782741380724</v>
      </c>
      <c r="S285" s="88">
        <f t="shared" si="126"/>
        <v>0.01</v>
      </c>
      <c r="T285" s="33">
        <f t="shared" si="127"/>
        <v>100572</v>
      </c>
      <c r="U285" s="9">
        <f t="shared" si="128"/>
        <v>0</v>
      </c>
      <c r="V285" s="9">
        <f t="shared" si="114"/>
        <v>0</v>
      </c>
      <c r="W285" s="9">
        <f t="shared" si="129"/>
        <v>0</v>
      </c>
      <c r="X285" s="127">
        <f>MIN(H285*parameters!C$22,ROUND(P285+T285-V285+W285,0))</f>
        <v>10498701</v>
      </c>
      <c r="Y285" s="94">
        <f t="shared" si="130"/>
        <v>66.866467097035283</v>
      </c>
      <c r="AA285" s="33">
        <f t="shared" si="131"/>
        <v>-848714</v>
      </c>
      <c r="AB285" s="33">
        <f t="shared" si="132"/>
        <v>-748142</v>
      </c>
      <c r="AC285" s="33">
        <f t="shared" si="133"/>
        <v>0</v>
      </c>
      <c r="AD285" s="57">
        <f t="shared" si="134"/>
        <v>-4.7635329029647124</v>
      </c>
      <c r="AG285" s="609" t="str">
        <f t="shared" si="135"/>
        <v>279</v>
      </c>
      <c r="AH285" s="388" t="str">
        <f t="shared" si="136"/>
        <v>Southwick</v>
      </c>
      <c r="AI285" s="380">
        <f t="shared" si="137"/>
        <v>0.71631400628041653</v>
      </c>
      <c r="AJ285" s="381">
        <f t="shared" si="115"/>
        <v>71.63</v>
      </c>
      <c r="AK285" s="380">
        <f t="shared" si="138"/>
        <v>3.39E-2</v>
      </c>
      <c r="AL285" s="9">
        <f t="shared" si="116"/>
        <v>10498701</v>
      </c>
      <c r="AM285" s="57">
        <f t="shared" si="139"/>
        <v>-4.7635329029647124</v>
      </c>
    </row>
    <row r="286" spans="1:39" ht="12.75" customHeight="1">
      <c r="A286" s="6">
        <v>280</v>
      </c>
      <c r="B286" s="6" t="s">
        <v>961</v>
      </c>
      <c r="C286" s="81">
        <v>1407446100</v>
      </c>
      <c r="D286" s="81">
        <f t="shared" si="117"/>
        <v>5496932.8935169401</v>
      </c>
      <c r="E286" s="8">
        <v>401399000</v>
      </c>
      <c r="F286" s="81">
        <f t="shared" si="140"/>
        <v>5744782.5570007525</v>
      </c>
      <c r="G286" s="81">
        <f t="shared" si="118"/>
        <v>11241715</v>
      </c>
      <c r="H286" s="127">
        <f t="shared" si="119"/>
        <v>22729470.59299453</v>
      </c>
      <c r="I286" s="347">
        <f t="shared" si="120"/>
        <v>0.49458763036323505</v>
      </c>
      <c r="J286" s="33">
        <f t="shared" si="113"/>
        <v>18751813</v>
      </c>
      <c r="K286" s="33">
        <f t="shared" si="121"/>
        <v>11241715</v>
      </c>
      <c r="L286" s="126">
        <f t="shared" si="122"/>
        <v>49.46</v>
      </c>
      <c r="M286" s="470"/>
      <c r="N286" s="128">
        <v>9695363</v>
      </c>
      <c r="O286" s="449">
        <v>3.32E-2</v>
      </c>
      <c r="P286" s="33">
        <f t="shared" si="123"/>
        <v>10017249</v>
      </c>
      <c r="Q286" s="57">
        <f t="shared" si="124"/>
        <v>44.071633604556652</v>
      </c>
      <c r="R286" s="57">
        <f t="shared" si="125"/>
        <v>5.3883663954433487</v>
      </c>
      <c r="S286" s="88">
        <f t="shared" si="126"/>
        <v>0.01</v>
      </c>
      <c r="T286" s="33">
        <f t="shared" si="127"/>
        <v>96954</v>
      </c>
      <c r="U286" s="9">
        <f t="shared" si="128"/>
        <v>0</v>
      </c>
      <c r="V286" s="9">
        <f t="shared" si="114"/>
        <v>0</v>
      </c>
      <c r="W286" s="9">
        <f t="shared" si="129"/>
        <v>0</v>
      </c>
      <c r="X286" s="127">
        <f>MIN(H286*parameters!C$22,ROUND(P286+T286-V286+W286,0))</f>
        <v>10114203</v>
      </c>
      <c r="Y286" s="94">
        <f t="shared" si="130"/>
        <v>44.498189953959191</v>
      </c>
      <c r="AA286" s="33">
        <f t="shared" si="131"/>
        <v>-1224466</v>
      </c>
      <c r="AB286" s="33">
        <f t="shared" si="132"/>
        <v>-1127512</v>
      </c>
      <c r="AC286" s="33">
        <f t="shared" si="133"/>
        <v>0</v>
      </c>
      <c r="AD286" s="57">
        <f t="shared" si="134"/>
        <v>-4.9618100460408101</v>
      </c>
      <c r="AG286" s="609" t="str">
        <f t="shared" si="135"/>
        <v>280</v>
      </c>
      <c r="AH286" s="388" t="str">
        <f t="shared" si="136"/>
        <v>Spencer</v>
      </c>
      <c r="AI286" s="380">
        <f t="shared" si="137"/>
        <v>0.49458763036323505</v>
      </c>
      <c r="AJ286" s="381">
        <f t="shared" si="115"/>
        <v>49.46</v>
      </c>
      <c r="AK286" s="380">
        <f t="shared" si="138"/>
        <v>3.32E-2</v>
      </c>
      <c r="AL286" s="9">
        <f t="shared" si="116"/>
        <v>10114203</v>
      </c>
      <c r="AM286" s="57">
        <f t="shared" si="139"/>
        <v>-4.9618100460408101</v>
      </c>
    </row>
    <row r="287" spans="1:39" ht="12.75" customHeight="1">
      <c r="A287" s="6">
        <v>281</v>
      </c>
      <c r="B287" s="6" t="s">
        <v>962</v>
      </c>
      <c r="C287" s="81">
        <v>11356806000</v>
      </c>
      <c r="D287" s="81">
        <f t="shared" si="117"/>
        <v>44355233.544425286</v>
      </c>
      <c r="E287" s="8">
        <v>2966689000</v>
      </c>
      <c r="F287" s="81">
        <f t="shared" si="140"/>
        <v>42458957.843058914</v>
      </c>
      <c r="G287" s="81">
        <f t="shared" si="118"/>
        <v>86814191</v>
      </c>
      <c r="H287" s="127">
        <f t="shared" si="119"/>
        <v>557622637.52999997</v>
      </c>
      <c r="I287" s="347">
        <f t="shared" si="120"/>
        <v>0.15568627447505556</v>
      </c>
      <c r="J287" s="33">
        <f t="shared" si="113"/>
        <v>460038676</v>
      </c>
      <c r="K287" s="33">
        <f t="shared" si="121"/>
        <v>86814191</v>
      </c>
      <c r="L287" s="126">
        <f t="shared" si="122"/>
        <v>15.57</v>
      </c>
      <c r="M287" s="470"/>
      <c r="N287" s="128">
        <v>48026085</v>
      </c>
      <c r="O287" s="449">
        <v>6.239999999999999E-2</v>
      </c>
      <c r="P287" s="33">
        <f t="shared" si="123"/>
        <v>51022913</v>
      </c>
      <c r="Q287" s="57">
        <f t="shared" si="124"/>
        <v>9.150079205178427</v>
      </c>
      <c r="R287" s="57">
        <f t="shared" si="125"/>
        <v>6.4199207948215733</v>
      </c>
      <c r="S287" s="88">
        <f t="shared" si="126"/>
        <v>0.01</v>
      </c>
      <c r="T287" s="33">
        <f t="shared" si="127"/>
        <v>480261</v>
      </c>
      <c r="U287" s="9">
        <f t="shared" si="128"/>
        <v>0</v>
      </c>
      <c r="V287" s="9">
        <f t="shared" si="114"/>
        <v>0</v>
      </c>
      <c r="W287" s="9">
        <f t="shared" si="129"/>
        <v>0</v>
      </c>
      <c r="X287" s="127">
        <f>MIN(H287*parameters!C$22,ROUND(P287+T287-V287+W287,0))</f>
        <v>51503174</v>
      </c>
      <c r="Y287" s="94">
        <f t="shared" si="130"/>
        <v>9.2362057301214104</v>
      </c>
      <c r="AA287" s="33">
        <f t="shared" si="131"/>
        <v>-35791278</v>
      </c>
      <c r="AB287" s="33">
        <f t="shared" si="132"/>
        <v>-35311017</v>
      </c>
      <c r="AC287" s="33">
        <f t="shared" si="133"/>
        <v>0</v>
      </c>
      <c r="AD287" s="57">
        <f t="shared" si="134"/>
        <v>-6.3337942698785898</v>
      </c>
      <c r="AG287" s="609" t="str">
        <f t="shared" si="135"/>
        <v>281</v>
      </c>
      <c r="AH287" s="388" t="str">
        <f t="shared" si="136"/>
        <v>Springfield</v>
      </c>
      <c r="AI287" s="380">
        <f t="shared" si="137"/>
        <v>0.15568627447505556</v>
      </c>
      <c r="AJ287" s="381">
        <f t="shared" si="115"/>
        <v>15.57</v>
      </c>
      <c r="AK287" s="380">
        <f t="shared" si="138"/>
        <v>6.239999999999999E-2</v>
      </c>
      <c r="AL287" s="9">
        <f t="shared" si="116"/>
        <v>51503174</v>
      </c>
      <c r="AM287" s="57">
        <f t="shared" si="139"/>
        <v>-6.3337942698785898</v>
      </c>
    </row>
    <row r="288" spans="1:39" ht="12.75" customHeight="1">
      <c r="A288" s="6">
        <v>282</v>
      </c>
      <c r="B288" s="6" t="s">
        <v>963</v>
      </c>
      <c r="C288" s="81">
        <v>1439088200</v>
      </c>
      <c r="D288" s="81">
        <f t="shared" si="117"/>
        <v>5620514.5356913386</v>
      </c>
      <c r="E288" s="8">
        <v>487890000</v>
      </c>
      <c r="F288" s="81">
        <f t="shared" si="140"/>
        <v>6982633.144913408</v>
      </c>
      <c r="G288" s="81">
        <f t="shared" si="118"/>
        <v>12603148</v>
      </c>
      <c r="H288" s="127">
        <f t="shared" si="119"/>
        <v>13096360.637596529</v>
      </c>
      <c r="I288" s="347">
        <f t="shared" si="120"/>
        <v>0.96233971778536453</v>
      </c>
      <c r="J288" s="33">
        <f t="shared" si="113"/>
        <v>10804498</v>
      </c>
      <c r="K288" s="33">
        <f t="shared" si="121"/>
        <v>10804498</v>
      </c>
      <c r="L288" s="126">
        <f t="shared" si="122"/>
        <v>82.5</v>
      </c>
      <c r="M288" s="470"/>
      <c r="N288" s="128">
        <v>10317629</v>
      </c>
      <c r="O288" s="449">
        <v>4.2900000000000001E-2</v>
      </c>
      <c r="P288" s="33">
        <f t="shared" si="123"/>
        <v>10760255</v>
      </c>
      <c r="Q288" s="57">
        <f t="shared" si="124"/>
        <v>82.16217694181293</v>
      </c>
      <c r="R288" s="57">
        <f t="shared" si="125"/>
        <v>0.33782305818706959</v>
      </c>
      <c r="S288" s="88">
        <f t="shared" si="126"/>
        <v>0</v>
      </c>
      <c r="T288" s="33">
        <f t="shared" si="127"/>
        <v>0</v>
      </c>
      <c r="U288" s="9">
        <f t="shared" si="128"/>
        <v>0</v>
      </c>
      <c r="V288" s="9">
        <f t="shared" si="114"/>
        <v>0</v>
      </c>
      <c r="W288" s="9">
        <f t="shared" si="129"/>
        <v>0</v>
      </c>
      <c r="X288" s="127">
        <f>MIN(H288*parameters!C$22,ROUND(P288+T288-V288+W288,0))</f>
        <v>10760255</v>
      </c>
      <c r="Y288" s="94">
        <f t="shared" si="130"/>
        <v>82.16217694181293</v>
      </c>
      <c r="AA288" s="33">
        <f t="shared" si="131"/>
        <v>-44243</v>
      </c>
      <c r="AB288" s="33">
        <f t="shared" si="132"/>
        <v>-44243</v>
      </c>
      <c r="AC288" s="33">
        <f t="shared" si="133"/>
        <v>0</v>
      </c>
      <c r="AD288" s="57">
        <f t="shared" si="134"/>
        <v>-0.33782305818706959</v>
      </c>
      <c r="AG288" s="609" t="str">
        <f t="shared" si="135"/>
        <v>282</v>
      </c>
      <c r="AH288" s="388" t="str">
        <f t="shared" si="136"/>
        <v>Sterling</v>
      </c>
      <c r="AI288" s="380">
        <f t="shared" si="137"/>
        <v>0.96233971778536453</v>
      </c>
      <c r="AJ288" s="381">
        <f t="shared" si="115"/>
        <v>82.5</v>
      </c>
      <c r="AK288" s="380">
        <f t="shared" si="138"/>
        <v>4.2900000000000001E-2</v>
      </c>
      <c r="AL288" s="9">
        <f t="shared" si="116"/>
        <v>10760255</v>
      </c>
      <c r="AM288" s="57">
        <f t="shared" si="139"/>
        <v>-0.33782305818706959</v>
      </c>
    </row>
    <row r="289" spans="1:39" ht="12.75" customHeight="1">
      <c r="A289" s="6">
        <v>283</v>
      </c>
      <c r="B289" s="6" t="s">
        <v>964</v>
      </c>
      <c r="C289" s="81">
        <v>1037162900</v>
      </c>
      <c r="D289" s="81">
        <f t="shared" si="117"/>
        <v>4050751.8269761242</v>
      </c>
      <c r="E289" s="8">
        <v>136665000</v>
      </c>
      <c r="F289" s="81">
        <f t="shared" si="140"/>
        <v>1955935.8846247944</v>
      </c>
      <c r="G289" s="81">
        <f t="shared" si="118"/>
        <v>6006688</v>
      </c>
      <c r="H289" s="127">
        <f t="shared" si="119"/>
        <v>2052919.686048476</v>
      </c>
      <c r="I289" s="347">
        <f t="shared" si="120"/>
        <v>2.9259244971058078</v>
      </c>
      <c r="J289" s="33">
        <f t="shared" si="113"/>
        <v>1693659</v>
      </c>
      <c r="K289" s="33">
        <f t="shared" si="121"/>
        <v>1693659</v>
      </c>
      <c r="L289" s="126">
        <f t="shared" si="122"/>
        <v>82.5</v>
      </c>
      <c r="M289" s="470"/>
      <c r="N289" s="128">
        <v>1569211</v>
      </c>
      <c r="O289" s="449">
        <v>2.86E-2</v>
      </c>
      <c r="P289" s="33">
        <f t="shared" si="123"/>
        <v>1614090</v>
      </c>
      <c r="Q289" s="57">
        <f t="shared" si="124"/>
        <v>78.624118175165975</v>
      </c>
      <c r="R289" s="57">
        <f t="shared" si="125"/>
        <v>3.8758818248340248</v>
      </c>
      <c r="S289" s="88">
        <f t="shared" si="126"/>
        <v>0.01</v>
      </c>
      <c r="T289" s="33">
        <f t="shared" si="127"/>
        <v>15692</v>
      </c>
      <c r="U289" s="9">
        <f t="shared" si="128"/>
        <v>0</v>
      </c>
      <c r="V289" s="9">
        <f t="shared" si="114"/>
        <v>0</v>
      </c>
      <c r="W289" s="9">
        <f t="shared" si="129"/>
        <v>63877</v>
      </c>
      <c r="X289" s="127">
        <f>MIN(H289*parameters!C$22,ROUND(P289+T289-V289+W289,0))</f>
        <v>1693659</v>
      </c>
      <c r="Y289" s="94">
        <f t="shared" si="130"/>
        <v>82.500012616665373</v>
      </c>
      <c r="AA289" s="33">
        <f t="shared" si="131"/>
        <v>-79569</v>
      </c>
      <c r="AB289" s="33">
        <f t="shared" si="132"/>
        <v>0</v>
      </c>
      <c r="AC289" s="33">
        <f t="shared" si="133"/>
        <v>0</v>
      </c>
      <c r="AD289" s="57">
        <f t="shared" si="134"/>
        <v>1.2616665372888747E-5</v>
      </c>
      <c r="AG289" s="609" t="str">
        <f t="shared" si="135"/>
        <v>283</v>
      </c>
      <c r="AH289" s="388" t="str">
        <f t="shared" si="136"/>
        <v>Stockbridge</v>
      </c>
      <c r="AI289" s="380">
        <f t="shared" si="137"/>
        <v>2.9259244971058078</v>
      </c>
      <c r="AJ289" s="381">
        <f t="shared" si="115"/>
        <v>82.5</v>
      </c>
      <c r="AK289" s="380">
        <f t="shared" si="138"/>
        <v>2.86E-2</v>
      </c>
      <c r="AL289" s="9">
        <f t="shared" si="116"/>
        <v>1693659</v>
      </c>
      <c r="AM289" s="57">
        <f t="shared" si="139"/>
        <v>1.2616665372888747E-5</v>
      </c>
    </row>
    <row r="290" spans="1:39" ht="12.75" customHeight="1">
      <c r="A290" s="6">
        <v>284</v>
      </c>
      <c r="B290" s="6" t="s">
        <v>965</v>
      </c>
      <c r="C290" s="81">
        <v>5178336700</v>
      </c>
      <c r="D290" s="81">
        <f t="shared" si="117"/>
        <v>20224553.778603643</v>
      </c>
      <c r="E290" s="8">
        <v>1361783000</v>
      </c>
      <c r="F290" s="81">
        <f t="shared" si="140"/>
        <v>19489702.826415002</v>
      </c>
      <c r="G290" s="81">
        <f t="shared" si="118"/>
        <v>39714257</v>
      </c>
      <c r="H290" s="127">
        <f t="shared" si="119"/>
        <v>34900339.025337741</v>
      </c>
      <c r="I290" s="347">
        <f t="shared" si="120"/>
        <v>1.1379332725440674</v>
      </c>
      <c r="J290" s="33">
        <f t="shared" si="113"/>
        <v>28792780</v>
      </c>
      <c r="K290" s="33">
        <f t="shared" si="121"/>
        <v>28792780</v>
      </c>
      <c r="L290" s="126">
        <f t="shared" si="122"/>
        <v>82.5</v>
      </c>
      <c r="M290" s="470"/>
      <c r="N290" s="128">
        <v>26152647</v>
      </c>
      <c r="O290" s="449">
        <v>3.8399999999999997E-2</v>
      </c>
      <c r="P290" s="33">
        <f t="shared" si="123"/>
        <v>27156909</v>
      </c>
      <c r="Q290" s="57">
        <f t="shared" si="124"/>
        <v>77.812736948727093</v>
      </c>
      <c r="R290" s="57">
        <f t="shared" si="125"/>
        <v>4.6872630512729074</v>
      </c>
      <c r="S290" s="88">
        <f t="shared" si="126"/>
        <v>0.01</v>
      </c>
      <c r="T290" s="33">
        <f t="shared" si="127"/>
        <v>261526</v>
      </c>
      <c r="U290" s="9">
        <f t="shared" si="128"/>
        <v>0</v>
      </c>
      <c r="V290" s="9">
        <f t="shared" si="114"/>
        <v>0</v>
      </c>
      <c r="W290" s="9">
        <f t="shared" si="129"/>
        <v>0</v>
      </c>
      <c r="X290" s="127">
        <f>MIN(H290*parameters!C$22,ROUND(P290+T290-V290+W290,0))</f>
        <v>27418435</v>
      </c>
      <c r="Y290" s="94">
        <f t="shared" si="130"/>
        <v>78.562087835577017</v>
      </c>
      <c r="AA290" s="33">
        <f t="shared" si="131"/>
        <v>-1635871</v>
      </c>
      <c r="AB290" s="33">
        <f t="shared" si="132"/>
        <v>-1374345</v>
      </c>
      <c r="AC290" s="33">
        <f t="shared" si="133"/>
        <v>0</v>
      </c>
      <c r="AD290" s="57">
        <f t="shared" si="134"/>
        <v>-3.9379121644229826</v>
      </c>
      <c r="AG290" s="609" t="str">
        <f t="shared" si="135"/>
        <v>284</v>
      </c>
      <c r="AH290" s="388" t="str">
        <f t="shared" si="136"/>
        <v>Stoneham</v>
      </c>
      <c r="AI290" s="380">
        <f t="shared" si="137"/>
        <v>1.1379332725440674</v>
      </c>
      <c r="AJ290" s="381">
        <f t="shared" si="115"/>
        <v>82.5</v>
      </c>
      <c r="AK290" s="380">
        <f t="shared" si="138"/>
        <v>3.8399999999999997E-2</v>
      </c>
      <c r="AL290" s="9">
        <f t="shared" si="116"/>
        <v>27418435</v>
      </c>
      <c r="AM290" s="57">
        <f t="shared" si="139"/>
        <v>-3.9379121644229826</v>
      </c>
    </row>
    <row r="291" spans="1:39" ht="12.75" customHeight="1">
      <c r="A291" s="6">
        <v>285</v>
      </c>
      <c r="B291" s="6" t="s">
        <v>966</v>
      </c>
      <c r="C291" s="81">
        <v>5187577900</v>
      </c>
      <c r="D291" s="81">
        <f t="shared" si="117"/>
        <v>20260646.284210481</v>
      </c>
      <c r="E291" s="8">
        <v>1209344000</v>
      </c>
      <c r="F291" s="81">
        <f t="shared" si="140"/>
        <v>17308011.022980917</v>
      </c>
      <c r="G291" s="81">
        <f t="shared" si="118"/>
        <v>37568657</v>
      </c>
      <c r="H291" s="127">
        <f t="shared" si="119"/>
        <v>63337219.078742914</v>
      </c>
      <c r="I291" s="347">
        <f t="shared" si="120"/>
        <v>0.59315292882204707</v>
      </c>
      <c r="J291" s="33">
        <f t="shared" si="113"/>
        <v>52253206</v>
      </c>
      <c r="K291" s="33">
        <f t="shared" si="121"/>
        <v>37568657</v>
      </c>
      <c r="L291" s="126">
        <f t="shared" si="122"/>
        <v>59.32</v>
      </c>
      <c r="M291" s="470"/>
      <c r="N291" s="128">
        <v>32046992</v>
      </c>
      <c r="O291" s="449">
        <v>3.2800000000000003E-2</v>
      </c>
      <c r="P291" s="33">
        <f t="shared" si="123"/>
        <v>33098133</v>
      </c>
      <c r="Q291" s="57">
        <f t="shared" si="124"/>
        <v>52.257003830324969</v>
      </c>
      <c r="R291" s="57">
        <f t="shared" si="125"/>
        <v>7.0629961696750314</v>
      </c>
      <c r="S291" s="88">
        <f t="shared" si="126"/>
        <v>0.01</v>
      </c>
      <c r="T291" s="33">
        <f t="shared" si="127"/>
        <v>320470</v>
      </c>
      <c r="U291" s="9">
        <f t="shared" si="128"/>
        <v>0</v>
      </c>
      <c r="V291" s="9">
        <f t="shared" si="114"/>
        <v>0</v>
      </c>
      <c r="W291" s="9">
        <f t="shared" si="129"/>
        <v>0</v>
      </c>
      <c r="X291" s="127">
        <f>MIN(H291*parameters!C$22,ROUND(P291+T291-V291+W291,0))</f>
        <v>33418603</v>
      </c>
      <c r="Y291" s="94">
        <f t="shared" si="130"/>
        <v>52.762978050003888</v>
      </c>
      <c r="AA291" s="33">
        <f t="shared" si="131"/>
        <v>-4470524</v>
      </c>
      <c r="AB291" s="33">
        <f t="shared" si="132"/>
        <v>-4150054</v>
      </c>
      <c r="AC291" s="33">
        <f t="shared" si="133"/>
        <v>0</v>
      </c>
      <c r="AD291" s="57">
        <f t="shared" si="134"/>
        <v>-6.5570219499961127</v>
      </c>
      <c r="AG291" s="609" t="str">
        <f t="shared" si="135"/>
        <v>285</v>
      </c>
      <c r="AH291" s="388" t="str">
        <f t="shared" si="136"/>
        <v>Stoughton</v>
      </c>
      <c r="AI291" s="380">
        <f t="shared" si="137"/>
        <v>0.59315292882204707</v>
      </c>
      <c r="AJ291" s="381">
        <f t="shared" si="115"/>
        <v>59.32</v>
      </c>
      <c r="AK291" s="380">
        <f t="shared" si="138"/>
        <v>3.2800000000000003E-2</v>
      </c>
      <c r="AL291" s="9">
        <f t="shared" si="116"/>
        <v>33418603</v>
      </c>
      <c r="AM291" s="57">
        <f t="shared" si="139"/>
        <v>-6.5570219499961127</v>
      </c>
    </row>
    <row r="292" spans="1:39" ht="12.75" customHeight="1">
      <c r="A292" s="6">
        <v>286</v>
      </c>
      <c r="B292" s="6" t="s">
        <v>967</v>
      </c>
      <c r="C292" s="81">
        <v>1594927000</v>
      </c>
      <c r="D292" s="81">
        <f t="shared" si="117"/>
        <v>6229159.8158240607</v>
      </c>
      <c r="E292" s="8">
        <v>681975000</v>
      </c>
      <c r="F292" s="81">
        <f t="shared" si="140"/>
        <v>9760358.3574213888</v>
      </c>
      <c r="G292" s="81">
        <f t="shared" si="118"/>
        <v>15989518</v>
      </c>
      <c r="H292" s="127">
        <f t="shared" si="119"/>
        <v>15042919.202362673</v>
      </c>
      <c r="I292" s="347">
        <f t="shared" si="120"/>
        <v>1.0629265360601452</v>
      </c>
      <c r="J292" s="33">
        <f t="shared" si="113"/>
        <v>12410408</v>
      </c>
      <c r="K292" s="33">
        <f t="shared" si="121"/>
        <v>12410408</v>
      </c>
      <c r="L292" s="126">
        <f t="shared" si="122"/>
        <v>82.5</v>
      </c>
      <c r="M292" s="470"/>
      <c r="N292" s="128">
        <v>11943013</v>
      </c>
      <c r="O292" s="449">
        <v>3.5200000000000002E-2</v>
      </c>
      <c r="P292" s="33">
        <f t="shared" si="123"/>
        <v>12363407</v>
      </c>
      <c r="Q292" s="57">
        <f t="shared" si="124"/>
        <v>82.187551722395582</v>
      </c>
      <c r="R292" s="57">
        <f t="shared" si="125"/>
        <v>0.31244827760441751</v>
      </c>
      <c r="S292" s="88">
        <f t="shared" si="126"/>
        <v>0</v>
      </c>
      <c r="T292" s="33">
        <f t="shared" si="127"/>
        <v>0</v>
      </c>
      <c r="U292" s="9">
        <f t="shared" si="128"/>
        <v>0</v>
      </c>
      <c r="V292" s="9">
        <f t="shared" si="114"/>
        <v>0</v>
      </c>
      <c r="W292" s="9">
        <f t="shared" si="129"/>
        <v>0</v>
      </c>
      <c r="X292" s="127">
        <f>MIN(H292*parameters!C$22,ROUND(P292+T292-V292+W292,0))</f>
        <v>12363407</v>
      </c>
      <c r="Y292" s="94">
        <f t="shared" si="130"/>
        <v>82.187551722395582</v>
      </c>
      <c r="AA292" s="33">
        <f t="shared" si="131"/>
        <v>-47001</v>
      </c>
      <c r="AB292" s="33">
        <f t="shared" si="132"/>
        <v>-47001</v>
      </c>
      <c r="AC292" s="33">
        <f t="shared" si="133"/>
        <v>0</v>
      </c>
      <c r="AD292" s="57">
        <f t="shared" si="134"/>
        <v>-0.31244827760441751</v>
      </c>
      <c r="AG292" s="609" t="str">
        <f t="shared" si="135"/>
        <v>286</v>
      </c>
      <c r="AH292" s="388" t="str">
        <f t="shared" si="136"/>
        <v>Stow</v>
      </c>
      <c r="AI292" s="380">
        <f t="shared" si="137"/>
        <v>1.0629265360601452</v>
      </c>
      <c r="AJ292" s="381">
        <f t="shared" si="115"/>
        <v>82.5</v>
      </c>
      <c r="AK292" s="380">
        <f t="shared" si="138"/>
        <v>3.5200000000000002E-2</v>
      </c>
      <c r="AL292" s="9">
        <f t="shared" si="116"/>
        <v>12363407</v>
      </c>
      <c r="AM292" s="57">
        <f t="shared" si="139"/>
        <v>-0.31244827760441751</v>
      </c>
    </row>
    <row r="293" spans="1:39" ht="12.75" customHeight="1">
      <c r="A293" s="6">
        <v>287</v>
      </c>
      <c r="B293" s="6" t="s">
        <v>968</v>
      </c>
      <c r="C293" s="81">
        <v>1540777200</v>
      </c>
      <c r="D293" s="81">
        <f t="shared" si="117"/>
        <v>6017671.9181366367</v>
      </c>
      <c r="E293" s="8">
        <v>566771000</v>
      </c>
      <c r="F293" s="81">
        <f t="shared" si="140"/>
        <v>8111570.1698655784</v>
      </c>
      <c r="G293" s="81">
        <f t="shared" si="118"/>
        <v>14129242</v>
      </c>
      <c r="H293" s="127">
        <f t="shared" si="119"/>
        <v>24036939.616685364</v>
      </c>
      <c r="I293" s="347">
        <f t="shared" si="120"/>
        <v>0.58781368282807989</v>
      </c>
      <c r="J293" s="33">
        <f t="shared" si="113"/>
        <v>19830475</v>
      </c>
      <c r="K293" s="33">
        <f t="shared" si="121"/>
        <v>14129242</v>
      </c>
      <c r="L293" s="126">
        <f t="shared" si="122"/>
        <v>58.78</v>
      </c>
      <c r="M293" s="470"/>
      <c r="N293" s="128">
        <v>12535883</v>
      </c>
      <c r="O293" s="449">
        <v>4.7500000000000001E-2</v>
      </c>
      <c r="P293" s="33">
        <f t="shared" si="123"/>
        <v>13131337</v>
      </c>
      <c r="Q293" s="57">
        <f t="shared" si="124"/>
        <v>54.62982064024829</v>
      </c>
      <c r="R293" s="57">
        <f t="shared" si="125"/>
        <v>4.1501793597517107</v>
      </c>
      <c r="S293" s="88">
        <f t="shared" si="126"/>
        <v>0.01</v>
      </c>
      <c r="T293" s="33">
        <f t="shared" si="127"/>
        <v>125359</v>
      </c>
      <c r="U293" s="9">
        <f t="shared" si="128"/>
        <v>0</v>
      </c>
      <c r="V293" s="9">
        <f t="shared" si="114"/>
        <v>0</v>
      </c>
      <c r="W293" s="9">
        <f t="shared" si="129"/>
        <v>0</v>
      </c>
      <c r="X293" s="127">
        <f>MIN(H293*parameters!C$22,ROUND(P293+T293-V293+W293,0))</f>
        <v>13256696</v>
      </c>
      <c r="Y293" s="94">
        <f t="shared" si="130"/>
        <v>55.151347099103234</v>
      </c>
      <c r="AA293" s="33">
        <f t="shared" si="131"/>
        <v>-997905</v>
      </c>
      <c r="AB293" s="33">
        <f t="shared" si="132"/>
        <v>-872546</v>
      </c>
      <c r="AC293" s="33">
        <f t="shared" si="133"/>
        <v>0</v>
      </c>
      <c r="AD293" s="57">
        <f t="shared" si="134"/>
        <v>-3.6286529008967676</v>
      </c>
      <c r="AG293" s="609" t="str">
        <f t="shared" si="135"/>
        <v>287</v>
      </c>
      <c r="AH293" s="388" t="str">
        <f t="shared" si="136"/>
        <v>Sturbridge</v>
      </c>
      <c r="AI293" s="380">
        <f t="shared" si="137"/>
        <v>0.58781368282807989</v>
      </c>
      <c r="AJ293" s="381">
        <f t="shared" si="115"/>
        <v>58.78</v>
      </c>
      <c r="AK293" s="380">
        <f t="shared" si="138"/>
        <v>4.7500000000000001E-2</v>
      </c>
      <c r="AL293" s="9">
        <f t="shared" si="116"/>
        <v>13256696</v>
      </c>
      <c r="AM293" s="57">
        <f t="shared" si="139"/>
        <v>-3.6286529008967676</v>
      </c>
    </row>
    <row r="294" spans="1:39" ht="12.75" customHeight="1">
      <c r="A294" s="6">
        <v>288</v>
      </c>
      <c r="B294" s="6" t="s">
        <v>969</v>
      </c>
      <c r="C294" s="81">
        <v>5513521800</v>
      </c>
      <c r="D294" s="81">
        <f t="shared" si="117"/>
        <v>21533655.421364076</v>
      </c>
      <c r="E294" s="8">
        <v>2949482000</v>
      </c>
      <c r="F294" s="81">
        <f t="shared" si="140"/>
        <v>42212692.970803842</v>
      </c>
      <c r="G294" s="81">
        <f t="shared" si="118"/>
        <v>63746348</v>
      </c>
      <c r="H294" s="127">
        <f t="shared" si="119"/>
        <v>47334912.432692394</v>
      </c>
      <c r="I294" s="347">
        <f t="shared" si="120"/>
        <v>1.3467089030880484</v>
      </c>
      <c r="J294" s="33">
        <f t="shared" si="113"/>
        <v>39051303</v>
      </c>
      <c r="K294" s="33">
        <f t="shared" si="121"/>
        <v>39051303</v>
      </c>
      <c r="L294" s="126">
        <f t="shared" si="122"/>
        <v>82.5</v>
      </c>
      <c r="M294" s="470"/>
      <c r="N294" s="128">
        <v>37201981</v>
      </c>
      <c r="O294" s="449">
        <v>3.0600000000000002E-2</v>
      </c>
      <c r="P294" s="33">
        <f t="shared" si="123"/>
        <v>38340362</v>
      </c>
      <c r="Q294" s="57">
        <f t="shared" si="124"/>
        <v>80.99806259178753</v>
      </c>
      <c r="R294" s="57">
        <f t="shared" si="125"/>
        <v>1.5019374082124699</v>
      </c>
      <c r="S294" s="88">
        <f t="shared" si="126"/>
        <v>0</v>
      </c>
      <c r="T294" s="33">
        <f t="shared" si="127"/>
        <v>0</v>
      </c>
      <c r="U294" s="9">
        <f t="shared" si="128"/>
        <v>0</v>
      </c>
      <c r="V294" s="9">
        <f t="shared" si="114"/>
        <v>0</v>
      </c>
      <c r="W294" s="9">
        <f t="shared" si="129"/>
        <v>0</v>
      </c>
      <c r="X294" s="127">
        <f>MIN(H294*parameters!C$22,ROUND(P294+T294-V294+W294,0))</f>
        <v>38340362</v>
      </c>
      <c r="Y294" s="94">
        <f t="shared" si="130"/>
        <v>80.99806259178753</v>
      </c>
      <c r="AA294" s="33">
        <f t="shared" si="131"/>
        <v>-710941</v>
      </c>
      <c r="AB294" s="33">
        <f t="shared" si="132"/>
        <v>-710941</v>
      </c>
      <c r="AC294" s="33">
        <f t="shared" si="133"/>
        <v>0</v>
      </c>
      <c r="AD294" s="57">
        <f t="shared" si="134"/>
        <v>-1.5019374082124699</v>
      </c>
      <c r="AG294" s="609" t="str">
        <f t="shared" si="135"/>
        <v>288</v>
      </c>
      <c r="AH294" s="388" t="str">
        <f t="shared" si="136"/>
        <v>Sudbury</v>
      </c>
      <c r="AI294" s="380">
        <f t="shared" si="137"/>
        <v>1.3467089030880484</v>
      </c>
      <c r="AJ294" s="381">
        <f t="shared" si="115"/>
        <v>82.5</v>
      </c>
      <c r="AK294" s="380">
        <f t="shared" si="138"/>
        <v>3.0600000000000002E-2</v>
      </c>
      <c r="AL294" s="9">
        <f t="shared" si="116"/>
        <v>38340362</v>
      </c>
      <c r="AM294" s="57">
        <f t="shared" si="139"/>
        <v>-1.5019374082124699</v>
      </c>
    </row>
    <row r="295" spans="1:39" ht="12.75" customHeight="1">
      <c r="A295" s="6">
        <v>289</v>
      </c>
      <c r="B295" s="6" t="s">
        <v>970</v>
      </c>
      <c r="C295" s="81">
        <v>458245200</v>
      </c>
      <c r="D295" s="81">
        <f t="shared" si="117"/>
        <v>1789726.1665482244</v>
      </c>
      <c r="E295" s="8">
        <v>218466000</v>
      </c>
      <c r="F295" s="81">
        <f t="shared" si="140"/>
        <v>3126663.6590966252</v>
      </c>
      <c r="G295" s="81">
        <f t="shared" si="118"/>
        <v>4916390</v>
      </c>
      <c r="H295" s="127">
        <f t="shared" si="119"/>
        <v>4037979.9271215871</v>
      </c>
      <c r="I295" s="347">
        <f t="shared" si="120"/>
        <v>1.217537008289334</v>
      </c>
      <c r="J295" s="33">
        <f t="shared" si="113"/>
        <v>3331333</v>
      </c>
      <c r="K295" s="33">
        <f t="shared" si="121"/>
        <v>3331333</v>
      </c>
      <c r="L295" s="126">
        <f t="shared" si="122"/>
        <v>82.5</v>
      </c>
      <c r="M295" s="470"/>
      <c r="N295" s="128">
        <v>3116606</v>
      </c>
      <c r="O295" s="449">
        <v>4.6899999999999997E-2</v>
      </c>
      <c r="P295" s="33">
        <f t="shared" si="123"/>
        <v>3262775</v>
      </c>
      <c r="Q295" s="57">
        <f t="shared" si="124"/>
        <v>80.802159963331462</v>
      </c>
      <c r="R295" s="57">
        <f t="shared" si="125"/>
        <v>1.6978400366685378</v>
      </c>
      <c r="S295" s="88">
        <f t="shared" si="126"/>
        <v>0</v>
      </c>
      <c r="T295" s="33">
        <f t="shared" si="127"/>
        <v>0</v>
      </c>
      <c r="U295" s="9">
        <f t="shared" si="128"/>
        <v>0</v>
      </c>
      <c r="V295" s="9">
        <f t="shared" si="114"/>
        <v>0</v>
      </c>
      <c r="W295" s="9">
        <f t="shared" si="129"/>
        <v>0</v>
      </c>
      <c r="X295" s="127">
        <f>MIN(H295*parameters!C$22,ROUND(P295+T295-V295+W295,0))</f>
        <v>3262775</v>
      </c>
      <c r="Y295" s="94">
        <f t="shared" si="130"/>
        <v>80.802159963331462</v>
      </c>
      <c r="AA295" s="33">
        <f t="shared" si="131"/>
        <v>-68558</v>
      </c>
      <c r="AB295" s="33">
        <f t="shared" si="132"/>
        <v>-68558</v>
      </c>
      <c r="AC295" s="33">
        <f t="shared" si="133"/>
        <v>0</v>
      </c>
      <c r="AD295" s="57">
        <f t="shared" si="134"/>
        <v>-1.6978400366685378</v>
      </c>
      <c r="AG295" s="609" t="str">
        <f t="shared" si="135"/>
        <v>289</v>
      </c>
      <c r="AH295" s="388" t="str">
        <f t="shared" si="136"/>
        <v>Sunderland</v>
      </c>
      <c r="AI295" s="380">
        <f t="shared" si="137"/>
        <v>1.217537008289334</v>
      </c>
      <c r="AJ295" s="381">
        <f t="shared" si="115"/>
        <v>82.5</v>
      </c>
      <c r="AK295" s="380">
        <f t="shared" si="138"/>
        <v>4.6899999999999997E-2</v>
      </c>
      <c r="AL295" s="9">
        <f t="shared" si="116"/>
        <v>3262775</v>
      </c>
      <c r="AM295" s="57">
        <f t="shared" si="139"/>
        <v>-1.6978400366685378</v>
      </c>
    </row>
    <row r="296" spans="1:39" ht="12.75" customHeight="1">
      <c r="A296" s="6">
        <v>290</v>
      </c>
      <c r="B296" s="6" t="s">
        <v>971</v>
      </c>
      <c r="C296" s="81">
        <v>1838850200</v>
      </c>
      <c r="D296" s="81">
        <f t="shared" si="117"/>
        <v>7181828.2423960706</v>
      </c>
      <c r="E296" s="8">
        <v>632811000</v>
      </c>
      <c r="F296" s="81">
        <f t="shared" si="140"/>
        <v>9056728.0802348852</v>
      </c>
      <c r="G296" s="81">
        <f t="shared" si="118"/>
        <v>16238556</v>
      </c>
      <c r="H296" s="127">
        <f t="shared" si="119"/>
        <v>18616425.370718535</v>
      </c>
      <c r="I296" s="347">
        <f t="shared" si="120"/>
        <v>0.87227035677543951</v>
      </c>
      <c r="J296" s="33">
        <f t="shared" si="113"/>
        <v>15358551</v>
      </c>
      <c r="K296" s="33">
        <f t="shared" si="121"/>
        <v>15358551</v>
      </c>
      <c r="L296" s="126">
        <f t="shared" si="122"/>
        <v>82.5</v>
      </c>
      <c r="M296" s="470"/>
      <c r="N296" s="128">
        <v>14323278</v>
      </c>
      <c r="O296" s="449">
        <v>2.7300000000000001E-2</v>
      </c>
      <c r="P296" s="33">
        <f t="shared" si="123"/>
        <v>14714303</v>
      </c>
      <c r="Q296" s="57">
        <f t="shared" si="124"/>
        <v>79.039357486662723</v>
      </c>
      <c r="R296" s="57">
        <f t="shared" si="125"/>
        <v>3.4606425133372767</v>
      </c>
      <c r="S296" s="88">
        <f t="shared" si="126"/>
        <v>0.01</v>
      </c>
      <c r="T296" s="33">
        <f t="shared" si="127"/>
        <v>143233</v>
      </c>
      <c r="U296" s="9">
        <f t="shared" si="128"/>
        <v>0</v>
      </c>
      <c r="V296" s="9">
        <f t="shared" si="114"/>
        <v>0</v>
      </c>
      <c r="W296" s="9">
        <f t="shared" si="129"/>
        <v>0</v>
      </c>
      <c r="X296" s="127">
        <f>MIN(H296*parameters!C$22,ROUND(P296+T296-V296+W296,0))</f>
        <v>14857536</v>
      </c>
      <c r="Y296" s="94">
        <f t="shared" si="130"/>
        <v>79.808747942390539</v>
      </c>
      <c r="AA296" s="33">
        <f t="shared" si="131"/>
        <v>-644248</v>
      </c>
      <c r="AB296" s="33">
        <f t="shared" si="132"/>
        <v>-501015</v>
      </c>
      <c r="AC296" s="33">
        <f t="shared" si="133"/>
        <v>0</v>
      </c>
      <c r="AD296" s="57">
        <f t="shared" si="134"/>
        <v>-2.6912520576094607</v>
      </c>
      <c r="AG296" s="609" t="str">
        <f t="shared" si="135"/>
        <v>290</v>
      </c>
      <c r="AH296" s="388" t="str">
        <f t="shared" si="136"/>
        <v>Sutton</v>
      </c>
      <c r="AI296" s="380">
        <f t="shared" si="137"/>
        <v>0.87227035677543951</v>
      </c>
      <c r="AJ296" s="381">
        <f t="shared" si="115"/>
        <v>82.5</v>
      </c>
      <c r="AK296" s="380">
        <f t="shared" si="138"/>
        <v>2.7300000000000001E-2</v>
      </c>
      <c r="AL296" s="9">
        <f t="shared" si="116"/>
        <v>14857536</v>
      </c>
      <c r="AM296" s="57">
        <f t="shared" si="139"/>
        <v>-2.6912520576094607</v>
      </c>
    </row>
    <row r="297" spans="1:39" ht="12.75" customHeight="1">
      <c r="A297" s="6">
        <v>291</v>
      </c>
      <c r="B297" s="6" t="s">
        <v>972</v>
      </c>
      <c r="C297" s="81">
        <v>4007032500</v>
      </c>
      <c r="D297" s="81">
        <f t="shared" si="117"/>
        <v>15649898.603322299</v>
      </c>
      <c r="E297" s="8">
        <v>1425100000</v>
      </c>
      <c r="F297" s="81">
        <f t="shared" si="140"/>
        <v>20395889.431667175</v>
      </c>
      <c r="G297" s="81">
        <f t="shared" si="118"/>
        <v>36045788</v>
      </c>
      <c r="H297" s="127">
        <f t="shared" si="119"/>
        <v>27427969.966481917</v>
      </c>
      <c r="I297" s="347">
        <f t="shared" si="120"/>
        <v>1.3141981723054752</v>
      </c>
      <c r="J297" s="33">
        <f t="shared" si="113"/>
        <v>22628075</v>
      </c>
      <c r="K297" s="33">
        <f t="shared" si="121"/>
        <v>22628075</v>
      </c>
      <c r="L297" s="126">
        <f t="shared" si="122"/>
        <v>82.5</v>
      </c>
      <c r="M297" s="470"/>
      <c r="N297" s="128">
        <v>21357930</v>
      </c>
      <c r="O297" s="449">
        <v>2.9499999999999998E-2</v>
      </c>
      <c r="P297" s="33">
        <f t="shared" si="123"/>
        <v>21987989</v>
      </c>
      <c r="Q297" s="57">
        <f t="shared" si="124"/>
        <v>80.166301140296596</v>
      </c>
      <c r="R297" s="57">
        <f t="shared" si="125"/>
        <v>2.3336988597034036</v>
      </c>
      <c r="S297" s="88">
        <f t="shared" si="126"/>
        <v>0</v>
      </c>
      <c r="T297" s="33">
        <f t="shared" si="127"/>
        <v>0</v>
      </c>
      <c r="U297" s="9">
        <f t="shared" si="128"/>
        <v>0</v>
      </c>
      <c r="V297" s="9">
        <f t="shared" si="114"/>
        <v>0</v>
      </c>
      <c r="W297" s="9">
        <f t="shared" si="129"/>
        <v>0</v>
      </c>
      <c r="X297" s="127">
        <f>MIN(H297*parameters!C$22,ROUND(P297+T297-V297+W297,0))</f>
        <v>21987989</v>
      </c>
      <c r="Y297" s="94">
        <f t="shared" si="130"/>
        <v>80.166301140296596</v>
      </c>
      <c r="AA297" s="33">
        <f t="shared" si="131"/>
        <v>-640086</v>
      </c>
      <c r="AB297" s="33">
        <f t="shared" si="132"/>
        <v>-640086</v>
      </c>
      <c r="AC297" s="33">
        <f t="shared" si="133"/>
        <v>0</v>
      </c>
      <c r="AD297" s="57">
        <f t="shared" si="134"/>
        <v>-2.3336988597034036</v>
      </c>
      <c r="AG297" s="609" t="str">
        <f t="shared" si="135"/>
        <v>291</v>
      </c>
      <c r="AH297" s="388" t="str">
        <f t="shared" si="136"/>
        <v>Swampscott</v>
      </c>
      <c r="AI297" s="380">
        <f t="shared" si="137"/>
        <v>1.3141981723054752</v>
      </c>
      <c r="AJ297" s="381">
        <f t="shared" si="115"/>
        <v>82.5</v>
      </c>
      <c r="AK297" s="380">
        <f t="shared" si="138"/>
        <v>2.9499999999999998E-2</v>
      </c>
      <c r="AL297" s="9">
        <f t="shared" si="116"/>
        <v>21987989</v>
      </c>
      <c r="AM297" s="57">
        <f t="shared" si="139"/>
        <v>-2.3336988597034036</v>
      </c>
    </row>
    <row r="298" spans="1:39" ht="12.75" customHeight="1">
      <c r="A298" s="6">
        <v>292</v>
      </c>
      <c r="B298" s="6" t="s">
        <v>973</v>
      </c>
      <c r="C298" s="81">
        <v>2751746600</v>
      </c>
      <c r="D298" s="81">
        <f t="shared" si="117"/>
        <v>10747243.81996824</v>
      </c>
      <c r="E298" s="8">
        <v>701473000</v>
      </c>
      <c r="F298" s="81">
        <f t="shared" si="140"/>
        <v>10039411.793768765</v>
      </c>
      <c r="G298" s="81">
        <f t="shared" si="118"/>
        <v>20786656</v>
      </c>
      <c r="H298" s="127">
        <f t="shared" si="119"/>
        <v>31756519.904999904</v>
      </c>
      <c r="I298" s="347">
        <f t="shared" si="120"/>
        <v>0.65456341129895801</v>
      </c>
      <c r="J298" s="33">
        <f t="shared" si="113"/>
        <v>26199129</v>
      </c>
      <c r="K298" s="33">
        <f t="shared" si="121"/>
        <v>20786656</v>
      </c>
      <c r="L298" s="126">
        <f t="shared" si="122"/>
        <v>65.459999999999994</v>
      </c>
      <c r="M298" s="470"/>
      <c r="N298" s="128">
        <v>18216327</v>
      </c>
      <c r="O298" s="449">
        <v>0.05</v>
      </c>
      <c r="P298" s="33">
        <f t="shared" si="123"/>
        <v>19127143</v>
      </c>
      <c r="Q298" s="57">
        <f t="shared" si="124"/>
        <v>60.23060164406909</v>
      </c>
      <c r="R298" s="57">
        <f t="shared" si="125"/>
        <v>5.2293983559309041</v>
      </c>
      <c r="S298" s="88">
        <f t="shared" si="126"/>
        <v>0.01</v>
      </c>
      <c r="T298" s="33">
        <f t="shared" si="127"/>
        <v>182163</v>
      </c>
      <c r="U298" s="9">
        <f t="shared" si="128"/>
        <v>0</v>
      </c>
      <c r="V298" s="9">
        <f t="shared" si="114"/>
        <v>0</v>
      </c>
      <c r="W298" s="9">
        <f t="shared" si="129"/>
        <v>0</v>
      </c>
      <c r="X298" s="127">
        <f>MIN(H298*parameters!C$22,ROUND(P298+T298-V298+W298,0))</f>
        <v>19309306</v>
      </c>
      <c r="Y298" s="94">
        <f t="shared" si="130"/>
        <v>60.80422558190908</v>
      </c>
      <c r="AA298" s="33">
        <f t="shared" si="131"/>
        <v>-1659513</v>
      </c>
      <c r="AB298" s="33">
        <f t="shared" si="132"/>
        <v>-1477350</v>
      </c>
      <c r="AC298" s="33">
        <f t="shared" si="133"/>
        <v>0</v>
      </c>
      <c r="AD298" s="57">
        <f t="shared" si="134"/>
        <v>-4.655774418090914</v>
      </c>
      <c r="AG298" s="609" t="str">
        <f t="shared" si="135"/>
        <v>292</v>
      </c>
      <c r="AH298" s="388" t="str">
        <f t="shared" si="136"/>
        <v>Swansea</v>
      </c>
      <c r="AI298" s="380">
        <f t="shared" si="137"/>
        <v>0.65456341129895801</v>
      </c>
      <c r="AJ298" s="381">
        <f t="shared" si="115"/>
        <v>65.459999999999994</v>
      </c>
      <c r="AK298" s="380">
        <f t="shared" si="138"/>
        <v>0.05</v>
      </c>
      <c r="AL298" s="9">
        <f t="shared" si="116"/>
        <v>19309306</v>
      </c>
      <c r="AM298" s="57">
        <f t="shared" si="139"/>
        <v>-4.655774418090914</v>
      </c>
    </row>
    <row r="299" spans="1:39" ht="12.75" customHeight="1">
      <c r="A299" s="6">
        <v>293</v>
      </c>
      <c r="B299" s="6" t="s">
        <v>974</v>
      </c>
      <c r="C299" s="81">
        <v>7410717500</v>
      </c>
      <c r="D299" s="81">
        <f t="shared" si="117"/>
        <v>28943358.321367778</v>
      </c>
      <c r="E299" s="8">
        <v>1823898000</v>
      </c>
      <c r="F299" s="81">
        <f t="shared" si="140"/>
        <v>26103446.735414281</v>
      </c>
      <c r="G299" s="81">
        <f t="shared" si="118"/>
        <v>55046805</v>
      </c>
      <c r="H299" s="127">
        <f t="shared" si="119"/>
        <v>151936084.33593932</v>
      </c>
      <c r="I299" s="347">
        <f t="shared" si="120"/>
        <v>0.36230238024489553</v>
      </c>
      <c r="J299" s="33">
        <f t="shared" si="113"/>
        <v>125347270</v>
      </c>
      <c r="K299" s="33">
        <f t="shared" si="121"/>
        <v>55046805</v>
      </c>
      <c r="L299" s="126">
        <f t="shared" si="122"/>
        <v>36.229999999999997</v>
      </c>
      <c r="M299" s="470"/>
      <c r="N299" s="128">
        <v>46307807</v>
      </c>
      <c r="O299" s="449">
        <v>4.58E-2</v>
      </c>
      <c r="P299" s="33">
        <f t="shared" si="123"/>
        <v>48428705</v>
      </c>
      <c r="Q299" s="57">
        <f t="shared" si="124"/>
        <v>31.874393243491376</v>
      </c>
      <c r="R299" s="57">
        <f t="shared" si="125"/>
        <v>4.3556067565086209</v>
      </c>
      <c r="S299" s="88">
        <f t="shared" si="126"/>
        <v>0.01</v>
      </c>
      <c r="T299" s="33">
        <f t="shared" si="127"/>
        <v>463078</v>
      </c>
      <c r="U299" s="9">
        <f t="shared" si="128"/>
        <v>0</v>
      </c>
      <c r="V299" s="9">
        <f t="shared" si="114"/>
        <v>0</v>
      </c>
      <c r="W299" s="9">
        <f t="shared" si="129"/>
        <v>0</v>
      </c>
      <c r="X299" s="127">
        <f>MIN(H299*parameters!C$22,ROUND(P299+T299-V299+W299,0))</f>
        <v>48891783</v>
      </c>
      <c r="Y299" s="94">
        <f t="shared" si="130"/>
        <v>32.17917798374841</v>
      </c>
      <c r="AA299" s="33">
        <f t="shared" si="131"/>
        <v>-6618100</v>
      </c>
      <c r="AB299" s="33">
        <f t="shared" si="132"/>
        <v>-6155022</v>
      </c>
      <c r="AC299" s="33">
        <f t="shared" si="133"/>
        <v>0</v>
      </c>
      <c r="AD299" s="57">
        <f t="shared" si="134"/>
        <v>-4.0508220162515869</v>
      </c>
      <c r="AG299" s="609" t="str">
        <f t="shared" si="135"/>
        <v>293</v>
      </c>
      <c r="AH299" s="388" t="str">
        <f t="shared" si="136"/>
        <v>Taunton</v>
      </c>
      <c r="AI299" s="380">
        <f t="shared" si="137"/>
        <v>0.36230238024489553</v>
      </c>
      <c r="AJ299" s="381">
        <f t="shared" si="115"/>
        <v>36.229999999999997</v>
      </c>
      <c r="AK299" s="380">
        <f t="shared" si="138"/>
        <v>4.58E-2</v>
      </c>
      <c r="AL299" s="9">
        <f t="shared" si="116"/>
        <v>48891783</v>
      </c>
      <c r="AM299" s="57">
        <f t="shared" si="139"/>
        <v>-4.0508220162515869</v>
      </c>
    </row>
    <row r="300" spans="1:39" ht="12.75" customHeight="1">
      <c r="A300" s="6">
        <v>294</v>
      </c>
      <c r="B300" s="6" t="s">
        <v>975</v>
      </c>
      <c r="C300" s="81">
        <v>893567900</v>
      </c>
      <c r="D300" s="81">
        <f t="shared" si="117"/>
        <v>3489926.0313420566</v>
      </c>
      <c r="E300" s="8">
        <v>270698000</v>
      </c>
      <c r="F300" s="81">
        <f t="shared" si="140"/>
        <v>3874202.8470798125</v>
      </c>
      <c r="G300" s="81">
        <f t="shared" si="118"/>
        <v>7364129</v>
      </c>
      <c r="H300" s="127">
        <f t="shared" si="119"/>
        <v>17857455.8695786</v>
      </c>
      <c r="I300" s="347">
        <f t="shared" si="120"/>
        <v>0.41238399544614296</v>
      </c>
      <c r="J300" s="33">
        <f t="shared" si="113"/>
        <v>14732401</v>
      </c>
      <c r="K300" s="33">
        <f t="shared" si="121"/>
        <v>7364129</v>
      </c>
      <c r="L300" s="126">
        <f t="shared" si="122"/>
        <v>41.24</v>
      </c>
      <c r="M300" s="470"/>
      <c r="N300" s="128">
        <v>5844163</v>
      </c>
      <c r="O300" s="449">
        <v>3.7999999999999999E-2</v>
      </c>
      <c r="P300" s="33">
        <f t="shared" si="123"/>
        <v>6066241</v>
      </c>
      <c r="Q300" s="57">
        <f t="shared" si="124"/>
        <v>33.970354143975555</v>
      </c>
      <c r="R300" s="57">
        <f t="shared" si="125"/>
        <v>7.2696458560244466</v>
      </c>
      <c r="S300" s="88">
        <f t="shared" si="126"/>
        <v>0.01</v>
      </c>
      <c r="T300" s="33">
        <f t="shared" si="127"/>
        <v>58442</v>
      </c>
      <c r="U300" s="9">
        <f t="shared" si="128"/>
        <v>0</v>
      </c>
      <c r="V300" s="9">
        <f t="shared" si="114"/>
        <v>0</v>
      </c>
      <c r="W300" s="9">
        <f t="shared" si="129"/>
        <v>0</v>
      </c>
      <c r="X300" s="127">
        <f>MIN(H300*parameters!C$22,ROUND(P300+T300-V300+W300,0))</f>
        <v>6124683</v>
      </c>
      <c r="Y300" s="94">
        <f t="shared" si="130"/>
        <v>34.297623607368493</v>
      </c>
      <c r="AA300" s="33">
        <f t="shared" si="131"/>
        <v>-1297888</v>
      </c>
      <c r="AB300" s="33">
        <f t="shared" si="132"/>
        <v>-1239446</v>
      </c>
      <c r="AC300" s="33">
        <f t="shared" si="133"/>
        <v>0</v>
      </c>
      <c r="AD300" s="57">
        <f t="shared" si="134"/>
        <v>-6.942376392631509</v>
      </c>
      <c r="AG300" s="609" t="str">
        <f t="shared" si="135"/>
        <v>294</v>
      </c>
      <c r="AH300" s="388" t="str">
        <f t="shared" si="136"/>
        <v>Templeton</v>
      </c>
      <c r="AI300" s="380">
        <f t="shared" si="137"/>
        <v>0.41238399544614296</v>
      </c>
      <c r="AJ300" s="381">
        <f t="shared" si="115"/>
        <v>41.24</v>
      </c>
      <c r="AK300" s="380">
        <f t="shared" si="138"/>
        <v>3.7999999999999999E-2</v>
      </c>
      <c r="AL300" s="9">
        <f t="shared" si="116"/>
        <v>6124683</v>
      </c>
      <c r="AM300" s="57">
        <f t="shared" si="139"/>
        <v>-6.942376392631509</v>
      </c>
    </row>
    <row r="301" spans="1:39" ht="12.75" customHeight="1">
      <c r="A301" s="6">
        <v>295</v>
      </c>
      <c r="B301" s="6" t="s">
        <v>976</v>
      </c>
      <c r="C301" s="81">
        <v>6249555900</v>
      </c>
      <c r="D301" s="81">
        <f t="shared" si="117"/>
        <v>24408316.166837838</v>
      </c>
      <c r="E301" s="8">
        <v>1596013000</v>
      </c>
      <c r="F301" s="81">
        <f t="shared" si="140"/>
        <v>22841979.285315711</v>
      </c>
      <c r="G301" s="81">
        <f t="shared" si="118"/>
        <v>47250295</v>
      </c>
      <c r="H301" s="127">
        <f t="shared" si="119"/>
        <v>49749492.045968056</v>
      </c>
      <c r="I301" s="347">
        <f t="shared" si="120"/>
        <v>0.94976437058575747</v>
      </c>
      <c r="J301" s="33">
        <f t="shared" si="113"/>
        <v>41043331</v>
      </c>
      <c r="K301" s="33">
        <f t="shared" si="121"/>
        <v>41043331</v>
      </c>
      <c r="L301" s="126">
        <f t="shared" si="122"/>
        <v>82.5</v>
      </c>
      <c r="M301" s="470"/>
      <c r="N301" s="128">
        <v>37874012</v>
      </c>
      <c r="O301" s="449">
        <v>5.4000000000000006E-2</v>
      </c>
      <c r="P301" s="33">
        <f t="shared" si="123"/>
        <v>39919209</v>
      </c>
      <c r="Q301" s="57">
        <f t="shared" si="124"/>
        <v>80.240435345782089</v>
      </c>
      <c r="R301" s="57">
        <f t="shared" si="125"/>
        <v>2.2595646542179111</v>
      </c>
      <c r="S301" s="88">
        <f t="shared" si="126"/>
        <v>0</v>
      </c>
      <c r="T301" s="33">
        <f t="shared" si="127"/>
        <v>0</v>
      </c>
      <c r="U301" s="9">
        <f t="shared" si="128"/>
        <v>0</v>
      </c>
      <c r="V301" s="9">
        <f t="shared" si="114"/>
        <v>0</v>
      </c>
      <c r="W301" s="9">
        <f t="shared" si="129"/>
        <v>0</v>
      </c>
      <c r="X301" s="127">
        <f>MIN(H301*parameters!C$22,ROUND(P301+T301-V301+W301,0))</f>
        <v>39919209</v>
      </c>
      <c r="Y301" s="94">
        <f t="shared" si="130"/>
        <v>80.240435345782089</v>
      </c>
      <c r="AA301" s="33">
        <f t="shared" si="131"/>
        <v>-1124122</v>
      </c>
      <c r="AB301" s="33">
        <f t="shared" si="132"/>
        <v>-1124122</v>
      </c>
      <c r="AC301" s="33">
        <f t="shared" si="133"/>
        <v>0</v>
      </c>
      <c r="AD301" s="57">
        <f t="shared" si="134"/>
        <v>-2.2595646542179111</v>
      </c>
      <c r="AG301" s="609" t="str">
        <f t="shared" si="135"/>
        <v>295</v>
      </c>
      <c r="AH301" s="388" t="str">
        <f t="shared" si="136"/>
        <v>Tewksbury</v>
      </c>
      <c r="AI301" s="380">
        <f t="shared" si="137"/>
        <v>0.94976437058575747</v>
      </c>
      <c r="AJ301" s="381">
        <f t="shared" si="115"/>
        <v>82.5</v>
      </c>
      <c r="AK301" s="380">
        <f t="shared" si="138"/>
        <v>5.4000000000000006E-2</v>
      </c>
      <c r="AL301" s="9">
        <f t="shared" si="116"/>
        <v>39919209</v>
      </c>
      <c r="AM301" s="57">
        <f t="shared" si="139"/>
        <v>-2.2595646542179111</v>
      </c>
    </row>
    <row r="302" spans="1:39" ht="12.75" customHeight="1">
      <c r="A302" s="6">
        <v>296</v>
      </c>
      <c r="B302" s="6" t="s">
        <v>977</v>
      </c>
      <c r="C302" s="81">
        <v>3667871800</v>
      </c>
      <c r="D302" s="81">
        <f t="shared" si="117"/>
        <v>14325269.82498526</v>
      </c>
      <c r="E302" s="8">
        <v>151491720</v>
      </c>
      <c r="F302" s="81">
        <f t="shared" si="140"/>
        <v>2168134.4263090887</v>
      </c>
      <c r="G302" s="81">
        <f t="shared" si="118"/>
        <v>16493404</v>
      </c>
      <c r="H302" s="127">
        <f t="shared" si="119"/>
        <v>8824634.8908108994</v>
      </c>
      <c r="I302" s="347">
        <f t="shared" si="120"/>
        <v>1.8690182884704496</v>
      </c>
      <c r="J302" s="33">
        <f t="shared" si="113"/>
        <v>7280324</v>
      </c>
      <c r="K302" s="33">
        <f t="shared" si="121"/>
        <v>7280324</v>
      </c>
      <c r="L302" s="126">
        <f t="shared" si="122"/>
        <v>82.5</v>
      </c>
      <c r="M302" s="470"/>
      <c r="N302" s="128">
        <v>6499279</v>
      </c>
      <c r="O302" s="449">
        <v>4.5699999999999991E-2</v>
      </c>
      <c r="P302" s="33">
        <f t="shared" si="123"/>
        <v>6796296</v>
      </c>
      <c r="Q302" s="57">
        <f t="shared" si="124"/>
        <v>77.015038968660221</v>
      </c>
      <c r="R302" s="57">
        <f t="shared" si="125"/>
        <v>5.484961031339779</v>
      </c>
      <c r="S302" s="88">
        <f t="shared" si="126"/>
        <v>0.01</v>
      </c>
      <c r="T302" s="33">
        <f t="shared" si="127"/>
        <v>64993</v>
      </c>
      <c r="U302" s="9">
        <f t="shared" si="128"/>
        <v>0</v>
      </c>
      <c r="V302" s="9">
        <f t="shared" si="114"/>
        <v>0</v>
      </c>
      <c r="W302" s="9">
        <f t="shared" si="129"/>
        <v>419035</v>
      </c>
      <c r="X302" s="127">
        <f>MIN(H302*parameters!C$22,ROUND(P302+T302-V302+W302,0))</f>
        <v>7280324</v>
      </c>
      <c r="Y302" s="94">
        <f t="shared" si="130"/>
        <v>82.500002437279392</v>
      </c>
      <c r="AA302" s="33">
        <f t="shared" si="131"/>
        <v>-484028</v>
      </c>
      <c r="AB302" s="33">
        <f t="shared" si="132"/>
        <v>0</v>
      </c>
      <c r="AC302" s="33">
        <f t="shared" si="133"/>
        <v>0</v>
      </c>
      <c r="AD302" s="57">
        <f t="shared" si="134"/>
        <v>2.4372793916427327E-6</v>
      </c>
      <c r="AG302" s="609" t="str">
        <f t="shared" si="135"/>
        <v>296</v>
      </c>
      <c r="AH302" s="388" t="str">
        <f t="shared" si="136"/>
        <v>Tisbury</v>
      </c>
      <c r="AI302" s="380">
        <f t="shared" si="137"/>
        <v>1.8690182884704496</v>
      </c>
      <c r="AJ302" s="381">
        <f t="shared" si="115"/>
        <v>82.5</v>
      </c>
      <c r="AK302" s="380">
        <f t="shared" si="138"/>
        <v>4.5699999999999991E-2</v>
      </c>
      <c r="AL302" s="9">
        <f t="shared" si="116"/>
        <v>7280324</v>
      </c>
      <c r="AM302" s="57">
        <f t="shared" si="139"/>
        <v>2.4372793916427327E-6</v>
      </c>
    </row>
    <row r="303" spans="1:39" ht="12.75" customHeight="1">
      <c r="A303" s="6">
        <v>297</v>
      </c>
      <c r="B303" s="6" t="s">
        <v>978</v>
      </c>
      <c r="C303" s="81">
        <v>225103100</v>
      </c>
      <c r="D303" s="81">
        <f t="shared" si="117"/>
        <v>879164.49150175846</v>
      </c>
      <c r="E303" s="8">
        <v>15044000</v>
      </c>
      <c r="F303" s="81">
        <f t="shared" si="140"/>
        <v>215308.23142937405</v>
      </c>
      <c r="G303" s="81">
        <f t="shared" si="118"/>
        <v>1094473</v>
      </c>
      <c r="H303" s="127">
        <f t="shared" si="119"/>
        <v>429555.53772842116</v>
      </c>
      <c r="I303" s="347">
        <f t="shared" si="120"/>
        <v>2.5479196608378056</v>
      </c>
      <c r="J303" s="33">
        <f t="shared" si="113"/>
        <v>354383</v>
      </c>
      <c r="K303" s="33">
        <f t="shared" si="121"/>
        <v>354383</v>
      </c>
      <c r="L303" s="126">
        <f t="shared" si="122"/>
        <v>82.5</v>
      </c>
      <c r="M303" s="470"/>
      <c r="N303" s="128">
        <v>410708</v>
      </c>
      <c r="O303" s="449">
        <v>3.1E-2</v>
      </c>
      <c r="P303" s="33">
        <f t="shared" si="123"/>
        <v>423440</v>
      </c>
      <c r="Q303" s="57">
        <f t="shared" si="124"/>
        <v>98.576310350749665</v>
      </c>
      <c r="R303" s="57">
        <f t="shared" si="125"/>
        <v>0</v>
      </c>
      <c r="S303" s="88">
        <f t="shared" si="126"/>
        <v>0</v>
      </c>
      <c r="T303" s="33">
        <f t="shared" si="127"/>
        <v>0</v>
      </c>
      <c r="U303" s="9">
        <f t="shared" si="128"/>
        <v>69057</v>
      </c>
      <c r="V303" s="9">
        <f t="shared" si="114"/>
        <v>69057</v>
      </c>
      <c r="W303" s="9">
        <f t="shared" si="129"/>
        <v>0</v>
      </c>
      <c r="X303" s="127">
        <f>MIN(H303*parameters!C$22,ROUND(P303+T303-V303+W303,0))</f>
        <v>354383</v>
      </c>
      <c r="Y303" s="94">
        <f t="shared" si="130"/>
        <v>82.499925824271955</v>
      </c>
      <c r="AA303" s="33">
        <f t="shared" si="131"/>
        <v>0</v>
      </c>
      <c r="AB303" s="33">
        <f t="shared" si="132"/>
        <v>0</v>
      </c>
      <c r="AC303" s="33">
        <f t="shared" si="133"/>
        <v>0</v>
      </c>
      <c r="AD303" s="57">
        <f t="shared" si="134"/>
        <v>-7.4175728045133837E-5</v>
      </c>
      <c r="AG303" s="609" t="str">
        <f t="shared" si="135"/>
        <v>297</v>
      </c>
      <c r="AH303" s="388" t="str">
        <f t="shared" si="136"/>
        <v>Tolland</v>
      </c>
      <c r="AI303" s="380">
        <f t="shared" si="137"/>
        <v>2.5479196608378056</v>
      </c>
      <c r="AJ303" s="381">
        <f t="shared" si="115"/>
        <v>82.5</v>
      </c>
      <c r="AK303" s="380">
        <f t="shared" si="138"/>
        <v>3.1E-2</v>
      </c>
      <c r="AL303" s="9">
        <f t="shared" si="116"/>
        <v>354383</v>
      </c>
      <c r="AM303" s="57">
        <f t="shared" si="139"/>
        <v>-7.4175728045133837E-5</v>
      </c>
    </row>
    <row r="304" spans="1:39" ht="12.75" customHeight="1">
      <c r="A304" s="6">
        <v>298</v>
      </c>
      <c r="B304" s="6" t="s">
        <v>979</v>
      </c>
      <c r="C304" s="81">
        <v>1686723900</v>
      </c>
      <c r="D304" s="81">
        <f t="shared" si="117"/>
        <v>6587682.5323479017</v>
      </c>
      <c r="E304" s="8">
        <v>632430000</v>
      </c>
      <c r="F304" s="81">
        <f t="shared" si="140"/>
        <v>9051275.246136602</v>
      </c>
      <c r="G304" s="81">
        <f t="shared" si="118"/>
        <v>15638958</v>
      </c>
      <c r="H304" s="127">
        <f t="shared" si="119"/>
        <v>13961772.007665964</v>
      </c>
      <c r="I304" s="347">
        <f t="shared" si="120"/>
        <v>1.1201270147810141</v>
      </c>
      <c r="J304" s="33">
        <f t="shared" si="113"/>
        <v>11518462</v>
      </c>
      <c r="K304" s="33">
        <f t="shared" si="121"/>
        <v>11518462</v>
      </c>
      <c r="L304" s="126">
        <f t="shared" si="122"/>
        <v>82.5</v>
      </c>
      <c r="M304" s="470"/>
      <c r="N304" s="128">
        <v>10462686</v>
      </c>
      <c r="O304" s="449">
        <v>3.4099999999999998E-2</v>
      </c>
      <c r="P304" s="33">
        <f t="shared" si="123"/>
        <v>10819464</v>
      </c>
      <c r="Q304" s="57">
        <f t="shared" si="124"/>
        <v>77.493487173829919</v>
      </c>
      <c r="R304" s="57">
        <f t="shared" si="125"/>
        <v>5.0065128261700806</v>
      </c>
      <c r="S304" s="88">
        <f t="shared" si="126"/>
        <v>0.01</v>
      </c>
      <c r="T304" s="33">
        <f t="shared" si="127"/>
        <v>104627</v>
      </c>
      <c r="U304" s="9">
        <f t="shared" si="128"/>
        <v>0</v>
      </c>
      <c r="V304" s="9">
        <f t="shared" si="114"/>
        <v>0</v>
      </c>
      <c r="W304" s="9">
        <f t="shared" si="129"/>
        <v>0</v>
      </c>
      <c r="X304" s="127">
        <f>MIN(H304*parameters!C$22,ROUND(P304+T304-V304+W304,0))</f>
        <v>10924091</v>
      </c>
      <c r="Y304" s="94">
        <f t="shared" si="130"/>
        <v>78.242869128660246</v>
      </c>
      <c r="AA304" s="33">
        <f t="shared" si="131"/>
        <v>-698998</v>
      </c>
      <c r="AB304" s="33">
        <f t="shared" si="132"/>
        <v>-594371</v>
      </c>
      <c r="AC304" s="33">
        <f t="shared" si="133"/>
        <v>0</v>
      </c>
      <c r="AD304" s="57">
        <f t="shared" si="134"/>
        <v>-4.2571308713397542</v>
      </c>
      <c r="AG304" s="609" t="str">
        <f t="shared" si="135"/>
        <v>298</v>
      </c>
      <c r="AH304" s="388" t="str">
        <f t="shared" si="136"/>
        <v>Topsfield</v>
      </c>
      <c r="AI304" s="380">
        <f t="shared" si="137"/>
        <v>1.1201270147810141</v>
      </c>
      <c r="AJ304" s="381">
        <f t="shared" si="115"/>
        <v>82.5</v>
      </c>
      <c r="AK304" s="380">
        <f t="shared" si="138"/>
        <v>3.4099999999999998E-2</v>
      </c>
      <c r="AL304" s="9">
        <f t="shared" si="116"/>
        <v>10924091</v>
      </c>
      <c r="AM304" s="57">
        <f t="shared" si="139"/>
        <v>-4.2571308713397542</v>
      </c>
    </row>
    <row r="305" spans="1:39" ht="12.75" customHeight="1">
      <c r="A305" s="6">
        <v>299</v>
      </c>
      <c r="B305" s="6" t="s">
        <v>980</v>
      </c>
      <c r="C305" s="81">
        <v>1176302500</v>
      </c>
      <c r="D305" s="81">
        <f t="shared" si="117"/>
        <v>4594176.576265486</v>
      </c>
      <c r="E305" s="8">
        <v>374488000</v>
      </c>
      <c r="F305" s="81">
        <f t="shared" si="140"/>
        <v>5359635.0020954153</v>
      </c>
      <c r="G305" s="81">
        <f t="shared" si="118"/>
        <v>9953812</v>
      </c>
      <c r="H305" s="127">
        <f t="shared" si="119"/>
        <v>18453297.551670916</v>
      </c>
      <c r="I305" s="347">
        <f t="shared" si="120"/>
        <v>0.53940559794954901</v>
      </c>
      <c r="J305" s="33">
        <f t="shared" si="113"/>
        <v>15223970</v>
      </c>
      <c r="K305" s="33">
        <f t="shared" si="121"/>
        <v>9953812</v>
      </c>
      <c r="L305" s="126">
        <f t="shared" si="122"/>
        <v>53.94</v>
      </c>
      <c r="M305" s="470"/>
      <c r="N305" s="128">
        <v>8574677</v>
      </c>
      <c r="O305" s="449">
        <v>4.2999999999999997E-2</v>
      </c>
      <c r="P305" s="33">
        <f t="shared" si="123"/>
        <v>8943388</v>
      </c>
      <c r="Q305" s="57">
        <f t="shared" si="124"/>
        <v>48.464985593808898</v>
      </c>
      <c r="R305" s="57">
        <f t="shared" si="125"/>
        <v>5.4750144061911001</v>
      </c>
      <c r="S305" s="88">
        <f t="shared" si="126"/>
        <v>0.01</v>
      </c>
      <c r="T305" s="33">
        <f t="shared" si="127"/>
        <v>85747</v>
      </c>
      <c r="U305" s="9">
        <f t="shared" si="128"/>
        <v>0</v>
      </c>
      <c r="V305" s="9">
        <f t="shared" si="114"/>
        <v>0</v>
      </c>
      <c r="W305" s="9">
        <f t="shared" si="129"/>
        <v>0</v>
      </c>
      <c r="X305" s="127">
        <f>MIN(H305*parameters!C$22,ROUND(P305+T305-V305+W305,0))</f>
        <v>9029135</v>
      </c>
      <c r="Y305" s="94">
        <f t="shared" si="130"/>
        <v>48.929655931237214</v>
      </c>
      <c r="AA305" s="33">
        <f t="shared" si="131"/>
        <v>-1010424</v>
      </c>
      <c r="AB305" s="33">
        <f t="shared" si="132"/>
        <v>-924677</v>
      </c>
      <c r="AC305" s="33">
        <f t="shared" si="133"/>
        <v>0</v>
      </c>
      <c r="AD305" s="57">
        <f t="shared" si="134"/>
        <v>-5.0103440687627838</v>
      </c>
      <c r="AG305" s="609" t="str">
        <f t="shared" si="135"/>
        <v>299</v>
      </c>
      <c r="AH305" s="388" t="str">
        <f t="shared" si="136"/>
        <v>Townsend</v>
      </c>
      <c r="AI305" s="380">
        <f t="shared" si="137"/>
        <v>0.53940559794954901</v>
      </c>
      <c r="AJ305" s="381">
        <f t="shared" si="115"/>
        <v>53.94</v>
      </c>
      <c r="AK305" s="380">
        <f t="shared" si="138"/>
        <v>4.2999999999999997E-2</v>
      </c>
      <c r="AL305" s="9">
        <f t="shared" si="116"/>
        <v>9029135</v>
      </c>
      <c r="AM305" s="57">
        <f t="shared" si="139"/>
        <v>-5.0103440687627838</v>
      </c>
    </row>
    <row r="306" spans="1:39" ht="12.75" customHeight="1">
      <c r="A306" s="6">
        <v>300</v>
      </c>
      <c r="B306" s="6" t="s">
        <v>981</v>
      </c>
      <c r="C306" s="81">
        <v>2624539200</v>
      </c>
      <c r="D306" s="81">
        <f t="shared" si="117"/>
        <v>10250421.567692457</v>
      </c>
      <c r="E306" s="8">
        <v>149712000</v>
      </c>
      <c r="F306" s="81">
        <f t="shared" si="140"/>
        <v>2142663.2507148664</v>
      </c>
      <c r="G306" s="81">
        <f t="shared" si="118"/>
        <v>12393085</v>
      </c>
      <c r="H306" s="127">
        <f t="shared" si="119"/>
        <v>2531659.1550356201</v>
      </c>
      <c r="I306" s="347">
        <f t="shared" si="120"/>
        <v>4.8952423059594814</v>
      </c>
      <c r="J306" s="33">
        <f t="shared" si="113"/>
        <v>2088619</v>
      </c>
      <c r="K306" s="33">
        <f t="shared" si="121"/>
        <v>2088619</v>
      </c>
      <c r="L306" s="126">
        <f t="shared" si="122"/>
        <v>82.5</v>
      </c>
      <c r="M306" s="470"/>
      <c r="N306" s="128">
        <v>2095500</v>
      </c>
      <c r="O306" s="449">
        <v>6.8500000000000005E-2</v>
      </c>
      <c r="P306" s="33">
        <f t="shared" si="123"/>
        <v>2239042</v>
      </c>
      <c r="Q306" s="57">
        <f t="shared" si="124"/>
        <v>88.44168440077776</v>
      </c>
      <c r="R306" s="57">
        <f t="shared" si="125"/>
        <v>0</v>
      </c>
      <c r="S306" s="88">
        <f t="shared" si="126"/>
        <v>0</v>
      </c>
      <c r="T306" s="33">
        <f t="shared" si="127"/>
        <v>0</v>
      </c>
      <c r="U306" s="9">
        <f t="shared" si="128"/>
        <v>150423</v>
      </c>
      <c r="V306" s="9">
        <f t="shared" si="114"/>
        <v>150423</v>
      </c>
      <c r="W306" s="9">
        <f t="shared" si="129"/>
        <v>0</v>
      </c>
      <c r="X306" s="127">
        <f>MIN(H306*parameters!C$22,ROUND(P306+T306-V306+W306,0))</f>
        <v>2088619</v>
      </c>
      <c r="Y306" s="94">
        <f t="shared" si="130"/>
        <v>82.500007785234956</v>
      </c>
      <c r="AA306" s="33">
        <f t="shared" si="131"/>
        <v>0</v>
      </c>
      <c r="AB306" s="33">
        <f t="shared" si="132"/>
        <v>0</v>
      </c>
      <c r="AC306" s="33">
        <f t="shared" si="133"/>
        <v>0</v>
      </c>
      <c r="AD306" s="57">
        <f t="shared" si="134"/>
        <v>7.7852349562590462E-6</v>
      </c>
      <c r="AG306" s="609" t="str">
        <f t="shared" si="135"/>
        <v>300</v>
      </c>
      <c r="AH306" s="388" t="str">
        <f t="shared" si="136"/>
        <v>Truro</v>
      </c>
      <c r="AI306" s="380">
        <f t="shared" si="137"/>
        <v>4.8952423059594814</v>
      </c>
      <c r="AJ306" s="381">
        <f t="shared" si="115"/>
        <v>82.5</v>
      </c>
      <c r="AK306" s="380">
        <f t="shared" si="138"/>
        <v>6.8500000000000005E-2</v>
      </c>
      <c r="AL306" s="9">
        <f t="shared" si="116"/>
        <v>2088619</v>
      </c>
      <c r="AM306" s="57">
        <f t="shared" si="139"/>
        <v>7.7852349562590462E-6</v>
      </c>
    </row>
    <row r="307" spans="1:39" ht="12.75" customHeight="1">
      <c r="A307" s="6">
        <v>301</v>
      </c>
      <c r="B307" s="6" t="s">
        <v>982</v>
      </c>
      <c r="C307" s="81">
        <v>2177318100</v>
      </c>
      <c r="D307" s="81">
        <f t="shared" si="117"/>
        <v>8503751.2154389471</v>
      </c>
      <c r="E307" s="8">
        <v>692658000</v>
      </c>
      <c r="F307" s="81">
        <f t="shared" si="140"/>
        <v>9913252.3906811606</v>
      </c>
      <c r="G307" s="81">
        <f t="shared" si="118"/>
        <v>18417004</v>
      </c>
      <c r="H307" s="127">
        <f t="shared" si="119"/>
        <v>23620218.690186806</v>
      </c>
      <c r="I307" s="347">
        <f t="shared" si="120"/>
        <v>0.77971352600776211</v>
      </c>
      <c r="J307" s="33">
        <f t="shared" si="113"/>
        <v>19486680</v>
      </c>
      <c r="K307" s="33">
        <f t="shared" si="121"/>
        <v>18417004</v>
      </c>
      <c r="L307" s="126">
        <f t="shared" si="122"/>
        <v>77.97</v>
      </c>
      <c r="M307" s="470"/>
      <c r="N307" s="128">
        <v>15454144</v>
      </c>
      <c r="O307" s="449">
        <v>4.4999999999999998E-2</v>
      </c>
      <c r="P307" s="33">
        <f t="shared" si="123"/>
        <v>16149580</v>
      </c>
      <c r="Q307" s="57">
        <f t="shared" si="124"/>
        <v>68.371847914809791</v>
      </c>
      <c r="R307" s="57">
        <f t="shared" si="125"/>
        <v>9.5981520851902076</v>
      </c>
      <c r="S307" s="88">
        <f t="shared" si="126"/>
        <v>0.02</v>
      </c>
      <c r="T307" s="33">
        <f t="shared" si="127"/>
        <v>309083</v>
      </c>
      <c r="U307" s="9">
        <f t="shared" si="128"/>
        <v>0</v>
      </c>
      <c r="V307" s="9">
        <f t="shared" si="114"/>
        <v>0</v>
      </c>
      <c r="W307" s="9">
        <f t="shared" si="129"/>
        <v>0</v>
      </c>
      <c r="X307" s="127">
        <f>MIN(H307*parameters!C$22,ROUND(P307+T307-V307+W307,0))</f>
        <v>16458663</v>
      </c>
      <c r="Y307" s="94">
        <f t="shared" si="130"/>
        <v>69.680400574944187</v>
      </c>
      <c r="AA307" s="33">
        <f t="shared" si="131"/>
        <v>-2267424</v>
      </c>
      <c r="AB307" s="33">
        <f t="shared" si="132"/>
        <v>-1958341</v>
      </c>
      <c r="AC307" s="33">
        <f t="shared" si="133"/>
        <v>0</v>
      </c>
      <c r="AD307" s="57">
        <f t="shared" si="134"/>
        <v>-8.2895994250558118</v>
      </c>
      <c r="AG307" s="609" t="str">
        <f t="shared" si="135"/>
        <v>301</v>
      </c>
      <c r="AH307" s="388" t="str">
        <f t="shared" si="136"/>
        <v>Tyngsborough</v>
      </c>
      <c r="AI307" s="380">
        <f t="shared" si="137"/>
        <v>0.77971352600776211</v>
      </c>
      <c r="AJ307" s="381">
        <f t="shared" si="115"/>
        <v>77.97</v>
      </c>
      <c r="AK307" s="380">
        <f t="shared" si="138"/>
        <v>4.4999999999999998E-2</v>
      </c>
      <c r="AL307" s="9">
        <f t="shared" si="116"/>
        <v>16458663</v>
      </c>
      <c r="AM307" s="57">
        <f t="shared" si="139"/>
        <v>-8.2895994250558118</v>
      </c>
    </row>
    <row r="308" spans="1:39" ht="12.75" customHeight="1">
      <c r="A308" s="6">
        <v>302</v>
      </c>
      <c r="B308" s="6" t="s">
        <v>983</v>
      </c>
      <c r="C308" s="81">
        <v>228166500</v>
      </c>
      <c r="D308" s="81">
        <f t="shared" si="117"/>
        <v>891128.931366276</v>
      </c>
      <c r="E308" s="8">
        <v>17292000</v>
      </c>
      <c r="F308" s="81">
        <f t="shared" si="140"/>
        <v>247481.38379930446</v>
      </c>
      <c r="G308" s="81">
        <f t="shared" si="118"/>
        <v>1138610</v>
      </c>
      <c r="H308" s="127">
        <f t="shared" si="119"/>
        <v>322864.62</v>
      </c>
      <c r="I308" s="347">
        <f t="shared" si="120"/>
        <v>3.5265864683470118</v>
      </c>
      <c r="J308" s="33">
        <f t="shared" si="113"/>
        <v>266363</v>
      </c>
      <c r="K308" s="33">
        <f t="shared" si="121"/>
        <v>266363</v>
      </c>
      <c r="L308" s="126">
        <f t="shared" si="122"/>
        <v>82.5</v>
      </c>
      <c r="M308" s="470"/>
      <c r="N308" s="128">
        <v>221227</v>
      </c>
      <c r="O308" s="449">
        <v>3.4000000000000002E-2</v>
      </c>
      <c r="P308" s="33">
        <f t="shared" si="123"/>
        <v>228749</v>
      </c>
      <c r="Q308" s="57">
        <f t="shared" si="124"/>
        <v>70.849819345334282</v>
      </c>
      <c r="R308" s="57">
        <f t="shared" si="125"/>
        <v>11.650180654665718</v>
      </c>
      <c r="S308" s="88">
        <f t="shared" si="126"/>
        <v>0.02</v>
      </c>
      <c r="T308" s="33">
        <f t="shared" si="127"/>
        <v>4425</v>
      </c>
      <c r="U308" s="9">
        <f t="shared" si="128"/>
        <v>0</v>
      </c>
      <c r="V308" s="9">
        <f t="shared" si="114"/>
        <v>0</v>
      </c>
      <c r="W308" s="9">
        <f t="shared" si="129"/>
        <v>33189</v>
      </c>
      <c r="X308" s="127">
        <f>MIN(H308*parameters!C$22,ROUND(P308+T308-V308+W308,0))</f>
        <v>266363</v>
      </c>
      <c r="Y308" s="94">
        <f t="shared" si="130"/>
        <v>82.499903519933525</v>
      </c>
      <c r="AA308" s="33">
        <f t="shared" si="131"/>
        <v>-37614</v>
      </c>
      <c r="AB308" s="33">
        <f t="shared" si="132"/>
        <v>0</v>
      </c>
      <c r="AC308" s="33">
        <f t="shared" si="133"/>
        <v>0</v>
      </c>
      <c r="AD308" s="57">
        <f t="shared" si="134"/>
        <v>-9.6480066474669002E-5</v>
      </c>
      <c r="AG308" s="609" t="str">
        <f t="shared" si="135"/>
        <v>302</v>
      </c>
      <c r="AH308" s="388" t="str">
        <f t="shared" si="136"/>
        <v>Tyringham</v>
      </c>
      <c r="AI308" s="380">
        <f t="shared" si="137"/>
        <v>3.5265864683470118</v>
      </c>
      <c r="AJ308" s="381">
        <f t="shared" si="115"/>
        <v>82.5</v>
      </c>
      <c r="AK308" s="380">
        <f t="shared" si="138"/>
        <v>3.4000000000000002E-2</v>
      </c>
      <c r="AL308" s="9">
        <f t="shared" si="116"/>
        <v>266363</v>
      </c>
      <c r="AM308" s="57">
        <f t="shared" si="139"/>
        <v>-9.6480066474669002E-5</v>
      </c>
    </row>
    <row r="309" spans="1:39" ht="12.75" customHeight="1">
      <c r="A309" s="6">
        <v>303</v>
      </c>
      <c r="B309" s="6" t="s">
        <v>984</v>
      </c>
      <c r="C309" s="81">
        <v>1431109500</v>
      </c>
      <c r="D309" s="81">
        <f t="shared" si="117"/>
        <v>5589352.8603152772</v>
      </c>
      <c r="E309" s="8">
        <v>559842000</v>
      </c>
      <c r="F309" s="81">
        <f t="shared" si="140"/>
        <v>8012403.0111595076</v>
      </c>
      <c r="G309" s="81">
        <f t="shared" si="118"/>
        <v>13601756</v>
      </c>
      <c r="H309" s="127">
        <f t="shared" si="119"/>
        <v>16109695.362652648</v>
      </c>
      <c r="I309" s="347">
        <f t="shared" si="120"/>
        <v>0.84432111804753041</v>
      </c>
      <c r="J309" s="33">
        <f t="shared" si="113"/>
        <v>13290499</v>
      </c>
      <c r="K309" s="33">
        <f t="shared" si="121"/>
        <v>13290499</v>
      </c>
      <c r="L309" s="126">
        <f t="shared" si="122"/>
        <v>82.5</v>
      </c>
      <c r="M309" s="470"/>
      <c r="N309" s="128">
        <v>11987890</v>
      </c>
      <c r="O309" s="449">
        <v>3.4099999999999998E-2</v>
      </c>
      <c r="P309" s="33">
        <f t="shared" si="123"/>
        <v>12396677</v>
      </c>
      <c r="Q309" s="57">
        <f t="shared" si="124"/>
        <v>76.951653777013092</v>
      </c>
      <c r="R309" s="57">
        <f t="shared" si="125"/>
        <v>5.5483462229869076</v>
      </c>
      <c r="S309" s="88">
        <f t="shared" si="126"/>
        <v>0.01</v>
      </c>
      <c r="T309" s="33">
        <f t="shared" si="127"/>
        <v>119879</v>
      </c>
      <c r="U309" s="9">
        <f t="shared" si="128"/>
        <v>0</v>
      </c>
      <c r="V309" s="9">
        <f t="shared" si="114"/>
        <v>0</v>
      </c>
      <c r="W309" s="9">
        <f t="shared" si="129"/>
        <v>0</v>
      </c>
      <c r="X309" s="127">
        <f>MIN(H309*parameters!C$22,ROUND(P309+T309-V309+W309,0))</f>
        <v>12516556</v>
      </c>
      <c r="Y309" s="94">
        <f t="shared" si="130"/>
        <v>77.695795719497724</v>
      </c>
      <c r="AA309" s="33">
        <f t="shared" si="131"/>
        <v>-893822</v>
      </c>
      <c r="AB309" s="33">
        <f t="shared" si="132"/>
        <v>-773943</v>
      </c>
      <c r="AC309" s="33">
        <f t="shared" si="133"/>
        <v>0</v>
      </c>
      <c r="AD309" s="57">
        <f t="shared" si="134"/>
        <v>-4.804204280502276</v>
      </c>
      <c r="AG309" s="609" t="str">
        <f t="shared" si="135"/>
        <v>303</v>
      </c>
      <c r="AH309" s="388" t="str">
        <f t="shared" si="136"/>
        <v>Upton</v>
      </c>
      <c r="AI309" s="380">
        <f t="shared" si="137"/>
        <v>0.84432111804753041</v>
      </c>
      <c r="AJ309" s="381">
        <f t="shared" si="115"/>
        <v>82.5</v>
      </c>
      <c r="AK309" s="380">
        <f t="shared" si="138"/>
        <v>3.4099999999999998E-2</v>
      </c>
      <c r="AL309" s="9">
        <f t="shared" si="116"/>
        <v>12516556</v>
      </c>
      <c r="AM309" s="57">
        <f t="shared" si="139"/>
        <v>-4.804204280502276</v>
      </c>
    </row>
    <row r="310" spans="1:39" ht="12.75" customHeight="1">
      <c r="A310" s="6">
        <v>304</v>
      </c>
      <c r="B310" s="6" t="s">
        <v>985</v>
      </c>
      <c r="C310" s="81">
        <v>2302233500</v>
      </c>
      <c r="D310" s="81">
        <f t="shared" si="117"/>
        <v>8991621.8139413167</v>
      </c>
      <c r="E310" s="8">
        <v>654411000</v>
      </c>
      <c r="F310" s="81">
        <f t="shared" si="140"/>
        <v>9365865.1314762104</v>
      </c>
      <c r="G310" s="81">
        <f t="shared" si="118"/>
        <v>18357487</v>
      </c>
      <c r="H310" s="127">
        <f t="shared" si="119"/>
        <v>25051745.294137198</v>
      </c>
      <c r="I310" s="347">
        <f t="shared" si="120"/>
        <v>0.73278275762671752</v>
      </c>
      <c r="J310" s="33">
        <f t="shared" si="113"/>
        <v>20667690</v>
      </c>
      <c r="K310" s="33">
        <f t="shared" si="121"/>
        <v>18357487</v>
      </c>
      <c r="L310" s="126">
        <f t="shared" si="122"/>
        <v>73.28</v>
      </c>
      <c r="M310" s="470"/>
      <c r="N310" s="128">
        <v>16400262</v>
      </c>
      <c r="O310" s="449">
        <v>5.489999999999999E-2</v>
      </c>
      <c r="P310" s="33">
        <f t="shared" si="123"/>
        <v>17300636</v>
      </c>
      <c r="Q310" s="57">
        <f t="shared" si="124"/>
        <v>69.059603619907577</v>
      </c>
      <c r="R310" s="57">
        <f t="shared" si="125"/>
        <v>4.2203963800924242</v>
      </c>
      <c r="S310" s="88">
        <f t="shared" si="126"/>
        <v>0.01</v>
      </c>
      <c r="T310" s="33">
        <f t="shared" si="127"/>
        <v>164003</v>
      </c>
      <c r="U310" s="9">
        <f t="shared" si="128"/>
        <v>0</v>
      </c>
      <c r="V310" s="9">
        <f t="shared" si="114"/>
        <v>0</v>
      </c>
      <c r="W310" s="9">
        <f t="shared" si="129"/>
        <v>0</v>
      </c>
      <c r="X310" s="127">
        <f>MIN(H310*parameters!C$22,ROUND(P310+T310-V310+W310,0))</f>
        <v>17464639</v>
      </c>
      <c r="Y310" s="94">
        <f t="shared" si="130"/>
        <v>69.714260603181245</v>
      </c>
      <c r="AA310" s="33">
        <f t="shared" si="131"/>
        <v>-1056851</v>
      </c>
      <c r="AB310" s="33">
        <f t="shared" si="132"/>
        <v>-892848</v>
      </c>
      <c r="AC310" s="33">
        <f t="shared" si="133"/>
        <v>0</v>
      </c>
      <c r="AD310" s="57">
        <f t="shared" si="134"/>
        <v>-3.5657393968187563</v>
      </c>
      <c r="AG310" s="609" t="str">
        <f t="shared" si="135"/>
        <v>304</v>
      </c>
      <c r="AH310" s="388" t="str">
        <f t="shared" si="136"/>
        <v>Uxbridge</v>
      </c>
      <c r="AI310" s="380">
        <f t="shared" si="137"/>
        <v>0.73278275762671752</v>
      </c>
      <c r="AJ310" s="381">
        <f t="shared" si="115"/>
        <v>73.28</v>
      </c>
      <c r="AK310" s="380">
        <f t="shared" si="138"/>
        <v>5.489999999999999E-2</v>
      </c>
      <c r="AL310" s="9">
        <f t="shared" si="116"/>
        <v>17464639</v>
      </c>
      <c r="AM310" s="57">
        <f t="shared" si="139"/>
        <v>-3.5657393968187563</v>
      </c>
    </row>
    <row r="311" spans="1:39" ht="12.75" customHeight="1">
      <c r="A311" s="6">
        <v>305</v>
      </c>
      <c r="B311" s="6" t="s">
        <v>986</v>
      </c>
      <c r="C311" s="81">
        <v>6497773200</v>
      </c>
      <c r="D311" s="81">
        <f t="shared" si="117"/>
        <v>25377755.665167443</v>
      </c>
      <c r="E311" s="8">
        <v>1677243000</v>
      </c>
      <c r="F311" s="81">
        <f t="shared" si="140"/>
        <v>24004534.964590378</v>
      </c>
      <c r="G311" s="81">
        <f t="shared" si="118"/>
        <v>49382291</v>
      </c>
      <c r="H311" s="127">
        <f t="shared" si="119"/>
        <v>47140463.216423161</v>
      </c>
      <c r="I311" s="347">
        <f t="shared" si="120"/>
        <v>1.0475563376050114</v>
      </c>
      <c r="J311" s="33">
        <f t="shared" si="113"/>
        <v>38890882</v>
      </c>
      <c r="K311" s="33">
        <f t="shared" si="121"/>
        <v>38890882</v>
      </c>
      <c r="L311" s="126">
        <f t="shared" si="122"/>
        <v>82.5</v>
      </c>
      <c r="M311" s="470"/>
      <c r="N311" s="128">
        <v>36379965</v>
      </c>
      <c r="O311" s="449">
        <v>4.8799999999999996E-2</v>
      </c>
      <c r="P311" s="33">
        <f t="shared" si="123"/>
        <v>38155307</v>
      </c>
      <c r="Q311" s="57">
        <f t="shared" si="124"/>
        <v>80.939609831214298</v>
      </c>
      <c r="R311" s="57">
        <f t="shared" si="125"/>
        <v>1.5603901687857018</v>
      </c>
      <c r="S311" s="88">
        <f t="shared" si="126"/>
        <v>0</v>
      </c>
      <c r="T311" s="33">
        <f t="shared" si="127"/>
        <v>0</v>
      </c>
      <c r="U311" s="9">
        <f t="shared" si="128"/>
        <v>0</v>
      </c>
      <c r="V311" s="9">
        <f t="shared" si="114"/>
        <v>0</v>
      </c>
      <c r="W311" s="9">
        <f t="shared" si="129"/>
        <v>0</v>
      </c>
      <c r="X311" s="127">
        <f>MIN(H311*parameters!C$22,ROUND(P311+T311-V311+W311,0))</f>
        <v>38155307</v>
      </c>
      <c r="Y311" s="94">
        <f t="shared" si="130"/>
        <v>80.939609831214298</v>
      </c>
      <c r="AA311" s="33">
        <f t="shared" si="131"/>
        <v>-735575</v>
      </c>
      <c r="AB311" s="33">
        <f t="shared" si="132"/>
        <v>-735575</v>
      </c>
      <c r="AC311" s="33">
        <f t="shared" si="133"/>
        <v>0</v>
      </c>
      <c r="AD311" s="57">
        <f t="shared" si="134"/>
        <v>-1.5603901687857018</v>
      </c>
      <c r="AG311" s="609" t="str">
        <f t="shared" si="135"/>
        <v>305</v>
      </c>
      <c r="AH311" s="388" t="str">
        <f t="shared" si="136"/>
        <v>Wakefield</v>
      </c>
      <c r="AI311" s="380">
        <f t="shared" si="137"/>
        <v>1.0475563376050114</v>
      </c>
      <c r="AJ311" s="381">
        <f t="shared" si="115"/>
        <v>82.5</v>
      </c>
      <c r="AK311" s="380">
        <f t="shared" si="138"/>
        <v>4.8799999999999996E-2</v>
      </c>
      <c r="AL311" s="9">
        <f t="shared" si="116"/>
        <v>38155307</v>
      </c>
      <c r="AM311" s="57">
        <f t="shared" si="139"/>
        <v>-1.5603901687857018</v>
      </c>
    </row>
    <row r="312" spans="1:39" ht="12.75" customHeight="1">
      <c r="A312" s="6">
        <v>306</v>
      </c>
      <c r="B312" s="6" t="s">
        <v>987</v>
      </c>
      <c r="C312" s="81">
        <v>206597900</v>
      </c>
      <c r="D312" s="81">
        <f t="shared" si="117"/>
        <v>806890.43242332572</v>
      </c>
      <c r="E312" s="8">
        <v>52084000</v>
      </c>
      <c r="F312" s="81">
        <f t="shared" si="140"/>
        <v>745421.02670616319</v>
      </c>
      <c r="G312" s="81">
        <f t="shared" si="118"/>
        <v>1552311</v>
      </c>
      <c r="H312" s="127">
        <f t="shared" si="119"/>
        <v>3782565.5802345816</v>
      </c>
      <c r="I312" s="347">
        <f t="shared" si="120"/>
        <v>0.41038574667718808</v>
      </c>
      <c r="J312" s="33">
        <f t="shared" si="113"/>
        <v>3120617</v>
      </c>
      <c r="K312" s="33">
        <f t="shared" si="121"/>
        <v>1552311</v>
      </c>
      <c r="L312" s="126">
        <f t="shared" si="122"/>
        <v>41.04</v>
      </c>
      <c r="M312" s="470"/>
      <c r="N312" s="128">
        <v>1335783</v>
      </c>
      <c r="O312" s="449">
        <v>3.4299999999999997E-2</v>
      </c>
      <c r="P312" s="33">
        <f t="shared" si="123"/>
        <v>1381600</v>
      </c>
      <c r="Q312" s="57">
        <f t="shared" si="124"/>
        <v>36.525473800623914</v>
      </c>
      <c r="R312" s="57">
        <f t="shared" si="125"/>
        <v>4.5145261993760855</v>
      </c>
      <c r="S312" s="88">
        <f t="shared" si="126"/>
        <v>0.01</v>
      </c>
      <c r="T312" s="33">
        <f t="shared" si="127"/>
        <v>13358</v>
      </c>
      <c r="U312" s="9">
        <f t="shared" si="128"/>
        <v>0</v>
      </c>
      <c r="V312" s="9">
        <f t="shared" si="114"/>
        <v>0</v>
      </c>
      <c r="W312" s="9">
        <f t="shared" si="129"/>
        <v>0</v>
      </c>
      <c r="X312" s="127">
        <f>MIN(H312*parameters!C$22,ROUND(P312+T312-V312+W312,0))</f>
        <v>1394958</v>
      </c>
      <c r="Y312" s="94">
        <f t="shared" si="130"/>
        <v>36.878620354640077</v>
      </c>
      <c r="AA312" s="33">
        <f t="shared" si="131"/>
        <v>-170711</v>
      </c>
      <c r="AB312" s="33">
        <f t="shared" si="132"/>
        <v>-157353</v>
      </c>
      <c r="AC312" s="33">
        <f t="shared" si="133"/>
        <v>0</v>
      </c>
      <c r="AD312" s="57">
        <f t="shared" si="134"/>
        <v>-4.1613796453599221</v>
      </c>
      <c r="AG312" s="609" t="str">
        <f t="shared" si="135"/>
        <v>306</v>
      </c>
      <c r="AH312" s="388" t="str">
        <f t="shared" si="136"/>
        <v>Wales</v>
      </c>
      <c r="AI312" s="380">
        <f t="shared" si="137"/>
        <v>0.41038574667718808</v>
      </c>
      <c r="AJ312" s="381">
        <f t="shared" si="115"/>
        <v>41.04</v>
      </c>
      <c r="AK312" s="380">
        <f t="shared" si="138"/>
        <v>3.4299999999999997E-2</v>
      </c>
      <c r="AL312" s="9">
        <f t="shared" si="116"/>
        <v>1394958</v>
      </c>
      <c r="AM312" s="57">
        <f t="shared" si="139"/>
        <v>-4.1613796453599221</v>
      </c>
    </row>
    <row r="313" spans="1:39" ht="12.75" customHeight="1">
      <c r="A313" s="6">
        <v>307</v>
      </c>
      <c r="B313" s="6" t="s">
        <v>988</v>
      </c>
      <c r="C313" s="81">
        <v>5952614800</v>
      </c>
      <c r="D313" s="81">
        <f t="shared" si="117"/>
        <v>23248580.600390851</v>
      </c>
      <c r="E313" s="8">
        <v>1890178000</v>
      </c>
      <c r="F313" s="81">
        <f t="shared" si="140"/>
        <v>27052039.501908496</v>
      </c>
      <c r="G313" s="81">
        <f t="shared" si="118"/>
        <v>50300620</v>
      </c>
      <c r="H313" s="127">
        <f t="shared" si="119"/>
        <v>50187089.29347574</v>
      </c>
      <c r="I313" s="347">
        <f t="shared" si="120"/>
        <v>1.0022621496508868</v>
      </c>
      <c r="J313" s="33">
        <f t="shared" si="113"/>
        <v>41404349</v>
      </c>
      <c r="K313" s="33">
        <f t="shared" si="121"/>
        <v>41404349</v>
      </c>
      <c r="L313" s="126">
        <f t="shared" si="122"/>
        <v>82.5</v>
      </c>
      <c r="M313" s="470"/>
      <c r="N313" s="128">
        <v>39123173</v>
      </c>
      <c r="O313" s="449">
        <v>5.2499999999999998E-2</v>
      </c>
      <c r="P313" s="33">
        <f t="shared" si="123"/>
        <v>41177140</v>
      </c>
      <c r="Q313" s="57">
        <f t="shared" si="124"/>
        <v>82.047276659563082</v>
      </c>
      <c r="R313" s="57">
        <f t="shared" si="125"/>
        <v>0.45272334043691842</v>
      </c>
      <c r="S313" s="88">
        <f t="shared" si="126"/>
        <v>0</v>
      </c>
      <c r="T313" s="33">
        <f t="shared" si="127"/>
        <v>0</v>
      </c>
      <c r="U313" s="9">
        <f t="shared" si="128"/>
        <v>0</v>
      </c>
      <c r="V313" s="9">
        <f t="shared" si="114"/>
        <v>0</v>
      </c>
      <c r="W313" s="9">
        <f t="shared" si="129"/>
        <v>0</v>
      </c>
      <c r="X313" s="127">
        <f>MIN(H313*parameters!C$22,ROUND(P313+T313-V313+W313,0))</f>
        <v>41177140</v>
      </c>
      <c r="Y313" s="94">
        <f t="shared" si="130"/>
        <v>82.047276659563082</v>
      </c>
      <c r="AA313" s="33">
        <f t="shared" si="131"/>
        <v>-227209</v>
      </c>
      <c r="AB313" s="33">
        <f t="shared" si="132"/>
        <v>-227209</v>
      </c>
      <c r="AC313" s="33">
        <f t="shared" si="133"/>
        <v>0</v>
      </c>
      <c r="AD313" s="57">
        <f t="shared" si="134"/>
        <v>-0.45272334043691842</v>
      </c>
      <c r="AG313" s="609" t="str">
        <f t="shared" si="135"/>
        <v>307</v>
      </c>
      <c r="AH313" s="388" t="str">
        <f t="shared" si="136"/>
        <v>Walpole</v>
      </c>
      <c r="AI313" s="380">
        <f t="shared" si="137"/>
        <v>1.0022621496508868</v>
      </c>
      <c r="AJ313" s="381">
        <f t="shared" si="115"/>
        <v>82.5</v>
      </c>
      <c r="AK313" s="380">
        <f t="shared" si="138"/>
        <v>5.2499999999999998E-2</v>
      </c>
      <c r="AL313" s="9">
        <f t="shared" si="116"/>
        <v>41177140</v>
      </c>
      <c r="AM313" s="57">
        <f t="shared" si="139"/>
        <v>-0.45272334043691842</v>
      </c>
    </row>
    <row r="314" spans="1:39" ht="12.75" customHeight="1">
      <c r="A314" s="6">
        <v>308</v>
      </c>
      <c r="B314" s="6" t="s">
        <v>989</v>
      </c>
      <c r="C314" s="81">
        <v>17215737300</v>
      </c>
      <c r="D314" s="81">
        <f t="shared" si="117"/>
        <v>67237923.108044073</v>
      </c>
      <c r="E314" s="8">
        <v>3212439000</v>
      </c>
      <c r="F314" s="81">
        <f t="shared" si="140"/>
        <v>45976107.395954996</v>
      </c>
      <c r="G314" s="81">
        <f t="shared" si="118"/>
        <v>113214031</v>
      </c>
      <c r="H314" s="127">
        <f t="shared" si="119"/>
        <v>103566216.31179999</v>
      </c>
      <c r="I314" s="347">
        <f t="shared" si="120"/>
        <v>1.0931560023314357</v>
      </c>
      <c r="J314" s="33">
        <f t="shared" si="113"/>
        <v>85442128</v>
      </c>
      <c r="K314" s="33">
        <f t="shared" si="121"/>
        <v>85442128</v>
      </c>
      <c r="L314" s="126">
        <f t="shared" si="122"/>
        <v>82.5</v>
      </c>
      <c r="M314" s="470"/>
      <c r="N314" s="128">
        <v>74508112</v>
      </c>
      <c r="O314" s="449">
        <v>5.3699999999999998E-2</v>
      </c>
      <c r="P314" s="33">
        <f t="shared" si="123"/>
        <v>78509198</v>
      </c>
      <c r="Q314" s="57">
        <f t="shared" si="124"/>
        <v>75.805799222825257</v>
      </c>
      <c r="R314" s="57">
        <f t="shared" si="125"/>
        <v>6.6942007771747427</v>
      </c>
      <c r="S314" s="88">
        <f t="shared" si="126"/>
        <v>0.01</v>
      </c>
      <c r="T314" s="33">
        <f t="shared" si="127"/>
        <v>745081</v>
      </c>
      <c r="U314" s="9">
        <f t="shared" si="128"/>
        <v>0</v>
      </c>
      <c r="V314" s="9">
        <f t="shared" si="114"/>
        <v>0</v>
      </c>
      <c r="W314" s="9">
        <f t="shared" si="129"/>
        <v>0</v>
      </c>
      <c r="X314" s="127">
        <f>MIN(H314*parameters!C$22,ROUND(P314+T314-V314+W314,0))</f>
        <v>79254279</v>
      </c>
      <c r="Y314" s="94">
        <f t="shared" si="130"/>
        <v>76.525223979791207</v>
      </c>
      <c r="AA314" s="33">
        <f t="shared" si="131"/>
        <v>-6932930</v>
      </c>
      <c r="AB314" s="33">
        <f t="shared" si="132"/>
        <v>-6187849</v>
      </c>
      <c r="AC314" s="33">
        <f t="shared" si="133"/>
        <v>0</v>
      </c>
      <c r="AD314" s="57">
        <f t="shared" si="134"/>
        <v>-5.9747760202087932</v>
      </c>
      <c r="AG314" s="609" t="str">
        <f t="shared" si="135"/>
        <v>308</v>
      </c>
      <c r="AH314" s="388" t="str">
        <f t="shared" si="136"/>
        <v>Waltham</v>
      </c>
      <c r="AI314" s="380">
        <f t="shared" si="137"/>
        <v>1.0931560023314357</v>
      </c>
      <c r="AJ314" s="381">
        <f t="shared" si="115"/>
        <v>82.5</v>
      </c>
      <c r="AK314" s="380">
        <f t="shared" si="138"/>
        <v>5.3699999999999998E-2</v>
      </c>
      <c r="AL314" s="9">
        <f t="shared" si="116"/>
        <v>79254279</v>
      </c>
      <c r="AM314" s="57">
        <f t="shared" si="139"/>
        <v>-5.9747760202087932</v>
      </c>
    </row>
    <row r="315" spans="1:39" ht="12.75" customHeight="1">
      <c r="A315" s="6">
        <v>309</v>
      </c>
      <c r="B315" s="6" t="s">
        <v>990</v>
      </c>
      <c r="C315" s="81">
        <v>922889900</v>
      </c>
      <c r="D315" s="81">
        <f t="shared" si="117"/>
        <v>3604446.272155331</v>
      </c>
      <c r="E315" s="8">
        <v>275079000</v>
      </c>
      <c r="F315" s="81">
        <f t="shared" si="140"/>
        <v>3936903.2832598235</v>
      </c>
      <c r="G315" s="81">
        <f t="shared" si="118"/>
        <v>7541350</v>
      </c>
      <c r="H315" s="127">
        <f t="shared" si="119"/>
        <v>22662081.238489501</v>
      </c>
      <c r="I315" s="347">
        <f t="shared" si="120"/>
        <v>0.33277393724949222</v>
      </c>
      <c r="J315" s="33">
        <f t="shared" si="113"/>
        <v>18696217</v>
      </c>
      <c r="K315" s="33">
        <f t="shared" si="121"/>
        <v>7541350</v>
      </c>
      <c r="L315" s="126">
        <f t="shared" si="122"/>
        <v>33.28</v>
      </c>
      <c r="M315" s="470"/>
      <c r="N315" s="128">
        <v>6618895</v>
      </c>
      <c r="O315" s="449">
        <v>3.5499999999999997E-2</v>
      </c>
      <c r="P315" s="33">
        <f t="shared" si="123"/>
        <v>6853866</v>
      </c>
      <c r="Q315" s="57">
        <f t="shared" si="124"/>
        <v>30.243762379420502</v>
      </c>
      <c r="R315" s="57">
        <f t="shared" si="125"/>
        <v>3.0362376205794988</v>
      </c>
      <c r="S315" s="88">
        <f t="shared" si="126"/>
        <v>0.01</v>
      </c>
      <c r="T315" s="33">
        <f t="shared" si="127"/>
        <v>66189</v>
      </c>
      <c r="U315" s="9">
        <f t="shared" si="128"/>
        <v>0</v>
      </c>
      <c r="V315" s="9">
        <f t="shared" si="114"/>
        <v>0</v>
      </c>
      <c r="W315" s="9">
        <f t="shared" si="129"/>
        <v>0</v>
      </c>
      <c r="X315" s="127">
        <f>MIN(H315*parameters!C$22,ROUND(P315+T315-V315+W315,0))</f>
        <v>6920055</v>
      </c>
      <c r="Y315" s="94">
        <f t="shared" si="130"/>
        <v>30.53583175867762</v>
      </c>
      <c r="AA315" s="33">
        <f t="shared" si="131"/>
        <v>-687484</v>
      </c>
      <c r="AB315" s="33">
        <f t="shared" si="132"/>
        <v>-621295</v>
      </c>
      <c r="AC315" s="33">
        <f t="shared" si="133"/>
        <v>0</v>
      </c>
      <c r="AD315" s="57">
        <f t="shared" si="134"/>
        <v>-2.7441682413223809</v>
      </c>
      <c r="AG315" s="609" t="str">
        <f t="shared" si="135"/>
        <v>309</v>
      </c>
      <c r="AH315" s="388" t="str">
        <f t="shared" si="136"/>
        <v>Ware</v>
      </c>
      <c r="AI315" s="380">
        <f t="shared" si="137"/>
        <v>0.33277393724949222</v>
      </c>
      <c r="AJ315" s="381">
        <f t="shared" si="115"/>
        <v>33.28</v>
      </c>
      <c r="AK315" s="380">
        <f t="shared" si="138"/>
        <v>3.5499999999999997E-2</v>
      </c>
      <c r="AL315" s="9">
        <f t="shared" si="116"/>
        <v>6920055</v>
      </c>
      <c r="AM315" s="57">
        <f t="shared" si="139"/>
        <v>-2.7441682413223809</v>
      </c>
    </row>
    <row r="316" spans="1:39" ht="12.75" customHeight="1">
      <c r="A316" s="6">
        <v>310</v>
      </c>
      <c r="B316" s="6" t="s">
        <v>991</v>
      </c>
      <c r="C316" s="81">
        <v>4699228300</v>
      </c>
      <c r="D316" s="81">
        <f t="shared" si="117"/>
        <v>18353344.129068736</v>
      </c>
      <c r="E316" s="8">
        <v>735781000</v>
      </c>
      <c r="F316" s="81">
        <f t="shared" si="140"/>
        <v>10530424.476823736</v>
      </c>
      <c r="G316" s="81">
        <f t="shared" si="118"/>
        <v>28883769</v>
      </c>
      <c r="H316" s="127">
        <f t="shared" si="119"/>
        <v>43480688.963008612</v>
      </c>
      <c r="I316" s="347">
        <f t="shared" si="120"/>
        <v>0.66428958898450285</v>
      </c>
      <c r="J316" s="33">
        <f t="shared" si="113"/>
        <v>35871568</v>
      </c>
      <c r="K316" s="33">
        <f t="shared" si="121"/>
        <v>28883769</v>
      </c>
      <c r="L316" s="126">
        <f t="shared" si="122"/>
        <v>66.430000000000007</v>
      </c>
      <c r="M316" s="470"/>
      <c r="N316" s="128">
        <v>24380114</v>
      </c>
      <c r="O316" s="449">
        <v>5.0200000000000002E-2</v>
      </c>
      <c r="P316" s="33">
        <f t="shared" si="123"/>
        <v>25603996</v>
      </c>
      <c r="Q316" s="57">
        <f t="shared" si="124"/>
        <v>58.885902249117329</v>
      </c>
      <c r="R316" s="57">
        <f t="shared" si="125"/>
        <v>7.5440977508826776</v>
      </c>
      <c r="S316" s="88">
        <f t="shared" si="126"/>
        <v>0.02</v>
      </c>
      <c r="T316" s="33">
        <f t="shared" si="127"/>
        <v>487602</v>
      </c>
      <c r="U316" s="9">
        <f t="shared" si="128"/>
        <v>0</v>
      </c>
      <c r="V316" s="9">
        <f t="shared" si="114"/>
        <v>0</v>
      </c>
      <c r="W316" s="9">
        <f t="shared" si="129"/>
        <v>0</v>
      </c>
      <c r="X316" s="127">
        <f>MIN(H316*parameters!C$22,ROUND(P316+T316-V316+W316,0))</f>
        <v>26091598</v>
      </c>
      <c r="Y316" s="94">
        <f t="shared" si="130"/>
        <v>60.007324222018518</v>
      </c>
      <c r="AA316" s="33">
        <f t="shared" si="131"/>
        <v>-3279773</v>
      </c>
      <c r="AB316" s="33">
        <f t="shared" si="132"/>
        <v>-2792171</v>
      </c>
      <c r="AC316" s="33">
        <f t="shared" si="133"/>
        <v>0</v>
      </c>
      <c r="AD316" s="57">
        <f t="shared" si="134"/>
        <v>-6.4226757779814889</v>
      </c>
      <c r="AG316" s="609" t="str">
        <f t="shared" si="135"/>
        <v>310</v>
      </c>
      <c r="AH316" s="388" t="str">
        <f t="shared" si="136"/>
        <v>Wareham</v>
      </c>
      <c r="AI316" s="380">
        <f t="shared" si="137"/>
        <v>0.66428958898450285</v>
      </c>
      <c r="AJ316" s="381">
        <f t="shared" si="115"/>
        <v>66.430000000000007</v>
      </c>
      <c r="AK316" s="380">
        <f t="shared" si="138"/>
        <v>5.0200000000000002E-2</v>
      </c>
      <c r="AL316" s="9">
        <f t="shared" si="116"/>
        <v>26091598</v>
      </c>
      <c r="AM316" s="57">
        <f t="shared" si="139"/>
        <v>-6.4226757779814889</v>
      </c>
    </row>
    <row r="317" spans="1:39" ht="12.75" customHeight="1">
      <c r="A317" s="6">
        <v>311</v>
      </c>
      <c r="B317" s="6" t="s">
        <v>992</v>
      </c>
      <c r="C317" s="81">
        <v>487514800</v>
      </c>
      <c r="D317" s="81">
        <f t="shared" si="117"/>
        <v>1904041.7534968709</v>
      </c>
      <c r="E317" s="8">
        <v>117140000</v>
      </c>
      <c r="F317" s="81">
        <f t="shared" si="140"/>
        <v>1676496.026963366</v>
      </c>
      <c r="G317" s="81">
        <f t="shared" si="118"/>
        <v>3580538</v>
      </c>
      <c r="H317" s="127">
        <f t="shared" si="119"/>
        <v>10411325.424014531</v>
      </c>
      <c r="I317" s="347">
        <f t="shared" si="120"/>
        <v>0.34390799001837086</v>
      </c>
      <c r="J317" s="33">
        <f t="shared" si="113"/>
        <v>8589343</v>
      </c>
      <c r="K317" s="33">
        <f t="shared" si="121"/>
        <v>3580538</v>
      </c>
      <c r="L317" s="126">
        <f t="shared" si="122"/>
        <v>34.39</v>
      </c>
      <c r="M317" s="470"/>
      <c r="N317" s="128">
        <v>3203025</v>
      </c>
      <c r="O317" s="449">
        <v>4.2000000000000003E-2</v>
      </c>
      <c r="P317" s="33">
        <f t="shared" si="123"/>
        <v>3337552</v>
      </c>
      <c r="Q317" s="57">
        <f t="shared" si="124"/>
        <v>32.056936692245515</v>
      </c>
      <c r="R317" s="57">
        <f t="shared" si="125"/>
        <v>2.333063307754486</v>
      </c>
      <c r="S317" s="88">
        <f t="shared" si="126"/>
        <v>0</v>
      </c>
      <c r="T317" s="33">
        <f t="shared" si="127"/>
        <v>0</v>
      </c>
      <c r="U317" s="9">
        <f t="shared" si="128"/>
        <v>0</v>
      </c>
      <c r="V317" s="9">
        <f t="shared" si="114"/>
        <v>0</v>
      </c>
      <c r="W317" s="9">
        <f t="shared" si="129"/>
        <v>0</v>
      </c>
      <c r="X317" s="127">
        <f>MIN(H317*parameters!C$22,ROUND(P317+T317-V317+W317,0))</f>
        <v>3337552</v>
      </c>
      <c r="Y317" s="94">
        <f t="shared" si="130"/>
        <v>32.056936692245515</v>
      </c>
      <c r="AA317" s="33">
        <f t="shared" si="131"/>
        <v>-242986</v>
      </c>
      <c r="AB317" s="33">
        <f t="shared" si="132"/>
        <v>-242986</v>
      </c>
      <c r="AC317" s="33">
        <f t="shared" si="133"/>
        <v>0</v>
      </c>
      <c r="AD317" s="57">
        <f t="shared" si="134"/>
        <v>-2.333063307754486</v>
      </c>
      <c r="AG317" s="609" t="str">
        <f t="shared" si="135"/>
        <v>311</v>
      </c>
      <c r="AH317" s="388" t="str">
        <f t="shared" si="136"/>
        <v>Warren</v>
      </c>
      <c r="AI317" s="380">
        <f t="shared" si="137"/>
        <v>0.34390799001837086</v>
      </c>
      <c r="AJ317" s="381">
        <f t="shared" si="115"/>
        <v>34.39</v>
      </c>
      <c r="AK317" s="380">
        <f t="shared" si="138"/>
        <v>4.2000000000000003E-2</v>
      </c>
      <c r="AL317" s="9">
        <f t="shared" si="116"/>
        <v>3337552</v>
      </c>
      <c r="AM317" s="57">
        <f t="shared" si="139"/>
        <v>-2.333063307754486</v>
      </c>
    </row>
    <row r="318" spans="1:39" ht="12.75" customHeight="1">
      <c r="A318" s="6">
        <v>312</v>
      </c>
      <c r="B318" s="6" t="s">
        <v>993</v>
      </c>
      <c r="C318" s="81">
        <v>91765300</v>
      </c>
      <c r="D318" s="81">
        <f t="shared" si="117"/>
        <v>358399.29930776748</v>
      </c>
      <c r="E318" s="8">
        <v>21868000</v>
      </c>
      <c r="F318" s="81">
        <f t="shared" si="140"/>
        <v>312972.64058079978</v>
      </c>
      <c r="G318" s="81">
        <f t="shared" si="118"/>
        <v>671372</v>
      </c>
      <c r="H318" s="127">
        <f t="shared" si="119"/>
        <v>809628.49863673409</v>
      </c>
      <c r="I318" s="347">
        <f t="shared" si="120"/>
        <v>0.82923464419850257</v>
      </c>
      <c r="J318" s="33">
        <f t="shared" si="113"/>
        <v>667944</v>
      </c>
      <c r="K318" s="33">
        <f t="shared" si="121"/>
        <v>667944</v>
      </c>
      <c r="L318" s="126">
        <f t="shared" si="122"/>
        <v>82.5</v>
      </c>
      <c r="M318" s="470"/>
      <c r="N318" s="128">
        <v>552260</v>
      </c>
      <c r="O318" s="449">
        <v>2.8899999999999995E-2</v>
      </c>
      <c r="P318" s="33">
        <f t="shared" si="123"/>
        <v>568220</v>
      </c>
      <c r="Q318" s="57">
        <f t="shared" si="124"/>
        <v>70.182806182931841</v>
      </c>
      <c r="R318" s="57">
        <f t="shared" si="125"/>
        <v>12.317193817068159</v>
      </c>
      <c r="S318" s="88">
        <f t="shared" si="126"/>
        <v>0.02</v>
      </c>
      <c r="T318" s="33">
        <f t="shared" si="127"/>
        <v>11045</v>
      </c>
      <c r="U318" s="9">
        <f t="shared" si="128"/>
        <v>0</v>
      </c>
      <c r="V318" s="9">
        <f t="shared" si="114"/>
        <v>0</v>
      </c>
      <c r="W318" s="9">
        <f t="shared" si="129"/>
        <v>0</v>
      </c>
      <c r="X318" s="127">
        <f>MIN(H318*parameters!C$22,ROUND(P318+T318-V318+W318,0))</f>
        <v>579265</v>
      </c>
      <c r="Y318" s="94">
        <f t="shared" si="130"/>
        <v>71.547012114244495</v>
      </c>
      <c r="AA318" s="33">
        <f t="shared" si="131"/>
        <v>-99724</v>
      </c>
      <c r="AB318" s="33">
        <f t="shared" si="132"/>
        <v>-88679</v>
      </c>
      <c r="AC318" s="33">
        <f t="shared" si="133"/>
        <v>0</v>
      </c>
      <c r="AD318" s="57">
        <f t="shared" si="134"/>
        <v>-10.952987885755505</v>
      </c>
      <c r="AG318" s="609" t="str">
        <f t="shared" si="135"/>
        <v>312</v>
      </c>
      <c r="AH318" s="388" t="str">
        <f t="shared" si="136"/>
        <v>Warwick</v>
      </c>
      <c r="AI318" s="380">
        <f t="shared" si="137"/>
        <v>0.82923464419850257</v>
      </c>
      <c r="AJ318" s="381">
        <f t="shared" si="115"/>
        <v>82.5</v>
      </c>
      <c r="AK318" s="380">
        <f t="shared" si="138"/>
        <v>2.8899999999999995E-2</v>
      </c>
      <c r="AL318" s="9">
        <f t="shared" si="116"/>
        <v>579265</v>
      </c>
      <c r="AM318" s="57">
        <f t="shared" si="139"/>
        <v>-10.952987885755505</v>
      </c>
    </row>
    <row r="319" spans="1:39" ht="12.75" customHeight="1">
      <c r="A319" s="6">
        <v>313</v>
      </c>
      <c r="B319" s="6" t="s">
        <v>994</v>
      </c>
      <c r="C319" s="81">
        <v>96983700</v>
      </c>
      <c r="D319" s="81">
        <f t="shared" si="117"/>
        <v>378780.32463550742</v>
      </c>
      <c r="E319" s="8">
        <v>17292000</v>
      </c>
      <c r="F319" s="81">
        <f t="shared" si="140"/>
        <v>247481.38379930446</v>
      </c>
      <c r="G319" s="81">
        <f t="shared" si="118"/>
        <v>626262</v>
      </c>
      <c r="H319" s="127">
        <f t="shared" si="119"/>
        <v>955969.71807754203</v>
      </c>
      <c r="I319" s="347">
        <f t="shared" si="120"/>
        <v>0.65510652498430055</v>
      </c>
      <c r="J319" s="33">
        <f t="shared" si="113"/>
        <v>788675</v>
      </c>
      <c r="K319" s="33">
        <f t="shared" si="121"/>
        <v>626262</v>
      </c>
      <c r="L319" s="126">
        <f t="shared" si="122"/>
        <v>65.510000000000005</v>
      </c>
      <c r="M319" s="470"/>
      <c r="N319" s="128">
        <v>580272</v>
      </c>
      <c r="O319" s="449">
        <v>4.1099999999999998E-2</v>
      </c>
      <c r="P319" s="33">
        <f t="shared" si="123"/>
        <v>604121</v>
      </c>
      <c r="Q319" s="57">
        <f t="shared" si="124"/>
        <v>63.194574951065306</v>
      </c>
      <c r="R319" s="57">
        <f t="shared" si="125"/>
        <v>2.3154250489346992</v>
      </c>
      <c r="S319" s="88">
        <f t="shared" si="126"/>
        <v>0</v>
      </c>
      <c r="T319" s="33">
        <f t="shared" si="127"/>
        <v>0</v>
      </c>
      <c r="U319" s="9">
        <f t="shared" si="128"/>
        <v>0</v>
      </c>
      <c r="V319" s="9">
        <f t="shared" si="114"/>
        <v>0</v>
      </c>
      <c r="W319" s="9">
        <f t="shared" si="129"/>
        <v>0</v>
      </c>
      <c r="X319" s="127">
        <f>MIN(H319*parameters!C$22,ROUND(P319+T319-V319+W319,0))</f>
        <v>604121</v>
      </c>
      <c r="Y319" s="94">
        <f t="shared" si="130"/>
        <v>63.194574951065306</v>
      </c>
      <c r="AA319" s="33">
        <f t="shared" si="131"/>
        <v>-22141</v>
      </c>
      <c r="AB319" s="33">
        <f t="shared" si="132"/>
        <v>-22141</v>
      </c>
      <c r="AC319" s="33">
        <f t="shared" si="133"/>
        <v>0</v>
      </c>
      <c r="AD319" s="57">
        <f t="shared" si="134"/>
        <v>-2.3154250489346992</v>
      </c>
      <c r="AG319" s="609" t="str">
        <f t="shared" si="135"/>
        <v>313</v>
      </c>
      <c r="AH319" s="388" t="str">
        <f t="shared" si="136"/>
        <v>Washington</v>
      </c>
      <c r="AI319" s="380">
        <f t="shared" si="137"/>
        <v>0.65510652498430055</v>
      </c>
      <c r="AJ319" s="381">
        <f t="shared" si="115"/>
        <v>65.510000000000005</v>
      </c>
      <c r="AK319" s="380">
        <f t="shared" si="138"/>
        <v>4.1099999999999998E-2</v>
      </c>
      <c r="AL319" s="9">
        <f t="shared" si="116"/>
        <v>604121</v>
      </c>
      <c r="AM319" s="57">
        <f t="shared" si="139"/>
        <v>-2.3154250489346992</v>
      </c>
    </row>
    <row r="320" spans="1:39" ht="12.75" customHeight="1">
      <c r="A320" s="6">
        <v>314</v>
      </c>
      <c r="B320" s="6" t="s">
        <v>995</v>
      </c>
      <c r="C320" s="81">
        <v>11132886300</v>
      </c>
      <c r="D320" s="81">
        <f t="shared" si="117"/>
        <v>43480690.949553311</v>
      </c>
      <c r="E320" s="8">
        <v>2188001000</v>
      </c>
      <c r="F320" s="81">
        <f t="shared" si="140"/>
        <v>31314452.650605015</v>
      </c>
      <c r="G320" s="81">
        <f t="shared" si="118"/>
        <v>74795144</v>
      </c>
      <c r="H320" s="127">
        <f t="shared" si="119"/>
        <v>42285807.326579988</v>
      </c>
      <c r="I320" s="347">
        <f t="shared" si="120"/>
        <v>1.7688001892063987</v>
      </c>
      <c r="J320" s="33">
        <f t="shared" si="113"/>
        <v>34885791</v>
      </c>
      <c r="K320" s="33">
        <f t="shared" si="121"/>
        <v>34885791</v>
      </c>
      <c r="L320" s="126">
        <f t="shared" si="122"/>
        <v>82.5</v>
      </c>
      <c r="M320" s="470"/>
      <c r="N320" s="128">
        <v>32047587</v>
      </c>
      <c r="O320" s="449">
        <v>8.8100000000000012E-2</v>
      </c>
      <c r="P320" s="33">
        <f t="shared" si="123"/>
        <v>34870979</v>
      </c>
      <c r="Q320" s="57">
        <f t="shared" si="124"/>
        <v>82.464971593626927</v>
      </c>
      <c r="R320" s="57">
        <f t="shared" si="125"/>
        <v>3.5028406373072585E-2</v>
      </c>
      <c r="S320" s="88">
        <f t="shared" si="126"/>
        <v>0</v>
      </c>
      <c r="T320" s="33">
        <f t="shared" si="127"/>
        <v>0</v>
      </c>
      <c r="U320" s="9">
        <f t="shared" si="128"/>
        <v>0</v>
      </c>
      <c r="V320" s="9">
        <f t="shared" si="114"/>
        <v>0</v>
      </c>
      <c r="W320" s="9">
        <f t="shared" si="129"/>
        <v>14812</v>
      </c>
      <c r="X320" s="127">
        <f>MIN(H320*parameters!C$22,ROUND(P320+T320-V320+W320,0))</f>
        <v>34885791</v>
      </c>
      <c r="Y320" s="94">
        <f t="shared" si="130"/>
        <v>82.499999894932856</v>
      </c>
      <c r="AA320" s="33">
        <f t="shared" si="131"/>
        <v>-14812</v>
      </c>
      <c r="AB320" s="33">
        <f t="shared" si="132"/>
        <v>0</v>
      </c>
      <c r="AC320" s="33">
        <f t="shared" si="133"/>
        <v>0</v>
      </c>
      <c r="AD320" s="57">
        <f t="shared" si="134"/>
        <v>-1.0506714431812725E-7</v>
      </c>
      <c r="AG320" s="609" t="str">
        <f t="shared" si="135"/>
        <v>314</v>
      </c>
      <c r="AH320" s="388" t="str">
        <f t="shared" si="136"/>
        <v>Watertown</v>
      </c>
      <c r="AI320" s="380">
        <f t="shared" si="137"/>
        <v>1.7688001892063987</v>
      </c>
      <c r="AJ320" s="381">
        <f t="shared" si="115"/>
        <v>82.5</v>
      </c>
      <c r="AK320" s="380">
        <f t="shared" si="138"/>
        <v>8.8100000000000012E-2</v>
      </c>
      <c r="AL320" s="9">
        <f t="shared" si="116"/>
        <v>34885791</v>
      </c>
      <c r="AM320" s="57">
        <f t="shared" si="139"/>
        <v>-1.0506714431812725E-7</v>
      </c>
    </row>
    <row r="321" spans="1:39" ht="12.75" customHeight="1">
      <c r="A321" s="6">
        <v>315</v>
      </c>
      <c r="B321" s="6" t="s">
        <v>996</v>
      </c>
      <c r="C321" s="81">
        <v>4401061600</v>
      </c>
      <c r="D321" s="81">
        <f t="shared" si="117"/>
        <v>17188821.849329997</v>
      </c>
      <c r="E321" s="8">
        <v>3111517000</v>
      </c>
      <c r="F321" s="81">
        <f t="shared" si="140"/>
        <v>44531721.771631993</v>
      </c>
      <c r="G321" s="81">
        <f t="shared" si="118"/>
        <v>61720544</v>
      </c>
      <c r="H321" s="127">
        <f t="shared" si="119"/>
        <v>33905314.106570005</v>
      </c>
      <c r="I321" s="347">
        <f t="shared" si="120"/>
        <v>1.8203796551184317</v>
      </c>
      <c r="J321" s="33">
        <f t="shared" si="113"/>
        <v>27971884</v>
      </c>
      <c r="K321" s="33">
        <f t="shared" si="121"/>
        <v>27971884</v>
      </c>
      <c r="L321" s="126">
        <f t="shared" si="122"/>
        <v>82.5</v>
      </c>
      <c r="M321" s="470"/>
      <c r="N321" s="128">
        <v>25852462</v>
      </c>
      <c r="O321" s="449">
        <v>0.04</v>
      </c>
      <c r="P321" s="33">
        <f t="shared" si="123"/>
        <v>26886560</v>
      </c>
      <c r="Q321" s="57">
        <f t="shared" si="124"/>
        <v>79.298955660729462</v>
      </c>
      <c r="R321" s="57">
        <f t="shared" si="125"/>
        <v>3.2010443392705383</v>
      </c>
      <c r="S321" s="88">
        <f t="shared" si="126"/>
        <v>0.01</v>
      </c>
      <c r="T321" s="33">
        <f t="shared" si="127"/>
        <v>258525</v>
      </c>
      <c r="U321" s="9">
        <f t="shared" si="128"/>
        <v>0</v>
      </c>
      <c r="V321" s="9">
        <f t="shared" si="114"/>
        <v>0</v>
      </c>
      <c r="W321" s="9">
        <f t="shared" si="129"/>
        <v>826799</v>
      </c>
      <c r="X321" s="127">
        <f>MIN(H321*parameters!C$22,ROUND(P321+T321-V321+W321,0))</f>
        <v>27971884</v>
      </c>
      <c r="Y321" s="94">
        <f t="shared" si="130"/>
        <v>82.499999593219357</v>
      </c>
      <c r="AA321" s="33">
        <f t="shared" si="131"/>
        <v>-1085324</v>
      </c>
      <c r="AB321" s="33">
        <f t="shared" si="132"/>
        <v>0</v>
      </c>
      <c r="AC321" s="33">
        <f t="shared" si="133"/>
        <v>0</v>
      </c>
      <c r="AD321" s="57">
        <f t="shared" si="134"/>
        <v>-4.0678064294752403E-7</v>
      </c>
      <c r="AG321" s="609" t="str">
        <f t="shared" si="135"/>
        <v>315</v>
      </c>
      <c r="AH321" s="388" t="str">
        <f t="shared" si="136"/>
        <v>Wayland</v>
      </c>
      <c r="AI321" s="380">
        <f t="shared" si="137"/>
        <v>1.8203796551184317</v>
      </c>
      <c r="AJ321" s="381">
        <f t="shared" si="115"/>
        <v>82.5</v>
      </c>
      <c r="AK321" s="380">
        <f t="shared" si="138"/>
        <v>0.04</v>
      </c>
      <c r="AL321" s="9">
        <f t="shared" si="116"/>
        <v>27971884</v>
      </c>
      <c r="AM321" s="57">
        <f t="shared" si="139"/>
        <v>-4.0678064294752403E-7</v>
      </c>
    </row>
    <row r="322" spans="1:39" ht="12.75" customHeight="1">
      <c r="A322" s="6">
        <v>316</v>
      </c>
      <c r="B322" s="6" t="s">
        <v>997</v>
      </c>
      <c r="C322" s="81">
        <v>2051784300</v>
      </c>
      <c r="D322" s="81">
        <f t="shared" si="117"/>
        <v>8013465.3888853211</v>
      </c>
      <c r="E322" s="8">
        <v>626322000</v>
      </c>
      <c r="F322" s="81">
        <f t="shared" si="140"/>
        <v>8963858.1577578057</v>
      </c>
      <c r="G322" s="81">
        <f t="shared" si="118"/>
        <v>16977324</v>
      </c>
      <c r="H322" s="127">
        <f t="shared" si="119"/>
        <v>36817566.057751909</v>
      </c>
      <c r="I322" s="347">
        <f t="shared" si="120"/>
        <v>0.46112021564297401</v>
      </c>
      <c r="J322" s="33">
        <f t="shared" si="113"/>
        <v>30374492</v>
      </c>
      <c r="K322" s="33">
        <f t="shared" si="121"/>
        <v>16977324</v>
      </c>
      <c r="L322" s="126">
        <f t="shared" si="122"/>
        <v>46.11</v>
      </c>
      <c r="M322" s="470"/>
      <c r="N322" s="128">
        <v>14005833</v>
      </c>
      <c r="O322" s="449">
        <v>5.050000000000001E-2</v>
      </c>
      <c r="P322" s="33">
        <f t="shared" si="123"/>
        <v>14713128</v>
      </c>
      <c r="Q322" s="57">
        <f t="shared" si="124"/>
        <v>39.962250565181407</v>
      </c>
      <c r="R322" s="57">
        <f t="shared" si="125"/>
        <v>6.1477494348185928</v>
      </c>
      <c r="S322" s="88">
        <f t="shared" si="126"/>
        <v>0.01</v>
      </c>
      <c r="T322" s="33">
        <f t="shared" si="127"/>
        <v>140058</v>
      </c>
      <c r="U322" s="9">
        <f t="shared" si="128"/>
        <v>0</v>
      </c>
      <c r="V322" s="9">
        <f t="shared" si="114"/>
        <v>0</v>
      </c>
      <c r="W322" s="9">
        <f t="shared" si="129"/>
        <v>0</v>
      </c>
      <c r="X322" s="127">
        <f>MIN(H322*parameters!C$22,ROUND(P322+T322-V322+W322,0))</f>
        <v>14853186</v>
      </c>
      <c r="Y322" s="94">
        <f t="shared" si="130"/>
        <v>40.342661371752122</v>
      </c>
      <c r="AA322" s="33">
        <f t="shared" si="131"/>
        <v>-2264196</v>
      </c>
      <c r="AB322" s="33">
        <f t="shared" si="132"/>
        <v>-2124138</v>
      </c>
      <c r="AC322" s="33">
        <f t="shared" si="133"/>
        <v>0</v>
      </c>
      <c r="AD322" s="57">
        <f t="shared" si="134"/>
        <v>-5.7673386282478774</v>
      </c>
      <c r="AG322" s="609" t="str">
        <f t="shared" si="135"/>
        <v>316</v>
      </c>
      <c r="AH322" s="388" t="str">
        <f t="shared" si="136"/>
        <v>Webster</v>
      </c>
      <c r="AI322" s="380">
        <f t="shared" si="137"/>
        <v>0.46112021564297401</v>
      </c>
      <c r="AJ322" s="381">
        <f t="shared" si="115"/>
        <v>46.11</v>
      </c>
      <c r="AK322" s="380">
        <f t="shared" si="138"/>
        <v>5.050000000000001E-2</v>
      </c>
      <c r="AL322" s="9">
        <f t="shared" si="116"/>
        <v>14853186</v>
      </c>
      <c r="AM322" s="57">
        <f t="shared" si="139"/>
        <v>-5.7673386282478774</v>
      </c>
    </row>
    <row r="323" spans="1:39" ht="12.75" customHeight="1">
      <c r="A323" s="6">
        <v>317</v>
      </c>
      <c r="B323" s="6" t="s">
        <v>998</v>
      </c>
      <c r="C323" s="81">
        <v>14471634900</v>
      </c>
      <c r="D323" s="81">
        <f t="shared" si="117"/>
        <v>56520534.537541248</v>
      </c>
      <c r="E323" s="8">
        <v>10216671000</v>
      </c>
      <c r="F323" s="81">
        <f t="shared" si="140"/>
        <v>146219979.00197914</v>
      </c>
      <c r="G323" s="81">
        <f t="shared" si="118"/>
        <v>202740514</v>
      </c>
      <c r="H323" s="127">
        <f t="shared" si="119"/>
        <v>53589100.563027062</v>
      </c>
      <c r="I323" s="347">
        <f t="shared" si="120"/>
        <v>3.7832415896130485</v>
      </c>
      <c r="J323" s="33">
        <f t="shared" si="113"/>
        <v>44211008</v>
      </c>
      <c r="K323" s="33">
        <f t="shared" si="121"/>
        <v>44211008</v>
      </c>
      <c r="L323" s="126">
        <f t="shared" si="122"/>
        <v>82.5</v>
      </c>
      <c r="M323" s="470"/>
      <c r="N323" s="128">
        <v>43441467</v>
      </c>
      <c r="O323" s="449">
        <v>4.4199999999999996E-2</v>
      </c>
      <c r="P323" s="33">
        <f t="shared" si="123"/>
        <v>45361580</v>
      </c>
      <c r="Q323" s="57">
        <f t="shared" si="124"/>
        <v>84.647026211327187</v>
      </c>
      <c r="R323" s="57">
        <f t="shared" si="125"/>
        <v>0</v>
      </c>
      <c r="S323" s="88">
        <f t="shared" si="126"/>
        <v>0</v>
      </c>
      <c r="T323" s="33">
        <f t="shared" si="127"/>
        <v>0</v>
      </c>
      <c r="U323" s="9">
        <f t="shared" si="128"/>
        <v>1150572</v>
      </c>
      <c r="V323" s="9">
        <f t="shared" si="114"/>
        <v>1150572</v>
      </c>
      <c r="W323" s="9">
        <f t="shared" si="129"/>
        <v>0</v>
      </c>
      <c r="X323" s="127">
        <f>MIN(H323*parameters!C$22,ROUND(P323+T323-V323+W323,0))</f>
        <v>44211008</v>
      </c>
      <c r="Y323" s="94">
        <f t="shared" si="130"/>
        <v>82.500000066249811</v>
      </c>
      <c r="AA323" s="33">
        <f t="shared" si="131"/>
        <v>0</v>
      </c>
      <c r="AB323" s="33">
        <f t="shared" si="132"/>
        <v>0</v>
      </c>
      <c r="AC323" s="33">
        <f t="shared" si="133"/>
        <v>0</v>
      </c>
      <c r="AD323" s="57">
        <f t="shared" si="134"/>
        <v>6.6249810970475664E-8</v>
      </c>
      <c r="AG323" s="609" t="str">
        <f t="shared" si="135"/>
        <v>317</v>
      </c>
      <c r="AH323" s="388" t="str">
        <f t="shared" si="136"/>
        <v>Wellesley</v>
      </c>
      <c r="AI323" s="380">
        <f t="shared" si="137"/>
        <v>3.7832415896130485</v>
      </c>
      <c r="AJ323" s="381">
        <f t="shared" si="115"/>
        <v>82.5</v>
      </c>
      <c r="AK323" s="380">
        <f t="shared" si="138"/>
        <v>4.4199999999999996E-2</v>
      </c>
      <c r="AL323" s="9">
        <f t="shared" si="116"/>
        <v>44211008</v>
      </c>
      <c r="AM323" s="57">
        <f t="shared" si="139"/>
        <v>6.6249810970475664E-8</v>
      </c>
    </row>
    <row r="324" spans="1:39" ht="12.75" customHeight="1">
      <c r="A324" s="6">
        <v>318</v>
      </c>
      <c r="B324" s="6" t="s">
        <v>999</v>
      </c>
      <c r="C324" s="81">
        <v>2962150700</v>
      </c>
      <c r="D324" s="81">
        <f t="shared" si="117"/>
        <v>11568999.777955426</v>
      </c>
      <c r="E324" s="8">
        <v>200215000</v>
      </c>
      <c r="F324" s="81">
        <f t="shared" si="140"/>
        <v>2865457.162698227</v>
      </c>
      <c r="G324" s="81">
        <f t="shared" si="118"/>
        <v>14434457</v>
      </c>
      <c r="H324" s="127">
        <f t="shared" si="119"/>
        <v>3616269.6009283108</v>
      </c>
      <c r="I324" s="347">
        <f t="shared" si="120"/>
        <v>3.9915323227821888</v>
      </c>
      <c r="J324" s="33">
        <f t="shared" si="113"/>
        <v>2983422</v>
      </c>
      <c r="K324" s="33">
        <f t="shared" si="121"/>
        <v>2983422</v>
      </c>
      <c r="L324" s="126">
        <f t="shared" si="122"/>
        <v>82.5</v>
      </c>
      <c r="M324" s="470"/>
      <c r="N324" s="128">
        <v>3231345</v>
      </c>
      <c r="O324" s="449">
        <v>3.2000000000000001E-2</v>
      </c>
      <c r="P324" s="33">
        <f t="shared" si="123"/>
        <v>3334748</v>
      </c>
      <c r="Q324" s="57">
        <f t="shared" si="124"/>
        <v>92.215137918477012</v>
      </c>
      <c r="R324" s="57">
        <f t="shared" si="125"/>
        <v>0</v>
      </c>
      <c r="S324" s="88">
        <f t="shared" si="126"/>
        <v>0</v>
      </c>
      <c r="T324" s="33">
        <f t="shared" si="127"/>
        <v>0</v>
      </c>
      <c r="U324" s="9">
        <f t="shared" si="128"/>
        <v>351326</v>
      </c>
      <c r="V324" s="9">
        <f t="shared" si="114"/>
        <v>351326</v>
      </c>
      <c r="W324" s="9">
        <f t="shared" si="129"/>
        <v>0</v>
      </c>
      <c r="X324" s="127">
        <f>MIN(H324*parameters!C$22,ROUND(P324+T324-V324+W324,0))</f>
        <v>2983422</v>
      </c>
      <c r="Y324" s="94">
        <f t="shared" si="130"/>
        <v>82.499988364643599</v>
      </c>
      <c r="AA324" s="33">
        <f t="shared" si="131"/>
        <v>0</v>
      </c>
      <c r="AB324" s="33">
        <f t="shared" si="132"/>
        <v>0</v>
      </c>
      <c r="AC324" s="33">
        <f t="shared" si="133"/>
        <v>0</v>
      </c>
      <c r="AD324" s="57">
        <f t="shared" si="134"/>
        <v>-1.163535640102964E-5</v>
      </c>
      <c r="AG324" s="609" t="str">
        <f t="shared" si="135"/>
        <v>318</v>
      </c>
      <c r="AH324" s="388" t="str">
        <f t="shared" si="136"/>
        <v>Wellfleet</v>
      </c>
      <c r="AI324" s="380">
        <f t="shared" si="137"/>
        <v>3.9915323227821888</v>
      </c>
      <c r="AJ324" s="381">
        <f t="shared" si="115"/>
        <v>82.5</v>
      </c>
      <c r="AK324" s="380">
        <f t="shared" si="138"/>
        <v>3.2000000000000001E-2</v>
      </c>
      <c r="AL324" s="9">
        <f t="shared" si="116"/>
        <v>2983422</v>
      </c>
      <c r="AM324" s="57">
        <f t="shared" si="139"/>
        <v>-1.163535640102964E-5</v>
      </c>
    </row>
    <row r="325" spans="1:39" ht="12.75" customHeight="1">
      <c r="A325" s="6">
        <v>319</v>
      </c>
      <c r="B325" s="6" t="s">
        <v>1000</v>
      </c>
      <c r="C325" s="81">
        <v>119774300</v>
      </c>
      <c r="D325" s="81">
        <f t="shared" si="117"/>
        <v>467791.4766810367</v>
      </c>
      <c r="E325" s="8">
        <v>21091000</v>
      </c>
      <c r="F325" s="81">
        <f t="shared" si="140"/>
        <v>301852.29387642437</v>
      </c>
      <c r="G325" s="81">
        <f t="shared" si="118"/>
        <v>769644</v>
      </c>
      <c r="H325" s="127">
        <f t="shared" si="119"/>
        <v>1814602.276440843</v>
      </c>
      <c r="I325" s="347">
        <f t="shared" si="120"/>
        <v>0.42413922322944403</v>
      </c>
      <c r="J325" s="33">
        <f t="shared" si="113"/>
        <v>1497047</v>
      </c>
      <c r="K325" s="33">
        <f t="shared" si="121"/>
        <v>769644</v>
      </c>
      <c r="L325" s="126">
        <f t="shared" si="122"/>
        <v>42.41</v>
      </c>
      <c r="M325" s="470"/>
      <c r="N325" s="128">
        <v>642997</v>
      </c>
      <c r="O325" s="449">
        <v>5.0599999999999999E-2</v>
      </c>
      <c r="P325" s="33">
        <f t="shared" si="123"/>
        <v>675533</v>
      </c>
      <c r="Q325" s="57">
        <f t="shared" si="124"/>
        <v>37.227606774801856</v>
      </c>
      <c r="R325" s="57">
        <f t="shared" si="125"/>
        <v>5.1823932251981404</v>
      </c>
      <c r="S325" s="88">
        <f t="shared" si="126"/>
        <v>0.01</v>
      </c>
      <c r="T325" s="33">
        <f t="shared" si="127"/>
        <v>6430</v>
      </c>
      <c r="U325" s="9">
        <f t="shared" si="128"/>
        <v>0</v>
      </c>
      <c r="V325" s="9">
        <f t="shared" si="114"/>
        <v>0</v>
      </c>
      <c r="W325" s="9">
        <f t="shared" si="129"/>
        <v>0</v>
      </c>
      <c r="X325" s="127">
        <f>MIN(H325*parameters!C$22,ROUND(P325+T325-V325+W325,0))</f>
        <v>681963</v>
      </c>
      <c r="Y325" s="94">
        <f t="shared" si="130"/>
        <v>37.581954395957268</v>
      </c>
      <c r="AA325" s="33">
        <f t="shared" si="131"/>
        <v>-94111</v>
      </c>
      <c r="AB325" s="33">
        <f t="shared" si="132"/>
        <v>-87681</v>
      </c>
      <c r="AC325" s="33">
        <f t="shared" si="133"/>
        <v>0</v>
      </c>
      <c r="AD325" s="57">
        <f t="shared" si="134"/>
        <v>-4.8280456040427282</v>
      </c>
      <c r="AG325" s="609" t="str">
        <f t="shared" si="135"/>
        <v>319</v>
      </c>
      <c r="AH325" s="388" t="str">
        <f t="shared" si="136"/>
        <v>Wendell</v>
      </c>
      <c r="AI325" s="380">
        <f t="shared" si="137"/>
        <v>0.42413922322944403</v>
      </c>
      <c r="AJ325" s="381">
        <f t="shared" si="115"/>
        <v>42.41</v>
      </c>
      <c r="AK325" s="380">
        <f t="shared" si="138"/>
        <v>5.0599999999999999E-2</v>
      </c>
      <c r="AL325" s="9">
        <f t="shared" si="116"/>
        <v>681963</v>
      </c>
      <c r="AM325" s="57">
        <f t="shared" si="139"/>
        <v>-4.8280456040427282</v>
      </c>
    </row>
    <row r="326" spans="1:39" ht="12.75" customHeight="1">
      <c r="A326" s="6">
        <v>320</v>
      </c>
      <c r="B326" s="6" t="s">
        <v>1001</v>
      </c>
      <c r="C326" s="81">
        <v>1010590200</v>
      </c>
      <c r="D326" s="81">
        <f t="shared" si="117"/>
        <v>3946969.2745220317</v>
      </c>
      <c r="E326" s="8">
        <v>535268000</v>
      </c>
      <c r="F326" s="81">
        <f t="shared" si="140"/>
        <v>7660702.3677704195</v>
      </c>
      <c r="G326" s="81">
        <f t="shared" si="118"/>
        <v>11607672</v>
      </c>
      <c r="H326" s="127">
        <f t="shared" si="119"/>
        <v>7347629.4359431425</v>
      </c>
      <c r="I326" s="347">
        <f t="shared" si="120"/>
        <v>1.5797846232170578</v>
      </c>
      <c r="J326" s="33">
        <f t="shared" si="113"/>
        <v>6061794</v>
      </c>
      <c r="K326" s="33">
        <f t="shared" si="121"/>
        <v>6061794</v>
      </c>
      <c r="L326" s="126">
        <f t="shared" si="122"/>
        <v>82.5</v>
      </c>
      <c r="M326" s="470"/>
      <c r="N326" s="128">
        <v>5504369</v>
      </c>
      <c r="O326" s="449">
        <v>5.1799999999999999E-2</v>
      </c>
      <c r="P326" s="33">
        <f t="shared" si="123"/>
        <v>5789495</v>
      </c>
      <c r="Q326" s="57">
        <f t="shared" si="124"/>
        <v>78.794052564476658</v>
      </c>
      <c r="R326" s="57">
        <f t="shared" si="125"/>
        <v>3.7059474355233419</v>
      </c>
      <c r="S326" s="88">
        <f t="shared" si="126"/>
        <v>0.01</v>
      </c>
      <c r="T326" s="33">
        <f t="shared" si="127"/>
        <v>55044</v>
      </c>
      <c r="U326" s="9">
        <f t="shared" si="128"/>
        <v>0</v>
      </c>
      <c r="V326" s="9">
        <f t="shared" si="114"/>
        <v>0</v>
      </c>
      <c r="W326" s="9">
        <f t="shared" si="129"/>
        <v>0</v>
      </c>
      <c r="X326" s="127">
        <f>MIN(H326*parameters!C$22,ROUND(P326+T326-V326+W326,0))</f>
        <v>5844539</v>
      </c>
      <c r="Y326" s="94">
        <f t="shared" si="130"/>
        <v>79.543192140442969</v>
      </c>
      <c r="AA326" s="33">
        <f t="shared" si="131"/>
        <v>-272299</v>
      </c>
      <c r="AB326" s="33">
        <f t="shared" si="132"/>
        <v>-217255</v>
      </c>
      <c r="AC326" s="33">
        <f t="shared" si="133"/>
        <v>0</v>
      </c>
      <c r="AD326" s="57">
        <f t="shared" si="134"/>
        <v>-2.9568078595570313</v>
      </c>
      <c r="AG326" s="609" t="str">
        <f t="shared" si="135"/>
        <v>320</v>
      </c>
      <c r="AH326" s="388" t="str">
        <f t="shared" si="136"/>
        <v>Wenham</v>
      </c>
      <c r="AI326" s="380">
        <f t="shared" si="137"/>
        <v>1.5797846232170578</v>
      </c>
      <c r="AJ326" s="381">
        <f t="shared" si="115"/>
        <v>82.5</v>
      </c>
      <c r="AK326" s="380">
        <f t="shared" si="138"/>
        <v>5.1799999999999999E-2</v>
      </c>
      <c r="AL326" s="9">
        <f t="shared" si="116"/>
        <v>5844539</v>
      </c>
      <c r="AM326" s="57">
        <f t="shared" si="139"/>
        <v>-2.9568078595570313</v>
      </c>
    </row>
    <row r="327" spans="1:39" ht="12.75" customHeight="1">
      <c r="A327" s="6">
        <v>321</v>
      </c>
      <c r="B327" s="6" t="s">
        <v>1002</v>
      </c>
      <c r="C327" s="81">
        <v>5021857900</v>
      </c>
      <c r="D327" s="81">
        <f t="shared" si="117"/>
        <v>19613408.909284629</v>
      </c>
      <c r="E327" s="8">
        <v>1735793000</v>
      </c>
      <c r="F327" s="81">
        <f t="shared" si="140"/>
        <v>24842496.740061652</v>
      </c>
      <c r="G327" s="81">
        <f t="shared" si="118"/>
        <v>44455906</v>
      </c>
      <c r="H327" s="127">
        <f t="shared" si="119"/>
        <v>51344123.350593925</v>
      </c>
      <c r="I327" s="347">
        <f t="shared" si="120"/>
        <v>0.86584214704458007</v>
      </c>
      <c r="J327" s="33">
        <f t="shared" ref="J327:J357" si="141">ROUND(H327*maxloc,0)</f>
        <v>42358902</v>
      </c>
      <c r="K327" s="33">
        <f t="shared" si="121"/>
        <v>42358902</v>
      </c>
      <c r="L327" s="126">
        <f t="shared" si="122"/>
        <v>82.5</v>
      </c>
      <c r="M327" s="470"/>
      <c r="N327" s="128">
        <v>36751505</v>
      </c>
      <c r="O327" s="449">
        <v>5.8500000000000003E-2</v>
      </c>
      <c r="P327" s="33">
        <f t="shared" si="123"/>
        <v>38901468</v>
      </c>
      <c r="Q327" s="57">
        <f t="shared" si="124"/>
        <v>75.766154841847168</v>
      </c>
      <c r="R327" s="57">
        <f t="shared" si="125"/>
        <v>6.7338451581528318</v>
      </c>
      <c r="S327" s="88">
        <f t="shared" si="126"/>
        <v>0.01</v>
      </c>
      <c r="T327" s="33">
        <f t="shared" si="127"/>
        <v>367515</v>
      </c>
      <c r="U327" s="9">
        <f t="shared" si="128"/>
        <v>0</v>
      </c>
      <c r="V327" s="9">
        <f t="shared" ref="V327:V357" si="142">MAX(U327*(V$5),0)</f>
        <v>0</v>
      </c>
      <c r="W327" s="9">
        <f t="shared" si="129"/>
        <v>0</v>
      </c>
      <c r="X327" s="127">
        <f>MIN(H327*parameters!C$22,ROUND(P327+T327-V327+W327,0))</f>
        <v>39268983</v>
      </c>
      <c r="Y327" s="94">
        <f t="shared" si="130"/>
        <v>76.481942698405732</v>
      </c>
      <c r="AA327" s="33">
        <f t="shared" si="131"/>
        <v>-3457434</v>
      </c>
      <c r="AB327" s="33">
        <f t="shared" si="132"/>
        <v>-3089919</v>
      </c>
      <c r="AC327" s="33">
        <f t="shared" si="133"/>
        <v>0</v>
      </c>
      <c r="AD327" s="57">
        <f t="shared" si="134"/>
        <v>-6.0180573015942684</v>
      </c>
      <c r="AG327" s="609" t="str">
        <f t="shared" si="135"/>
        <v>321</v>
      </c>
      <c r="AH327" s="388" t="str">
        <f t="shared" si="136"/>
        <v>Westborough</v>
      </c>
      <c r="AI327" s="380">
        <f t="shared" si="137"/>
        <v>0.86584214704458007</v>
      </c>
      <c r="AJ327" s="381">
        <f t="shared" si="115"/>
        <v>82.5</v>
      </c>
      <c r="AK327" s="380">
        <f t="shared" si="138"/>
        <v>5.8500000000000003E-2</v>
      </c>
      <c r="AL327" s="9">
        <f t="shared" si="116"/>
        <v>39268983</v>
      </c>
      <c r="AM327" s="57">
        <f t="shared" si="139"/>
        <v>-6.0180573015942684</v>
      </c>
    </row>
    <row r="328" spans="1:39" ht="12.75" customHeight="1">
      <c r="A328" s="6">
        <v>322</v>
      </c>
      <c r="B328" s="6" t="s">
        <v>1003</v>
      </c>
      <c r="C328" s="81">
        <v>1203529000</v>
      </c>
      <c r="D328" s="81">
        <f t="shared" ref="D328:D357" si="143">D$5*C328</f>
        <v>4700512.6152977003</v>
      </c>
      <c r="E328" s="8">
        <v>352562000</v>
      </c>
      <c r="F328" s="81">
        <f t="shared" si="140"/>
        <v>5045832.2712844303</v>
      </c>
      <c r="G328" s="81">
        <f t="shared" ref="G328:G357" si="144">ROUND(D328+F328,0)</f>
        <v>9746345</v>
      </c>
      <c r="H328" s="127">
        <f t="shared" ref="H328:H357" si="145">(SUMIF(town1755,A328,found1755)/2)</f>
        <v>11804797.720000001</v>
      </c>
      <c r="I328" s="347">
        <f t="shared" ref="I328:I358" si="146">IF(H328=0,0,G328/H328)</f>
        <v>0.82562575244194858</v>
      </c>
      <c r="J328" s="33">
        <f t="shared" si="141"/>
        <v>9738958</v>
      </c>
      <c r="K328" s="33">
        <f t="shared" ref="K328:K357" si="147">MIN(G328,J328)</f>
        <v>9738958</v>
      </c>
      <c r="L328" s="126">
        <f t="shared" ref="L328:L357" si="148">IF(H328&gt;0, ROUND((K328*100/H328), 2), 0)</f>
        <v>82.5</v>
      </c>
      <c r="M328" s="470"/>
      <c r="N328" s="128">
        <v>8476196</v>
      </c>
      <c r="O328" s="449">
        <v>3.8399999999999997E-2</v>
      </c>
      <c r="P328" s="33">
        <f t="shared" ref="P328:P357" si="149">ROUND(N328*(1+O328),0)</f>
        <v>8801682</v>
      </c>
      <c r="Q328" s="57">
        <f t="shared" ref="Q328:Q358" si="150">IF(H328=0,0,P328*100/H328)</f>
        <v>74.560210253225748</v>
      </c>
      <c r="R328" s="57">
        <f t="shared" ref="R328:R357" si="151">IF(L328&gt;Q328,L328-Q328,0)</f>
        <v>7.9397897467742524</v>
      </c>
      <c r="S328" s="88">
        <f t="shared" ref="S328:S357" si="152">IF(AND(R328&gt;$T$4,R328&lt;=$T$5),$S$4,IF(R328&gt;$T$5,$S$5,0))</f>
        <v>0.02</v>
      </c>
      <c r="T328" s="33">
        <f t="shared" ref="T328:T357" si="153">ROUND(S328*N328,0)</f>
        <v>169524</v>
      </c>
      <c r="U328" s="9">
        <f t="shared" ref="U328:U357" si="154">MAX(P328-K328,0)</f>
        <v>0</v>
      </c>
      <c r="V328" s="9">
        <f t="shared" si="142"/>
        <v>0</v>
      </c>
      <c r="W328" s="9">
        <f t="shared" ref="W328:W357" si="155">IF(AND(I328&gt;1.75,$W$5=1),MAX(K328-(P328+T328),0),0)</f>
        <v>0</v>
      </c>
      <c r="X328" s="127">
        <f>MIN(H328*parameters!C$22,ROUND(P328+T328-V328+W328,0))</f>
        <v>8971206</v>
      </c>
      <c r="Y328" s="94">
        <f t="shared" ref="Y328:Y358" si="156">IF(H328=0,0,X328*100/H328)</f>
        <v>75.996270438423068</v>
      </c>
      <c r="AA328" s="33">
        <f t="shared" ref="AA328:AA357" si="157">IF(Q328&lt;L328, P328-K328, 0)</f>
        <v>-937276</v>
      </c>
      <c r="AB328" s="33">
        <f t="shared" ref="AB328:AB357" si="158">-1*MAX(K328-(P328+T328+W328),0)</f>
        <v>-767752</v>
      </c>
      <c r="AC328" s="33">
        <f t="shared" ref="AC328:AC357" si="159">IF(Q328&gt;L328, X328-K328,0)</f>
        <v>0</v>
      </c>
      <c r="AD328" s="57">
        <f t="shared" ref="AD328:AD357" si="160">Y328-L328</f>
        <v>-6.5037295615769324</v>
      </c>
      <c r="AG328" s="609" t="str">
        <f t="shared" ref="AG328:AG357" si="161">TEXT(A328,"000")</f>
        <v>322</v>
      </c>
      <c r="AH328" s="388" t="str">
        <f t="shared" ref="AH328:AH357" si="162">B328</f>
        <v>West Boylston</v>
      </c>
      <c r="AI328" s="380">
        <f t="shared" ref="AI328:AI357" si="163">I328</f>
        <v>0.82562575244194858</v>
      </c>
      <c r="AJ328" s="381">
        <f t="shared" ref="AJ328:AJ357" si="164">L328</f>
        <v>82.5</v>
      </c>
      <c r="AK328" s="380">
        <f t="shared" ref="AK328:AK358" si="165">O328</f>
        <v>3.8399999999999997E-2</v>
      </c>
      <c r="AL328" s="9">
        <f t="shared" ref="AL328:AL357" si="166">X328</f>
        <v>8971206</v>
      </c>
      <c r="AM328" s="57">
        <f t="shared" ref="AM328:AM357" si="167">AD328</f>
        <v>-6.5037295615769324</v>
      </c>
    </row>
    <row r="329" spans="1:39" ht="12.75" customHeight="1">
      <c r="A329" s="6">
        <v>323</v>
      </c>
      <c r="B329" s="6" t="s">
        <v>1004</v>
      </c>
      <c r="C329" s="81">
        <v>1451294400</v>
      </c>
      <c r="D329" s="81">
        <f t="shared" si="143"/>
        <v>5668187.1693252986</v>
      </c>
      <c r="E329" s="8">
        <v>341590000</v>
      </c>
      <c r="F329" s="81">
        <f t="shared" ref="F329:F357" si="168">E329*F$5</f>
        <v>4888802.0987742543</v>
      </c>
      <c r="G329" s="81">
        <f t="shared" si="144"/>
        <v>10556989</v>
      </c>
      <c r="H329" s="127">
        <f t="shared" si="145"/>
        <v>17634184.150158003</v>
      </c>
      <c r="I329" s="347">
        <f t="shared" si="146"/>
        <v>0.59866614242572769</v>
      </c>
      <c r="J329" s="33">
        <f t="shared" si="141"/>
        <v>14548202</v>
      </c>
      <c r="K329" s="33">
        <f t="shared" si="147"/>
        <v>10556989</v>
      </c>
      <c r="L329" s="126">
        <f t="shared" si="148"/>
        <v>59.87</v>
      </c>
      <c r="M329" s="470"/>
      <c r="N329" s="128">
        <v>9526336</v>
      </c>
      <c r="O329" s="449">
        <v>3.8800000000000001E-2</v>
      </c>
      <c r="P329" s="33">
        <f t="shared" si="149"/>
        <v>9895958</v>
      </c>
      <c r="Q329" s="57">
        <f t="shared" si="150"/>
        <v>56.11803707919956</v>
      </c>
      <c r="R329" s="57">
        <f t="shared" si="151"/>
        <v>3.7519629208004375</v>
      </c>
      <c r="S329" s="88">
        <f t="shared" si="152"/>
        <v>0.01</v>
      </c>
      <c r="T329" s="33">
        <f t="shared" si="153"/>
        <v>95263</v>
      </c>
      <c r="U329" s="9">
        <f t="shared" si="154"/>
        <v>0</v>
      </c>
      <c r="V329" s="9">
        <f t="shared" si="142"/>
        <v>0</v>
      </c>
      <c r="W329" s="9">
        <f t="shared" si="155"/>
        <v>0</v>
      </c>
      <c r="X329" s="127">
        <f>MIN(H329*parameters!C$22,ROUND(P329+T329-V329+W329,0))</f>
        <v>9991221</v>
      </c>
      <c r="Y329" s="94">
        <f t="shared" si="156"/>
        <v>56.658254869763724</v>
      </c>
      <c r="AA329" s="33">
        <f t="shared" si="157"/>
        <v>-661031</v>
      </c>
      <c r="AB329" s="33">
        <f t="shared" si="158"/>
        <v>-565768</v>
      </c>
      <c r="AC329" s="33">
        <f t="shared" si="159"/>
        <v>0</v>
      </c>
      <c r="AD329" s="57">
        <f t="shared" si="160"/>
        <v>-3.2117451302362738</v>
      </c>
      <c r="AG329" s="609" t="str">
        <f t="shared" si="161"/>
        <v>323</v>
      </c>
      <c r="AH329" s="388" t="str">
        <f t="shared" si="162"/>
        <v>West Bridgewater</v>
      </c>
      <c r="AI329" s="380">
        <f t="shared" si="163"/>
        <v>0.59866614242572769</v>
      </c>
      <c r="AJ329" s="381">
        <f t="shared" si="164"/>
        <v>59.87</v>
      </c>
      <c r="AK329" s="380">
        <f t="shared" si="165"/>
        <v>3.8800000000000001E-2</v>
      </c>
      <c r="AL329" s="9">
        <f t="shared" si="166"/>
        <v>9991221</v>
      </c>
      <c r="AM329" s="57">
        <f t="shared" si="167"/>
        <v>-3.2117451302362738</v>
      </c>
    </row>
    <row r="330" spans="1:39" ht="12.75" customHeight="1">
      <c r="A330" s="6">
        <v>324</v>
      </c>
      <c r="B330" s="6" t="s">
        <v>1005</v>
      </c>
      <c r="C330" s="81">
        <v>513429200</v>
      </c>
      <c r="D330" s="81">
        <f t="shared" si="143"/>
        <v>2005253.2441363742</v>
      </c>
      <c r="E330" s="8">
        <v>171143000</v>
      </c>
      <c r="F330" s="81">
        <f t="shared" si="168"/>
        <v>2449381.5907682376</v>
      </c>
      <c r="G330" s="81">
        <f t="shared" si="144"/>
        <v>4454635</v>
      </c>
      <c r="H330" s="127">
        <f t="shared" si="145"/>
        <v>6922529.1760063143</v>
      </c>
      <c r="I330" s="347">
        <f t="shared" si="146"/>
        <v>0.64349819072484282</v>
      </c>
      <c r="J330" s="33">
        <f t="shared" si="141"/>
        <v>5711087</v>
      </c>
      <c r="K330" s="33">
        <f t="shared" si="147"/>
        <v>4454635</v>
      </c>
      <c r="L330" s="126">
        <f t="shared" si="148"/>
        <v>64.349999999999994</v>
      </c>
      <c r="M330" s="470"/>
      <c r="N330" s="128">
        <v>3726177</v>
      </c>
      <c r="O330" s="449">
        <v>3.3700000000000001E-2</v>
      </c>
      <c r="P330" s="33">
        <f t="shared" si="149"/>
        <v>3851749</v>
      </c>
      <c r="Q330" s="57">
        <f t="shared" si="150"/>
        <v>55.640776688240955</v>
      </c>
      <c r="R330" s="57">
        <f t="shared" si="151"/>
        <v>8.7092233117590396</v>
      </c>
      <c r="S330" s="88">
        <f t="shared" si="152"/>
        <v>0.02</v>
      </c>
      <c r="T330" s="33">
        <f t="shared" si="153"/>
        <v>74524</v>
      </c>
      <c r="U330" s="9">
        <f t="shared" si="154"/>
        <v>0</v>
      </c>
      <c r="V330" s="9">
        <f t="shared" si="142"/>
        <v>0</v>
      </c>
      <c r="W330" s="9">
        <f t="shared" si="155"/>
        <v>0</v>
      </c>
      <c r="X330" s="127">
        <f>MIN(H330*parameters!C$22,ROUND(P330+T330-V330+W330,0))</f>
        <v>3926273</v>
      </c>
      <c r="Y330" s="94">
        <f t="shared" si="156"/>
        <v>56.717319641043559</v>
      </c>
      <c r="AA330" s="33">
        <f t="shared" si="157"/>
        <v>-602886</v>
      </c>
      <c r="AB330" s="33">
        <f t="shared" si="158"/>
        <v>-528362</v>
      </c>
      <c r="AC330" s="33">
        <f t="shared" si="159"/>
        <v>0</v>
      </c>
      <c r="AD330" s="57">
        <f t="shared" si="160"/>
        <v>-7.6326803589564349</v>
      </c>
      <c r="AG330" s="609" t="str">
        <f t="shared" si="161"/>
        <v>324</v>
      </c>
      <c r="AH330" s="388" t="str">
        <f t="shared" si="162"/>
        <v>West Brookfield</v>
      </c>
      <c r="AI330" s="380">
        <f t="shared" si="163"/>
        <v>0.64349819072484282</v>
      </c>
      <c r="AJ330" s="381">
        <f t="shared" si="164"/>
        <v>64.349999999999994</v>
      </c>
      <c r="AK330" s="380">
        <f t="shared" si="165"/>
        <v>3.3700000000000001E-2</v>
      </c>
      <c r="AL330" s="9">
        <f t="shared" si="166"/>
        <v>3926273</v>
      </c>
      <c r="AM330" s="57">
        <f t="shared" si="167"/>
        <v>-7.6326803589564349</v>
      </c>
    </row>
    <row r="331" spans="1:39" ht="12.75" customHeight="1">
      <c r="A331" s="6">
        <v>325</v>
      </c>
      <c r="B331" s="6" t="s">
        <v>1006</v>
      </c>
      <c r="C331" s="81">
        <v>3978694400</v>
      </c>
      <c r="D331" s="81">
        <f t="shared" si="143"/>
        <v>15539221.090322141</v>
      </c>
      <c r="E331" s="8">
        <v>1392811000</v>
      </c>
      <c r="F331" s="81">
        <f t="shared" si="168"/>
        <v>19933772.475762956</v>
      </c>
      <c r="G331" s="81">
        <f t="shared" si="144"/>
        <v>35472994</v>
      </c>
      <c r="H331" s="127">
        <f t="shared" si="145"/>
        <v>77785675.980000004</v>
      </c>
      <c r="I331" s="347">
        <f t="shared" si="146"/>
        <v>0.45603504183881743</v>
      </c>
      <c r="J331" s="33">
        <f t="shared" si="141"/>
        <v>64173183</v>
      </c>
      <c r="K331" s="33">
        <f t="shared" si="147"/>
        <v>35472994</v>
      </c>
      <c r="L331" s="126">
        <f t="shared" si="148"/>
        <v>45.6</v>
      </c>
      <c r="M331" s="470"/>
      <c r="N331" s="128">
        <v>32011961</v>
      </c>
      <c r="O331" s="449">
        <v>4.4500000000000005E-2</v>
      </c>
      <c r="P331" s="33">
        <f t="shared" si="149"/>
        <v>33436493</v>
      </c>
      <c r="Q331" s="57">
        <f t="shared" si="150"/>
        <v>42.985411618197006</v>
      </c>
      <c r="R331" s="57">
        <f t="shared" si="151"/>
        <v>2.6145883818029958</v>
      </c>
      <c r="S331" s="88">
        <f t="shared" si="152"/>
        <v>0.01</v>
      </c>
      <c r="T331" s="33">
        <f t="shared" si="153"/>
        <v>320120</v>
      </c>
      <c r="U331" s="9">
        <f t="shared" si="154"/>
        <v>0</v>
      </c>
      <c r="V331" s="9">
        <f t="shared" si="142"/>
        <v>0</v>
      </c>
      <c r="W331" s="9">
        <f t="shared" si="155"/>
        <v>0</v>
      </c>
      <c r="X331" s="127">
        <f>MIN(H331*parameters!C$22,ROUND(P331+T331-V331+W331,0))</f>
        <v>33756613</v>
      </c>
      <c r="Y331" s="94">
        <f t="shared" si="156"/>
        <v>43.396952684038368</v>
      </c>
      <c r="AA331" s="33">
        <f t="shared" si="157"/>
        <v>-2036501</v>
      </c>
      <c r="AB331" s="33">
        <f t="shared" si="158"/>
        <v>-1716381</v>
      </c>
      <c r="AC331" s="33">
        <f t="shared" si="159"/>
        <v>0</v>
      </c>
      <c r="AD331" s="57">
        <f>Y331-L331</f>
        <v>-2.2030473159616335</v>
      </c>
      <c r="AG331" s="609" t="str">
        <f t="shared" si="161"/>
        <v>325</v>
      </c>
      <c r="AH331" s="388" t="str">
        <f t="shared" si="162"/>
        <v>Westfield</v>
      </c>
      <c r="AI331" s="380">
        <f t="shared" si="163"/>
        <v>0.45603504183881743</v>
      </c>
      <c r="AJ331" s="381">
        <f t="shared" si="164"/>
        <v>45.6</v>
      </c>
      <c r="AK331" s="380">
        <f t="shared" si="165"/>
        <v>4.4500000000000005E-2</v>
      </c>
      <c r="AL331" s="9">
        <f t="shared" si="166"/>
        <v>33756613</v>
      </c>
      <c r="AM331" s="57">
        <f t="shared" si="167"/>
        <v>-2.2030473159616335</v>
      </c>
    </row>
    <row r="332" spans="1:39" ht="12.75" customHeight="1">
      <c r="A332" s="6">
        <v>326</v>
      </c>
      <c r="B332" s="6" t="s">
        <v>1007</v>
      </c>
      <c r="C332" s="81">
        <v>5707136100</v>
      </c>
      <c r="D332" s="81">
        <f t="shared" si="143"/>
        <v>22289837.000413716</v>
      </c>
      <c r="E332" s="8">
        <v>2014741000</v>
      </c>
      <c r="F332" s="81">
        <f t="shared" si="168"/>
        <v>28834772.766435023</v>
      </c>
      <c r="G332" s="81">
        <f t="shared" si="144"/>
        <v>51124610</v>
      </c>
      <c r="H332" s="127">
        <f t="shared" si="145"/>
        <v>58175588.944929488</v>
      </c>
      <c r="I332" s="347">
        <f t="shared" si="146"/>
        <v>0.87879832292537463</v>
      </c>
      <c r="J332" s="33">
        <f t="shared" si="141"/>
        <v>47994861</v>
      </c>
      <c r="K332" s="33">
        <f t="shared" si="147"/>
        <v>47994861</v>
      </c>
      <c r="L332" s="126">
        <f t="shared" si="148"/>
        <v>82.5</v>
      </c>
      <c r="M332" s="470"/>
      <c r="N332" s="128">
        <v>43643952</v>
      </c>
      <c r="O332" s="449">
        <v>2.3599999999999999E-2</v>
      </c>
      <c r="P332" s="33">
        <f t="shared" si="149"/>
        <v>44673949</v>
      </c>
      <c r="Q332" s="57">
        <f t="shared" si="150"/>
        <v>76.791571534049297</v>
      </c>
      <c r="R332" s="57">
        <f t="shared" si="151"/>
        <v>5.7084284659507034</v>
      </c>
      <c r="S332" s="88">
        <f t="shared" si="152"/>
        <v>0.01</v>
      </c>
      <c r="T332" s="33">
        <f t="shared" si="153"/>
        <v>436440</v>
      </c>
      <c r="U332" s="9">
        <f t="shared" si="154"/>
        <v>0</v>
      </c>
      <c r="V332" s="9">
        <f t="shared" si="142"/>
        <v>0</v>
      </c>
      <c r="W332" s="9">
        <f t="shared" si="155"/>
        <v>0</v>
      </c>
      <c r="X332" s="127">
        <f>MIN(H332*parameters!C$22,ROUND(P332+T332-V332+W332,0))</f>
        <v>45110389</v>
      </c>
      <c r="Y332" s="94">
        <f t="shared" si="156"/>
        <v>77.541783105457952</v>
      </c>
      <c r="AA332" s="33">
        <f t="shared" si="157"/>
        <v>-3320912</v>
      </c>
      <c r="AB332" s="33">
        <f t="shared" si="158"/>
        <v>-2884472</v>
      </c>
      <c r="AC332" s="33">
        <f t="shared" si="159"/>
        <v>0</v>
      </c>
      <c r="AD332" s="57">
        <f t="shared" si="160"/>
        <v>-4.9582168945420477</v>
      </c>
      <c r="AG332" s="609" t="str">
        <f t="shared" si="161"/>
        <v>326</v>
      </c>
      <c r="AH332" s="388" t="str">
        <f t="shared" si="162"/>
        <v>Westford</v>
      </c>
      <c r="AI332" s="380">
        <f t="shared" si="163"/>
        <v>0.87879832292537463</v>
      </c>
      <c r="AJ332" s="381">
        <f t="shared" si="164"/>
        <v>82.5</v>
      </c>
      <c r="AK332" s="380">
        <f t="shared" si="165"/>
        <v>2.3599999999999999E-2</v>
      </c>
      <c r="AL332" s="9">
        <f t="shared" si="166"/>
        <v>45110389</v>
      </c>
      <c r="AM332" s="57">
        <f t="shared" si="167"/>
        <v>-4.9582168945420477</v>
      </c>
    </row>
    <row r="333" spans="1:39" ht="12.75" customHeight="1">
      <c r="A333" s="6">
        <v>327</v>
      </c>
      <c r="B333" s="6" t="s">
        <v>1008</v>
      </c>
      <c r="C333" s="81">
        <v>267682700</v>
      </c>
      <c r="D333" s="81">
        <f t="shared" si="143"/>
        <v>1045463.7223091008</v>
      </c>
      <c r="E333" s="8">
        <v>80199000</v>
      </c>
      <c r="F333" s="81">
        <f t="shared" si="168"/>
        <v>1147800.1098380995</v>
      </c>
      <c r="G333" s="81">
        <f t="shared" si="144"/>
        <v>2193264</v>
      </c>
      <c r="H333" s="127">
        <f t="shared" si="145"/>
        <v>2511895.436044802</v>
      </c>
      <c r="I333" s="347">
        <f t="shared" si="146"/>
        <v>0.8731509952713179</v>
      </c>
      <c r="J333" s="33">
        <f t="shared" si="141"/>
        <v>2072314</v>
      </c>
      <c r="K333" s="33">
        <f t="shared" si="147"/>
        <v>2072314</v>
      </c>
      <c r="L333" s="126">
        <f t="shared" si="148"/>
        <v>82.5</v>
      </c>
      <c r="M333" s="470"/>
      <c r="N333" s="128">
        <v>1956361</v>
      </c>
      <c r="O333" s="449">
        <v>4.1500000000000002E-2</v>
      </c>
      <c r="P333" s="33">
        <f t="shared" si="149"/>
        <v>2037550</v>
      </c>
      <c r="Q333" s="57">
        <f t="shared" si="150"/>
        <v>81.116035753793156</v>
      </c>
      <c r="R333" s="57">
        <f t="shared" si="151"/>
        <v>1.383964246206844</v>
      </c>
      <c r="S333" s="88">
        <f t="shared" si="152"/>
        <v>0</v>
      </c>
      <c r="T333" s="33">
        <f t="shared" si="153"/>
        <v>0</v>
      </c>
      <c r="U333" s="9">
        <f t="shared" si="154"/>
        <v>0</v>
      </c>
      <c r="V333" s="9">
        <f t="shared" si="142"/>
        <v>0</v>
      </c>
      <c r="W333" s="9">
        <f t="shared" si="155"/>
        <v>0</v>
      </c>
      <c r="X333" s="127">
        <f>MIN(H333*parameters!C$22,ROUND(P333+T333-V333+W333,0))</f>
        <v>2037550</v>
      </c>
      <c r="Y333" s="94">
        <f t="shared" si="156"/>
        <v>81.116035753793156</v>
      </c>
      <c r="AA333" s="33">
        <f t="shared" si="157"/>
        <v>-34764</v>
      </c>
      <c r="AB333" s="33">
        <f t="shared" si="158"/>
        <v>-34764</v>
      </c>
      <c r="AC333" s="33">
        <f t="shared" si="159"/>
        <v>0</v>
      </c>
      <c r="AD333" s="57">
        <f t="shared" si="160"/>
        <v>-1.383964246206844</v>
      </c>
      <c r="AG333" s="609" t="str">
        <f t="shared" si="161"/>
        <v>327</v>
      </c>
      <c r="AH333" s="388" t="str">
        <f t="shared" si="162"/>
        <v>Westhampton</v>
      </c>
      <c r="AI333" s="380">
        <f t="shared" si="163"/>
        <v>0.8731509952713179</v>
      </c>
      <c r="AJ333" s="381">
        <f t="shared" si="164"/>
        <v>82.5</v>
      </c>
      <c r="AK333" s="380">
        <f t="shared" si="165"/>
        <v>4.1500000000000002E-2</v>
      </c>
      <c r="AL333" s="9">
        <f t="shared" si="166"/>
        <v>2037550</v>
      </c>
      <c r="AM333" s="57">
        <f t="shared" si="167"/>
        <v>-1.383964246206844</v>
      </c>
    </row>
    <row r="334" spans="1:39" ht="12.75" customHeight="1">
      <c r="A334" s="6">
        <v>328</v>
      </c>
      <c r="B334" s="6" t="s">
        <v>1009</v>
      </c>
      <c r="C334" s="81">
        <v>1330013700</v>
      </c>
      <c r="D334" s="81">
        <f t="shared" si="143"/>
        <v>5194512.2845970234</v>
      </c>
      <c r="E334" s="8">
        <v>404588000</v>
      </c>
      <c r="F334" s="81">
        <f t="shared" si="168"/>
        <v>5790423.2077604085</v>
      </c>
      <c r="G334" s="81">
        <f t="shared" si="144"/>
        <v>10984935</v>
      </c>
      <c r="H334" s="127">
        <f t="shared" si="145"/>
        <v>18092926.679423887</v>
      </c>
      <c r="I334" s="347">
        <f t="shared" si="146"/>
        <v>0.60713975105490126</v>
      </c>
      <c r="J334" s="33">
        <f t="shared" si="141"/>
        <v>14926665</v>
      </c>
      <c r="K334" s="33">
        <f t="shared" si="147"/>
        <v>10984935</v>
      </c>
      <c r="L334" s="126">
        <f t="shared" si="148"/>
        <v>60.71</v>
      </c>
      <c r="M334" s="470"/>
      <c r="N334" s="128">
        <v>9068349</v>
      </c>
      <c r="O334" s="449">
        <v>4.4400000000000002E-2</v>
      </c>
      <c r="P334" s="33">
        <f t="shared" si="149"/>
        <v>9470984</v>
      </c>
      <c r="Q334" s="57">
        <f t="shared" si="150"/>
        <v>52.346334939669219</v>
      </c>
      <c r="R334" s="57">
        <f t="shared" si="151"/>
        <v>8.3636650603307814</v>
      </c>
      <c r="S334" s="88">
        <f t="shared" si="152"/>
        <v>0.02</v>
      </c>
      <c r="T334" s="33">
        <f t="shared" si="153"/>
        <v>181367</v>
      </c>
      <c r="U334" s="9">
        <f t="shared" si="154"/>
        <v>0</v>
      </c>
      <c r="V334" s="9">
        <f t="shared" si="142"/>
        <v>0</v>
      </c>
      <c r="W334" s="9">
        <f t="shared" si="155"/>
        <v>0</v>
      </c>
      <c r="X334" s="127">
        <f>MIN(H334*parameters!C$22,ROUND(P334+T334-V334+W334,0))</f>
        <v>9652351</v>
      </c>
      <c r="Y334" s="94">
        <f t="shared" si="156"/>
        <v>53.348754300635619</v>
      </c>
      <c r="AA334" s="33">
        <f t="shared" si="157"/>
        <v>-1513951</v>
      </c>
      <c r="AB334" s="33">
        <f t="shared" si="158"/>
        <v>-1332584</v>
      </c>
      <c r="AC334" s="33">
        <f t="shared" si="159"/>
        <v>0</v>
      </c>
      <c r="AD334" s="57">
        <f t="shared" si="160"/>
        <v>-7.3612456993643818</v>
      </c>
      <c r="AG334" s="609" t="str">
        <f t="shared" si="161"/>
        <v>328</v>
      </c>
      <c r="AH334" s="388" t="str">
        <f t="shared" si="162"/>
        <v>Westminster</v>
      </c>
      <c r="AI334" s="380">
        <f t="shared" si="163"/>
        <v>0.60713975105490126</v>
      </c>
      <c r="AJ334" s="381">
        <f t="shared" si="164"/>
        <v>60.71</v>
      </c>
      <c r="AK334" s="380">
        <f t="shared" si="165"/>
        <v>4.4400000000000002E-2</v>
      </c>
      <c r="AL334" s="9">
        <f t="shared" si="166"/>
        <v>9652351</v>
      </c>
      <c r="AM334" s="57">
        <f t="shared" si="167"/>
        <v>-7.3612456993643818</v>
      </c>
    </row>
    <row r="335" spans="1:39" ht="12.75" customHeight="1">
      <c r="A335" s="6">
        <v>329</v>
      </c>
      <c r="B335" s="6" t="s">
        <v>1010</v>
      </c>
      <c r="C335" s="81">
        <v>1189426700</v>
      </c>
      <c r="D335" s="81">
        <f t="shared" si="143"/>
        <v>4645434.5581385354</v>
      </c>
      <c r="E335" s="8">
        <v>429457000</v>
      </c>
      <c r="F335" s="81">
        <f t="shared" si="168"/>
        <v>6146345.8618030241</v>
      </c>
      <c r="G335" s="81">
        <f t="shared" si="144"/>
        <v>10791780</v>
      </c>
      <c r="H335" s="127">
        <f t="shared" si="145"/>
        <v>7593317.7741232673</v>
      </c>
      <c r="I335" s="347">
        <f t="shared" si="146"/>
        <v>1.4212206470242226</v>
      </c>
      <c r="J335" s="33">
        <f t="shared" si="141"/>
        <v>6264487</v>
      </c>
      <c r="K335" s="33">
        <f t="shared" si="147"/>
        <v>6264487</v>
      </c>
      <c r="L335" s="126">
        <f t="shared" si="148"/>
        <v>82.5</v>
      </c>
      <c r="M335" s="470"/>
      <c r="N335" s="128">
        <v>5913337</v>
      </c>
      <c r="O335" s="449">
        <v>3.3700000000000001E-2</v>
      </c>
      <c r="P335" s="33">
        <f t="shared" si="149"/>
        <v>6112616</v>
      </c>
      <c r="Q335" s="57">
        <f t="shared" si="150"/>
        <v>80.499936678940969</v>
      </c>
      <c r="R335" s="57">
        <f t="shared" si="151"/>
        <v>2.0000633210590308</v>
      </c>
      <c r="S335" s="88">
        <f t="shared" si="152"/>
        <v>0</v>
      </c>
      <c r="T335" s="33">
        <f t="shared" si="153"/>
        <v>0</v>
      </c>
      <c r="U335" s="9">
        <f t="shared" si="154"/>
        <v>0</v>
      </c>
      <c r="V335" s="9">
        <f t="shared" si="142"/>
        <v>0</v>
      </c>
      <c r="W335" s="9">
        <f t="shared" si="155"/>
        <v>0</v>
      </c>
      <c r="X335" s="127">
        <f>MIN(H335*parameters!C$22,ROUND(P335+T335-V335+W335,0))</f>
        <v>6112616</v>
      </c>
      <c r="Y335" s="94">
        <f t="shared" si="156"/>
        <v>80.499936678940969</v>
      </c>
      <c r="AA335" s="33">
        <f t="shared" si="157"/>
        <v>-151871</v>
      </c>
      <c r="AB335" s="33">
        <f t="shared" si="158"/>
        <v>-151871</v>
      </c>
      <c r="AC335" s="33">
        <f t="shared" si="159"/>
        <v>0</v>
      </c>
      <c r="AD335" s="57">
        <f t="shared" si="160"/>
        <v>-2.0000633210590308</v>
      </c>
      <c r="AG335" s="609" t="str">
        <f t="shared" si="161"/>
        <v>329</v>
      </c>
      <c r="AH335" s="388" t="str">
        <f t="shared" si="162"/>
        <v>West Newbury</v>
      </c>
      <c r="AI335" s="380">
        <f t="shared" si="163"/>
        <v>1.4212206470242226</v>
      </c>
      <c r="AJ335" s="381">
        <f t="shared" si="164"/>
        <v>82.5</v>
      </c>
      <c r="AK335" s="380">
        <f t="shared" si="165"/>
        <v>3.3700000000000001E-2</v>
      </c>
      <c r="AL335" s="9">
        <f t="shared" si="166"/>
        <v>6112616</v>
      </c>
      <c r="AM335" s="57">
        <f t="shared" si="167"/>
        <v>-2.0000633210590308</v>
      </c>
    </row>
    <row r="336" spans="1:39" ht="12.75" customHeight="1">
      <c r="A336" s="6">
        <v>330</v>
      </c>
      <c r="B336" s="6" t="s">
        <v>1011</v>
      </c>
      <c r="C336" s="81">
        <v>7192996000</v>
      </c>
      <c r="D336" s="81">
        <f t="shared" si="143"/>
        <v>28093023.46664343</v>
      </c>
      <c r="E336" s="8">
        <v>6431334000</v>
      </c>
      <c r="F336" s="81">
        <f t="shared" si="168"/>
        <v>92044612.4216699</v>
      </c>
      <c r="G336" s="81">
        <f t="shared" si="144"/>
        <v>120137636</v>
      </c>
      <c r="H336" s="127">
        <f t="shared" si="145"/>
        <v>26381907.903000001</v>
      </c>
      <c r="I336" s="347">
        <f t="shared" si="146"/>
        <v>4.5537887722797574</v>
      </c>
      <c r="J336" s="33">
        <f t="shared" si="141"/>
        <v>21765074</v>
      </c>
      <c r="K336" s="33">
        <f t="shared" si="147"/>
        <v>21765074</v>
      </c>
      <c r="L336" s="126">
        <f t="shared" si="148"/>
        <v>82.5</v>
      </c>
      <c r="M336" s="470"/>
      <c r="N336" s="128">
        <v>20948614</v>
      </c>
      <c r="O336" s="449">
        <v>4.2799999999999991E-2</v>
      </c>
      <c r="P336" s="33">
        <f t="shared" si="149"/>
        <v>21845215</v>
      </c>
      <c r="Q336" s="57">
        <f t="shared" si="150"/>
        <v>82.803772495604406</v>
      </c>
      <c r="R336" s="57">
        <f t="shared" si="151"/>
        <v>0</v>
      </c>
      <c r="S336" s="88">
        <f t="shared" si="152"/>
        <v>0</v>
      </c>
      <c r="T336" s="33">
        <f t="shared" si="153"/>
        <v>0</v>
      </c>
      <c r="U336" s="9">
        <f t="shared" si="154"/>
        <v>80141</v>
      </c>
      <c r="V336" s="9">
        <f t="shared" si="142"/>
        <v>80141</v>
      </c>
      <c r="W336" s="9">
        <f t="shared" si="155"/>
        <v>0</v>
      </c>
      <c r="X336" s="127">
        <f>MIN(H336*parameters!C$22,ROUND(P336+T336-V336+W336,0))</f>
        <v>21765074</v>
      </c>
      <c r="Y336" s="94">
        <f t="shared" si="156"/>
        <v>82.499999924285234</v>
      </c>
      <c r="AA336" s="33">
        <f t="shared" si="157"/>
        <v>0</v>
      </c>
      <c r="AB336" s="33">
        <f t="shared" si="158"/>
        <v>0</v>
      </c>
      <c r="AC336" s="33">
        <f t="shared" si="159"/>
        <v>0</v>
      </c>
      <c r="AD336" s="57">
        <f t="shared" si="160"/>
        <v>-7.5714766012424661E-8</v>
      </c>
      <c r="AG336" s="609" t="str">
        <f t="shared" si="161"/>
        <v>330</v>
      </c>
      <c r="AH336" s="388" t="str">
        <f t="shared" si="162"/>
        <v>Weston</v>
      </c>
      <c r="AI336" s="380">
        <f t="shared" si="163"/>
        <v>4.5537887722797574</v>
      </c>
      <c r="AJ336" s="381">
        <f t="shared" si="164"/>
        <v>82.5</v>
      </c>
      <c r="AK336" s="380">
        <f t="shared" si="165"/>
        <v>4.2799999999999991E-2</v>
      </c>
      <c r="AL336" s="9">
        <f t="shared" si="166"/>
        <v>21765074</v>
      </c>
      <c r="AM336" s="57">
        <f t="shared" si="167"/>
        <v>-7.5714766012424661E-8</v>
      </c>
    </row>
    <row r="337" spans="1:39" ht="12.75" customHeight="1">
      <c r="A337" s="6">
        <v>331</v>
      </c>
      <c r="B337" s="6" t="s">
        <v>1012</v>
      </c>
      <c r="C337" s="81">
        <v>4325909100</v>
      </c>
      <c r="D337" s="81">
        <f t="shared" si="143"/>
        <v>16895305.636325441</v>
      </c>
      <c r="E337" s="8">
        <v>931291000</v>
      </c>
      <c r="F337" s="81">
        <f t="shared" si="168"/>
        <v>13328544.147573331</v>
      </c>
      <c r="G337" s="81">
        <f t="shared" si="144"/>
        <v>30223850</v>
      </c>
      <c r="H337" s="127">
        <f t="shared" si="145"/>
        <v>25402087.032532804</v>
      </c>
      <c r="I337" s="347">
        <f t="shared" si="146"/>
        <v>1.1898175910228124</v>
      </c>
      <c r="J337" s="33">
        <f t="shared" si="141"/>
        <v>20956722</v>
      </c>
      <c r="K337" s="33">
        <f t="shared" si="147"/>
        <v>20956722</v>
      </c>
      <c r="L337" s="126">
        <f t="shared" si="148"/>
        <v>82.5</v>
      </c>
      <c r="M337" s="470"/>
      <c r="N337" s="128">
        <v>18059992</v>
      </c>
      <c r="O337" s="449">
        <v>3.15E-2</v>
      </c>
      <c r="P337" s="33">
        <f t="shared" si="149"/>
        <v>18628882</v>
      </c>
      <c r="Q337" s="57">
        <f t="shared" si="150"/>
        <v>73.336029343343853</v>
      </c>
      <c r="R337" s="57">
        <f t="shared" si="151"/>
        <v>9.1639706566561472</v>
      </c>
      <c r="S337" s="88">
        <f t="shared" si="152"/>
        <v>0.02</v>
      </c>
      <c r="T337" s="33">
        <f t="shared" si="153"/>
        <v>361200</v>
      </c>
      <c r="U337" s="9">
        <f t="shared" si="154"/>
        <v>0</v>
      </c>
      <c r="V337" s="9">
        <f t="shared" si="142"/>
        <v>0</v>
      </c>
      <c r="W337" s="9">
        <f t="shared" si="155"/>
        <v>0</v>
      </c>
      <c r="X337" s="127">
        <f>MIN(H337*parameters!C$22,ROUND(P337+T337-V337+W337,0))</f>
        <v>18990082</v>
      </c>
      <c r="Y337" s="94">
        <f t="shared" si="156"/>
        <v>74.757959752201231</v>
      </c>
      <c r="AA337" s="33">
        <f t="shared" si="157"/>
        <v>-2327840</v>
      </c>
      <c r="AB337" s="33">
        <f t="shared" si="158"/>
        <v>-1966640</v>
      </c>
      <c r="AC337" s="33">
        <f t="shared" si="159"/>
        <v>0</v>
      </c>
      <c r="AD337" s="57">
        <f t="shared" si="160"/>
        <v>-7.7420402477987693</v>
      </c>
      <c r="AG337" s="609" t="str">
        <f t="shared" si="161"/>
        <v>331</v>
      </c>
      <c r="AH337" s="388" t="str">
        <f t="shared" si="162"/>
        <v>Westport</v>
      </c>
      <c r="AI337" s="380">
        <f t="shared" si="163"/>
        <v>1.1898175910228124</v>
      </c>
      <c r="AJ337" s="381">
        <f t="shared" si="164"/>
        <v>82.5</v>
      </c>
      <c r="AK337" s="380">
        <f t="shared" si="165"/>
        <v>3.15E-2</v>
      </c>
      <c r="AL337" s="9">
        <f t="shared" si="166"/>
        <v>18990082</v>
      </c>
      <c r="AM337" s="57">
        <f t="shared" si="167"/>
        <v>-7.7420402477987693</v>
      </c>
    </row>
    <row r="338" spans="1:39" ht="12.75" customHeight="1">
      <c r="A338" s="6">
        <v>332</v>
      </c>
      <c r="B338" s="6" t="s">
        <v>1013</v>
      </c>
      <c r="C338" s="81">
        <v>3302461300</v>
      </c>
      <c r="D338" s="81">
        <f t="shared" si="143"/>
        <v>12898119.615050776</v>
      </c>
      <c r="E338" s="8">
        <v>1037417000</v>
      </c>
      <c r="F338" s="81">
        <f t="shared" si="168"/>
        <v>14847408.902204663</v>
      </c>
      <c r="G338" s="81">
        <f t="shared" si="144"/>
        <v>27745529</v>
      </c>
      <c r="H338" s="127">
        <f t="shared" si="145"/>
        <v>68366792.900000006</v>
      </c>
      <c r="I338" s="347">
        <f t="shared" si="146"/>
        <v>0.40583341448506061</v>
      </c>
      <c r="J338" s="33">
        <f t="shared" si="141"/>
        <v>56402604</v>
      </c>
      <c r="K338" s="33">
        <f t="shared" si="147"/>
        <v>27745529</v>
      </c>
      <c r="L338" s="126">
        <f t="shared" si="148"/>
        <v>40.58</v>
      </c>
      <c r="M338" s="470"/>
      <c r="N338" s="128">
        <v>22906588</v>
      </c>
      <c r="O338" s="449">
        <v>3.8199999999999998E-2</v>
      </c>
      <c r="P338" s="33">
        <f t="shared" si="149"/>
        <v>23781620</v>
      </c>
      <c r="Q338" s="57">
        <f t="shared" si="150"/>
        <v>34.785338014590408</v>
      </c>
      <c r="R338" s="57">
        <f t="shared" si="151"/>
        <v>5.79466198540959</v>
      </c>
      <c r="S338" s="88">
        <f t="shared" si="152"/>
        <v>0.01</v>
      </c>
      <c r="T338" s="33">
        <f t="shared" si="153"/>
        <v>229066</v>
      </c>
      <c r="U338" s="9">
        <f t="shared" si="154"/>
        <v>0</v>
      </c>
      <c r="V338" s="9">
        <f t="shared" si="142"/>
        <v>0</v>
      </c>
      <c r="W338" s="9">
        <f t="shared" si="155"/>
        <v>0</v>
      </c>
      <c r="X338" s="127">
        <f>MIN(H338*parameters!C$22,ROUND(P338+T338-V338+W338,0))</f>
        <v>24010686</v>
      </c>
      <c r="Y338" s="94">
        <f t="shared" si="156"/>
        <v>35.120392491015906</v>
      </c>
      <c r="AA338" s="33">
        <f t="shared" si="157"/>
        <v>-3963909</v>
      </c>
      <c r="AB338" s="33">
        <f t="shared" si="158"/>
        <v>-3734843</v>
      </c>
      <c r="AC338" s="33">
        <f t="shared" si="159"/>
        <v>0</v>
      </c>
      <c r="AD338" s="57">
        <f t="shared" si="160"/>
        <v>-5.4596075089840923</v>
      </c>
      <c r="AG338" s="609" t="str">
        <f t="shared" si="161"/>
        <v>332</v>
      </c>
      <c r="AH338" s="388" t="str">
        <f t="shared" si="162"/>
        <v>West Springfield</v>
      </c>
      <c r="AI338" s="380">
        <f t="shared" si="163"/>
        <v>0.40583341448506061</v>
      </c>
      <c r="AJ338" s="381">
        <f t="shared" si="164"/>
        <v>40.58</v>
      </c>
      <c r="AK338" s="380">
        <f t="shared" si="165"/>
        <v>3.8199999999999998E-2</v>
      </c>
      <c r="AL338" s="9">
        <f t="shared" si="166"/>
        <v>24010686</v>
      </c>
      <c r="AM338" s="57">
        <f t="shared" si="167"/>
        <v>-5.4596075089840923</v>
      </c>
    </row>
    <row r="339" spans="1:39" ht="12.75" customHeight="1">
      <c r="A339" s="6">
        <v>333</v>
      </c>
      <c r="B339" s="6" t="s">
        <v>1014</v>
      </c>
      <c r="C339" s="81">
        <v>453409500</v>
      </c>
      <c r="D339" s="81">
        <f t="shared" si="143"/>
        <v>1770839.8174417259</v>
      </c>
      <c r="E339" s="8">
        <v>121284000</v>
      </c>
      <c r="F339" s="81">
        <f t="shared" si="168"/>
        <v>1735804.5427200347</v>
      </c>
      <c r="G339" s="81">
        <f t="shared" si="144"/>
        <v>3506644</v>
      </c>
      <c r="H339" s="127">
        <f t="shared" si="145"/>
        <v>1817852.5464350374</v>
      </c>
      <c r="I339" s="347">
        <f t="shared" si="146"/>
        <v>1.9290035415011111</v>
      </c>
      <c r="J339" s="33">
        <f t="shared" si="141"/>
        <v>1499728</v>
      </c>
      <c r="K339" s="33">
        <f t="shared" si="147"/>
        <v>1499728</v>
      </c>
      <c r="L339" s="126">
        <f t="shared" si="148"/>
        <v>82.5</v>
      </c>
      <c r="M339" s="470"/>
      <c r="N339" s="128">
        <v>1360800</v>
      </c>
      <c r="O339" s="449">
        <v>3.3700000000000001E-2</v>
      </c>
      <c r="P339" s="33">
        <f t="shared" si="149"/>
        <v>1406659</v>
      </c>
      <c r="Q339" s="57">
        <f t="shared" si="150"/>
        <v>77.380258523089637</v>
      </c>
      <c r="R339" s="57">
        <f t="shared" si="151"/>
        <v>5.1197414769103631</v>
      </c>
      <c r="S339" s="88">
        <f t="shared" si="152"/>
        <v>0.01</v>
      </c>
      <c r="T339" s="33">
        <f t="shared" si="153"/>
        <v>13608</v>
      </c>
      <c r="U339" s="9">
        <f t="shared" si="154"/>
        <v>0</v>
      </c>
      <c r="V339" s="9">
        <f t="shared" si="142"/>
        <v>0</v>
      </c>
      <c r="W339" s="9">
        <f t="shared" si="155"/>
        <v>79461</v>
      </c>
      <c r="X339" s="127">
        <f>MIN(H339*parameters!C$22,ROUND(P339+T339-V339+W339,0))</f>
        <v>1499728</v>
      </c>
      <c r="Y339" s="94">
        <f t="shared" si="156"/>
        <v>82.499980702015321</v>
      </c>
      <c r="AA339" s="33">
        <f t="shared" si="157"/>
        <v>-93069</v>
      </c>
      <c r="AB339" s="33">
        <f t="shared" si="158"/>
        <v>0</v>
      </c>
      <c r="AC339" s="33">
        <f t="shared" si="159"/>
        <v>0</v>
      </c>
      <c r="AD339" s="57">
        <f t="shared" si="160"/>
        <v>-1.9297984678701141E-5</v>
      </c>
      <c r="AG339" s="609" t="str">
        <f t="shared" si="161"/>
        <v>333</v>
      </c>
      <c r="AH339" s="388" t="str">
        <f t="shared" si="162"/>
        <v>West Stockbridge</v>
      </c>
      <c r="AI339" s="380">
        <f t="shared" si="163"/>
        <v>1.9290035415011111</v>
      </c>
      <c r="AJ339" s="381">
        <f t="shared" si="164"/>
        <v>82.5</v>
      </c>
      <c r="AK339" s="380">
        <f t="shared" si="165"/>
        <v>3.3700000000000001E-2</v>
      </c>
      <c r="AL339" s="9">
        <f t="shared" si="166"/>
        <v>1499728</v>
      </c>
      <c r="AM339" s="57">
        <f t="shared" si="167"/>
        <v>-1.9297984678701141E-5</v>
      </c>
    </row>
    <row r="340" spans="1:39" ht="12.75" customHeight="1">
      <c r="A340" s="6">
        <v>334</v>
      </c>
      <c r="B340" s="6" t="s">
        <v>1015</v>
      </c>
      <c r="C340" s="81">
        <v>3290703900</v>
      </c>
      <c r="D340" s="81">
        <f t="shared" si="143"/>
        <v>12852199.818333702</v>
      </c>
      <c r="E340" s="8">
        <v>158182000</v>
      </c>
      <c r="F340" s="81">
        <f t="shared" si="168"/>
        <v>2263885.0481229224</v>
      </c>
      <c r="G340" s="81">
        <f t="shared" si="144"/>
        <v>15116085</v>
      </c>
      <c r="H340" s="127">
        <f t="shared" si="145"/>
        <v>5793063.00148266</v>
      </c>
      <c r="I340" s="347">
        <f t="shared" si="146"/>
        <v>2.6093424145622501</v>
      </c>
      <c r="J340" s="33">
        <f t="shared" si="141"/>
        <v>4779277</v>
      </c>
      <c r="K340" s="33">
        <f t="shared" si="147"/>
        <v>4779277</v>
      </c>
      <c r="L340" s="126">
        <f t="shared" si="148"/>
        <v>82.5</v>
      </c>
      <c r="M340" s="470"/>
      <c r="N340" s="128">
        <v>5043724</v>
      </c>
      <c r="O340" s="449">
        <v>4.6100000000000002E-2</v>
      </c>
      <c r="P340" s="33">
        <f t="shared" si="149"/>
        <v>5276240</v>
      </c>
      <c r="Q340" s="57">
        <f t="shared" si="150"/>
        <v>91.078588281356758</v>
      </c>
      <c r="R340" s="57">
        <f t="shared" si="151"/>
        <v>0</v>
      </c>
      <c r="S340" s="88">
        <f t="shared" si="152"/>
        <v>0</v>
      </c>
      <c r="T340" s="33">
        <f t="shared" si="153"/>
        <v>0</v>
      </c>
      <c r="U340" s="9">
        <f t="shared" si="154"/>
        <v>496963</v>
      </c>
      <c r="V340" s="9">
        <f t="shared" si="142"/>
        <v>496963</v>
      </c>
      <c r="W340" s="9">
        <f t="shared" si="155"/>
        <v>0</v>
      </c>
      <c r="X340" s="127">
        <f>MIN(H340*parameters!C$22,ROUND(P340+T340-V340+W340,0))</f>
        <v>4779277</v>
      </c>
      <c r="Y340" s="94">
        <f t="shared" si="156"/>
        <v>82.500000410435817</v>
      </c>
      <c r="AA340" s="33">
        <f t="shared" si="157"/>
        <v>0</v>
      </c>
      <c r="AB340" s="33">
        <f t="shared" si="158"/>
        <v>0</v>
      </c>
      <c r="AC340" s="33">
        <f t="shared" si="159"/>
        <v>0</v>
      </c>
      <c r="AD340" s="57">
        <f t="shared" si="160"/>
        <v>4.1043581688882114E-7</v>
      </c>
      <c r="AG340" s="609" t="str">
        <f t="shared" si="161"/>
        <v>334</v>
      </c>
      <c r="AH340" s="388" t="str">
        <f t="shared" si="162"/>
        <v>West Tisbury</v>
      </c>
      <c r="AI340" s="380">
        <f t="shared" si="163"/>
        <v>2.6093424145622501</v>
      </c>
      <c r="AJ340" s="381">
        <f t="shared" si="164"/>
        <v>82.5</v>
      </c>
      <c r="AK340" s="380">
        <f t="shared" si="165"/>
        <v>4.6100000000000002E-2</v>
      </c>
      <c r="AL340" s="9">
        <f t="shared" si="166"/>
        <v>4779277</v>
      </c>
      <c r="AM340" s="57">
        <f t="shared" si="167"/>
        <v>4.1043581688882114E-7</v>
      </c>
    </row>
    <row r="341" spans="1:39" ht="12.75" customHeight="1">
      <c r="A341" s="6">
        <v>335</v>
      </c>
      <c r="B341" s="6" t="s">
        <v>1016</v>
      </c>
      <c r="C341" s="81">
        <v>5479184600</v>
      </c>
      <c r="D341" s="81">
        <f t="shared" si="143"/>
        <v>21399547.77478971</v>
      </c>
      <c r="E341" s="8">
        <v>2527880000</v>
      </c>
      <c r="F341" s="81">
        <f t="shared" si="168"/>
        <v>36178767.087588809</v>
      </c>
      <c r="G341" s="81">
        <f t="shared" si="144"/>
        <v>57578315</v>
      </c>
      <c r="H341" s="127">
        <f t="shared" si="145"/>
        <v>37208152.214341521</v>
      </c>
      <c r="I341" s="347">
        <f t="shared" si="146"/>
        <v>1.5474650465928539</v>
      </c>
      <c r="J341" s="33">
        <f t="shared" si="141"/>
        <v>30696726</v>
      </c>
      <c r="K341" s="33">
        <f t="shared" si="147"/>
        <v>30696726</v>
      </c>
      <c r="L341" s="126">
        <f t="shared" si="148"/>
        <v>82.5</v>
      </c>
      <c r="M341" s="470"/>
      <c r="N341" s="128">
        <v>29283013</v>
      </c>
      <c r="O341" s="449">
        <v>3.78E-2</v>
      </c>
      <c r="P341" s="33">
        <f t="shared" si="149"/>
        <v>30389911</v>
      </c>
      <c r="Q341" s="57">
        <f t="shared" si="150"/>
        <v>81.675410337325232</v>
      </c>
      <c r="R341" s="57">
        <f t="shared" si="151"/>
        <v>0.82458966267476796</v>
      </c>
      <c r="S341" s="88">
        <f t="shared" si="152"/>
        <v>0</v>
      </c>
      <c r="T341" s="33">
        <f t="shared" si="153"/>
        <v>0</v>
      </c>
      <c r="U341" s="9">
        <f t="shared" si="154"/>
        <v>0</v>
      </c>
      <c r="V341" s="9">
        <f t="shared" si="142"/>
        <v>0</v>
      </c>
      <c r="W341" s="9">
        <f t="shared" si="155"/>
        <v>0</v>
      </c>
      <c r="X341" s="127">
        <f>MIN(H341*parameters!C$22,ROUND(P341+T341-V341+W341,0))</f>
        <v>30389911</v>
      </c>
      <c r="Y341" s="94">
        <f t="shared" si="156"/>
        <v>81.675410337325232</v>
      </c>
      <c r="AA341" s="33">
        <f t="shared" si="157"/>
        <v>-306815</v>
      </c>
      <c r="AB341" s="33">
        <f t="shared" si="158"/>
        <v>-306815</v>
      </c>
      <c r="AC341" s="33">
        <f t="shared" si="159"/>
        <v>0</v>
      </c>
      <c r="AD341" s="57">
        <f t="shared" si="160"/>
        <v>-0.82458966267476796</v>
      </c>
      <c r="AG341" s="609" t="str">
        <f t="shared" si="161"/>
        <v>335</v>
      </c>
      <c r="AH341" s="388" t="str">
        <f t="shared" si="162"/>
        <v>Westwood</v>
      </c>
      <c r="AI341" s="380">
        <f t="shared" si="163"/>
        <v>1.5474650465928539</v>
      </c>
      <c r="AJ341" s="381">
        <f t="shared" si="164"/>
        <v>82.5</v>
      </c>
      <c r="AK341" s="380">
        <f t="shared" si="165"/>
        <v>3.78E-2</v>
      </c>
      <c r="AL341" s="9">
        <f t="shared" si="166"/>
        <v>30389911</v>
      </c>
      <c r="AM341" s="57">
        <f t="shared" si="167"/>
        <v>-0.82458966267476796</v>
      </c>
    </row>
    <row r="342" spans="1:39" ht="12.75" customHeight="1">
      <c r="A342" s="6">
        <v>336</v>
      </c>
      <c r="B342" s="6" t="s">
        <v>1017</v>
      </c>
      <c r="C342" s="81">
        <v>10601685400</v>
      </c>
      <c r="D342" s="81">
        <f t="shared" si="143"/>
        <v>41406028.409882478</v>
      </c>
      <c r="E342" s="8">
        <v>2572553000</v>
      </c>
      <c r="F342" s="81">
        <f t="shared" si="168"/>
        <v>36818122.619538054</v>
      </c>
      <c r="G342" s="81">
        <f t="shared" si="144"/>
        <v>78224151</v>
      </c>
      <c r="H342" s="127">
        <f t="shared" si="145"/>
        <v>92964257.407875851</v>
      </c>
      <c r="I342" s="347">
        <f t="shared" si="146"/>
        <v>0.84144329424152342</v>
      </c>
      <c r="J342" s="33">
        <f t="shared" si="141"/>
        <v>76695512</v>
      </c>
      <c r="K342" s="33">
        <f t="shared" si="147"/>
        <v>76695512</v>
      </c>
      <c r="L342" s="126">
        <f t="shared" si="148"/>
        <v>82.5</v>
      </c>
      <c r="M342" s="470"/>
      <c r="N342" s="128">
        <v>66095737</v>
      </c>
      <c r="O342" s="449">
        <v>4.130000000000001E-2</v>
      </c>
      <c r="P342" s="33">
        <f t="shared" si="149"/>
        <v>68825491</v>
      </c>
      <c r="Q342" s="57">
        <f t="shared" si="150"/>
        <v>74.034357847911082</v>
      </c>
      <c r="R342" s="57">
        <f t="shared" si="151"/>
        <v>8.4656421520889182</v>
      </c>
      <c r="S342" s="88">
        <f t="shared" si="152"/>
        <v>0.02</v>
      </c>
      <c r="T342" s="33">
        <f t="shared" si="153"/>
        <v>1321915</v>
      </c>
      <c r="U342" s="9">
        <f t="shared" si="154"/>
        <v>0</v>
      </c>
      <c r="V342" s="9">
        <f t="shared" si="142"/>
        <v>0</v>
      </c>
      <c r="W342" s="9">
        <f t="shared" si="155"/>
        <v>0</v>
      </c>
      <c r="X342" s="127">
        <f>MIN(H342*parameters!C$22,ROUND(P342+T342-V342+W342,0))</f>
        <v>70147406</v>
      </c>
      <c r="Y342" s="94">
        <f t="shared" si="156"/>
        <v>75.456318326980124</v>
      </c>
      <c r="AA342" s="33">
        <f t="shared" si="157"/>
        <v>-7870021</v>
      </c>
      <c r="AB342" s="33">
        <f t="shared" si="158"/>
        <v>-6548106</v>
      </c>
      <c r="AC342" s="33">
        <f t="shared" si="159"/>
        <v>0</v>
      </c>
      <c r="AD342" s="57">
        <f t="shared" si="160"/>
        <v>-7.0436816730198757</v>
      </c>
      <c r="AG342" s="609" t="str">
        <f t="shared" si="161"/>
        <v>336</v>
      </c>
      <c r="AH342" s="388" t="str">
        <f t="shared" si="162"/>
        <v>Weymouth</v>
      </c>
      <c r="AI342" s="380">
        <f t="shared" si="163"/>
        <v>0.84144329424152342</v>
      </c>
      <c r="AJ342" s="381">
        <f t="shared" si="164"/>
        <v>82.5</v>
      </c>
      <c r="AK342" s="380">
        <f t="shared" si="165"/>
        <v>4.130000000000001E-2</v>
      </c>
      <c r="AL342" s="9">
        <f t="shared" si="166"/>
        <v>70147406</v>
      </c>
      <c r="AM342" s="57">
        <f t="shared" si="167"/>
        <v>-7.0436816730198757</v>
      </c>
    </row>
    <row r="343" spans="1:39" ht="12.75" customHeight="1">
      <c r="A343" s="6">
        <v>337</v>
      </c>
      <c r="B343" s="6" t="s">
        <v>1018</v>
      </c>
      <c r="C343" s="81">
        <v>333516600</v>
      </c>
      <c r="D343" s="81">
        <f t="shared" si="143"/>
        <v>1302585.1356396042</v>
      </c>
      <c r="E343" s="8">
        <v>42081000</v>
      </c>
      <c r="F343" s="81">
        <f t="shared" si="168"/>
        <v>602259.0858002851</v>
      </c>
      <c r="G343" s="81">
        <f t="shared" si="144"/>
        <v>1904844</v>
      </c>
      <c r="H343" s="127">
        <f t="shared" si="145"/>
        <v>2284205.6941932668</v>
      </c>
      <c r="I343" s="347">
        <f t="shared" si="146"/>
        <v>0.8339196442957606</v>
      </c>
      <c r="J343" s="33">
        <f t="shared" si="141"/>
        <v>1884470</v>
      </c>
      <c r="K343" s="33">
        <f t="shared" si="147"/>
        <v>1884470</v>
      </c>
      <c r="L343" s="126">
        <f t="shared" si="148"/>
        <v>82.5</v>
      </c>
      <c r="M343" s="470"/>
      <c r="N343" s="128">
        <v>1648962</v>
      </c>
      <c r="O343" s="449">
        <v>3.8600000000000002E-2</v>
      </c>
      <c r="P343" s="33">
        <f t="shared" si="149"/>
        <v>1712612</v>
      </c>
      <c r="Q343" s="57">
        <f t="shared" si="150"/>
        <v>74.976259990668595</v>
      </c>
      <c r="R343" s="57">
        <f t="shared" si="151"/>
        <v>7.5237400093314051</v>
      </c>
      <c r="S343" s="88">
        <f t="shared" si="152"/>
        <v>0.02</v>
      </c>
      <c r="T343" s="33">
        <f t="shared" si="153"/>
        <v>32979</v>
      </c>
      <c r="U343" s="9">
        <f t="shared" si="154"/>
        <v>0</v>
      </c>
      <c r="V343" s="9">
        <f t="shared" si="142"/>
        <v>0</v>
      </c>
      <c r="W343" s="9">
        <f t="shared" si="155"/>
        <v>0</v>
      </c>
      <c r="X343" s="127">
        <f>MIN(H343*parameters!C$22,ROUND(P343+T343-V343+W343,0))</f>
        <v>1745591</v>
      </c>
      <c r="Y343" s="94">
        <f t="shared" si="156"/>
        <v>76.420044150905852</v>
      </c>
      <c r="AA343" s="33">
        <f t="shared" si="157"/>
        <v>-171858</v>
      </c>
      <c r="AB343" s="33">
        <f t="shared" si="158"/>
        <v>-138879</v>
      </c>
      <c r="AC343" s="33">
        <f t="shared" si="159"/>
        <v>0</v>
      </c>
      <c r="AD343" s="57">
        <f t="shared" si="160"/>
        <v>-6.0799558490941479</v>
      </c>
      <c r="AG343" s="609" t="str">
        <f t="shared" si="161"/>
        <v>337</v>
      </c>
      <c r="AH343" s="388" t="str">
        <f t="shared" si="162"/>
        <v>Whately</v>
      </c>
      <c r="AI343" s="380">
        <f t="shared" si="163"/>
        <v>0.8339196442957606</v>
      </c>
      <c r="AJ343" s="381">
        <f t="shared" si="164"/>
        <v>82.5</v>
      </c>
      <c r="AK343" s="380">
        <f t="shared" si="165"/>
        <v>3.8600000000000002E-2</v>
      </c>
      <c r="AL343" s="9">
        <f t="shared" si="166"/>
        <v>1745591</v>
      </c>
      <c r="AM343" s="57">
        <f t="shared" si="167"/>
        <v>-6.0799558490941479</v>
      </c>
    </row>
    <row r="344" spans="1:39" ht="12.75" customHeight="1">
      <c r="A344" s="6">
        <v>338</v>
      </c>
      <c r="B344" s="6" t="s">
        <v>1019</v>
      </c>
      <c r="C344" s="81">
        <v>2145260700</v>
      </c>
      <c r="D344" s="81">
        <f t="shared" si="143"/>
        <v>8378547.5742191309</v>
      </c>
      <c r="E344" s="8">
        <v>581553000</v>
      </c>
      <c r="F344" s="81">
        <f t="shared" si="168"/>
        <v>8323128.6833585994</v>
      </c>
      <c r="G344" s="81">
        <f t="shared" si="144"/>
        <v>16701676</v>
      </c>
      <c r="H344" s="127">
        <f t="shared" si="145"/>
        <v>33825134.418508887</v>
      </c>
      <c r="I344" s="347">
        <f t="shared" si="146"/>
        <v>0.49376525140609506</v>
      </c>
      <c r="J344" s="33">
        <f t="shared" si="141"/>
        <v>27905736</v>
      </c>
      <c r="K344" s="33">
        <f t="shared" si="147"/>
        <v>16701676</v>
      </c>
      <c r="L344" s="126">
        <f t="shared" si="148"/>
        <v>49.38</v>
      </c>
      <c r="M344" s="470"/>
      <c r="N344" s="128">
        <v>14015156</v>
      </c>
      <c r="O344" s="449">
        <v>5.3399999999999996E-2</v>
      </c>
      <c r="P344" s="33">
        <f t="shared" si="149"/>
        <v>14763565</v>
      </c>
      <c r="Q344" s="57">
        <f t="shared" si="150"/>
        <v>43.646729728652538</v>
      </c>
      <c r="R344" s="57">
        <f t="shared" si="151"/>
        <v>5.7332702713474646</v>
      </c>
      <c r="S344" s="88">
        <f t="shared" si="152"/>
        <v>0.01</v>
      </c>
      <c r="T344" s="33">
        <f t="shared" si="153"/>
        <v>140152</v>
      </c>
      <c r="U344" s="9">
        <f t="shared" si="154"/>
        <v>0</v>
      </c>
      <c r="V344" s="9">
        <f t="shared" si="142"/>
        <v>0</v>
      </c>
      <c r="W344" s="9">
        <f t="shared" si="155"/>
        <v>0</v>
      </c>
      <c r="X344" s="127">
        <f>MIN(H344*parameters!C$22,ROUND(P344+T344-V344+W344,0))</f>
        <v>14903717</v>
      </c>
      <c r="Y344" s="94">
        <f t="shared" si="156"/>
        <v>44.061072501887196</v>
      </c>
      <c r="AA344" s="33">
        <f t="shared" si="157"/>
        <v>-1938111</v>
      </c>
      <c r="AB344" s="33">
        <f t="shared" si="158"/>
        <v>-1797959</v>
      </c>
      <c r="AC344" s="33">
        <f t="shared" si="159"/>
        <v>0</v>
      </c>
      <c r="AD344" s="57">
        <f t="shared" si="160"/>
        <v>-5.3189274981128065</v>
      </c>
      <c r="AG344" s="609" t="str">
        <f t="shared" si="161"/>
        <v>338</v>
      </c>
      <c r="AH344" s="388" t="str">
        <f t="shared" si="162"/>
        <v>Whitman</v>
      </c>
      <c r="AI344" s="380">
        <f t="shared" si="163"/>
        <v>0.49376525140609506</v>
      </c>
      <c r="AJ344" s="381">
        <f t="shared" si="164"/>
        <v>49.38</v>
      </c>
      <c r="AK344" s="380">
        <f t="shared" si="165"/>
        <v>5.3399999999999996E-2</v>
      </c>
      <c r="AL344" s="9">
        <f t="shared" si="166"/>
        <v>14903717</v>
      </c>
      <c r="AM344" s="57">
        <f t="shared" si="167"/>
        <v>-5.3189274981128065</v>
      </c>
    </row>
    <row r="345" spans="1:39" ht="12.75" customHeight="1">
      <c r="A345" s="6">
        <v>339</v>
      </c>
      <c r="B345" s="6" t="s">
        <v>1020</v>
      </c>
      <c r="C345" s="81">
        <v>2108258500</v>
      </c>
      <c r="D345" s="81">
        <f t="shared" si="143"/>
        <v>8234031.4820487145</v>
      </c>
      <c r="E345" s="8">
        <v>789716000</v>
      </c>
      <c r="F345" s="81">
        <f t="shared" si="168"/>
        <v>11302336.831393218</v>
      </c>
      <c r="G345" s="81">
        <f t="shared" si="144"/>
        <v>19536368</v>
      </c>
      <c r="H345" s="127">
        <f t="shared" si="145"/>
        <v>29475167.009635031</v>
      </c>
      <c r="I345" s="347">
        <f t="shared" si="146"/>
        <v>0.66280771178035491</v>
      </c>
      <c r="J345" s="33">
        <f t="shared" si="141"/>
        <v>24317013</v>
      </c>
      <c r="K345" s="33">
        <f t="shared" si="147"/>
        <v>19536368</v>
      </c>
      <c r="L345" s="126">
        <f t="shared" si="148"/>
        <v>66.28</v>
      </c>
      <c r="M345" s="470"/>
      <c r="N345" s="128">
        <v>18231525</v>
      </c>
      <c r="O345" s="449">
        <v>3.6299999999999999E-2</v>
      </c>
      <c r="P345" s="33">
        <f t="shared" si="149"/>
        <v>18893329</v>
      </c>
      <c r="Q345" s="57">
        <f t="shared" si="150"/>
        <v>64.099141469916106</v>
      </c>
      <c r="R345" s="57">
        <f t="shared" si="151"/>
        <v>2.1808585300838956</v>
      </c>
      <c r="S345" s="88">
        <f t="shared" si="152"/>
        <v>0</v>
      </c>
      <c r="T345" s="33">
        <f t="shared" si="153"/>
        <v>0</v>
      </c>
      <c r="U345" s="9">
        <f t="shared" si="154"/>
        <v>0</v>
      </c>
      <c r="V345" s="9">
        <f t="shared" si="142"/>
        <v>0</v>
      </c>
      <c r="W345" s="9">
        <f t="shared" si="155"/>
        <v>0</v>
      </c>
      <c r="X345" s="127">
        <f>MIN(H345*parameters!C$22,ROUND(P345+T345-V345+W345,0))</f>
        <v>18893329</v>
      </c>
      <c r="Y345" s="94">
        <f t="shared" si="156"/>
        <v>64.099141469916106</v>
      </c>
      <c r="AA345" s="33">
        <f t="shared" si="157"/>
        <v>-643039</v>
      </c>
      <c r="AB345" s="33">
        <f t="shared" si="158"/>
        <v>-643039</v>
      </c>
      <c r="AC345" s="33">
        <f t="shared" si="159"/>
        <v>0</v>
      </c>
      <c r="AD345" s="57">
        <f t="shared" si="160"/>
        <v>-2.1808585300838956</v>
      </c>
      <c r="AG345" s="609" t="str">
        <f t="shared" si="161"/>
        <v>339</v>
      </c>
      <c r="AH345" s="388" t="str">
        <f t="shared" si="162"/>
        <v>Wilbraham</v>
      </c>
      <c r="AI345" s="380">
        <f t="shared" si="163"/>
        <v>0.66280771178035491</v>
      </c>
      <c r="AJ345" s="381">
        <f t="shared" si="164"/>
        <v>66.28</v>
      </c>
      <c r="AK345" s="380">
        <f t="shared" si="165"/>
        <v>3.6299999999999999E-2</v>
      </c>
      <c r="AL345" s="9">
        <f t="shared" si="166"/>
        <v>18893329</v>
      </c>
      <c r="AM345" s="57">
        <f t="shared" si="167"/>
        <v>-2.1808585300838956</v>
      </c>
    </row>
    <row r="346" spans="1:39" ht="12.75" customHeight="1">
      <c r="A346" s="6">
        <v>340</v>
      </c>
      <c r="B346" s="6" t="s">
        <v>1021</v>
      </c>
      <c r="C346" s="81">
        <v>371024900</v>
      </c>
      <c r="D346" s="81">
        <f t="shared" si="143"/>
        <v>1449077.8560712438</v>
      </c>
      <c r="E346" s="8">
        <v>79793381.25</v>
      </c>
      <c r="F346" s="81">
        <f t="shared" si="168"/>
        <v>1141994.9346388776</v>
      </c>
      <c r="G346" s="81">
        <f t="shared" si="144"/>
        <v>2591073</v>
      </c>
      <c r="H346" s="127">
        <f t="shared" si="145"/>
        <v>3548166.0685180253</v>
      </c>
      <c r="I346" s="347">
        <f t="shared" si="146"/>
        <v>0.73025696936508455</v>
      </c>
      <c r="J346" s="33">
        <f t="shared" si="141"/>
        <v>2927237</v>
      </c>
      <c r="K346" s="33">
        <f t="shared" si="147"/>
        <v>2591073</v>
      </c>
      <c r="L346" s="126">
        <f t="shared" si="148"/>
        <v>73.03</v>
      </c>
      <c r="M346" s="470"/>
      <c r="N346" s="128">
        <v>2296794</v>
      </c>
      <c r="O346" s="449">
        <v>3.2099999999999997E-2</v>
      </c>
      <c r="P346" s="33">
        <f t="shared" si="149"/>
        <v>2370521</v>
      </c>
      <c r="Q346" s="57">
        <f t="shared" si="150"/>
        <v>66.809753383107676</v>
      </c>
      <c r="R346" s="57">
        <f t="shared" si="151"/>
        <v>6.2202466168923252</v>
      </c>
      <c r="S346" s="88">
        <f t="shared" si="152"/>
        <v>0.01</v>
      </c>
      <c r="T346" s="33">
        <f t="shared" si="153"/>
        <v>22968</v>
      </c>
      <c r="U346" s="9">
        <f t="shared" si="154"/>
        <v>0</v>
      </c>
      <c r="V346" s="9">
        <f t="shared" si="142"/>
        <v>0</v>
      </c>
      <c r="W346" s="9">
        <f t="shared" si="155"/>
        <v>0</v>
      </c>
      <c r="X346" s="127">
        <f>MIN(H346*parameters!C$22,ROUND(P346+T346-V346+W346,0))</f>
        <v>2393489</v>
      </c>
      <c r="Y346" s="94">
        <f t="shared" si="156"/>
        <v>67.457073704548918</v>
      </c>
      <c r="AA346" s="33">
        <f t="shared" si="157"/>
        <v>-220552</v>
      </c>
      <c r="AB346" s="33">
        <f t="shared" si="158"/>
        <v>-197584</v>
      </c>
      <c r="AC346" s="33">
        <f t="shared" si="159"/>
        <v>0</v>
      </c>
      <c r="AD346" s="57">
        <f t="shared" si="160"/>
        <v>-5.572926295451083</v>
      </c>
      <c r="AG346" s="609" t="str">
        <f t="shared" si="161"/>
        <v>340</v>
      </c>
      <c r="AH346" s="388" t="str">
        <f t="shared" si="162"/>
        <v>Williamsburg</v>
      </c>
      <c r="AI346" s="380">
        <f t="shared" si="163"/>
        <v>0.73025696936508455</v>
      </c>
      <c r="AJ346" s="381">
        <f t="shared" si="164"/>
        <v>73.03</v>
      </c>
      <c r="AK346" s="380">
        <f t="shared" si="165"/>
        <v>3.2099999999999997E-2</v>
      </c>
      <c r="AL346" s="9">
        <f t="shared" si="166"/>
        <v>2393489</v>
      </c>
      <c r="AM346" s="57">
        <f t="shared" si="167"/>
        <v>-5.572926295451083</v>
      </c>
    </row>
    <row r="347" spans="1:39" ht="12.75" customHeight="1">
      <c r="A347" s="6">
        <v>341</v>
      </c>
      <c r="B347" s="6" t="s">
        <v>1022</v>
      </c>
      <c r="C347" s="81">
        <v>1144212500</v>
      </c>
      <c r="D347" s="81">
        <f t="shared" si="143"/>
        <v>4468845.6122214925</v>
      </c>
      <c r="E347" s="8">
        <v>362106000</v>
      </c>
      <c r="F347" s="81">
        <f t="shared" si="168"/>
        <v>5182425.0498514306</v>
      </c>
      <c r="G347" s="81">
        <f t="shared" si="144"/>
        <v>9651271</v>
      </c>
      <c r="H347" s="127">
        <f t="shared" si="145"/>
        <v>10325256.353810223</v>
      </c>
      <c r="I347" s="347">
        <f t="shared" si="146"/>
        <v>0.93472458884166021</v>
      </c>
      <c r="J347" s="33">
        <f t="shared" si="141"/>
        <v>8518336</v>
      </c>
      <c r="K347" s="33">
        <f t="shared" si="147"/>
        <v>8518336</v>
      </c>
      <c r="L347" s="126">
        <f t="shared" si="148"/>
        <v>82.5</v>
      </c>
      <c r="M347" s="470"/>
      <c r="N347" s="128">
        <v>7180050</v>
      </c>
      <c r="O347" s="449">
        <v>3.9E-2</v>
      </c>
      <c r="P347" s="33">
        <f t="shared" si="149"/>
        <v>7460072</v>
      </c>
      <c r="Q347" s="57">
        <f t="shared" si="150"/>
        <v>72.250719443368453</v>
      </c>
      <c r="R347" s="57">
        <f t="shared" si="151"/>
        <v>10.249280556631547</v>
      </c>
      <c r="S347" s="88">
        <f t="shared" si="152"/>
        <v>0.02</v>
      </c>
      <c r="T347" s="33">
        <f t="shared" si="153"/>
        <v>143601</v>
      </c>
      <c r="U347" s="9">
        <f t="shared" si="154"/>
        <v>0</v>
      </c>
      <c r="V347" s="9">
        <f t="shared" si="142"/>
        <v>0</v>
      </c>
      <c r="W347" s="9">
        <f t="shared" si="155"/>
        <v>0</v>
      </c>
      <c r="X347" s="127">
        <f>MIN(H347*parameters!C$22,ROUND(P347+T347-V347+W347,0))</f>
        <v>7603673</v>
      </c>
      <c r="Y347" s="94">
        <f t="shared" si="156"/>
        <v>73.641493629299532</v>
      </c>
      <c r="AA347" s="33">
        <f t="shared" si="157"/>
        <v>-1058264</v>
      </c>
      <c r="AB347" s="33">
        <f t="shared" si="158"/>
        <v>-914663</v>
      </c>
      <c r="AC347" s="33">
        <f t="shared" si="159"/>
        <v>0</v>
      </c>
      <c r="AD347" s="57">
        <f t="shared" si="160"/>
        <v>-8.8585063707004679</v>
      </c>
      <c r="AG347" s="609" t="str">
        <f t="shared" si="161"/>
        <v>341</v>
      </c>
      <c r="AH347" s="388" t="str">
        <f t="shared" si="162"/>
        <v>Williamstown</v>
      </c>
      <c r="AI347" s="380">
        <f t="shared" si="163"/>
        <v>0.93472458884166021</v>
      </c>
      <c r="AJ347" s="381">
        <f t="shared" si="164"/>
        <v>82.5</v>
      </c>
      <c r="AK347" s="380">
        <f t="shared" si="165"/>
        <v>3.9E-2</v>
      </c>
      <c r="AL347" s="9">
        <f t="shared" si="166"/>
        <v>7603673</v>
      </c>
      <c r="AM347" s="57">
        <f t="shared" si="167"/>
        <v>-8.8585063707004679</v>
      </c>
    </row>
    <row r="348" spans="1:39" ht="12.75" customHeight="1">
      <c r="A348" s="6">
        <v>342</v>
      </c>
      <c r="B348" s="6" t="s">
        <v>1023</v>
      </c>
      <c r="C348" s="81">
        <v>5921026600</v>
      </c>
      <c r="D348" s="81">
        <f t="shared" si="143"/>
        <v>23125209.470493235</v>
      </c>
      <c r="E348" s="8">
        <v>1332706000</v>
      </c>
      <c r="F348" s="81">
        <f t="shared" si="168"/>
        <v>19073555.694982409</v>
      </c>
      <c r="G348" s="81">
        <f t="shared" si="144"/>
        <v>42198765</v>
      </c>
      <c r="H348" s="127">
        <f t="shared" si="145"/>
        <v>43087386.205857217</v>
      </c>
      <c r="I348" s="347">
        <f t="shared" si="146"/>
        <v>0.97937630280909405</v>
      </c>
      <c r="J348" s="33">
        <f t="shared" si="141"/>
        <v>35547094</v>
      </c>
      <c r="K348" s="33">
        <f t="shared" si="147"/>
        <v>35547094</v>
      </c>
      <c r="L348" s="126">
        <f t="shared" si="148"/>
        <v>82.5</v>
      </c>
      <c r="M348" s="470"/>
      <c r="N348" s="128">
        <v>33363299</v>
      </c>
      <c r="O348" s="449">
        <v>4.4900000000000002E-2</v>
      </c>
      <c r="P348" s="33">
        <f t="shared" si="149"/>
        <v>34861311</v>
      </c>
      <c r="Q348" s="57">
        <f t="shared" si="150"/>
        <v>80.908391224856942</v>
      </c>
      <c r="R348" s="57">
        <f t="shared" si="151"/>
        <v>1.5916087751430581</v>
      </c>
      <c r="S348" s="88">
        <f t="shared" si="152"/>
        <v>0</v>
      </c>
      <c r="T348" s="33">
        <f t="shared" si="153"/>
        <v>0</v>
      </c>
      <c r="U348" s="9">
        <f t="shared" si="154"/>
        <v>0</v>
      </c>
      <c r="V348" s="9">
        <f t="shared" si="142"/>
        <v>0</v>
      </c>
      <c r="W348" s="9">
        <f t="shared" si="155"/>
        <v>0</v>
      </c>
      <c r="X348" s="127">
        <f>MIN(H348*parameters!C$22,ROUND(P348+T348-V348+W348,0))</f>
        <v>34861311</v>
      </c>
      <c r="Y348" s="94">
        <f t="shared" si="156"/>
        <v>80.908391224856942</v>
      </c>
      <c r="AA348" s="33">
        <f t="shared" si="157"/>
        <v>-685783</v>
      </c>
      <c r="AB348" s="33">
        <f t="shared" si="158"/>
        <v>-685783</v>
      </c>
      <c r="AC348" s="33">
        <f t="shared" si="159"/>
        <v>0</v>
      </c>
      <c r="AD348" s="57">
        <f t="shared" si="160"/>
        <v>-1.5916087751430581</v>
      </c>
      <c r="AG348" s="609" t="str">
        <f t="shared" si="161"/>
        <v>342</v>
      </c>
      <c r="AH348" s="388" t="str">
        <f t="shared" si="162"/>
        <v>Wilmington</v>
      </c>
      <c r="AI348" s="380">
        <f t="shared" si="163"/>
        <v>0.97937630280909405</v>
      </c>
      <c r="AJ348" s="381">
        <f t="shared" si="164"/>
        <v>82.5</v>
      </c>
      <c r="AK348" s="380">
        <f t="shared" si="165"/>
        <v>4.4900000000000002E-2</v>
      </c>
      <c r="AL348" s="9">
        <f t="shared" si="166"/>
        <v>34861311</v>
      </c>
      <c r="AM348" s="57">
        <f t="shared" si="167"/>
        <v>-1.5916087751430581</v>
      </c>
    </row>
    <row r="349" spans="1:39" ht="12.75" customHeight="1">
      <c r="A349" s="6">
        <v>343</v>
      </c>
      <c r="B349" s="6" t="s">
        <v>1024</v>
      </c>
      <c r="C349" s="81">
        <v>983994000</v>
      </c>
      <c r="D349" s="81">
        <f t="shared" si="143"/>
        <v>3843094.9402775052</v>
      </c>
      <c r="E349" s="8">
        <v>283733000</v>
      </c>
      <c r="F349" s="81">
        <f t="shared" si="168"/>
        <v>4060758.4703636393</v>
      </c>
      <c r="G349" s="81">
        <f t="shared" si="144"/>
        <v>7903853</v>
      </c>
      <c r="H349" s="127">
        <f t="shared" si="145"/>
        <v>22429432.329291541</v>
      </c>
      <c r="I349" s="347">
        <f t="shared" si="146"/>
        <v>0.35238756308950475</v>
      </c>
      <c r="J349" s="33">
        <f t="shared" si="141"/>
        <v>18504282</v>
      </c>
      <c r="K349" s="33">
        <f t="shared" si="147"/>
        <v>7903853</v>
      </c>
      <c r="L349" s="126">
        <f t="shared" si="148"/>
        <v>35.24</v>
      </c>
      <c r="M349" s="470"/>
      <c r="N349" s="128">
        <v>6780288</v>
      </c>
      <c r="O349" s="449">
        <v>3.3700000000000001E-2</v>
      </c>
      <c r="P349" s="33">
        <f t="shared" si="149"/>
        <v>7008784</v>
      </c>
      <c r="Q349" s="57">
        <f t="shared" si="150"/>
        <v>31.248155981401872</v>
      </c>
      <c r="R349" s="57">
        <f t="shared" si="151"/>
        <v>3.9918440185981297</v>
      </c>
      <c r="S349" s="88">
        <f t="shared" si="152"/>
        <v>0.01</v>
      </c>
      <c r="T349" s="33">
        <f t="shared" si="153"/>
        <v>67803</v>
      </c>
      <c r="U349" s="9">
        <f t="shared" si="154"/>
        <v>0</v>
      </c>
      <c r="V349" s="9">
        <f t="shared" si="142"/>
        <v>0</v>
      </c>
      <c r="W349" s="9">
        <f t="shared" si="155"/>
        <v>0</v>
      </c>
      <c r="X349" s="127">
        <f>MIN(H349*parameters!C$22,ROUND(P349+T349-V349+W349,0))</f>
        <v>7076587</v>
      </c>
      <c r="Y349" s="94">
        <f t="shared" si="156"/>
        <v>31.550450747513512</v>
      </c>
      <c r="AA349" s="33">
        <f t="shared" si="157"/>
        <v>-895069</v>
      </c>
      <c r="AB349" s="33">
        <f t="shared" si="158"/>
        <v>-827266</v>
      </c>
      <c r="AC349" s="33">
        <f t="shared" si="159"/>
        <v>0</v>
      </c>
      <c r="AD349" s="57">
        <f t="shared" si="160"/>
        <v>-3.6895492524864899</v>
      </c>
      <c r="AG349" s="609" t="str">
        <f t="shared" si="161"/>
        <v>343</v>
      </c>
      <c r="AH349" s="388" t="str">
        <f t="shared" si="162"/>
        <v>Winchendon</v>
      </c>
      <c r="AI349" s="380">
        <f t="shared" si="163"/>
        <v>0.35238756308950475</v>
      </c>
      <c r="AJ349" s="381">
        <f t="shared" si="164"/>
        <v>35.24</v>
      </c>
      <c r="AK349" s="380">
        <f t="shared" si="165"/>
        <v>3.3700000000000001E-2</v>
      </c>
      <c r="AL349" s="9">
        <f t="shared" si="166"/>
        <v>7076587</v>
      </c>
      <c r="AM349" s="57">
        <f t="shared" si="167"/>
        <v>-3.6895492524864899</v>
      </c>
    </row>
    <row r="350" spans="1:39" ht="12.75" customHeight="1">
      <c r="A350" s="6">
        <v>344</v>
      </c>
      <c r="B350" s="6" t="s">
        <v>1025</v>
      </c>
      <c r="C350" s="81">
        <v>9544700800</v>
      </c>
      <c r="D350" s="81">
        <f t="shared" si="143"/>
        <v>37277860.790759556</v>
      </c>
      <c r="E350" s="8">
        <v>3980223000</v>
      </c>
      <c r="F350" s="81">
        <f t="shared" si="168"/>
        <v>56964555.625134103</v>
      </c>
      <c r="G350" s="81">
        <f t="shared" si="144"/>
        <v>94242416</v>
      </c>
      <c r="H350" s="127">
        <f t="shared" si="145"/>
        <v>55493669.90993163</v>
      </c>
      <c r="I350" s="347">
        <f t="shared" si="146"/>
        <v>1.6982552452011028</v>
      </c>
      <c r="J350" s="33">
        <f t="shared" si="141"/>
        <v>45782278</v>
      </c>
      <c r="K350" s="33">
        <f t="shared" si="147"/>
        <v>45782278</v>
      </c>
      <c r="L350" s="126">
        <f t="shared" si="148"/>
        <v>82.5</v>
      </c>
      <c r="M350" s="470"/>
      <c r="N350" s="128">
        <v>44218911</v>
      </c>
      <c r="O350" s="449">
        <v>4.4600000000000001E-2</v>
      </c>
      <c r="P350" s="33">
        <f t="shared" si="149"/>
        <v>46191074</v>
      </c>
      <c r="Q350" s="57">
        <f t="shared" si="150"/>
        <v>83.236653973272809</v>
      </c>
      <c r="R350" s="57">
        <f t="shared" si="151"/>
        <v>0</v>
      </c>
      <c r="S350" s="88">
        <f t="shared" si="152"/>
        <v>0</v>
      </c>
      <c r="T350" s="33">
        <f t="shared" si="153"/>
        <v>0</v>
      </c>
      <c r="U350" s="9">
        <f t="shared" si="154"/>
        <v>408796</v>
      </c>
      <c r="V350" s="9">
        <f t="shared" si="142"/>
        <v>408796</v>
      </c>
      <c r="W350" s="9">
        <f t="shared" si="155"/>
        <v>0</v>
      </c>
      <c r="X350" s="127">
        <f>MIN(H350*parameters!C$22,ROUND(P350+T350-V350+W350,0))</f>
        <v>45782278</v>
      </c>
      <c r="Y350" s="94">
        <f t="shared" si="156"/>
        <v>82.500000584402514</v>
      </c>
      <c r="AA350" s="33">
        <f t="shared" si="157"/>
        <v>0</v>
      </c>
      <c r="AB350" s="33">
        <f t="shared" si="158"/>
        <v>0</v>
      </c>
      <c r="AC350" s="33">
        <f t="shared" si="159"/>
        <v>0</v>
      </c>
      <c r="AD350" s="57">
        <f t="shared" si="160"/>
        <v>5.844025139367659E-7</v>
      </c>
      <c r="AG350" s="609" t="str">
        <f t="shared" si="161"/>
        <v>344</v>
      </c>
      <c r="AH350" s="388" t="str">
        <f t="shared" si="162"/>
        <v>Winchester</v>
      </c>
      <c r="AI350" s="380">
        <f t="shared" si="163"/>
        <v>1.6982552452011028</v>
      </c>
      <c r="AJ350" s="381">
        <f t="shared" si="164"/>
        <v>82.5</v>
      </c>
      <c r="AK350" s="380">
        <f t="shared" si="165"/>
        <v>4.4600000000000001E-2</v>
      </c>
      <c r="AL350" s="9">
        <f t="shared" si="166"/>
        <v>45782278</v>
      </c>
      <c r="AM350" s="57">
        <f t="shared" si="167"/>
        <v>5.844025139367659E-7</v>
      </c>
    </row>
    <row r="351" spans="1:39" ht="12.75" customHeight="1">
      <c r="A351" s="6">
        <v>345</v>
      </c>
      <c r="B351" s="6" t="s">
        <v>1026</v>
      </c>
      <c r="C351" s="81">
        <v>139980600</v>
      </c>
      <c r="D351" s="81">
        <f t="shared" si="143"/>
        <v>546709.3657044752</v>
      </c>
      <c r="E351" s="8">
        <v>29781000</v>
      </c>
      <c r="F351" s="81">
        <f t="shared" si="168"/>
        <v>426222.7093989756</v>
      </c>
      <c r="G351" s="81">
        <f t="shared" si="144"/>
        <v>972932</v>
      </c>
      <c r="H351" s="127">
        <f t="shared" si="145"/>
        <v>924621.12126186443</v>
      </c>
      <c r="I351" s="347">
        <f t="shared" si="146"/>
        <v>1.05224937828827</v>
      </c>
      <c r="J351" s="33">
        <f t="shared" si="141"/>
        <v>762812</v>
      </c>
      <c r="K351" s="33">
        <f t="shared" si="147"/>
        <v>762812</v>
      </c>
      <c r="L351" s="126">
        <f t="shared" si="148"/>
        <v>82.5</v>
      </c>
      <c r="M351" s="470"/>
      <c r="N351" s="128">
        <v>711090</v>
      </c>
      <c r="O351" s="449">
        <v>3.9300000000000002E-2</v>
      </c>
      <c r="P351" s="33">
        <f t="shared" si="149"/>
        <v>739036</v>
      </c>
      <c r="Q351" s="57">
        <f t="shared" si="150"/>
        <v>79.928522397521093</v>
      </c>
      <c r="R351" s="57">
        <f t="shared" si="151"/>
        <v>2.5714776024789074</v>
      </c>
      <c r="S351" s="88">
        <f t="shared" si="152"/>
        <v>0.01</v>
      </c>
      <c r="T351" s="33">
        <f t="shared" si="153"/>
        <v>7111</v>
      </c>
      <c r="U351" s="9">
        <f t="shared" si="154"/>
        <v>0</v>
      </c>
      <c r="V351" s="9">
        <f t="shared" si="142"/>
        <v>0</v>
      </c>
      <c r="W351" s="9">
        <f t="shared" si="155"/>
        <v>0</v>
      </c>
      <c r="X351" s="127">
        <f>MIN(H351*parameters!C$22,ROUND(P351+T351-V351+W351,0))</f>
        <v>746147</v>
      </c>
      <c r="Y351" s="94">
        <f t="shared" si="156"/>
        <v>80.697594165024668</v>
      </c>
      <c r="AA351" s="33">
        <f t="shared" si="157"/>
        <v>-23776</v>
      </c>
      <c r="AB351" s="33">
        <f t="shared" si="158"/>
        <v>-16665</v>
      </c>
      <c r="AC351" s="33">
        <f t="shared" si="159"/>
        <v>0</v>
      </c>
      <c r="AD351" s="57">
        <f t="shared" si="160"/>
        <v>-1.8024058349753318</v>
      </c>
      <c r="AG351" s="609" t="str">
        <f t="shared" si="161"/>
        <v>345</v>
      </c>
      <c r="AH351" s="388" t="str">
        <f t="shared" si="162"/>
        <v>Windsor</v>
      </c>
      <c r="AI351" s="380">
        <f t="shared" si="163"/>
        <v>1.05224937828827</v>
      </c>
      <c r="AJ351" s="381">
        <f t="shared" si="164"/>
        <v>82.5</v>
      </c>
      <c r="AK351" s="380">
        <f t="shared" si="165"/>
        <v>3.9300000000000002E-2</v>
      </c>
      <c r="AL351" s="9">
        <f t="shared" si="166"/>
        <v>746147</v>
      </c>
      <c r="AM351" s="57">
        <f t="shared" si="167"/>
        <v>-1.8024058349753318</v>
      </c>
    </row>
    <row r="352" spans="1:39" ht="12.75" customHeight="1">
      <c r="A352" s="6">
        <v>346</v>
      </c>
      <c r="B352" s="6" t="s">
        <v>1027</v>
      </c>
      <c r="C352" s="81">
        <v>3178797900</v>
      </c>
      <c r="D352" s="81">
        <f t="shared" si="143"/>
        <v>12415138.837894091</v>
      </c>
      <c r="E352" s="8">
        <v>837919000</v>
      </c>
      <c r="F352" s="81">
        <f t="shared" si="168"/>
        <v>11992213.372179585</v>
      </c>
      <c r="G352" s="81">
        <f t="shared" si="144"/>
        <v>24407352</v>
      </c>
      <c r="H352" s="127">
        <f t="shared" si="145"/>
        <v>31856490.326938197</v>
      </c>
      <c r="I352" s="347">
        <f t="shared" si="146"/>
        <v>0.76616575616181037</v>
      </c>
      <c r="J352" s="33">
        <f t="shared" si="141"/>
        <v>26281605</v>
      </c>
      <c r="K352" s="33">
        <f t="shared" si="147"/>
        <v>24407352</v>
      </c>
      <c r="L352" s="126">
        <f t="shared" si="148"/>
        <v>76.62</v>
      </c>
      <c r="M352" s="470"/>
      <c r="N352" s="128">
        <v>19898572</v>
      </c>
      <c r="O352" s="449">
        <v>4.6199999999999998E-2</v>
      </c>
      <c r="P352" s="33">
        <f t="shared" si="149"/>
        <v>20817886</v>
      </c>
      <c r="Q352" s="57">
        <f t="shared" si="150"/>
        <v>65.34896275876369</v>
      </c>
      <c r="R352" s="57">
        <f t="shared" si="151"/>
        <v>11.271037241236314</v>
      </c>
      <c r="S352" s="88">
        <f t="shared" si="152"/>
        <v>0.02</v>
      </c>
      <c r="T352" s="33">
        <f t="shared" si="153"/>
        <v>397971</v>
      </c>
      <c r="U352" s="9">
        <f t="shared" si="154"/>
        <v>0</v>
      </c>
      <c r="V352" s="9">
        <f t="shared" si="142"/>
        <v>0</v>
      </c>
      <c r="W352" s="9">
        <f t="shared" si="155"/>
        <v>0</v>
      </c>
      <c r="X352" s="127">
        <f>MIN(H352*parameters!C$22,ROUND(P352+T352-V352+W352,0))</f>
        <v>21215857</v>
      </c>
      <c r="Y352" s="94">
        <f t="shared" si="156"/>
        <v>66.598224670279009</v>
      </c>
      <c r="AA352" s="33">
        <f t="shared" si="157"/>
        <v>-3589466</v>
      </c>
      <c r="AB352" s="33">
        <f t="shared" si="158"/>
        <v>-3191495</v>
      </c>
      <c r="AC352" s="33">
        <f t="shared" si="159"/>
        <v>0</v>
      </c>
      <c r="AD352" s="57">
        <f t="shared" si="160"/>
        <v>-10.021775329720995</v>
      </c>
      <c r="AG352" s="609" t="str">
        <f t="shared" si="161"/>
        <v>346</v>
      </c>
      <c r="AH352" s="388" t="str">
        <f t="shared" si="162"/>
        <v>Winthrop</v>
      </c>
      <c r="AI352" s="380">
        <f t="shared" si="163"/>
        <v>0.76616575616181037</v>
      </c>
      <c r="AJ352" s="381">
        <f t="shared" si="164"/>
        <v>76.62</v>
      </c>
      <c r="AK352" s="380">
        <f t="shared" si="165"/>
        <v>4.6199999999999998E-2</v>
      </c>
      <c r="AL352" s="9">
        <f t="shared" si="166"/>
        <v>21215857</v>
      </c>
      <c r="AM352" s="57">
        <f t="shared" si="167"/>
        <v>-10.021775329720995</v>
      </c>
    </row>
    <row r="353" spans="1:39" ht="12.75" customHeight="1">
      <c r="A353" s="6">
        <v>347</v>
      </c>
      <c r="B353" s="6" t="s">
        <v>1028</v>
      </c>
      <c r="C353" s="81">
        <v>10155637600</v>
      </c>
      <c r="D353" s="81">
        <f t="shared" si="143"/>
        <v>39663940.5076169</v>
      </c>
      <c r="E353" s="8">
        <v>2222985000</v>
      </c>
      <c r="F353" s="81">
        <f t="shared" si="168"/>
        <v>31815140.178411797</v>
      </c>
      <c r="G353" s="81">
        <f t="shared" si="144"/>
        <v>71479081</v>
      </c>
      <c r="H353" s="127">
        <f t="shared" si="145"/>
        <v>73645201.642444819</v>
      </c>
      <c r="I353" s="347">
        <f t="shared" si="146"/>
        <v>0.97058707703780134</v>
      </c>
      <c r="J353" s="33">
        <f t="shared" si="141"/>
        <v>60757291</v>
      </c>
      <c r="K353" s="33">
        <f t="shared" si="147"/>
        <v>60757291</v>
      </c>
      <c r="L353" s="126">
        <f t="shared" si="148"/>
        <v>82.5</v>
      </c>
      <c r="M353" s="470"/>
      <c r="N353" s="128">
        <v>54098553</v>
      </c>
      <c r="O353" s="449">
        <v>6.7799999999999999E-2</v>
      </c>
      <c r="P353" s="33">
        <f t="shared" si="149"/>
        <v>57766435</v>
      </c>
      <c r="Q353" s="57">
        <f t="shared" si="150"/>
        <v>78.438830652487184</v>
      </c>
      <c r="R353" s="57">
        <f t="shared" si="151"/>
        <v>4.0611693475128163</v>
      </c>
      <c r="S353" s="88">
        <f t="shared" si="152"/>
        <v>0.01</v>
      </c>
      <c r="T353" s="33">
        <f t="shared" si="153"/>
        <v>540986</v>
      </c>
      <c r="U353" s="9">
        <f t="shared" si="154"/>
        <v>0</v>
      </c>
      <c r="V353" s="9">
        <f t="shared" si="142"/>
        <v>0</v>
      </c>
      <c r="W353" s="9">
        <f t="shared" si="155"/>
        <v>0</v>
      </c>
      <c r="X353" s="127">
        <f>MIN(H353*parameters!C$22,ROUND(P353+T353-V353+W353,0))</f>
        <v>58307421</v>
      </c>
      <c r="Y353" s="94">
        <f t="shared" si="156"/>
        <v>79.173414831679935</v>
      </c>
      <c r="AA353" s="33">
        <f t="shared" si="157"/>
        <v>-2990856</v>
      </c>
      <c r="AB353" s="33">
        <f t="shared" si="158"/>
        <v>-2449870</v>
      </c>
      <c r="AC353" s="33">
        <f t="shared" si="159"/>
        <v>0</v>
      </c>
      <c r="AD353" s="57">
        <f t="shared" si="160"/>
        <v>-3.3265851683200651</v>
      </c>
      <c r="AG353" s="609" t="str">
        <f t="shared" si="161"/>
        <v>347</v>
      </c>
      <c r="AH353" s="388" t="str">
        <f t="shared" si="162"/>
        <v>Woburn</v>
      </c>
      <c r="AI353" s="380">
        <f t="shared" si="163"/>
        <v>0.97058707703780134</v>
      </c>
      <c r="AJ353" s="381">
        <f t="shared" si="164"/>
        <v>82.5</v>
      </c>
      <c r="AK353" s="380">
        <f t="shared" si="165"/>
        <v>6.7799999999999999E-2</v>
      </c>
      <c r="AL353" s="9">
        <f t="shared" si="166"/>
        <v>58307421</v>
      </c>
      <c r="AM353" s="57">
        <f t="shared" si="167"/>
        <v>-3.3265851683200651</v>
      </c>
    </row>
    <row r="354" spans="1:39" ht="12.75" customHeight="1">
      <c r="A354" s="6">
        <v>348</v>
      </c>
      <c r="B354" s="6" t="s">
        <v>1029</v>
      </c>
      <c r="C354" s="81">
        <v>18737985800</v>
      </c>
      <c r="D354" s="81">
        <f t="shared" si="143"/>
        <v>73183229.185311839</v>
      </c>
      <c r="E354" s="8">
        <v>5225475000</v>
      </c>
      <c r="F354" s="81">
        <f t="shared" si="168"/>
        <v>74786478.372002691</v>
      </c>
      <c r="G354" s="81">
        <f t="shared" si="144"/>
        <v>147969708</v>
      </c>
      <c r="H354" s="127">
        <f t="shared" si="145"/>
        <v>505110665.75</v>
      </c>
      <c r="I354" s="347">
        <f t="shared" si="146"/>
        <v>0.29294512674819717</v>
      </c>
      <c r="J354" s="33">
        <f t="shared" si="141"/>
        <v>416716299</v>
      </c>
      <c r="K354" s="33">
        <f t="shared" si="147"/>
        <v>147969708</v>
      </c>
      <c r="L354" s="126">
        <f t="shared" si="148"/>
        <v>29.29</v>
      </c>
      <c r="M354" s="470"/>
      <c r="N354" s="128">
        <v>120432974</v>
      </c>
      <c r="O354" s="449">
        <v>5.0099999999999999E-2</v>
      </c>
      <c r="P354" s="33">
        <f t="shared" si="149"/>
        <v>126466666</v>
      </c>
      <c r="Q354" s="57">
        <f t="shared" si="150"/>
        <v>25.03741745627552</v>
      </c>
      <c r="R354" s="57">
        <f t="shared" si="151"/>
        <v>4.2525825437244791</v>
      </c>
      <c r="S354" s="88">
        <f t="shared" si="152"/>
        <v>0.01</v>
      </c>
      <c r="T354" s="33">
        <f t="shared" si="153"/>
        <v>1204330</v>
      </c>
      <c r="U354" s="9">
        <f t="shared" si="154"/>
        <v>0</v>
      </c>
      <c r="V354" s="9">
        <f t="shared" si="142"/>
        <v>0</v>
      </c>
      <c r="W354" s="9">
        <f t="shared" si="155"/>
        <v>0</v>
      </c>
      <c r="X354" s="127">
        <f>MIN(H354*parameters!C$22,ROUND(P354+T354-V354+W354,0))</f>
        <v>127670996</v>
      </c>
      <c r="Y354" s="94">
        <f t="shared" si="156"/>
        <v>25.275846395053083</v>
      </c>
      <c r="AA354" s="33">
        <f t="shared" si="157"/>
        <v>-21503042</v>
      </c>
      <c r="AB354" s="33">
        <f t="shared" si="158"/>
        <v>-20298712</v>
      </c>
      <c r="AC354" s="33">
        <f t="shared" si="159"/>
        <v>0</v>
      </c>
      <c r="AD354" s="57">
        <f t="shared" si="160"/>
        <v>-4.014153604946916</v>
      </c>
      <c r="AG354" s="609" t="str">
        <f t="shared" si="161"/>
        <v>348</v>
      </c>
      <c r="AH354" s="388" t="str">
        <f t="shared" si="162"/>
        <v>Worcester</v>
      </c>
      <c r="AI354" s="380">
        <f t="shared" si="163"/>
        <v>0.29294512674819717</v>
      </c>
      <c r="AJ354" s="381">
        <f t="shared" si="164"/>
        <v>29.29</v>
      </c>
      <c r="AK354" s="380">
        <f t="shared" si="165"/>
        <v>5.0099999999999999E-2</v>
      </c>
      <c r="AL354" s="9">
        <f t="shared" si="166"/>
        <v>127670996</v>
      </c>
      <c r="AM354" s="57">
        <f t="shared" si="167"/>
        <v>-4.014153604946916</v>
      </c>
    </row>
    <row r="355" spans="1:39" ht="12.75" customHeight="1">
      <c r="A355" s="6">
        <v>349</v>
      </c>
      <c r="B355" s="6" t="s">
        <v>1030</v>
      </c>
      <c r="C355" s="81">
        <v>198652000</v>
      </c>
      <c r="D355" s="81">
        <f t="shared" si="143"/>
        <v>775856.86099306191</v>
      </c>
      <c r="E355" s="8">
        <v>39385000</v>
      </c>
      <c r="F355" s="81">
        <f t="shared" si="168"/>
        <v>563674.20199720131</v>
      </c>
      <c r="G355" s="81">
        <f t="shared" si="144"/>
        <v>1339531</v>
      </c>
      <c r="H355" s="127">
        <f t="shared" si="145"/>
        <v>1599602.0399999998</v>
      </c>
      <c r="I355" s="347">
        <f t="shared" si="146"/>
        <v>0.83741516108594116</v>
      </c>
      <c r="J355" s="33">
        <f t="shared" si="141"/>
        <v>1319672</v>
      </c>
      <c r="K355" s="33">
        <f t="shared" si="147"/>
        <v>1319672</v>
      </c>
      <c r="L355" s="126">
        <f t="shared" si="148"/>
        <v>82.5</v>
      </c>
      <c r="M355" s="470"/>
      <c r="N355" s="128">
        <v>1103824</v>
      </c>
      <c r="O355" s="449">
        <v>4.4500000000000005E-2</v>
      </c>
      <c r="P355" s="33">
        <f t="shared" si="149"/>
        <v>1152944</v>
      </c>
      <c r="Q355" s="57">
        <f t="shared" si="150"/>
        <v>72.076927333751101</v>
      </c>
      <c r="R355" s="57">
        <f t="shared" si="151"/>
        <v>10.423072666248899</v>
      </c>
      <c r="S355" s="88">
        <f t="shared" si="152"/>
        <v>0.02</v>
      </c>
      <c r="T355" s="33">
        <f t="shared" si="153"/>
        <v>22076</v>
      </c>
      <c r="U355" s="9">
        <f t="shared" si="154"/>
        <v>0</v>
      </c>
      <c r="V355" s="9">
        <f t="shared" si="142"/>
        <v>0</v>
      </c>
      <c r="W355" s="9">
        <f t="shared" si="155"/>
        <v>0</v>
      </c>
      <c r="X355" s="127">
        <f>MIN(H355*parameters!C$22,ROUND(P355+T355-V355+W355,0))</f>
        <v>1175020</v>
      </c>
      <c r="Y355" s="94">
        <f t="shared" si="156"/>
        <v>73.457020597448107</v>
      </c>
      <c r="AA355" s="33">
        <f t="shared" si="157"/>
        <v>-166728</v>
      </c>
      <c r="AB355" s="33">
        <f t="shared" si="158"/>
        <v>-144652</v>
      </c>
      <c r="AC355" s="33">
        <f t="shared" si="159"/>
        <v>0</v>
      </c>
      <c r="AD355" s="57">
        <f t="shared" si="160"/>
        <v>-9.042979402551893</v>
      </c>
      <c r="AG355" s="609" t="str">
        <f t="shared" si="161"/>
        <v>349</v>
      </c>
      <c r="AH355" s="388" t="str">
        <f t="shared" si="162"/>
        <v>Worthington</v>
      </c>
      <c r="AI355" s="380">
        <f t="shared" si="163"/>
        <v>0.83741516108594116</v>
      </c>
      <c r="AJ355" s="381">
        <f t="shared" si="164"/>
        <v>82.5</v>
      </c>
      <c r="AK355" s="380">
        <f t="shared" si="165"/>
        <v>4.4500000000000005E-2</v>
      </c>
      <c r="AL355" s="9">
        <f t="shared" si="166"/>
        <v>1175020</v>
      </c>
      <c r="AM355" s="57">
        <f t="shared" si="167"/>
        <v>-9.042979402551893</v>
      </c>
    </row>
    <row r="356" spans="1:39" ht="12.75" customHeight="1">
      <c r="A356" s="6">
        <v>350</v>
      </c>
      <c r="B356" s="6" t="s">
        <v>1031</v>
      </c>
      <c r="C356" s="81">
        <v>2814471000</v>
      </c>
      <c r="D356" s="81">
        <f t="shared" si="143"/>
        <v>10992220.744900651</v>
      </c>
      <c r="E356" s="8">
        <v>922083000</v>
      </c>
      <c r="F356" s="81">
        <f t="shared" si="168"/>
        <v>13196760.167581197</v>
      </c>
      <c r="G356" s="81">
        <f t="shared" si="144"/>
        <v>24188981</v>
      </c>
      <c r="H356" s="127">
        <f t="shared" si="145"/>
        <v>23819770.352743778</v>
      </c>
      <c r="I356" s="347">
        <f t="shared" si="146"/>
        <v>1.0155001766091205</v>
      </c>
      <c r="J356" s="33">
        <f t="shared" si="141"/>
        <v>19651311</v>
      </c>
      <c r="K356" s="33">
        <f t="shared" si="147"/>
        <v>19651311</v>
      </c>
      <c r="L356" s="126">
        <f t="shared" si="148"/>
        <v>82.5</v>
      </c>
      <c r="M356" s="470"/>
      <c r="N356" s="128">
        <v>17726400</v>
      </c>
      <c r="O356" s="449">
        <v>4.590000000000001E-2</v>
      </c>
      <c r="P356" s="33">
        <f t="shared" si="149"/>
        <v>18540042</v>
      </c>
      <c r="Q356" s="57">
        <f t="shared" si="150"/>
        <v>77.834679870725068</v>
      </c>
      <c r="R356" s="57">
        <f t="shared" si="151"/>
        <v>4.6653201292749316</v>
      </c>
      <c r="S356" s="88">
        <f t="shared" si="152"/>
        <v>0.01</v>
      </c>
      <c r="T356" s="33">
        <f t="shared" si="153"/>
        <v>177264</v>
      </c>
      <c r="U356" s="9">
        <f t="shared" si="154"/>
        <v>0</v>
      </c>
      <c r="V356" s="9">
        <f t="shared" si="142"/>
        <v>0</v>
      </c>
      <c r="W356" s="9">
        <f t="shared" si="155"/>
        <v>0</v>
      </c>
      <c r="X356" s="127">
        <f>MIN(H356*parameters!C$22,ROUND(P356+T356-V356+W356,0))</f>
        <v>18717306</v>
      </c>
      <c r="Y356" s="94">
        <f t="shared" si="156"/>
        <v>78.578868405605647</v>
      </c>
      <c r="AA356" s="33">
        <f t="shared" si="157"/>
        <v>-1111269</v>
      </c>
      <c r="AB356" s="33">
        <f t="shared" si="158"/>
        <v>-934005</v>
      </c>
      <c r="AC356" s="33">
        <f t="shared" si="159"/>
        <v>0</v>
      </c>
      <c r="AD356" s="57">
        <f t="shared" si="160"/>
        <v>-3.9211315943943532</v>
      </c>
      <c r="AG356" s="609" t="str">
        <f t="shared" si="161"/>
        <v>350</v>
      </c>
      <c r="AH356" s="388" t="str">
        <f t="shared" si="162"/>
        <v>Wrentham</v>
      </c>
      <c r="AI356" s="380">
        <f t="shared" si="163"/>
        <v>1.0155001766091205</v>
      </c>
      <c r="AJ356" s="381">
        <f t="shared" si="164"/>
        <v>82.5</v>
      </c>
      <c r="AK356" s="380">
        <f t="shared" si="165"/>
        <v>4.590000000000001E-2</v>
      </c>
      <c r="AL356" s="9">
        <f t="shared" si="166"/>
        <v>18717306</v>
      </c>
      <c r="AM356" s="57">
        <f t="shared" si="167"/>
        <v>-3.9211315943943532</v>
      </c>
    </row>
    <row r="357" spans="1:39" ht="12.75" customHeight="1">
      <c r="A357" s="6">
        <v>351</v>
      </c>
      <c r="B357" s="6" t="s">
        <v>1032</v>
      </c>
      <c r="C357" s="81">
        <v>7825616900</v>
      </c>
      <c r="D357" s="81">
        <f t="shared" si="143"/>
        <v>30563792.780179691</v>
      </c>
      <c r="E357" s="8">
        <v>1131027000</v>
      </c>
      <c r="F357" s="81">
        <f t="shared" si="168"/>
        <v>16187145.909922272</v>
      </c>
      <c r="G357" s="81">
        <f t="shared" si="144"/>
        <v>46750939</v>
      </c>
      <c r="H357" s="127">
        <f t="shared" si="145"/>
        <v>40335005.154449716</v>
      </c>
      <c r="I357" s="347">
        <f t="shared" si="146"/>
        <v>1.1590661466629932</v>
      </c>
      <c r="J357" s="33">
        <f t="shared" si="141"/>
        <v>33276379</v>
      </c>
      <c r="K357" s="33">
        <f t="shared" si="147"/>
        <v>33276379</v>
      </c>
      <c r="L357" s="126">
        <f t="shared" si="148"/>
        <v>82.5</v>
      </c>
      <c r="M357" s="470"/>
      <c r="N357" s="128">
        <v>27961470</v>
      </c>
      <c r="O357" s="449">
        <v>4.3200000000000002E-2</v>
      </c>
      <c r="P357" s="33">
        <f t="shared" si="149"/>
        <v>29169406</v>
      </c>
      <c r="Q357" s="57">
        <f t="shared" si="150"/>
        <v>72.317843739712671</v>
      </c>
      <c r="R357" s="57">
        <f t="shared" si="151"/>
        <v>10.182156260287329</v>
      </c>
      <c r="S357" s="88">
        <f t="shared" si="152"/>
        <v>0.02</v>
      </c>
      <c r="T357" s="33">
        <f t="shared" si="153"/>
        <v>559229</v>
      </c>
      <c r="U357" s="9">
        <f t="shared" si="154"/>
        <v>0</v>
      </c>
      <c r="V357" s="9">
        <f t="shared" si="142"/>
        <v>0</v>
      </c>
      <c r="W357" s="9">
        <f t="shared" si="155"/>
        <v>0</v>
      </c>
      <c r="X357" s="127">
        <f>MIN(H357*parameters!C$22,ROUND(P357+T357-V357+W357,0))</f>
        <v>29728635</v>
      </c>
      <c r="Y357" s="94">
        <f t="shared" si="156"/>
        <v>73.704304452581354</v>
      </c>
      <c r="AA357" s="33">
        <f t="shared" si="157"/>
        <v>-4106973</v>
      </c>
      <c r="AB357" s="33">
        <f t="shared" si="158"/>
        <v>-3547744</v>
      </c>
      <c r="AC357" s="33">
        <f t="shared" si="159"/>
        <v>0</v>
      </c>
      <c r="AD357" s="57">
        <f t="shared" si="160"/>
        <v>-8.7956955474186458</v>
      </c>
      <c r="AG357" s="609" t="str">
        <f t="shared" si="161"/>
        <v>351</v>
      </c>
      <c r="AH357" s="388" t="str">
        <f t="shared" si="162"/>
        <v>Yarmouth</v>
      </c>
      <c r="AI357" s="380">
        <f t="shared" si="163"/>
        <v>1.1590661466629932</v>
      </c>
      <c r="AJ357" s="381">
        <f t="shared" si="164"/>
        <v>82.5</v>
      </c>
      <c r="AK357" s="380">
        <f t="shared" si="165"/>
        <v>4.3200000000000002E-2</v>
      </c>
      <c r="AL357" s="9">
        <f t="shared" si="166"/>
        <v>29728635</v>
      </c>
      <c r="AM357" s="57">
        <f t="shared" si="167"/>
        <v>-8.7956955474186458</v>
      </c>
    </row>
    <row r="358" spans="1:39" ht="12.75" customHeight="1">
      <c r="A358" s="10">
        <v>999</v>
      </c>
      <c r="B358" s="10" t="s">
        <v>591</v>
      </c>
      <c r="C358" s="79">
        <f>SUM(C7:C357)</f>
        <v>1583183946900</v>
      </c>
      <c r="D358" s="79">
        <f t="shared" ref="D358:K358" si="169">SUM(D7:D357)</f>
        <v>6183296052.4758863</v>
      </c>
      <c r="E358" s="79">
        <f t="shared" si="169"/>
        <v>432038780848.75</v>
      </c>
      <c r="F358" s="79">
        <f t="shared" si="169"/>
        <v>6183296052.4758949</v>
      </c>
      <c r="G358" s="79">
        <f t="shared" si="169"/>
        <v>12366592109</v>
      </c>
      <c r="H358" s="79">
        <f t="shared" si="169"/>
        <v>14535103399.717716</v>
      </c>
      <c r="I358" s="347">
        <f t="shared" si="146"/>
        <v>0.85080867806142813</v>
      </c>
      <c r="J358" s="79">
        <f t="shared" si="169"/>
        <v>11991460299</v>
      </c>
      <c r="K358" s="79">
        <f t="shared" si="169"/>
        <v>8575711006</v>
      </c>
      <c r="L358" s="130">
        <f>K358*100/H358</f>
        <v>59.000000001145828</v>
      </c>
      <c r="N358" s="79">
        <v>7566302117</v>
      </c>
      <c r="O358" s="450">
        <v>4.3200000000000002E-2</v>
      </c>
      <c r="P358" s="79">
        <f>SUM(P7:P357)</f>
        <v>7948421842</v>
      </c>
      <c r="Q358" s="498">
        <f t="shared" si="150"/>
        <v>54.684315779648081</v>
      </c>
      <c r="R358" s="602" t="s">
        <v>2544</v>
      </c>
      <c r="S358" s="602" t="s">
        <v>2544</v>
      </c>
      <c r="T358" s="79">
        <f>SUM(T7:T357)</f>
        <v>55093434</v>
      </c>
      <c r="U358" s="79">
        <f>SUM(U7:U357)</f>
        <v>35208638</v>
      </c>
      <c r="V358" s="79">
        <f>SUM(V7:V357)</f>
        <v>35208638</v>
      </c>
      <c r="W358" s="79">
        <f>SUM(W7:W357)</f>
        <v>3748688</v>
      </c>
      <c r="X358" s="79">
        <f>SUM(X7:X357)</f>
        <v>7972055326</v>
      </c>
      <c r="Y358" s="323">
        <f t="shared" si="156"/>
        <v>54.846911692109629</v>
      </c>
      <c r="Z358" s="436"/>
      <c r="AA358" s="79">
        <f>SUM(AA7:AA357)</f>
        <v>-662497802</v>
      </c>
      <c r="AB358" s="79">
        <f>SUM(AB7:AB357)</f>
        <v>-603655680</v>
      </c>
      <c r="AC358" s="79">
        <f>SUM(AC7:AC357)</f>
        <v>0</v>
      </c>
      <c r="AD358" s="602" t="s">
        <v>2544</v>
      </c>
      <c r="AG358" s="609" t="str">
        <f t="shared" ref="AG358" si="170">TEXT(A358,"000")</f>
        <v>999</v>
      </c>
      <c r="AH358" s="388" t="str">
        <f t="shared" ref="AH358" si="171">B358</f>
        <v>STATE TOTAL</v>
      </c>
      <c r="AI358" s="380">
        <f t="shared" ref="AI358" si="172">I358</f>
        <v>0.85080867806142813</v>
      </c>
      <c r="AJ358" s="381">
        <f t="shared" ref="AJ358" si="173">L358</f>
        <v>59.000000001145828</v>
      </c>
      <c r="AK358" s="380">
        <f t="shared" si="165"/>
        <v>4.3200000000000002E-2</v>
      </c>
      <c r="AL358" s="9">
        <f t="shared" ref="AL358" si="174">X358</f>
        <v>7972055326</v>
      </c>
      <c r="AM358" s="612" t="str">
        <f t="shared" ref="AM358" si="175">AD358</f>
        <v>--</v>
      </c>
    </row>
    <row r="359" spans="1:39" ht="12.75" customHeight="1">
      <c r="A359" s="10"/>
      <c r="B359" s="10"/>
      <c r="C359" s="79"/>
      <c r="D359" s="79"/>
      <c r="E359" s="79"/>
      <c r="F359" s="79"/>
      <c r="G359" s="79"/>
      <c r="H359" s="79"/>
      <c r="I359" s="79"/>
      <c r="J359" s="79"/>
      <c r="K359" s="79"/>
      <c r="L359" s="130"/>
      <c r="N359" s="79"/>
      <c r="O359" s="91"/>
      <c r="P359" s="79"/>
      <c r="T359" s="79"/>
      <c r="U359" s="79"/>
      <c r="V359" s="79"/>
      <c r="W359" s="79"/>
      <c r="X359" s="79"/>
      <c r="Y359" s="94"/>
      <c r="Z359" s="436"/>
      <c r="AA359" s="79"/>
      <c r="AB359" s="79"/>
      <c r="AC359" s="79"/>
    </row>
    <row r="360" spans="1:39" ht="12.75" customHeight="1">
      <c r="A360" s="10"/>
      <c r="B360" s="10"/>
      <c r="C360" s="79"/>
      <c r="D360" s="79"/>
      <c r="E360" s="79"/>
      <c r="F360" s="79"/>
      <c r="G360" s="79"/>
      <c r="H360" s="79"/>
      <c r="I360" s="79"/>
      <c r="J360" s="79"/>
      <c r="K360" s="79"/>
      <c r="L360" s="131"/>
      <c r="N360" s="79"/>
      <c r="O360" s="91"/>
      <c r="P360" s="79"/>
      <c r="T360" s="79"/>
      <c r="U360" s="79"/>
      <c r="V360" s="79"/>
      <c r="W360" s="79"/>
      <c r="X360" s="79"/>
      <c r="Y360" s="94"/>
      <c r="Z360" s="117"/>
      <c r="AA360" s="79"/>
      <c r="AB360" s="79"/>
      <c r="AC360" s="79"/>
      <c r="AE360" s="10"/>
    </row>
    <row r="361" spans="1:39" ht="12.75" customHeight="1">
      <c r="C361" s="79"/>
      <c r="D361" s="79"/>
      <c r="E361" s="79"/>
      <c r="F361" s="79"/>
      <c r="G361" s="79"/>
      <c r="H361" s="79"/>
      <c r="I361" s="79"/>
      <c r="J361" s="79"/>
      <c r="K361" s="79"/>
      <c r="L361" s="79"/>
      <c r="M361" s="10"/>
      <c r="N361" s="79"/>
      <c r="O361" s="79"/>
      <c r="P361" s="10"/>
      <c r="Q361" s="79"/>
      <c r="R361" s="79">
        <f>COUNTIF(R7:R357,"&gt;0")</f>
        <v>285</v>
      </c>
      <c r="S361" s="79">
        <f>COUNTIF(S7:S357,".01")</f>
        <v>176</v>
      </c>
      <c r="T361" s="79">
        <f>COUNTIF(T7:T357,"&gt;0")</f>
        <v>236</v>
      </c>
      <c r="U361" s="79">
        <f>COUNTIF(U7:U357,"&gt;0")</f>
        <v>65</v>
      </c>
      <c r="V361" s="79"/>
      <c r="W361" s="79">
        <f>COUNTIF(W7:W357,"&gt;0")</f>
        <v>15</v>
      </c>
      <c r="X361" s="603" t="s">
        <v>2544</v>
      </c>
      <c r="Y361" s="129"/>
      <c r="AA361" s="10">
        <f>COUNTIF(AA7:AA357,"&lt;0")</f>
        <v>285</v>
      </c>
      <c r="AB361" s="10">
        <f>COUNTIF(AB7:AB357,"&gt;0")</f>
        <v>0</v>
      </c>
      <c r="AC361" s="10">
        <f>COUNTIF(AC7:AC357,"&gt;0")</f>
        <v>0</v>
      </c>
      <c r="AE361" s="10"/>
    </row>
    <row r="362" spans="1:39" ht="12.75" customHeight="1">
      <c r="H362" s="8"/>
      <c r="I362" s="8"/>
      <c r="J362" s="79"/>
      <c r="L362" s="132"/>
      <c r="S362" s="79">
        <f>COUNTIF(S7:S357,".02")</f>
        <v>60</v>
      </c>
      <c r="U362" s="132">
        <f>U361/351</f>
        <v>0.18518518518518517</v>
      </c>
      <c r="V362" s="9"/>
      <c r="W362" s="132"/>
      <c r="AE362" s="10"/>
    </row>
    <row r="363" spans="1:39" ht="12.75" customHeight="1">
      <c r="A363" s="6" t="s">
        <v>2580</v>
      </c>
      <c r="K363" s="394"/>
      <c r="N363" s="79"/>
      <c r="O363" s="79"/>
      <c r="Q363" s="133"/>
      <c r="R363" s="133"/>
      <c r="S363" s="133"/>
      <c r="T363" s="133"/>
      <c r="U363" s="12"/>
      <c r="V363" s="640"/>
      <c r="W363" s="641"/>
      <c r="X363" s="641"/>
      <c r="Y363" s="12"/>
      <c r="AB363" s="9"/>
    </row>
    <row r="364" spans="1:39" ht="12.75" customHeight="1">
      <c r="H364" s="522"/>
      <c r="K364" s="9"/>
      <c r="N364" s="79"/>
      <c r="O364" s="79"/>
      <c r="Q364" s="133"/>
      <c r="R364" s="133"/>
      <c r="S364" s="133"/>
      <c r="T364" s="133"/>
      <c r="U364" s="12"/>
      <c r="V364" s="12"/>
      <c r="W364" s="12"/>
      <c r="X364" s="12"/>
      <c r="Y364" s="12"/>
    </row>
    <row r="365" spans="1:39" ht="12.75" customHeight="1">
      <c r="U365" s="78"/>
      <c r="V365" s="78"/>
      <c r="W365" s="78"/>
      <c r="X365" s="78"/>
      <c r="Y365" s="12"/>
    </row>
  </sheetData>
  <sheetProtection autoFilter="0"/>
  <mergeCells count="2">
    <mergeCell ref="V363:X363"/>
    <mergeCell ref="I4:I5"/>
  </mergeCells>
  <phoneticPr fontId="0" type="noConversion"/>
  <hyperlinks>
    <hyperlink ref="B2" location="Index!A10" display="Return to Index" xr:uid="{00000000-0004-0000-0C00-000000000000}"/>
    <hyperlink ref="B3" location="MoreAboutData!A4" display="More about the data" xr:uid="{00000000-0004-0000-0C00-000001000000}"/>
  </hyperlinks>
  <pageMargins left="0.75" right="0.75" top="1" bottom="1" header="0.5" footer="0.5"/>
  <pageSetup scale="115" orientation="landscape" r:id="rId1"/>
  <headerFooter alignWithMargins="0"/>
  <legacyDrawing r:id="rId2"/>
  <tableParts count="5">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820"/>
  <sheetViews>
    <sheetView workbookViewId="0">
      <pane ySplit="9" topLeftCell="A10" activePane="bottomLeft" state="frozen"/>
      <selection pane="bottomLeft"/>
    </sheetView>
  </sheetViews>
  <sheetFormatPr defaultColWidth="9" defaultRowHeight="12.75"/>
  <cols>
    <col min="1" max="1" width="7" style="4" customWidth="1"/>
    <col min="2" max="2" width="5.75" style="4" customWidth="1"/>
    <col min="3" max="3" width="26.125" style="4" customWidth="1"/>
    <col min="4" max="4" width="5.625" style="4" customWidth="1"/>
    <col min="5" max="5" width="18" style="4" customWidth="1"/>
    <col min="6" max="6" width="11.5" style="4" bestFit="1" customWidth="1"/>
    <col min="7" max="7" width="17.375" style="4" bestFit="1" customWidth="1"/>
    <col min="8" max="8" width="11.5" style="4" bestFit="1" customWidth="1"/>
    <col min="9" max="16384" width="9" style="4"/>
  </cols>
  <sheetData>
    <row r="1" spans="1:8" s="3" customFormat="1" ht="13.5">
      <c r="A1" s="5"/>
      <c r="F1" s="2" t="s">
        <v>640</v>
      </c>
      <c r="G1" s="2" t="s">
        <v>641</v>
      </c>
      <c r="H1" s="2" t="s">
        <v>642</v>
      </c>
    </row>
    <row r="2" spans="1:8" s="3" customFormat="1">
      <c r="A2" s="3" t="s">
        <v>643</v>
      </c>
    </row>
    <row r="3" spans="1:8" s="3" customFormat="1" ht="13.5">
      <c r="F3" s="2"/>
      <c r="G3" s="2"/>
      <c r="H3" s="2"/>
    </row>
    <row r="4" spans="1:8" s="3" customFormat="1">
      <c r="F4" s="329"/>
    </row>
    <row r="5" spans="1:8" s="3" customFormat="1">
      <c r="F5" s="1"/>
      <c r="G5" s="1"/>
      <c r="H5" s="1"/>
    </row>
    <row r="6" spans="1:8" s="3" customFormat="1"/>
    <row r="7" spans="1:8" s="1" customFormat="1">
      <c r="A7" s="12"/>
      <c r="B7" s="10"/>
      <c r="C7" s="10"/>
      <c r="D7" s="10"/>
      <c r="E7" s="10"/>
      <c r="F7" s="12" t="str">
        <f>CYr&amp;" Total"</f>
        <v>FY25 Total</v>
      </c>
      <c r="G7" s="12" t="str">
        <f>CYr&amp;" Proportional"</f>
        <v>FY25 Proportional</v>
      </c>
      <c r="H7" s="12" t="str">
        <f>CYr&amp;" Prop"</f>
        <v>FY25 Prop</v>
      </c>
    </row>
    <row r="8" spans="1:8" s="1" customFormat="1">
      <c r="A8" s="12"/>
      <c r="B8" s="10"/>
      <c r="C8" s="10"/>
      <c r="D8" s="10"/>
      <c r="E8" s="10"/>
      <c r="F8" s="12" t="s">
        <v>631</v>
      </c>
      <c r="G8" s="12" t="s">
        <v>615</v>
      </c>
      <c r="H8" s="12" t="s">
        <v>631</v>
      </c>
    </row>
    <row r="9" spans="1:8" s="1" customFormat="1">
      <c r="A9" s="12" t="s">
        <v>59</v>
      </c>
      <c r="B9" s="10" t="s">
        <v>57</v>
      </c>
      <c r="C9" s="10" t="s">
        <v>600</v>
      </c>
      <c r="D9" s="10" t="s">
        <v>57</v>
      </c>
      <c r="E9" s="10" t="s">
        <v>601</v>
      </c>
      <c r="F9" s="12" t="s">
        <v>632</v>
      </c>
      <c r="G9" s="12" t="s">
        <v>632</v>
      </c>
      <c r="H9" s="12" t="s">
        <v>632</v>
      </c>
    </row>
    <row r="10" spans="1:8">
      <c r="A10" s="6">
        <v>1</v>
      </c>
      <c r="B10" s="6">
        <v>1</v>
      </c>
      <c r="C10" s="6" t="s">
        <v>1120</v>
      </c>
      <c r="D10" s="6">
        <v>1</v>
      </c>
      <c r="E10" s="6" t="s">
        <v>682</v>
      </c>
      <c r="F10" s="8">
        <f t="shared" ref="F10" si="0">VLOOKUP(B10, town351, 7)</f>
        <v>20907982</v>
      </c>
      <c r="G10" s="8">
        <f>VLOOKUP(A10, localcont!$D$10:$L$1764, 8)</f>
        <v>32236384.532019995</v>
      </c>
      <c r="H10" s="81">
        <f>VLOOKUP(A10, localcont!$D$10:$L$1764, 9)*F10</f>
        <v>19471004.909926064</v>
      </c>
    </row>
    <row r="11" spans="1:8">
      <c r="A11" s="6">
        <v>2</v>
      </c>
      <c r="B11" s="6">
        <v>1</v>
      </c>
      <c r="C11" s="6" t="s">
        <v>1120</v>
      </c>
      <c r="D11" s="6">
        <v>873</v>
      </c>
      <c r="E11" s="6" t="s">
        <v>1113</v>
      </c>
      <c r="F11" s="8">
        <f t="shared" ref="F11:F74" si="1">VLOOKUP(B11, town351, 7)</f>
        <v>20907982</v>
      </c>
      <c r="G11" s="8">
        <f>VLOOKUP(A11, localcont!$D$10:$L$1764, 8)</f>
        <v>2379073.2041627523</v>
      </c>
      <c r="H11" s="81">
        <f>VLOOKUP(A11, localcont!$D$10:$L$1764, 9)*F11</f>
        <v>1436977.0900739343</v>
      </c>
    </row>
    <row r="12" spans="1:8">
      <c r="A12" s="6">
        <v>6</v>
      </c>
      <c r="B12" s="6">
        <v>2</v>
      </c>
      <c r="C12" s="6" t="s">
        <v>1121</v>
      </c>
      <c r="D12" s="6">
        <v>2</v>
      </c>
      <c r="E12" s="6" t="s">
        <v>683</v>
      </c>
      <c r="F12" s="8">
        <f t="shared" si="1"/>
        <v>52167408</v>
      </c>
      <c r="G12" s="8">
        <f>VLOOKUP(A12, localcont!$D$10:$L$1764, 8)</f>
        <v>0</v>
      </c>
      <c r="H12" s="81">
        <f>VLOOKUP(A12, localcont!$D$10:$L$1764, 9)*F12</f>
        <v>0</v>
      </c>
    </row>
    <row r="13" spans="1:8">
      <c r="A13" s="6">
        <v>7</v>
      </c>
      <c r="B13" s="6">
        <v>2</v>
      </c>
      <c r="C13" s="6" t="s">
        <v>1121</v>
      </c>
      <c r="D13" s="6">
        <v>600</v>
      </c>
      <c r="E13" s="6" t="s">
        <v>1035</v>
      </c>
      <c r="F13" s="8">
        <f t="shared" si="1"/>
        <v>52167408</v>
      </c>
      <c r="G13" s="8">
        <f>VLOOKUP(A13, localcont!$D$10:$L$1764, 8)</f>
        <v>54000661.217694253</v>
      </c>
      <c r="H13" s="81">
        <f>VLOOKUP(A13, localcont!$D$10:$L$1764, 9)*F13</f>
        <v>50281173.309653476</v>
      </c>
    </row>
    <row r="14" spans="1:8">
      <c r="A14" s="6">
        <v>8</v>
      </c>
      <c r="B14" s="6">
        <v>2</v>
      </c>
      <c r="C14" s="6" t="s">
        <v>1121</v>
      </c>
      <c r="D14" s="6">
        <v>830</v>
      </c>
      <c r="E14" s="6" t="s">
        <v>1104</v>
      </c>
      <c r="F14" s="8">
        <f t="shared" si="1"/>
        <v>52167408</v>
      </c>
      <c r="G14" s="8">
        <f>VLOOKUP(A14, localcont!$D$10:$L$1764, 8)</f>
        <v>2025766.5799320068</v>
      </c>
      <c r="H14" s="81">
        <f>VLOOKUP(A14, localcont!$D$10:$L$1764, 9)*F14</f>
        <v>1886234.6903465269</v>
      </c>
    </row>
    <row r="15" spans="1:8">
      <c r="A15" s="6">
        <v>11</v>
      </c>
      <c r="B15" s="6">
        <v>3</v>
      </c>
      <c r="C15" s="6" t="s">
        <v>1122</v>
      </c>
      <c r="D15" s="6">
        <v>3</v>
      </c>
      <c r="E15" s="6" t="s">
        <v>684</v>
      </c>
      <c r="F15" s="8">
        <f t="shared" si="1"/>
        <v>12487498</v>
      </c>
      <c r="G15" s="8">
        <f>VLOOKUP(A15, localcont!$D$10:$L$1764, 8)</f>
        <v>15622821.810000001</v>
      </c>
      <c r="H15" s="81">
        <f>VLOOKUP(A15, localcont!$D$10:$L$1764, 9)*F15</f>
        <v>9869823.6079559866</v>
      </c>
    </row>
    <row r="16" spans="1:8">
      <c r="A16" s="6">
        <v>12</v>
      </c>
      <c r="B16" s="6">
        <v>3</v>
      </c>
      <c r="C16" s="6" t="s">
        <v>1122</v>
      </c>
      <c r="D16" s="6">
        <v>855</v>
      </c>
      <c r="E16" s="6" t="s">
        <v>1109</v>
      </c>
      <c r="F16" s="8">
        <f t="shared" si="1"/>
        <v>12487498</v>
      </c>
      <c r="G16" s="8">
        <f>VLOOKUP(A16, localcont!$D$10:$L$1764, 8)</f>
        <v>3747380.4963533846</v>
      </c>
      <c r="H16" s="81">
        <f>VLOOKUP(A16, localcont!$D$10:$L$1764, 9)*F16</f>
        <v>2367433.0374316964</v>
      </c>
    </row>
    <row r="17" spans="1:8">
      <c r="A17" s="6">
        <v>13</v>
      </c>
      <c r="B17" s="6">
        <v>3</v>
      </c>
      <c r="C17" s="6" t="s">
        <v>1122</v>
      </c>
      <c r="D17" s="6">
        <v>910</v>
      </c>
      <c r="E17" s="6" t="s">
        <v>1118</v>
      </c>
      <c r="F17" s="8">
        <f t="shared" si="1"/>
        <v>12487498</v>
      </c>
      <c r="G17" s="8">
        <f>VLOOKUP(A17, localcont!$D$10:$L$1764, 8)</f>
        <v>396103.94753659435</v>
      </c>
      <c r="H17" s="81">
        <f>VLOOKUP(A17, localcont!$D$10:$L$1764, 9)*F17</f>
        <v>250241.35461231621</v>
      </c>
    </row>
    <row r="18" spans="1:8">
      <c r="A18" s="6">
        <v>16</v>
      </c>
      <c r="B18" s="6">
        <v>4</v>
      </c>
      <c r="C18" s="6" t="s">
        <v>1123</v>
      </c>
      <c r="D18" s="6">
        <v>4</v>
      </c>
      <c r="E18" s="6" t="s">
        <v>685</v>
      </c>
      <c r="F18" s="8">
        <f t="shared" si="1"/>
        <v>5381498</v>
      </c>
      <c r="G18" s="8">
        <f>VLOOKUP(A18, localcont!$D$10:$L$1764, 8)</f>
        <v>0</v>
      </c>
      <c r="H18" s="81">
        <f>VLOOKUP(A18, localcont!$D$10:$L$1764, 9)*F18</f>
        <v>0</v>
      </c>
    </row>
    <row r="19" spans="1:8">
      <c r="A19" s="6">
        <v>17</v>
      </c>
      <c r="B19" s="6">
        <v>4</v>
      </c>
      <c r="C19" s="6" t="s">
        <v>1123</v>
      </c>
      <c r="D19" s="6">
        <v>603</v>
      </c>
      <c r="E19" s="6" t="s">
        <v>2176</v>
      </c>
      <c r="F19" s="8">
        <f t="shared" si="1"/>
        <v>5381498</v>
      </c>
      <c r="G19" s="8">
        <f>VLOOKUP(A19, localcont!$D$10:$L$1764, 8)</f>
        <v>13561431.972144121</v>
      </c>
      <c r="H19" s="81">
        <f>VLOOKUP(A19, localcont!$D$10:$L$1764, 9)*F19</f>
        <v>4371006.3131434303</v>
      </c>
    </row>
    <row r="20" spans="1:8">
      <c r="A20" s="6">
        <v>18</v>
      </c>
      <c r="B20" s="6">
        <v>4</v>
      </c>
      <c r="C20" s="6" t="s">
        <v>1123</v>
      </c>
      <c r="D20" s="6">
        <v>851</v>
      </c>
      <c r="E20" s="6" t="s">
        <v>1106</v>
      </c>
      <c r="F20" s="8">
        <f t="shared" si="1"/>
        <v>5381498</v>
      </c>
      <c r="G20" s="8">
        <f>VLOOKUP(A20, localcont!$D$10:$L$1764, 8)</f>
        <v>3135139.4365448644</v>
      </c>
      <c r="H20" s="81">
        <f>VLOOKUP(A20, localcont!$D$10:$L$1764, 9)*F20</f>
        <v>1010491.6868565703</v>
      </c>
    </row>
    <row r="21" spans="1:8">
      <c r="A21" s="6">
        <v>21</v>
      </c>
      <c r="B21" s="6">
        <v>5</v>
      </c>
      <c r="C21" s="6" t="s">
        <v>1124</v>
      </c>
      <c r="D21" s="6">
        <v>5</v>
      </c>
      <c r="E21" s="6" t="s">
        <v>686</v>
      </c>
      <c r="F21" s="8">
        <f t="shared" si="1"/>
        <v>28487486</v>
      </c>
      <c r="G21" s="8">
        <f>VLOOKUP(A21, localcont!$D$10:$L$1764, 8)</f>
        <v>52988778.250000007</v>
      </c>
      <c r="H21" s="81">
        <f>VLOOKUP(A21, localcont!$D$10:$L$1764, 9)*F21</f>
        <v>28487486</v>
      </c>
    </row>
    <row r="22" spans="1:8">
      <c r="A22" s="6">
        <v>26</v>
      </c>
      <c r="B22" s="6">
        <v>6</v>
      </c>
      <c r="C22" s="6" t="s">
        <v>1125</v>
      </c>
      <c r="D22" s="6">
        <v>6</v>
      </c>
      <c r="E22" s="6" t="s">
        <v>687</v>
      </c>
      <c r="F22" s="8">
        <f t="shared" si="1"/>
        <v>1787214</v>
      </c>
      <c r="G22" s="8">
        <f>VLOOKUP(A22, localcont!$D$10:$L$1764, 8)</f>
        <v>0</v>
      </c>
      <c r="H22" s="81">
        <f>VLOOKUP(A22, localcont!$D$10:$L$1764, 9)*F22</f>
        <v>0</v>
      </c>
    </row>
    <row r="23" spans="1:8">
      <c r="A23" s="6">
        <v>27</v>
      </c>
      <c r="B23" s="6">
        <v>6</v>
      </c>
      <c r="C23" s="6" t="s">
        <v>1125</v>
      </c>
      <c r="D23" s="6">
        <v>765</v>
      </c>
      <c r="E23" s="6" t="s">
        <v>1083</v>
      </c>
      <c r="F23" s="8">
        <f t="shared" si="1"/>
        <v>1787214</v>
      </c>
      <c r="G23" s="8">
        <f>VLOOKUP(A23, localcont!$D$10:$L$1764, 8)</f>
        <v>279039.06521057821</v>
      </c>
      <c r="H23" s="81">
        <f>VLOOKUP(A23, localcont!$D$10:$L$1764, 9)*F23</f>
        <v>1787214</v>
      </c>
    </row>
    <row r="24" spans="1:8">
      <c r="A24" s="6">
        <v>31</v>
      </c>
      <c r="B24" s="6">
        <v>7</v>
      </c>
      <c r="C24" s="6" t="s">
        <v>1126</v>
      </c>
      <c r="D24" s="6">
        <v>7</v>
      </c>
      <c r="E24" s="6" t="s">
        <v>688</v>
      </c>
      <c r="F24" s="8">
        <f t="shared" si="1"/>
        <v>23483082</v>
      </c>
      <c r="G24" s="8">
        <f>VLOOKUP(A24, localcont!$D$10:$L$1764, 8)</f>
        <v>26495878.260000002</v>
      </c>
      <c r="H24" s="81">
        <f>VLOOKUP(A24, localcont!$D$10:$L$1764, 9)*F24</f>
        <v>21365885.930520173</v>
      </c>
    </row>
    <row r="25" spans="1:8">
      <c r="A25" s="6">
        <v>32</v>
      </c>
      <c r="B25" s="6">
        <v>7</v>
      </c>
      <c r="C25" s="6" t="s">
        <v>1126</v>
      </c>
      <c r="D25" s="6">
        <v>885</v>
      </c>
      <c r="E25" s="6" t="s">
        <v>1117</v>
      </c>
      <c r="F25" s="8">
        <f t="shared" si="1"/>
        <v>23483082</v>
      </c>
      <c r="G25" s="8">
        <f>VLOOKUP(A25, localcont!$D$10:$L$1764, 8)</f>
        <v>2625539.1183829177</v>
      </c>
      <c r="H25" s="81">
        <f>VLOOKUP(A25, localcont!$D$10:$L$1764, 9)*F25</f>
        <v>2117196.069479824</v>
      </c>
    </row>
    <row r="26" spans="1:8">
      <c r="A26" s="6">
        <v>36</v>
      </c>
      <c r="B26" s="6">
        <v>8</v>
      </c>
      <c r="C26" s="6" t="s">
        <v>1127</v>
      </c>
      <c r="D26" s="6">
        <v>8</v>
      </c>
      <c r="E26" s="6" t="s">
        <v>689</v>
      </c>
      <c r="F26" s="8">
        <f t="shared" si="1"/>
        <v>25013157</v>
      </c>
      <c r="G26" s="8">
        <f>VLOOKUP(A26, localcont!$D$10:$L$1764, 8)</f>
        <v>13476149.789999999</v>
      </c>
      <c r="H26" s="81">
        <f>VLOOKUP(A26, localcont!$D$10:$L$1764, 9)*F26</f>
        <v>12297450.846216904</v>
      </c>
    </row>
    <row r="27" spans="1:8">
      <c r="A27" s="6">
        <v>37</v>
      </c>
      <c r="B27" s="6">
        <v>8</v>
      </c>
      <c r="C27" s="6" t="s">
        <v>1127</v>
      </c>
      <c r="D27" s="6">
        <v>605</v>
      </c>
      <c r="E27" s="6" t="s">
        <v>1036</v>
      </c>
      <c r="F27" s="8">
        <f t="shared" si="1"/>
        <v>25013157</v>
      </c>
      <c r="G27" s="8">
        <f>VLOOKUP(A27, localcont!$D$10:$L$1764, 8)</f>
        <v>13934494.47018699</v>
      </c>
      <c r="H27" s="81">
        <f>VLOOKUP(A27, localcont!$D$10:$L$1764, 9)*F27</f>
        <v>12715706.153783094</v>
      </c>
    </row>
    <row r="28" spans="1:8">
      <c r="A28" s="6">
        <v>41</v>
      </c>
      <c r="B28" s="6">
        <v>9</v>
      </c>
      <c r="C28" s="6" t="s">
        <v>1128</v>
      </c>
      <c r="D28" s="6">
        <v>9</v>
      </c>
      <c r="E28" s="6" t="s">
        <v>690</v>
      </c>
      <c r="F28" s="8">
        <f t="shared" si="1"/>
        <v>102151163</v>
      </c>
      <c r="G28" s="8">
        <f>VLOOKUP(A28, localcont!$D$10:$L$1764, 8)</f>
        <v>72595075.473940015</v>
      </c>
      <c r="H28" s="81">
        <f>VLOOKUP(A28, localcont!$D$10:$L$1764, 9)*F28</f>
        <v>100389543.3572602</v>
      </c>
    </row>
    <row r="29" spans="1:8">
      <c r="A29" s="6">
        <v>42</v>
      </c>
      <c r="B29" s="6">
        <v>9</v>
      </c>
      <c r="C29" s="6" t="s">
        <v>1128</v>
      </c>
      <c r="D29" s="6">
        <v>823</v>
      </c>
      <c r="E29" s="6" t="s">
        <v>1100</v>
      </c>
      <c r="F29" s="8">
        <f t="shared" si="1"/>
        <v>102151163</v>
      </c>
      <c r="G29" s="8">
        <f>VLOOKUP(A29, localcont!$D$10:$L$1764, 8)</f>
        <v>1273886.7679272341</v>
      </c>
      <c r="H29" s="81">
        <f>VLOOKUP(A29, localcont!$D$10:$L$1764, 9)*F29</f>
        <v>1761619.6427398012</v>
      </c>
    </row>
    <row r="30" spans="1:8">
      <c r="A30" s="6">
        <v>46</v>
      </c>
      <c r="B30" s="6">
        <v>10</v>
      </c>
      <c r="C30" s="6" t="s">
        <v>1129</v>
      </c>
      <c r="D30" s="6">
        <v>10</v>
      </c>
      <c r="E30" s="6" t="s">
        <v>691</v>
      </c>
      <c r="F30" s="8">
        <f t="shared" si="1"/>
        <v>110643734</v>
      </c>
      <c r="G30" s="8">
        <f>VLOOKUP(A30, localcont!$D$10:$L$1764, 8)</f>
        <v>77449420.442229986</v>
      </c>
      <c r="H30" s="81">
        <f>VLOOKUP(A30, localcont!$D$10:$L$1764, 9)*F30</f>
        <v>104554058.61554296</v>
      </c>
    </row>
    <row r="31" spans="1:8">
      <c r="A31" s="6">
        <v>47</v>
      </c>
      <c r="B31" s="6">
        <v>10</v>
      </c>
      <c r="C31" s="6" t="s">
        <v>1129</v>
      </c>
      <c r="D31" s="6">
        <v>830</v>
      </c>
      <c r="E31" s="6" t="s">
        <v>1104</v>
      </c>
      <c r="F31" s="8">
        <f t="shared" si="1"/>
        <v>110643734</v>
      </c>
      <c r="G31" s="8">
        <f>VLOOKUP(A31, localcont!$D$10:$L$1764, 8)</f>
        <v>4510985.3740043854</v>
      </c>
      <c r="H31" s="81">
        <f>VLOOKUP(A31, localcont!$D$10:$L$1764, 9)*F31</f>
        <v>6089675.3844570369</v>
      </c>
    </row>
    <row r="32" spans="1:8">
      <c r="A32" s="6">
        <v>51</v>
      </c>
      <c r="B32" s="6">
        <v>11</v>
      </c>
      <c r="C32" s="6" t="s">
        <v>1130</v>
      </c>
      <c r="D32" s="6">
        <v>11</v>
      </c>
      <c r="E32" s="6" t="s">
        <v>692</v>
      </c>
      <c r="F32" s="8">
        <f t="shared" si="1"/>
        <v>6935980</v>
      </c>
      <c r="G32" s="8">
        <f>VLOOKUP(A32, localcont!$D$10:$L$1764, 8)</f>
        <v>0</v>
      </c>
      <c r="H32" s="81">
        <f>VLOOKUP(A32, localcont!$D$10:$L$1764, 9)*F32</f>
        <v>0</v>
      </c>
    </row>
    <row r="33" spans="1:8">
      <c r="A33" s="6">
        <v>52</v>
      </c>
      <c r="B33" s="6">
        <v>11</v>
      </c>
      <c r="C33" s="6" t="s">
        <v>1130</v>
      </c>
      <c r="D33" s="6">
        <v>610</v>
      </c>
      <c r="E33" s="6" t="s">
        <v>1037</v>
      </c>
      <c r="F33" s="8">
        <f t="shared" si="1"/>
        <v>6935980</v>
      </c>
      <c r="G33" s="8">
        <f>VLOOKUP(A33, localcont!$D$10:$L$1764, 8)</f>
        <v>13011229.302688826</v>
      </c>
      <c r="H33" s="81">
        <f>VLOOKUP(A33, localcont!$D$10:$L$1764, 9)*F33</f>
        <v>6307374.9541969122</v>
      </c>
    </row>
    <row r="34" spans="1:8">
      <c r="A34" s="6">
        <v>53</v>
      </c>
      <c r="B34" s="6">
        <v>11</v>
      </c>
      <c r="C34" s="6" t="s">
        <v>1130</v>
      </c>
      <c r="D34" s="6">
        <v>832</v>
      </c>
      <c r="E34" s="6" t="s">
        <v>1105</v>
      </c>
      <c r="F34" s="8">
        <f t="shared" si="1"/>
        <v>6935980</v>
      </c>
      <c r="G34" s="8">
        <f>VLOOKUP(A34, localcont!$D$10:$L$1764, 8)</f>
        <v>1296723.9859949888</v>
      </c>
      <c r="H34" s="81">
        <f>VLOOKUP(A34, localcont!$D$10:$L$1764, 9)*F34</f>
        <v>628605.0458030873</v>
      </c>
    </row>
    <row r="35" spans="1:8">
      <c r="A35" s="6">
        <v>56</v>
      </c>
      <c r="B35" s="6">
        <v>12</v>
      </c>
      <c r="C35" s="6" t="s">
        <v>1131</v>
      </c>
      <c r="D35" s="6">
        <v>12</v>
      </c>
      <c r="E35" s="6" t="s">
        <v>693</v>
      </c>
      <c r="F35" s="8">
        <f t="shared" si="1"/>
        <v>3361728</v>
      </c>
      <c r="G35" s="8">
        <f>VLOOKUP(A35, localcont!$D$10:$L$1764, 8)</f>
        <v>0</v>
      </c>
      <c r="H35" s="81">
        <f>VLOOKUP(A35, localcont!$D$10:$L$1764, 9)*F35</f>
        <v>0</v>
      </c>
    </row>
    <row r="36" spans="1:8">
      <c r="A36" s="6">
        <v>57</v>
      </c>
      <c r="B36" s="6">
        <v>12</v>
      </c>
      <c r="C36" s="6" t="s">
        <v>1131</v>
      </c>
      <c r="D36" s="6">
        <v>735</v>
      </c>
      <c r="E36" s="6" t="s">
        <v>1075</v>
      </c>
      <c r="F36" s="8">
        <f t="shared" si="1"/>
        <v>3361728</v>
      </c>
      <c r="G36" s="8">
        <f>VLOOKUP(A36, localcont!$D$10:$L$1764, 8)</f>
        <v>5451782.323509953</v>
      </c>
      <c r="H36" s="81">
        <f>VLOOKUP(A36, localcont!$D$10:$L$1764, 9)*F36</f>
        <v>3014434.5333056399</v>
      </c>
    </row>
    <row r="37" spans="1:8">
      <c r="A37" s="6">
        <v>58</v>
      </c>
      <c r="B37" s="6">
        <v>12</v>
      </c>
      <c r="C37" s="6" t="s">
        <v>1131</v>
      </c>
      <c r="D37" s="6">
        <v>832</v>
      </c>
      <c r="E37" s="6" t="s">
        <v>1105</v>
      </c>
      <c r="F37" s="8">
        <f t="shared" si="1"/>
        <v>3361728</v>
      </c>
      <c r="G37" s="8">
        <f>VLOOKUP(A37, localcont!$D$10:$L$1764, 8)</f>
        <v>628100.68086585123</v>
      </c>
      <c r="H37" s="81">
        <f>VLOOKUP(A37, localcont!$D$10:$L$1764, 9)*F37</f>
        <v>347293.46669436042</v>
      </c>
    </row>
    <row r="38" spans="1:8">
      <c r="A38" s="6">
        <v>61</v>
      </c>
      <c r="B38" s="6">
        <v>13</v>
      </c>
      <c r="C38" s="6" t="s">
        <v>1132</v>
      </c>
      <c r="D38" s="6">
        <v>13</v>
      </c>
      <c r="E38" s="6" t="s">
        <v>694</v>
      </c>
      <c r="F38" s="8">
        <f t="shared" si="1"/>
        <v>2324620</v>
      </c>
      <c r="G38" s="8">
        <f>VLOOKUP(A38, localcont!$D$10:$L$1764, 8)</f>
        <v>216797.25000000006</v>
      </c>
      <c r="H38" s="81">
        <f>VLOOKUP(A38, localcont!$D$10:$L$1764, 9)*F38</f>
        <v>214242.69442951804</v>
      </c>
    </row>
    <row r="39" spans="1:8">
      <c r="A39" s="6">
        <v>62</v>
      </c>
      <c r="B39" s="6">
        <v>13</v>
      </c>
      <c r="C39" s="6" t="s">
        <v>1132</v>
      </c>
      <c r="D39" s="6">
        <v>717</v>
      </c>
      <c r="E39" s="6" t="s">
        <v>1070</v>
      </c>
      <c r="F39" s="8">
        <f t="shared" si="1"/>
        <v>2324620</v>
      </c>
      <c r="G39" s="8">
        <f>VLOOKUP(A39, localcont!$D$10:$L$1764, 8)</f>
        <v>2135540.7125007357</v>
      </c>
      <c r="H39" s="81">
        <f>VLOOKUP(A39, localcont!$D$10:$L$1764, 9)*F39</f>
        <v>2110377.3055704818</v>
      </c>
    </row>
    <row r="40" spans="1:8">
      <c r="A40" s="6">
        <v>66</v>
      </c>
      <c r="B40" s="6">
        <v>14</v>
      </c>
      <c r="C40" s="6" t="s">
        <v>1133</v>
      </c>
      <c r="D40" s="6">
        <v>14</v>
      </c>
      <c r="E40" s="6" t="s">
        <v>695</v>
      </c>
      <c r="F40" s="8">
        <f t="shared" si="1"/>
        <v>31987999</v>
      </c>
      <c r="G40" s="8">
        <f>VLOOKUP(A40, localcont!$D$10:$L$1764, 8)</f>
        <v>37765344.57</v>
      </c>
      <c r="H40" s="81">
        <f>VLOOKUP(A40, localcont!$D$10:$L$1764, 9)*F40</f>
        <v>30796306.174228266</v>
      </c>
    </row>
    <row r="41" spans="1:8">
      <c r="A41" s="6">
        <v>67</v>
      </c>
      <c r="B41" s="6">
        <v>14</v>
      </c>
      <c r="C41" s="6" t="s">
        <v>1133</v>
      </c>
      <c r="D41" s="6">
        <v>829</v>
      </c>
      <c r="E41" s="6" t="s">
        <v>1103</v>
      </c>
      <c r="F41" s="8">
        <f t="shared" si="1"/>
        <v>31987999</v>
      </c>
      <c r="G41" s="8">
        <f>VLOOKUP(A41, localcont!$D$10:$L$1764, 8)</f>
        <v>1461366.5006528683</v>
      </c>
      <c r="H41" s="81">
        <f>VLOOKUP(A41, localcont!$D$10:$L$1764, 9)*F41</f>
        <v>1191692.8257717281</v>
      </c>
    </row>
    <row r="42" spans="1:8">
      <c r="A42" s="6">
        <v>71</v>
      </c>
      <c r="B42" s="6">
        <v>15</v>
      </c>
      <c r="C42" s="6" t="s">
        <v>1134</v>
      </c>
      <c r="D42" s="6">
        <v>15</v>
      </c>
      <c r="E42" s="6" t="s">
        <v>696</v>
      </c>
      <c r="F42" s="8">
        <f t="shared" si="1"/>
        <v>8401666</v>
      </c>
      <c r="G42" s="8">
        <f>VLOOKUP(A42, localcont!$D$10:$L$1764, 8)</f>
        <v>0</v>
      </c>
      <c r="H42" s="81">
        <f>VLOOKUP(A42, localcont!$D$10:$L$1764, 9)*F42</f>
        <v>0</v>
      </c>
    </row>
    <row r="43" spans="1:8">
      <c r="A43" s="6">
        <v>72</v>
      </c>
      <c r="B43" s="6">
        <v>15</v>
      </c>
      <c r="C43" s="6" t="s">
        <v>1134</v>
      </c>
      <c r="D43" s="6">
        <v>615</v>
      </c>
      <c r="E43" s="6" t="s">
        <v>1038</v>
      </c>
      <c r="F43" s="8">
        <f t="shared" si="1"/>
        <v>8401666</v>
      </c>
      <c r="G43" s="8">
        <f>VLOOKUP(A43, localcont!$D$10:$L$1764, 8)</f>
        <v>26801046.441643428</v>
      </c>
      <c r="H43" s="81">
        <f>VLOOKUP(A43, localcont!$D$10:$L$1764, 9)*F43</f>
        <v>7789252.2581782388</v>
      </c>
    </row>
    <row r="44" spans="1:8">
      <c r="A44" s="6">
        <v>73</v>
      </c>
      <c r="B44" s="6">
        <v>15</v>
      </c>
      <c r="C44" s="6" t="s">
        <v>1134</v>
      </c>
      <c r="D44" s="6">
        <v>832</v>
      </c>
      <c r="E44" s="6" t="s">
        <v>1105</v>
      </c>
      <c r="F44" s="8">
        <f t="shared" si="1"/>
        <v>8401666</v>
      </c>
      <c r="G44" s="8">
        <f>VLOOKUP(A44, localcont!$D$10:$L$1764, 8)</f>
        <v>2107176.4775409135</v>
      </c>
      <c r="H44" s="81">
        <f>VLOOKUP(A44, localcont!$D$10:$L$1764, 9)*F44</f>
        <v>612413.74182176043</v>
      </c>
    </row>
    <row r="45" spans="1:8">
      <c r="A45" s="6">
        <v>76</v>
      </c>
      <c r="B45" s="6">
        <v>16</v>
      </c>
      <c r="C45" s="6" t="s">
        <v>1135</v>
      </c>
      <c r="D45" s="6">
        <v>16</v>
      </c>
      <c r="E45" s="6" t="s">
        <v>697</v>
      </c>
      <c r="F45" s="8">
        <f t="shared" si="1"/>
        <v>49907367</v>
      </c>
      <c r="G45" s="8">
        <f>VLOOKUP(A45, localcont!$D$10:$L$1764, 8)</f>
        <v>102004503.33000001</v>
      </c>
      <c r="H45" s="81">
        <f>VLOOKUP(A45, localcont!$D$10:$L$1764, 9)*F45</f>
        <v>49694082.059790999</v>
      </c>
    </row>
    <row r="46" spans="1:8">
      <c r="A46" s="6">
        <v>77</v>
      </c>
      <c r="B46" s="6">
        <v>16</v>
      </c>
      <c r="C46" s="6" t="s">
        <v>1135</v>
      </c>
      <c r="D46" s="6">
        <v>910</v>
      </c>
      <c r="E46" s="6" t="s">
        <v>1118</v>
      </c>
      <c r="F46" s="8">
        <f t="shared" si="1"/>
        <v>49907367</v>
      </c>
      <c r="G46" s="8">
        <f>VLOOKUP(A46, localcont!$D$10:$L$1764, 8)</f>
        <v>437799.09985279839</v>
      </c>
      <c r="H46" s="81">
        <f>VLOOKUP(A46, localcont!$D$10:$L$1764, 9)*F46</f>
        <v>213284.94020899807</v>
      </c>
    </row>
    <row r="47" spans="1:8">
      <c r="A47" s="6">
        <v>81</v>
      </c>
      <c r="B47" s="6">
        <v>17</v>
      </c>
      <c r="C47" s="6" t="s">
        <v>1136</v>
      </c>
      <c r="D47" s="6">
        <v>17</v>
      </c>
      <c r="E47" s="6" t="s">
        <v>698</v>
      </c>
      <c r="F47" s="8">
        <f t="shared" si="1"/>
        <v>20870065</v>
      </c>
      <c r="G47" s="8">
        <f>VLOOKUP(A47, localcont!$D$10:$L$1764, 8)</f>
        <v>32470504.220000003</v>
      </c>
      <c r="H47" s="81">
        <f>VLOOKUP(A47, localcont!$D$10:$L$1764, 9)*F47</f>
        <v>19264412.262821216</v>
      </c>
    </row>
    <row r="48" spans="1:8">
      <c r="A48" s="6">
        <v>82</v>
      </c>
      <c r="B48" s="6">
        <v>17</v>
      </c>
      <c r="C48" s="6" t="s">
        <v>1136</v>
      </c>
      <c r="D48" s="6">
        <v>876</v>
      </c>
      <c r="E48" s="6" t="s">
        <v>1114</v>
      </c>
      <c r="F48" s="8">
        <f t="shared" si="1"/>
        <v>20870065</v>
      </c>
      <c r="G48" s="8">
        <f>VLOOKUP(A48, localcont!$D$10:$L$1764, 8)</f>
        <v>2706355.8060910753</v>
      </c>
      <c r="H48" s="81">
        <f>VLOOKUP(A48, localcont!$D$10:$L$1764, 9)*F48</f>
        <v>1605652.7371787853</v>
      </c>
    </row>
    <row r="49" spans="1:8">
      <c r="A49" s="6">
        <v>86</v>
      </c>
      <c r="B49" s="6">
        <v>18</v>
      </c>
      <c r="C49" s="6" t="s">
        <v>1137</v>
      </c>
      <c r="D49" s="6">
        <v>18</v>
      </c>
      <c r="E49" s="6" t="s">
        <v>699</v>
      </c>
      <c r="F49" s="8">
        <f t="shared" si="1"/>
        <v>7279977</v>
      </c>
      <c r="G49" s="8">
        <f>VLOOKUP(A49, localcont!$D$10:$L$1764, 8)</f>
        <v>9514711.5199999996</v>
      </c>
      <c r="H49" s="81">
        <f>VLOOKUP(A49, localcont!$D$10:$L$1764, 9)*F49</f>
        <v>6545647.5095894942</v>
      </c>
    </row>
    <row r="50" spans="1:8">
      <c r="A50" s="6">
        <v>87</v>
      </c>
      <c r="B50" s="6">
        <v>18</v>
      </c>
      <c r="C50" s="6" t="s">
        <v>1137</v>
      </c>
      <c r="D50" s="6">
        <v>806</v>
      </c>
      <c r="E50" s="6" t="s">
        <v>1094</v>
      </c>
      <c r="F50" s="8">
        <f t="shared" si="1"/>
        <v>7279977</v>
      </c>
      <c r="G50" s="8">
        <f>VLOOKUP(A50, localcont!$D$10:$L$1764, 8)</f>
        <v>1045392.6972575741</v>
      </c>
      <c r="H50" s="81">
        <f>VLOOKUP(A50, localcont!$D$10:$L$1764, 9)*F50</f>
        <v>719178.09499147953</v>
      </c>
    </row>
    <row r="51" spans="1:8">
      <c r="A51" s="6">
        <v>88</v>
      </c>
      <c r="B51" s="6">
        <v>18</v>
      </c>
      <c r="C51" s="6" t="s">
        <v>1137</v>
      </c>
      <c r="D51" s="6">
        <v>915</v>
      </c>
      <c r="E51" s="6" t="s">
        <v>1119</v>
      </c>
      <c r="F51" s="8">
        <f t="shared" si="1"/>
        <v>7279977</v>
      </c>
      <c r="G51" s="8">
        <f>VLOOKUP(A51, localcont!$D$10:$L$1764, 8)</f>
        <v>22023.971857067027</v>
      </c>
      <c r="H51" s="81">
        <f>VLOOKUP(A51, localcont!$D$10:$L$1764, 9)*F51</f>
        <v>15151.39541902579</v>
      </c>
    </row>
    <row r="52" spans="1:8">
      <c r="A52" s="6">
        <v>91</v>
      </c>
      <c r="B52" s="6">
        <v>19</v>
      </c>
      <c r="C52" s="6" t="s">
        <v>1138</v>
      </c>
      <c r="D52" s="6">
        <v>19</v>
      </c>
      <c r="E52" s="6" t="s">
        <v>700</v>
      </c>
      <c r="F52" s="8">
        <f t="shared" si="1"/>
        <v>11332619</v>
      </c>
      <c r="G52" s="8">
        <f>VLOOKUP(A52, localcont!$D$10:$L$1764, 8)</f>
        <v>0</v>
      </c>
      <c r="H52" s="81">
        <f>VLOOKUP(A52, localcont!$D$10:$L$1764, 9)*F52</f>
        <v>0</v>
      </c>
    </row>
    <row r="53" spans="1:8">
      <c r="A53" s="6">
        <v>92</v>
      </c>
      <c r="B53" s="6">
        <v>19</v>
      </c>
      <c r="C53" s="6" t="s">
        <v>1138</v>
      </c>
      <c r="D53" s="6">
        <v>616</v>
      </c>
      <c r="E53" s="6" t="s">
        <v>1039</v>
      </c>
      <c r="F53" s="8">
        <f t="shared" si="1"/>
        <v>11332619</v>
      </c>
      <c r="G53" s="8">
        <f>VLOOKUP(A53, localcont!$D$10:$L$1764, 8)</f>
        <v>13652034.545237966</v>
      </c>
      <c r="H53" s="81">
        <f>VLOOKUP(A53, localcont!$D$10:$L$1764, 9)*F53</f>
        <v>10348460.465057209</v>
      </c>
    </row>
    <row r="54" spans="1:8">
      <c r="A54" s="6">
        <v>93</v>
      </c>
      <c r="B54" s="6">
        <v>19</v>
      </c>
      <c r="C54" s="6" t="s">
        <v>1138</v>
      </c>
      <c r="D54" s="6">
        <v>852</v>
      </c>
      <c r="E54" s="6" t="s">
        <v>1107</v>
      </c>
      <c r="F54" s="8">
        <f t="shared" si="1"/>
        <v>11332619</v>
      </c>
      <c r="G54" s="8">
        <f>VLOOKUP(A54, localcont!$D$10:$L$1764, 8)</f>
        <v>1298334.7969871652</v>
      </c>
      <c r="H54" s="81">
        <f>VLOOKUP(A54, localcont!$D$10:$L$1764, 9)*F54</f>
        <v>984158.53494279028</v>
      </c>
    </row>
    <row r="55" spans="1:8">
      <c r="A55" s="6">
        <v>96</v>
      </c>
      <c r="B55" s="6">
        <v>20</v>
      </c>
      <c r="C55" s="6" t="s">
        <v>1139</v>
      </c>
      <c r="D55" s="6">
        <v>20</v>
      </c>
      <c r="E55" s="6" t="s">
        <v>701</v>
      </c>
      <c r="F55" s="8">
        <f t="shared" si="1"/>
        <v>109260896</v>
      </c>
      <c r="G55" s="8">
        <f>VLOOKUP(A55, localcont!$D$10:$L$1764, 8)</f>
        <v>88879328.449999988</v>
      </c>
      <c r="H55" s="81">
        <f>VLOOKUP(A55, localcont!$D$10:$L$1764, 9)*F55</f>
        <v>104611218.86029294</v>
      </c>
    </row>
    <row r="56" spans="1:8">
      <c r="A56" s="6">
        <v>97</v>
      </c>
      <c r="B56" s="6">
        <v>20</v>
      </c>
      <c r="C56" s="6" t="s">
        <v>1139</v>
      </c>
      <c r="D56" s="6">
        <v>815</v>
      </c>
      <c r="E56" s="6" t="s">
        <v>1096</v>
      </c>
      <c r="F56" s="8">
        <f t="shared" si="1"/>
        <v>109260896</v>
      </c>
      <c r="G56" s="8">
        <f>VLOOKUP(A56, localcont!$D$10:$L$1764, 8)</f>
        <v>3950438.4538180893</v>
      </c>
      <c r="H56" s="81">
        <f>VLOOKUP(A56, localcont!$D$10:$L$1764, 9)*F56</f>
        <v>4649677.1397070726</v>
      </c>
    </row>
    <row r="57" spans="1:8">
      <c r="A57" s="6">
        <v>101</v>
      </c>
      <c r="B57" s="6">
        <v>21</v>
      </c>
      <c r="C57" s="6" t="s">
        <v>1140</v>
      </c>
      <c r="D57" s="6">
        <v>21</v>
      </c>
      <c r="E57" s="6" t="s">
        <v>702</v>
      </c>
      <c r="F57" s="8">
        <f t="shared" si="1"/>
        <v>4882286</v>
      </c>
      <c r="G57" s="8">
        <f>VLOOKUP(A57, localcont!$D$10:$L$1764, 8)</f>
        <v>0</v>
      </c>
      <c r="H57" s="81">
        <f>VLOOKUP(A57, localcont!$D$10:$L$1764, 9)*F57</f>
        <v>0</v>
      </c>
    </row>
    <row r="58" spans="1:8">
      <c r="A58" s="6">
        <v>102</v>
      </c>
      <c r="B58" s="6">
        <v>21</v>
      </c>
      <c r="C58" s="6" t="s">
        <v>1140</v>
      </c>
      <c r="D58" s="6">
        <v>753</v>
      </c>
      <c r="E58" s="6" t="s">
        <v>1079</v>
      </c>
      <c r="F58" s="8">
        <f t="shared" si="1"/>
        <v>4882286</v>
      </c>
      <c r="G58" s="8">
        <f>VLOOKUP(A58, localcont!$D$10:$L$1764, 8)</f>
        <v>10417949.309446694</v>
      </c>
      <c r="H58" s="81">
        <f>VLOOKUP(A58, localcont!$D$10:$L$1764, 9)*F58</f>
        <v>4489383.7013228172</v>
      </c>
    </row>
    <row r="59" spans="1:8">
      <c r="A59" s="6">
        <v>103</v>
      </c>
      <c r="B59" s="6">
        <v>21</v>
      </c>
      <c r="C59" s="6" t="s">
        <v>1140</v>
      </c>
      <c r="D59" s="6">
        <v>832</v>
      </c>
      <c r="E59" s="6" t="s">
        <v>1105</v>
      </c>
      <c r="F59" s="8">
        <f t="shared" si="1"/>
        <v>4882286</v>
      </c>
      <c r="G59" s="8">
        <f>VLOOKUP(A59, localcont!$D$10:$L$1764, 8)</f>
        <v>911759.05280225503</v>
      </c>
      <c r="H59" s="81">
        <f>VLOOKUP(A59, localcont!$D$10:$L$1764, 9)*F59</f>
        <v>392902.29867718264</v>
      </c>
    </row>
    <row r="60" spans="1:8">
      <c r="A60" s="6">
        <v>106</v>
      </c>
      <c r="B60" s="6">
        <v>22</v>
      </c>
      <c r="C60" s="6" t="s">
        <v>1141</v>
      </c>
      <c r="D60" s="6">
        <v>22</v>
      </c>
      <c r="E60" s="6" t="s">
        <v>703</v>
      </c>
      <c r="F60" s="8">
        <f t="shared" si="1"/>
        <v>3461225</v>
      </c>
      <c r="G60" s="8">
        <f>VLOOKUP(A60, localcont!$D$10:$L$1764, 8)</f>
        <v>250517.91</v>
      </c>
      <c r="H60" s="81">
        <f>VLOOKUP(A60, localcont!$D$10:$L$1764, 9)*F60</f>
        <v>292956.24135896738</v>
      </c>
    </row>
    <row r="61" spans="1:8">
      <c r="A61" s="6">
        <v>107</v>
      </c>
      <c r="B61" s="6">
        <v>22</v>
      </c>
      <c r="C61" s="6" t="s">
        <v>1141</v>
      </c>
      <c r="D61" s="6">
        <v>635</v>
      </c>
      <c r="E61" s="6" t="s">
        <v>1045</v>
      </c>
      <c r="F61" s="8">
        <f t="shared" si="1"/>
        <v>3461225</v>
      </c>
      <c r="G61" s="8">
        <f>VLOOKUP(A61, localcont!$D$10:$L$1764, 8)</f>
        <v>2709305.8814899717</v>
      </c>
      <c r="H61" s="81">
        <f>VLOOKUP(A61, localcont!$D$10:$L$1764, 9)*F61</f>
        <v>3168268.7586410325</v>
      </c>
    </row>
    <row r="62" spans="1:8">
      <c r="A62" s="6">
        <v>111</v>
      </c>
      <c r="B62" s="6">
        <v>23</v>
      </c>
      <c r="C62" s="6" t="s">
        <v>1142</v>
      </c>
      <c r="D62" s="6">
        <v>23</v>
      </c>
      <c r="E62" s="6" t="s">
        <v>704</v>
      </c>
      <c r="F62" s="8">
        <f t="shared" si="1"/>
        <v>39315633</v>
      </c>
      <c r="G62" s="8">
        <f>VLOOKUP(A62, localcont!$D$10:$L$1764, 8)</f>
        <v>34828204.54556001</v>
      </c>
      <c r="H62" s="81">
        <f>VLOOKUP(A62, localcont!$D$10:$L$1764, 9)*F62</f>
        <v>38464566.262566477</v>
      </c>
    </row>
    <row r="63" spans="1:8">
      <c r="A63" s="6">
        <v>112</v>
      </c>
      <c r="B63" s="6">
        <v>23</v>
      </c>
      <c r="C63" s="6" t="s">
        <v>1142</v>
      </c>
      <c r="D63" s="6">
        <v>871</v>
      </c>
      <c r="E63" s="6" t="s">
        <v>1111</v>
      </c>
      <c r="F63" s="8">
        <f t="shared" si="1"/>
        <v>39315633</v>
      </c>
      <c r="G63" s="8">
        <f>VLOOKUP(A63, localcont!$D$10:$L$1764, 8)</f>
        <v>770608.62225564034</v>
      </c>
      <c r="H63" s="81">
        <f>VLOOKUP(A63, localcont!$D$10:$L$1764, 9)*F63</f>
        <v>851066.73743352271</v>
      </c>
    </row>
    <row r="64" spans="1:8">
      <c r="A64" s="6">
        <v>116</v>
      </c>
      <c r="B64" s="6">
        <v>24</v>
      </c>
      <c r="C64" s="6" t="s">
        <v>1143</v>
      </c>
      <c r="D64" s="6">
        <v>24</v>
      </c>
      <c r="E64" s="6" t="s">
        <v>705</v>
      </c>
      <c r="F64" s="8">
        <f t="shared" si="1"/>
        <v>16583757</v>
      </c>
      <c r="G64" s="8">
        <f>VLOOKUP(A64, localcont!$D$10:$L$1764, 8)</f>
        <v>27898291.619999997</v>
      </c>
      <c r="H64" s="81">
        <f>VLOOKUP(A64, localcont!$D$10:$L$1764, 9)*F64</f>
        <v>15206078.598218612</v>
      </c>
    </row>
    <row r="65" spans="1:8">
      <c r="A65" s="6">
        <v>117</v>
      </c>
      <c r="B65" s="6">
        <v>24</v>
      </c>
      <c r="C65" s="6" t="s">
        <v>1143</v>
      </c>
      <c r="D65" s="6">
        <v>860</v>
      </c>
      <c r="E65" s="6" t="s">
        <v>1110</v>
      </c>
      <c r="F65" s="8">
        <f t="shared" si="1"/>
        <v>16583757</v>
      </c>
      <c r="G65" s="8">
        <f>VLOOKUP(A65, localcont!$D$10:$L$1764, 8)</f>
        <v>2527599.3125522411</v>
      </c>
      <c r="H65" s="81">
        <f>VLOOKUP(A65, localcont!$D$10:$L$1764, 9)*F65</f>
        <v>1377678.401781389</v>
      </c>
    </row>
    <row r="66" spans="1:8">
      <c r="A66" s="6">
        <v>121</v>
      </c>
      <c r="B66" s="6">
        <v>25</v>
      </c>
      <c r="C66" s="6" t="s">
        <v>1144</v>
      </c>
      <c r="D66" s="6">
        <v>25</v>
      </c>
      <c r="E66" s="6" t="s">
        <v>706</v>
      </c>
      <c r="F66" s="8">
        <f t="shared" si="1"/>
        <v>23635047</v>
      </c>
      <c r="G66" s="8">
        <f>VLOOKUP(A66, localcont!$D$10:$L$1764, 8)</f>
        <v>30088447.590000004</v>
      </c>
      <c r="H66" s="81">
        <f>VLOOKUP(A66, localcont!$D$10:$L$1764, 9)*F66</f>
        <v>22314543.004066881</v>
      </c>
    </row>
    <row r="67" spans="1:8">
      <c r="A67" s="6">
        <v>122</v>
      </c>
      <c r="B67" s="6">
        <v>25</v>
      </c>
      <c r="C67" s="6" t="s">
        <v>1144</v>
      </c>
      <c r="D67" s="6">
        <v>805</v>
      </c>
      <c r="E67" s="6" t="s">
        <v>1093</v>
      </c>
      <c r="F67" s="8">
        <f t="shared" si="1"/>
        <v>23635047</v>
      </c>
      <c r="G67" s="8">
        <f>VLOOKUP(A67, localcont!$D$10:$L$1764, 8)</f>
        <v>1472203.4469166964</v>
      </c>
      <c r="H67" s="81">
        <f>VLOOKUP(A67, localcont!$D$10:$L$1764, 9)*F67</f>
        <v>1091832.5722419934</v>
      </c>
    </row>
    <row r="68" spans="1:8">
      <c r="A68" s="6">
        <v>123</v>
      </c>
      <c r="B68" s="6">
        <v>25</v>
      </c>
      <c r="C68" s="6" t="s">
        <v>1144</v>
      </c>
      <c r="D68" s="6">
        <v>915</v>
      </c>
      <c r="E68" s="6" t="s">
        <v>1119</v>
      </c>
      <c r="F68" s="8">
        <f t="shared" si="1"/>
        <v>23635047</v>
      </c>
      <c r="G68" s="8">
        <f>VLOOKUP(A68, localcont!$D$10:$L$1764, 8)</f>
        <v>308335.60632665508</v>
      </c>
      <c r="H68" s="81">
        <f>VLOOKUP(A68, localcont!$D$10:$L$1764, 9)*F68</f>
        <v>228671.42369112768</v>
      </c>
    </row>
    <row r="69" spans="1:8">
      <c r="A69" s="6">
        <v>126</v>
      </c>
      <c r="B69" s="6">
        <v>26</v>
      </c>
      <c r="C69" s="6" t="s">
        <v>1145</v>
      </c>
      <c r="D69" s="6">
        <v>26</v>
      </c>
      <c r="E69" s="6" t="s">
        <v>707</v>
      </c>
      <c r="F69" s="8">
        <f t="shared" si="1"/>
        <v>94422018</v>
      </c>
      <c r="G69" s="8">
        <f>VLOOKUP(A69, localcont!$D$10:$L$1764, 8)</f>
        <v>59533725.074059986</v>
      </c>
      <c r="H69" s="81">
        <f>VLOOKUP(A69, localcont!$D$10:$L$1764, 9)*F69</f>
        <v>94422018</v>
      </c>
    </row>
    <row r="70" spans="1:8">
      <c r="A70" s="6">
        <v>131</v>
      </c>
      <c r="B70" s="6">
        <v>27</v>
      </c>
      <c r="C70" s="6" t="s">
        <v>1146</v>
      </c>
      <c r="D70" s="6">
        <v>27</v>
      </c>
      <c r="E70" s="6" t="s">
        <v>708</v>
      </c>
      <c r="F70" s="8">
        <f t="shared" si="1"/>
        <v>8875355</v>
      </c>
      <c r="G70" s="8">
        <f>VLOOKUP(A70, localcont!$D$10:$L$1764, 8)</f>
        <v>8895289.5700000003</v>
      </c>
      <c r="H70" s="81">
        <f>VLOOKUP(A70, localcont!$D$10:$L$1764, 9)*F70</f>
        <v>5306032.2523576915</v>
      </c>
    </row>
    <row r="71" spans="1:8">
      <c r="A71" s="6">
        <v>132</v>
      </c>
      <c r="B71" s="6">
        <v>27</v>
      </c>
      <c r="C71" s="6" t="s">
        <v>1146</v>
      </c>
      <c r="D71" s="6">
        <v>763</v>
      </c>
      <c r="E71" s="6" t="s">
        <v>1082</v>
      </c>
      <c r="F71" s="8">
        <f t="shared" si="1"/>
        <v>8875355</v>
      </c>
      <c r="G71" s="8">
        <f>VLOOKUP(A71, localcont!$D$10:$L$1764, 8)</f>
        <v>3436437.9041282879</v>
      </c>
      <c r="H71" s="81">
        <f>VLOOKUP(A71, localcont!$D$10:$L$1764, 9)*F71</f>
        <v>2049832.1284586538</v>
      </c>
    </row>
    <row r="72" spans="1:8">
      <c r="A72" s="6">
        <v>133</v>
      </c>
      <c r="B72" s="6">
        <v>27</v>
      </c>
      <c r="C72" s="6" t="s">
        <v>1146</v>
      </c>
      <c r="D72" s="6">
        <v>810</v>
      </c>
      <c r="E72" s="6" t="s">
        <v>1095</v>
      </c>
      <c r="F72" s="8">
        <f t="shared" si="1"/>
        <v>8875355</v>
      </c>
      <c r="G72" s="8">
        <f>VLOOKUP(A72, localcont!$D$10:$L$1764, 8)</f>
        <v>2255481.6339132669</v>
      </c>
      <c r="H72" s="81">
        <f>VLOOKUP(A72, localcont!$D$10:$L$1764, 9)*F72</f>
        <v>1345392.772204516</v>
      </c>
    </row>
    <row r="73" spans="1:8">
      <c r="A73" s="6">
        <v>134</v>
      </c>
      <c r="B73" s="6">
        <v>27</v>
      </c>
      <c r="C73" s="6" t="s">
        <v>1146</v>
      </c>
      <c r="D73" s="6">
        <v>910</v>
      </c>
      <c r="E73" s="6" t="s">
        <v>1118</v>
      </c>
      <c r="F73" s="8">
        <f t="shared" si="1"/>
        <v>8875355</v>
      </c>
      <c r="G73" s="8">
        <f>VLOOKUP(A73, localcont!$D$10:$L$1764, 8)</f>
        <v>291866.06653302186</v>
      </c>
      <c r="H73" s="81">
        <f>VLOOKUP(A73, localcont!$D$10:$L$1764, 9)*F73</f>
        <v>174097.84697913885</v>
      </c>
    </row>
    <row r="74" spans="1:8">
      <c r="A74" s="6">
        <v>136</v>
      </c>
      <c r="B74" s="6">
        <v>28</v>
      </c>
      <c r="C74" s="6" t="s">
        <v>1147</v>
      </c>
      <c r="D74" s="6">
        <v>28</v>
      </c>
      <c r="E74" s="6" t="s">
        <v>709</v>
      </c>
      <c r="F74" s="8">
        <f t="shared" si="1"/>
        <v>6681748</v>
      </c>
      <c r="G74" s="8">
        <f>VLOOKUP(A74, localcont!$D$10:$L$1764, 8)</f>
        <v>0</v>
      </c>
      <c r="H74" s="81">
        <f>VLOOKUP(A74, localcont!$D$10:$L$1764, 9)*F74</f>
        <v>0</v>
      </c>
    </row>
    <row r="75" spans="1:8">
      <c r="A75" s="6">
        <v>137</v>
      </c>
      <c r="B75" s="6">
        <v>28</v>
      </c>
      <c r="C75" s="6" t="s">
        <v>1147</v>
      </c>
      <c r="D75" s="6">
        <v>620</v>
      </c>
      <c r="E75" s="6" t="s">
        <v>1041</v>
      </c>
      <c r="F75" s="8">
        <f t="shared" ref="F75:F138" si="2">VLOOKUP(B75, town351, 7)</f>
        <v>6681748</v>
      </c>
      <c r="G75" s="8">
        <f>VLOOKUP(A75, localcont!$D$10:$L$1764, 8)</f>
        <v>5315826.4740521973</v>
      </c>
      <c r="H75" s="81">
        <f>VLOOKUP(A75, localcont!$D$10:$L$1764, 9)*F75</f>
        <v>5763081.4938347675</v>
      </c>
    </row>
    <row r="76" spans="1:8">
      <c r="A76" s="6">
        <v>138</v>
      </c>
      <c r="B76" s="6">
        <v>28</v>
      </c>
      <c r="C76" s="6" t="s">
        <v>1147</v>
      </c>
      <c r="D76" s="6">
        <v>801</v>
      </c>
      <c r="E76" s="6" t="s">
        <v>1092</v>
      </c>
      <c r="F76" s="8">
        <f t="shared" si="2"/>
        <v>6681748</v>
      </c>
      <c r="G76" s="8">
        <f>VLOOKUP(A76, localcont!$D$10:$L$1764, 8)</f>
        <v>847371.62566977821</v>
      </c>
      <c r="H76" s="81">
        <f>VLOOKUP(A76, localcont!$D$10:$L$1764, 9)*F76</f>
        <v>918666.50616523274</v>
      </c>
    </row>
    <row r="77" spans="1:8">
      <c r="A77" s="6">
        <v>141</v>
      </c>
      <c r="B77" s="6">
        <v>29</v>
      </c>
      <c r="C77" s="6" t="s">
        <v>1148</v>
      </c>
      <c r="D77" s="6">
        <v>29</v>
      </c>
      <c r="E77" s="6" t="s">
        <v>710</v>
      </c>
      <c r="F77" s="8">
        <f t="shared" si="2"/>
        <v>2260176</v>
      </c>
      <c r="G77" s="8">
        <f>VLOOKUP(A77, localcont!$D$10:$L$1764, 8)</f>
        <v>0</v>
      </c>
      <c r="H77" s="81">
        <f>VLOOKUP(A77, localcont!$D$10:$L$1764, 9)*F77</f>
        <v>0</v>
      </c>
    </row>
    <row r="78" spans="1:8">
      <c r="A78" s="6">
        <v>142</v>
      </c>
      <c r="B78" s="6">
        <v>29</v>
      </c>
      <c r="C78" s="6" t="s">
        <v>1148</v>
      </c>
      <c r="D78" s="6">
        <v>750</v>
      </c>
      <c r="E78" s="6" t="s">
        <v>1078</v>
      </c>
      <c r="F78" s="8">
        <f t="shared" si="2"/>
        <v>2260176</v>
      </c>
      <c r="G78" s="8">
        <f>VLOOKUP(A78, localcont!$D$10:$L$1764, 8)</f>
        <v>3076751.2574521811</v>
      </c>
      <c r="H78" s="81">
        <f>VLOOKUP(A78, localcont!$D$10:$L$1764, 9)*F78</f>
        <v>1863114.6278799023</v>
      </c>
    </row>
    <row r="79" spans="1:8">
      <c r="A79" s="6">
        <v>143</v>
      </c>
      <c r="B79" s="6">
        <v>29</v>
      </c>
      <c r="C79" s="6" t="s">
        <v>1148</v>
      </c>
      <c r="D79" s="6">
        <v>818</v>
      </c>
      <c r="E79" s="6" t="s">
        <v>1098</v>
      </c>
      <c r="F79" s="8">
        <f t="shared" si="2"/>
        <v>2260176</v>
      </c>
      <c r="G79" s="8">
        <f>VLOOKUP(A79, localcont!$D$10:$L$1764, 8)</f>
        <v>655707.95144599548</v>
      </c>
      <c r="H79" s="81">
        <f>VLOOKUP(A79, localcont!$D$10:$L$1764, 9)*F79</f>
        <v>397061.37212009769</v>
      </c>
    </row>
    <row r="80" spans="1:8">
      <c r="A80" s="6">
        <v>146</v>
      </c>
      <c r="B80" s="6">
        <v>30</v>
      </c>
      <c r="C80" s="6" t="s">
        <v>1149</v>
      </c>
      <c r="D80" s="6">
        <v>30</v>
      </c>
      <c r="E80" s="6" t="s">
        <v>711</v>
      </c>
      <c r="F80" s="8">
        <f t="shared" si="2"/>
        <v>72793694</v>
      </c>
      <c r="G80" s="8">
        <f>VLOOKUP(A80, localcont!$D$10:$L$1764, 8)</f>
        <v>62707090.120000005</v>
      </c>
      <c r="H80" s="81">
        <f>VLOOKUP(A80, localcont!$D$10:$L$1764, 9)*F80</f>
        <v>68433945.563091084</v>
      </c>
    </row>
    <row r="81" spans="1:8">
      <c r="A81" s="6">
        <v>147</v>
      </c>
      <c r="B81" s="6">
        <v>30</v>
      </c>
      <c r="C81" s="6" t="s">
        <v>1149</v>
      </c>
      <c r="D81" s="6">
        <v>817</v>
      </c>
      <c r="E81" s="6" t="s">
        <v>1097</v>
      </c>
      <c r="F81" s="8">
        <f t="shared" si="2"/>
        <v>72793694</v>
      </c>
      <c r="G81" s="8">
        <f>VLOOKUP(A81, localcont!$D$10:$L$1764, 8)</f>
        <v>3994905.3921161601</v>
      </c>
      <c r="H81" s="81">
        <f>VLOOKUP(A81, localcont!$D$10:$L$1764, 9)*F81</f>
        <v>4359748.4369089128</v>
      </c>
    </row>
    <row r="82" spans="1:8">
      <c r="A82" s="6">
        <v>151</v>
      </c>
      <c r="B82" s="6">
        <v>31</v>
      </c>
      <c r="C82" s="6" t="s">
        <v>1150</v>
      </c>
      <c r="D82" s="6">
        <v>31</v>
      </c>
      <c r="E82" s="6" t="s">
        <v>712</v>
      </c>
      <c r="F82" s="8">
        <f t="shared" si="2"/>
        <v>65636322</v>
      </c>
      <c r="G82" s="8">
        <f>VLOOKUP(A82, localcont!$D$10:$L$1764, 8)</f>
        <v>65232366.109999992</v>
      </c>
      <c r="H82" s="81">
        <f>VLOOKUP(A82, localcont!$D$10:$L$1764, 9)*F82</f>
        <v>57456511.584990077</v>
      </c>
    </row>
    <row r="83" spans="1:8">
      <c r="A83" s="6">
        <v>152</v>
      </c>
      <c r="B83" s="6">
        <v>31</v>
      </c>
      <c r="C83" s="6" t="s">
        <v>1150</v>
      </c>
      <c r="D83" s="6">
        <v>871</v>
      </c>
      <c r="E83" s="6" t="s">
        <v>1111</v>
      </c>
      <c r="F83" s="8">
        <f t="shared" si="2"/>
        <v>65636322</v>
      </c>
      <c r="G83" s="8">
        <f>VLOOKUP(A83, localcont!$D$10:$L$1764, 8)</f>
        <v>9286821.8585291319</v>
      </c>
      <c r="H83" s="81">
        <f>VLOOKUP(A83, localcont!$D$10:$L$1764, 9)*F83</f>
        <v>8179810.4150099223</v>
      </c>
    </row>
    <row r="84" spans="1:8">
      <c r="A84" s="6">
        <v>156</v>
      </c>
      <c r="B84" s="6">
        <v>32</v>
      </c>
      <c r="C84" s="6" t="s">
        <v>1151</v>
      </c>
      <c r="D84" s="6">
        <v>32</v>
      </c>
      <c r="E84" s="6" t="s">
        <v>713</v>
      </c>
      <c r="F84" s="8">
        <f t="shared" si="2"/>
        <v>9881138</v>
      </c>
      <c r="G84" s="8">
        <f>VLOOKUP(A84, localcont!$D$10:$L$1764, 8)</f>
        <v>317959.23</v>
      </c>
      <c r="H84" s="81">
        <f>VLOOKUP(A84, localcont!$D$10:$L$1764, 9)*F84</f>
        <v>174890.73651994724</v>
      </c>
    </row>
    <row r="85" spans="1:8">
      <c r="A85" s="6">
        <v>157</v>
      </c>
      <c r="B85" s="6">
        <v>32</v>
      </c>
      <c r="C85" s="6" t="s">
        <v>1151</v>
      </c>
      <c r="D85" s="6">
        <v>622</v>
      </c>
      <c r="E85" s="6" t="s">
        <v>1042</v>
      </c>
      <c r="F85" s="8">
        <f t="shared" si="2"/>
        <v>9881138</v>
      </c>
      <c r="G85" s="8">
        <f>VLOOKUP(A85, localcont!$D$10:$L$1764, 8)</f>
        <v>16561612.870151637</v>
      </c>
      <c r="H85" s="81">
        <f>VLOOKUP(A85, localcont!$D$10:$L$1764, 9)*F85</f>
        <v>9109572.5474585444</v>
      </c>
    </row>
    <row r="86" spans="1:8">
      <c r="A86" s="6">
        <v>158</v>
      </c>
      <c r="B86" s="6">
        <v>32</v>
      </c>
      <c r="C86" s="6" t="s">
        <v>1151</v>
      </c>
      <c r="D86" s="6">
        <v>805</v>
      </c>
      <c r="E86" s="6" t="s">
        <v>1093</v>
      </c>
      <c r="F86" s="8">
        <f t="shared" si="2"/>
        <v>9881138</v>
      </c>
      <c r="G86" s="8">
        <f>VLOOKUP(A86, localcont!$D$10:$L$1764, 8)</f>
        <v>1084781.4872403452</v>
      </c>
      <c r="H86" s="81">
        <f>VLOOKUP(A86, localcont!$D$10:$L$1764, 9)*F86</f>
        <v>596674.71602150926</v>
      </c>
    </row>
    <row r="87" spans="1:8">
      <c r="A87" s="6">
        <v>161</v>
      </c>
      <c r="B87" s="6">
        <v>33</v>
      </c>
      <c r="C87" s="6" t="s">
        <v>1152</v>
      </c>
      <c r="D87" s="6">
        <v>33</v>
      </c>
      <c r="E87" s="6" t="s">
        <v>714</v>
      </c>
      <c r="F87" s="8">
        <f t="shared" si="2"/>
        <v>1564880</v>
      </c>
      <c r="G87" s="8">
        <f>VLOOKUP(A87, localcont!$D$10:$L$1764, 8)</f>
        <v>250517.91</v>
      </c>
      <c r="H87" s="81">
        <f>VLOOKUP(A87, localcont!$D$10:$L$1764, 9)*F87</f>
        <v>229100.86581971755</v>
      </c>
    </row>
    <row r="88" spans="1:8">
      <c r="A88" s="6">
        <v>162</v>
      </c>
      <c r="B88" s="6">
        <v>33</v>
      </c>
      <c r="C88" s="6" t="s">
        <v>1152</v>
      </c>
      <c r="D88" s="6">
        <v>672</v>
      </c>
      <c r="E88" s="6" t="s">
        <v>1055</v>
      </c>
      <c r="F88" s="8">
        <f t="shared" si="2"/>
        <v>1564880</v>
      </c>
      <c r="G88" s="8">
        <f>VLOOKUP(A88, localcont!$D$10:$L$1764, 8)</f>
        <v>1460651.8212802559</v>
      </c>
      <c r="H88" s="81">
        <f>VLOOKUP(A88, localcont!$D$10:$L$1764, 9)*F88</f>
        <v>1335779.1341802825</v>
      </c>
    </row>
    <row r="89" spans="1:8">
      <c r="A89" s="6">
        <v>166</v>
      </c>
      <c r="B89" s="6">
        <v>34</v>
      </c>
      <c r="C89" s="6" t="s">
        <v>1153</v>
      </c>
      <c r="D89" s="6">
        <v>34</v>
      </c>
      <c r="E89" s="6" t="s">
        <v>715</v>
      </c>
      <c r="F89" s="8">
        <f t="shared" si="2"/>
        <v>13242073</v>
      </c>
      <c r="G89" s="8">
        <f>VLOOKUP(A89, localcont!$D$10:$L$1764, 8)</f>
        <v>0</v>
      </c>
      <c r="H89" s="81">
        <f>VLOOKUP(A89, localcont!$D$10:$L$1764, 9)*F89</f>
        <v>0</v>
      </c>
    </row>
    <row r="90" spans="1:8">
      <c r="A90" s="6">
        <v>167</v>
      </c>
      <c r="B90" s="6">
        <v>34</v>
      </c>
      <c r="C90" s="6" t="s">
        <v>1153</v>
      </c>
      <c r="D90" s="6">
        <v>725</v>
      </c>
      <c r="E90" s="6" t="s">
        <v>1072</v>
      </c>
      <c r="F90" s="8">
        <f t="shared" si="2"/>
        <v>13242073</v>
      </c>
      <c r="G90" s="8">
        <f>VLOOKUP(A90, localcont!$D$10:$L$1764, 8)</f>
        <v>12919235.342545351</v>
      </c>
      <c r="H90" s="81">
        <f>VLOOKUP(A90, localcont!$D$10:$L$1764, 9)*F90</f>
        <v>12513834.292747227</v>
      </c>
    </row>
    <row r="91" spans="1:8">
      <c r="A91" s="6">
        <v>168</v>
      </c>
      <c r="B91" s="6">
        <v>34</v>
      </c>
      <c r="C91" s="6" t="s">
        <v>1153</v>
      </c>
      <c r="D91" s="6">
        <v>830</v>
      </c>
      <c r="E91" s="6" t="s">
        <v>1104</v>
      </c>
      <c r="F91" s="8">
        <f t="shared" si="2"/>
        <v>13242073</v>
      </c>
      <c r="G91" s="8">
        <f>VLOOKUP(A91, localcont!$D$10:$L$1764, 8)</f>
        <v>751830.89566739765</v>
      </c>
      <c r="H91" s="81">
        <f>VLOOKUP(A91, localcont!$D$10:$L$1764, 9)*F91</f>
        <v>728238.70725277159</v>
      </c>
    </row>
    <row r="92" spans="1:8">
      <c r="A92" s="6">
        <v>171</v>
      </c>
      <c r="B92" s="6">
        <v>35</v>
      </c>
      <c r="C92" s="6" t="s">
        <v>1154</v>
      </c>
      <c r="D92" s="6">
        <v>35</v>
      </c>
      <c r="E92" s="6" t="s">
        <v>716</v>
      </c>
      <c r="F92" s="8">
        <f t="shared" si="2"/>
        <v>1599145268</v>
      </c>
      <c r="G92" s="8">
        <f>VLOOKUP(A92, localcont!$D$10:$L$1764, 8)</f>
        <v>1145949554.1332099</v>
      </c>
      <c r="H92" s="81">
        <f>VLOOKUP(A92, localcont!$D$10:$L$1764, 9)*F92</f>
        <v>1599145268</v>
      </c>
    </row>
    <row r="93" spans="1:8">
      <c r="A93" s="6">
        <v>176</v>
      </c>
      <c r="B93" s="6">
        <v>36</v>
      </c>
      <c r="C93" s="6" t="s">
        <v>1155</v>
      </c>
      <c r="D93" s="6">
        <v>36</v>
      </c>
      <c r="E93" s="6" t="s">
        <v>717</v>
      </c>
      <c r="F93" s="8">
        <f t="shared" si="2"/>
        <v>37202826</v>
      </c>
      <c r="G93" s="8">
        <f>VLOOKUP(A93, localcont!$D$10:$L$1764, 8)</f>
        <v>24109451.629999992</v>
      </c>
      <c r="H93" s="81">
        <f>VLOOKUP(A93, localcont!$D$10:$L$1764, 9)*F93</f>
        <v>31650097.883190311</v>
      </c>
    </row>
    <row r="94" spans="1:8">
      <c r="A94" s="6">
        <v>177</v>
      </c>
      <c r="B94" s="6">
        <v>36</v>
      </c>
      <c r="C94" s="6" t="s">
        <v>1155</v>
      </c>
      <c r="D94" s="6">
        <v>879</v>
      </c>
      <c r="E94" s="6" t="s">
        <v>1116</v>
      </c>
      <c r="F94" s="8">
        <f t="shared" si="2"/>
        <v>37202826</v>
      </c>
      <c r="G94" s="8">
        <f>VLOOKUP(A94, localcont!$D$10:$L$1764, 8)</f>
        <v>4229788.8126869136</v>
      </c>
      <c r="H94" s="81">
        <f>VLOOKUP(A94, localcont!$D$10:$L$1764, 9)*F94</f>
        <v>5552728.1168096894</v>
      </c>
    </row>
    <row r="95" spans="1:8">
      <c r="A95" s="6">
        <v>181</v>
      </c>
      <c r="B95" s="6">
        <v>37</v>
      </c>
      <c r="C95" s="6" t="s">
        <v>1156</v>
      </c>
      <c r="D95" s="6">
        <v>37</v>
      </c>
      <c r="E95" s="6" t="s">
        <v>718</v>
      </c>
      <c r="F95" s="8">
        <f t="shared" si="2"/>
        <v>12516580</v>
      </c>
      <c r="G95" s="8">
        <f>VLOOKUP(A95, localcont!$D$10:$L$1764, 8)</f>
        <v>90908.905050000016</v>
      </c>
      <c r="H95" s="81">
        <f>VLOOKUP(A95, localcont!$D$10:$L$1764, 9)*F95</f>
        <v>97241.751140865774</v>
      </c>
    </row>
    <row r="96" spans="1:8">
      <c r="A96" s="6">
        <v>182</v>
      </c>
      <c r="B96" s="6">
        <v>37</v>
      </c>
      <c r="C96" s="6" t="s">
        <v>1156</v>
      </c>
      <c r="D96" s="6">
        <v>600</v>
      </c>
      <c r="E96" s="6" t="s">
        <v>1035</v>
      </c>
      <c r="F96" s="8">
        <f t="shared" si="2"/>
        <v>12516580</v>
      </c>
      <c r="G96" s="8">
        <f>VLOOKUP(A96, localcont!$D$10:$L$1764, 8)</f>
        <v>11610531.776765743</v>
      </c>
      <c r="H96" s="81">
        <f>VLOOKUP(A96, localcont!$D$10:$L$1764, 9)*F96</f>
        <v>12419338.248859134</v>
      </c>
    </row>
    <row r="97" spans="1:8">
      <c r="A97" s="6">
        <v>186</v>
      </c>
      <c r="B97" s="6">
        <v>38</v>
      </c>
      <c r="C97" s="6" t="s">
        <v>719</v>
      </c>
      <c r="D97" s="6">
        <v>38</v>
      </c>
      <c r="E97" s="6" t="s">
        <v>719</v>
      </c>
      <c r="F97" s="8">
        <f t="shared" si="2"/>
        <v>25599031</v>
      </c>
      <c r="G97" s="8">
        <f>VLOOKUP(A97, localcont!$D$10:$L$1764, 8)</f>
        <v>9024222.1102399994</v>
      </c>
      <c r="H97" s="81">
        <f>VLOOKUP(A97, localcont!$D$10:$L$1764, 9)*F97</f>
        <v>13234765.530056592</v>
      </c>
    </row>
    <row r="98" spans="1:8">
      <c r="A98" s="6">
        <v>187</v>
      </c>
      <c r="B98" s="6">
        <v>38</v>
      </c>
      <c r="C98" s="6" t="s">
        <v>719</v>
      </c>
      <c r="D98" s="6">
        <v>705</v>
      </c>
      <c r="E98" s="6" t="s">
        <v>1066</v>
      </c>
      <c r="F98" s="8">
        <f t="shared" si="2"/>
        <v>25599031</v>
      </c>
      <c r="G98" s="8">
        <f>VLOOKUP(A98, localcont!$D$10:$L$1764, 8)</f>
        <v>7926258.0023105806</v>
      </c>
      <c r="H98" s="81">
        <f>VLOOKUP(A98, localcont!$D$10:$L$1764, 9)*F98</f>
        <v>11624510.668047532</v>
      </c>
    </row>
    <row r="99" spans="1:8">
      <c r="A99" s="6">
        <v>188</v>
      </c>
      <c r="B99" s="6">
        <v>38</v>
      </c>
      <c r="C99" s="6" t="s">
        <v>719</v>
      </c>
      <c r="D99" s="6">
        <v>817</v>
      </c>
      <c r="E99" s="6" t="s">
        <v>1097</v>
      </c>
      <c r="F99" s="8">
        <f t="shared" si="2"/>
        <v>25599031</v>
      </c>
      <c r="G99" s="8">
        <f>VLOOKUP(A99, localcont!$D$10:$L$1764, 8)</f>
        <v>504407.24652538839</v>
      </c>
      <c r="H99" s="81">
        <f>VLOOKUP(A99, localcont!$D$10:$L$1764, 9)*F99</f>
        <v>739754.80189587525</v>
      </c>
    </row>
    <row r="100" spans="1:8">
      <c r="A100" s="6">
        <v>191</v>
      </c>
      <c r="B100" s="6">
        <v>39</v>
      </c>
      <c r="C100" s="6" t="s">
        <v>1158</v>
      </c>
      <c r="D100" s="6">
        <v>39</v>
      </c>
      <c r="E100" s="6" t="s">
        <v>720</v>
      </c>
      <c r="F100" s="8">
        <f t="shared" si="2"/>
        <v>9547683</v>
      </c>
      <c r="G100" s="8">
        <f>VLOOKUP(A100, localcont!$D$10:$L$1764, 8)</f>
        <v>267378.24</v>
      </c>
      <c r="H100" s="81">
        <f>VLOOKUP(A100, localcont!$D$10:$L$1764, 9)*F100</f>
        <v>303218.2166485496</v>
      </c>
    </row>
    <row r="101" spans="1:8">
      <c r="A101" s="6">
        <v>192</v>
      </c>
      <c r="B101" s="6">
        <v>39</v>
      </c>
      <c r="C101" s="6" t="s">
        <v>1158</v>
      </c>
      <c r="D101" s="6">
        <v>620</v>
      </c>
      <c r="E101" s="6" t="s">
        <v>1041</v>
      </c>
      <c r="F101" s="8">
        <f t="shared" si="2"/>
        <v>9547683</v>
      </c>
      <c r="G101" s="8">
        <f>VLOOKUP(A101, localcont!$D$10:$L$1764, 8)</f>
        <v>8151781.7459478015</v>
      </c>
      <c r="H101" s="81">
        <f>VLOOKUP(A101, localcont!$D$10:$L$1764, 9)*F101</f>
        <v>9244464.7833514512</v>
      </c>
    </row>
    <row r="102" spans="1:8">
      <c r="A102" s="6">
        <v>196</v>
      </c>
      <c r="B102" s="6">
        <v>40</v>
      </c>
      <c r="C102" s="6" t="s">
        <v>1159</v>
      </c>
      <c r="D102" s="6">
        <v>40</v>
      </c>
      <c r="E102" s="6" t="s">
        <v>721</v>
      </c>
      <c r="F102" s="8">
        <f t="shared" si="2"/>
        <v>64552480</v>
      </c>
      <c r="G102" s="8">
        <f>VLOOKUP(A102, localcont!$D$10:$L$1764, 8)</f>
        <v>73532608.806799993</v>
      </c>
      <c r="H102" s="81">
        <f>VLOOKUP(A102, localcont!$D$10:$L$1764, 9)*F102</f>
        <v>61257524.309147052</v>
      </c>
    </row>
    <row r="103" spans="1:8">
      <c r="A103" s="6">
        <v>197</v>
      </c>
      <c r="B103" s="6">
        <v>40</v>
      </c>
      <c r="C103" s="6" t="s">
        <v>1159</v>
      </c>
      <c r="D103" s="6">
        <v>806</v>
      </c>
      <c r="E103" s="6" t="s">
        <v>1094</v>
      </c>
      <c r="F103" s="8">
        <f t="shared" si="2"/>
        <v>64552480</v>
      </c>
      <c r="G103" s="8">
        <f>VLOOKUP(A103, localcont!$D$10:$L$1764, 8)</f>
        <v>3558783.6504581342</v>
      </c>
      <c r="H103" s="81">
        <f>VLOOKUP(A103, localcont!$D$10:$L$1764, 9)*F103</f>
        <v>2964702.0487429556</v>
      </c>
    </row>
    <row r="104" spans="1:8">
      <c r="A104" s="6">
        <v>198</v>
      </c>
      <c r="B104" s="6">
        <v>40</v>
      </c>
      <c r="C104" s="6" t="s">
        <v>1159</v>
      </c>
      <c r="D104" s="6">
        <v>915</v>
      </c>
      <c r="E104" s="6" t="s">
        <v>1119</v>
      </c>
      <c r="F104" s="8">
        <f t="shared" si="2"/>
        <v>64552480</v>
      </c>
      <c r="G104" s="8">
        <f>VLOOKUP(A104, localcont!$D$10:$L$1764, 8)</f>
        <v>396431.49386416201</v>
      </c>
      <c r="H104" s="81">
        <f>VLOOKUP(A104, localcont!$D$10:$L$1764, 9)*F104</f>
        <v>330253.64210999763</v>
      </c>
    </row>
    <row r="105" spans="1:8">
      <c r="A105" s="6">
        <v>201</v>
      </c>
      <c r="B105" s="6">
        <v>41</v>
      </c>
      <c r="C105" s="6" t="s">
        <v>1160</v>
      </c>
      <c r="D105" s="6">
        <v>41</v>
      </c>
      <c r="E105" s="6" t="s">
        <v>722</v>
      </c>
      <c r="F105" s="8">
        <f t="shared" si="2"/>
        <v>27152140</v>
      </c>
      <c r="G105" s="8">
        <f>VLOOKUP(A105, localcont!$D$10:$L$1764, 8)</f>
        <v>5984373.9899999993</v>
      </c>
      <c r="H105" s="81">
        <f>VLOOKUP(A105, localcont!$D$10:$L$1764, 9)*F105</f>
        <v>10805919.392102845</v>
      </c>
    </row>
    <row r="106" spans="1:8">
      <c r="A106" s="6">
        <v>202</v>
      </c>
      <c r="B106" s="6">
        <v>41</v>
      </c>
      <c r="C106" s="6" t="s">
        <v>1160</v>
      </c>
      <c r="D106" s="6">
        <v>660</v>
      </c>
      <c r="E106" s="6" t="s">
        <v>1051</v>
      </c>
      <c r="F106" s="8">
        <f t="shared" si="2"/>
        <v>27152140</v>
      </c>
      <c r="G106" s="8">
        <f>VLOOKUP(A106, localcont!$D$10:$L$1764, 8)</f>
        <v>7939514.4605249316</v>
      </c>
      <c r="H106" s="81">
        <f>VLOOKUP(A106, localcont!$D$10:$L$1764, 9)*F106</f>
        <v>14336295.39467792</v>
      </c>
    </row>
    <row r="107" spans="1:8">
      <c r="A107" s="6">
        <v>203</v>
      </c>
      <c r="B107" s="6">
        <v>41</v>
      </c>
      <c r="C107" s="6" t="s">
        <v>1160</v>
      </c>
      <c r="D107" s="6">
        <v>815</v>
      </c>
      <c r="E107" s="6" t="s">
        <v>1096</v>
      </c>
      <c r="F107" s="8">
        <f t="shared" si="2"/>
        <v>27152140</v>
      </c>
      <c r="G107" s="8">
        <f>VLOOKUP(A107, localcont!$D$10:$L$1764, 8)</f>
        <v>1113106.96770742</v>
      </c>
      <c r="H107" s="81">
        <f>VLOOKUP(A107, localcont!$D$10:$L$1764, 9)*F107</f>
        <v>2009925.213219237</v>
      </c>
    </row>
    <row r="108" spans="1:8">
      <c r="A108" s="6">
        <v>206</v>
      </c>
      <c r="B108" s="6">
        <v>42</v>
      </c>
      <c r="C108" s="6" t="s">
        <v>1161</v>
      </c>
      <c r="D108" s="6">
        <v>42</v>
      </c>
      <c r="E108" s="6" t="s">
        <v>723</v>
      </c>
      <c r="F108" s="8">
        <f t="shared" si="2"/>
        <v>32195224</v>
      </c>
      <c r="G108" s="8">
        <f>VLOOKUP(A108, localcont!$D$10:$L$1764, 8)</f>
        <v>334819.56000000006</v>
      </c>
      <c r="H108" s="81">
        <f>VLOOKUP(A108, localcont!$D$10:$L$1764, 9)*F108</f>
        <v>214453.76636542485</v>
      </c>
    </row>
    <row r="109" spans="1:8">
      <c r="A109" s="6">
        <v>207</v>
      </c>
      <c r="B109" s="6">
        <v>42</v>
      </c>
      <c r="C109" s="6" t="s">
        <v>1161</v>
      </c>
      <c r="D109" s="6">
        <v>625</v>
      </c>
      <c r="E109" s="6" t="s">
        <v>1043</v>
      </c>
      <c r="F109" s="8">
        <f t="shared" si="2"/>
        <v>32195224</v>
      </c>
      <c r="G109" s="8">
        <f>VLOOKUP(A109, localcont!$D$10:$L$1764, 8)</f>
        <v>46882568.803371251</v>
      </c>
      <c r="H109" s="81">
        <f>VLOOKUP(A109, localcont!$D$10:$L$1764, 9)*F109</f>
        <v>30028542.707508281</v>
      </c>
    </row>
    <row r="110" spans="1:8">
      <c r="A110" s="6">
        <v>208</v>
      </c>
      <c r="B110" s="6">
        <v>42</v>
      </c>
      <c r="C110" s="6" t="s">
        <v>1161</v>
      </c>
      <c r="D110" s="6">
        <v>810</v>
      </c>
      <c r="E110" s="6" t="s">
        <v>1095</v>
      </c>
      <c r="F110" s="8">
        <f t="shared" si="2"/>
        <v>32195224</v>
      </c>
      <c r="G110" s="8">
        <f>VLOOKUP(A110, localcont!$D$10:$L$1764, 8)</f>
        <v>3047948.1540263421</v>
      </c>
      <c r="H110" s="81">
        <f>VLOOKUP(A110, localcont!$D$10:$L$1764, 9)*F110</f>
        <v>1952227.5261262902</v>
      </c>
    </row>
    <row r="111" spans="1:8">
      <c r="A111" s="6">
        <v>211</v>
      </c>
      <c r="B111" s="6">
        <v>43</v>
      </c>
      <c r="C111" s="6" t="s">
        <v>1162</v>
      </c>
      <c r="D111" s="6">
        <v>43</v>
      </c>
      <c r="E111" s="6" t="s">
        <v>724</v>
      </c>
      <c r="F111" s="8">
        <f t="shared" si="2"/>
        <v>4406878</v>
      </c>
      <c r="G111" s="8">
        <f>VLOOKUP(A111, localcont!$D$10:$L$1764, 8)</f>
        <v>3675840.4599999995</v>
      </c>
      <c r="H111" s="81">
        <f>VLOOKUP(A111, localcont!$D$10:$L$1764, 9)*F111</f>
        <v>2097602.1253116373</v>
      </c>
    </row>
    <row r="112" spans="1:8">
      <c r="A112" s="6">
        <v>212</v>
      </c>
      <c r="B112" s="6">
        <v>43</v>
      </c>
      <c r="C112" s="6" t="s">
        <v>1162</v>
      </c>
      <c r="D112" s="6">
        <v>770</v>
      </c>
      <c r="E112" s="6" t="s">
        <v>1086</v>
      </c>
      <c r="F112" s="8">
        <f t="shared" si="2"/>
        <v>4406878</v>
      </c>
      <c r="G112" s="8">
        <f>VLOOKUP(A112, localcont!$D$10:$L$1764, 8)</f>
        <v>4046777.7902447754</v>
      </c>
      <c r="H112" s="81">
        <f>VLOOKUP(A112, localcont!$D$10:$L$1764, 9)*F112</f>
        <v>2309275.8746883627</v>
      </c>
    </row>
    <row r="113" spans="1:8">
      <c r="A113" s="6">
        <v>216</v>
      </c>
      <c r="B113" s="6">
        <v>44</v>
      </c>
      <c r="C113" s="6" t="s">
        <v>1163</v>
      </c>
      <c r="D113" s="6">
        <v>44</v>
      </c>
      <c r="E113" s="6" t="s">
        <v>725</v>
      </c>
      <c r="F113" s="8">
        <f t="shared" si="2"/>
        <v>78425690</v>
      </c>
      <c r="G113" s="8">
        <f>VLOOKUP(A113, localcont!$D$10:$L$1764, 8)</f>
        <v>314919037.44</v>
      </c>
      <c r="H113" s="81">
        <f>VLOOKUP(A113, localcont!$D$10:$L$1764, 9)*F113</f>
        <v>73147093.052337185</v>
      </c>
    </row>
    <row r="114" spans="1:8">
      <c r="A114" s="6">
        <v>217</v>
      </c>
      <c r="B114" s="6">
        <v>44</v>
      </c>
      <c r="C114" s="6" t="s">
        <v>1163</v>
      </c>
      <c r="D114" s="6">
        <v>872</v>
      </c>
      <c r="E114" s="6" t="s">
        <v>1112</v>
      </c>
      <c r="F114" s="8">
        <f t="shared" si="2"/>
        <v>78425690</v>
      </c>
      <c r="G114" s="8">
        <f>VLOOKUP(A114, localcont!$D$10:$L$1764, 8)</f>
        <v>22725861.007248588</v>
      </c>
      <c r="H114" s="81">
        <f>VLOOKUP(A114, localcont!$D$10:$L$1764, 9)*F114</f>
        <v>5278596.9476628089</v>
      </c>
    </row>
    <row r="115" spans="1:8">
      <c r="A115" s="6">
        <v>221</v>
      </c>
      <c r="B115" s="6">
        <v>45</v>
      </c>
      <c r="C115" s="6" t="s">
        <v>1164</v>
      </c>
      <c r="D115" s="6">
        <v>45</v>
      </c>
      <c r="E115" s="6" t="s">
        <v>726</v>
      </c>
      <c r="F115" s="8">
        <f t="shared" si="2"/>
        <v>3152870</v>
      </c>
      <c r="G115" s="8">
        <f>VLOOKUP(A115, localcont!$D$10:$L$1764, 8)</f>
        <v>3232462.2</v>
      </c>
      <c r="H115" s="81">
        <f>VLOOKUP(A115, localcont!$D$10:$L$1764, 9)*F115</f>
        <v>1569877.4405671044</v>
      </c>
    </row>
    <row r="116" spans="1:8">
      <c r="A116" s="6">
        <v>222</v>
      </c>
      <c r="B116" s="6">
        <v>45</v>
      </c>
      <c r="C116" s="6" t="s">
        <v>1164</v>
      </c>
      <c r="D116" s="6">
        <v>770</v>
      </c>
      <c r="E116" s="6" t="s">
        <v>1086</v>
      </c>
      <c r="F116" s="8">
        <f t="shared" si="2"/>
        <v>3152870</v>
      </c>
      <c r="G116" s="8">
        <f>VLOOKUP(A116, localcont!$D$10:$L$1764, 8)</f>
        <v>3259466.9360938333</v>
      </c>
      <c r="H116" s="81">
        <f>VLOOKUP(A116, localcont!$D$10:$L$1764, 9)*F116</f>
        <v>1582992.5594328956</v>
      </c>
    </row>
    <row r="117" spans="1:8">
      <c r="A117" s="6">
        <v>226</v>
      </c>
      <c r="B117" s="6">
        <v>46</v>
      </c>
      <c r="C117" s="6" t="s">
        <v>1165</v>
      </c>
      <c r="D117" s="6">
        <v>46</v>
      </c>
      <c r="E117" s="6" t="s">
        <v>727</v>
      </c>
      <c r="F117" s="8">
        <f t="shared" si="2"/>
        <v>232730022</v>
      </c>
      <c r="G117" s="8">
        <f>VLOOKUP(A117, localcont!$D$10:$L$1764, 8)</f>
        <v>91993751.557960004</v>
      </c>
      <c r="H117" s="81">
        <f>VLOOKUP(A117, localcont!$D$10:$L$1764, 9)*F117</f>
        <v>232730022</v>
      </c>
    </row>
    <row r="118" spans="1:8">
      <c r="A118" s="6">
        <v>227</v>
      </c>
      <c r="B118" s="6">
        <v>46</v>
      </c>
      <c r="C118" s="6" t="s">
        <v>1165</v>
      </c>
      <c r="D118" s="6">
        <v>915</v>
      </c>
      <c r="E118" s="6" t="s">
        <v>1119</v>
      </c>
      <c r="F118" s="8">
        <f t="shared" si="2"/>
        <v>232730022</v>
      </c>
      <c r="G118" s="8">
        <f>VLOOKUP(A118, localcont!$D$10:$L$1764, 8)</f>
        <v>0</v>
      </c>
      <c r="H118" s="81">
        <f>VLOOKUP(A118, localcont!$D$10:$L$1764, 9)*F118</f>
        <v>0</v>
      </c>
    </row>
    <row r="119" spans="1:8">
      <c r="A119" s="6">
        <v>231</v>
      </c>
      <c r="B119" s="6">
        <v>47</v>
      </c>
      <c r="C119" s="6" t="s">
        <v>1166</v>
      </c>
      <c r="D119" s="6">
        <v>47</v>
      </c>
      <c r="E119" s="6" t="s">
        <v>728</v>
      </c>
      <c r="F119" s="8">
        <f t="shared" si="2"/>
        <v>1714254</v>
      </c>
      <c r="G119" s="8">
        <f>VLOOKUP(A119, localcont!$D$10:$L$1764, 8)</f>
        <v>16860.330000000002</v>
      </c>
      <c r="H119" s="81">
        <f>VLOOKUP(A119, localcont!$D$10:$L$1764, 9)*F119</f>
        <v>9683.8919427897599</v>
      </c>
    </row>
    <row r="120" spans="1:8">
      <c r="A120" s="6">
        <v>232</v>
      </c>
      <c r="B120" s="6">
        <v>47</v>
      </c>
      <c r="C120" s="6" t="s">
        <v>1166</v>
      </c>
      <c r="D120" s="6">
        <v>717</v>
      </c>
      <c r="E120" s="6" t="s">
        <v>1070</v>
      </c>
      <c r="F120" s="8">
        <f t="shared" si="2"/>
        <v>1714254</v>
      </c>
      <c r="G120" s="8">
        <f>VLOOKUP(A120, localcont!$D$10:$L$1764, 8)</f>
        <v>2574350.4479976436</v>
      </c>
      <c r="H120" s="81">
        <f>VLOOKUP(A120, localcont!$D$10:$L$1764, 9)*F120</f>
        <v>1478602.8245758885</v>
      </c>
    </row>
    <row r="121" spans="1:8">
      <c r="A121" s="6">
        <v>233</v>
      </c>
      <c r="B121" s="6">
        <v>47</v>
      </c>
      <c r="C121" s="6" t="s">
        <v>1166</v>
      </c>
      <c r="D121" s="6">
        <v>818</v>
      </c>
      <c r="E121" s="6" t="s">
        <v>1098</v>
      </c>
      <c r="F121" s="8">
        <f t="shared" si="2"/>
        <v>1714254</v>
      </c>
      <c r="G121" s="8">
        <f>VLOOKUP(A121, localcont!$D$10:$L$1764, 8)</f>
        <v>393424.77086759731</v>
      </c>
      <c r="H121" s="81">
        <f>VLOOKUP(A121, localcont!$D$10:$L$1764, 9)*F121</f>
        <v>225967.28348132173</v>
      </c>
    </row>
    <row r="122" spans="1:8">
      <c r="A122" s="6">
        <v>236</v>
      </c>
      <c r="B122" s="6">
        <v>48</v>
      </c>
      <c r="C122" s="6" t="s">
        <v>1167</v>
      </c>
      <c r="D122" s="6">
        <v>48</v>
      </c>
      <c r="E122" s="6" t="s">
        <v>729</v>
      </c>
      <c r="F122" s="8">
        <f t="shared" si="2"/>
        <v>59735997</v>
      </c>
      <c r="G122" s="8">
        <f>VLOOKUP(A122, localcont!$D$10:$L$1764, 8)</f>
        <v>49033422.446800001</v>
      </c>
      <c r="H122" s="81">
        <f>VLOOKUP(A122, localcont!$D$10:$L$1764, 9)*F122</f>
        <v>57024431.966820084</v>
      </c>
    </row>
    <row r="123" spans="1:8">
      <c r="A123" s="6">
        <v>237</v>
      </c>
      <c r="B123" s="6">
        <v>48</v>
      </c>
      <c r="C123" s="6" t="s">
        <v>1167</v>
      </c>
      <c r="D123" s="6">
        <v>871</v>
      </c>
      <c r="E123" s="6" t="s">
        <v>1111</v>
      </c>
      <c r="F123" s="8">
        <f t="shared" si="2"/>
        <v>59735997</v>
      </c>
      <c r="G123" s="8">
        <f>VLOOKUP(A123, localcont!$D$10:$L$1764, 8)</f>
        <v>2331585.06236842</v>
      </c>
      <c r="H123" s="81">
        <f>VLOOKUP(A123, localcont!$D$10:$L$1764, 9)*F123</f>
        <v>2711565.0331799127</v>
      </c>
    </row>
    <row r="124" spans="1:8">
      <c r="A124" s="6">
        <v>241</v>
      </c>
      <c r="B124" s="6">
        <v>49</v>
      </c>
      <c r="C124" s="6" t="s">
        <v>1168</v>
      </c>
      <c r="D124" s="6">
        <v>49</v>
      </c>
      <c r="E124" s="6" t="s">
        <v>730</v>
      </c>
      <c r="F124" s="8">
        <f t="shared" si="2"/>
        <v>432904864</v>
      </c>
      <c r="G124" s="8">
        <f>VLOOKUP(A124, localcont!$D$10:$L$1764, 8)</f>
        <v>118963463.14608002</v>
      </c>
      <c r="H124" s="81">
        <f>VLOOKUP(A124, localcont!$D$10:$L$1764, 9)*F124</f>
        <v>432904864</v>
      </c>
    </row>
    <row r="125" spans="1:8">
      <c r="A125" s="6">
        <v>246</v>
      </c>
      <c r="B125" s="6">
        <v>50</v>
      </c>
      <c r="C125" s="6" t="s">
        <v>1169</v>
      </c>
      <c r="D125" s="6">
        <v>50</v>
      </c>
      <c r="E125" s="6" t="s">
        <v>731</v>
      </c>
      <c r="F125" s="8">
        <f t="shared" si="2"/>
        <v>52445017</v>
      </c>
      <c r="G125" s="8">
        <f>VLOOKUP(A125, localcont!$D$10:$L$1764, 8)</f>
        <v>44999693.302450001</v>
      </c>
      <c r="H125" s="81">
        <f>VLOOKUP(A125, localcont!$D$10:$L$1764, 9)*F125</f>
        <v>50403819.07257016</v>
      </c>
    </row>
    <row r="126" spans="1:8">
      <c r="A126" s="6">
        <v>247</v>
      </c>
      <c r="B126" s="6">
        <v>50</v>
      </c>
      <c r="C126" s="6" t="s">
        <v>1169</v>
      </c>
      <c r="D126" s="6">
        <v>806</v>
      </c>
      <c r="E126" s="6" t="s">
        <v>1094</v>
      </c>
      <c r="F126" s="8">
        <f t="shared" si="2"/>
        <v>52445017</v>
      </c>
      <c r="G126" s="8">
        <f>VLOOKUP(A126, localcont!$D$10:$L$1764, 8)</f>
        <v>1668179.8362425545</v>
      </c>
      <c r="H126" s="81">
        <f>VLOOKUP(A126, localcont!$D$10:$L$1764, 9)*F126</f>
        <v>1868515.727015001</v>
      </c>
    </row>
    <row r="127" spans="1:8">
      <c r="A127" s="6">
        <v>248</v>
      </c>
      <c r="B127" s="6">
        <v>50</v>
      </c>
      <c r="C127" s="6" t="s">
        <v>1169</v>
      </c>
      <c r="D127" s="6">
        <v>915</v>
      </c>
      <c r="E127" s="6" t="s">
        <v>1119</v>
      </c>
      <c r="F127" s="8">
        <f t="shared" si="2"/>
        <v>52445017</v>
      </c>
      <c r="G127" s="8">
        <f>VLOOKUP(A127, localcont!$D$10:$L$1764, 8)</f>
        <v>154167.80316332754</v>
      </c>
      <c r="H127" s="81">
        <f>VLOOKUP(A127, localcont!$D$10:$L$1764, 9)*F127</f>
        <v>172682.20041483926</v>
      </c>
    </row>
    <row r="128" spans="1:8">
      <c r="A128" s="6">
        <v>251</v>
      </c>
      <c r="B128" s="6">
        <v>51</v>
      </c>
      <c r="C128" s="6" t="s">
        <v>1170</v>
      </c>
      <c r="D128" s="6">
        <v>51</v>
      </c>
      <c r="E128" s="6" t="s">
        <v>732</v>
      </c>
      <c r="F128" s="8">
        <f t="shared" si="2"/>
        <v>22461063</v>
      </c>
      <c r="G128" s="8">
        <f>VLOOKUP(A128, localcont!$D$10:$L$1764, 8)</f>
        <v>6853478.0810400005</v>
      </c>
      <c r="H128" s="81">
        <f>VLOOKUP(A128, localcont!$D$10:$L$1764, 9)*F128</f>
        <v>13943126.197421588</v>
      </c>
    </row>
    <row r="129" spans="1:8">
      <c r="A129" s="6">
        <v>252</v>
      </c>
      <c r="B129" s="6">
        <v>51</v>
      </c>
      <c r="C129" s="6" t="s">
        <v>1170</v>
      </c>
      <c r="D129" s="6">
        <v>640</v>
      </c>
      <c r="E129" s="6" t="s">
        <v>1046</v>
      </c>
      <c r="F129" s="8">
        <f t="shared" si="2"/>
        <v>22461063</v>
      </c>
      <c r="G129" s="8">
        <f>VLOOKUP(A129, localcont!$D$10:$L$1764, 8)</f>
        <v>4186829.5779285468</v>
      </c>
      <c r="H129" s="81">
        <f>VLOOKUP(A129, localcont!$D$10:$L$1764, 9)*F129</f>
        <v>8517936.802578412</v>
      </c>
    </row>
    <row r="130" spans="1:8">
      <c r="A130" s="6">
        <v>256</v>
      </c>
      <c r="B130" s="6">
        <v>52</v>
      </c>
      <c r="C130" s="6" t="s">
        <v>1171</v>
      </c>
      <c r="D130" s="6">
        <v>52</v>
      </c>
      <c r="E130" s="6" t="s">
        <v>733</v>
      </c>
      <c r="F130" s="8">
        <f t="shared" si="2"/>
        <v>13137709</v>
      </c>
      <c r="G130" s="8">
        <f>VLOOKUP(A130, localcont!$D$10:$L$1764, 8)</f>
        <v>20958681.776560001</v>
      </c>
      <c r="H130" s="81">
        <f>VLOOKUP(A130, localcont!$D$10:$L$1764, 9)*F130</f>
        <v>12239324.443739377</v>
      </c>
    </row>
    <row r="131" spans="1:8">
      <c r="A131" s="6">
        <v>257</v>
      </c>
      <c r="B131" s="6">
        <v>52</v>
      </c>
      <c r="C131" s="6" t="s">
        <v>1171</v>
      </c>
      <c r="D131" s="6">
        <v>855</v>
      </c>
      <c r="E131" s="6" t="s">
        <v>1109</v>
      </c>
      <c r="F131" s="8">
        <f t="shared" si="2"/>
        <v>13137709</v>
      </c>
      <c r="G131" s="8">
        <f>VLOOKUP(A131, localcont!$D$10:$L$1764, 8)</f>
        <v>1538398.3090074707</v>
      </c>
      <c r="H131" s="81">
        <f>VLOOKUP(A131, localcont!$D$10:$L$1764, 9)*F131</f>
        <v>898384.55626062292</v>
      </c>
    </row>
    <row r="132" spans="1:8">
      <c r="A132" s="6">
        <v>261</v>
      </c>
      <c r="B132" s="6">
        <v>53</v>
      </c>
      <c r="C132" s="6" t="s">
        <v>1172</v>
      </c>
      <c r="D132" s="6">
        <v>53</v>
      </c>
      <c r="E132" s="6" t="s">
        <v>734</v>
      </c>
      <c r="F132" s="8">
        <f t="shared" si="2"/>
        <v>1098114</v>
      </c>
      <c r="G132" s="8">
        <f>VLOOKUP(A132, localcont!$D$10:$L$1764, 8)</f>
        <v>216797.25000000006</v>
      </c>
      <c r="H132" s="81">
        <f>VLOOKUP(A132, localcont!$D$10:$L$1764, 9)*F132</f>
        <v>129434.38242341777</v>
      </c>
    </row>
    <row r="133" spans="1:8">
      <c r="A133" s="6">
        <v>262</v>
      </c>
      <c r="B133" s="6">
        <v>53</v>
      </c>
      <c r="C133" s="6" t="s">
        <v>1172</v>
      </c>
      <c r="D133" s="6">
        <v>685</v>
      </c>
      <c r="E133" s="6" t="s">
        <v>1061</v>
      </c>
      <c r="F133" s="8">
        <f t="shared" si="2"/>
        <v>1098114</v>
      </c>
      <c r="G133" s="8">
        <f>VLOOKUP(A133, localcont!$D$10:$L$1764, 8)</f>
        <v>1022791.7525000001</v>
      </c>
      <c r="H133" s="81">
        <f>VLOOKUP(A133, localcont!$D$10:$L$1764, 9)*F133</f>
        <v>610636.98378370865</v>
      </c>
    </row>
    <row r="134" spans="1:8">
      <c r="A134" s="6">
        <v>263</v>
      </c>
      <c r="B134" s="6">
        <v>53</v>
      </c>
      <c r="C134" s="6" t="s">
        <v>1172</v>
      </c>
      <c r="D134" s="6">
        <v>717</v>
      </c>
      <c r="E134" s="6" t="s">
        <v>1070</v>
      </c>
      <c r="F134" s="8">
        <f t="shared" si="2"/>
        <v>1098114</v>
      </c>
      <c r="G134" s="8">
        <f>VLOOKUP(A134, localcont!$D$10:$L$1764, 8)</f>
        <v>599706.63849676063</v>
      </c>
      <c r="H134" s="81">
        <f>VLOOKUP(A134, localcont!$D$10:$L$1764, 9)*F134</f>
        <v>358042.63379287359</v>
      </c>
    </row>
    <row r="135" spans="1:8">
      <c r="A135" s="6">
        <v>266</v>
      </c>
      <c r="B135" s="6">
        <v>54</v>
      </c>
      <c r="C135" s="6" t="s">
        <v>1173</v>
      </c>
      <c r="D135" s="6">
        <v>54</v>
      </c>
      <c r="E135" s="6" t="s">
        <v>735</v>
      </c>
      <c r="F135" s="8">
        <f t="shared" si="2"/>
        <v>17649167</v>
      </c>
      <c r="G135" s="8">
        <f>VLOOKUP(A135, localcont!$D$10:$L$1764, 8)</f>
        <v>0</v>
      </c>
      <c r="H135" s="81">
        <f>VLOOKUP(A135, localcont!$D$10:$L$1764, 9)*F135</f>
        <v>0</v>
      </c>
    </row>
    <row r="136" spans="1:8">
      <c r="A136" s="6">
        <v>267</v>
      </c>
      <c r="B136" s="6">
        <v>54</v>
      </c>
      <c r="C136" s="6" t="s">
        <v>1173</v>
      </c>
      <c r="D136" s="6">
        <v>658</v>
      </c>
      <c r="E136" s="6" t="s">
        <v>1050</v>
      </c>
      <c r="F136" s="8">
        <f t="shared" si="2"/>
        <v>17649167</v>
      </c>
      <c r="G136" s="8">
        <f>VLOOKUP(A136, localcont!$D$10:$L$1764, 8)</f>
        <v>24885416.639302433</v>
      </c>
      <c r="H136" s="81">
        <f>VLOOKUP(A136, localcont!$D$10:$L$1764, 9)*F136</f>
        <v>15179285.672597559</v>
      </c>
    </row>
    <row r="137" spans="1:8">
      <c r="A137" s="6">
        <v>268</v>
      </c>
      <c r="B137" s="6">
        <v>54</v>
      </c>
      <c r="C137" s="6" t="s">
        <v>1173</v>
      </c>
      <c r="D137" s="6">
        <v>876</v>
      </c>
      <c r="E137" s="6" t="s">
        <v>1114</v>
      </c>
      <c r="F137" s="8">
        <f t="shared" si="2"/>
        <v>17649167</v>
      </c>
      <c r="G137" s="8">
        <f>VLOOKUP(A137, localcont!$D$10:$L$1764, 8)</f>
        <v>4049204.1066860701</v>
      </c>
      <c r="H137" s="81">
        <f>VLOOKUP(A137, localcont!$D$10:$L$1764, 9)*F137</f>
        <v>2469881.3274024404</v>
      </c>
    </row>
    <row r="138" spans="1:8">
      <c r="A138" s="6">
        <v>271</v>
      </c>
      <c r="B138" s="6">
        <v>55</v>
      </c>
      <c r="C138" s="6" t="s">
        <v>1174</v>
      </c>
      <c r="D138" s="6">
        <v>55</v>
      </c>
      <c r="E138" s="6" t="s">
        <v>736</v>
      </c>
      <c r="F138" s="8">
        <f t="shared" si="2"/>
        <v>43422000</v>
      </c>
      <c r="G138" s="8">
        <f>VLOOKUP(A138, localcont!$D$10:$L$1764, 8)</f>
        <v>0</v>
      </c>
      <c r="H138" s="81">
        <f>VLOOKUP(A138, localcont!$D$10:$L$1764, 9)*F138</f>
        <v>0</v>
      </c>
    </row>
    <row r="139" spans="1:8">
      <c r="A139" s="6">
        <v>272</v>
      </c>
      <c r="B139" s="6">
        <v>55</v>
      </c>
      <c r="C139" s="6" t="s">
        <v>1174</v>
      </c>
      <c r="D139" s="6">
        <v>712</v>
      </c>
      <c r="E139" s="6" t="s">
        <v>1068</v>
      </c>
      <c r="F139" s="8">
        <f t="shared" ref="F139:F202" si="3">VLOOKUP(B139, town351, 7)</f>
        <v>43422000</v>
      </c>
      <c r="G139" s="8">
        <f>VLOOKUP(A139, localcont!$D$10:$L$1764, 8)</f>
        <v>5426498.939183143</v>
      </c>
      <c r="H139" s="81">
        <f>VLOOKUP(A139, localcont!$D$10:$L$1764, 9)*F139</f>
        <v>40189148.174292214</v>
      </c>
    </row>
    <row r="140" spans="1:8">
      <c r="A140" s="6">
        <v>273</v>
      </c>
      <c r="B140" s="6">
        <v>55</v>
      </c>
      <c r="C140" s="6" t="s">
        <v>1174</v>
      </c>
      <c r="D140" s="6">
        <v>815</v>
      </c>
      <c r="E140" s="6" t="s">
        <v>1096</v>
      </c>
      <c r="F140" s="8">
        <f t="shared" si="3"/>
        <v>43422000</v>
      </c>
      <c r="G140" s="8">
        <f>VLOOKUP(A140, localcont!$D$10:$L$1764, 8)</f>
        <v>436512.53633589984</v>
      </c>
      <c r="H140" s="81">
        <f>VLOOKUP(A140, localcont!$D$10:$L$1764, 9)*F140</f>
        <v>3232851.8257077872</v>
      </c>
    </row>
    <row r="141" spans="1:8">
      <c r="A141" s="6">
        <v>276</v>
      </c>
      <c r="B141" s="6">
        <v>56</v>
      </c>
      <c r="C141" s="6" t="s">
        <v>1175</v>
      </c>
      <c r="D141" s="6">
        <v>56</v>
      </c>
      <c r="E141" s="6" t="s">
        <v>737</v>
      </c>
      <c r="F141" s="8">
        <f t="shared" si="3"/>
        <v>62500581</v>
      </c>
      <c r="G141" s="8">
        <f>VLOOKUP(A141, localcont!$D$10:$L$1764, 8)</f>
        <v>66887500.860000007</v>
      </c>
      <c r="H141" s="81">
        <f>VLOOKUP(A141, localcont!$D$10:$L$1764, 9)*F141</f>
        <v>58566808.584602356</v>
      </c>
    </row>
    <row r="142" spans="1:8">
      <c r="A142" s="6">
        <v>277</v>
      </c>
      <c r="B142" s="6">
        <v>56</v>
      </c>
      <c r="C142" s="6" t="s">
        <v>1175</v>
      </c>
      <c r="D142" s="6">
        <v>852</v>
      </c>
      <c r="E142" s="6" t="s">
        <v>1107</v>
      </c>
      <c r="F142" s="8">
        <f t="shared" si="3"/>
        <v>62500581</v>
      </c>
      <c r="G142" s="8">
        <f>VLOOKUP(A142, localcont!$D$10:$L$1764, 8)</f>
        <v>4492650.5673920335</v>
      </c>
      <c r="H142" s="81">
        <f>VLOOKUP(A142, localcont!$D$10:$L$1764, 9)*F142</f>
        <v>3933772.4153976464</v>
      </c>
    </row>
    <row r="143" spans="1:8">
      <c r="A143" s="6">
        <v>281</v>
      </c>
      <c r="B143" s="6">
        <v>57</v>
      </c>
      <c r="C143" s="6" t="s">
        <v>1176</v>
      </c>
      <c r="D143" s="6">
        <v>57</v>
      </c>
      <c r="E143" s="6" t="s">
        <v>738</v>
      </c>
      <c r="F143" s="8">
        <f t="shared" si="3"/>
        <v>33710758</v>
      </c>
      <c r="G143" s="8">
        <f>VLOOKUP(A143, localcont!$D$10:$L$1764, 8)</f>
        <v>146924932.87000003</v>
      </c>
      <c r="H143" s="81">
        <f>VLOOKUP(A143, localcont!$D$10:$L$1764, 9)*F143</f>
        <v>32391306.903211795</v>
      </c>
    </row>
    <row r="144" spans="1:8">
      <c r="A144" s="6">
        <v>282</v>
      </c>
      <c r="B144" s="6">
        <v>57</v>
      </c>
      <c r="C144" s="6" t="s">
        <v>1176</v>
      </c>
      <c r="D144" s="6">
        <v>853</v>
      </c>
      <c r="E144" s="6" t="s">
        <v>1108</v>
      </c>
      <c r="F144" s="8">
        <f t="shared" si="3"/>
        <v>33710758</v>
      </c>
      <c r="G144" s="8">
        <f>VLOOKUP(A144, localcont!$D$10:$L$1764, 8)</f>
        <v>5984947.2699612621</v>
      </c>
      <c r="H144" s="81">
        <f>VLOOKUP(A144, localcont!$D$10:$L$1764, 9)*F144</f>
        <v>1319451.096788204</v>
      </c>
    </row>
    <row r="145" spans="1:8">
      <c r="A145" s="6">
        <v>286</v>
      </c>
      <c r="B145" s="6">
        <v>58</v>
      </c>
      <c r="C145" s="6" t="s">
        <v>1177</v>
      </c>
      <c r="D145" s="6">
        <v>58</v>
      </c>
      <c r="E145" s="6" t="s">
        <v>739</v>
      </c>
      <c r="F145" s="8">
        <f t="shared" si="3"/>
        <v>3150432</v>
      </c>
      <c r="G145" s="8">
        <f>VLOOKUP(A145, localcont!$D$10:$L$1764, 8)</f>
        <v>16860.330000000002</v>
      </c>
      <c r="H145" s="81">
        <f>VLOOKUP(A145, localcont!$D$10:$L$1764, 9)*F145</f>
        <v>9310.8125380167075</v>
      </c>
    </row>
    <row r="146" spans="1:8">
      <c r="A146" s="6">
        <v>287</v>
      </c>
      <c r="B146" s="6">
        <v>58</v>
      </c>
      <c r="C146" s="6" t="s">
        <v>1177</v>
      </c>
      <c r="D146" s="6">
        <v>603</v>
      </c>
      <c r="E146" s="6" t="s">
        <v>2176</v>
      </c>
      <c r="F146" s="8">
        <f t="shared" si="3"/>
        <v>3150432</v>
      </c>
      <c r="G146" s="8">
        <f>VLOOKUP(A146, localcont!$D$10:$L$1764, 8)</f>
        <v>4679540.6578558804</v>
      </c>
      <c r="H146" s="81">
        <f>VLOOKUP(A146, localcont!$D$10:$L$1764, 9)*F146</f>
        <v>2584191.7583655529</v>
      </c>
    </row>
    <row r="147" spans="1:8">
      <c r="A147" s="6">
        <v>288</v>
      </c>
      <c r="B147" s="6">
        <v>58</v>
      </c>
      <c r="C147" s="6" t="s">
        <v>1177</v>
      </c>
      <c r="D147" s="6">
        <v>851</v>
      </c>
      <c r="E147" s="6" t="s">
        <v>1106</v>
      </c>
      <c r="F147" s="8">
        <f t="shared" si="3"/>
        <v>3150432</v>
      </c>
      <c r="G147" s="8">
        <f>VLOOKUP(A147, localcont!$D$10:$L$1764, 8)</f>
        <v>1008506.3922119929</v>
      </c>
      <c r="H147" s="81">
        <f>VLOOKUP(A147, localcont!$D$10:$L$1764, 9)*F147</f>
        <v>556929.42909643042</v>
      </c>
    </row>
    <row r="148" spans="1:8">
      <c r="A148" s="6">
        <v>291</v>
      </c>
      <c r="B148" s="6">
        <v>59</v>
      </c>
      <c r="C148" s="6" t="s">
        <v>1178</v>
      </c>
      <c r="D148" s="6">
        <v>59</v>
      </c>
      <c r="E148" s="6" t="s">
        <v>740</v>
      </c>
      <c r="F148" s="8">
        <f t="shared" si="3"/>
        <v>1119353</v>
      </c>
      <c r="G148" s="8">
        <f>VLOOKUP(A148, localcont!$D$10:$L$1764, 8)</f>
        <v>118022.31000000001</v>
      </c>
      <c r="H148" s="81">
        <f>VLOOKUP(A148, localcont!$D$10:$L$1764, 9)*F148</f>
        <v>66545.173251328655</v>
      </c>
    </row>
    <row r="149" spans="1:8">
      <c r="A149" s="6">
        <v>292</v>
      </c>
      <c r="B149" s="6">
        <v>59</v>
      </c>
      <c r="C149" s="6" t="s">
        <v>1178</v>
      </c>
      <c r="D149" s="6">
        <v>672</v>
      </c>
      <c r="E149" s="6" t="s">
        <v>1055</v>
      </c>
      <c r="F149" s="8">
        <f t="shared" si="3"/>
        <v>1119353</v>
      </c>
      <c r="G149" s="8">
        <f>VLOOKUP(A149, localcont!$D$10:$L$1764, 8)</f>
        <v>1867225.0086369277</v>
      </c>
      <c r="H149" s="81">
        <f>VLOOKUP(A149, localcont!$D$10:$L$1764, 9)*F149</f>
        <v>1052807.8267486712</v>
      </c>
    </row>
    <row r="150" spans="1:8">
      <c r="A150" s="6">
        <v>296</v>
      </c>
      <c r="B150" s="6">
        <v>60</v>
      </c>
      <c r="C150" s="6" t="s">
        <v>1179</v>
      </c>
      <c r="D150" s="6">
        <v>60</v>
      </c>
      <c r="E150" s="6" t="s">
        <v>741</v>
      </c>
      <c r="F150" s="8">
        <f t="shared" si="3"/>
        <v>1166107</v>
      </c>
      <c r="G150" s="8">
        <f>VLOOKUP(A150, localcont!$D$10:$L$1764, 8)</f>
        <v>267378.24</v>
      </c>
      <c r="H150" s="81">
        <f>VLOOKUP(A150, localcont!$D$10:$L$1764, 9)*F150</f>
        <v>218581.42812067256</v>
      </c>
    </row>
    <row r="151" spans="1:8">
      <c r="A151" s="6">
        <v>297</v>
      </c>
      <c r="B151" s="6">
        <v>60</v>
      </c>
      <c r="C151" s="6" t="s">
        <v>1179</v>
      </c>
      <c r="D151" s="6">
        <v>632</v>
      </c>
      <c r="E151" s="6" t="s">
        <v>1044</v>
      </c>
      <c r="F151" s="8">
        <f t="shared" si="3"/>
        <v>1166107</v>
      </c>
      <c r="G151" s="8">
        <f>VLOOKUP(A151, localcont!$D$10:$L$1764, 8)</f>
        <v>820896.04173160542</v>
      </c>
      <c r="H151" s="81">
        <f>VLOOKUP(A151, localcont!$D$10:$L$1764, 9)*F151</f>
        <v>671081.64501457394</v>
      </c>
    </row>
    <row r="152" spans="1:8">
      <c r="A152" s="6">
        <v>298</v>
      </c>
      <c r="B152" s="6">
        <v>60</v>
      </c>
      <c r="C152" s="6" t="s">
        <v>1179</v>
      </c>
      <c r="D152" s="6">
        <v>683</v>
      </c>
      <c r="E152" s="6" t="s">
        <v>1060</v>
      </c>
      <c r="F152" s="8">
        <f t="shared" si="3"/>
        <v>1166107</v>
      </c>
      <c r="G152" s="8">
        <f>VLOOKUP(A152, localcont!$D$10:$L$1764, 8)</f>
        <v>338158.14664263267</v>
      </c>
      <c r="H152" s="81">
        <f>VLOOKUP(A152, localcont!$D$10:$L$1764, 9)*F152</f>
        <v>276443.92686475336</v>
      </c>
    </row>
    <row r="153" spans="1:8">
      <c r="A153" s="6">
        <v>301</v>
      </c>
      <c r="B153" s="6">
        <v>61</v>
      </c>
      <c r="C153" s="6" t="s">
        <v>1180</v>
      </c>
      <c r="D153" s="6">
        <v>61</v>
      </c>
      <c r="E153" s="6" t="s">
        <v>742</v>
      </c>
      <c r="F153" s="8">
        <f t="shared" si="3"/>
        <v>37530405</v>
      </c>
      <c r="G153" s="8">
        <f>VLOOKUP(A153, localcont!$D$10:$L$1764, 8)</f>
        <v>129158251.12</v>
      </c>
      <c r="H153" s="81">
        <f>VLOOKUP(A153, localcont!$D$10:$L$1764, 9)*F153</f>
        <v>37530405</v>
      </c>
    </row>
    <row r="154" spans="1:8">
      <c r="A154" s="6">
        <v>306</v>
      </c>
      <c r="B154" s="6">
        <v>62</v>
      </c>
      <c r="C154" s="6" t="s">
        <v>1181</v>
      </c>
      <c r="D154" s="6">
        <v>62</v>
      </c>
      <c r="E154" s="6" t="s">
        <v>743</v>
      </c>
      <c r="F154" s="8">
        <f t="shared" si="3"/>
        <v>16982829</v>
      </c>
      <c r="G154" s="8">
        <f>VLOOKUP(A154, localcont!$D$10:$L$1764, 8)</f>
        <v>0</v>
      </c>
      <c r="H154" s="81">
        <f>VLOOKUP(A154, localcont!$D$10:$L$1764, 9)*F154</f>
        <v>0</v>
      </c>
    </row>
    <row r="155" spans="1:8">
      <c r="A155" s="6">
        <v>307</v>
      </c>
      <c r="B155" s="6">
        <v>62</v>
      </c>
      <c r="C155" s="6" t="s">
        <v>1181</v>
      </c>
      <c r="D155" s="6">
        <v>700</v>
      </c>
      <c r="E155" s="6" t="s">
        <v>1065</v>
      </c>
      <c r="F155" s="8">
        <f t="shared" si="3"/>
        <v>16982829</v>
      </c>
      <c r="G155" s="8">
        <f>VLOOKUP(A155, localcont!$D$10:$L$1764, 8)</f>
        <v>548298.68375797267</v>
      </c>
      <c r="H155" s="81">
        <f>VLOOKUP(A155, localcont!$D$10:$L$1764, 9)*F155</f>
        <v>6577620.848941071</v>
      </c>
    </row>
    <row r="156" spans="1:8">
      <c r="A156" s="6">
        <v>308</v>
      </c>
      <c r="B156" s="6">
        <v>62</v>
      </c>
      <c r="C156" s="6" t="s">
        <v>1181</v>
      </c>
      <c r="D156" s="6">
        <v>774</v>
      </c>
      <c r="E156" s="6" t="s">
        <v>1088</v>
      </c>
      <c r="F156" s="8">
        <f t="shared" si="3"/>
        <v>16982829</v>
      </c>
      <c r="G156" s="8">
        <f>VLOOKUP(A156, localcont!$D$10:$L$1764, 8)</f>
        <v>867359.50041447137</v>
      </c>
      <c r="H156" s="81">
        <f>VLOOKUP(A156, localcont!$D$10:$L$1764, 9)*F156</f>
        <v>10405208.151058929</v>
      </c>
    </row>
    <row r="157" spans="1:8">
      <c r="A157" s="6">
        <v>311</v>
      </c>
      <c r="B157" s="6">
        <v>63</v>
      </c>
      <c r="C157" s="6" t="s">
        <v>1182</v>
      </c>
      <c r="D157" s="6">
        <v>63</v>
      </c>
      <c r="E157" s="6" t="s">
        <v>744</v>
      </c>
      <c r="F157" s="8">
        <f t="shared" si="3"/>
        <v>1277625</v>
      </c>
      <c r="G157" s="8">
        <f>VLOOKUP(A157, localcont!$D$10:$L$1764, 8)</f>
        <v>2889718.2099999995</v>
      </c>
      <c r="H157" s="81">
        <f>VLOOKUP(A157, localcont!$D$10:$L$1764, 9)*F157</f>
        <v>916175.66830460215</v>
      </c>
    </row>
    <row r="158" spans="1:8">
      <c r="A158" s="6">
        <v>312</v>
      </c>
      <c r="B158" s="6">
        <v>63</v>
      </c>
      <c r="C158" s="6" t="s">
        <v>1182</v>
      </c>
      <c r="D158" s="6">
        <v>851</v>
      </c>
      <c r="E158" s="6" t="s">
        <v>1106</v>
      </c>
      <c r="F158" s="8">
        <f t="shared" si="3"/>
        <v>1277625</v>
      </c>
      <c r="G158" s="8">
        <f>VLOOKUP(A158, localcont!$D$10:$L$1764, 8)</f>
        <v>1140050.7041682957</v>
      </c>
      <c r="H158" s="81">
        <f>VLOOKUP(A158, localcont!$D$10:$L$1764, 9)*F158</f>
        <v>361449.33169539768</v>
      </c>
    </row>
    <row r="159" spans="1:8">
      <c r="A159" s="6">
        <v>316</v>
      </c>
      <c r="B159" s="6">
        <v>64</v>
      </c>
      <c r="C159" s="6" t="s">
        <v>1183</v>
      </c>
      <c r="D159" s="6">
        <v>64</v>
      </c>
      <c r="E159" s="6" t="s">
        <v>745</v>
      </c>
      <c r="F159" s="8">
        <f t="shared" si="3"/>
        <v>14990971</v>
      </c>
      <c r="G159" s="8">
        <f>VLOOKUP(A159, localcont!$D$10:$L$1764, 8)</f>
        <v>34438020.57</v>
      </c>
      <c r="H159" s="81">
        <f>VLOOKUP(A159, localcont!$D$10:$L$1764, 9)*F159</f>
        <v>14990971</v>
      </c>
    </row>
    <row r="160" spans="1:8">
      <c r="A160" s="6">
        <v>321</v>
      </c>
      <c r="B160" s="6">
        <v>65</v>
      </c>
      <c r="C160" s="6" t="s">
        <v>1184</v>
      </c>
      <c r="D160" s="6">
        <v>65</v>
      </c>
      <c r="E160" s="6" t="s">
        <v>746</v>
      </c>
      <c r="F160" s="8">
        <f t="shared" si="3"/>
        <v>36007812</v>
      </c>
      <c r="G160" s="8">
        <f>VLOOKUP(A160, localcont!$D$10:$L$1764, 8)</f>
        <v>17839057.451559998</v>
      </c>
      <c r="H160" s="81">
        <f>VLOOKUP(A160, localcont!$D$10:$L$1764, 9)*F160</f>
        <v>35632647.573165603</v>
      </c>
    </row>
    <row r="161" spans="1:8">
      <c r="A161" s="6">
        <v>322</v>
      </c>
      <c r="B161" s="6">
        <v>65</v>
      </c>
      <c r="C161" s="6" t="s">
        <v>1184</v>
      </c>
      <c r="D161" s="6">
        <v>873</v>
      </c>
      <c r="E161" s="6" t="s">
        <v>1113</v>
      </c>
      <c r="F161" s="8">
        <f t="shared" si="3"/>
        <v>36007812</v>
      </c>
      <c r="G161" s="8">
        <f>VLOOKUP(A161, localcont!$D$10:$L$1764, 8)</f>
        <v>187821.56869871556</v>
      </c>
      <c r="H161" s="81">
        <f>VLOOKUP(A161, localcont!$D$10:$L$1764, 9)*F161</f>
        <v>375164.42683440022</v>
      </c>
    </row>
    <row r="162" spans="1:8">
      <c r="A162" s="6">
        <v>323</v>
      </c>
      <c r="B162" s="6">
        <v>65</v>
      </c>
      <c r="C162" s="6" t="s">
        <v>1184</v>
      </c>
      <c r="D162" s="6">
        <v>915</v>
      </c>
      <c r="E162" s="6" t="s">
        <v>1119</v>
      </c>
      <c r="F162" s="8">
        <f t="shared" si="3"/>
        <v>36007812</v>
      </c>
      <c r="G162" s="8">
        <f>VLOOKUP(A162, localcont!$D$10:$L$1764, 8)</f>
        <v>0</v>
      </c>
      <c r="H162" s="81">
        <f>VLOOKUP(A162, localcont!$D$10:$L$1764, 9)*F162</f>
        <v>0</v>
      </c>
    </row>
    <row r="163" spans="1:8">
      <c r="A163" s="6">
        <v>326</v>
      </c>
      <c r="B163" s="6">
        <v>66</v>
      </c>
      <c r="C163" s="6" t="s">
        <v>1185</v>
      </c>
      <c r="D163" s="6">
        <v>66</v>
      </c>
      <c r="E163" s="6" t="s">
        <v>747</v>
      </c>
      <c r="F163" s="8">
        <f t="shared" si="3"/>
        <v>1544646</v>
      </c>
      <c r="G163" s="8">
        <f>VLOOKUP(A163, localcont!$D$10:$L$1764, 8)</f>
        <v>0</v>
      </c>
      <c r="H163" s="81">
        <f>VLOOKUP(A163, localcont!$D$10:$L$1764, 9)*F163</f>
        <v>0</v>
      </c>
    </row>
    <row r="164" spans="1:8">
      <c r="A164" s="6">
        <v>327</v>
      </c>
      <c r="B164" s="6">
        <v>66</v>
      </c>
      <c r="C164" s="6" t="s">
        <v>1185</v>
      </c>
      <c r="D164" s="6">
        <v>717</v>
      </c>
      <c r="E164" s="6" t="s">
        <v>1070</v>
      </c>
      <c r="F164" s="8">
        <f t="shared" si="3"/>
        <v>1544646</v>
      </c>
      <c r="G164" s="8">
        <f>VLOOKUP(A164, localcont!$D$10:$L$1764, 8)</f>
        <v>2062405.756623785</v>
      </c>
      <c r="H164" s="81">
        <f>VLOOKUP(A164, localcont!$D$10:$L$1764, 9)*F164</f>
        <v>1241927.3877343892</v>
      </c>
    </row>
    <row r="165" spans="1:8">
      <c r="A165" s="6">
        <v>328</v>
      </c>
      <c r="B165" s="6">
        <v>66</v>
      </c>
      <c r="C165" s="6" t="s">
        <v>1185</v>
      </c>
      <c r="D165" s="6">
        <v>818</v>
      </c>
      <c r="E165" s="6" t="s">
        <v>1098</v>
      </c>
      <c r="F165" s="8">
        <f t="shared" si="3"/>
        <v>1544646</v>
      </c>
      <c r="G165" s="8">
        <f>VLOOKUP(A165, localcont!$D$10:$L$1764, 8)</f>
        <v>502709.42950433143</v>
      </c>
      <c r="H165" s="81">
        <f>VLOOKUP(A165, localcont!$D$10:$L$1764, 9)*F165</f>
        <v>302718.61226561089</v>
      </c>
    </row>
    <row r="166" spans="1:8">
      <c r="A166" s="6">
        <v>331</v>
      </c>
      <c r="B166" s="6">
        <v>67</v>
      </c>
      <c r="C166" s="6" t="s">
        <v>1186</v>
      </c>
      <c r="D166" s="6">
        <v>67</v>
      </c>
      <c r="E166" s="6" t="s">
        <v>748</v>
      </c>
      <c r="F166" s="8">
        <f t="shared" si="3"/>
        <v>86930965</v>
      </c>
      <c r="G166" s="8">
        <f>VLOOKUP(A166, localcont!$D$10:$L$1764, 8)</f>
        <v>24161392.54073</v>
      </c>
      <c r="H166" s="81">
        <f>VLOOKUP(A166, localcont!$D$10:$L$1764, 9)*F166</f>
        <v>54427566.884192429</v>
      </c>
    </row>
    <row r="167" spans="1:8">
      <c r="A167" s="6">
        <v>332</v>
      </c>
      <c r="B167" s="6">
        <v>67</v>
      </c>
      <c r="C167" s="6" t="s">
        <v>1186</v>
      </c>
      <c r="D167" s="6">
        <v>640</v>
      </c>
      <c r="E167" s="6" t="s">
        <v>1046</v>
      </c>
      <c r="F167" s="8">
        <f t="shared" si="3"/>
        <v>86930965</v>
      </c>
      <c r="G167" s="8">
        <f>VLOOKUP(A167, localcont!$D$10:$L$1764, 8)</f>
        <v>13551716.937811457</v>
      </c>
      <c r="H167" s="81">
        <f>VLOOKUP(A167, localcont!$D$10:$L$1764, 9)*F167</f>
        <v>30527502.865780246</v>
      </c>
    </row>
    <row r="168" spans="1:8">
      <c r="A168" s="6">
        <v>333</v>
      </c>
      <c r="B168" s="6">
        <v>67</v>
      </c>
      <c r="C168" s="6" t="s">
        <v>1186</v>
      </c>
      <c r="D168" s="6">
        <v>830</v>
      </c>
      <c r="E168" s="6" t="s">
        <v>1104</v>
      </c>
      <c r="F168" s="8">
        <f t="shared" si="3"/>
        <v>86930965</v>
      </c>
      <c r="G168" s="8">
        <f>VLOOKUP(A168, localcont!$D$10:$L$1764, 8)</f>
        <v>877136.04499082477</v>
      </c>
      <c r="H168" s="81">
        <f>VLOOKUP(A168, localcont!$D$10:$L$1764, 9)*F168</f>
        <v>1975895.2500273287</v>
      </c>
    </row>
    <row r="169" spans="1:8">
      <c r="A169" s="6">
        <v>336</v>
      </c>
      <c r="B169" s="6">
        <v>68</v>
      </c>
      <c r="C169" s="6" t="s">
        <v>1187</v>
      </c>
      <c r="D169" s="6">
        <v>68</v>
      </c>
      <c r="E169" s="6" t="s">
        <v>749</v>
      </c>
      <c r="F169" s="8">
        <f t="shared" si="3"/>
        <v>2369902</v>
      </c>
      <c r="G169" s="8">
        <f>VLOOKUP(A169, localcont!$D$10:$L$1764, 8)</f>
        <v>969244.91999999993</v>
      </c>
      <c r="H169" s="81">
        <f>VLOOKUP(A169, localcont!$D$10:$L$1764, 9)*F169</f>
        <v>970915.94977118191</v>
      </c>
    </row>
    <row r="170" spans="1:8">
      <c r="A170" s="6">
        <v>337</v>
      </c>
      <c r="B170" s="6">
        <v>68</v>
      </c>
      <c r="C170" s="6" t="s">
        <v>1187</v>
      </c>
      <c r="D170" s="6">
        <v>670</v>
      </c>
      <c r="E170" s="6" t="s">
        <v>1054</v>
      </c>
      <c r="F170" s="8">
        <f t="shared" si="3"/>
        <v>2369902</v>
      </c>
      <c r="G170" s="8">
        <f>VLOOKUP(A170, localcont!$D$10:$L$1764, 8)</f>
        <v>1243579.7529682661</v>
      </c>
      <c r="H170" s="81">
        <f>VLOOKUP(A170, localcont!$D$10:$L$1764, 9)*F170</f>
        <v>1245723.7505762691</v>
      </c>
    </row>
    <row r="171" spans="1:8">
      <c r="A171" s="6">
        <v>338</v>
      </c>
      <c r="B171" s="6">
        <v>68</v>
      </c>
      <c r="C171" s="6" t="s">
        <v>1187</v>
      </c>
      <c r="D171" s="6">
        <v>818</v>
      </c>
      <c r="E171" s="6" t="s">
        <v>1098</v>
      </c>
      <c r="F171" s="8">
        <f t="shared" si="3"/>
        <v>2369902</v>
      </c>
      <c r="G171" s="8">
        <f>VLOOKUP(A171, localcont!$D$10:$L$1764, 8)</f>
        <v>152998.52206646712</v>
      </c>
      <c r="H171" s="81">
        <f>VLOOKUP(A171, localcont!$D$10:$L$1764, 9)*F171</f>
        <v>153262.29965254918</v>
      </c>
    </row>
    <row r="172" spans="1:8">
      <c r="A172" s="6">
        <v>341</v>
      </c>
      <c r="B172" s="6">
        <v>69</v>
      </c>
      <c r="C172" s="6" t="s">
        <v>1188</v>
      </c>
      <c r="D172" s="6">
        <v>69</v>
      </c>
      <c r="E172" s="6" t="s">
        <v>750</v>
      </c>
      <c r="F172" s="8">
        <f t="shared" si="3"/>
        <v>1359249</v>
      </c>
      <c r="G172" s="8">
        <f>VLOOKUP(A172, localcont!$D$10:$L$1764, 8)</f>
        <v>84301.650000000009</v>
      </c>
      <c r="H172" s="81">
        <f>VLOOKUP(A172, localcont!$D$10:$L$1764, 9)*F172</f>
        <v>144274.84053288662</v>
      </c>
    </row>
    <row r="173" spans="1:8">
      <c r="A173" s="6">
        <v>342</v>
      </c>
      <c r="B173" s="6">
        <v>69</v>
      </c>
      <c r="C173" s="6" t="s">
        <v>1188</v>
      </c>
      <c r="D173" s="6">
        <v>635</v>
      </c>
      <c r="E173" s="6" t="s">
        <v>1045</v>
      </c>
      <c r="F173" s="8">
        <f t="shared" si="3"/>
        <v>1359249</v>
      </c>
      <c r="G173" s="8">
        <f>VLOOKUP(A173, localcont!$D$10:$L$1764, 8)</f>
        <v>709925.07059533882</v>
      </c>
      <c r="H173" s="81">
        <f>VLOOKUP(A173, localcont!$D$10:$L$1764, 9)*F173</f>
        <v>1214974.1594671134</v>
      </c>
    </row>
    <row r="174" spans="1:8">
      <c r="A174" s="6">
        <v>346</v>
      </c>
      <c r="B174" s="6">
        <v>70</v>
      </c>
      <c r="C174" s="6" t="s">
        <v>1189</v>
      </c>
      <c r="D174" s="6">
        <v>70</v>
      </c>
      <c r="E174" s="6" t="s">
        <v>751</v>
      </c>
      <c r="F174" s="8">
        <f t="shared" si="3"/>
        <v>6399923</v>
      </c>
      <c r="G174" s="8">
        <f>VLOOKUP(A174, localcont!$D$10:$L$1764, 8)</f>
        <v>267378.24</v>
      </c>
      <c r="H174" s="81">
        <f>VLOOKUP(A174, localcont!$D$10:$L$1764, 9)*F174</f>
        <v>127899.46478733915</v>
      </c>
    </row>
    <row r="175" spans="1:8">
      <c r="A175" s="6">
        <v>347</v>
      </c>
      <c r="B175" s="6">
        <v>70</v>
      </c>
      <c r="C175" s="6" t="s">
        <v>1189</v>
      </c>
      <c r="D175" s="6">
        <v>635</v>
      </c>
      <c r="E175" s="6" t="s">
        <v>1045</v>
      </c>
      <c r="F175" s="8">
        <f t="shared" si="3"/>
        <v>6399923</v>
      </c>
      <c r="G175" s="8">
        <f>VLOOKUP(A175, localcont!$D$10:$L$1764, 8)</f>
        <v>13111881.405228106</v>
      </c>
      <c r="H175" s="81">
        <f>VLOOKUP(A175, localcont!$D$10:$L$1764, 9)*F175</f>
        <v>6272023.5352126602</v>
      </c>
    </row>
    <row r="176" spans="1:8">
      <c r="A176" s="6">
        <v>351</v>
      </c>
      <c r="B176" s="6">
        <v>71</v>
      </c>
      <c r="C176" s="6" t="s">
        <v>1190</v>
      </c>
      <c r="D176" s="6">
        <v>71</v>
      </c>
      <c r="E176" s="6" t="s">
        <v>752</v>
      </c>
      <c r="F176" s="8">
        <f t="shared" si="3"/>
        <v>49060070</v>
      </c>
      <c r="G176" s="8">
        <f>VLOOKUP(A176, localcont!$D$10:$L$1764, 8)</f>
        <v>44328380.18</v>
      </c>
      <c r="H176" s="81">
        <f>VLOOKUP(A176, localcont!$D$10:$L$1764, 9)*F176</f>
        <v>44228654.221717887</v>
      </c>
    </row>
    <row r="177" spans="1:8">
      <c r="A177" s="6">
        <v>352</v>
      </c>
      <c r="B177" s="6">
        <v>71</v>
      </c>
      <c r="C177" s="6" t="s">
        <v>1190</v>
      </c>
      <c r="D177" s="6">
        <v>817</v>
      </c>
      <c r="E177" s="6" t="s">
        <v>1097</v>
      </c>
      <c r="F177" s="8">
        <f t="shared" si="3"/>
        <v>49060070</v>
      </c>
      <c r="G177" s="8">
        <f>VLOOKUP(A177, localcont!$D$10:$L$1764, 8)</f>
        <v>4842309.5659595104</v>
      </c>
      <c r="H177" s="81">
        <f>VLOOKUP(A177, localcont!$D$10:$L$1764, 9)*F177</f>
        <v>4831415.7782821115</v>
      </c>
    </row>
    <row r="178" spans="1:8">
      <c r="A178" s="6">
        <v>356</v>
      </c>
      <c r="B178" s="6">
        <v>72</v>
      </c>
      <c r="C178" s="6" t="s">
        <v>1191</v>
      </c>
      <c r="D178" s="6">
        <v>72</v>
      </c>
      <c r="E178" s="6" t="s">
        <v>753</v>
      </c>
      <c r="F178" s="8">
        <f t="shared" si="3"/>
        <v>50130987</v>
      </c>
      <c r="G178" s="8">
        <f>VLOOKUP(A178, localcont!$D$10:$L$1764, 8)</f>
        <v>44678547.479999989</v>
      </c>
      <c r="H178" s="81">
        <f>VLOOKUP(A178, localcont!$D$10:$L$1764, 9)*F178</f>
        <v>42737602.816679344</v>
      </c>
    </row>
    <row r="179" spans="1:8">
      <c r="A179" s="6">
        <v>357</v>
      </c>
      <c r="B179" s="6">
        <v>72</v>
      </c>
      <c r="C179" s="6" t="s">
        <v>1191</v>
      </c>
      <c r="D179" s="6">
        <v>825</v>
      </c>
      <c r="E179" s="6" t="s">
        <v>1101</v>
      </c>
      <c r="F179" s="8">
        <f t="shared" si="3"/>
        <v>50130987</v>
      </c>
      <c r="G179" s="8">
        <f>VLOOKUP(A179, localcont!$D$10:$L$1764, 8)</f>
        <v>7249663.3162780199</v>
      </c>
      <c r="H179" s="81">
        <f>VLOOKUP(A179, localcont!$D$10:$L$1764, 9)*F179</f>
        <v>6934720.3264482785</v>
      </c>
    </row>
    <row r="180" spans="1:8">
      <c r="A180" s="6">
        <v>358</v>
      </c>
      <c r="B180" s="6">
        <v>72</v>
      </c>
      <c r="C180" s="6" t="s">
        <v>1191</v>
      </c>
      <c r="D180" s="6">
        <v>910</v>
      </c>
      <c r="E180" s="6" t="s">
        <v>1118</v>
      </c>
      <c r="F180" s="8">
        <f t="shared" si="3"/>
        <v>50130987</v>
      </c>
      <c r="G180" s="8">
        <f>VLOOKUP(A180, localcont!$D$10:$L$1764, 8)</f>
        <v>479494.25227553357</v>
      </c>
      <c r="H180" s="81">
        <f>VLOOKUP(A180, localcont!$D$10:$L$1764, 9)*F180</f>
        <v>458663.85687237664</v>
      </c>
    </row>
    <row r="181" spans="1:8">
      <c r="A181" s="6">
        <v>361</v>
      </c>
      <c r="B181" s="6">
        <v>73</v>
      </c>
      <c r="C181" s="6" t="s">
        <v>1192</v>
      </c>
      <c r="D181" s="6">
        <v>73</v>
      </c>
      <c r="E181" s="6" t="s">
        <v>754</v>
      </c>
      <c r="F181" s="8">
        <f t="shared" si="3"/>
        <v>53619309</v>
      </c>
      <c r="G181" s="8">
        <f>VLOOKUP(A181, localcont!$D$10:$L$1764, 8)</f>
        <v>39060888.148359999</v>
      </c>
      <c r="H181" s="81">
        <f>VLOOKUP(A181, localcont!$D$10:$L$1764, 9)*F181</f>
        <v>50353965.651238158</v>
      </c>
    </row>
    <row r="182" spans="1:8">
      <c r="A182" s="6">
        <v>362</v>
      </c>
      <c r="B182" s="6">
        <v>73</v>
      </c>
      <c r="C182" s="6" t="s">
        <v>1192</v>
      </c>
      <c r="D182" s="6">
        <v>806</v>
      </c>
      <c r="E182" s="6" t="s">
        <v>1094</v>
      </c>
      <c r="F182" s="8">
        <f t="shared" si="3"/>
        <v>53619309</v>
      </c>
      <c r="G182" s="8">
        <f>VLOOKUP(A182, localcont!$D$10:$L$1764, 8)</f>
        <v>2268724.5771412598</v>
      </c>
      <c r="H182" s="81">
        <f>VLOOKUP(A182, localcont!$D$10:$L$1764, 9)*F182</f>
        <v>2924646.2342481897</v>
      </c>
    </row>
    <row r="183" spans="1:8">
      <c r="A183" s="6">
        <v>363</v>
      </c>
      <c r="B183" s="6">
        <v>73</v>
      </c>
      <c r="C183" s="6" t="s">
        <v>1192</v>
      </c>
      <c r="D183" s="6">
        <v>915</v>
      </c>
      <c r="E183" s="6" t="s">
        <v>1119</v>
      </c>
      <c r="F183" s="8">
        <f t="shared" si="3"/>
        <v>53619309</v>
      </c>
      <c r="G183" s="8">
        <f>VLOOKUP(A183, localcont!$D$10:$L$1764, 8)</f>
        <v>264287.66255790152</v>
      </c>
      <c r="H183" s="81">
        <f>VLOOKUP(A183, localcont!$D$10:$L$1764, 9)*F183</f>
        <v>340697.1145136478</v>
      </c>
    </row>
    <row r="184" spans="1:8">
      <c r="A184" s="6">
        <v>366</v>
      </c>
      <c r="B184" s="6">
        <v>74</v>
      </c>
      <c r="C184" s="6" t="s">
        <v>1193</v>
      </c>
      <c r="D184" s="6">
        <v>74</v>
      </c>
      <c r="E184" s="6" t="s">
        <v>755</v>
      </c>
      <c r="F184" s="8">
        <f t="shared" si="3"/>
        <v>7390031</v>
      </c>
      <c r="G184" s="8">
        <f>VLOOKUP(A184, localcont!$D$10:$L$1764, 8)</f>
        <v>3547455.8600000003</v>
      </c>
      <c r="H184" s="81">
        <f>VLOOKUP(A184, localcont!$D$10:$L$1764, 9)*F184</f>
        <v>3525592.9425840206</v>
      </c>
    </row>
    <row r="185" spans="1:8">
      <c r="A185" s="6">
        <v>367</v>
      </c>
      <c r="B185" s="6">
        <v>74</v>
      </c>
      <c r="C185" s="6" t="s">
        <v>1193</v>
      </c>
      <c r="D185" s="6">
        <v>670</v>
      </c>
      <c r="E185" s="6" t="s">
        <v>1054</v>
      </c>
      <c r="F185" s="8">
        <f t="shared" si="3"/>
        <v>7390031</v>
      </c>
      <c r="G185" s="8">
        <f>VLOOKUP(A185, localcont!$D$10:$L$1764, 8)</f>
        <v>3123409.6120806779</v>
      </c>
      <c r="H185" s="81">
        <f>VLOOKUP(A185, localcont!$D$10:$L$1764, 9)*F185</f>
        <v>3104160.0853493726</v>
      </c>
    </row>
    <row r="186" spans="1:8">
      <c r="A186" s="6">
        <v>368</v>
      </c>
      <c r="B186" s="6">
        <v>74</v>
      </c>
      <c r="C186" s="6" t="s">
        <v>1193</v>
      </c>
      <c r="D186" s="6">
        <v>818</v>
      </c>
      <c r="E186" s="6" t="s">
        <v>1098</v>
      </c>
      <c r="F186" s="8">
        <f t="shared" si="3"/>
        <v>7390031</v>
      </c>
      <c r="G186" s="8">
        <f>VLOOKUP(A186, localcont!$D$10:$L$1764, 8)</f>
        <v>764992.6100827296</v>
      </c>
      <c r="H186" s="81">
        <f>VLOOKUP(A186, localcont!$D$10:$L$1764, 9)*F186</f>
        <v>760277.97206660698</v>
      </c>
    </row>
    <row r="187" spans="1:8">
      <c r="A187" s="6">
        <v>371</v>
      </c>
      <c r="B187" s="6">
        <v>75</v>
      </c>
      <c r="C187" s="6" t="s">
        <v>1194</v>
      </c>
      <c r="D187" s="6">
        <v>75</v>
      </c>
      <c r="E187" s="6" t="s">
        <v>756</v>
      </c>
      <c r="F187" s="8">
        <f t="shared" si="3"/>
        <v>46547866</v>
      </c>
      <c r="G187" s="8">
        <f>VLOOKUP(A187, localcont!$D$10:$L$1764, 8)</f>
        <v>0</v>
      </c>
      <c r="H187" s="81">
        <f>VLOOKUP(A187, localcont!$D$10:$L$1764, 9)*F187</f>
        <v>0</v>
      </c>
    </row>
    <row r="188" spans="1:8">
      <c r="A188" s="6">
        <v>372</v>
      </c>
      <c r="B188" s="6">
        <v>75</v>
      </c>
      <c r="C188" s="6" t="s">
        <v>1194</v>
      </c>
      <c r="D188" s="6">
        <v>645</v>
      </c>
      <c r="E188" s="6" t="s">
        <v>1047</v>
      </c>
      <c r="F188" s="8">
        <f t="shared" si="3"/>
        <v>46547866</v>
      </c>
      <c r="G188" s="8">
        <f>VLOOKUP(A188, localcont!$D$10:$L$1764, 8)</f>
        <v>16028933.790816883</v>
      </c>
      <c r="H188" s="81">
        <f>VLOOKUP(A188, localcont!$D$10:$L$1764, 9)*F188</f>
        <v>42870310.242546439</v>
      </c>
    </row>
    <row r="189" spans="1:8">
      <c r="A189" s="6">
        <v>373</v>
      </c>
      <c r="B189" s="6">
        <v>75</v>
      </c>
      <c r="C189" s="6" t="s">
        <v>1194</v>
      </c>
      <c r="D189" s="6">
        <v>815</v>
      </c>
      <c r="E189" s="6" t="s">
        <v>1096</v>
      </c>
      <c r="F189" s="8">
        <f t="shared" si="3"/>
        <v>46547866</v>
      </c>
      <c r="G189" s="8">
        <f>VLOOKUP(A189, localcont!$D$10:$L$1764, 8)</f>
        <v>1375014.4893926729</v>
      </c>
      <c r="H189" s="81">
        <f>VLOOKUP(A189, localcont!$D$10:$L$1764, 9)*F189</f>
        <v>3677555.7574535557</v>
      </c>
    </row>
    <row r="190" spans="1:8">
      <c r="A190" s="6">
        <v>376</v>
      </c>
      <c r="B190" s="6">
        <v>76</v>
      </c>
      <c r="C190" s="6" t="s">
        <v>1195</v>
      </c>
      <c r="D190" s="6">
        <v>76</v>
      </c>
      <c r="E190" s="6" t="s">
        <v>757</v>
      </c>
      <c r="F190" s="8">
        <f t="shared" si="3"/>
        <v>10130482</v>
      </c>
      <c r="G190" s="8">
        <f>VLOOKUP(A190, localcont!$D$10:$L$1764, 8)</f>
        <v>16860.330000000002</v>
      </c>
      <c r="H190" s="81">
        <f>VLOOKUP(A190, localcont!$D$10:$L$1764, 9)*F190</f>
        <v>9461.7247337076788</v>
      </c>
    </row>
    <row r="191" spans="1:8">
      <c r="A191" s="6">
        <v>377</v>
      </c>
      <c r="B191" s="6">
        <v>76</v>
      </c>
      <c r="C191" s="6" t="s">
        <v>1195</v>
      </c>
      <c r="D191" s="6">
        <v>650</v>
      </c>
      <c r="E191" s="6" t="s">
        <v>1048</v>
      </c>
      <c r="F191" s="8">
        <f t="shared" si="3"/>
        <v>10130482</v>
      </c>
      <c r="G191" s="8">
        <f>VLOOKUP(A191, localcont!$D$10:$L$1764, 8)</f>
        <v>15216268.247371864</v>
      </c>
      <c r="H191" s="81">
        <f>VLOOKUP(A191, localcont!$D$10:$L$1764, 9)*F191</f>
        <v>8539105.7963212561</v>
      </c>
    </row>
    <row r="192" spans="1:8">
      <c r="A192" s="6">
        <v>378</v>
      </c>
      <c r="B192" s="6">
        <v>76</v>
      </c>
      <c r="C192" s="6" t="s">
        <v>1195</v>
      </c>
      <c r="D192" s="6">
        <v>810</v>
      </c>
      <c r="E192" s="6" t="s">
        <v>1095</v>
      </c>
      <c r="F192" s="8">
        <f t="shared" si="3"/>
        <v>10130482</v>
      </c>
      <c r="G192" s="8">
        <f>VLOOKUP(A192, localcont!$D$10:$L$1764, 8)</f>
        <v>2235161.9794169609</v>
      </c>
      <c r="H192" s="81">
        <f>VLOOKUP(A192, localcont!$D$10:$L$1764, 9)*F192</f>
        <v>1254334.1313303164</v>
      </c>
    </row>
    <row r="193" spans="1:8">
      <c r="A193" s="6">
        <v>379</v>
      </c>
      <c r="B193" s="6">
        <v>76</v>
      </c>
      <c r="C193" s="6" t="s">
        <v>1195</v>
      </c>
      <c r="D193" s="6">
        <v>910</v>
      </c>
      <c r="E193" s="6" t="s">
        <v>1118</v>
      </c>
      <c r="F193" s="8">
        <f t="shared" si="3"/>
        <v>10130482</v>
      </c>
      <c r="G193" s="8">
        <f>VLOOKUP(A193, localcont!$D$10:$L$1764, 8)</f>
        <v>583732.13317257492</v>
      </c>
      <c r="H193" s="81">
        <f>VLOOKUP(A193, localcont!$D$10:$L$1764, 9)*F193</f>
        <v>327580.34761472023</v>
      </c>
    </row>
    <row r="194" spans="1:8">
      <c r="A194" s="6">
        <v>381</v>
      </c>
      <c r="B194" s="6">
        <v>77</v>
      </c>
      <c r="C194" s="6" t="s">
        <v>1196</v>
      </c>
      <c r="D194" s="6">
        <v>77</v>
      </c>
      <c r="E194" s="6" t="s">
        <v>758</v>
      </c>
      <c r="F194" s="8">
        <f t="shared" si="3"/>
        <v>11365969</v>
      </c>
      <c r="G194" s="8">
        <f>VLOOKUP(A194, localcont!$D$10:$L$1764, 8)</f>
        <v>14237865.390000002</v>
      </c>
      <c r="H194" s="81">
        <f>VLOOKUP(A194, localcont!$D$10:$L$1764, 9)*F194</f>
        <v>9702667.2708844729</v>
      </c>
    </row>
    <row r="195" spans="1:8">
      <c r="A195" s="6">
        <v>382</v>
      </c>
      <c r="B195" s="6">
        <v>77</v>
      </c>
      <c r="C195" s="6" t="s">
        <v>1196</v>
      </c>
      <c r="D195" s="6">
        <v>805</v>
      </c>
      <c r="E195" s="6" t="s">
        <v>1093</v>
      </c>
      <c r="F195" s="8">
        <f t="shared" si="3"/>
        <v>11365969</v>
      </c>
      <c r="G195" s="8">
        <f>VLOOKUP(A195, localcont!$D$10:$L$1764, 8)</f>
        <v>2440758.3462297092</v>
      </c>
      <c r="H195" s="81">
        <f>VLOOKUP(A195, localcont!$D$10:$L$1764, 9)*F195</f>
        <v>1663301.7291155264</v>
      </c>
    </row>
    <row r="196" spans="1:8">
      <c r="A196" s="6">
        <v>386</v>
      </c>
      <c r="B196" s="6">
        <v>78</v>
      </c>
      <c r="C196" s="6" t="s">
        <v>1197</v>
      </c>
      <c r="D196" s="6">
        <v>78</v>
      </c>
      <c r="E196" s="6" t="s">
        <v>759</v>
      </c>
      <c r="F196" s="8">
        <f t="shared" si="3"/>
        <v>41458832</v>
      </c>
      <c r="G196" s="8">
        <f>VLOOKUP(A196, localcont!$D$10:$L$1764, 8)</f>
        <v>5959421.4737200011</v>
      </c>
      <c r="H196" s="81">
        <f>VLOOKUP(A196, localcont!$D$10:$L$1764, 9)*F196</f>
        <v>17471403.270076752</v>
      </c>
    </row>
    <row r="197" spans="1:8">
      <c r="A197" s="6">
        <v>387</v>
      </c>
      <c r="B197" s="6">
        <v>78</v>
      </c>
      <c r="C197" s="6" t="s">
        <v>1197</v>
      </c>
      <c r="D197" s="6">
        <v>655</v>
      </c>
      <c r="E197" s="6" t="s">
        <v>1049</v>
      </c>
      <c r="F197" s="8">
        <f t="shared" si="3"/>
        <v>41458832</v>
      </c>
      <c r="G197" s="8">
        <f>VLOOKUP(A197, localcont!$D$10:$L$1764, 8)</f>
        <v>8033541.1902133534</v>
      </c>
      <c r="H197" s="81">
        <f>VLOOKUP(A197, localcont!$D$10:$L$1764, 9)*F197</f>
        <v>23552158.282467615</v>
      </c>
    </row>
    <row r="198" spans="1:8">
      <c r="A198" s="6">
        <v>388</v>
      </c>
      <c r="B198" s="6">
        <v>78</v>
      </c>
      <c r="C198" s="6" t="s">
        <v>1197</v>
      </c>
      <c r="D198" s="6">
        <v>830</v>
      </c>
      <c r="E198" s="6" t="s">
        <v>1104</v>
      </c>
      <c r="F198" s="8">
        <f t="shared" si="3"/>
        <v>41458832</v>
      </c>
      <c r="G198" s="8">
        <f>VLOOKUP(A198, localcont!$D$10:$L$1764, 8)</f>
        <v>104420.95774675885</v>
      </c>
      <c r="H198" s="81">
        <f>VLOOKUP(A198, localcont!$D$10:$L$1764, 9)*F198</f>
        <v>306133.85387935163</v>
      </c>
    </row>
    <row r="199" spans="1:8">
      <c r="A199" s="6">
        <v>389</v>
      </c>
      <c r="B199" s="6">
        <v>78</v>
      </c>
      <c r="C199" s="6" t="s">
        <v>1197</v>
      </c>
      <c r="D199" s="6">
        <v>915</v>
      </c>
      <c r="E199" s="6" t="s">
        <v>1119</v>
      </c>
      <c r="F199" s="8">
        <f t="shared" si="3"/>
        <v>41458832</v>
      </c>
      <c r="G199" s="8">
        <f>VLOOKUP(A199, localcont!$D$10:$L$1764, 8)</f>
        <v>44047.943768753496</v>
      </c>
      <c r="H199" s="81">
        <f>VLOOKUP(A199, localcont!$D$10:$L$1764, 9)*F199</f>
        <v>129136.59357628357</v>
      </c>
    </row>
    <row r="200" spans="1:8">
      <c r="A200" s="6">
        <v>391</v>
      </c>
      <c r="B200" s="6">
        <v>79</v>
      </c>
      <c r="C200" s="6" t="s">
        <v>1198</v>
      </c>
      <c r="D200" s="6">
        <v>79</v>
      </c>
      <c r="E200" s="6" t="s">
        <v>760</v>
      </c>
      <c r="F200" s="8">
        <f t="shared" si="3"/>
        <v>38264077</v>
      </c>
      <c r="G200" s="8">
        <f>VLOOKUP(A200, localcont!$D$10:$L$1764, 8)</f>
        <v>54583406.889999993</v>
      </c>
      <c r="H200" s="81">
        <f>VLOOKUP(A200, localcont!$D$10:$L$1764, 9)*F200</f>
        <v>31671733.265544832</v>
      </c>
    </row>
    <row r="201" spans="1:8">
      <c r="A201" s="6">
        <v>392</v>
      </c>
      <c r="B201" s="6">
        <v>79</v>
      </c>
      <c r="C201" s="6" t="s">
        <v>1198</v>
      </c>
      <c r="D201" s="6">
        <v>828</v>
      </c>
      <c r="E201" s="6" t="s">
        <v>1102</v>
      </c>
      <c r="F201" s="8">
        <f t="shared" si="3"/>
        <v>38264077</v>
      </c>
      <c r="G201" s="8">
        <f>VLOOKUP(A201, localcont!$D$10:$L$1764, 8)</f>
        <v>11361316.332123971</v>
      </c>
      <c r="H201" s="81">
        <f>VLOOKUP(A201, localcont!$D$10:$L$1764, 9)*F201</f>
        <v>6592343.7344551692</v>
      </c>
    </row>
    <row r="202" spans="1:8">
      <c r="A202" s="6">
        <v>396</v>
      </c>
      <c r="B202" s="6">
        <v>80</v>
      </c>
      <c r="C202" s="6" t="s">
        <v>1199</v>
      </c>
      <c r="D202" s="6">
        <v>80</v>
      </c>
      <c r="E202" s="6" t="s">
        <v>761</v>
      </c>
      <c r="F202" s="8">
        <f t="shared" si="3"/>
        <v>10879941</v>
      </c>
      <c r="G202" s="8">
        <f>VLOOKUP(A202, localcont!$D$10:$L$1764, 8)</f>
        <v>0</v>
      </c>
      <c r="H202" s="81">
        <f>VLOOKUP(A202, localcont!$D$10:$L$1764, 9)*F202</f>
        <v>0</v>
      </c>
    </row>
    <row r="203" spans="1:8">
      <c r="A203" s="6">
        <v>397</v>
      </c>
      <c r="B203" s="6">
        <v>80</v>
      </c>
      <c r="C203" s="6" t="s">
        <v>1199</v>
      </c>
      <c r="D203" s="6">
        <v>658</v>
      </c>
      <c r="E203" s="6" t="s">
        <v>1050</v>
      </c>
      <c r="F203" s="8">
        <f t="shared" ref="F203:F266" si="4">VLOOKUP(B203, town351, 7)</f>
        <v>10879941</v>
      </c>
      <c r="G203" s="8">
        <f>VLOOKUP(A203, localcont!$D$10:$L$1764, 8)</f>
        <v>21660827.440697566</v>
      </c>
      <c r="H203" s="81">
        <f>VLOOKUP(A203, localcont!$D$10:$L$1764, 9)*F203</f>
        <v>9679760.6162597705</v>
      </c>
    </row>
    <row r="204" spans="1:8">
      <c r="A204" s="6">
        <v>398</v>
      </c>
      <c r="B204" s="6">
        <v>80</v>
      </c>
      <c r="C204" s="6" t="s">
        <v>1199</v>
      </c>
      <c r="D204" s="6">
        <v>876</v>
      </c>
      <c r="E204" s="6" t="s">
        <v>1114</v>
      </c>
      <c r="F204" s="8">
        <f t="shared" si="4"/>
        <v>10879941</v>
      </c>
      <c r="G204" s="8">
        <f>VLOOKUP(A204, localcont!$D$10:$L$1764, 8)</f>
        <v>2685696.6014467832</v>
      </c>
      <c r="H204" s="81">
        <f>VLOOKUP(A204, localcont!$D$10:$L$1764, 9)*F204</f>
        <v>1200180.3837402288</v>
      </c>
    </row>
    <row r="205" spans="1:8">
      <c r="A205" s="6">
        <v>401</v>
      </c>
      <c r="B205" s="6">
        <v>81</v>
      </c>
      <c r="C205" s="6" t="s">
        <v>1200</v>
      </c>
      <c r="D205" s="6">
        <v>81</v>
      </c>
      <c r="E205" s="6" t="s">
        <v>762</v>
      </c>
      <c r="F205" s="8">
        <f t="shared" si="4"/>
        <v>6400048</v>
      </c>
      <c r="G205" s="8">
        <f>VLOOKUP(A205, localcont!$D$10:$L$1764, 8)</f>
        <v>0</v>
      </c>
      <c r="H205" s="81">
        <f>VLOOKUP(A205, localcont!$D$10:$L$1764, 9)*F205</f>
        <v>0</v>
      </c>
    </row>
    <row r="206" spans="1:8">
      <c r="A206" s="6">
        <v>402</v>
      </c>
      <c r="B206" s="6">
        <v>81</v>
      </c>
      <c r="C206" s="6" t="s">
        <v>1200</v>
      </c>
      <c r="D206" s="6">
        <v>673</v>
      </c>
      <c r="E206" s="6" t="s">
        <v>1056</v>
      </c>
      <c r="F206" s="8">
        <f t="shared" si="4"/>
        <v>6400048</v>
      </c>
      <c r="G206" s="8">
        <f>VLOOKUP(A206, localcont!$D$10:$L$1764, 8)</f>
        <v>6570196.3018176313</v>
      </c>
      <c r="H206" s="81">
        <f>VLOOKUP(A206, localcont!$D$10:$L$1764, 9)*F206</f>
        <v>6228741.9705549264</v>
      </c>
    </row>
    <row r="207" spans="1:8">
      <c r="A207" s="6">
        <v>403</v>
      </c>
      <c r="B207" s="6">
        <v>81</v>
      </c>
      <c r="C207" s="6" t="s">
        <v>1200</v>
      </c>
      <c r="D207" s="6">
        <v>828</v>
      </c>
      <c r="E207" s="6" t="s">
        <v>1102</v>
      </c>
      <c r="F207" s="8">
        <f t="shared" si="4"/>
        <v>6400048</v>
      </c>
      <c r="G207" s="8">
        <f>VLOOKUP(A207, localcont!$D$10:$L$1764, 8)</f>
        <v>180696.88011796252</v>
      </c>
      <c r="H207" s="81">
        <f>VLOOKUP(A207, localcont!$D$10:$L$1764, 9)*F207</f>
        <v>171306.02944507365</v>
      </c>
    </row>
    <row r="208" spans="1:8">
      <c r="A208" s="6">
        <v>406</v>
      </c>
      <c r="B208" s="6">
        <v>82</v>
      </c>
      <c r="C208" s="6" t="s">
        <v>1201</v>
      </c>
      <c r="D208" s="6">
        <v>82</v>
      </c>
      <c r="E208" s="6" t="s">
        <v>763</v>
      </c>
      <c r="F208" s="8">
        <f t="shared" si="4"/>
        <v>51112585</v>
      </c>
      <c r="G208" s="8">
        <f>VLOOKUP(A208, localcont!$D$10:$L$1764, 8)</f>
        <v>33652713.458800003</v>
      </c>
      <c r="H208" s="81">
        <f>VLOOKUP(A208, localcont!$D$10:$L$1764, 9)*F208</f>
        <v>51112585</v>
      </c>
    </row>
    <row r="209" spans="1:8">
      <c r="A209" s="6">
        <v>411</v>
      </c>
      <c r="B209" s="6">
        <v>83</v>
      </c>
      <c r="C209" s="6" t="s">
        <v>1202</v>
      </c>
      <c r="D209" s="6">
        <v>83</v>
      </c>
      <c r="E209" s="6" t="s">
        <v>764</v>
      </c>
      <c r="F209" s="8">
        <f t="shared" si="4"/>
        <v>17407837</v>
      </c>
      <c r="G209" s="8">
        <f>VLOOKUP(A209, localcont!$D$10:$L$1764, 8)</f>
        <v>26713492.300000004</v>
      </c>
      <c r="H209" s="81">
        <f>VLOOKUP(A209, localcont!$D$10:$L$1764, 9)*F209</f>
        <v>16089195.741179617</v>
      </c>
    </row>
    <row r="210" spans="1:8">
      <c r="A210" s="6">
        <v>412</v>
      </c>
      <c r="B210" s="6">
        <v>83</v>
      </c>
      <c r="C210" s="6" t="s">
        <v>1202</v>
      </c>
      <c r="D210" s="6">
        <v>872</v>
      </c>
      <c r="E210" s="6" t="s">
        <v>1112</v>
      </c>
      <c r="F210" s="8">
        <f t="shared" si="4"/>
        <v>17407837</v>
      </c>
      <c r="G210" s="8">
        <f>VLOOKUP(A210, localcont!$D$10:$L$1764, 8)</f>
        <v>2189389.3069995041</v>
      </c>
      <c r="H210" s="81">
        <f>VLOOKUP(A210, localcont!$D$10:$L$1764, 9)*F210</f>
        <v>1318641.2588203829</v>
      </c>
    </row>
    <row r="211" spans="1:8">
      <c r="A211" s="6">
        <v>416</v>
      </c>
      <c r="B211" s="6">
        <v>84</v>
      </c>
      <c r="C211" s="6" t="s">
        <v>1203</v>
      </c>
      <c r="D211" s="6">
        <v>84</v>
      </c>
      <c r="E211" s="6" t="s">
        <v>765</v>
      </c>
      <c r="F211" s="8">
        <f t="shared" si="4"/>
        <v>2454112</v>
      </c>
      <c r="G211" s="8">
        <f>VLOOKUP(A211, localcont!$D$10:$L$1764, 8)</f>
        <v>267378.24</v>
      </c>
      <c r="H211" s="81">
        <f>VLOOKUP(A211, localcont!$D$10:$L$1764, 9)*F211</f>
        <v>155943.32601553676</v>
      </c>
    </row>
    <row r="212" spans="1:8">
      <c r="A212" s="6">
        <v>417</v>
      </c>
      <c r="B212" s="6">
        <v>84</v>
      </c>
      <c r="C212" s="6" t="s">
        <v>1203</v>
      </c>
      <c r="D212" s="6">
        <v>767</v>
      </c>
      <c r="E212" s="6" t="s">
        <v>1085</v>
      </c>
      <c r="F212" s="8">
        <f t="shared" si="4"/>
        <v>2454112</v>
      </c>
      <c r="G212" s="8">
        <f>VLOOKUP(A212, localcont!$D$10:$L$1764, 8)</f>
        <v>3940407.7812979217</v>
      </c>
      <c r="H212" s="81">
        <f>VLOOKUP(A212, localcont!$D$10:$L$1764, 9)*F212</f>
        <v>2298168.6739844633</v>
      </c>
    </row>
    <row r="213" spans="1:8">
      <c r="A213" s="6">
        <v>421</v>
      </c>
      <c r="B213" s="6">
        <v>85</v>
      </c>
      <c r="C213" s="6" t="s">
        <v>1204</v>
      </c>
      <c r="D213" s="6">
        <v>85</v>
      </c>
      <c r="E213" s="6" t="s">
        <v>766</v>
      </c>
      <c r="F213" s="8">
        <f t="shared" si="4"/>
        <v>18233242</v>
      </c>
      <c r="G213" s="8">
        <f>VLOOKUP(A213, localcont!$D$10:$L$1764, 8)</f>
        <v>2893667.62</v>
      </c>
      <c r="H213" s="81">
        <f>VLOOKUP(A213, localcont!$D$10:$L$1764, 9)*F213</f>
        <v>7463215.5321596852</v>
      </c>
    </row>
    <row r="214" spans="1:8">
      <c r="A214" s="6">
        <v>422</v>
      </c>
      <c r="B214" s="6">
        <v>85</v>
      </c>
      <c r="C214" s="6" t="s">
        <v>1204</v>
      </c>
      <c r="D214" s="6">
        <v>660</v>
      </c>
      <c r="E214" s="6" t="s">
        <v>1051</v>
      </c>
      <c r="F214" s="8">
        <f t="shared" si="4"/>
        <v>18233242</v>
      </c>
      <c r="G214" s="8">
        <f>VLOOKUP(A214, localcont!$D$10:$L$1764, 8)</f>
        <v>3564679.9619386801</v>
      </c>
      <c r="H214" s="81">
        <f>VLOOKUP(A214, localcont!$D$10:$L$1764, 9)*F214</f>
        <v>9193859.9565623738</v>
      </c>
    </row>
    <row r="215" spans="1:8">
      <c r="A215" s="6">
        <v>423</v>
      </c>
      <c r="B215" s="6">
        <v>85</v>
      </c>
      <c r="C215" s="6" t="s">
        <v>1204</v>
      </c>
      <c r="D215" s="6">
        <v>815</v>
      </c>
      <c r="E215" s="6" t="s">
        <v>1096</v>
      </c>
      <c r="F215" s="8">
        <f t="shared" si="4"/>
        <v>18233242</v>
      </c>
      <c r="G215" s="8">
        <f>VLOOKUP(A215, localcont!$D$10:$L$1764, 8)</f>
        <v>611117.55084118794</v>
      </c>
      <c r="H215" s="81">
        <f>VLOOKUP(A215, localcont!$D$10:$L$1764, 9)*F215</f>
        <v>1576166.5112779399</v>
      </c>
    </row>
    <row r="216" spans="1:8">
      <c r="A216" s="6">
        <v>426</v>
      </c>
      <c r="B216" s="6">
        <v>86</v>
      </c>
      <c r="C216" s="6" t="s">
        <v>1205</v>
      </c>
      <c r="D216" s="6">
        <v>86</v>
      </c>
      <c r="E216" s="6" t="s">
        <v>767</v>
      </c>
      <c r="F216" s="8">
        <f t="shared" si="4"/>
        <v>15776224</v>
      </c>
      <c r="G216" s="8">
        <f>VLOOKUP(A216, localcont!$D$10:$L$1764, 8)</f>
        <v>23097746.730000004</v>
      </c>
      <c r="H216" s="81">
        <f>VLOOKUP(A216, localcont!$D$10:$L$1764, 9)*F216</f>
        <v>15776224</v>
      </c>
    </row>
    <row r="217" spans="1:8">
      <c r="A217" s="6">
        <v>431</v>
      </c>
      <c r="B217" s="6">
        <v>87</v>
      </c>
      <c r="C217" s="6" t="s">
        <v>1206</v>
      </c>
      <c r="D217" s="6">
        <v>87</v>
      </c>
      <c r="E217" s="6" t="s">
        <v>768</v>
      </c>
      <c r="F217" s="8">
        <f t="shared" si="4"/>
        <v>21248361</v>
      </c>
      <c r="G217" s="8">
        <f>VLOOKUP(A217, localcont!$D$10:$L$1764, 8)</f>
        <v>34416160.82</v>
      </c>
      <c r="H217" s="81">
        <f>VLOOKUP(A217, localcont!$D$10:$L$1764, 9)*F217</f>
        <v>21248361</v>
      </c>
    </row>
    <row r="218" spans="1:8">
      <c r="A218" s="6">
        <v>436</v>
      </c>
      <c r="B218" s="6">
        <v>88</v>
      </c>
      <c r="C218" s="6" t="s">
        <v>1207</v>
      </c>
      <c r="D218" s="6">
        <v>88</v>
      </c>
      <c r="E218" s="6" t="s">
        <v>769</v>
      </c>
      <c r="F218" s="8">
        <f t="shared" si="4"/>
        <v>40843751</v>
      </c>
      <c r="G218" s="8">
        <f>VLOOKUP(A218, localcont!$D$10:$L$1764, 8)</f>
        <v>44308894.519999996</v>
      </c>
      <c r="H218" s="81">
        <f>VLOOKUP(A218, localcont!$D$10:$L$1764, 9)*F218</f>
        <v>38983569.165434554</v>
      </c>
    </row>
    <row r="219" spans="1:8">
      <c r="A219" s="6">
        <v>437</v>
      </c>
      <c r="B219" s="6">
        <v>88</v>
      </c>
      <c r="C219" s="6" t="s">
        <v>1207</v>
      </c>
      <c r="D219" s="6">
        <v>872</v>
      </c>
      <c r="E219" s="6" t="s">
        <v>1112</v>
      </c>
      <c r="F219" s="8">
        <f t="shared" si="4"/>
        <v>40843751</v>
      </c>
      <c r="G219" s="8">
        <f>VLOOKUP(A219, localcont!$D$10:$L$1764, 8)</f>
        <v>1926662.5902035444</v>
      </c>
      <c r="H219" s="81">
        <f>VLOOKUP(A219, localcont!$D$10:$L$1764, 9)*F219</f>
        <v>1695104.0001630615</v>
      </c>
    </row>
    <row r="220" spans="1:8">
      <c r="A220" s="6">
        <v>438</v>
      </c>
      <c r="B220" s="6">
        <v>88</v>
      </c>
      <c r="C220" s="6" t="s">
        <v>1207</v>
      </c>
      <c r="D220" s="6">
        <v>910</v>
      </c>
      <c r="E220" s="6" t="s">
        <v>1118</v>
      </c>
      <c r="F220" s="8">
        <f t="shared" si="4"/>
        <v>40843751</v>
      </c>
      <c r="G220" s="8">
        <f>VLOOKUP(A220, localcont!$D$10:$L$1764, 8)</f>
        <v>187628.18563598057</v>
      </c>
      <c r="H220" s="81">
        <f>VLOOKUP(A220, localcont!$D$10:$L$1764, 9)*F220</f>
        <v>165077.8344023836</v>
      </c>
    </row>
    <row r="221" spans="1:8">
      <c r="A221" s="6">
        <v>441</v>
      </c>
      <c r="B221" s="6">
        <v>89</v>
      </c>
      <c r="C221" s="6" t="s">
        <v>1208</v>
      </c>
      <c r="D221" s="6">
        <v>89</v>
      </c>
      <c r="E221" s="6" t="s">
        <v>770</v>
      </c>
      <c r="F221" s="8">
        <f t="shared" si="4"/>
        <v>50239531</v>
      </c>
      <c r="G221" s="8">
        <f>VLOOKUP(A221, localcont!$D$10:$L$1764, 8)</f>
        <v>6714943.7300000014</v>
      </c>
      <c r="H221" s="81">
        <f>VLOOKUP(A221, localcont!$D$10:$L$1764, 9)*F221</f>
        <v>31596942.595839858</v>
      </c>
    </row>
    <row r="222" spans="1:8">
      <c r="A222" s="6">
        <v>442</v>
      </c>
      <c r="B222" s="6">
        <v>89</v>
      </c>
      <c r="C222" s="6" t="s">
        <v>1208</v>
      </c>
      <c r="D222" s="6">
        <v>700</v>
      </c>
      <c r="E222" s="6" t="s">
        <v>1065</v>
      </c>
      <c r="F222" s="8">
        <f t="shared" si="4"/>
        <v>50239531</v>
      </c>
      <c r="G222" s="8">
        <f>VLOOKUP(A222, localcont!$D$10:$L$1764, 8)</f>
        <v>3961900.1659979569</v>
      </c>
      <c r="H222" s="81">
        <f>VLOOKUP(A222, localcont!$D$10:$L$1764, 9)*F222</f>
        <v>18642588.404160138</v>
      </c>
    </row>
    <row r="223" spans="1:8">
      <c r="A223" s="6">
        <v>446</v>
      </c>
      <c r="B223" s="6">
        <v>90</v>
      </c>
      <c r="C223" s="6" t="s">
        <v>1209</v>
      </c>
      <c r="D223" s="6">
        <v>90</v>
      </c>
      <c r="E223" s="6" t="s">
        <v>771</v>
      </c>
      <c r="F223" s="8">
        <f t="shared" si="4"/>
        <v>3190507</v>
      </c>
      <c r="G223" s="8">
        <f>VLOOKUP(A223, localcont!$D$10:$L$1764, 8)</f>
        <v>0</v>
      </c>
      <c r="H223" s="81">
        <f>VLOOKUP(A223, localcont!$D$10:$L$1764, 9)*F223</f>
        <v>0</v>
      </c>
    </row>
    <row r="224" spans="1:8">
      <c r="A224" s="6">
        <v>447</v>
      </c>
      <c r="B224" s="6">
        <v>90</v>
      </c>
      <c r="C224" s="6" t="s">
        <v>1209</v>
      </c>
      <c r="D224" s="6">
        <v>765</v>
      </c>
      <c r="E224" s="6" t="s">
        <v>1083</v>
      </c>
      <c r="F224" s="8">
        <f t="shared" si="4"/>
        <v>3190507</v>
      </c>
      <c r="G224" s="8">
        <f>VLOOKUP(A224, localcont!$D$10:$L$1764, 8)</f>
        <v>1269627.7468174584</v>
      </c>
      <c r="H224" s="81">
        <f>VLOOKUP(A224, localcont!$D$10:$L$1764, 9)*F224</f>
        <v>3190507</v>
      </c>
    </row>
    <row r="225" spans="1:8">
      <c r="A225" s="6">
        <v>451</v>
      </c>
      <c r="B225" s="6">
        <v>91</v>
      </c>
      <c r="C225" s="6" t="s">
        <v>1210</v>
      </c>
      <c r="D225" s="6">
        <v>91</v>
      </c>
      <c r="E225" s="6" t="s">
        <v>772</v>
      </c>
      <c r="F225" s="8">
        <f t="shared" si="4"/>
        <v>4647028</v>
      </c>
      <c r="G225" s="8">
        <f>VLOOKUP(A225, localcont!$D$10:$L$1764, 8)</f>
        <v>2756151.77</v>
      </c>
      <c r="H225" s="81">
        <f>VLOOKUP(A225, localcont!$D$10:$L$1764, 9)*F225</f>
        <v>3827498.0819893274</v>
      </c>
    </row>
    <row r="226" spans="1:8">
      <c r="A226" s="6">
        <v>452</v>
      </c>
      <c r="B226" s="6">
        <v>91</v>
      </c>
      <c r="C226" s="6" t="s">
        <v>1210</v>
      </c>
      <c r="D226" s="6">
        <v>818</v>
      </c>
      <c r="E226" s="6" t="s">
        <v>1098</v>
      </c>
      <c r="F226" s="8">
        <f t="shared" si="4"/>
        <v>4647028</v>
      </c>
      <c r="G226" s="8">
        <f>VLOOKUP(A226, localcont!$D$10:$L$1764, 8)</f>
        <v>590137.15636379749</v>
      </c>
      <c r="H226" s="81">
        <f>VLOOKUP(A226, localcont!$D$10:$L$1764, 9)*F226</f>
        <v>819529.91801067279</v>
      </c>
    </row>
    <row r="227" spans="1:8">
      <c r="A227" s="6">
        <v>456</v>
      </c>
      <c r="B227" s="6">
        <v>92</v>
      </c>
      <c r="C227" s="6" t="s">
        <v>1211</v>
      </c>
      <c r="D227" s="6">
        <v>92</v>
      </c>
      <c r="E227" s="6" t="s">
        <v>773</v>
      </c>
      <c r="F227" s="8">
        <f t="shared" si="4"/>
        <v>10879159</v>
      </c>
      <c r="G227" s="8">
        <f>VLOOKUP(A227, localcont!$D$10:$L$1764, 8)</f>
        <v>0</v>
      </c>
      <c r="H227" s="81">
        <f>VLOOKUP(A227, localcont!$D$10:$L$1764, 9)*F227</f>
        <v>0</v>
      </c>
    </row>
    <row r="228" spans="1:8">
      <c r="A228" s="6">
        <v>457</v>
      </c>
      <c r="B228" s="6">
        <v>92</v>
      </c>
      <c r="C228" s="6" t="s">
        <v>1211</v>
      </c>
      <c r="D228" s="6">
        <v>698</v>
      </c>
      <c r="E228" s="6" t="s">
        <v>1064</v>
      </c>
      <c r="F228" s="8">
        <f t="shared" si="4"/>
        <v>10879159</v>
      </c>
      <c r="G228" s="8">
        <f>VLOOKUP(A228, localcont!$D$10:$L$1764, 8)</f>
        <v>6379142.5933382753</v>
      </c>
      <c r="H228" s="81">
        <f>VLOOKUP(A228, localcont!$D$10:$L$1764, 9)*F228</f>
        <v>10262445.489433184</v>
      </c>
    </row>
    <row r="229" spans="1:8">
      <c r="A229" s="6">
        <v>458</v>
      </c>
      <c r="B229" s="6">
        <v>92</v>
      </c>
      <c r="C229" s="6" t="s">
        <v>1211</v>
      </c>
      <c r="D229" s="6">
        <v>817</v>
      </c>
      <c r="E229" s="6" t="s">
        <v>1097</v>
      </c>
      <c r="F229" s="8">
        <f t="shared" si="4"/>
        <v>10879159</v>
      </c>
      <c r="G229" s="8">
        <f>VLOOKUP(A229, localcont!$D$10:$L$1764, 8)</f>
        <v>383349.50740490976</v>
      </c>
      <c r="H229" s="81">
        <f>VLOOKUP(A229, localcont!$D$10:$L$1764, 9)*F229</f>
        <v>616713.51056681585</v>
      </c>
    </row>
    <row r="230" spans="1:8">
      <c r="A230" s="6">
        <v>461</v>
      </c>
      <c r="B230" s="6">
        <v>93</v>
      </c>
      <c r="C230" s="6" t="s">
        <v>1212</v>
      </c>
      <c r="D230" s="6">
        <v>93</v>
      </c>
      <c r="E230" s="6" t="s">
        <v>774</v>
      </c>
      <c r="F230" s="8">
        <f t="shared" si="4"/>
        <v>55145531</v>
      </c>
      <c r="G230" s="8">
        <f>VLOOKUP(A230, localcont!$D$10:$L$1764, 8)</f>
        <v>161811104.85304004</v>
      </c>
      <c r="H230" s="81">
        <f>VLOOKUP(A230, localcont!$D$10:$L$1764, 9)*F230</f>
        <v>55145531</v>
      </c>
    </row>
    <row r="231" spans="1:8">
      <c r="A231" s="6">
        <v>466</v>
      </c>
      <c r="B231" s="6">
        <v>94</v>
      </c>
      <c r="C231" s="6" t="s">
        <v>1213</v>
      </c>
      <c r="D231" s="6">
        <v>94</v>
      </c>
      <c r="E231" s="6" t="s">
        <v>775</v>
      </c>
      <c r="F231" s="8">
        <f t="shared" si="4"/>
        <v>20737139</v>
      </c>
      <c r="G231" s="8">
        <f>VLOOKUP(A231, localcont!$D$10:$L$1764, 8)</f>
        <v>23598054.430000003</v>
      </c>
      <c r="H231" s="81">
        <f>VLOOKUP(A231, localcont!$D$10:$L$1764, 9)*F231</f>
        <v>17338730.939140096</v>
      </c>
    </row>
    <row r="232" spans="1:8">
      <c r="A232" s="6">
        <v>467</v>
      </c>
      <c r="B232" s="6">
        <v>94</v>
      </c>
      <c r="C232" s="6" t="s">
        <v>1213</v>
      </c>
      <c r="D232" s="6">
        <v>825</v>
      </c>
      <c r="E232" s="6" t="s">
        <v>1101</v>
      </c>
      <c r="F232" s="8">
        <f t="shared" si="4"/>
        <v>20737139</v>
      </c>
      <c r="G232" s="8">
        <f>VLOOKUP(A232, localcont!$D$10:$L$1764, 8)</f>
        <v>3999814.2432606099</v>
      </c>
      <c r="H232" s="81">
        <f>VLOOKUP(A232, localcont!$D$10:$L$1764, 9)*F232</f>
        <v>2938873.7608075757</v>
      </c>
    </row>
    <row r="233" spans="1:8">
      <c r="A233" s="6">
        <v>468</v>
      </c>
      <c r="B233" s="6">
        <v>94</v>
      </c>
      <c r="C233" s="6" t="s">
        <v>1213</v>
      </c>
      <c r="D233" s="6">
        <v>910</v>
      </c>
      <c r="E233" s="6" t="s">
        <v>1118</v>
      </c>
      <c r="F233" s="8">
        <f t="shared" si="4"/>
        <v>20737139</v>
      </c>
      <c r="G233" s="8">
        <f>VLOOKUP(A233, localcont!$D$10:$L$1764, 8)</f>
        <v>625427.28548877896</v>
      </c>
      <c r="H233" s="81">
        <f>VLOOKUP(A233, localcont!$D$10:$L$1764, 9)*F233</f>
        <v>459534.30005232419</v>
      </c>
    </row>
    <row r="234" spans="1:8">
      <c r="A234" s="6">
        <v>471</v>
      </c>
      <c r="B234" s="6">
        <v>95</v>
      </c>
      <c r="C234" s="6" t="s">
        <v>1214</v>
      </c>
      <c r="D234" s="6">
        <v>95</v>
      </c>
      <c r="E234" s="6" t="s">
        <v>776</v>
      </c>
      <c r="F234" s="8">
        <f t="shared" si="4"/>
        <v>59643764</v>
      </c>
      <c r="G234" s="8">
        <f>VLOOKUP(A234, localcont!$D$10:$L$1764, 8)</f>
        <v>243053149.76999998</v>
      </c>
      <c r="H234" s="81">
        <f>VLOOKUP(A234, localcont!$D$10:$L$1764, 9)*F234</f>
        <v>54151859.407568663</v>
      </c>
    </row>
    <row r="235" spans="1:8">
      <c r="A235" s="6">
        <v>472</v>
      </c>
      <c r="B235" s="6">
        <v>95</v>
      </c>
      <c r="C235" s="6" t="s">
        <v>1214</v>
      </c>
      <c r="D235" s="6">
        <v>821</v>
      </c>
      <c r="E235" s="6" t="s">
        <v>1099</v>
      </c>
      <c r="F235" s="8">
        <f t="shared" si="4"/>
        <v>59643764</v>
      </c>
      <c r="G235" s="8">
        <f>VLOOKUP(A235, localcont!$D$10:$L$1764, 8)</f>
        <v>23586429.675041087</v>
      </c>
      <c r="H235" s="81">
        <f>VLOOKUP(A235, localcont!$D$10:$L$1764, 9)*F235</f>
        <v>5255019.4264011178</v>
      </c>
    </row>
    <row r="236" spans="1:8">
      <c r="A236" s="6">
        <v>473</v>
      </c>
      <c r="B236" s="6">
        <v>95</v>
      </c>
      <c r="C236" s="6" t="s">
        <v>1214</v>
      </c>
      <c r="D236" s="6">
        <v>910</v>
      </c>
      <c r="E236" s="6" t="s">
        <v>1118</v>
      </c>
      <c r="F236" s="8">
        <f t="shared" si="4"/>
        <v>59643764</v>
      </c>
      <c r="G236" s="8">
        <f>VLOOKUP(A236, localcont!$D$10:$L$1764, 8)</f>
        <v>1063226.3853415775</v>
      </c>
      <c r="H236" s="81">
        <f>VLOOKUP(A236, localcont!$D$10:$L$1764, 9)*F236</f>
        <v>236885.1660302206</v>
      </c>
    </row>
    <row r="237" spans="1:8">
      <c r="A237" s="6">
        <v>476</v>
      </c>
      <c r="B237" s="6">
        <v>96</v>
      </c>
      <c r="C237" s="6" t="s">
        <v>1215</v>
      </c>
      <c r="D237" s="6">
        <v>96</v>
      </c>
      <c r="E237" s="6" t="s">
        <v>777</v>
      </c>
      <c r="F237" s="8">
        <f t="shared" si="4"/>
        <v>89729650</v>
      </c>
      <c r="G237" s="8">
        <f>VLOOKUP(A237, localcont!$D$10:$L$1764, 8)</f>
        <v>43218462.880000003</v>
      </c>
      <c r="H237" s="81">
        <f>VLOOKUP(A237, localcont!$D$10:$L$1764, 9)*F237</f>
        <v>81584484.673909962</v>
      </c>
    </row>
    <row r="238" spans="1:8">
      <c r="A238" s="6">
        <v>477</v>
      </c>
      <c r="B238" s="6">
        <v>96</v>
      </c>
      <c r="C238" s="6" t="s">
        <v>1215</v>
      </c>
      <c r="D238" s="6">
        <v>879</v>
      </c>
      <c r="E238" s="6" t="s">
        <v>1116</v>
      </c>
      <c r="F238" s="8">
        <f t="shared" si="4"/>
        <v>89729650</v>
      </c>
      <c r="G238" s="8">
        <f>VLOOKUP(A238, localcont!$D$10:$L$1764, 8)</f>
        <v>4314809.6933393814</v>
      </c>
      <c r="H238" s="81">
        <f>VLOOKUP(A238, localcont!$D$10:$L$1764, 9)*F238</f>
        <v>8145165.3260900266</v>
      </c>
    </row>
    <row r="239" spans="1:8">
      <c r="A239" s="6">
        <v>481</v>
      </c>
      <c r="B239" s="6">
        <v>97</v>
      </c>
      <c r="C239" s="6" t="s">
        <v>1216</v>
      </c>
      <c r="D239" s="6">
        <v>97</v>
      </c>
      <c r="E239" s="6" t="s">
        <v>778</v>
      </c>
      <c r="F239" s="8">
        <f t="shared" si="4"/>
        <v>29495751</v>
      </c>
      <c r="G239" s="8">
        <f>VLOOKUP(A239, localcont!$D$10:$L$1764, 8)</f>
        <v>101071841.39</v>
      </c>
      <c r="H239" s="81">
        <f>VLOOKUP(A239, localcont!$D$10:$L$1764, 9)*F239</f>
        <v>27377314.086340945</v>
      </c>
    </row>
    <row r="240" spans="1:8">
      <c r="A240" s="6">
        <v>482</v>
      </c>
      <c r="B240" s="6">
        <v>97</v>
      </c>
      <c r="C240" s="6" t="s">
        <v>1216</v>
      </c>
      <c r="D240" s="6">
        <v>832</v>
      </c>
      <c r="E240" s="6" t="s">
        <v>1105</v>
      </c>
      <c r="F240" s="8">
        <f t="shared" si="4"/>
        <v>29495751</v>
      </c>
      <c r="G240" s="8">
        <f>VLOOKUP(A240, localcont!$D$10:$L$1764, 8)</f>
        <v>7820866.541429447</v>
      </c>
      <c r="H240" s="81">
        <f>VLOOKUP(A240, localcont!$D$10:$L$1764, 9)*F240</f>
        <v>2118436.9136590534</v>
      </c>
    </row>
    <row r="241" spans="1:8">
      <c r="A241" s="6">
        <v>486</v>
      </c>
      <c r="B241" s="6">
        <v>98</v>
      </c>
      <c r="C241" s="6" t="s">
        <v>1217</v>
      </c>
      <c r="D241" s="6">
        <v>98</v>
      </c>
      <c r="E241" s="6" t="s">
        <v>779</v>
      </c>
      <c r="F241" s="8">
        <f t="shared" si="4"/>
        <v>962195</v>
      </c>
      <c r="G241" s="8">
        <f>VLOOKUP(A241, localcont!$D$10:$L$1764, 8)</f>
        <v>865066.34</v>
      </c>
      <c r="H241" s="81">
        <f>VLOOKUP(A241, localcont!$D$10:$L$1764, 9)*F241</f>
        <v>531305.61588047456</v>
      </c>
    </row>
    <row r="242" spans="1:8">
      <c r="A242" s="6">
        <v>487</v>
      </c>
      <c r="B242" s="6">
        <v>98</v>
      </c>
      <c r="C242" s="6" t="s">
        <v>1217</v>
      </c>
      <c r="D242" s="6">
        <v>851</v>
      </c>
      <c r="E242" s="6" t="s">
        <v>1106</v>
      </c>
      <c r="F242" s="8">
        <f t="shared" si="4"/>
        <v>962195</v>
      </c>
      <c r="G242" s="8">
        <f>VLOOKUP(A242, localcont!$D$10:$L$1764, 8)</f>
        <v>701569.66409515112</v>
      </c>
      <c r="H242" s="81">
        <f>VLOOKUP(A242, localcont!$D$10:$L$1764, 9)*F242</f>
        <v>430889.38411952538</v>
      </c>
    </row>
    <row r="243" spans="1:8">
      <c r="A243" s="6">
        <v>491</v>
      </c>
      <c r="B243" s="6">
        <v>99</v>
      </c>
      <c r="C243" s="6" t="s">
        <v>1218</v>
      </c>
      <c r="D243" s="6">
        <v>99</v>
      </c>
      <c r="E243" s="6" t="s">
        <v>780</v>
      </c>
      <c r="F243" s="8">
        <f t="shared" si="4"/>
        <v>34713030</v>
      </c>
      <c r="G243" s="8">
        <f>VLOOKUP(A243, localcont!$D$10:$L$1764, 8)</f>
        <v>35604499.836640008</v>
      </c>
      <c r="H243" s="81">
        <f>VLOOKUP(A243, localcont!$D$10:$L$1764, 9)*F243</f>
        <v>33596456.208659254</v>
      </c>
    </row>
    <row r="244" spans="1:8">
      <c r="A244" s="6">
        <v>492</v>
      </c>
      <c r="B244" s="6">
        <v>99</v>
      </c>
      <c r="C244" s="6" t="s">
        <v>1218</v>
      </c>
      <c r="D244" s="6">
        <v>872</v>
      </c>
      <c r="E244" s="6" t="s">
        <v>1112</v>
      </c>
      <c r="F244" s="8">
        <f t="shared" si="4"/>
        <v>34713030</v>
      </c>
      <c r="G244" s="8">
        <f>VLOOKUP(A244, localcont!$D$10:$L$1764, 8)</f>
        <v>1007119.081417684</v>
      </c>
      <c r="H244" s="81">
        <f>VLOOKUP(A244, localcont!$D$10:$L$1764, 9)*F244</f>
        <v>950318.9841452192</v>
      </c>
    </row>
    <row r="245" spans="1:8">
      <c r="A245" s="6">
        <v>493</v>
      </c>
      <c r="B245" s="6">
        <v>99</v>
      </c>
      <c r="C245" s="6" t="s">
        <v>1218</v>
      </c>
      <c r="D245" s="6">
        <v>915</v>
      </c>
      <c r="E245" s="6" t="s">
        <v>1119</v>
      </c>
      <c r="F245" s="8">
        <f t="shared" si="4"/>
        <v>34713030</v>
      </c>
      <c r="G245" s="8">
        <f>VLOOKUP(A245, localcont!$D$10:$L$1764, 8)</f>
        <v>176191.77507501398</v>
      </c>
      <c r="H245" s="81">
        <f>VLOOKUP(A245, localcont!$D$10:$L$1764, 9)*F245</f>
        <v>166254.80719552396</v>
      </c>
    </row>
    <row r="246" spans="1:8">
      <c r="A246" s="6">
        <v>496</v>
      </c>
      <c r="B246" s="6">
        <v>100</v>
      </c>
      <c r="C246" s="6" t="s">
        <v>1219</v>
      </c>
      <c r="D246" s="6">
        <v>100</v>
      </c>
      <c r="E246" s="6" t="s">
        <v>781</v>
      </c>
      <c r="F246" s="8">
        <f t="shared" si="4"/>
        <v>97743359</v>
      </c>
      <c r="G246" s="8">
        <f>VLOOKUP(A246, localcont!$D$10:$L$1764, 8)</f>
        <v>164084535.65007001</v>
      </c>
      <c r="H246" s="81">
        <f>VLOOKUP(A246, localcont!$D$10:$L$1764, 9)*F246</f>
        <v>89584628.964797959</v>
      </c>
    </row>
    <row r="247" spans="1:8">
      <c r="A247" s="6">
        <v>497</v>
      </c>
      <c r="B247" s="6">
        <v>100</v>
      </c>
      <c r="C247" s="6" t="s">
        <v>1219</v>
      </c>
      <c r="D247" s="6">
        <v>829</v>
      </c>
      <c r="E247" s="6" t="s">
        <v>1103</v>
      </c>
      <c r="F247" s="8">
        <f t="shared" si="4"/>
        <v>97743359</v>
      </c>
      <c r="G247" s="8">
        <f>VLOOKUP(A247, localcont!$D$10:$L$1764, 8)</f>
        <v>14943650.990020309</v>
      </c>
      <c r="H247" s="81">
        <f>VLOOKUP(A247, localcont!$D$10:$L$1764, 9)*F247</f>
        <v>8158730.0352020347</v>
      </c>
    </row>
    <row r="248" spans="1:8">
      <c r="A248" s="6">
        <v>501</v>
      </c>
      <c r="B248" s="6">
        <v>101</v>
      </c>
      <c r="C248" s="6" t="s">
        <v>1220</v>
      </c>
      <c r="D248" s="6">
        <v>101</v>
      </c>
      <c r="E248" s="6" t="s">
        <v>782</v>
      </c>
      <c r="F248" s="8">
        <f t="shared" si="4"/>
        <v>57237937</v>
      </c>
      <c r="G248" s="8">
        <f>VLOOKUP(A248, localcont!$D$10:$L$1764, 8)</f>
        <v>66584573.909320004</v>
      </c>
      <c r="H248" s="81">
        <f>VLOOKUP(A248, localcont!$D$10:$L$1764, 9)*F248</f>
        <v>54034093.787319243</v>
      </c>
    </row>
    <row r="249" spans="1:8">
      <c r="A249" s="6">
        <v>502</v>
      </c>
      <c r="B249" s="6">
        <v>101</v>
      </c>
      <c r="C249" s="6" t="s">
        <v>1220</v>
      </c>
      <c r="D249" s="6">
        <v>878</v>
      </c>
      <c r="E249" s="6" t="s">
        <v>1115</v>
      </c>
      <c r="F249" s="8">
        <f t="shared" si="4"/>
        <v>57237937</v>
      </c>
      <c r="G249" s="8">
        <f>VLOOKUP(A249, localcont!$D$10:$L$1764, 8)</f>
        <v>3617639.1802543737</v>
      </c>
      <c r="H249" s="81">
        <f>VLOOKUP(A249, localcont!$D$10:$L$1764, 9)*F249</f>
        <v>2935752.8820528248</v>
      </c>
    </row>
    <row r="250" spans="1:8">
      <c r="A250" s="6">
        <v>503</v>
      </c>
      <c r="B250" s="6">
        <v>101</v>
      </c>
      <c r="C250" s="6" t="s">
        <v>1220</v>
      </c>
      <c r="D250" s="6">
        <v>915</v>
      </c>
      <c r="E250" s="6" t="s">
        <v>1119</v>
      </c>
      <c r="F250" s="8">
        <f t="shared" si="4"/>
        <v>57237937</v>
      </c>
      <c r="G250" s="8">
        <f>VLOOKUP(A250, localcont!$D$10:$L$1764, 8)</f>
        <v>330359.57823834149</v>
      </c>
      <c r="H250" s="81">
        <f>VLOOKUP(A250, localcont!$D$10:$L$1764, 9)*F250</f>
        <v>268090.33062793501</v>
      </c>
    </row>
    <row r="251" spans="1:8">
      <c r="A251" s="6">
        <v>506</v>
      </c>
      <c r="B251" s="6">
        <v>102</v>
      </c>
      <c r="C251" s="6" t="s">
        <v>1221</v>
      </c>
      <c r="D251" s="6">
        <v>102</v>
      </c>
      <c r="E251" s="6" t="s">
        <v>783</v>
      </c>
      <c r="F251" s="8">
        <f t="shared" si="4"/>
        <v>13152513</v>
      </c>
      <c r="G251" s="8">
        <f>VLOOKUP(A251, localcont!$D$10:$L$1764, 8)</f>
        <v>16860.330000000002</v>
      </c>
      <c r="H251" s="81">
        <f>VLOOKUP(A251, localcont!$D$10:$L$1764, 9)*F251</f>
        <v>13265.901851299481</v>
      </c>
    </row>
    <row r="252" spans="1:8">
      <c r="A252" s="6">
        <v>507</v>
      </c>
      <c r="B252" s="6">
        <v>102</v>
      </c>
      <c r="C252" s="6" t="s">
        <v>1221</v>
      </c>
      <c r="D252" s="6">
        <v>665</v>
      </c>
      <c r="E252" s="6" t="s">
        <v>1053</v>
      </c>
      <c r="F252" s="8">
        <f t="shared" si="4"/>
        <v>13152513</v>
      </c>
      <c r="G252" s="8">
        <f>VLOOKUP(A252, localcont!$D$10:$L$1764, 8)</f>
        <v>15204408.787140638</v>
      </c>
      <c r="H252" s="81">
        <f>VLOOKUP(A252, localcont!$D$10:$L$1764, 9)*F252</f>
        <v>11963003.967137242</v>
      </c>
    </row>
    <row r="253" spans="1:8">
      <c r="A253" s="6">
        <v>508</v>
      </c>
      <c r="B253" s="6">
        <v>102</v>
      </c>
      <c r="C253" s="6" t="s">
        <v>1221</v>
      </c>
      <c r="D253" s="6">
        <v>910</v>
      </c>
      <c r="E253" s="6" t="s">
        <v>1118</v>
      </c>
      <c r="F253" s="8">
        <f t="shared" si="4"/>
        <v>13152513</v>
      </c>
      <c r="G253" s="8">
        <f>VLOOKUP(A253, localcont!$D$10:$L$1764, 8)</f>
        <v>1036302.3724131067</v>
      </c>
      <c r="H253" s="81">
        <f>VLOOKUP(A253, localcont!$D$10:$L$1764, 9)*F253</f>
        <v>815374.64336113667</v>
      </c>
    </row>
    <row r="254" spans="1:8">
      <c r="A254" s="6">
        <v>511</v>
      </c>
      <c r="B254" s="6">
        <v>103</v>
      </c>
      <c r="C254" s="6" t="s">
        <v>1222</v>
      </c>
      <c r="D254" s="6">
        <v>103</v>
      </c>
      <c r="E254" s="6" t="s">
        <v>784</v>
      </c>
      <c r="F254" s="8">
        <f t="shared" si="4"/>
        <v>14438628</v>
      </c>
      <c r="G254" s="8">
        <f>VLOOKUP(A254, localcont!$D$10:$L$1764, 8)</f>
        <v>41586508.200000003</v>
      </c>
      <c r="H254" s="81">
        <f>VLOOKUP(A254, localcont!$D$10:$L$1764, 9)*F254</f>
        <v>13358256.819564141</v>
      </c>
    </row>
    <row r="255" spans="1:8">
      <c r="A255" s="6">
        <v>512</v>
      </c>
      <c r="B255" s="6">
        <v>103</v>
      </c>
      <c r="C255" s="6" t="s">
        <v>1222</v>
      </c>
      <c r="D255" s="6">
        <v>832</v>
      </c>
      <c r="E255" s="6" t="s">
        <v>1105</v>
      </c>
      <c r="F255" s="8">
        <f t="shared" si="4"/>
        <v>14438628</v>
      </c>
      <c r="G255" s="8">
        <f>VLOOKUP(A255, localcont!$D$10:$L$1764, 8)</f>
        <v>3363377.8389735594</v>
      </c>
      <c r="H255" s="81">
        <f>VLOOKUP(A255, localcont!$D$10:$L$1764, 9)*F255</f>
        <v>1080371.1804358573</v>
      </c>
    </row>
    <row r="256" spans="1:8">
      <c r="A256" s="6">
        <v>516</v>
      </c>
      <c r="B256" s="6">
        <v>104</v>
      </c>
      <c r="C256" s="6" t="s">
        <v>785</v>
      </c>
      <c r="D256" s="6">
        <v>104</v>
      </c>
      <c r="E256" s="6" t="s">
        <v>785</v>
      </c>
      <c r="F256" s="8">
        <f t="shared" si="4"/>
        <v>3776143</v>
      </c>
      <c r="G256" s="8">
        <f>VLOOKUP(A256, localcont!$D$10:$L$1764, 8)</f>
        <v>0</v>
      </c>
      <c r="H256" s="81">
        <f>VLOOKUP(A256, localcont!$D$10:$L$1764, 9)*F256</f>
        <v>0</v>
      </c>
    </row>
    <row r="257" spans="1:8">
      <c r="A257" s="6">
        <v>517</v>
      </c>
      <c r="B257" s="6">
        <v>104</v>
      </c>
      <c r="C257" s="6" t="s">
        <v>785</v>
      </c>
      <c r="D257" s="6">
        <v>700</v>
      </c>
      <c r="E257" s="6" t="s">
        <v>1065</v>
      </c>
      <c r="F257" s="8">
        <f t="shared" si="4"/>
        <v>3776143</v>
      </c>
      <c r="G257" s="8">
        <f>VLOOKUP(A257, localcont!$D$10:$L$1764, 8)</f>
        <v>265305.8147080263</v>
      </c>
      <c r="H257" s="81">
        <f>VLOOKUP(A257, localcont!$D$10:$L$1764, 9)*F257</f>
        <v>1187645.1440510356</v>
      </c>
    </row>
    <row r="258" spans="1:8">
      <c r="A258" s="6">
        <v>518</v>
      </c>
      <c r="B258" s="6">
        <v>104</v>
      </c>
      <c r="C258" s="6" t="s">
        <v>785</v>
      </c>
      <c r="D258" s="6">
        <v>774</v>
      </c>
      <c r="E258" s="6" t="s">
        <v>1088</v>
      </c>
      <c r="F258" s="8">
        <f t="shared" si="4"/>
        <v>3776143</v>
      </c>
      <c r="G258" s="8">
        <f>VLOOKUP(A258, localcont!$D$10:$L$1764, 8)</f>
        <v>578239.66694298096</v>
      </c>
      <c r="H258" s="81">
        <f>VLOOKUP(A258, localcont!$D$10:$L$1764, 9)*F258</f>
        <v>2588497.8559489651</v>
      </c>
    </row>
    <row r="259" spans="1:8">
      <c r="A259" s="6">
        <v>521</v>
      </c>
      <c r="B259" s="6">
        <v>105</v>
      </c>
      <c r="C259" s="6" t="s">
        <v>1223</v>
      </c>
      <c r="D259" s="6">
        <v>105</v>
      </c>
      <c r="E259" s="6" t="s">
        <v>786</v>
      </c>
      <c r="F259" s="8">
        <f t="shared" si="4"/>
        <v>13915300</v>
      </c>
      <c r="G259" s="8">
        <f>VLOOKUP(A259, localcont!$D$10:$L$1764, 8)</f>
        <v>15097839.610000001</v>
      </c>
      <c r="H259" s="81">
        <f>VLOOKUP(A259, localcont!$D$10:$L$1764, 9)*F259</f>
        <v>12810474.649001276</v>
      </c>
    </row>
    <row r="260" spans="1:8">
      <c r="A260" s="6">
        <v>522</v>
      </c>
      <c r="B260" s="6">
        <v>105</v>
      </c>
      <c r="C260" s="6" t="s">
        <v>1223</v>
      </c>
      <c r="D260" s="6">
        <v>885</v>
      </c>
      <c r="E260" s="6" t="s">
        <v>1117</v>
      </c>
      <c r="F260" s="8">
        <f t="shared" si="4"/>
        <v>13915300</v>
      </c>
      <c r="G260" s="8">
        <f>VLOOKUP(A260, localcont!$D$10:$L$1764, 8)</f>
        <v>1302096.6360322267</v>
      </c>
      <c r="H260" s="81">
        <f>VLOOKUP(A260, localcont!$D$10:$L$1764, 9)*F260</f>
        <v>1104825.3509987236</v>
      </c>
    </row>
    <row r="261" spans="1:8">
      <c r="A261" s="6">
        <v>526</v>
      </c>
      <c r="B261" s="6">
        <v>106</v>
      </c>
      <c r="C261" s="6" t="s">
        <v>1224</v>
      </c>
      <c r="D261" s="6">
        <v>106</v>
      </c>
      <c r="E261" s="6" t="s">
        <v>787</v>
      </c>
      <c r="F261" s="8">
        <f t="shared" si="4"/>
        <v>1346831</v>
      </c>
      <c r="G261" s="8">
        <f>VLOOKUP(A261, localcont!$D$10:$L$1764, 8)</f>
        <v>0</v>
      </c>
      <c r="H261" s="81">
        <f>VLOOKUP(A261, localcont!$D$10:$L$1764, 9)*F261</f>
        <v>0</v>
      </c>
    </row>
    <row r="262" spans="1:8">
      <c r="A262" s="6">
        <v>527</v>
      </c>
      <c r="B262" s="6">
        <v>106</v>
      </c>
      <c r="C262" s="6" t="s">
        <v>1224</v>
      </c>
      <c r="D262" s="6">
        <v>674</v>
      </c>
      <c r="E262" s="6" t="s">
        <v>1057</v>
      </c>
      <c r="F262" s="8">
        <f t="shared" si="4"/>
        <v>1346831</v>
      </c>
      <c r="G262" s="8">
        <f>VLOOKUP(A262, localcont!$D$10:$L$1764, 8)</f>
        <v>1617049.3110924226</v>
      </c>
      <c r="H262" s="81">
        <f>VLOOKUP(A262, localcont!$D$10:$L$1764, 9)*F262</f>
        <v>1145541.8980597884</v>
      </c>
    </row>
    <row r="263" spans="1:8">
      <c r="A263" s="6">
        <v>528</v>
      </c>
      <c r="B263" s="6">
        <v>106</v>
      </c>
      <c r="C263" s="6" t="s">
        <v>1224</v>
      </c>
      <c r="D263" s="6">
        <v>818</v>
      </c>
      <c r="E263" s="6" t="s">
        <v>1098</v>
      </c>
      <c r="F263" s="8">
        <f t="shared" si="4"/>
        <v>1346831</v>
      </c>
      <c r="G263" s="8">
        <f>VLOOKUP(A263, localcont!$D$10:$L$1764, 8)</f>
        <v>284140.11235566624</v>
      </c>
      <c r="H263" s="81">
        <f>VLOOKUP(A263, localcont!$D$10:$L$1764, 9)*F263</f>
        <v>201289.10194021152</v>
      </c>
    </row>
    <row r="264" spans="1:8">
      <c r="A264" s="6">
        <v>531</v>
      </c>
      <c r="B264" s="6">
        <v>107</v>
      </c>
      <c r="C264" s="6" t="s">
        <v>1225</v>
      </c>
      <c r="D264" s="6">
        <v>107</v>
      </c>
      <c r="E264" s="6" t="s">
        <v>788</v>
      </c>
      <c r="F264" s="8">
        <f t="shared" si="4"/>
        <v>58925066</v>
      </c>
      <c r="G264" s="8">
        <f>VLOOKUP(A264, localcont!$D$10:$L$1764, 8)</f>
        <v>49375946.820559993</v>
      </c>
      <c r="H264" s="81">
        <f>VLOOKUP(A264, localcont!$D$10:$L$1764, 9)*F264</f>
        <v>56633996.437647462</v>
      </c>
    </row>
    <row r="265" spans="1:8">
      <c r="A265" s="6">
        <v>532</v>
      </c>
      <c r="B265" s="6">
        <v>107</v>
      </c>
      <c r="C265" s="6" t="s">
        <v>1225</v>
      </c>
      <c r="D265" s="6">
        <v>817</v>
      </c>
      <c r="E265" s="6" t="s">
        <v>1097</v>
      </c>
      <c r="F265" s="8">
        <f t="shared" si="4"/>
        <v>58925066</v>
      </c>
      <c r="G265" s="8">
        <f>VLOOKUP(A265, localcont!$D$10:$L$1764, 8)</f>
        <v>1997452.6960580801</v>
      </c>
      <c r="H265" s="81">
        <f>VLOOKUP(A265, localcont!$D$10:$L$1764, 9)*F265</f>
        <v>2291069.562352539</v>
      </c>
    </row>
    <row r="266" spans="1:8">
      <c r="A266" s="6">
        <v>536</v>
      </c>
      <c r="B266" s="6">
        <v>108</v>
      </c>
      <c r="C266" s="6" t="s">
        <v>1226</v>
      </c>
      <c r="D266" s="6">
        <v>108</v>
      </c>
      <c r="E266" s="6" t="s">
        <v>789</v>
      </c>
      <c r="F266" s="8">
        <f t="shared" si="4"/>
        <v>938600</v>
      </c>
      <c r="G266" s="8">
        <f>VLOOKUP(A266, localcont!$D$10:$L$1764, 8)</f>
        <v>151742.96999999997</v>
      </c>
      <c r="H266" s="81">
        <f>VLOOKUP(A266, localcont!$D$10:$L$1764, 9)*F266</f>
        <v>105453.85514705876</v>
      </c>
    </row>
    <row r="267" spans="1:8">
      <c r="A267" s="6">
        <v>537</v>
      </c>
      <c r="B267" s="6">
        <v>108</v>
      </c>
      <c r="C267" s="6" t="s">
        <v>1226</v>
      </c>
      <c r="D267" s="6">
        <v>632</v>
      </c>
      <c r="E267" s="6" t="s">
        <v>1044</v>
      </c>
      <c r="F267" s="8">
        <f t="shared" ref="F267:F330" si="5">VLOOKUP(B267, town351, 7)</f>
        <v>938600</v>
      </c>
      <c r="G267" s="8">
        <f>VLOOKUP(A267, localcont!$D$10:$L$1764, 8)</f>
        <v>752488.03826839442</v>
      </c>
      <c r="H267" s="81">
        <f>VLOOKUP(A267, localcont!$D$10:$L$1764, 9)*F267</f>
        <v>522941.9497156915</v>
      </c>
    </row>
    <row r="268" spans="1:8">
      <c r="A268" s="6">
        <v>538</v>
      </c>
      <c r="B268" s="6">
        <v>108</v>
      </c>
      <c r="C268" s="6" t="s">
        <v>1226</v>
      </c>
      <c r="D268" s="6">
        <v>683</v>
      </c>
      <c r="E268" s="6" t="s">
        <v>1060</v>
      </c>
      <c r="F268" s="8">
        <f t="shared" si="5"/>
        <v>938600</v>
      </c>
      <c r="G268" s="8">
        <f>VLOOKUP(A268, localcont!$D$10:$L$1764, 8)</f>
        <v>446368.75352677627</v>
      </c>
      <c r="H268" s="81">
        <f>VLOOKUP(A268, localcont!$D$10:$L$1764, 9)*F268</f>
        <v>310204.19513724983</v>
      </c>
    </row>
    <row r="269" spans="1:8">
      <c r="A269" s="6">
        <v>541</v>
      </c>
      <c r="B269" s="6">
        <v>109</v>
      </c>
      <c r="C269" s="6" t="s">
        <v>1227</v>
      </c>
      <c r="D269" s="6">
        <v>109</v>
      </c>
      <c r="E269" s="6" t="s">
        <v>790</v>
      </c>
      <c r="F269" s="8">
        <f t="shared" si="5"/>
        <v>944255</v>
      </c>
      <c r="G269" s="8">
        <f>VLOOKUP(A269, localcont!$D$10:$L$1764, 8)</f>
        <v>0</v>
      </c>
      <c r="H269" s="81">
        <f>VLOOKUP(A269, localcont!$D$10:$L$1764, 9)*F269</f>
        <v>0</v>
      </c>
    </row>
    <row r="270" spans="1:8">
      <c r="A270" s="6">
        <v>546</v>
      </c>
      <c r="B270" s="6">
        <v>110</v>
      </c>
      <c r="C270" s="6" t="s">
        <v>1228</v>
      </c>
      <c r="D270" s="6">
        <v>110</v>
      </c>
      <c r="E270" s="6" t="s">
        <v>791</v>
      </c>
      <c r="F270" s="8">
        <f t="shared" si="5"/>
        <v>30025208</v>
      </c>
      <c r="G270" s="8">
        <f>VLOOKUP(A270, localcont!$D$10:$L$1764, 8)</f>
        <v>37107723.809999995</v>
      </c>
      <c r="H270" s="81">
        <f>VLOOKUP(A270, localcont!$D$10:$L$1764, 9)*F270</f>
        <v>28479067.262578644</v>
      </c>
    </row>
    <row r="271" spans="1:8">
      <c r="A271" s="6">
        <v>547</v>
      </c>
      <c r="B271" s="6">
        <v>110</v>
      </c>
      <c r="C271" s="6" t="s">
        <v>1228</v>
      </c>
      <c r="D271" s="6">
        <v>805</v>
      </c>
      <c r="E271" s="6" t="s">
        <v>1093</v>
      </c>
      <c r="F271" s="8">
        <f t="shared" si="5"/>
        <v>30025208</v>
      </c>
      <c r="G271" s="8">
        <f>VLOOKUP(A271, localcont!$D$10:$L$1764, 8)</f>
        <v>2014594.190414734</v>
      </c>
      <c r="H271" s="81">
        <f>VLOOKUP(A271, localcont!$D$10:$L$1764, 9)*F271</f>
        <v>1546140.7374213552</v>
      </c>
    </row>
    <row r="272" spans="1:8">
      <c r="A272" s="6">
        <v>551</v>
      </c>
      <c r="B272" s="6">
        <v>111</v>
      </c>
      <c r="C272" s="6" t="s">
        <v>1229</v>
      </c>
      <c r="D272" s="6">
        <v>111</v>
      </c>
      <c r="E272" s="6" t="s">
        <v>792</v>
      </c>
      <c r="F272" s="8">
        <f t="shared" si="5"/>
        <v>6564634</v>
      </c>
      <c r="G272" s="8">
        <f>VLOOKUP(A272, localcont!$D$10:$L$1764, 8)</f>
        <v>9658208.7799999993</v>
      </c>
      <c r="H272" s="81">
        <f>VLOOKUP(A272, localcont!$D$10:$L$1764, 9)*F272</f>
        <v>6294804.4588212669</v>
      </c>
    </row>
    <row r="273" spans="1:8">
      <c r="A273" s="6">
        <v>552</v>
      </c>
      <c r="B273" s="6">
        <v>111</v>
      </c>
      <c r="C273" s="6" t="s">
        <v>1229</v>
      </c>
      <c r="D273" s="6">
        <v>860</v>
      </c>
      <c r="E273" s="6" t="s">
        <v>1110</v>
      </c>
      <c r="F273" s="8">
        <f t="shared" si="5"/>
        <v>6564634</v>
      </c>
      <c r="G273" s="8">
        <f>VLOOKUP(A273, localcont!$D$10:$L$1764, 8)</f>
        <v>414003.33572932164</v>
      </c>
      <c r="H273" s="81">
        <f>VLOOKUP(A273, localcont!$D$10:$L$1764, 9)*F273</f>
        <v>269829.54117873311</v>
      </c>
    </row>
    <row r="274" spans="1:8">
      <c r="A274" s="6">
        <v>556</v>
      </c>
      <c r="B274" s="6">
        <v>112</v>
      </c>
      <c r="C274" s="6" t="s">
        <v>1230</v>
      </c>
      <c r="D274" s="6">
        <v>112</v>
      </c>
      <c r="E274" s="6" t="s">
        <v>793</v>
      </c>
      <c r="F274" s="8">
        <f t="shared" si="5"/>
        <v>1840199</v>
      </c>
      <c r="G274" s="8">
        <f>VLOOKUP(A274, localcont!$D$10:$L$1764, 8)</f>
        <v>0</v>
      </c>
      <c r="H274" s="81">
        <f>VLOOKUP(A274, localcont!$D$10:$L$1764, 9)*F274</f>
        <v>0</v>
      </c>
    </row>
    <row r="275" spans="1:8">
      <c r="A275" s="6">
        <v>557</v>
      </c>
      <c r="B275" s="6">
        <v>112</v>
      </c>
      <c r="C275" s="6" t="s">
        <v>1230</v>
      </c>
      <c r="D275" s="6">
        <v>766</v>
      </c>
      <c r="E275" s="6" t="s">
        <v>1084</v>
      </c>
      <c r="F275" s="8">
        <f t="shared" si="5"/>
        <v>1840199</v>
      </c>
      <c r="G275" s="8">
        <f>VLOOKUP(A275, localcont!$D$10:$L$1764, 8)</f>
        <v>2355149.3271885165</v>
      </c>
      <c r="H275" s="81">
        <f>VLOOKUP(A275, localcont!$D$10:$L$1764, 9)*F275</f>
        <v>1840199</v>
      </c>
    </row>
    <row r="276" spans="1:8">
      <c r="A276" s="6">
        <v>561</v>
      </c>
      <c r="B276" s="6">
        <v>113</v>
      </c>
      <c r="C276" s="6" t="s">
        <v>1231</v>
      </c>
      <c r="D276" s="6">
        <v>113</v>
      </c>
      <c r="E276" s="6" t="s">
        <v>794</v>
      </c>
      <c r="F276" s="8">
        <f t="shared" si="5"/>
        <v>12851689</v>
      </c>
      <c r="G276" s="8">
        <f>VLOOKUP(A276, localcont!$D$10:$L$1764, 8)</f>
        <v>0</v>
      </c>
      <c r="H276" s="81">
        <f>VLOOKUP(A276, localcont!$D$10:$L$1764, 9)*F276</f>
        <v>0</v>
      </c>
    </row>
    <row r="277" spans="1:8">
      <c r="A277" s="6">
        <v>562</v>
      </c>
      <c r="B277" s="6">
        <v>113</v>
      </c>
      <c r="C277" s="6" t="s">
        <v>1231</v>
      </c>
      <c r="D277" s="6">
        <v>618</v>
      </c>
      <c r="E277" s="6" t="s">
        <v>1040</v>
      </c>
      <c r="F277" s="8">
        <f t="shared" si="5"/>
        <v>12851689</v>
      </c>
      <c r="G277" s="8">
        <f>VLOOKUP(A277, localcont!$D$10:$L$1764, 8)</f>
        <v>11314564.987516483</v>
      </c>
      <c r="H277" s="81">
        <f>VLOOKUP(A277, localcont!$D$10:$L$1764, 9)*F277</f>
        <v>12851689</v>
      </c>
    </row>
    <row r="278" spans="1:8">
      <c r="A278" s="6">
        <v>566</v>
      </c>
      <c r="B278" s="6">
        <v>114</v>
      </c>
      <c r="C278" s="6" t="s">
        <v>1232</v>
      </c>
      <c r="D278" s="6">
        <v>114</v>
      </c>
      <c r="E278" s="6" t="s">
        <v>795</v>
      </c>
      <c r="F278" s="8">
        <f t="shared" si="5"/>
        <v>13698302</v>
      </c>
      <c r="G278" s="8">
        <f>VLOOKUP(A278, localcont!$D$10:$L$1764, 8)</f>
        <v>27960950.600000009</v>
      </c>
      <c r="H278" s="81">
        <f>VLOOKUP(A278, localcont!$D$10:$L$1764, 9)*F278</f>
        <v>12417063.189158265</v>
      </c>
    </row>
    <row r="279" spans="1:8">
      <c r="A279" s="6">
        <v>567</v>
      </c>
      <c r="B279" s="6">
        <v>114</v>
      </c>
      <c r="C279" s="6" t="s">
        <v>1232</v>
      </c>
      <c r="D279" s="6">
        <v>818</v>
      </c>
      <c r="E279" s="6" t="s">
        <v>1098</v>
      </c>
      <c r="F279" s="8">
        <f t="shared" si="5"/>
        <v>13698302</v>
      </c>
      <c r="G279" s="8">
        <f>VLOOKUP(A279, localcont!$D$10:$L$1764, 8)</f>
        <v>2885114.9866119861</v>
      </c>
      <c r="H279" s="81">
        <f>VLOOKUP(A279, localcont!$D$10:$L$1764, 9)*F279</f>
        <v>1281238.8108417359</v>
      </c>
    </row>
    <row r="280" spans="1:8">
      <c r="A280" s="6">
        <v>571</v>
      </c>
      <c r="B280" s="6">
        <v>115</v>
      </c>
      <c r="C280" s="6" t="s">
        <v>1233</v>
      </c>
      <c r="D280" s="6">
        <v>115</v>
      </c>
      <c r="E280" s="6" t="s">
        <v>796</v>
      </c>
      <c r="F280" s="8">
        <f t="shared" si="5"/>
        <v>22577033</v>
      </c>
      <c r="G280" s="8">
        <f>VLOOKUP(A280, localcont!$D$10:$L$1764, 8)</f>
        <v>0</v>
      </c>
      <c r="H280" s="81">
        <f>VLOOKUP(A280, localcont!$D$10:$L$1764, 9)*F280</f>
        <v>0</v>
      </c>
    </row>
    <row r="281" spans="1:8">
      <c r="A281" s="6">
        <v>572</v>
      </c>
      <c r="B281" s="6">
        <v>115</v>
      </c>
      <c r="C281" s="6" t="s">
        <v>1233</v>
      </c>
      <c r="D281" s="6">
        <v>673</v>
      </c>
      <c r="E281" s="6" t="s">
        <v>1056</v>
      </c>
      <c r="F281" s="8">
        <f t="shared" si="5"/>
        <v>22577033</v>
      </c>
      <c r="G281" s="8">
        <f>VLOOKUP(A281, localcont!$D$10:$L$1764, 8)</f>
        <v>21233243.888182364</v>
      </c>
      <c r="H281" s="81">
        <f>VLOOKUP(A281, localcont!$D$10:$L$1764, 9)*F281</f>
        <v>21532105.170187544</v>
      </c>
    </row>
    <row r="282" spans="1:8">
      <c r="A282" s="6">
        <v>573</v>
      </c>
      <c r="B282" s="6">
        <v>115</v>
      </c>
      <c r="C282" s="6" t="s">
        <v>1233</v>
      </c>
      <c r="D282" s="6">
        <v>852</v>
      </c>
      <c r="E282" s="6" t="s">
        <v>1107</v>
      </c>
      <c r="F282" s="8">
        <f t="shared" si="5"/>
        <v>22577033</v>
      </c>
      <c r="G282" s="8">
        <f>VLOOKUP(A282, localcont!$D$10:$L$1764, 8)</f>
        <v>1030424.4420409243</v>
      </c>
      <c r="H282" s="81">
        <f>VLOOKUP(A282, localcont!$D$10:$L$1764, 9)*F282</f>
        <v>1044927.8298124565</v>
      </c>
    </row>
    <row r="283" spans="1:8">
      <c r="A283" s="6">
        <v>576</v>
      </c>
      <c r="B283" s="6">
        <v>116</v>
      </c>
      <c r="C283" s="6" t="s">
        <v>1234</v>
      </c>
      <c r="D283" s="6">
        <v>116</v>
      </c>
      <c r="E283" s="6" t="s">
        <v>797</v>
      </c>
      <c r="F283" s="8">
        <f t="shared" si="5"/>
        <v>9888196</v>
      </c>
      <c r="G283" s="8">
        <f>VLOOKUP(A283, localcont!$D$10:$L$1764, 8)</f>
        <v>168603.30000000002</v>
      </c>
      <c r="H283" s="81">
        <f>VLOOKUP(A283, localcont!$D$10:$L$1764, 9)*F283</f>
        <v>136883.56771965729</v>
      </c>
    </row>
    <row r="284" spans="1:8">
      <c r="A284" s="6">
        <v>577</v>
      </c>
      <c r="B284" s="6">
        <v>116</v>
      </c>
      <c r="C284" s="6" t="s">
        <v>1234</v>
      </c>
      <c r="D284" s="6">
        <v>745</v>
      </c>
      <c r="E284" s="6" t="s">
        <v>1077</v>
      </c>
      <c r="F284" s="8">
        <f t="shared" si="5"/>
        <v>9888196</v>
      </c>
      <c r="G284" s="8">
        <f>VLOOKUP(A284, localcont!$D$10:$L$1764, 8)</f>
        <v>11221166.593665866</v>
      </c>
      <c r="H284" s="81">
        <f>VLOOKUP(A284, localcont!$D$10:$L$1764, 9)*F284</f>
        <v>9110102.3367728721</v>
      </c>
    </row>
    <row r="285" spans="1:8">
      <c r="A285" s="6">
        <v>578</v>
      </c>
      <c r="B285" s="6">
        <v>116</v>
      </c>
      <c r="C285" s="6" t="s">
        <v>1234</v>
      </c>
      <c r="D285" s="6">
        <v>885</v>
      </c>
      <c r="E285" s="6" t="s">
        <v>1117</v>
      </c>
      <c r="F285" s="8">
        <f t="shared" si="5"/>
        <v>9888196</v>
      </c>
      <c r="G285" s="8">
        <f>VLOOKUP(A285, localcont!$D$10:$L$1764, 8)</f>
        <v>789796.32030988939</v>
      </c>
      <c r="H285" s="81">
        <f>VLOOKUP(A285, localcont!$D$10:$L$1764, 9)*F285</f>
        <v>641210.09550747147</v>
      </c>
    </row>
    <row r="286" spans="1:8">
      <c r="A286" s="6">
        <v>581</v>
      </c>
      <c r="B286" s="6">
        <v>117</v>
      </c>
      <c r="C286" s="6" t="s">
        <v>1235</v>
      </c>
      <c r="D286" s="6">
        <v>117</v>
      </c>
      <c r="E286" s="6" t="s">
        <v>798</v>
      </c>
      <c r="F286" s="8">
        <f t="shared" si="5"/>
        <v>7740113</v>
      </c>
      <c r="G286" s="8">
        <f>VLOOKUP(A286, localcont!$D$10:$L$1764, 8)</f>
        <v>6210751.3199999984</v>
      </c>
      <c r="H286" s="81">
        <f>VLOOKUP(A286, localcont!$D$10:$L$1764, 9)*F286</f>
        <v>7740113</v>
      </c>
    </row>
    <row r="287" spans="1:8">
      <c r="A287" s="6">
        <v>586</v>
      </c>
      <c r="B287" s="6">
        <v>118</v>
      </c>
      <c r="C287" s="6" t="s">
        <v>1236</v>
      </c>
      <c r="D287" s="6">
        <v>118</v>
      </c>
      <c r="E287" s="6" t="s">
        <v>799</v>
      </c>
      <c r="F287" s="8">
        <f t="shared" si="5"/>
        <v>9322726</v>
      </c>
      <c r="G287" s="8">
        <f>VLOOKUP(A287, localcont!$D$10:$L$1764, 8)</f>
        <v>7511760.5564400004</v>
      </c>
      <c r="H287" s="81">
        <f>VLOOKUP(A287, localcont!$D$10:$L$1764, 9)*F287</f>
        <v>4368409.3896536063</v>
      </c>
    </row>
    <row r="288" spans="1:8">
      <c r="A288" s="6">
        <v>587</v>
      </c>
      <c r="B288" s="6">
        <v>118</v>
      </c>
      <c r="C288" s="6" t="s">
        <v>1236</v>
      </c>
      <c r="D288" s="6">
        <v>760</v>
      </c>
      <c r="E288" s="6" t="s">
        <v>1081</v>
      </c>
      <c r="F288" s="8">
        <f t="shared" si="5"/>
        <v>9322726</v>
      </c>
      <c r="G288" s="8">
        <f>VLOOKUP(A288, localcont!$D$10:$L$1764, 8)</f>
        <v>8519265.6589968987</v>
      </c>
      <c r="H288" s="81">
        <f>VLOOKUP(A288, localcont!$D$10:$L$1764, 9)*F288</f>
        <v>4954316.6103463946</v>
      </c>
    </row>
    <row r="289" spans="1:8">
      <c r="A289" s="6">
        <v>591</v>
      </c>
      <c r="B289" s="6">
        <v>119</v>
      </c>
      <c r="C289" s="6" t="s">
        <v>1237</v>
      </c>
      <c r="D289" s="6">
        <v>119</v>
      </c>
      <c r="E289" s="6" t="s">
        <v>800</v>
      </c>
      <c r="F289" s="8">
        <f t="shared" si="5"/>
        <v>19038790</v>
      </c>
      <c r="G289" s="8">
        <f>VLOOKUP(A289, localcont!$D$10:$L$1764, 8)</f>
        <v>0</v>
      </c>
      <c r="H289" s="81">
        <f>VLOOKUP(A289, localcont!$D$10:$L$1764, 9)*F289</f>
        <v>0</v>
      </c>
    </row>
    <row r="290" spans="1:8">
      <c r="A290" s="6">
        <v>592</v>
      </c>
      <c r="B290" s="6">
        <v>119</v>
      </c>
      <c r="C290" s="6" t="s">
        <v>1237</v>
      </c>
      <c r="D290" s="6">
        <v>675</v>
      </c>
      <c r="E290" s="6" t="s">
        <v>1058</v>
      </c>
      <c r="F290" s="8">
        <f t="shared" si="5"/>
        <v>19038790</v>
      </c>
      <c r="G290" s="8">
        <f>VLOOKUP(A290, localcont!$D$10:$L$1764, 8)</f>
        <v>13486130.259501532</v>
      </c>
      <c r="H290" s="81">
        <f>VLOOKUP(A290, localcont!$D$10:$L$1764, 9)*F290</f>
        <v>18352375.797762372</v>
      </c>
    </row>
    <row r="291" spans="1:8">
      <c r="A291" s="6">
        <v>593</v>
      </c>
      <c r="B291" s="6">
        <v>119</v>
      </c>
      <c r="C291" s="6" t="s">
        <v>1237</v>
      </c>
      <c r="D291" s="6">
        <v>817</v>
      </c>
      <c r="E291" s="6" t="s">
        <v>1097</v>
      </c>
      <c r="F291" s="8">
        <f t="shared" si="5"/>
        <v>19038790</v>
      </c>
      <c r="G291" s="8">
        <f>VLOOKUP(A291, localcont!$D$10:$L$1764, 8)</f>
        <v>504407.24652538839</v>
      </c>
      <c r="H291" s="81">
        <f>VLOOKUP(A291, localcont!$D$10:$L$1764, 9)*F291</f>
        <v>686414.20223762922</v>
      </c>
    </row>
    <row r="292" spans="1:8">
      <c r="A292" s="6">
        <v>596</v>
      </c>
      <c r="B292" s="6">
        <v>120</v>
      </c>
      <c r="C292" s="6" t="s">
        <v>1238</v>
      </c>
      <c r="D292" s="6">
        <v>120</v>
      </c>
      <c r="E292" s="6" t="s">
        <v>801</v>
      </c>
      <c r="F292" s="8">
        <f t="shared" si="5"/>
        <v>6711677</v>
      </c>
      <c r="G292" s="8">
        <f>VLOOKUP(A292, localcont!$D$10:$L$1764, 8)</f>
        <v>0</v>
      </c>
      <c r="H292" s="81">
        <f>VLOOKUP(A292, localcont!$D$10:$L$1764, 9)*F292</f>
        <v>0</v>
      </c>
    </row>
    <row r="293" spans="1:8">
      <c r="A293" s="6">
        <v>597</v>
      </c>
      <c r="B293" s="6">
        <v>120</v>
      </c>
      <c r="C293" s="6" t="s">
        <v>1238</v>
      </c>
      <c r="D293" s="6">
        <v>680</v>
      </c>
      <c r="E293" s="6" t="s">
        <v>1059</v>
      </c>
      <c r="F293" s="8">
        <f t="shared" si="5"/>
        <v>6711677</v>
      </c>
      <c r="G293" s="8">
        <f>VLOOKUP(A293, localcont!$D$10:$L$1764, 8)</f>
        <v>7149072.5503649637</v>
      </c>
      <c r="H293" s="81">
        <f>VLOOKUP(A293, localcont!$D$10:$L$1764, 9)*F293</f>
        <v>6711677</v>
      </c>
    </row>
    <row r="294" spans="1:8">
      <c r="A294" s="6">
        <v>601</v>
      </c>
      <c r="B294" s="6">
        <v>121</v>
      </c>
      <c r="C294" s="6" t="s">
        <v>1239</v>
      </c>
      <c r="D294" s="6">
        <v>121</v>
      </c>
      <c r="E294" s="6" t="s">
        <v>802</v>
      </c>
      <c r="F294" s="8">
        <f t="shared" si="5"/>
        <v>1551697</v>
      </c>
      <c r="G294" s="8">
        <f>VLOOKUP(A294, localcont!$D$10:$L$1764, 8)</f>
        <v>1270682.74</v>
      </c>
      <c r="H294" s="81">
        <f>VLOOKUP(A294, localcont!$D$10:$L$1764, 9)*F294</f>
        <v>1551697</v>
      </c>
    </row>
    <row r="295" spans="1:8">
      <c r="A295" s="6">
        <v>606</v>
      </c>
      <c r="B295" s="6">
        <v>122</v>
      </c>
      <c r="C295" s="6" t="s">
        <v>1240</v>
      </c>
      <c r="D295" s="6">
        <v>122</v>
      </c>
      <c r="E295" s="6" t="s">
        <v>803</v>
      </c>
      <c r="F295" s="8">
        <f t="shared" si="5"/>
        <v>28657137</v>
      </c>
      <c r="G295" s="8">
        <f>VLOOKUP(A295, localcont!$D$10:$L$1764, 8)</f>
        <v>31861566.581689995</v>
      </c>
      <c r="H295" s="81">
        <f>VLOOKUP(A295, localcont!$D$10:$L$1764, 9)*F295</f>
        <v>27230287.890505839</v>
      </c>
    </row>
    <row r="296" spans="1:8">
      <c r="A296" s="6">
        <v>607</v>
      </c>
      <c r="B296" s="6">
        <v>122</v>
      </c>
      <c r="C296" s="6" t="s">
        <v>1240</v>
      </c>
      <c r="D296" s="6">
        <v>873</v>
      </c>
      <c r="E296" s="6" t="s">
        <v>1113</v>
      </c>
      <c r="F296" s="8">
        <f t="shared" si="5"/>
        <v>28657137</v>
      </c>
      <c r="G296" s="8">
        <f>VLOOKUP(A296, localcont!$D$10:$L$1764, 8)</f>
        <v>1669525.055591647</v>
      </c>
      <c r="H296" s="81">
        <f>VLOOKUP(A296, localcont!$D$10:$L$1764, 9)*F296</f>
        <v>1426849.1094941618</v>
      </c>
    </row>
    <row r="297" spans="1:8">
      <c r="A297" s="6">
        <v>611</v>
      </c>
      <c r="B297" s="6">
        <v>123</v>
      </c>
      <c r="C297" s="6" t="s">
        <v>1241</v>
      </c>
      <c r="D297" s="6">
        <v>123</v>
      </c>
      <c r="E297" s="6" t="s">
        <v>804</v>
      </c>
      <c r="F297" s="8">
        <f t="shared" si="5"/>
        <v>13756466</v>
      </c>
      <c r="G297" s="8">
        <f>VLOOKUP(A297, localcont!$D$10:$L$1764, 8)</f>
        <v>101161.98000000001</v>
      </c>
      <c r="H297" s="81">
        <f>VLOOKUP(A297, localcont!$D$10:$L$1764, 9)*F297</f>
        <v>67639.399948748192</v>
      </c>
    </row>
    <row r="298" spans="1:8">
      <c r="A298" s="6">
        <v>612</v>
      </c>
      <c r="B298" s="6">
        <v>123</v>
      </c>
      <c r="C298" s="6" t="s">
        <v>1241</v>
      </c>
      <c r="D298" s="6">
        <v>780</v>
      </c>
      <c r="E298" s="6" t="s">
        <v>1091</v>
      </c>
      <c r="F298" s="8">
        <f t="shared" si="5"/>
        <v>13756466</v>
      </c>
      <c r="G298" s="8">
        <f>VLOOKUP(A298, localcont!$D$10:$L$1764, 8)</f>
        <v>18866191.058510531</v>
      </c>
      <c r="H298" s="81">
        <f>VLOOKUP(A298, localcont!$D$10:$L$1764, 9)*F298</f>
        <v>12614401.601432582</v>
      </c>
    </row>
    <row r="299" spans="1:8">
      <c r="A299" s="6">
        <v>613</v>
      </c>
      <c r="B299" s="6">
        <v>123</v>
      </c>
      <c r="C299" s="6" t="s">
        <v>1241</v>
      </c>
      <c r="D299" s="6">
        <v>873</v>
      </c>
      <c r="E299" s="6" t="s">
        <v>1113</v>
      </c>
      <c r="F299" s="8">
        <f t="shared" si="5"/>
        <v>13756466</v>
      </c>
      <c r="G299" s="8">
        <f>VLOOKUP(A299, localcont!$D$10:$L$1764, 8)</f>
        <v>1606917.8659792878</v>
      </c>
      <c r="H299" s="81">
        <f>VLOOKUP(A299, localcont!$D$10:$L$1764, 9)*F299</f>
        <v>1074424.9986186707</v>
      </c>
    </row>
    <row r="300" spans="1:8">
      <c r="A300" s="6">
        <v>616</v>
      </c>
      <c r="B300" s="6">
        <v>124</v>
      </c>
      <c r="C300" s="6" t="s">
        <v>1242</v>
      </c>
      <c r="D300" s="6">
        <v>124</v>
      </c>
      <c r="E300" s="6" t="s">
        <v>805</v>
      </c>
      <c r="F300" s="8">
        <f t="shared" si="5"/>
        <v>2223394</v>
      </c>
      <c r="G300" s="8">
        <f>VLOOKUP(A300, localcont!$D$10:$L$1764, 8)</f>
        <v>0</v>
      </c>
      <c r="H300" s="81">
        <f>VLOOKUP(A300, localcont!$D$10:$L$1764, 9)*F300</f>
        <v>0</v>
      </c>
    </row>
    <row r="301" spans="1:8">
      <c r="A301" s="6">
        <v>617</v>
      </c>
      <c r="B301" s="6">
        <v>124</v>
      </c>
      <c r="C301" s="6" t="s">
        <v>1242</v>
      </c>
      <c r="D301" s="6">
        <v>753</v>
      </c>
      <c r="E301" s="6" t="s">
        <v>1079</v>
      </c>
      <c r="F301" s="8">
        <f t="shared" si="5"/>
        <v>2223394</v>
      </c>
      <c r="G301" s="8">
        <f>VLOOKUP(A301, localcont!$D$10:$L$1764, 8)</f>
        <v>4484732.1892163064</v>
      </c>
      <c r="H301" s="81">
        <f>VLOOKUP(A301, localcont!$D$10:$L$1764, 9)*F301</f>
        <v>1982578.6534402876</v>
      </c>
    </row>
    <row r="302" spans="1:8">
      <c r="A302" s="6">
        <v>618</v>
      </c>
      <c r="B302" s="6">
        <v>124</v>
      </c>
      <c r="C302" s="6" t="s">
        <v>1242</v>
      </c>
      <c r="D302" s="6">
        <v>860</v>
      </c>
      <c r="E302" s="6" t="s">
        <v>1110</v>
      </c>
      <c r="F302" s="8">
        <f t="shared" si="5"/>
        <v>2223394</v>
      </c>
      <c r="G302" s="8">
        <f>VLOOKUP(A302, localcont!$D$10:$L$1764, 8)</f>
        <v>544741.23107275274</v>
      </c>
      <c r="H302" s="81">
        <f>VLOOKUP(A302, localcont!$D$10:$L$1764, 9)*F302</f>
        <v>240815.34655971243</v>
      </c>
    </row>
    <row r="303" spans="1:8">
      <c r="A303" s="6">
        <v>621</v>
      </c>
      <c r="B303" s="6">
        <v>125</v>
      </c>
      <c r="C303" s="6" t="s">
        <v>1243</v>
      </c>
      <c r="D303" s="6">
        <v>125</v>
      </c>
      <c r="E303" s="6" t="s">
        <v>806</v>
      </c>
      <c r="F303" s="8">
        <f t="shared" si="5"/>
        <v>14039809</v>
      </c>
      <c r="G303" s="8">
        <f>VLOOKUP(A303, localcont!$D$10:$L$1764, 8)</f>
        <v>10978851.09</v>
      </c>
      <c r="H303" s="81">
        <f>VLOOKUP(A303, localcont!$D$10:$L$1764, 9)*F303</f>
        <v>13810426.502832387</v>
      </c>
    </row>
    <row r="304" spans="1:8">
      <c r="A304" s="6">
        <v>622</v>
      </c>
      <c r="B304" s="6">
        <v>125</v>
      </c>
      <c r="C304" s="6" t="s">
        <v>1243</v>
      </c>
      <c r="D304" s="6">
        <v>832</v>
      </c>
      <c r="E304" s="6" t="s">
        <v>1105</v>
      </c>
      <c r="F304" s="8">
        <f t="shared" si="5"/>
        <v>14039809</v>
      </c>
      <c r="G304" s="8">
        <f>VLOOKUP(A304, localcont!$D$10:$L$1764, 8)</f>
        <v>182351.81068007377</v>
      </c>
      <c r="H304" s="81">
        <f>VLOOKUP(A304, localcont!$D$10:$L$1764, 9)*F304</f>
        <v>229382.49716761251</v>
      </c>
    </row>
    <row r="305" spans="1:8">
      <c r="A305" s="6">
        <v>626</v>
      </c>
      <c r="B305" s="6">
        <v>126</v>
      </c>
      <c r="C305" s="6" t="s">
        <v>1244</v>
      </c>
      <c r="D305" s="6">
        <v>126</v>
      </c>
      <c r="E305" s="6" t="s">
        <v>807</v>
      </c>
      <c r="F305" s="8">
        <f t="shared" si="5"/>
        <v>38490886</v>
      </c>
      <c r="G305" s="8">
        <f>VLOOKUP(A305, localcont!$D$10:$L$1764, 8)</f>
        <v>0</v>
      </c>
      <c r="H305" s="81">
        <f>VLOOKUP(A305, localcont!$D$10:$L$1764, 9)*F305</f>
        <v>0</v>
      </c>
    </row>
    <row r="306" spans="1:8">
      <c r="A306" s="6">
        <v>627</v>
      </c>
      <c r="B306" s="6">
        <v>126</v>
      </c>
      <c r="C306" s="6" t="s">
        <v>1244</v>
      </c>
      <c r="D306" s="6">
        <v>712</v>
      </c>
      <c r="E306" s="6" t="s">
        <v>1068</v>
      </c>
      <c r="F306" s="8">
        <f t="shared" si="5"/>
        <v>38490886</v>
      </c>
      <c r="G306" s="8">
        <f>VLOOKUP(A306, localcont!$D$10:$L$1764, 8)</f>
        <v>18584300.130816855</v>
      </c>
      <c r="H306" s="81">
        <f>VLOOKUP(A306, localcont!$D$10:$L$1764, 9)*F306</f>
        <v>35298822.931416743</v>
      </c>
    </row>
    <row r="307" spans="1:8">
      <c r="A307" s="6">
        <v>628</v>
      </c>
      <c r="B307" s="6">
        <v>126</v>
      </c>
      <c r="C307" s="6" t="s">
        <v>1244</v>
      </c>
      <c r="D307" s="6">
        <v>815</v>
      </c>
      <c r="E307" s="6" t="s">
        <v>1096</v>
      </c>
      <c r="F307" s="8">
        <f t="shared" si="5"/>
        <v>38490886</v>
      </c>
      <c r="G307" s="8">
        <f>VLOOKUP(A307, localcont!$D$10:$L$1764, 8)</f>
        <v>1680573.2649586257</v>
      </c>
      <c r="H307" s="81">
        <f>VLOOKUP(A307, localcont!$D$10:$L$1764, 9)*F307</f>
        <v>3192063.0685832547</v>
      </c>
    </row>
    <row r="308" spans="1:8">
      <c r="A308" s="6">
        <v>631</v>
      </c>
      <c r="B308" s="6">
        <v>127</v>
      </c>
      <c r="C308" s="6" t="s">
        <v>1245</v>
      </c>
      <c r="D308" s="6">
        <v>127</v>
      </c>
      <c r="E308" s="6" t="s">
        <v>808</v>
      </c>
      <c r="F308" s="8">
        <f t="shared" si="5"/>
        <v>4672646</v>
      </c>
      <c r="G308" s="8">
        <f>VLOOKUP(A308, localcont!$D$10:$L$1764, 8)</f>
        <v>4167872.81</v>
      </c>
      <c r="H308" s="81">
        <f>VLOOKUP(A308, localcont!$D$10:$L$1764, 9)*F308</f>
        <v>4672646</v>
      </c>
    </row>
    <row r="309" spans="1:8">
      <c r="A309" s="6">
        <v>636</v>
      </c>
      <c r="B309" s="6">
        <v>128</v>
      </c>
      <c r="C309" s="6" t="s">
        <v>1246</v>
      </c>
      <c r="D309" s="6">
        <v>128</v>
      </c>
      <c r="E309" s="6" t="s">
        <v>809</v>
      </c>
      <c r="F309" s="8">
        <f t="shared" si="5"/>
        <v>67890747</v>
      </c>
      <c r="G309" s="8">
        <f>VLOOKUP(A309, localcont!$D$10:$L$1764, 8)</f>
        <v>140921702.34</v>
      </c>
      <c r="H309" s="81">
        <f>VLOOKUP(A309, localcont!$D$10:$L$1764, 9)*F309</f>
        <v>60146727.629217267</v>
      </c>
    </row>
    <row r="310" spans="1:8">
      <c r="A310" s="6">
        <v>637</v>
      </c>
      <c r="B310" s="6">
        <v>128</v>
      </c>
      <c r="C310" s="6" t="s">
        <v>1246</v>
      </c>
      <c r="D310" s="6">
        <v>885</v>
      </c>
      <c r="E310" s="6" t="s">
        <v>1117</v>
      </c>
      <c r="F310" s="8">
        <f t="shared" si="5"/>
        <v>67890747</v>
      </c>
      <c r="G310" s="8">
        <f>VLOOKUP(A310, localcont!$D$10:$L$1764, 8)</f>
        <v>18143969.51754564</v>
      </c>
      <c r="H310" s="81">
        <f>VLOOKUP(A310, localcont!$D$10:$L$1764, 9)*F310</f>
        <v>7744019.370782732</v>
      </c>
    </row>
    <row r="311" spans="1:8">
      <c r="A311" s="6">
        <v>641</v>
      </c>
      <c r="B311" s="6">
        <v>129</v>
      </c>
      <c r="C311" s="6" t="s">
        <v>1247</v>
      </c>
      <c r="D311" s="6">
        <v>129</v>
      </c>
      <c r="E311" s="6" t="s">
        <v>810</v>
      </c>
      <c r="F311" s="8">
        <f t="shared" si="5"/>
        <v>335848</v>
      </c>
      <c r="G311" s="8">
        <f>VLOOKUP(A311, localcont!$D$10:$L$1764, 8)</f>
        <v>67441.320000000007</v>
      </c>
      <c r="H311" s="81">
        <f>VLOOKUP(A311, localcont!$D$10:$L$1764, 9)*F311</f>
        <v>62947.471755029976</v>
      </c>
    </row>
    <row r="312" spans="1:8">
      <c r="A312" s="6">
        <v>642</v>
      </c>
      <c r="B312" s="6">
        <v>129</v>
      </c>
      <c r="C312" s="6" t="s">
        <v>1247</v>
      </c>
      <c r="D312" s="6">
        <v>685</v>
      </c>
      <c r="E312" s="6" t="s">
        <v>1061</v>
      </c>
      <c r="F312" s="8">
        <f t="shared" si="5"/>
        <v>335848</v>
      </c>
      <c r="G312" s="8">
        <f>VLOOKUP(A312, localcont!$D$10:$L$1764, 8)</f>
        <v>146113.10750000001</v>
      </c>
      <c r="H312" s="81">
        <f>VLOOKUP(A312, localcont!$D$10:$L$1764, 9)*F312</f>
        <v>136377.0861453469</v>
      </c>
    </row>
    <row r="313" spans="1:8">
      <c r="A313" s="6">
        <v>643</v>
      </c>
      <c r="B313" s="6">
        <v>129</v>
      </c>
      <c r="C313" s="6" t="s">
        <v>1247</v>
      </c>
      <c r="D313" s="6">
        <v>717</v>
      </c>
      <c r="E313" s="6" t="s">
        <v>1070</v>
      </c>
      <c r="F313" s="8">
        <f t="shared" si="5"/>
        <v>335848</v>
      </c>
      <c r="G313" s="8">
        <f>VLOOKUP(A313, localcont!$D$10:$L$1764, 8)</f>
        <v>146269.91187150293</v>
      </c>
      <c r="H313" s="81">
        <f>VLOOKUP(A313, localcont!$D$10:$L$1764, 9)*F313</f>
        <v>136523.44209962309</v>
      </c>
    </row>
    <row r="314" spans="1:8">
      <c r="A314" s="6">
        <v>646</v>
      </c>
      <c r="B314" s="6">
        <v>130</v>
      </c>
      <c r="C314" s="6" t="s">
        <v>1248</v>
      </c>
      <c r="D314" s="6">
        <v>130</v>
      </c>
      <c r="E314" s="6" t="s">
        <v>811</v>
      </c>
      <c r="F314" s="8">
        <f t="shared" si="5"/>
        <v>601635</v>
      </c>
      <c r="G314" s="8">
        <f>VLOOKUP(A314, localcont!$D$10:$L$1764, 8)</f>
        <v>0</v>
      </c>
      <c r="H314" s="81">
        <f>VLOOKUP(A314, localcont!$D$10:$L$1764, 9)*F314</f>
        <v>0</v>
      </c>
    </row>
    <row r="315" spans="1:8">
      <c r="A315" s="6">
        <v>647</v>
      </c>
      <c r="B315" s="6">
        <v>130</v>
      </c>
      <c r="C315" s="6" t="s">
        <v>1248</v>
      </c>
      <c r="D315" s="6">
        <v>717</v>
      </c>
      <c r="E315" s="6" t="s">
        <v>1070</v>
      </c>
      <c r="F315" s="8">
        <f t="shared" si="5"/>
        <v>601635</v>
      </c>
      <c r="G315" s="8">
        <f>VLOOKUP(A315, localcont!$D$10:$L$1764, 8)</f>
        <v>1184786.2857475702</v>
      </c>
      <c r="H315" s="81">
        <f>VLOOKUP(A315, localcont!$D$10:$L$1764, 9)*F315</f>
        <v>500142.17506796913</v>
      </c>
    </row>
    <row r="316" spans="1:8">
      <c r="A316" s="6">
        <v>648</v>
      </c>
      <c r="B316" s="6">
        <v>130</v>
      </c>
      <c r="C316" s="6" t="s">
        <v>1248</v>
      </c>
      <c r="D316" s="6">
        <v>818</v>
      </c>
      <c r="E316" s="6" t="s">
        <v>1098</v>
      </c>
      <c r="F316" s="8">
        <f t="shared" si="5"/>
        <v>601635</v>
      </c>
      <c r="G316" s="8">
        <f>VLOOKUP(A316, localcont!$D$10:$L$1764, 8)</f>
        <v>240426.24892593321</v>
      </c>
      <c r="H316" s="81">
        <f>VLOOKUP(A316, localcont!$D$10:$L$1764, 9)*F316</f>
        <v>101492.82493203084</v>
      </c>
    </row>
    <row r="317" spans="1:8">
      <c r="A317" s="6">
        <v>651</v>
      </c>
      <c r="B317" s="6">
        <v>131</v>
      </c>
      <c r="C317" s="6" t="s">
        <v>1249</v>
      </c>
      <c r="D317" s="6">
        <v>131</v>
      </c>
      <c r="E317" s="6" t="s">
        <v>812</v>
      </c>
      <c r="F317" s="8">
        <f t="shared" si="5"/>
        <v>98686392</v>
      </c>
      <c r="G317" s="8">
        <f>VLOOKUP(A317, localcont!$D$10:$L$1764, 8)</f>
        <v>45884665.988949992</v>
      </c>
      <c r="H317" s="81">
        <f>VLOOKUP(A317, localcont!$D$10:$L$1764, 9)*F317</f>
        <v>98686392</v>
      </c>
    </row>
    <row r="318" spans="1:8">
      <c r="A318" s="6">
        <v>656</v>
      </c>
      <c r="B318" s="6">
        <v>132</v>
      </c>
      <c r="C318" s="6" t="s">
        <v>1250</v>
      </c>
      <c r="D318" s="6">
        <v>132</v>
      </c>
      <c r="E318" s="6" t="s">
        <v>813</v>
      </c>
      <c r="F318" s="8">
        <f t="shared" si="5"/>
        <v>2667054</v>
      </c>
      <c r="G318" s="8">
        <f>VLOOKUP(A318, localcont!$D$10:$L$1764, 8)</f>
        <v>168603.30000000002</v>
      </c>
      <c r="H318" s="81">
        <f>VLOOKUP(A318, localcont!$D$10:$L$1764, 9)*F318</f>
        <v>145962.7843062669</v>
      </c>
    </row>
    <row r="319" spans="1:8">
      <c r="A319" s="6">
        <v>657</v>
      </c>
      <c r="B319" s="6">
        <v>132</v>
      </c>
      <c r="C319" s="6" t="s">
        <v>1250</v>
      </c>
      <c r="D319" s="6">
        <v>635</v>
      </c>
      <c r="E319" s="6" t="s">
        <v>1045</v>
      </c>
      <c r="F319" s="8">
        <f t="shared" si="5"/>
        <v>2667054</v>
      </c>
      <c r="G319" s="8">
        <f>VLOOKUP(A319, localcont!$D$10:$L$1764, 8)</f>
        <v>2912141.6160100284</v>
      </c>
      <c r="H319" s="81">
        <f>VLOOKUP(A319, localcont!$D$10:$L$1764, 9)*F319</f>
        <v>2521091.2156937332</v>
      </c>
    </row>
    <row r="320" spans="1:8">
      <c r="A320" s="6">
        <v>661</v>
      </c>
      <c r="B320" s="6">
        <v>133</v>
      </c>
      <c r="C320" s="6" t="s">
        <v>1251</v>
      </c>
      <c r="D320" s="6">
        <v>133</v>
      </c>
      <c r="E320" s="6" t="s">
        <v>814</v>
      </c>
      <c r="F320" s="8">
        <f t="shared" si="5"/>
        <v>12559642</v>
      </c>
      <c r="G320" s="8">
        <f>VLOOKUP(A320, localcont!$D$10:$L$1764, 8)</f>
        <v>21278519.472400002</v>
      </c>
      <c r="H320" s="81">
        <f>VLOOKUP(A320, localcont!$D$10:$L$1764, 9)*F320</f>
        <v>11171096.009260846</v>
      </c>
    </row>
    <row r="321" spans="1:8">
      <c r="A321" s="6">
        <v>662</v>
      </c>
      <c r="B321" s="6">
        <v>133</v>
      </c>
      <c r="C321" s="6" t="s">
        <v>1251</v>
      </c>
      <c r="D321" s="6">
        <v>806</v>
      </c>
      <c r="E321" s="6" t="s">
        <v>1094</v>
      </c>
      <c r="F321" s="8">
        <f t="shared" si="5"/>
        <v>12559642</v>
      </c>
      <c r="G321" s="8">
        <f>VLOOKUP(A321, localcont!$D$10:$L$1764, 8)</f>
        <v>2446663.7597673712</v>
      </c>
      <c r="H321" s="81">
        <f>VLOOKUP(A321, localcont!$D$10:$L$1764, 9)*F321</f>
        <v>1284483.903976128</v>
      </c>
    </row>
    <row r="322" spans="1:8">
      <c r="A322" s="6">
        <v>663</v>
      </c>
      <c r="B322" s="6">
        <v>133</v>
      </c>
      <c r="C322" s="6" t="s">
        <v>1251</v>
      </c>
      <c r="D322" s="6">
        <v>915</v>
      </c>
      <c r="E322" s="6" t="s">
        <v>1119</v>
      </c>
      <c r="F322" s="8">
        <f t="shared" si="5"/>
        <v>12559642</v>
      </c>
      <c r="G322" s="8">
        <f>VLOOKUP(A322, localcont!$D$10:$L$1764, 8)</f>
        <v>198215.74693208101</v>
      </c>
      <c r="H322" s="81">
        <f>VLOOKUP(A322, localcont!$D$10:$L$1764, 9)*F322</f>
        <v>104062.08676302602</v>
      </c>
    </row>
    <row r="323" spans="1:8">
      <c r="A323" s="6">
        <v>666</v>
      </c>
      <c r="B323" s="6">
        <v>134</v>
      </c>
      <c r="C323" s="6" t="s">
        <v>1252</v>
      </c>
      <c r="D323" s="6">
        <v>134</v>
      </c>
      <c r="E323" s="6" t="s">
        <v>815</v>
      </c>
      <c r="F323" s="8">
        <f t="shared" si="5"/>
        <v>27638810</v>
      </c>
      <c r="G323" s="8">
        <f>VLOOKUP(A323, localcont!$D$10:$L$1764, 8)</f>
        <v>33720.660000000003</v>
      </c>
      <c r="H323" s="81">
        <f>VLOOKUP(A323, localcont!$D$10:$L$1764, 9)*F323</f>
        <v>21342.378007168809</v>
      </c>
    </row>
    <row r="324" spans="1:8">
      <c r="A324" s="6">
        <v>667</v>
      </c>
      <c r="B324" s="6">
        <v>134</v>
      </c>
      <c r="C324" s="6" t="s">
        <v>1252</v>
      </c>
      <c r="D324" s="6">
        <v>775</v>
      </c>
      <c r="E324" s="6" t="s">
        <v>1089</v>
      </c>
      <c r="F324" s="8">
        <f t="shared" si="5"/>
        <v>27638810</v>
      </c>
      <c r="G324" s="8">
        <f>VLOOKUP(A324, localcont!$D$10:$L$1764, 8)</f>
        <v>40636539.975623816</v>
      </c>
      <c r="H324" s="81">
        <f>VLOOKUP(A324, localcont!$D$10:$L$1764, 9)*F324</f>
        <v>25719555.817210864</v>
      </c>
    </row>
    <row r="325" spans="1:8">
      <c r="A325" s="6">
        <v>668</v>
      </c>
      <c r="B325" s="6">
        <v>134</v>
      </c>
      <c r="C325" s="6" t="s">
        <v>1252</v>
      </c>
      <c r="D325" s="6">
        <v>832</v>
      </c>
      <c r="E325" s="6" t="s">
        <v>1105</v>
      </c>
      <c r="F325" s="8">
        <f t="shared" si="5"/>
        <v>27638810</v>
      </c>
      <c r="G325" s="8">
        <f>VLOOKUP(A325, localcont!$D$10:$L$1764, 8)</f>
        <v>2998674.2179124686</v>
      </c>
      <c r="H325" s="81">
        <f>VLOOKUP(A325, localcont!$D$10:$L$1764, 9)*F325</f>
        <v>1897911.8047819701</v>
      </c>
    </row>
    <row r="326" spans="1:8">
      <c r="A326" s="6">
        <v>671</v>
      </c>
      <c r="B326" s="6">
        <v>135</v>
      </c>
      <c r="C326" s="6" t="s">
        <v>1253</v>
      </c>
      <c r="D326" s="6">
        <v>135</v>
      </c>
      <c r="E326" s="6" t="s">
        <v>816</v>
      </c>
      <c r="F326" s="8">
        <f t="shared" si="5"/>
        <v>2980217</v>
      </c>
      <c r="G326" s="8">
        <f>VLOOKUP(A326, localcont!$D$10:$L$1764, 8)</f>
        <v>2372741.1</v>
      </c>
      <c r="H326" s="81">
        <f>VLOOKUP(A326, localcont!$D$10:$L$1764, 9)*F326</f>
        <v>1611410.5317238506</v>
      </c>
    </row>
    <row r="327" spans="1:8">
      <c r="A327" s="6">
        <v>672</v>
      </c>
      <c r="B327" s="6">
        <v>135</v>
      </c>
      <c r="C327" s="6" t="s">
        <v>1253</v>
      </c>
      <c r="D327" s="6">
        <v>770</v>
      </c>
      <c r="E327" s="6" t="s">
        <v>1086</v>
      </c>
      <c r="F327" s="8">
        <f t="shared" si="5"/>
        <v>2980217</v>
      </c>
      <c r="G327" s="8">
        <f>VLOOKUP(A327, localcont!$D$10:$L$1764, 8)</f>
        <v>2015515.7865017913</v>
      </c>
      <c r="H327" s="81">
        <f>VLOOKUP(A327, localcont!$D$10:$L$1764, 9)*F327</f>
        <v>1368806.4682761496</v>
      </c>
    </row>
    <row r="328" spans="1:8">
      <c r="A328" s="6">
        <v>676</v>
      </c>
      <c r="B328" s="6">
        <v>136</v>
      </c>
      <c r="C328" s="6" t="s">
        <v>1254</v>
      </c>
      <c r="D328" s="6">
        <v>136</v>
      </c>
      <c r="E328" s="6" t="s">
        <v>817</v>
      </c>
      <c r="F328" s="8">
        <f t="shared" si="5"/>
        <v>29711218</v>
      </c>
      <c r="G328" s="8">
        <f>VLOOKUP(A328, localcont!$D$10:$L$1764, 8)</f>
        <v>33400106.240699988</v>
      </c>
      <c r="H328" s="81">
        <f>VLOOKUP(A328, localcont!$D$10:$L$1764, 9)*F328</f>
        <v>28067234.961106181</v>
      </c>
    </row>
    <row r="329" spans="1:8">
      <c r="A329" s="6">
        <v>677</v>
      </c>
      <c r="B329" s="6">
        <v>136</v>
      </c>
      <c r="C329" s="6" t="s">
        <v>1254</v>
      </c>
      <c r="D329" s="6">
        <v>829</v>
      </c>
      <c r="E329" s="6" t="s">
        <v>1103</v>
      </c>
      <c r="F329" s="8">
        <f t="shared" si="5"/>
        <v>29711218</v>
      </c>
      <c r="G329" s="8">
        <f>VLOOKUP(A329, localcont!$D$10:$L$1764, 8)</f>
        <v>1956345.4766047308</v>
      </c>
      <c r="H329" s="81">
        <f>VLOOKUP(A329, localcont!$D$10:$L$1764, 9)*F329</f>
        <v>1643983.0388938149</v>
      </c>
    </row>
    <row r="330" spans="1:8">
      <c r="A330" s="6">
        <v>681</v>
      </c>
      <c r="B330" s="6">
        <v>137</v>
      </c>
      <c r="C330" s="6" t="s">
        <v>1255</v>
      </c>
      <c r="D330" s="6">
        <v>137</v>
      </c>
      <c r="E330" s="6" t="s">
        <v>818</v>
      </c>
      <c r="F330" s="8">
        <f t="shared" si="5"/>
        <v>22122835</v>
      </c>
      <c r="G330" s="8">
        <f>VLOOKUP(A330, localcont!$D$10:$L$1764, 8)</f>
        <v>114374878.07000002</v>
      </c>
      <c r="H330" s="81">
        <f>VLOOKUP(A330, localcont!$D$10:$L$1764, 9)*F330</f>
        <v>22122835</v>
      </c>
    </row>
    <row r="331" spans="1:8">
      <c r="A331" s="6">
        <v>686</v>
      </c>
      <c r="B331" s="6">
        <v>138</v>
      </c>
      <c r="C331" s="6" t="s">
        <v>1256</v>
      </c>
      <c r="D331" s="6">
        <v>138</v>
      </c>
      <c r="E331" s="6" t="s">
        <v>819</v>
      </c>
      <c r="F331" s="8">
        <f t="shared" ref="F331:F394" si="6">VLOOKUP(B331, town351, 7)</f>
        <v>7852610</v>
      </c>
      <c r="G331" s="8">
        <f>VLOOKUP(A331, localcont!$D$10:$L$1764, 8)</f>
        <v>11657637.4</v>
      </c>
      <c r="H331" s="81">
        <f>VLOOKUP(A331, localcont!$D$10:$L$1764, 9)*F331</f>
        <v>7023937.9172548642</v>
      </c>
    </row>
    <row r="332" spans="1:8">
      <c r="A332" s="6">
        <v>687</v>
      </c>
      <c r="B332" s="6">
        <v>138</v>
      </c>
      <c r="C332" s="6" t="s">
        <v>1256</v>
      </c>
      <c r="D332" s="6">
        <v>805</v>
      </c>
      <c r="E332" s="6" t="s">
        <v>1093</v>
      </c>
      <c r="F332" s="8">
        <f t="shared" si="6"/>
        <v>7852610</v>
      </c>
      <c r="G332" s="8">
        <f>VLOOKUP(A332, localcont!$D$10:$L$1764, 8)</f>
        <v>1375347.9569365412</v>
      </c>
      <c r="H332" s="81">
        <f>VLOOKUP(A332, localcont!$D$10:$L$1764, 9)*F332</f>
        <v>828672.08274513518</v>
      </c>
    </row>
    <row r="333" spans="1:8">
      <c r="A333" s="6">
        <v>691</v>
      </c>
      <c r="B333" s="6">
        <v>139</v>
      </c>
      <c r="C333" s="6" t="s">
        <v>1257</v>
      </c>
      <c r="D333" s="6">
        <v>139</v>
      </c>
      <c r="E333" s="6" t="s">
        <v>820</v>
      </c>
      <c r="F333" s="8">
        <f t="shared" si="6"/>
        <v>51940778</v>
      </c>
      <c r="G333" s="8">
        <f>VLOOKUP(A333, localcont!$D$10:$L$1764, 8)</f>
        <v>52668757.257279992</v>
      </c>
      <c r="H333" s="81">
        <f>VLOOKUP(A333, localcont!$D$10:$L$1764, 9)*F333</f>
        <v>51343368.542526968</v>
      </c>
    </row>
    <row r="334" spans="1:8">
      <c r="A334" s="6">
        <v>692</v>
      </c>
      <c r="B334" s="6">
        <v>139</v>
      </c>
      <c r="C334" s="6" t="s">
        <v>1257</v>
      </c>
      <c r="D334" s="6">
        <v>829</v>
      </c>
      <c r="E334" s="6" t="s">
        <v>1103</v>
      </c>
      <c r="F334" s="8">
        <f t="shared" si="6"/>
        <v>51940778</v>
      </c>
      <c r="G334" s="8">
        <f>VLOOKUP(A334, localcont!$D$10:$L$1764, 8)</f>
        <v>612831.11319017829</v>
      </c>
      <c r="H334" s="81">
        <f>VLOOKUP(A334, localcont!$D$10:$L$1764, 9)*F334</f>
        <v>597409.45747303055</v>
      </c>
    </row>
    <row r="335" spans="1:8">
      <c r="A335" s="6">
        <v>696</v>
      </c>
      <c r="B335" s="6">
        <v>140</v>
      </c>
      <c r="C335" s="6" t="s">
        <v>1258</v>
      </c>
      <c r="D335" s="6">
        <v>140</v>
      </c>
      <c r="E335" s="6" t="s">
        <v>821</v>
      </c>
      <c r="F335" s="8">
        <f t="shared" si="6"/>
        <v>5081508</v>
      </c>
      <c r="G335" s="8">
        <f>VLOOKUP(A335, localcont!$D$10:$L$1764, 8)</f>
        <v>0</v>
      </c>
      <c r="H335" s="81">
        <f>VLOOKUP(A335, localcont!$D$10:$L$1764, 9)*F335</f>
        <v>0</v>
      </c>
    </row>
    <row r="336" spans="1:8">
      <c r="A336" s="6">
        <v>697</v>
      </c>
      <c r="B336" s="6">
        <v>140</v>
      </c>
      <c r="C336" s="6" t="s">
        <v>1258</v>
      </c>
      <c r="D336" s="6">
        <v>753</v>
      </c>
      <c r="E336" s="6" t="s">
        <v>1079</v>
      </c>
      <c r="F336" s="8">
        <f t="shared" si="6"/>
        <v>5081508</v>
      </c>
      <c r="G336" s="8">
        <f>VLOOKUP(A336, localcont!$D$10:$L$1764, 8)</f>
        <v>8050233.5573123097</v>
      </c>
      <c r="H336" s="81">
        <f>VLOOKUP(A336, localcont!$D$10:$L$1764, 9)*F336</f>
        <v>4702750.6896666829</v>
      </c>
    </row>
    <row r="337" spans="1:8">
      <c r="A337" s="6">
        <v>698</v>
      </c>
      <c r="B337" s="6">
        <v>140</v>
      </c>
      <c r="C337" s="6" t="s">
        <v>1258</v>
      </c>
      <c r="D337" s="6">
        <v>832</v>
      </c>
      <c r="E337" s="6" t="s">
        <v>1105</v>
      </c>
      <c r="F337" s="8">
        <f t="shared" si="6"/>
        <v>5081508</v>
      </c>
      <c r="G337" s="8">
        <f>VLOOKUP(A337, localcont!$D$10:$L$1764, 8)</f>
        <v>648361.99299749441</v>
      </c>
      <c r="H337" s="81">
        <f>VLOOKUP(A337, localcont!$D$10:$L$1764, 9)*F337</f>
        <v>378757.31033331831</v>
      </c>
    </row>
    <row r="338" spans="1:8">
      <c r="A338" s="6">
        <v>701</v>
      </c>
      <c r="B338" s="6">
        <v>141</v>
      </c>
      <c r="C338" s="6" t="s">
        <v>1259</v>
      </c>
      <c r="D338" s="6">
        <v>141</v>
      </c>
      <c r="E338" s="6" t="s">
        <v>822</v>
      </c>
      <c r="F338" s="8">
        <f t="shared" si="6"/>
        <v>27791240</v>
      </c>
      <c r="G338" s="8">
        <f>VLOOKUP(A338, localcont!$D$10:$L$1764, 8)</f>
        <v>35386035.233459994</v>
      </c>
      <c r="H338" s="81">
        <f>VLOOKUP(A338, localcont!$D$10:$L$1764, 9)*F338</f>
        <v>24705298.414538637</v>
      </c>
    </row>
    <row r="339" spans="1:8">
      <c r="A339" s="6">
        <v>702</v>
      </c>
      <c r="B339" s="6">
        <v>141</v>
      </c>
      <c r="C339" s="6" t="s">
        <v>1259</v>
      </c>
      <c r="D339" s="6">
        <v>801</v>
      </c>
      <c r="E339" s="6" t="s">
        <v>1092</v>
      </c>
      <c r="F339" s="8">
        <f t="shared" si="6"/>
        <v>27791240</v>
      </c>
      <c r="G339" s="8">
        <f>VLOOKUP(A339, localcont!$D$10:$L$1764, 8)</f>
        <v>4420073.6149486573</v>
      </c>
      <c r="H339" s="81">
        <f>VLOOKUP(A339, localcont!$D$10:$L$1764, 9)*F339</f>
        <v>3085941.5854613613</v>
      </c>
    </row>
    <row r="340" spans="1:8">
      <c r="A340" s="6">
        <v>706</v>
      </c>
      <c r="B340" s="6">
        <v>142</v>
      </c>
      <c r="C340" s="6" t="s">
        <v>1260</v>
      </c>
      <c r="D340" s="6">
        <v>142</v>
      </c>
      <c r="E340" s="6" t="s">
        <v>823</v>
      </c>
      <c r="F340" s="8">
        <f t="shared" si="6"/>
        <v>19787044</v>
      </c>
      <c r="G340" s="8">
        <f>VLOOKUP(A340, localcont!$D$10:$L$1764, 8)</f>
        <v>10813118.211879998</v>
      </c>
      <c r="H340" s="81">
        <f>VLOOKUP(A340, localcont!$D$10:$L$1764, 9)*F340</f>
        <v>19787044</v>
      </c>
    </row>
    <row r="341" spans="1:8">
      <c r="A341" s="6">
        <v>711</v>
      </c>
      <c r="B341" s="6">
        <v>143</v>
      </c>
      <c r="C341" s="6" t="s">
        <v>1261</v>
      </c>
      <c r="D341" s="6">
        <v>143</v>
      </c>
      <c r="E341" s="6" t="s">
        <v>824</v>
      </c>
      <c r="F341" s="8">
        <f t="shared" si="6"/>
        <v>2073832</v>
      </c>
      <c r="G341" s="8">
        <f>VLOOKUP(A341, localcont!$D$10:$L$1764, 8)</f>
        <v>686499.45000000007</v>
      </c>
      <c r="H341" s="81">
        <f>VLOOKUP(A341, localcont!$D$10:$L$1764, 9)*F341</f>
        <v>293992.92456846009</v>
      </c>
    </row>
    <row r="342" spans="1:8">
      <c r="A342" s="6">
        <v>712</v>
      </c>
      <c r="B342" s="6">
        <v>143</v>
      </c>
      <c r="C342" s="6" t="s">
        <v>1261</v>
      </c>
      <c r="D342" s="6">
        <v>672</v>
      </c>
      <c r="E342" s="6" t="s">
        <v>1055</v>
      </c>
      <c r="F342" s="8">
        <f t="shared" si="6"/>
        <v>2073832</v>
      </c>
      <c r="G342" s="8">
        <f>VLOOKUP(A342, localcont!$D$10:$L$1764, 8)</f>
        <v>4156081.470891777</v>
      </c>
      <c r="H342" s="81">
        <f>VLOOKUP(A342, localcont!$D$10:$L$1764, 9)*F342</f>
        <v>1779839.0754315401</v>
      </c>
    </row>
    <row r="343" spans="1:8">
      <c r="A343" s="6">
        <v>716</v>
      </c>
      <c r="B343" s="6">
        <v>144</v>
      </c>
      <c r="C343" s="6" t="s">
        <v>1262</v>
      </c>
      <c r="D343" s="6">
        <v>144</v>
      </c>
      <c r="E343" s="6" t="s">
        <v>825</v>
      </c>
      <c r="F343" s="8">
        <f t="shared" si="6"/>
        <v>30314868</v>
      </c>
      <c r="G343" s="8">
        <f>VLOOKUP(A343, localcont!$D$10:$L$1764, 8)</f>
        <v>21036885.203640003</v>
      </c>
      <c r="H343" s="81">
        <f>VLOOKUP(A343, localcont!$D$10:$L$1764, 9)*F343</f>
        <v>29506492.222039249</v>
      </c>
    </row>
    <row r="344" spans="1:8">
      <c r="A344" s="6">
        <v>717</v>
      </c>
      <c r="B344" s="6">
        <v>144</v>
      </c>
      <c r="C344" s="6" t="s">
        <v>1262</v>
      </c>
      <c r="D344" s="6">
        <v>885</v>
      </c>
      <c r="E344" s="6" t="s">
        <v>1117</v>
      </c>
      <c r="F344" s="8">
        <f t="shared" si="6"/>
        <v>30314868</v>
      </c>
      <c r="G344" s="8">
        <f>VLOOKUP(A344, localcont!$D$10:$L$1764, 8)</f>
        <v>576337.85522162274</v>
      </c>
      <c r="H344" s="81">
        <f>VLOOKUP(A344, localcont!$D$10:$L$1764, 9)*F344</f>
        <v>808375.7779607554</v>
      </c>
    </row>
    <row r="345" spans="1:8">
      <c r="A345" s="6">
        <v>721</v>
      </c>
      <c r="B345" s="6">
        <v>145</v>
      </c>
      <c r="C345" s="6" t="s">
        <v>1263</v>
      </c>
      <c r="D345" s="6">
        <v>145</v>
      </c>
      <c r="E345" s="6" t="s">
        <v>826</v>
      </c>
      <c r="F345" s="8">
        <f t="shared" si="6"/>
        <v>20816624</v>
      </c>
      <c r="G345" s="8">
        <f>VLOOKUP(A345, localcont!$D$10:$L$1764, 8)</f>
        <v>14866128.19836</v>
      </c>
      <c r="H345" s="81">
        <f>VLOOKUP(A345, localcont!$D$10:$L$1764, 9)*F345</f>
        <v>10224251.994602434</v>
      </c>
    </row>
    <row r="346" spans="1:8">
      <c r="A346" s="6">
        <v>722</v>
      </c>
      <c r="B346" s="6">
        <v>145</v>
      </c>
      <c r="C346" s="6" t="s">
        <v>1263</v>
      </c>
      <c r="D346" s="6">
        <v>760</v>
      </c>
      <c r="E346" s="6" t="s">
        <v>1081</v>
      </c>
      <c r="F346" s="8">
        <f t="shared" si="6"/>
        <v>20816624</v>
      </c>
      <c r="G346" s="8">
        <f>VLOOKUP(A346, localcont!$D$10:$L$1764, 8)</f>
        <v>15401377.06309369</v>
      </c>
      <c r="H346" s="81">
        <f>VLOOKUP(A346, localcont!$D$10:$L$1764, 9)*F346</f>
        <v>10592372.005397568</v>
      </c>
    </row>
    <row r="347" spans="1:8">
      <c r="A347" s="6">
        <v>726</v>
      </c>
      <c r="B347" s="6">
        <v>146</v>
      </c>
      <c r="C347" s="6" t="s">
        <v>1264</v>
      </c>
      <c r="D347" s="6">
        <v>146</v>
      </c>
      <c r="E347" s="6" t="s">
        <v>827</v>
      </c>
      <c r="F347" s="8">
        <f t="shared" si="6"/>
        <v>18101912</v>
      </c>
      <c r="G347" s="8">
        <f>VLOOKUP(A347, localcont!$D$10:$L$1764, 8)</f>
        <v>267378.24</v>
      </c>
      <c r="H347" s="81">
        <f>VLOOKUP(A347, localcont!$D$10:$L$1764, 9)*F347</f>
        <v>205477.88877214922</v>
      </c>
    </row>
    <row r="348" spans="1:8">
      <c r="A348" s="6">
        <v>727</v>
      </c>
      <c r="B348" s="6">
        <v>146</v>
      </c>
      <c r="C348" s="6" t="s">
        <v>1264</v>
      </c>
      <c r="D348" s="6">
        <v>665</v>
      </c>
      <c r="E348" s="6" t="s">
        <v>1053</v>
      </c>
      <c r="F348" s="8">
        <f t="shared" si="6"/>
        <v>18101912</v>
      </c>
      <c r="G348" s="8">
        <f>VLOOKUP(A348, localcont!$D$10:$L$1764, 8)</f>
        <v>20289842.442859355</v>
      </c>
      <c r="H348" s="81">
        <f>VLOOKUP(A348, localcont!$D$10:$L$1764, 9)*F348</f>
        <v>15592570.243106872</v>
      </c>
    </row>
    <row r="349" spans="1:8">
      <c r="A349" s="6">
        <v>728</v>
      </c>
      <c r="B349" s="6">
        <v>146</v>
      </c>
      <c r="C349" s="6" t="s">
        <v>1264</v>
      </c>
      <c r="D349" s="6">
        <v>855</v>
      </c>
      <c r="E349" s="6" t="s">
        <v>1109</v>
      </c>
      <c r="F349" s="8">
        <f t="shared" si="6"/>
        <v>18101912</v>
      </c>
      <c r="G349" s="8">
        <f>VLOOKUP(A349, localcont!$D$10:$L$1764, 8)</f>
        <v>2997904.3971045213</v>
      </c>
      <c r="H349" s="81">
        <f>VLOOKUP(A349, localcont!$D$10:$L$1764, 9)*F349</f>
        <v>2303863.8681209809</v>
      </c>
    </row>
    <row r="350" spans="1:8">
      <c r="A350" s="6">
        <v>731</v>
      </c>
      <c r="B350" s="6">
        <v>147</v>
      </c>
      <c r="C350" s="6" t="s">
        <v>1265</v>
      </c>
      <c r="D350" s="6">
        <v>147</v>
      </c>
      <c r="E350" s="6" t="s">
        <v>828</v>
      </c>
      <c r="F350" s="8">
        <f t="shared" si="6"/>
        <v>10278295</v>
      </c>
      <c r="G350" s="8">
        <f>VLOOKUP(A350, localcont!$D$10:$L$1764, 8)</f>
        <v>33720.660000000003</v>
      </c>
      <c r="H350" s="81">
        <f>VLOOKUP(A350, localcont!$D$10:$L$1764, 9)*F350</f>
        <v>24231.316952982263</v>
      </c>
    </row>
    <row r="351" spans="1:8">
      <c r="A351" s="6">
        <v>732</v>
      </c>
      <c r="B351" s="6">
        <v>147</v>
      </c>
      <c r="C351" s="6" t="s">
        <v>1265</v>
      </c>
      <c r="D351" s="6">
        <v>725</v>
      </c>
      <c r="E351" s="6" t="s">
        <v>1072</v>
      </c>
      <c r="F351" s="8">
        <f t="shared" si="6"/>
        <v>10278295</v>
      </c>
      <c r="G351" s="8">
        <f>VLOOKUP(A351, localcont!$D$10:$L$1764, 8)</f>
        <v>13058423.970026778</v>
      </c>
      <c r="H351" s="81">
        <f>VLOOKUP(A351, localcont!$D$10:$L$1764, 9)*F351</f>
        <v>9383648.18850342</v>
      </c>
    </row>
    <row r="352" spans="1:8">
      <c r="A352" s="6">
        <v>733</v>
      </c>
      <c r="B352" s="6">
        <v>147</v>
      </c>
      <c r="C352" s="6" t="s">
        <v>1265</v>
      </c>
      <c r="D352" s="6">
        <v>830</v>
      </c>
      <c r="E352" s="6" t="s">
        <v>1104</v>
      </c>
      <c r="F352" s="8">
        <f t="shared" si="6"/>
        <v>10278295</v>
      </c>
      <c r="G352" s="8">
        <f>VLOOKUP(A352, localcont!$D$10:$L$1764, 8)</f>
        <v>1211283.1096711869</v>
      </c>
      <c r="H352" s="81">
        <f>VLOOKUP(A352, localcont!$D$10:$L$1764, 9)*F352</f>
        <v>870415.49454359733</v>
      </c>
    </row>
    <row r="353" spans="1:8">
      <c r="A353" s="6">
        <v>736</v>
      </c>
      <c r="B353" s="6">
        <v>148</v>
      </c>
      <c r="C353" s="6" t="s">
        <v>1266</v>
      </c>
      <c r="D353" s="6">
        <v>148</v>
      </c>
      <c r="E353" s="6" t="s">
        <v>829</v>
      </c>
      <c r="F353" s="8">
        <f t="shared" si="6"/>
        <v>3503862</v>
      </c>
      <c r="G353" s="8">
        <f>VLOOKUP(A353, localcont!$D$10:$L$1764, 8)</f>
        <v>0</v>
      </c>
      <c r="H353" s="81">
        <f>VLOOKUP(A353, localcont!$D$10:$L$1764, 9)*F353</f>
        <v>0</v>
      </c>
    </row>
    <row r="354" spans="1:8">
      <c r="A354" s="6">
        <v>737</v>
      </c>
      <c r="B354" s="6">
        <v>148</v>
      </c>
      <c r="C354" s="6" t="s">
        <v>1266</v>
      </c>
      <c r="D354" s="6">
        <v>715</v>
      </c>
      <c r="E354" s="6" t="s">
        <v>1069</v>
      </c>
      <c r="F354" s="8">
        <f t="shared" si="6"/>
        <v>3503862</v>
      </c>
      <c r="G354" s="8">
        <f>VLOOKUP(A354, localcont!$D$10:$L$1764, 8)</f>
        <v>5113312.7742155073</v>
      </c>
      <c r="H354" s="81">
        <f>VLOOKUP(A354, localcont!$D$10:$L$1764, 9)*F354</f>
        <v>3092779.3933121823</v>
      </c>
    </row>
    <row r="355" spans="1:8">
      <c r="A355" s="6">
        <v>738</v>
      </c>
      <c r="B355" s="6">
        <v>148</v>
      </c>
      <c r="C355" s="6" t="s">
        <v>1266</v>
      </c>
      <c r="D355" s="6">
        <v>851</v>
      </c>
      <c r="E355" s="6" t="s">
        <v>1106</v>
      </c>
      <c r="F355" s="8">
        <f t="shared" si="6"/>
        <v>3503862</v>
      </c>
      <c r="G355" s="8">
        <f>VLOOKUP(A355, localcont!$D$10:$L$1764, 8)</f>
        <v>679645.61215713457</v>
      </c>
      <c r="H355" s="81">
        <f>VLOOKUP(A355, localcont!$D$10:$L$1764, 9)*F355</f>
        <v>411082.60668781807</v>
      </c>
    </row>
    <row r="356" spans="1:8">
      <c r="A356" s="6">
        <v>741</v>
      </c>
      <c r="B356" s="6">
        <v>149</v>
      </c>
      <c r="C356" s="6" t="s">
        <v>1267</v>
      </c>
      <c r="D356" s="6">
        <v>149</v>
      </c>
      <c r="E356" s="6" t="s">
        <v>830</v>
      </c>
      <c r="F356" s="8">
        <f t="shared" si="6"/>
        <v>51692714</v>
      </c>
      <c r="G356" s="8">
        <f>VLOOKUP(A356, localcont!$D$10:$L$1764, 8)</f>
        <v>301454148.42000002</v>
      </c>
      <c r="H356" s="81">
        <f>VLOOKUP(A356, localcont!$D$10:$L$1764, 9)*F356</f>
        <v>46582666.490342185</v>
      </c>
    </row>
    <row r="357" spans="1:8">
      <c r="A357" s="6">
        <v>742</v>
      </c>
      <c r="B357" s="6">
        <v>149</v>
      </c>
      <c r="C357" s="6" t="s">
        <v>1267</v>
      </c>
      <c r="D357" s="6">
        <v>823</v>
      </c>
      <c r="E357" s="6" t="s">
        <v>1100</v>
      </c>
      <c r="F357" s="8">
        <f t="shared" si="6"/>
        <v>51692714</v>
      </c>
      <c r="G357" s="8">
        <f>VLOOKUP(A357, localcont!$D$10:$L$1764, 8)</f>
        <v>33069060.585636783</v>
      </c>
      <c r="H357" s="81">
        <f>VLOOKUP(A357, localcont!$D$10:$L$1764, 9)*F357</f>
        <v>5110047.5096578142</v>
      </c>
    </row>
    <row r="358" spans="1:8">
      <c r="A358" s="6">
        <v>746</v>
      </c>
      <c r="B358" s="6">
        <v>150</v>
      </c>
      <c r="C358" s="6" t="s">
        <v>1268</v>
      </c>
      <c r="D358" s="6">
        <v>150</v>
      </c>
      <c r="E358" s="6" t="s">
        <v>831</v>
      </c>
      <c r="F358" s="8">
        <f t="shared" si="6"/>
        <v>7826211</v>
      </c>
      <c r="G358" s="8">
        <f>VLOOKUP(A358, localcont!$D$10:$L$1764, 8)</f>
        <v>8566370.1999999974</v>
      </c>
      <c r="H358" s="81">
        <f>VLOOKUP(A358, localcont!$D$10:$L$1764, 9)*F358</f>
        <v>7826211</v>
      </c>
    </row>
    <row r="359" spans="1:8">
      <c r="A359" s="6">
        <v>751</v>
      </c>
      <c r="B359" s="6">
        <v>151</v>
      </c>
      <c r="C359" s="6" t="s">
        <v>1269</v>
      </c>
      <c r="D359" s="6">
        <v>151</v>
      </c>
      <c r="E359" s="6" t="s">
        <v>832</v>
      </c>
      <c r="F359" s="8">
        <f t="shared" si="6"/>
        <v>11223464</v>
      </c>
      <c r="G359" s="8">
        <f>VLOOKUP(A359, localcont!$D$10:$L$1764, 8)</f>
        <v>21380842.219999999</v>
      </c>
      <c r="H359" s="81">
        <f>VLOOKUP(A359, localcont!$D$10:$L$1764, 9)*F359</f>
        <v>11223464</v>
      </c>
    </row>
    <row r="360" spans="1:8">
      <c r="A360" s="6">
        <v>756</v>
      </c>
      <c r="B360" s="6">
        <v>152</v>
      </c>
      <c r="C360" s="6" t="s">
        <v>1270</v>
      </c>
      <c r="D360" s="6">
        <v>152</v>
      </c>
      <c r="E360" s="6" t="s">
        <v>833</v>
      </c>
      <c r="F360" s="8">
        <f t="shared" si="6"/>
        <v>11017680</v>
      </c>
      <c r="G360" s="8">
        <f>VLOOKUP(A360, localcont!$D$10:$L$1764, 8)</f>
        <v>6823610.0699999994</v>
      </c>
      <c r="H360" s="81">
        <f>VLOOKUP(A360, localcont!$D$10:$L$1764, 9)*F360</f>
        <v>11017680</v>
      </c>
    </row>
    <row r="361" spans="1:8">
      <c r="A361" s="6">
        <v>761</v>
      </c>
      <c r="B361" s="6">
        <v>153</v>
      </c>
      <c r="C361" s="6" t="s">
        <v>1271</v>
      </c>
      <c r="D361" s="6">
        <v>153</v>
      </c>
      <c r="E361" s="6" t="s">
        <v>834</v>
      </c>
      <c r="F361" s="8">
        <f t="shared" si="6"/>
        <v>41782908</v>
      </c>
      <c r="G361" s="8">
        <f>VLOOKUP(A361, localcont!$D$10:$L$1764, 8)</f>
        <v>103734761.66000001</v>
      </c>
      <c r="H361" s="81">
        <f>VLOOKUP(A361, localcont!$D$10:$L$1764, 9)*F361</f>
        <v>41782908</v>
      </c>
    </row>
    <row r="362" spans="1:8">
      <c r="A362" s="6">
        <v>766</v>
      </c>
      <c r="B362" s="6">
        <v>154</v>
      </c>
      <c r="C362" s="6" t="s">
        <v>1272</v>
      </c>
      <c r="D362" s="6">
        <v>154</v>
      </c>
      <c r="E362" s="6" t="s">
        <v>835</v>
      </c>
      <c r="F362" s="8">
        <f t="shared" si="6"/>
        <v>2666791</v>
      </c>
      <c r="G362" s="8">
        <f>VLOOKUP(A362, localcont!$D$10:$L$1764, 8)</f>
        <v>1407132.92</v>
      </c>
      <c r="H362" s="81">
        <f>VLOOKUP(A362, localcont!$D$10:$L$1764, 9)*F362</f>
        <v>1322167.4459785188</v>
      </c>
    </row>
    <row r="363" spans="1:8">
      <c r="A363" s="6">
        <v>767</v>
      </c>
      <c r="B363" s="6">
        <v>154</v>
      </c>
      <c r="C363" s="6" t="s">
        <v>1272</v>
      </c>
      <c r="D363" s="6">
        <v>605</v>
      </c>
      <c r="E363" s="6" t="s">
        <v>1036</v>
      </c>
      <c r="F363" s="8">
        <f t="shared" si="6"/>
        <v>2666791</v>
      </c>
      <c r="G363" s="8">
        <f>VLOOKUP(A363, localcont!$D$10:$L$1764, 8)</f>
        <v>1431032.1083958715</v>
      </c>
      <c r="H363" s="81">
        <f>VLOOKUP(A363, localcont!$D$10:$L$1764, 9)*F363</f>
        <v>1344623.5540214812</v>
      </c>
    </row>
    <row r="364" spans="1:8">
      <c r="A364" s="6">
        <v>771</v>
      </c>
      <c r="B364" s="6">
        <v>155</v>
      </c>
      <c r="C364" s="6" t="s">
        <v>1273</v>
      </c>
      <c r="D364" s="6">
        <v>155</v>
      </c>
      <c r="E364" s="6" t="s">
        <v>836</v>
      </c>
      <c r="F364" s="8">
        <f t="shared" si="6"/>
        <v>143676871</v>
      </c>
      <c r="G364" s="8">
        <f>VLOOKUP(A364, localcont!$D$10:$L$1764, 8)</f>
        <v>91458917.922800004</v>
      </c>
      <c r="H364" s="81">
        <f>VLOOKUP(A364, localcont!$D$10:$L$1764, 9)*F364</f>
        <v>141067690.14545551</v>
      </c>
    </row>
    <row r="365" spans="1:8">
      <c r="A365" s="6">
        <v>772</v>
      </c>
      <c r="B365" s="6">
        <v>155</v>
      </c>
      <c r="C365" s="6" t="s">
        <v>1273</v>
      </c>
      <c r="D365" s="6">
        <v>830</v>
      </c>
      <c r="E365" s="6" t="s">
        <v>1104</v>
      </c>
      <c r="F365" s="8">
        <f t="shared" si="6"/>
        <v>143676871</v>
      </c>
      <c r="G365" s="8">
        <f>VLOOKUP(A365, localcont!$D$10:$L$1764, 8)</f>
        <v>1691619.5152516447</v>
      </c>
      <c r="H365" s="81">
        <f>VLOOKUP(A365, localcont!$D$10:$L$1764, 9)*F365</f>
        <v>2609180.8545444789</v>
      </c>
    </row>
    <row r="366" spans="1:8">
      <c r="A366" s="6">
        <v>776</v>
      </c>
      <c r="B366" s="6">
        <v>156</v>
      </c>
      <c r="C366" s="6" t="s">
        <v>1274</v>
      </c>
      <c r="D366" s="6">
        <v>156</v>
      </c>
      <c r="E366" s="6" t="s">
        <v>837</v>
      </c>
      <c r="F366" s="8">
        <f t="shared" si="6"/>
        <v>938626</v>
      </c>
      <c r="G366" s="8">
        <f>VLOOKUP(A366, localcont!$D$10:$L$1764, 8)</f>
        <v>0</v>
      </c>
      <c r="H366" s="81">
        <f>VLOOKUP(A366, localcont!$D$10:$L$1764, 9)*F366</f>
        <v>0</v>
      </c>
    </row>
    <row r="367" spans="1:8">
      <c r="A367" s="6">
        <v>777</v>
      </c>
      <c r="B367" s="6">
        <v>156</v>
      </c>
      <c r="C367" s="6" t="s">
        <v>1274</v>
      </c>
      <c r="D367" s="6">
        <v>750</v>
      </c>
      <c r="E367" s="6" t="s">
        <v>1078</v>
      </c>
      <c r="F367" s="8">
        <f t="shared" si="6"/>
        <v>938626</v>
      </c>
      <c r="G367" s="8">
        <f>VLOOKUP(A367, localcont!$D$10:$L$1764, 8)</f>
        <v>973834.113576898</v>
      </c>
      <c r="H367" s="81">
        <f>VLOOKUP(A367, localcont!$D$10:$L$1764, 9)*F367</f>
        <v>861301.1265102952</v>
      </c>
    </row>
    <row r="368" spans="1:8">
      <c r="A368" s="6">
        <v>778</v>
      </c>
      <c r="B368" s="6">
        <v>156</v>
      </c>
      <c r="C368" s="6" t="s">
        <v>1274</v>
      </c>
      <c r="D368" s="6">
        <v>818</v>
      </c>
      <c r="E368" s="6" t="s">
        <v>1098</v>
      </c>
      <c r="F368" s="8">
        <f t="shared" si="6"/>
        <v>938626</v>
      </c>
      <c r="G368" s="8">
        <f>VLOOKUP(A368, localcont!$D$10:$L$1764, 8)</f>
        <v>87427.726859466056</v>
      </c>
      <c r="H368" s="81">
        <f>VLOOKUP(A368, localcont!$D$10:$L$1764, 9)*F368</f>
        <v>77324.873489704842</v>
      </c>
    </row>
    <row r="369" spans="1:8">
      <c r="A369" s="6">
        <v>781</v>
      </c>
      <c r="B369" s="6">
        <v>157</v>
      </c>
      <c r="C369" s="6" t="s">
        <v>1275</v>
      </c>
      <c r="D369" s="6">
        <v>157</v>
      </c>
      <c r="E369" s="6" t="s">
        <v>838</v>
      </c>
      <c r="F369" s="8">
        <f t="shared" si="6"/>
        <v>30109977</v>
      </c>
      <c r="G369" s="8">
        <f>VLOOKUP(A369, localcont!$D$10:$L$1764, 8)</f>
        <v>7515362.2277600011</v>
      </c>
      <c r="H369" s="81">
        <f>VLOOKUP(A369, localcont!$D$10:$L$1764, 9)*F369</f>
        <v>22189217.792534344</v>
      </c>
    </row>
    <row r="370" spans="1:8">
      <c r="A370" s="6">
        <v>782</v>
      </c>
      <c r="B370" s="6">
        <v>157</v>
      </c>
      <c r="C370" s="6" t="s">
        <v>1275</v>
      </c>
      <c r="D370" s="6">
        <v>695</v>
      </c>
      <c r="E370" s="6" t="s">
        <v>1063</v>
      </c>
      <c r="F370" s="8">
        <f t="shared" si="6"/>
        <v>30109977</v>
      </c>
      <c r="G370" s="8">
        <f>VLOOKUP(A370, localcont!$D$10:$L$1764, 8)</f>
        <v>2682716.2236876092</v>
      </c>
      <c r="H370" s="81">
        <f>VLOOKUP(A370, localcont!$D$10:$L$1764, 9)*F370</f>
        <v>7920759.207465657</v>
      </c>
    </row>
    <row r="371" spans="1:8">
      <c r="A371" s="6">
        <v>786</v>
      </c>
      <c r="B371" s="6">
        <v>158</v>
      </c>
      <c r="C371" s="6" t="s">
        <v>1276</v>
      </c>
      <c r="D371" s="6">
        <v>158</v>
      </c>
      <c r="E371" s="6" t="s">
        <v>839</v>
      </c>
      <c r="F371" s="8">
        <f t="shared" si="6"/>
        <v>20492601</v>
      </c>
      <c r="G371" s="8">
        <f>VLOOKUP(A371, localcont!$D$10:$L$1764, 8)</f>
        <v>20185599.029999997</v>
      </c>
      <c r="H371" s="81">
        <f>VLOOKUP(A371, localcont!$D$10:$L$1764, 9)*F371</f>
        <v>19535263.615239598</v>
      </c>
    </row>
    <row r="372" spans="1:8">
      <c r="A372" s="6">
        <v>787</v>
      </c>
      <c r="B372" s="6">
        <v>158</v>
      </c>
      <c r="C372" s="6" t="s">
        <v>1276</v>
      </c>
      <c r="D372" s="6">
        <v>852</v>
      </c>
      <c r="E372" s="6" t="s">
        <v>1107</v>
      </c>
      <c r="F372" s="8">
        <f t="shared" si="6"/>
        <v>20492601</v>
      </c>
      <c r="G372" s="8">
        <f>VLOOKUP(A372, localcont!$D$10:$L$1764, 8)</f>
        <v>989207.4642968846</v>
      </c>
      <c r="H372" s="81">
        <f>VLOOKUP(A372, localcont!$D$10:$L$1764, 9)*F372</f>
        <v>957337.38476040424</v>
      </c>
    </row>
    <row r="373" spans="1:8">
      <c r="A373" s="6">
        <v>791</v>
      </c>
      <c r="B373" s="6">
        <v>159</v>
      </c>
      <c r="C373" s="6" t="s">
        <v>1277</v>
      </c>
      <c r="D373" s="6">
        <v>159</v>
      </c>
      <c r="E373" s="6" t="s">
        <v>840</v>
      </c>
      <c r="F373" s="8">
        <f t="shared" si="6"/>
        <v>35312519</v>
      </c>
      <c r="G373" s="8">
        <f>VLOOKUP(A373, localcont!$D$10:$L$1764, 8)</f>
        <v>34218165.739999995</v>
      </c>
      <c r="H373" s="81">
        <f>VLOOKUP(A373, localcont!$D$10:$L$1764, 9)*F373</f>
        <v>35312519</v>
      </c>
    </row>
    <row r="374" spans="1:8">
      <c r="A374" s="6">
        <v>796</v>
      </c>
      <c r="B374" s="6">
        <v>160</v>
      </c>
      <c r="C374" s="6" t="s">
        <v>1278</v>
      </c>
      <c r="D374" s="6">
        <v>160</v>
      </c>
      <c r="E374" s="6" t="s">
        <v>841</v>
      </c>
      <c r="F374" s="8">
        <f t="shared" si="6"/>
        <v>87980201</v>
      </c>
      <c r="G374" s="8">
        <f>VLOOKUP(A374, localcont!$D$10:$L$1764, 8)</f>
        <v>308040584.44</v>
      </c>
      <c r="H374" s="81">
        <f>VLOOKUP(A374, localcont!$D$10:$L$1764, 9)*F374</f>
        <v>77908765.753838256</v>
      </c>
    </row>
    <row r="375" spans="1:8">
      <c r="A375" s="6">
        <v>797</v>
      </c>
      <c r="B375" s="6">
        <v>160</v>
      </c>
      <c r="C375" s="6" t="s">
        <v>1278</v>
      </c>
      <c r="D375" s="6">
        <v>828</v>
      </c>
      <c r="E375" s="6" t="s">
        <v>1102</v>
      </c>
      <c r="F375" s="8">
        <f t="shared" si="6"/>
        <v>87980201</v>
      </c>
      <c r="G375" s="8">
        <f>VLOOKUP(A375, localcont!$D$10:$L$1764, 8)</f>
        <v>39821074.937571257</v>
      </c>
      <c r="H375" s="81">
        <f>VLOOKUP(A375, localcont!$D$10:$L$1764, 9)*F375</f>
        <v>10071435.246161744</v>
      </c>
    </row>
    <row r="376" spans="1:8">
      <c r="A376" s="6">
        <v>801</v>
      </c>
      <c r="B376" s="6">
        <v>161</v>
      </c>
      <c r="C376" s="6" t="s">
        <v>1279</v>
      </c>
      <c r="D376" s="6">
        <v>161</v>
      </c>
      <c r="E376" s="6" t="s">
        <v>842</v>
      </c>
      <c r="F376" s="8">
        <f t="shared" si="6"/>
        <v>20143885</v>
      </c>
      <c r="G376" s="8">
        <f>VLOOKUP(A376, localcont!$D$10:$L$1764, 8)</f>
        <v>33328396.509999994</v>
      </c>
      <c r="H376" s="81">
        <f>VLOOKUP(A376, localcont!$D$10:$L$1764, 9)*F376</f>
        <v>20143885</v>
      </c>
    </row>
    <row r="377" spans="1:8">
      <c r="A377" s="6">
        <v>806</v>
      </c>
      <c r="B377" s="6">
        <v>162</v>
      </c>
      <c r="C377" s="6" t="s">
        <v>1280</v>
      </c>
      <c r="D377" s="6">
        <v>162</v>
      </c>
      <c r="E377" s="6" t="s">
        <v>843</v>
      </c>
      <c r="F377" s="8">
        <f t="shared" si="6"/>
        <v>15494588</v>
      </c>
      <c r="G377" s="8">
        <f>VLOOKUP(A377, localcont!$D$10:$L$1764, 8)</f>
        <v>21553250.210000001</v>
      </c>
      <c r="H377" s="81">
        <f>VLOOKUP(A377, localcont!$D$10:$L$1764, 9)*F377</f>
        <v>14175348.242165867</v>
      </c>
    </row>
    <row r="378" spans="1:8">
      <c r="A378" s="6">
        <v>807</v>
      </c>
      <c r="B378" s="6">
        <v>162</v>
      </c>
      <c r="C378" s="6" t="s">
        <v>1280</v>
      </c>
      <c r="D378" s="6">
        <v>832</v>
      </c>
      <c r="E378" s="6" t="s">
        <v>1105</v>
      </c>
      <c r="F378" s="8">
        <f t="shared" si="6"/>
        <v>15494588</v>
      </c>
      <c r="G378" s="8">
        <f>VLOOKUP(A378, localcont!$D$10:$L$1764, 8)</f>
        <v>2005869.915985527</v>
      </c>
      <c r="H378" s="81">
        <f>VLOOKUP(A378, localcont!$D$10:$L$1764, 9)*F378</f>
        <v>1319239.7578341311</v>
      </c>
    </row>
    <row r="379" spans="1:8">
      <c r="A379" s="6">
        <v>811</v>
      </c>
      <c r="B379" s="6">
        <v>163</v>
      </c>
      <c r="C379" s="6" t="s">
        <v>1281</v>
      </c>
      <c r="D379" s="6">
        <v>163</v>
      </c>
      <c r="E379" s="6" t="s">
        <v>844</v>
      </c>
      <c r="F379" s="8">
        <f t="shared" si="6"/>
        <v>82007414</v>
      </c>
      <c r="G379" s="8">
        <f>VLOOKUP(A379, localcont!$D$10:$L$1764, 8)</f>
        <v>351967448.88</v>
      </c>
      <c r="H379" s="81">
        <f>VLOOKUP(A379, localcont!$D$10:$L$1764, 9)*F379</f>
        <v>82007414</v>
      </c>
    </row>
    <row r="380" spans="1:8">
      <c r="A380" s="6">
        <v>816</v>
      </c>
      <c r="B380" s="6">
        <v>164</v>
      </c>
      <c r="C380" s="6" t="s">
        <v>1282</v>
      </c>
      <c r="D380" s="6">
        <v>164</v>
      </c>
      <c r="E380" s="6" t="s">
        <v>845</v>
      </c>
      <c r="F380" s="8">
        <f t="shared" si="6"/>
        <v>36136172</v>
      </c>
      <c r="G380" s="8">
        <f>VLOOKUP(A380, localcont!$D$10:$L$1764, 8)</f>
        <v>27975039.198300004</v>
      </c>
      <c r="H380" s="81">
        <f>VLOOKUP(A380, localcont!$D$10:$L$1764, 9)*F380</f>
        <v>35221673.304976217</v>
      </c>
    </row>
    <row r="381" spans="1:8">
      <c r="A381" s="6">
        <v>817</v>
      </c>
      <c r="B381" s="6">
        <v>164</v>
      </c>
      <c r="C381" s="6" t="s">
        <v>1282</v>
      </c>
      <c r="D381" s="6">
        <v>817</v>
      </c>
      <c r="E381" s="6" t="s">
        <v>1097</v>
      </c>
      <c r="F381" s="8">
        <f t="shared" si="6"/>
        <v>36136172</v>
      </c>
      <c r="G381" s="8">
        <f>VLOOKUP(A381, localcont!$D$10:$L$1764, 8)</f>
        <v>726346.43500796298</v>
      </c>
      <c r="H381" s="81">
        <f>VLOOKUP(A381, localcont!$D$10:$L$1764, 9)*F381</f>
        <v>914498.69502378593</v>
      </c>
    </row>
    <row r="382" spans="1:8">
      <c r="A382" s="6">
        <v>821</v>
      </c>
      <c r="B382" s="6">
        <v>165</v>
      </c>
      <c r="C382" s="6" t="s">
        <v>1283</v>
      </c>
      <c r="D382" s="6">
        <v>165</v>
      </c>
      <c r="E382" s="6" t="s">
        <v>846</v>
      </c>
      <c r="F382" s="8">
        <f t="shared" si="6"/>
        <v>70769484</v>
      </c>
      <c r="G382" s="8">
        <f>VLOOKUP(A382, localcont!$D$10:$L$1764, 8)</f>
        <v>121527751.11873999</v>
      </c>
      <c r="H382" s="81">
        <f>VLOOKUP(A382, localcont!$D$10:$L$1764, 9)*F382</f>
        <v>68377540.948381796</v>
      </c>
    </row>
    <row r="383" spans="1:8">
      <c r="A383" s="6">
        <v>822</v>
      </c>
      <c r="B383" s="6">
        <v>165</v>
      </c>
      <c r="C383" s="6" t="s">
        <v>1283</v>
      </c>
      <c r="D383" s="6">
        <v>853</v>
      </c>
      <c r="E383" s="6" t="s">
        <v>1108</v>
      </c>
      <c r="F383" s="8">
        <f t="shared" si="6"/>
        <v>70769484</v>
      </c>
      <c r="G383" s="8">
        <f>VLOOKUP(A383, localcont!$D$10:$L$1764, 8)</f>
        <v>4251212.544871957</v>
      </c>
      <c r="H383" s="81">
        <f>VLOOKUP(A383, localcont!$D$10:$L$1764, 9)*F383</f>
        <v>2391943.0516182045</v>
      </c>
    </row>
    <row r="384" spans="1:8">
      <c r="A384" s="6">
        <v>826</v>
      </c>
      <c r="B384" s="6">
        <v>166</v>
      </c>
      <c r="C384" s="6" t="s">
        <v>1284</v>
      </c>
      <c r="D384" s="6">
        <v>166</v>
      </c>
      <c r="E384" s="6" t="s">
        <v>847</v>
      </c>
      <c r="F384" s="8">
        <f t="shared" si="6"/>
        <v>30037130</v>
      </c>
      <c r="G384" s="8">
        <f>VLOOKUP(A384, localcont!$D$10:$L$1764, 8)</f>
        <v>0</v>
      </c>
      <c r="H384" s="81">
        <f>VLOOKUP(A384, localcont!$D$10:$L$1764, 9)*F384</f>
        <v>0</v>
      </c>
    </row>
    <row r="385" spans="1:8">
      <c r="A385" s="6">
        <v>827</v>
      </c>
      <c r="B385" s="6">
        <v>166</v>
      </c>
      <c r="C385" s="6" t="s">
        <v>1284</v>
      </c>
      <c r="D385" s="6">
        <v>698</v>
      </c>
      <c r="E385" s="6" t="s">
        <v>1064</v>
      </c>
      <c r="F385" s="8">
        <f t="shared" si="6"/>
        <v>30037130</v>
      </c>
      <c r="G385" s="8">
        <f>VLOOKUP(A385, localcont!$D$10:$L$1764, 8)</f>
        <v>8362900.351031729</v>
      </c>
      <c r="H385" s="81">
        <f>VLOOKUP(A385, localcont!$D$10:$L$1764, 9)*F385</f>
        <v>29123702.005248971</v>
      </c>
    </row>
    <row r="386" spans="1:8">
      <c r="A386" s="6">
        <v>828</v>
      </c>
      <c r="B386" s="6">
        <v>166</v>
      </c>
      <c r="C386" s="6" t="s">
        <v>1284</v>
      </c>
      <c r="D386" s="6">
        <v>817</v>
      </c>
      <c r="E386" s="6" t="s">
        <v>1097</v>
      </c>
      <c r="F386" s="8">
        <f t="shared" si="6"/>
        <v>30037130</v>
      </c>
      <c r="G386" s="8">
        <f>VLOOKUP(A386, localcont!$D$10:$L$1764, 8)</f>
        <v>262291.76828443113</v>
      </c>
      <c r="H386" s="81">
        <f>VLOOKUP(A386, localcont!$D$10:$L$1764, 9)*F386</f>
        <v>913427.99475102848</v>
      </c>
    </row>
    <row r="387" spans="1:8">
      <c r="A387" s="6">
        <v>831</v>
      </c>
      <c r="B387" s="6">
        <v>167</v>
      </c>
      <c r="C387" s="6" t="s">
        <v>1285</v>
      </c>
      <c r="D387" s="6">
        <v>167</v>
      </c>
      <c r="E387" s="6" t="s">
        <v>848</v>
      </c>
      <c r="F387" s="8">
        <f t="shared" si="6"/>
        <v>39604571</v>
      </c>
      <c r="G387" s="8">
        <f>VLOOKUP(A387, localcont!$D$10:$L$1764, 8)</f>
        <v>46131542.886</v>
      </c>
      <c r="H387" s="81">
        <f>VLOOKUP(A387, localcont!$D$10:$L$1764, 9)*F387</f>
        <v>37886983.438516051</v>
      </c>
    </row>
    <row r="388" spans="1:8">
      <c r="A388" s="6">
        <v>832</v>
      </c>
      <c r="B388" s="6">
        <v>167</v>
      </c>
      <c r="C388" s="6" t="s">
        <v>1285</v>
      </c>
      <c r="D388" s="6">
        <v>872</v>
      </c>
      <c r="E388" s="6" t="s">
        <v>1112</v>
      </c>
      <c r="F388" s="8">
        <f t="shared" si="6"/>
        <v>39604571</v>
      </c>
      <c r="G388" s="8">
        <f>VLOOKUP(A388, localcont!$D$10:$L$1764, 8)</f>
        <v>1882874.8040708841</v>
      </c>
      <c r="H388" s="81">
        <f>VLOOKUP(A388, localcont!$D$10:$L$1764, 9)*F388</f>
        <v>1546370.2719616154</v>
      </c>
    </row>
    <row r="389" spans="1:8">
      <c r="A389" s="6">
        <v>833</v>
      </c>
      <c r="B389" s="6">
        <v>167</v>
      </c>
      <c r="C389" s="6" t="s">
        <v>1285</v>
      </c>
      <c r="D389" s="6">
        <v>910</v>
      </c>
      <c r="E389" s="6" t="s">
        <v>1118</v>
      </c>
      <c r="F389" s="8">
        <f t="shared" si="6"/>
        <v>39604571</v>
      </c>
      <c r="G389" s="8">
        <f>VLOOKUP(A389, localcont!$D$10:$L$1764, 8)</f>
        <v>208475.76179408262</v>
      </c>
      <c r="H389" s="81">
        <f>VLOOKUP(A389, localcont!$D$10:$L$1764, 9)*F389</f>
        <v>171217.28952233822</v>
      </c>
    </row>
    <row r="390" spans="1:8">
      <c r="A390" s="6">
        <v>836</v>
      </c>
      <c r="B390" s="6">
        <v>168</v>
      </c>
      <c r="C390" s="6" t="s">
        <v>1286</v>
      </c>
      <c r="D390" s="6">
        <v>168</v>
      </c>
      <c r="E390" s="6" t="s">
        <v>849</v>
      </c>
      <c r="F390" s="8">
        <f t="shared" si="6"/>
        <v>67141254</v>
      </c>
      <c r="G390" s="8">
        <f>VLOOKUP(A390, localcont!$D$10:$L$1764, 8)</f>
        <v>32926181.66</v>
      </c>
      <c r="H390" s="81">
        <f>VLOOKUP(A390, localcont!$D$10:$L$1764, 9)*F390</f>
        <v>66128213.662807763</v>
      </c>
    </row>
    <row r="391" spans="1:8">
      <c r="A391" s="6">
        <v>837</v>
      </c>
      <c r="B391" s="6">
        <v>168</v>
      </c>
      <c r="C391" s="6" t="s">
        <v>1286</v>
      </c>
      <c r="D391" s="6">
        <v>817</v>
      </c>
      <c r="E391" s="6" t="s">
        <v>1097</v>
      </c>
      <c r="F391" s="8">
        <f t="shared" si="6"/>
        <v>67141254</v>
      </c>
      <c r="G391" s="8">
        <f>VLOOKUP(A391, localcont!$D$10:$L$1764, 8)</f>
        <v>504407.24652538839</v>
      </c>
      <c r="H391" s="81">
        <f>VLOOKUP(A391, localcont!$D$10:$L$1764, 9)*F391</f>
        <v>1013040.3371922425</v>
      </c>
    </row>
    <row r="392" spans="1:8">
      <c r="A392" s="6">
        <v>841</v>
      </c>
      <c r="B392" s="6">
        <v>169</v>
      </c>
      <c r="C392" s="6" t="s">
        <v>1287</v>
      </c>
      <c r="D392" s="6">
        <v>169</v>
      </c>
      <c r="E392" s="6" t="s">
        <v>850</v>
      </c>
      <c r="F392" s="8">
        <f t="shared" si="6"/>
        <v>14742900</v>
      </c>
      <c r="G392" s="8">
        <f>VLOOKUP(A392, localcont!$D$10:$L$1764, 8)</f>
        <v>5105842.0000000009</v>
      </c>
      <c r="H392" s="81">
        <f>VLOOKUP(A392, localcont!$D$10:$L$1764, 9)*F392</f>
        <v>7470178.4475086071</v>
      </c>
    </row>
    <row r="393" spans="1:8">
      <c r="A393" s="6">
        <v>842</v>
      </c>
      <c r="B393" s="6">
        <v>169</v>
      </c>
      <c r="C393" s="6" t="s">
        <v>1287</v>
      </c>
      <c r="D393" s="6">
        <v>740</v>
      </c>
      <c r="E393" s="6" t="s">
        <v>1076</v>
      </c>
      <c r="F393" s="8">
        <f t="shared" si="6"/>
        <v>14742900</v>
      </c>
      <c r="G393" s="8">
        <f>VLOOKUP(A393, localcont!$D$10:$L$1764, 8)</f>
        <v>4290713.8270303933</v>
      </c>
      <c r="H393" s="81">
        <f>VLOOKUP(A393, localcont!$D$10:$L$1764, 9)*F393</f>
        <v>6277592.9915398117</v>
      </c>
    </row>
    <row r="394" spans="1:8">
      <c r="A394" s="6">
        <v>843</v>
      </c>
      <c r="B394" s="6">
        <v>169</v>
      </c>
      <c r="C394" s="6" t="s">
        <v>1287</v>
      </c>
      <c r="D394" s="6">
        <v>879</v>
      </c>
      <c r="E394" s="6" t="s">
        <v>1116</v>
      </c>
      <c r="F394" s="8">
        <f t="shared" si="6"/>
        <v>14742900</v>
      </c>
      <c r="G394" s="8">
        <f>VLOOKUP(A394, localcont!$D$10:$L$1764, 8)</f>
        <v>680167.04521974351</v>
      </c>
      <c r="H394" s="81">
        <f>VLOOKUP(A394, localcont!$D$10:$L$1764, 9)*F394</f>
        <v>995128.56095158064</v>
      </c>
    </row>
    <row r="395" spans="1:8">
      <c r="A395" s="6">
        <v>846</v>
      </c>
      <c r="B395" s="6">
        <v>170</v>
      </c>
      <c r="C395" s="6" t="s">
        <v>1288</v>
      </c>
      <c r="D395" s="6">
        <v>170</v>
      </c>
      <c r="E395" s="6" t="s">
        <v>851</v>
      </c>
      <c r="F395" s="8">
        <f t="shared" ref="F395:F458" si="7">VLOOKUP(B395, town351, 7)</f>
        <v>54327946</v>
      </c>
      <c r="G395" s="8">
        <f>VLOOKUP(A395, localcont!$D$10:$L$1764, 8)</f>
        <v>91366536.508999988</v>
      </c>
      <c r="H395" s="81">
        <f>VLOOKUP(A395, localcont!$D$10:$L$1764, 9)*F395</f>
        <v>47588346.434490934</v>
      </c>
    </row>
    <row r="396" spans="1:8">
      <c r="A396" s="6">
        <v>847</v>
      </c>
      <c r="B396" s="6">
        <v>170</v>
      </c>
      <c r="C396" s="6" t="s">
        <v>1288</v>
      </c>
      <c r="D396" s="6">
        <v>801</v>
      </c>
      <c r="E396" s="6" t="s">
        <v>1092</v>
      </c>
      <c r="F396" s="8">
        <f t="shared" si="7"/>
        <v>54327946</v>
      </c>
      <c r="G396" s="8">
        <f>VLOOKUP(A396, localcont!$D$10:$L$1764, 8)</f>
        <v>12939593.742887981</v>
      </c>
      <c r="H396" s="81">
        <f>VLOOKUP(A396, localcont!$D$10:$L$1764, 9)*F396</f>
        <v>6739599.5655090651</v>
      </c>
    </row>
    <row r="397" spans="1:8">
      <c r="A397" s="6">
        <v>851</v>
      </c>
      <c r="B397" s="6">
        <v>171</v>
      </c>
      <c r="C397" s="6" t="s">
        <v>1289</v>
      </c>
      <c r="D397" s="6">
        <v>171</v>
      </c>
      <c r="E397" s="6" t="s">
        <v>852</v>
      </c>
      <c r="F397" s="8">
        <f t="shared" si="7"/>
        <v>49095091</v>
      </c>
      <c r="G397" s="8">
        <f>VLOOKUP(A397, localcont!$D$10:$L$1764, 8)</f>
        <v>49730334.689119995</v>
      </c>
      <c r="H397" s="81">
        <f>VLOOKUP(A397, localcont!$D$10:$L$1764, 9)*F397</f>
        <v>49033361.253668502</v>
      </c>
    </row>
    <row r="398" spans="1:8">
      <c r="A398" s="6">
        <v>856</v>
      </c>
      <c r="B398" s="6">
        <v>172</v>
      </c>
      <c r="C398" s="6" t="s">
        <v>1290</v>
      </c>
      <c r="D398" s="6">
        <v>172</v>
      </c>
      <c r="E398" s="6" t="s">
        <v>853</v>
      </c>
      <c r="F398" s="8">
        <f t="shared" si="7"/>
        <v>39351739</v>
      </c>
      <c r="G398" s="8">
        <f>VLOOKUP(A398, localcont!$D$10:$L$1764, 8)</f>
        <v>21264618.640000001</v>
      </c>
      <c r="H398" s="81">
        <f>VLOOKUP(A398, localcont!$D$10:$L$1764, 9)*F398</f>
        <v>37176757.860895216</v>
      </c>
    </row>
    <row r="399" spans="1:8">
      <c r="A399" s="6">
        <v>857</v>
      </c>
      <c r="B399" s="6">
        <v>172</v>
      </c>
      <c r="C399" s="6" t="s">
        <v>1290</v>
      </c>
      <c r="D399" s="6">
        <v>815</v>
      </c>
      <c r="E399" s="6" t="s">
        <v>1096</v>
      </c>
      <c r="F399" s="8">
        <f t="shared" si="7"/>
        <v>39351739</v>
      </c>
      <c r="G399" s="8">
        <f>VLOOKUP(A399, localcont!$D$10:$L$1764, 8)</f>
        <v>1244060.7286227257</v>
      </c>
      <c r="H399" s="81">
        <f>VLOOKUP(A399, localcont!$D$10:$L$1764, 9)*F399</f>
        <v>2174981.1391047803</v>
      </c>
    </row>
    <row r="400" spans="1:8">
      <c r="A400" s="6">
        <v>861</v>
      </c>
      <c r="B400" s="6">
        <v>173</v>
      </c>
      <c r="C400" s="6" t="s">
        <v>1291</v>
      </c>
      <c r="D400" s="6">
        <v>173</v>
      </c>
      <c r="E400" s="6" t="s">
        <v>854</v>
      </c>
      <c r="F400" s="8">
        <f t="shared" si="7"/>
        <v>15779407</v>
      </c>
      <c r="G400" s="8">
        <f>VLOOKUP(A400, localcont!$D$10:$L$1764, 8)</f>
        <v>4865916.0799999991</v>
      </c>
      <c r="H400" s="81">
        <f>VLOOKUP(A400, localcont!$D$10:$L$1764, 9)*F400</f>
        <v>7529431.774133468</v>
      </c>
    </row>
    <row r="401" spans="1:8">
      <c r="A401" s="6">
        <v>862</v>
      </c>
      <c r="B401" s="6">
        <v>173</v>
      </c>
      <c r="C401" s="6" t="s">
        <v>1291</v>
      </c>
      <c r="D401" s="6">
        <v>740</v>
      </c>
      <c r="E401" s="6" t="s">
        <v>1076</v>
      </c>
      <c r="F401" s="8">
        <f t="shared" si="7"/>
        <v>15779407</v>
      </c>
      <c r="G401" s="8">
        <f>VLOOKUP(A401, localcont!$D$10:$L$1764, 8)</f>
        <v>4641262.3422536869</v>
      </c>
      <c r="H401" s="81">
        <f>VLOOKUP(A401, localcont!$D$10:$L$1764, 9)*F401</f>
        <v>7181806.5863260925</v>
      </c>
    </row>
    <row r="402" spans="1:8">
      <c r="A402" s="6">
        <v>863</v>
      </c>
      <c r="B402" s="6">
        <v>173</v>
      </c>
      <c r="C402" s="6" t="s">
        <v>1291</v>
      </c>
      <c r="D402" s="6">
        <v>855</v>
      </c>
      <c r="E402" s="6" t="s">
        <v>1109</v>
      </c>
      <c r="F402" s="8">
        <f t="shared" si="7"/>
        <v>15779407</v>
      </c>
      <c r="G402" s="8">
        <f>VLOOKUP(A402, localcont!$D$10:$L$1764, 8)</f>
        <v>690306.93353878136</v>
      </c>
      <c r="H402" s="81">
        <f>VLOOKUP(A402, localcont!$D$10:$L$1764, 9)*F402</f>
        <v>1068168.6395404381</v>
      </c>
    </row>
    <row r="403" spans="1:8">
      <c r="A403" s="6">
        <v>866</v>
      </c>
      <c r="B403" s="6">
        <v>174</v>
      </c>
      <c r="C403" s="6" t="s">
        <v>1292</v>
      </c>
      <c r="D403" s="6">
        <v>174</v>
      </c>
      <c r="E403" s="6" t="s">
        <v>855</v>
      </c>
      <c r="F403" s="8">
        <f t="shared" si="7"/>
        <v>14951241</v>
      </c>
      <c r="G403" s="8">
        <f>VLOOKUP(A403, localcont!$D$10:$L$1764, 8)</f>
        <v>17943402.248780001</v>
      </c>
      <c r="H403" s="81">
        <f>VLOOKUP(A403, localcont!$D$10:$L$1764, 9)*F403</f>
        <v>13805874.00909517</v>
      </c>
    </row>
    <row r="404" spans="1:8">
      <c r="A404" s="6">
        <v>867</v>
      </c>
      <c r="B404" s="6">
        <v>174</v>
      </c>
      <c r="C404" s="6" t="s">
        <v>1292</v>
      </c>
      <c r="D404" s="6">
        <v>801</v>
      </c>
      <c r="E404" s="6" t="s">
        <v>1092</v>
      </c>
      <c r="F404" s="8">
        <f t="shared" si="7"/>
        <v>14951241</v>
      </c>
      <c r="G404" s="8">
        <f>VLOOKUP(A404, localcont!$D$10:$L$1764, 8)</f>
        <v>1488625.8288856472</v>
      </c>
      <c r="H404" s="81">
        <f>VLOOKUP(A404, localcont!$D$10:$L$1764, 9)*F404</f>
        <v>1145366.9909048299</v>
      </c>
    </row>
    <row r="405" spans="1:8">
      <c r="A405" s="6">
        <v>871</v>
      </c>
      <c r="B405" s="6">
        <v>175</v>
      </c>
      <c r="C405" s="6" t="s">
        <v>1293</v>
      </c>
      <c r="D405" s="6">
        <v>175</v>
      </c>
      <c r="E405" s="6" t="s">
        <v>856</v>
      </c>
      <c r="F405" s="8">
        <f t="shared" si="7"/>
        <v>38185975</v>
      </c>
      <c r="G405" s="8">
        <f>VLOOKUP(A405, localcont!$D$10:$L$1764, 8)</f>
        <v>29971700.2535</v>
      </c>
      <c r="H405" s="81">
        <f>VLOOKUP(A405, localcont!$D$10:$L$1764, 9)*F405</f>
        <v>37917203.982260525</v>
      </c>
    </row>
    <row r="406" spans="1:8">
      <c r="A406" s="6">
        <v>872</v>
      </c>
      <c r="B406" s="6">
        <v>175</v>
      </c>
      <c r="C406" s="6" t="s">
        <v>1293</v>
      </c>
      <c r="D406" s="6">
        <v>878</v>
      </c>
      <c r="E406" s="6" t="s">
        <v>1115</v>
      </c>
      <c r="F406" s="8">
        <f t="shared" si="7"/>
        <v>38185975</v>
      </c>
      <c r="G406" s="8">
        <f>VLOOKUP(A406, localcont!$D$10:$L$1764, 8)</f>
        <v>146378.46400355324</v>
      </c>
      <c r="H406" s="81">
        <f>VLOOKUP(A406, localcont!$D$10:$L$1764, 9)*F406</f>
        <v>185183.42407299922</v>
      </c>
    </row>
    <row r="407" spans="1:8">
      <c r="A407" s="6">
        <v>873</v>
      </c>
      <c r="B407" s="6">
        <v>175</v>
      </c>
      <c r="C407" s="6" t="s">
        <v>1293</v>
      </c>
      <c r="D407" s="6">
        <v>915</v>
      </c>
      <c r="E407" s="6" t="s">
        <v>1119</v>
      </c>
      <c r="F407" s="8">
        <f t="shared" si="7"/>
        <v>38185975</v>
      </c>
      <c r="G407" s="8">
        <f>VLOOKUP(A407, localcont!$D$10:$L$1764, 8)</f>
        <v>66071.915625820518</v>
      </c>
      <c r="H407" s="81">
        <f>VLOOKUP(A407, localcont!$D$10:$L$1764, 9)*F407</f>
        <v>83587.59366647499</v>
      </c>
    </row>
    <row r="408" spans="1:8">
      <c r="A408" s="6">
        <v>876</v>
      </c>
      <c r="B408" s="6">
        <v>176</v>
      </c>
      <c r="C408" s="6" t="s">
        <v>1294</v>
      </c>
      <c r="D408" s="6">
        <v>176</v>
      </c>
      <c r="E408" s="6" t="s">
        <v>857</v>
      </c>
      <c r="F408" s="8">
        <f t="shared" si="7"/>
        <v>98754481</v>
      </c>
      <c r="G408" s="8">
        <f>VLOOKUP(A408, localcont!$D$10:$L$1764, 8)</f>
        <v>73681605.546039999</v>
      </c>
      <c r="H408" s="81">
        <f>VLOOKUP(A408, localcont!$D$10:$L$1764, 9)*F408</f>
        <v>98754481</v>
      </c>
    </row>
    <row r="409" spans="1:8">
      <c r="A409" s="6">
        <v>881</v>
      </c>
      <c r="B409" s="6">
        <v>177</v>
      </c>
      <c r="C409" s="6" t="s">
        <v>1295</v>
      </c>
      <c r="D409" s="6">
        <v>177</v>
      </c>
      <c r="E409" s="6" t="s">
        <v>858</v>
      </c>
      <c r="F409" s="8">
        <f t="shared" si="7"/>
        <v>23406262</v>
      </c>
      <c r="G409" s="8">
        <f>VLOOKUP(A409, localcont!$D$10:$L$1764, 8)</f>
        <v>28282405.937880002</v>
      </c>
      <c r="H409" s="81">
        <f>VLOOKUP(A409, localcont!$D$10:$L$1764, 9)*F409</f>
        <v>21955456.629558448</v>
      </c>
    </row>
    <row r="410" spans="1:8">
      <c r="A410" s="6">
        <v>882</v>
      </c>
      <c r="B410" s="6">
        <v>177</v>
      </c>
      <c r="C410" s="6" t="s">
        <v>1295</v>
      </c>
      <c r="D410" s="6">
        <v>878</v>
      </c>
      <c r="E410" s="6" t="s">
        <v>1115</v>
      </c>
      <c r="F410" s="8">
        <f t="shared" si="7"/>
        <v>23406262</v>
      </c>
      <c r="G410" s="8">
        <f>VLOOKUP(A410, localcont!$D$10:$L$1764, 8)</f>
        <v>1714719.1489961157</v>
      </c>
      <c r="H410" s="81">
        <f>VLOOKUP(A410, localcont!$D$10:$L$1764, 9)*F410</f>
        <v>1331125.8593185858</v>
      </c>
    </row>
    <row r="411" spans="1:8">
      <c r="A411" s="6">
        <v>883</v>
      </c>
      <c r="B411" s="6">
        <v>177</v>
      </c>
      <c r="C411" s="6" t="s">
        <v>1295</v>
      </c>
      <c r="D411" s="6">
        <v>915</v>
      </c>
      <c r="E411" s="6" t="s">
        <v>1119</v>
      </c>
      <c r="F411" s="8">
        <f t="shared" si="7"/>
        <v>23406262</v>
      </c>
      <c r="G411" s="8">
        <f>VLOOKUP(A411, localcont!$D$10:$L$1764, 8)</f>
        <v>154167.80316332754</v>
      </c>
      <c r="H411" s="81">
        <f>VLOOKUP(A411, localcont!$D$10:$L$1764, 9)*F411</f>
        <v>119679.51112296573</v>
      </c>
    </row>
    <row r="412" spans="1:8">
      <c r="A412" s="6">
        <v>886</v>
      </c>
      <c r="B412" s="6">
        <v>178</v>
      </c>
      <c r="C412" s="6" t="s">
        <v>1296</v>
      </c>
      <c r="D412" s="6">
        <v>178</v>
      </c>
      <c r="E412" s="6" t="s">
        <v>859</v>
      </c>
      <c r="F412" s="8">
        <f t="shared" si="7"/>
        <v>54724640</v>
      </c>
      <c r="G412" s="8">
        <f>VLOOKUP(A412, localcont!$D$10:$L$1764, 8)</f>
        <v>53488054.658699989</v>
      </c>
      <c r="H412" s="81">
        <f>VLOOKUP(A412, localcont!$D$10:$L$1764, 9)*F412</f>
        <v>53029320.553577952</v>
      </c>
    </row>
    <row r="413" spans="1:8">
      <c r="A413" s="6">
        <v>887</v>
      </c>
      <c r="B413" s="6">
        <v>178</v>
      </c>
      <c r="C413" s="6" t="s">
        <v>1296</v>
      </c>
      <c r="D413" s="6">
        <v>853</v>
      </c>
      <c r="E413" s="6" t="s">
        <v>1108</v>
      </c>
      <c r="F413" s="8">
        <f t="shared" si="7"/>
        <v>54724640</v>
      </c>
      <c r="G413" s="8">
        <f>VLOOKUP(A413, localcont!$D$10:$L$1764, 8)</f>
        <v>1709984.9341377458</v>
      </c>
      <c r="H413" s="81">
        <f>VLOOKUP(A413, localcont!$D$10:$L$1764, 9)*F413</f>
        <v>1695319.4464220461</v>
      </c>
    </row>
    <row r="414" spans="1:8">
      <c r="A414" s="6">
        <v>891</v>
      </c>
      <c r="B414" s="6">
        <v>179</v>
      </c>
      <c r="C414" s="6" t="s">
        <v>1297</v>
      </c>
      <c r="D414" s="6">
        <v>179</v>
      </c>
      <c r="E414" s="6" t="s">
        <v>860</v>
      </c>
      <c r="F414" s="8">
        <f t="shared" si="7"/>
        <v>11776571</v>
      </c>
      <c r="G414" s="8">
        <f>VLOOKUP(A414, localcont!$D$10:$L$1764, 8)</f>
        <v>168603.30000000002</v>
      </c>
      <c r="H414" s="81">
        <f>VLOOKUP(A414, localcont!$D$10:$L$1764, 9)*F414</f>
        <v>158892.42799809415</v>
      </c>
    </row>
    <row r="415" spans="1:8">
      <c r="A415" s="6">
        <v>892</v>
      </c>
      <c r="B415" s="6">
        <v>179</v>
      </c>
      <c r="C415" s="6" t="s">
        <v>1297</v>
      </c>
      <c r="D415" s="6">
        <v>710</v>
      </c>
      <c r="E415" s="6" t="s">
        <v>1067</v>
      </c>
      <c r="F415" s="8">
        <f t="shared" si="7"/>
        <v>11776571</v>
      </c>
      <c r="G415" s="8">
        <f>VLOOKUP(A415, localcont!$D$10:$L$1764, 8)</f>
        <v>10874872.440098867</v>
      </c>
      <c r="H415" s="81">
        <f>VLOOKUP(A415, localcont!$D$10:$L$1764, 9)*F415</f>
        <v>10248523.523423726</v>
      </c>
    </row>
    <row r="416" spans="1:8">
      <c r="A416" s="6">
        <v>893</v>
      </c>
      <c r="B416" s="6">
        <v>179</v>
      </c>
      <c r="C416" s="6" t="s">
        <v>1297</v>
      </c>
      <c r="D416" s="6">
        <v>805</v>
      </c>
      <c r="E416" s="6" t="s">
        <v>1093</v>
      </c>
      <c r="F416" s="8">
        <f t="shared" si="7"/>
        <v>11776571</v>
      </c>
      <c r="G416" s="8">
        <f>VLOOKUP(A416, localcont!$D$10:$L$1764, 8)</f>
        <v>1452832.3489695191</v>
      </c>
      <c r="H416" s="81">
        <f>VLOOKUP(A416, localcont!$D$10:$L$1764, 9)*F416</f>
        <v>1369155.0485781792</v>
      </c>
    </row>
    <row r="417" spans="1:8">
      <c r="A417" s="6">
        <v>896</v>
      </c>
      <c r="B417" s="6">
        <v>180</v>
      </c>
      <c r="C417" s="6" t="s">
        <v>1298</v>
      </c>
      <c r="D417" s="6">
        <v>180</v>
      </c>
      <c r="E417" s="6" t="s">
        <v>861</v>
      </c>
      <c r="F417" s="8">
        <f t="shared" si="7"/>
        <v>8729430</v>
      </c>
      <c r="G417" s="8">
        <f>VLOOKUP(A417, localcont!$D$10:$L$1764, 8)</f>
        <v>134882.64000000001</v>
      </c>
      <c r="H417" s="81">
        <f>VLOOKUP(A417, localcont!$D$10:$L$1764, 9)*F417</f>
        <v>103874.06888134692</v>
      </c>
    </row>
    <row r="418" spans="1:8">
      <c r="A418" s="6">
        <v>897</v>
      </c>
      <c r="B418" s="6">
        <v>180</v>
      </c>
      <c r="C418" s="6" t="s">
        <v>1298</v>
      </c>
      <c r="D418" s="6">
        <v>745</v>
      </c>
      <c r="E418" s="6" t="s">
        <v>1077</v>
      </c>
      <c r="F418" s="8">
        <f t="shared" si="7"/>
        <v>8729430</v>
      </c>
      <c r="G418" s="8">
        <f>VLOOKUP(A418, localcont!$D$10:$L$1764, 8)</f>
        <v>10346630.009707285</v>
      </c>
      <c r="H418" s="81">
        <f>VLOOKUP(A418, localcont!$D$10:$L$1764, 9)*F418</f>
        <v>7968012.4760172665</v>
      </c>
    </row>
    <row r="419" spans="1:8">
      <c r="A419" s="6">
        <v>898</v>
      </c>
      <c r="B419" s="6">
        <v>180</v>
      </c>
      <c r="C419" s="6" t="s">
        <v>1298</v>
      </c>
      <c r="D419" s="6">
        <v>885</v>
      </c>
      <c r="E419" s="6" t="s">
        <v>1117</v>
      </c>
      <c r="F419" s="8">
        <f t="shared" si="7"/>
        <v>8729430</v>
      </c>
      <c r="G419" s="8">
        <f>VLOOKUP(A419, localcont!$D$10:$L$1764, 8)</f>
        <v>853833.85953722883</v>
      </c>
      <c r="H419" s="81">
        <f>VLOOKUP(A419, localcont!$D$10:$L$1764, 9)*F419</f>
        <v>657543.45510138583</v>
      </c>
    </row>
    <row r="420" spans="1:8">
      <c r="A420" s="6">
        <v>901</v>
      </c>
      <c r="B420" s="6">
        <v>181</v>
      </c>
      <c r="C420" s="6" t="s">
        <v>1299</v>
      </c>
      <c r="D420" s="6">
        <v>181</v>
      </c>
      <c r="E420" s="6" t="s">
        <v>862</v>
      </c>
      <c r="F420" s="8">
        <f t="shared" si="7"/>
        <v>57470593</v>
      </c>
      <c r="G420" s="8">
        <f>VLOOKUP(A420, localcont!$D$10:$L$1764, 8)</f>
        <v>115622808.23</v>
      </c>
      <c r="H420" s="81">
        <f>VLOOKUP(A420, localcont!$D$10:$L$1764, 9)*F420</f>
        <v>52533161.817424841</v>
      </c>
    </row>
    <row r="421" spans="1:8">
      <c r="A421" s="6">
        <v>902</v>
      </c>
      <c r="B421" s="6">
        <v>181</v>
      </c>
      <c r="C421" s="6" t="s">
        <v>1299</v>
      </c>
      <c r="D421" s="6">
        <v>823</v>
      </c>
      <c r="E421" s="6" t="s">
        <v>1100</v>
      </c>
      <c r="F421" s="8">
        <f t="shared" si="7"/>
        <v>57470593</v>
      </c>
      <c r="G421" s="8">
        <f>VLOOKUP(A421, localcont!$D$10:$L$1764, 8)</f>
        <v>10867034.060423773</v>
      </c>
      <c r="H421" s="81">
        <f>VLOOKUP(A421, localcont!$D$10:$L$1764, 9)*F421</f>
        <v>4937431.182575156</v>
      </c>
    </row>
    <row r="422" spans="1:8">
      <c r="A422" s="6">
        <v>906</v>
      </c>
      <c r="B422" s="6">
        <v>182</v>
      </c>
      <c r="C422" s="6" t="s">
        <v>1300</v>
      </c>
      <c r="D422" s="6">
        <v>182</v>
      </c>
      <c r="E422" s="6" t="s">
        <v>863</v>
      </c>
      <c r="F422" s="8">
        <f t="shared" si="7"/>
        <v>26841158</v>
      </c>
      <c r="G422" s="8">
        <f>VLOOKUP(A422, localcont!$D$10:$L$1764, 8)</f>
        <v>45255834.980000012</v>
      </c>
      <c r="H422" s="81">
        <f>VLOOKUP(A422, localcont!$D$10:$L$1764, 9)*F422</f>
        <v>25000258.493398845</v>
      </c>
    </row>
    <row r="423" spans="1:8">
      <c r="A423" s="6">
        <v>907</v>
      </c>
      <c r="B423" s="6">
        <v>182</v>
      </c>
      <c r="C423" s="6" t="s">
        <v>1300</v>
      </c>
      <c r="D423" s="6">
        <v>810</v>
      </c>
      <c r="E423" s="6" t="s">
        <v>1095</v>
      </c>
      <c r="F423" s="8">
        <f t="shared" si="7"/>
        <v>26841158</v>
      </c>
      <c r="G423" s="8">
        <f>VLOOKUP(A423, localcont!$D$10:$L$1764, 8)</f>
        <v>3332423.3150430457</v>
      </c>
      <c r="H423" s="81">
        <f>VLOOKUP(A423, localcont!$D$10:$L$1764, 9)*F423</f>
        <v>1840899.5066011534</v>
      </c>
    </row>
    <row r="424" spans="1:8">
      <c r="A424" s="6">
        <v>911</v>
      </c>
      <c r="B424" s="6">
        <v>183</v>
      </c>
      <c r="C424" s="6" t="s">
        <v>1301</v>
      </c>
      <c r="D424" s="6">
        <v>183</v>
      </c>
      <c r="E424" s="6" t="s">
        <v>864</v>
      </c>
      <c r="F424" s="8">
        <f t="shared" si="7"/>
        <v>629105</v>
      </c>
      <c r="G424" s="8">
        <f>VLOOKUP(A424, localcont!$D$10:$L$1764, 8)</f>
        <v>33720.660000000003</v>
      </c>
      <c r="H424" s="81">
        <f>VLOOKUP(A424, localcont!$D$10:$L$1764, 9)*F424</f>
        <v>49887.254844961724</v>
      </c>
    </row>
    <row r="425" spans="1:8">
      <c r="A425" s="6">
        <v>912</v>
      </c>
      <c r="B425" s="6">
        <v>183</v>
      </c>
      <c r="C425" s="6" t="s">
        <v>1301</v>
      </c>
      <c r="D425" s="6">
        <v>672</v>
      </c>
      <c r="E425" s="6" t="s">
        <v>1055</v>
      </c>
      <c r="F425" s="8">
        <f t="shared" si="7"/>
        <v>629105</v>
      </c>
      <c r="G425" s="8">
        <f>VLOOKUP(A425, localcont!$D$10:$L$1764, 8)</f>
        <v>391514.92121664126</v>
      </c>
      <c r="H425" s="81">
        <f>VLOOKUP(A425, localcont!$D$10:$L$1764, 9)*F425</f>
        <v>579217.74515503831</v>
      </c>
    </row>
    <row r="426" spans="1:8">
      <c r="A426" s="6">
        <v>916</v>
      </c>
      <c r="B426" s="6">
        <v>184</v>
      </c>
      <c r="C426" s="6" t="s">
        <v>1302</v>
      </c>
      <c r="D426" s="6">
        <v>184</v>
      </c>
      <c r="E426" s="6" t="s">
        <v>865</v>
      </c>
      <c r="F426" s="8">
        <f t="shared" si="7"/>
        <v>21140581</v>
      </c>
      <c r="G426" s="8">
        <f>VLOOKUP(A426, localcont!$D$10:$L$1764, 8)</f>
        <v>8701795.6002499983</v>
      </c>
      <c r="H426" s="81">
        <f>VLOOKUP(A426, localcont!$D$10:$L$1764, 9)*F426</f>
        <v>11103349.175392048</v>
      </c>
    </row>
    <row r="427" spans="1:8">
      <c r="A427" s="6">
        <v>917</v>
      </c>
      <c r="B427" s="6">
        <v>184</v>
      </c>
      <c r="C427" s="6" t="s">
        <v>1302</v>
      </c>
      <c r="D427" s="6">
        <v>705</v>
      </c>
      <c r="E427" s="6" t="s">
        <v>1066</v>
      </c>
      <c r="F427" s="8">
        <f t="shared" si="7"/>
        <v>21140581</v>
      </c>
      <c r="G427" s="8">
        <f>VLOOKUP(A427, localcont!$D$10:$L$1764, 8)</f>
        <v>6776750.0965488404</v>
      </c>
      <c r="H427" s="81">
        <f>VLOOKUP(A427, localcont!$D$10:$L$1764, 9)*F427</f>
        <v>8647022.5287975967</v>
      </c>
    </row>
    <row r="428" spans="1:8">
      <c r="A428" s="6">
        <v>918</v>
      </c>
      <c r="B428" s="6">
        <v>184</v>
      </c>
      <c r="C428" s="6" t="s">
        <v>1302</v>
      </c>
      <c r="D428" s="6">
        <v>817</v>
      </c>
      <c r="E428" s="6" t="s">
        <v>1097</v>
      </c>
      <c r="F428" s="8">
        <f t="shared" si="7"/>
        <v>21140581</v>
      </c>
      <c r="G428" s="8">
        <f>VLOOKUP(A428, localcont!$D$10:$L$1764, 8)</f>
        <v>1089519.6523693989</v>
      </c>
      <c r="H428" s="81">
        <f>VLOOKUP(A428, localcont!$D$10:$L$1764, 9)*F428</f>
        <v>1390209.2958103551</v>
      </c>
    </row>
    <row r="429" spans="1:8">
      <c r="A429" s="6">
        <v>921</v>
      </c>
      <c r="B429" s="6">
        <v>185</v>
      </c>
      <c r="C429" s="6" t="s">
        <v>1303</v>
      </c>
      <c r="D429" s="6">
        <v>185</v>
      </c>
      <c r="E429" s="6" t="s">
        <v>866</v>
      </c>
      <c r="F429" s="8">
        <f t="shared" si="7"/>
        <v>34499939</v>
      </c>
      <c r="G429" s="8">
        <f>VLOOKUP(A429, localcont!$D$10:$L$1764, 8)</f>
        <v>79260184.288840011</v>
      </c>
      <c r="H429" s="81">
        <f>VLOOKUP(A429, localcont!$D$10:$L$1764, 9)*F429</f>
        <v>33209439.529695384</v>
      </c>
    </row>
    <row r="430" spans="1:8">
      <c r="A430" s="6">
        <v>922</v>
      </c>
      <c r="B430" s="6">
        <v>185</v>
      </c>
      <c r="C430" s="6" t="s">
        <v>1303</v>
      </c>
      <c r="D430" s="6">
        <v>805</v>
      </c>
      <c r="E430" s="6" t="s">
        <v>1093</v>
      </c>
      <c r="F430" s="8">
        <f t="shared" si="7"/>
        <v>34499939</v>
      </c>
      <c r="G430" s="8">
        <f>VLOOKUP(A430, localcont!$D$10:$L$1764, 8)</f>
        <v>3080004.5797079019</v>
      </c>
      <c r="H430" s="81">
        <f>VLOOKUP(A430, localcont!$D$10:$L$1764, 9)*F430</f>
        <v>1290499.4703046177</v>
      </c>
    </row>
    <row r="431" spans="1:8">
      <c r="A431" s="6">
        <v>926</v>
      </c>
      <c r="B431" s="6">
        <v>186</v>
      </c>
      <c r="C431" s="6" t="s">
        <v>1304</v>
      </c>
      <c r="D431" s="6">
        <v>186</v>
      </c>
      <c r="E431" s="6" t="s">
        <v>867</v>
      </c>
      <c r="F431" s="8">
        <f t="shared" si="7"/>
        <v>16777023</v>
      </c>
      <c r="G431" s="8">
        <f>VLOOKUP(A431, localcont!$D$10:$L$1764, 8)</f>
        <v>23341579.899999999</v>
      </c>
      <c r="H431" s="81">
        <f>VLOOKUP(A431, localcont!$D$10:$L$1764, 9)*F431</f>
        <v>15598978.89008436</v>
      </c>
    </row>
    <row r="432" spans="1:8">
      <c r="A432" s="6">
        <v>927</v>
      </c>
      <c r="B432" s="6">
        <v>186</v>
      </c>
      <c r="C432" s="6" t="s">
        <v>1304</v>
      </c>
      <c r="D432" s="6">
        <v>805</v>
      </c>
      <c r="E432" s="6" t="s">
        <v>1093</v>
      </c>
      <c r="F432" s="8">
        <f t="shared" si="7"/>
        <v>16777023</v>
      </c>
      <c r="G432" s="8">
        <f>VLOOKUP(A432, localcont!$D$10:$L$1764, 8)</f>
        <v>1762769.9166128924</v>
      </c>
      <c r="H432" s="81">
        <f>VLOOKUP(A432, localcont!$D$10:$L$1764, 9)*F432</f>
        <v>1178044.1099156393</v>
      </c>
    </row>
    <row r="433" spans="1:8">
      <c r="A433" s="6">
        <v>931</v>
      </c>
      <c r="B433" s="6">
        <v>187</v>
      </c>
      <c r="C433" s="6" t="s">
        <v>1305</v>
      </c>
      <c r="D433" s="6">
        <v>187</v>
      </c>
      <c r="E433" s="6" t="s">
        <v>868</v>
      </c>
      <c r="F433" s="8">
        <f t="shared" si="7"/>
        <v>14105652</v>
      </c>
      <c r="G433" s="8">
        <f>VLOOKUP(A433, localcont!$D$10:$L$1764, 8)</f>
        <v>14399304.707199998</v>
      </c>
      <c r="H433" s="81">
        <f>VLOOKUP(A433, localcont!$D$10:$L$1764, 9)*F433</f>
        <v>13287010.039283862</v>
      </c>
    </row>
    <row r="434" spans="1:8">
      <c r="A434" s="6">
        <v>932</v>
      </c>
      <c r="B434" s="6">
        <v>187</v>
      </c>
      <c r="C434" s="6" t="s">
        <v>1305</v>
      </c>
      <c r="D434" s="6">
        <v>878</v>
      </c>
      <c r="E434" s="6" t="s">
        <v>1115</v>
      </c>
      <c r="F434" s="8">
        <f t="shared" si="7"/>
        <v>14105652</v>
      </c>
      <c r="G434" s="8">
        <f>VLOOKUP(A434, localcont!$D$10:$L$1764, 8)</f>
        <v>710981.11059299647</v>
      </c>
      <c r="H434" s="81">
        <f>VLOOKUP(A434, localcont!$D$10:$L$1764, 9)*F434</f>
        <v>656060.36862784775</v>
      </c>
    </row>
    <row r="435" spans="1:8">
      <c r="A435" s="6">
        <v>933</v>
      </c>
      <c r="B435" s="6">
        <v>187</v>
      </c>
      <c r="C435" s="6" t="s">
        <v>1305</v>
      </c>
      <c r="D435" s="6">
        <v>915</v>
      </c>
      <c r="E435" s="6" t="s">
        <v>1119</v>
      </c>
      <c r="F435" s="8">
        <f t="shared" si="7"/>
        <v>14105652</v>
      </c>
      <c r="G435" s="8">
        <f>VLOOKUP(A435, localcont!$D$10:$L$1764, 8)</f>
        <v>176191.77507501398</v>
      </c>
      <c r="H435" s="81">
        <f>VLOOKUP(A435, localcont!$D$10:$L$1764, 9)*F435</f>
        <v>162581.59208828799</v>
      </c>
    </row>
    <row r="436" spans="1:8">
      <c r="A436" s="6">
        <v>936</v>
      </c>
      <c r="B436" s="6">
        <v>188</v>
      </c>
      <c r="C436" s="6" t="s">
        <v>1306</v>
      </c>
      <c r="D436" s="6">
        <v>188</v>
      </c>
      <c r="E436" s="6" t="s">
        <v>869</v>
      </c>
      <c r="F436" s="8">
        <f t="shared" si="7"/>
        <v>3245123</v>
      </c>
      <c r="G436" s="8">
        <f>VLOOKUP(A436, localcont!$D$10:$L$1764, 8)</f>
        <v>84301.650000000009</v>
      </c>
      <c r="H436" s="81">
        <f>VLOOKUP(A436, localcont!$D$10:$L$1764, 9)*F436</f>
        <v>44292.130216953548</v>
      </c>
    </row>
    <row r="437" spans="1:8">
      <c r="A437" s="6">
        <v>937</v>
      </c>
      <c r="B437" s="6">
        <v>188</v>
      </c>
      <c r="C437" s="6" t="s">
        <v>1306</v>
      </c>
      <c r="D437" s="6">
        <v>622</v>
      </c>
      <c r="E437" s="6" t="s">
        <v>1042</v>
      </c>
      <c r="F437" s="8">
        <f t="shared" si="7"/>
        <v>3245123</v>
      </c>
      <c r="G437" s="8">
        <f>VLOOKUP(A437, localcont!$D$10:$L$1764, 8)</f>
        <v>5588524.5398483621</v>
      </c>
      <c r="H437" s="81">
        <f>VLOOKUP(A437, localcont!$D$10:$L$1764, 9)*F437</f>
        <v>2936213.6641406668</v>
      </c>
    </row>
    <row r="438" spans="1:8">
      <c r="A438" s="6">
        <v>938</v>
      </c>
      <c r="B438" s="6">
        <v>188</v>
      </c>
      <c r="C438" s="6" t="s">
        <v>1306</v>
      </c>
      <c r="D438" s="6">
        <v>805</v>
      </c>
      <c r="E438" s="6" t="s">
        <v>1093</v>
      </c>
      <c r="F438" s="8">
        <f t="shared" si="7"/>
        <v>3245123</v>
      </c>
      <c r="G438" s="8">
        <f>VLOOKUP(A438, localcont!$D$10:$L$1764, 8)</f>
        <v>503648.54760368349</v>
      </c>
      <c r="H438" s="81">
        <f>VLOOKUP(A438, localcont!$D$10:$L$1764, 9)*F438</f>
        <v>264617.20564237924</v>
      </c>
    </row>
    <row r="439" spans="1:8">
      <c r="A439" s="6">
        <v>941</v>
      </c>
      <c r="B439" s="6">
        <v>189</v>
      </c>
      <c r="C439" s="6" t="s">
        <v>1307</v>
      </c>
      <c r="D439" s="6">
        <v>189</v>
      </c>
      <c r="E439" s="6" t="s">
        <v>870</v>
      </c>
      <c r="F439" s="8">
        <f t="shared" si="7"/>
        <v>70542441</v>
      </c>
      <c r="G439" s="8">
        <f>VLOOKUP(A439, localcont!$D$10:$L$1764, 8)</f>
        <v>55677434.427500002</v>
      </c>
      <c r="H439" s="81">
        <f>VLOOKUP(A439, localcont!$D$10:$L$1764, 9)*F439</f>
        <v>69353539.414399341</v>
      </c>
    </row>
    <row r="440" spans="1:8">
      <c r="A440" s="6">
        <v>942</v>
      </c>
      <c r="B440" s="6">
        <v>189</v>
      </c>
      <c r="C440" s="6" t="s">
        <v>1307</v>
      </c>
      <c r="D440" s="6">
        <v>806</v>
      </c>
      <c r="E440" s="6" t="s">
        <v>1094</v>
      </c>
      <c r="F440" s="8">
        <f t="shared" si="7"/>
        <v>70542441</v>
      </c>
      <c r="G440" s="8">
        <f>VLOOKUP(A440, localcont!$D$10:$L$1764, 8)</f>
        <v>756241.5256449501</v>
      </c>
      <c r="H440" s="81">
        <f>VLOOKUP(A440, localcont!$D$10:$L$1764, 9)*F440</f>
        <v>941997.90264972392</v>
      </c>
    </row>
    <row r="441" spans="1:8">
      <c r="A441" s="6">
        <v>943</v>
      </c>
      <c r="B441" s="6">
        <v>189</v>
      </c>
      <c r="C441" s="6" t="s">
        <v>1307</v>
      </c>
      <c r="D441" s="6">
        <v>915</v>
      </c>
      <c r="E441" s="6" t="s">
        <v>1119</v>
      </c>
      <c r="F441" s="8">
        <f t="shared" si="7"/>
        <v>70542441</v>
      </c>
      <c r="G441" s="8">
        <f>VLOOKUP(A441, localcont!$D$10:$L$1764, 8)</f>
        <v>198215.74693208101</v>
      </c>
      <c r="H441" s="81">
        <f>VLOOKUP(A441, localcont!$D$10:$L$1764, 9)*F441</f>
        <v>246903.68295093052</v>
      </c>
    </row>
    <row r="442" spans="1:8">
      <c r="A442" s="6">
        <v>946</v>
      </c>
      <c r="B442" s="6">
        <v>190</v>
      </c>
      <c r="C442" s="6" t="s">
        <v>1308</v>
      </c>
      <c r="D442" s="6">
        <v>190</v>
      </c>
      <c r="E442" s="6" t="s">
        <v>871</v>
      </c>
      <c r="F442" s="8">
        <f t="shared" si="7"/>
        <v>139460</v>
      </c>
      <c r="G442" s="8">
        <f>VLOOKUP(A442, localcont!$D$10:$L$1764, 8)</f>
        <v>215323.09999999998</v>
      </c>
      <c r="H442" s="81">
        <f>VLOOKUP(A442, localcont!$D$10:$L$1764, 9)*F442</f>
        <v>115865.33945217026</v>
      </c>
    </row>
    <row r="443" spans="1:8">
      <c r="A443" s="6">
        <v>947</v>
      </c>
      <c r="B443" s="6">
        <v>190</v>
      </c>
      <c r="C443" s="6" t="s">
        <v>1308</v>
      </c>
      <c r="D443" s="6">
        <v>851</v>
      </c>
      <c r="E443" s="6" t="s">
        <v>1106</v>
      </c>
      <c r="F443" s="8">
        <f t="shared" si="7"/>
        <v>139460</v>
      </c>
      <c r="G443" s="8">
        <f>VLOOKUP(A443, localcont!$D$10:$L$1764, 8)</f>
        <v>43848.10398543426</v>
      </c>
      <c r="H443" s="81">
        <f>VLOOKUP(A443, localcont!$D$10:$L$1764, 9)*F443</f>
        <v>23594.660547829753</v>
      </c>
    </row>
    <row r="444" spans="1:8">
      <c r="A444" s="6">
        <v>951</v>
      </c>
      <c r="B444" s="6">
        <v>191</v>
      </c>
      <c r="C444" s="6" t="s">
        <v>1309</v>
      </c>
      <c r="D444" s="6">
        <v>191</v>
      </c>
      <c r="E444" s="6" t="s">
        <v>872</v>
      </c>
      <c r="F444" s="8">
        <f t="shared" si="7"/>
        <v>7955778</v>
      </c>
      <c r="G444" s="8">
        <f>VLOOKUP(A444, localcont!$D$10:$L$1764, 8)</f>
        <v>11739604.360000001</v>
      </c>
      <c r="H444" s="81">
        <f>VLOOKUP(A444, localcont!$D$10:$L$1764, 9)*F444</f>
        <v>6784643.5352597116</v>
      </c>
    </row>
    <row r="445" spans="1:8">
      <c r="A445" s="6">
        <v>952</v>
      </c>
      <c r="B445" s="6">
        <v>191</v>
      </c>
      <c r="C445" s="6" t="s">
        <v>1309</v>
      </c>
      <c r="D445" s="6">
        <v>860</v>
      </c>
      <c r="E445" s="6" t="s">
        <v>1110</v>
      </c>
      <c r="F445" s="8">
        <f t="shared" si="7"/>
        <v>7955778</v>
      </c>
      <c r="G445" s="8">
        <f>VLOOKUP(A445, localcont!$D$10:$L$1764, 8)</f>
        <v>2026437.3797915494</v>
      </c>
      <c r="H445" s="81">
        <f>VLOOKUP(A445, localcont!$D$10:$L$1764, 9)*F445</f>
        <v>1171134.4647402889</v>
      </c>
    </row>
    <row r="446" spans="1:8">
      <c r="A446" s="6">
        <v>956</v>
      </c>
      <c r="B446" s="6">
        <v>192</v>
      </c>
      <c r="C446" s="6" t="s">
        <v>1310</v>
      </c>
      <c r="D446" s="6">
        <v>192</v>
      </c>
      <c r="E446" s="6" t="s">
        <v>873</v>
      </c>
      <c r="F446" s="8">
        <f t="shared" si="7"/>
        <v>7412673</v>
      </c>
      <c r="G446" s="8">
        <f>VLOOKUP(A446, localcont!$D$10:$L$1764, 8)</f>
        <v>16860.330000000002</v>
      </c>
      <c r="H446" s="81">
        <f>VLOOKUP(A446, localcont!$D$10:$L$1764, 9)*F446</f>
        <v>8228.3569339450132</v>
      </c>
    </row>
    <row r="447" spans="1:8">
      <c r="A447" s="6">
        <v>957</v>
      </c>
      <c r="B447" s="6">
        <v>192</v>
      </c>
      <c r="C447" s="6" t="s">
        <v>1310</v>
      </c>
      <c r="D447" s="6">
        <v>674</v>
      </c>
      <c r="E447" s="6" t="s">
        <v>1057</v>
      </c>
      <c r="F447" s="8">
        <f t="shared" si="7"/>
        <v>7412673</v>
      </c>
      <c r="G447" s="8">
        <f>VLOOKUP(A447, localcont!$D$10:$L$1764, 8)</f>
        <v>13554678.048907578</v>
      </c>
      <c r="H447" s="81">
        <f>VLOOKUP(A447, localcont!$D$10:$L$1764, 9)*F447</f>
        <v>6615097.6351661514</v>
      </c>
    </row>
    <row r="448" spans="1:8">
      <c r="A448" s="6">
        <v>958</v>
      </c>
      <c r="B448" s="6">
        <v>192</v>
      </c>
      <c r="C448" s="6" t="s">
        <v>1310</v>
      </c>
      <c r="D448" s="6">
        <v>818</v>
      </c>
      <c r="E448" s="6" t="s">
        <v>1098</v>
      </c>
      <c r="F448" s="8">
        <f t="shared" si="7"/>
        <v>7412673</v>
      </c>
      <c r="G448" s="8">
        <f>VLOOKUP(A448, localcont!$D$10:$L$1764, 8)</f>
        <v>1617412.9470249249</v>
      </c>
      <c r="H448" s="81">
        <f>VLOOKUP(A448, localcont!$D$10:$L$1764, 9)*F448</f>
        <v>789347.00789990334</v>
      </c>
    </row>
    <row r="449" spans="1:8">
      <c r="A449" s="6">
        <v>961</v>
      </c>
      <c r="B449" s="6">
        <v>193</v>
      </c>
      <c r="C449" s="6" t="s">
        <v>1311</v>
      </c>
      <c r="D449" s="6">
        <v>193</v>
      </c>
      <c r="E449" s="6" t="s">
        <v>874</v>
      </c>
      <c r="F449" s="8">
        <f t="shared" si="7"/>
        <v>2933506</v>
      </c>
      <c r="G449" s="8">
        <f>VLOOKUP(A449, localcont!$D$10:$L$1764, 8)</f>
        <v>0</v>
      </c>
      <c r="H449" s="81">
        <f>VLOOKUP(A449, localcont!$D$10:$L$1764, 9)*F449</f>
        <v>0</v>
      </c>
    </row>
    <row r="450" spans="1:8">
      <c r="A450" s="6">
        <v>962</v>
      </c>
      <c r="B450" s="6">
        <v>193</v>
      </c>
      <c r="C450" s="6" t="s">
        <v>1311</v>
      </c>
      <c r="D450" s="6">
        <v>765</v>
      </c>
      <c r="E450" s="6" t="s">
        <v>1083</v>
      </c>
      <c r="F450" s="8">
        <f t="shared" si="7"/>
        <v>2933506</v>
      </c>
      <c r="G450" s="8">
        <f>VLOOKUP(A450, localcont!$D$10:$L$1764, 8)</f>
        <v>1213819.9337935641</v>
      </c>
      <c r="H450" s="81">
        <f>VLOOKUP(A450, localcont!$D$10:$L$1764, 9)*F450</f>
        <v>2933506</v>
      </c>
    </row>
    <row r="451" spans="1:8">
      <c r="A451" s="6">
        <v>966</v>
      </c>
      <c r="B451" s="6">
        <v>194</v>
      </c>
      <c r="C451" s="6" t="s">
        <v>1312</v>
      </c>
      <c r="D451" s="6">
        <v>194</v>
      </c>
      <c r="E451" s="6" t="s">
        <v>875</v>
      </c>
      <c r="F451" s="8">
        <f t="shared" si="7"/>
        <v>974486</v>
      </c>
      <c r="G451" s="8">
        <f>VLOOKUP(A451, localcont!$D$10:$L$1764, 8)</f>
        <v>84301.650000000009</v>
      </c>
      <c r="H451" s="81">
        <f>VLOOKUP(A451, localcont!$D$10:$L$1764, 9)*F451</f>
        <v>75146.693654105315</v>
      </c>
    </row>
    <row r="452" spans="1:8">
      <c r="A452" s="6">
        <v>967</v>
      </c>
      <c r="B452" s="6">
        <v>194</v>
      </c>
      <c r="C452" s="6" t="s">
        <v>1312</v>
      </c>
      <c r="D452" s="6">
        <v>672</v>
      </c>
      <c r="E452" s="6" t="s">
        <v>1055</v>
      </c>
      <c r="F452" s="8">
        <f t="shared" si="7"/>
        <v>974486</v>
      </c>
      <c r="G452" s="8">
        <f>VLOOKUP(A452, localcont!$D$10:$L$1764, 8)</f>
        <v>1008903.8352610546</v>
      </c>
      <c r="H452" s="81">
        <f>VLOOKUP(A452, localcont!$D$10:$L$1764, 9)*F452</f>
        <v>899339.3063458947</v>
      </c>
    </row>
    <row r="453" spans="1:8">
      <c r="A453" s="6">
        <v>971</v>
      </c>
      <c r="B453" s="6">
        <v>195</v>
      </c>
      <c r="C453" s="6" t="s">
        <v>1313</v>
      </c>
      <c r="D453" s="6">
        <v>195</v>
      </c>
      <c r="E453" s="6" t="s">
        <v>876</v>
      </c>
      <c r="F453" s="8">
        <f t="shared" si="7"/>
        <v>552232</v>
      </c>
      <c r="G453" s="8">
        <f>VLOOKUP(A453, localcont!$D$10:$L$1764, 8)</f>
        <v>71641.610000000015</v>
      </c>
      <c r="H453" s="81">
        <f>VLOOKUP(A453, localcont!$D$10:$L$1764, 9)*F453</f>
        <v>552232</v>
      </c>
    </row>
    <row r="454" spans="1:8">
      <c r="A454" s="6">
        <v>976</v>
      </c>
      <c r="B454" s="6">
        <v>196</v>
      </c>
      <c r="C454" s="6" t="s">
        <v>1314</v>
      </c>
      <c r="D454" s="6">
        <v>196</v>
      </c>
      <c r="E454" s="6" t="s">
        <v>877</v>
      </c>
      <c r="F454" s="8">
        <f t="shared" si="7"/>
        <v>8631214</v>
      </c>
      <c r="G454" s="8">
        <f>VLOOKUP(A454, localcont!$D$10:$L$1764, 8)</f>
        <v>2904538.0700000003</v>
      </c>
      <c r="H454" s="81">
        <f>VLOOKUP(A454, localcont!$D$10:$L$1764, 9)*F454</f>
        <v>7866219.469340222</v>
      </c>
    </row>
    <row r="455" spans="1:8">
      <c r="A455" s="6">
        <v>977</v>
      </c>
      <c r="B455" s="6">
        <v>196</v>
      </c>
      <c r="C455" s="6" t="s">
        <v>1314</v>
      </c>
      <c r="D455" s="6">
        <v>817</v>
      </c>
      <c r="E455" s="6" t="s">
        <v>1097</v>
      </c>
      <c r="F455" s="8">
        <f t="shared" si="7"/>
        <v>8631214</v>
      </c>
      <c r="G455" s="8">
        <f>VLOOKUP(A455, localcont!$D$10:$L$1764, 8)</f>
        <v>282468.05804281391</v>
      </c>
      <c r="H455" s="81">
        <f>VLOOKUP(A455, localcont!$D$10:$L$1764, 9)*F455</f>
        <v>764994.53065977758</v>
      </c>
    </row>
    <row r="456" spans="1:8">
      <c r="A456" s="6">
        <v>981</v>
      </c>
      <c r="B456" s="6">
        <v>197</v>
      </c>
      <c r="C456" s="6" t="s">
        <v>1315</v>
      </c>
      <c r="D456" s="6">
        <v>197</v>
      </c>
      <c r="E456" s="6" t="s">
        <v>878</v>
      </c>
      <c r="F456" s="8">
        <f t="shared" si="7"/>
        <v>126039925</v>
      </c>
      <c r="G456" s="8">
        <f>VLOOKUP(A456, localcont!$D$10:$L$1764, 8)</f>
        <v>25535123.509999998</v>
      </c>
      <c r="H456" s="81">
        <f>VLOOKUP(A456, localcont!$D$10:$L$1764, 9)*F456</f>
        <v>126039925</v>
      </c>
    </row>
    <row r="457" spans="1:8">
      <c r="A457" s="6">
        <v>986</v>
      </c>
      <c r="B457" s="6">
        <v>198</v>
      </c>
      <c r="C457" s="6" t="s">
        <v>1316</v>
      </c>
      <c r="D457" s="6">
        <v>198</v>
      </c>
      <c r="E457" s="6" t="s">
        <v>879</v>
      </c>
      <c r="F457" s="8">
        <f t="shared" si="7"/>
        <v>82754806</v>
      </c>
      <c r="G457" s="8">
        <f>VLOOKUP(A457, localcont!$D$10:$L$1764, 8)</f>
        <v>67714131.173480004</v>
      </c>
      <c r="H457" s="81">
        <f>VLOOKUP(A457, localcont!$D$10:$L$1764, 9)*F457</f>
        <v>81034180.995804325</v>
      </c>
    </row>
    <row r="458" spans="1:8">
      <c r="A458" s="6">
        <v>987</v>
      </c>
      <c r="B458" s="6">
        <v>198</v>
      </c>
      <c r="C458" s="6" t="s">
        <v>1316</v>
      </c>
      <c r="D458" s="6">
        <v>829</v>
      </c>
      <c r="E458" s="6" t="s">
        <v>1103</v>
      </c>
      <c r="F458" s="8">
        <f t="shared" si="7"/>
        <v>82754806</v>
      </c>
      <c r="G458" s="8">
        <f>VLOOKUP(A458, localcont!$D$10:$L$1764, 8)</f>
        <v>1437796.073246029</v>
      </c>
      <c r="H458" s="81">
        <f>VLOOKUP(A458, localcont!$D$10:$L$1764, 9)*F458</f>
        <v>1720625.0041956739</v>
      </c>
    </row>
    <row r="459" spans="1:8">
      <c r="A459" s="6">
        <v>991</v>
      </c>
      <c r="B459" s="6">
        <v>199</v>
      </c>
      <c r="C459" s="6" t="s">
        <v>1317</v>
      </c>
      <c r="D459" s="6">
        <v>199</v>
      </c>
      <c r="E459" s="6" t="s">
        <v>880</v>
      </c>
      <c r="F459" s="8">
        <f t="shared" ref="F459:F522" si="8">VLOOKUP(B459, town351, 7)</f>
        <v>126143952</v>
      </c>
      <c r="G459" s="8">
        <f>VLOOKUP(A459, localcont!$D$10:$L$1764, 8)</f>
        <v>72809517.784119993</v>
      </c>
      <c r="H459" s="81">
        <f>VLOOKUP(A459, localcont!$D$10:$L$1764, 9)*F459</f>
        <v>124428867.92391744</v>
      </c>
    </row>
    <row r="460" spans="1:8">
      <c r="A460" s="6">
        <v>992</v>
      </c>
      <c r="B460" s="6">
        <v>199</v>
      </c>
      <c r="C460" s="6" t="s">
        <v>1317</v>
      </c>
      <c r="D460" s="6">
        <v>830</v>
      </c>
      <c r="E460" s="6" t="s">
        <v>1104</v>
      </c>
      <c r="F460" s="8">
        <f t="shared" si="8"/>
        <v>126143952</v>
      </c>
      <c r="G460" s="8">
        <f>VLOOKUP(A460, localcont!$D$10:$L$1764, 8)</f>
        <v>981557.00273758348</v>
      </c>
      <c r="H460" s="81">
        <f>VLOOKUP(A460, localcont!$D$10:$L$1764, 9)*F460</f>
        <v>1677445.8940321247</v>
      </c>
    </row>
    <row r="461" spans="1:8">
      <c r="A461" s="6">
        <v>993</v>
      </c>
      <c r="B461" s="6">
        <v>199</v>
      </c>
      <c r="C461" s="6" t="s">
        <v>1317</v>
      </c>
      <c r="D461" s="6">
        <v>915</v>
      </c>
      <c r="E461" s="6" t="s">
        <v>1119</v>
      </c>
      <c r="F461" s="8">
        <f t="shared" si="8"/>
        <v>126143952</v>
      </c>
      <c r="G461" s="8">
        <f>VLOOKUP(A461, localcont!$D$10:$L$1764, 8)</f>
        <v>22023.971857067027</v>
      </c>
      <c r="H461" s="81">
        <f>VLOOKUP(A461, localcont!$D$10:$L$1764, 9)*F461</f>
        <v>37638.182050434654</v>
      </c>
    </row>
    <row r="462" spans="1:8">
      <c r="A462" s="6">
        <v>996</v>
      </c>
      <c r="B462" s="6">
        <v>200</v>
      </c>
      <c r="C462" s="6" t="s">
        <v>1318</v>
      </c>
      <c r="D462" s="6">
        <v>200</v>
      </c>
      <c r="E462" s="6" t="s">
        <v>881</v>
      </c>
      <c r="F462" s="8">
        <f t="shared" si="8"/>
        <v>290527</v>
      </c>
      <c r="G462" s="8">
        <f>VLOOKUP(A462, localcont!$D$10:$L$1764, 8)</f>
        <v>183449.93</v>
      </c>
      <c r="H462" s="81">
        <f>VLOOKUP(A462, localcont!$D$10:$L$1764, 9)*F462</f>
        <v>290527</v>
      </c>
    </row>
    <row r="463" spans="1:8">
      <c r="A463" s="6">
        <v>1001</v>
      </c>
      <c r="B463" s="6">
        <v>201</v>
      </c>
      <c r="C463" s="6" t="s">
        <v>1319</v>
      </c>
      <c r="D463" s="6">
        <v>201</v>
      </c>
      <c r="E463" s="6" t="s">
        <v>882</v>
      </c>
      <c r="F463" s="8">
        <f t="shared" si="8"/>
        <v>62701179</v>
      </c>
      <c r="G463" s="8">
        <f>VLOOKUP(A463, localcont!$D$10:$L$1764, 8)</f>
        <v>274431862.38999999</v>
      </c>
      <c r="H463" s="81">
        <f>VLOOKUP(A463, localcont!$D$10:$L$1764, 9)*F463</f>
        <v>54887225.765679657</v>
      </c>
    </row>
    <row r="464" spans="1:8">
      <c r="A464" s="6">
        <v>1002</v>
      </c>
      <c r="B464" s="6">
        <v>201</v>
      </c>
      <c r="C464" s="6" t="s">
        <v>1319</v>
      </c>
      <c r="D464" s="6">
        <v>825</v>
      </c>
      <c r="E464" s="6" t="s">
        <v>1101</v>
      </c>
      <c r="F464" s="8">
        <f t="shared" si="8"/>
        <v>62701179</v>
      </c>
      <c r="G464" s="8">
        <f>VLOOKUP(A464, localcont!$D$10:$L$1764, 8)</f>
        <v>37839151.790461376</v>
      </c>
      <c r="H464" s="81">
        <f>VLOOKUP(A464, localcont!$D$10:$L$1764, 9)*F464</f>
        <v>7567948.0109105399</v>
      </c>
    </row>
    <row r="465" spans="1:8">
      <c r="A465" s="6">
        <v>1003</v>
      </c>
      <c r="B465" s="6">
        <v>201</v>
      </c>
      <c r="C465" s="6" t="s">
        <v>1319</v>
      </c>
      <c r="D465" s="6">
        <v>910</v>
      </c>
      <c r="E465" s="6" t="s">
        <v>1118</v>
      </c>
      <c r="F465" s="8">
        <f t="shared" si="8"/>
        <v>62701179</v>
      </c>
      <c r="G465" s="8">
        <f>VLOOKUP(A465, localcont!$D$10:$L$1764, 8)</f>
        <v>1230006.994819456</v>
      </c>
      <c r="H465" s="81">
        <f>VLOOKUP(A465, localcont!$D$10:$L$1764, 9)*F465</f>
        <v>246005.22340980443</v>
      </c>
    </row>
    <row r="466" spans="1:8">
      <c r="A466" s="6">
        <v>1006</v>
      </c>
      <c r="B466" s="6">
        <v>202</v>
      </c>
      <c r="C466" s="6" t="s">
        <v>1320</v>
      </c>
      <c r="D466" s="6">
        <v>202</v>
      </c>
      <c r="E466" s="6" t="s">
        <v>883</v>
      </c>
      <c r="F466" s="8">
        <f t="shared" si="8"/>
        <v>1183694</v>
      </c>
      <c r="G466" s="8">
        <f>VLOOKUP(A466, localcont!$D$10:$L$1764, 8)</f>
        <v>16860.330000000002</v>
      </c>
      <c r="H466" s="81">
        <f>VLOOKUP(A466, localcont!$D$10:$L$1764, 9)*F466</f>
        <v>11663.551946042873</v>
      </c>
    </row>
    <row r="467" spans="1:8">
      <c r="A467" s="6">
        <v>1007</v>
      </c>
      <c r="B467" s="6">
        <v>202</v>
      </c>
      <c r="C467" s="6" t="s">
        <v>1320</v>
      </c>
      <c r="D467" s="6">
        <v>753</v>
      </c>
      <c r="E467" s="6" t="s">
        <v>1079</v>
      </c>
      <c r="F467" s="8">
        <f t="shared" si="8"/>
        <v>1183694</v>
      </c>
      <c r="G467" s="8">
        <f>VLOOKUP(A467, localcont!$D$10:$L$1764, 8)</f>
        <v>1476340.4102488942</v>
      </c>
      <c r="H467" s="81">
        <f>VLOOKUP(A467, localcont!$D$10:$L$1764, 9)*F467</f>
        <v>1021295.1386467656</v>
      </c>
    </row>
    <row r="468" spans="1:8">
      <c r="A468" s="6">
        <v>1008</v>
      </c>
      <c r="B468" s="6">
        <v>202</v>
      </c>
      <c r="C468" s="6" t="s">
        <v>1320</v>
      </c>
      <c r="D468" s="6">
        <v>860</v>
      </c>
      <c r="E468" s="6" t="s">
        <v>1110</v>
      </c>
      <c r="F468" s="8">
        <f t="shared" si="8"/>
        <v>1183694</v>
      </c>
      <c r="G468" s="8">
        <f>VLOOKUP(A468, localcont!$D$10:$L$1764, 8)</f>
        <v>217896.4925105508</v>
      </c>
      <c r="H468" s="81">
        <f>VLOOKUP(A468, localcont!$D$10:$L$1764, 9)*F468</f>
        <v>150735.30940719135</v>
      </c>
    </row>
    <row r="469" spans="1:8">
      <c r="A469" s="6">
        <v>1011</v>
      </c>
      <c r="B469" s="6">
        <v>203</v>
      </c>
      <c r="C469" s="6" t="s">
        <v>1321</v>
      </c>
      <c r="D469" s="6">
        <v>203</v>
      </c>
      <c r="E469" s="6" t="s">
        <v>884</v>
      </c>
      <c r="F469" s="8">
        <f t="shared" si="8"/>
        <v>20070464</v>
      </c>
      <c r="G469" s="8">
        <f>VLOOKUP(A469, localcont!$D$10:$L$1764, 8)</f>
        <v>52022.572920000006</v>
      </c>
      <c r="H469" s="81">
        <f>VLOOKUP(A469, localcont!$D$10:$L$1764, 9)*F469</f>
        <v>115743.38114436256</v>
      </c>
    </row>
    <row r="470" spans="1:8">
      <c r="A470" s="6">
        <v>1012</v>
      </c>
      <c r="B470" s="6">
        <v>203</v>
      </c>
      <c r="C470" s="6" t="s">
        <v>1321</v>
      </c>
      <c r="D470" s="6">
        <v>773</v>
      </c>
      <c r="E470" s="6" t="s">
        <v>1087</v>
      </c>
      <c r="F470" s="8">
        <f t="shared" si="8"/>
        <v>20070464</v>
      </c>
      <c r="G470" s="8">
        <f>VLOOKUP(A470, localcont!$D$10:$L$1764, 8)</f>
        <v>8627410.4962582532</v>
      </c>
      <c r="H470" s="81">
        <f>VLOOKUP(A470, localcont!$D$10:$L$1764, 9)*F470</f>
        <v>19194853.412822954</v>
      </c>
    </row>
    <row r="471" spans="1:8">
      <c r="A471" s="6">
        <v>1013</v>
      </c>
      <c r="B471" s="6">
        <v>203</v>
      </c>
      <c r="C471" s="6" t="s">
        <v>1321</v>
      </c>
      <c r="D471" s="6">
        <v>885</v>
      </c>
      <c r="E471" s="6" t="s">
        <v>1117</v>
      </c>
      <c r="F471" s="8">
        <f t="shared" si="8"/>
        <v>20070464</v>
      </c>
      <c r="G471" s="8">
        <f>VLOOKUP(A471, localcont!$D$10:$L$1764, 8)</f>
        <v>341533.54381489148</v>
      </c>
      <c r="H471" s="81">
        <f>VLOOKUP(A471, localcont!$D$10:$L$1764, 9)*F471</f>
        <v>759867.20603268128</v>
      </c>
    </row>
    <row r="472" spans="1:8">
      <c r="A472" s="6">
        <v>1016</v>
      </c>
      <c r="B472" s="6">
        <v>204</v>
      </c>
      <c r="C472" s="6" t="s">
        <v>1322</v>
      </c>
      <c r="D472" s="6">
        <v>204</v>
      </c>
      <c r="E472" s="6" t="s">
        <v>885</v>
      </c>
      <c r="F472" s="8">
        <f t="shared" si="8"/>
        <v>45429891</v>
      </c>
      <c r="G472" s="8">
        <f>VLOOKUP(A472, localcont!$D$10:$L$1764, 8)</f>
        <v>27513365.690000001</v>
      </c>
      <c r="H472" s="81">
        <f>VLOOKUP(A472, localcont!$D$10:$L$1764, 9)*F472</f>
        <v>44329338.189598814</v>
      </c>
    </row>
    <row r="473" spans="1:8">
      <c r="A473" s="6">
        <v>1017</v>
      </c>
      <c r="B473" s="6">
        <v>204</v>
      </c>
      <c r="C473" s="6" t="s">
        <v>1322</v>
      </c>
      <c r="D473" s="6">
        <v>885</v>
      </c>
      <c r="E473" s="6" t="s">
        <v>1117</v>
      </c>
      <c r="F473" s="8">
        <f t="shared" si="8"/>
        <v>45429891</v>
      </c>
      <c r="G473" s="8">
        <f>VLOOKUP(A473, localcont!$D$10:$L$1764, 8)</f>
        <v>683067.08762978297</v>
      </c>
      <c r="H473" s="81">
        <f>VLOOKUP(A473, localcont!$D$10:$L$1764, 9)*F473</f>
        <v>1100552.8104011829</v>
      </c>
    </row>
    <row r="474" spans="1:8">
      <c r="A474" s="6">
        <v>1021</v>
      </c>
      <c r="B474" s="6">
        <v>205</v>
      </c>
      <c r="C474" s="6" t="s">
        <v>1323</v>
      </c>
      <c r="D474" s="6">
        <v>205</v>
      </c>
      <c r="E474" s="6" t="s">
        <v>886</v>
      </c>
      <c r="F474" s="8">
        <f t="shared" si="8"/>
        <v>3298155</v>
      </c>
      <c r="G474" s="8">
        <f>VLOOKUP(A474, localcont!$D$10:$L$1764, 8)</f>
        <v>0</v>
      </c>
      <c r="H474" s="81">
        <f>VLOOKUP(A474, localcont!$D$10:$L$1764, 9)*F474</f>
        <v>0</v>
      </c>
    </row>
    <row r="475" spans="1:8">
      <c r="A475" s="6">
        <v>1022</v>
      </c>
      <c r="B475" s="6">
        <v>205</v>
      </c>
      <c r="C475" s="6" t="s">
        <v>1323</v>
      </c>
      <c r="D475" s="6">
        <v>765</v>
      </c>
      <c r="E475" s="6" t="s">
        <v>1083</v>
      </c>
      <c r="F475" s="8">
        <f t="shared" si="8"/>
        <v>3298155</v>
      </c>
      <c r="G475" s="8">
        <f>VLOOKUP(A475, localcont!$D$10:$L$1764, 8)</f>
        <v>1562618.7653067869</v>
      </c>
      <c r="H475" s="81">
        <f>VLOOKUP(A475, localcont!$D$10:$L$1764, 9)*F475</f>
        <v>3298155</v>
      </c>
    </row>
    <row r="476" spans="1:8">
      <c r="A476" s="6">
        <v>1026</v>
      </c>
      <c r="B476" s="6">
        <v>206</v>
      </c>
      <c r="C476" s="6" t="s">
        <v>1324</v>
      </c>
      <c r="D476" s="6">
        <v>206</v>
      </c>
      <c r="E476" s="6" t="s">
        <v>887</v>
      </c>
      <c r="F476" s="8">
        <f t="shared" si="8"/>
        <v>962859</v>
      </c>
      <c r="G476" s="8">
        <f>VLOOKUP(A476, localcont!$D$10:$L$1764, 8)</f>
        <v>0</v>
      </c>
      <c r="H476" s="81">
        <f>VLOOKUP(A476, localcont!$D$10:$L$1764, 9)*F476</f>
        <v>0</v>
      </c>
    </row>
    <row r="477" spans="1:8">
      <c r="A477" s="6">
        <v>1027</v>
      </c>
      <c r="B477" s="6">
        <v>206</v>
      </c>
      <c r="C477" s="6" t="s">
        <v>1324</v>
      </c>
      <c r="D477" s="6">
        <v>728</v>
      </c>
      <c r="E477" s="6" t="s">
        <v>1073</v>
      </c>
      <c r="F477" s="8">
        <f t="shared" si="8"/>
        <v>962859</v>
      </c>
      <c r="G477" s="8">
        <f>VLOOKUP(A477, localcont!$D$10:$L$1764, 8)</f>
        <v>663731.27273391013</v>
      </c>
      <c r="H477" s="81">
        <f>VLOOKUP(A477, localcont!$D$10:$L$1764, 9)*F477</f>
        <v>456042.9940935428</v>
      </c>
    </row>
    <row r="478" spans="1:8">
      <c r="A478" s="6">
        <v>1028</v>
      </c>
      <c r="B478" s="6">
        <v>206</v>
      </c>
      <c r="C478" s="6" t="s">
        <v>1324</v>
      </c>
      <c r="D478" s="6">
        <v>755</v>
      </c>
      <c r="E478" s="6" t="s">
        <v>1080</v>
      </c>
      <c r="F478" s="8">
        <f t="shared" si="8"/>
        <v>962859</v>
      </c>
      <c r="G478" s="8">
        <f>VLOOKUP(A478, localcont!$D$10:$L$1764, 8)</f>
        <v>431629.97142456303</v>
      </c>
      <c r="H478" s="81">
        <f>VLOOKUP(A478, localcont!$D$10:$L$1764, 9)*F478</f>
        <v>296568.55506924709</v>
      </c>
    </row>
    <row r="479" spans="1:8">
      <c r="A479" s="6">
        <v>1029</v>
      </c>
      <c r="B479" s="6">
        <v>206</v>
      </c>
      <c r="C479" s="6" t="s">
        <v>1324</v>
      </c>
      <c r="D479" s="6">
        <v>818</v>
      </c>
      <c r="E479" s="6" t="s">
        <v>1098</v>
      </c>
      <c r="F479" s="8">
        <f t="shared" si="8"/>
        <v>962859</v>
      </c>
      <c r="G479" s="8">
        <f>VLOOKUP(A479, localcont!$D$10:$L$1764, 8)</f>
        <v>305997.0440081312</v>
      </c>
      <c r="H479" s="81">
        <f>VLOOKUP(A479, localcont!$D$10:$L$1764, 9)*F479</f>
        <v>210247.45083721023</v>
      </c>
    </row>
    <row r="480" spans="1:8">
      <c r="A480" s="6">
        <v>1031</v>
      </c>
      <c r="B480" s="6">
        <v>207</v>
      </c>
      <c r="C480" s="6" t="s">
        <v>1325</v>
      </c>
      <c r="D480" s="6">
        <v>207</v>
      </c>
      <c r="E480" s="6" t="s">
        <v>888</v>
      </c>
      <c r="F480" s="8">
        <f t="shared" si="8"/>
        <v>441097390</v>
      </c>
      <c r="G480" s="8">
        <f>VLOOKUP(A480, localcont!$D$10:$L$1764, 8)</f>
        <v>159609730.37020001</v>
      </c>
      <c r="H480" s="81">
        <f>VLOOKUP(A480, localcont!$D$10:$L$1764, 9)*F480</f>
        <v>441097390</v>
      </c>
    </row>
    <row r="481" spans="1:8">
      <c r="A481" s="6">
        <v>1036</v>
      </c>
      <c r="B481" s="6">
        <v>208</v>
      </c>
      <c r="C481" s="6" t="s">
        <v>1326</v>
      </c>
      <c r="D481" s="6">
        <v>208</v>
      </c>
      <c r="E481" s="6" t="s">
        <v>889</v>
      </c>
      <c r="F481" s="8">
        <f t="shared" si="8"/>
        <v>20790429</v>
      </c>
      <c r="G481" s="8">
        <f>VLOOKUP(A481, localcont!$D$10:$L$1764, 8)</f>
        <v>12579945.423040001</v>
      </c>
      <c r="H481" s="81">
        <f>VLOOKUP(A481, localcont!$D$10:$L$1764, 9)*F481</f>
        <v>11390407.400535617</v>
      </c>
    </row>
    <row r="482" spans="1:8">
      <c r="A482" s="6">
        <v>1037</v>
      </c>
      <c r="B482" s="6">
        <v>208</v>
      </c>
      <c r="C482" s="6" t="s">
        <v>1326</v>
      </c>
      <c r="D482" s="6">
        <v>690</v>
      </c>
      <c r="E482" s="6" t="s">
        <v>1062</v>
      </c>
      <c r="F482" s="8">
        <f t="shared" si="8"/>
        <v>20790429</v>
      </c>
      <c r="G482" s="8">
        <f>VLOOKUP(A482, localcont!$D$10:$L$1764, 8)</f>
        <v>9173066.6695414931</v>
      </c>
      <c r="H482" s="81">
        <f>VLOOKUP(A482, localcont!$D$10:$L$1764, 9)*F482</f>
        <v>8305677.247771618</v>
      </c>
    </row>
    <row r="483" spans="1:8">
      <c r="A483" s="6">
        <v>1038</v>
      </c>
      <c r="B483" s="6">
        <v>208</v>
      </c>
      <c r="C483" s="6" t="s">
        <v>1326</v>
      </c>
      <c r="D483" s="6">
        <v>878</v>
      </c>
      <c r="E483" s="6" t="s">
        <v>1115</v>
      </c>
      <c r="F483" s="8">
        <f t="shared" si="8"/>
        <v>20790429</v>
      </c>
      <c r="G483" s="8">
        <f>VLOOKUP(A483, localcont!$D$10:$L$1764, 8)</f>
        <v>878270.78362735233</v>
      </c>
      <c r="H483" s="81">
        <f>VLOOKUP(A483, localcont!$D$10:$L$1764, 9)*F483</f>
        <v>795223.00750059471</v>
      </c>
    </row>
    <row r="484" spans="1:8">
      <c r="A484" s="6">
        <v>1039</v>
      </c>
      <c r="B484" s="6">
        <v>208</v>
      </c>
      <c r="C484" s="6" t="s">
        <v>1326</v>
      </c>
      <c r="D484" s="6">
        <v>915</v>
      </c>
      <c r="E484" s="6" t="s">
        <v>1119</v>
      </c>
      <c r="F484" s="8">
        <f t="shared" si="8"/>
        <v>20790429</v>
      </c>
      <c r="G484" s="8">
        <f>VLOOKUP(A484, localcont!$D$10:$L$1764, 8)</f>
        <v>330359.57823834149</v>
      </c>
      <c r="H484" s="81">
        <f>VLOOKUP(A484, localcont!$D$10:$L$1764, 9)*F484</f>
        <v>299121.34419216745</v>
      </c>
    </row>
    <row r="485" spans="1:8">
      <c r="A485" s="6">
        <v>1041</v>
      </c>
      <c r="B485" s="6">
        <v>209</v>
      </c>
      <c r="C485" s="6" t="s">
        <v>1327</v>
      </c>
      <c r="D485" s="6">
        <v>209</v>
      </c>
      <c r="E485" s="6" t="s">
        <v>890</v>
      </c>
      <c r="F485" s="8">
        <f t="shared" si="8"/>
        <v>7108432</v>
      </c>
      <c r="G485" s="8">
        <f>VLOOKUP(A485, localcont!$D$10:$L$1764, 8)</f>
        <v>22174984.270000003</v>
      </c>
      <c r="H485" s="81">
        <f>VLOOKUP(A485, localcont!$D$10:$L$1764, 9)*F485</f>
        <v>6121860.5565440869</v>
      </c>
    </row>
    <row r="486" spans="1:8">
      <c r="A486" s="6">
        <v>1042</v>
      </c>
      <c r="B486" s="6">
        <v>209</v>
      </c>
      <c r="C486" s="6" t="s">
        <v>1327</v>
      </c>
      <c r="D486" s="6">
        <v>851</v>
      </c>
      <c r="E486" s="6" t="s">
        <v>1106</v>
      </c>
      <c r="F486" s="8">
        <f t="shared" si="8"/>
        <v>7108432</v>
      </c>
      <c r="G486" s="8">
        <f>VLOOKUP(A486, localcont!$D$10:$L$1764, 8)</f>
        <v>3573620.4766180092</v>
      </c>
      <c r="H486" s="81">
        <f>VLOOKUP(A486, localcont!$D$10:$L$1764, 9)*F486</f>
        <v>986571.44345591299</v>
      </c>
    </row>
    <row r="487" spans="1:8">
      <c r="A487" s="6">
        <v>1046</v>
      </c>
      <c r="B487" s="6">
        <v>210</v>
      </c>
      <c r="C487" s="6" t="s">
        <v>1328</v>
      </c>
      <c r="D487" s="6">
        <v>210</v>
      </c>
      <c r="E487" s="6" t="s">
        <v>891</v>
      </c>
      <c r="F487" s="8">
        <f t="shared" si="8"/>
        <v>35787563</v>
      </c>
      <c r="G487" s="8">
        <f>VLOOKUP(A487, localcont!$D$10:$L$1764, 8)</f>
        <v>35941837.469999999</v>
      </c>
      <c r="H487" s="81">
        <f>VLOOKUP(A487, localcont!$D$10:$L$1764, 9)*F487</f>
        <v>32340678.875399556</v>
      </c>
    </row>
    <row r="488" spans="1:8">
      <c r="A488" s="6">
        <v>1047</v>
      </c>
      <c r="B488" s="6">
        <v>210</v>
      </c>
      <c r="C488" s="6" t="s">
        <v>1328</v>
      </c>
      <c r="D488" s="6">
        <v>406</v>
      </c>
      <c r="E488" s="6" t="s">
        <v>1034</v>
      </c>
      <c r="F488" s="8">
        <f t="shared" si="8"/>
        <v>35787563</v>
      </c>
      <c r="G488" s="8">
        <f>VLOOKUP(A488, localcont!$D$10:$L$1764, 8)</f>
        <v>3830697.23</v>
      </c>
      <c r="H488" s="81">
        <f>VLOOKUP(A488, localcont!$D$10:$L$1764, 9)*F488</f>
        <v>3446884.1246004496</v>
      </c>
    </row>
    <row r="489" spans="1:8">
      <c r="A489" s="6">
        <v>1051</v>
      </c>
      <c r="B489" s="6">
        <v>211</v>
      </c>
      <c r="C489" s="6" t="s">
        <v>1329</v>
      </c>
      <c r="D489" s="6">
        <v>211</v>
      </c>
      <c r="E489" s="6" t="s">
        <v>892</v>
      </c>
      <c r="F489" s="8">
        <f t="shared" si="8"/>
        <v>61323932</v>
      </c>
      <c r="G489" s="8">
        <f>VLOOKUP(A489, localcont!$D$10:$L$1764, 8)</f>
        <v>58940201.540000007</v>
      </c>
      <c r="H489" s="81">
        <f>VLOOKUP(A489, localcont!$D$10:$L$1764, 9)*F489</f>
        <v>60286856.49572663</v>
      </c>
    </row>
    <row r="490" spans="1:8">
      <c r="A490" s="6">
        <v>1052</v>
      </c>
      <c r="B490" s="6">
        <v>211</v>
      </c>
      <c r="C490" s="6" t="s">
        <v>1329</v>
      </c>
      <c r="D490" s="6">
        <v>823</v>
      </c>
      <c r="E490" s="6" t="s">
        <v>1100</v>
      </c>
      <c r="F490" s="8">
        <f t="shared" si="8"/>
        <v>61323932</v>
      </c>
      <c r="G490" s="8">
        <f>VLOOKUP(A490, localcont!$D$10:$L$1764, 8)</f>
        <v>1013909.8766644481</v>
      </c>
      <c r="H490" s="81">
        <f>VLOOKUP(A490, localcont!$D$10:$L$1764, 9)*F490</f>
        <v>1037075.5042733683</v>
      </c>
    </row>
    <row r="491" spans="1:8">
      <c r="A491" s="6">
        <v>1056</v>
      </c>
      <c r="B491" s="6">
        <v>212</v>
      </c>
      <c r="C491" s="6" t="s">
        <v>1330</v>
      </c>
      <c r="D491" s="6">
        <v>212</v>
      </c>
      <c r="E491" s="6" t="s">
        <v>893</v>
      </c>
      <c r="F491" s="8">
        <f t="shared" si="8"/>
        <v>43095417</v>
      </c>
      <c r="G491" s="8">
        <f>VLOOKUP(A491, localcont!$D$10:$L$1764, 8)</f>
        <v>52550990.75</v>
      </c>
      <c r="H491" s="81">
        <f>VLOOKUP(A491, localcont!$D$10:$L$1764, 9)*F491</f>
        <v>39139886.924487509</v>
      </c>
    </row>
    <row r="492" spans="1:8">
      <c r="A492" s="6">
        <v>1057</v>
      </c>
      <c r="B492" s="6">
        <v>212</v>
      </c>
      <c r="C492" s="6" t="s">
        <v>1330</v>
      </c>
      <c r="D492" s="6">
        <v>878</v>
      </c>
      <c r="E492" s="6" t="s">
        <v>1115</v>
      </c>
      <c r="F492" s="8">
        <f t="shared" si="8"/>
        <v>43095417</v>
      </c>
      <c r="G492" s="8">
        <f>VLOOKUP(A492, localcont!$D$10:$L$1764, 8)</f>
        <v>5123246.2379575446</v>
      </c>
      <c r="H492" s="81">
        <f>VLOOKUP(A492, localcont!$D$10:$L$1764, 9)*F492</f>
        <v>3815784.9277078444</v>
      </c>
    </row>
    <row r="493" spans="1:8">
      <c r="A493" s="6">
        <v>1058</v>
      </c>
      <c r="B493" s="6">
        <v>212</v>
      </c>
      <c r="C493" s="6" t="s">
        <v>1330</v>
      </c>
      <c r="D493" s="6">
        <v>910</v>
      </c>
      <c r="E493" s="6" t="s">
        <v>1118</v>
      </c>
      <c r="F493" s="8">
        <f t="shared" si="8"/>
        <v>43095417</v>
      </c>
      <c r="G493" s="8">
        <f>VLOOKUP(A493, localcont!$D$10:$L$1764, 8)</f>
        <v>187628.18563598057</v>
      </c>
      <c r="H493" s="81">
        <f>VLOOKUP(A493, localcont!$D$10:$L$1764, 9)*F493</f>
        <v>139745.14780464023</v>
      </c>
    </row>
    <row r="494" spans="1:8">
      <c r="A494" s="6">
        <v>1061</v>
      </c>
      <c r="B494" s="6">
        <v>213</v>
      </c>
      <c r="C494" s="6" t="s">
        <v>1331</v>
      </c>
      <c r="D494" s="6">
        <v>213</v>
      </c>
      <c r="E494" s="6" t="s">
        <v>894</v>
      </c>
      <c r="F494" s="8">
        <f t="shared" si="8"/>
        <v>31316312</v>
      </c>
      <c r="G494" s="8">
        <f>VLOOKUP(A494, localcont!$D$10:$L$1764, 8)</f>
        <v>20846041.259999998</v>
      </c>
      <c r="H494" s="81">
        <f>VLOOKUP(A494, localcont!$D$10:$L$1764, 9)*F494</f>
        <v>19946978.27498468</v>
      </c>
    </row>
    <row r="495" spans="1:8">
      <c r="A495" s="6">
        <v>1062</v>
      </c>
      <c r="B495" s="6">
        <v>213</v>
      </c>
      <c r="C495" s="6" t="s">
        <v>1331</v>
      </c>
      <c r="D495" s="6">
        <v>730</v>
      </c>
      <c r="E495" s="6" t="s">
        <v>1074</v>
      </c>
      <c r="F495" s="8">
        <f t="shared" si="8"/>
        <v>31316312</v>
      </c>
      <c r="G495" s="8">
        <f>VLOOKUP(A495, localcont!$D$10:$L$1764, 8)</f>
        <v>10347349.91850784</v>
      </c>
      <c r="H495" s="81">
        <f>VLOOKUP(A495, localcont!$D$10:$L$1764, 9)*F495</f>
        <v>9901082.006595837</v>
      </c>
    </row>
    <row r="496" spans="1:8">
      <c r="A496" s="6">
        <v>1063</v>
      </c>
      <c r="B496" s="6">
        <v>213</v>
      </c>
      <c r="C496" s="6" t="s">
        <v>1331</v>
      </c>
      <c r="D496" s="6">
        <v>801</v>
      </c>
      <c r="E496" s="6" t="s">
        <v>1092</v>
      </c>
      <c r="F496" s="8">
        <f t="shared" si="8"/>
        <v>31316312</v>
      </c>
      <c r="G496" s="8">
        <f>VLOOKUP(A496, localcont!$D$10:$L$1764, 8)</f>
        <v>1534429.7005939318</v>
      </c>
      <c r="H496" s="81">
        <f>VLOOKUP(A496, localcont!$D$10:$L$1764, 9)*F496</f>
        <v>1468251.7184194813</v>
      </c>
    </row>
    <row r="497" spans="1:8">
      <c r="A497" s="6">
        <v>1066</v>
      </c>
      <c r="B497" s="6">
        <v>214</v>
      </c>
      <c r="C497" s="6" t="s">
        <v>1332</v>
      </c>
      <c r="D497" s="6">
        <v>214</v>
      </c>
      <c r="E497" s="6" t="s">
        <v>895</v>
      </c>
      <c r="F497" s="8">
        <f t="shared" si="8"/>
        <v>18909569</v>
      </c>
      <c r="G497" s="8">
        <f>VLOOKUP(A497, localcont!$D$10:$L$1764, 8)</f>
        <v>27773856.899999991</v>
      </c>
      <c r="H497" s="81">
        <f>VLOOKUP(A497, localcont!$D$10:$L$1764, 9)*F497</f>
        <v>17032603.975103751</v>
      </c>
    </row>
    <row r="498" spans="1:8">
      <c r="A498" s="6">
        <v>1067</v>
      </c>
      <c r="B498" s="6">
        <v>214</v>
      </c>
      <c r="C498" s="6" t="s">
        <v>1332</v>
      </c>
      <c r="D498" s="6">
        <v>805</v>
      </c>
      <c r="E498" s="6" t="s">
        <v>1093</v>
      </c>
      <c r="F498" s="8">
        <f t="shared" si="8"/>
        <v>18909569</v>
      </c>
      <c r="G498" s="8">
        <f>VLOOKUP(A498, localcont!$D$10:$L$1764, 8)</f>
        <v>3060633.4817607244</v>
      </c>
      <c r="H498" s="81">
        <f>VLOOKUP(A498, localcont!$D$10:$L$1764, 9)*F498</f>
        <v>1876965.0248962492</v>
      </c>
    </row>
    <row r="499" spans="1:8">
      <c r="A499" s="6">
        <v>1071</v>
      </c>
      <c r="B499" s="6">
        <v>215</v>
      </c>
      <c r="C499" s="6" t="s">
        <v>1333</v>
      </c>
      <c r="D499" s="6">
        <v>215</v>
      </c>
      <c r="E499" s="6" t="s">
        <v>896</v>
      </c>
      <c r="F499" s="8">
        <f t="shared" si="8"/>
        <v>4472377</v>
      </c>
      <c r="G499" s="8">
        <f>VLOOKUP(A499, localcont!$D$10:$L$1764, 8)</f>
        <v>8161429.120000002</v>
      </c>
      <c r="H499" s="81">
        <f>VLOOKUP(A499, localcont!$D$10:$L$1764, 9)*F499</f>
        <v>3969919.7509733816</v>
      </c>
    </row>
    <row r="500" spans="1:8">
      <c r="A500" s="6">
        <v>1072</v>
      </c>
      <c r="B500" s="6">
        <v>215</v>
      </c>
      <c r="C500" s="6" t="s">
        <v>1333</v>
      </c>
      <c r="D500" s="6">
        <v>876</v>
      </c>
      <c r="E500" s="6" t="s">
        <v>1114</v>
      </c>
      <c r="F500" s="8">
        <f t="shared" si="8"/>
        <v>4472377</v>
      </c>
      <c r="G500" s="8">
        <f>VLOOKUP(A500, localcont!$D$10:$L$1764, 8)</f>
        <v>1032960.2311874123</v>
      </c>
      <c r="H500" s="81">
        <f>VLOOKUP(A500, localcont!$D$10:$L$1764, 9)*F500</f>
        <v>502457.24902661872</v>
      </c>
    </row>
    <row r="501" spans="1:8">
      <c r="A501" s="6">
        <v>1076</v>
      </c>
      <c r="B501" s="6">
        <v>216</v>
      </c>
      <c r="C501" s="6" t="s">
        <v>1334</v>
      </c>
      <c r="D501" s="6">
        <v>216</v>
      </c>
      <c r="E501" s="6" t="s">
        <v>897</v>
      </c>
      <c r="F501" s="8">
        <f t="shared" si="8"/>
        <v>3963292</v>
      </c>
      <c r="G501" s="8">
        <f>VLOOKUP(A501, localcont!$D$10:$L$1764, 8)</f>
        <v>0</v>
      </c>
      <c r="H501" s="81">
        <f>VLOOKUP(A501, localcont!$D$10:$L$1764, 9)*F501</f>
        <v>0</v>
      </c>
    </row>
    <row r="502" spans="1:8">
      <c r="A502" s="6">
        <v>1077</v>
      </c>
      <c r="B502" s="6">
        <v>216</v>
      </c>
      <c r="C502" s="6" t="s">
        <v>1334</v>
      </c>
      <c r="D502" s="6">
        <v>750</v>
      </c>
      <c r="E502" s="6" t="s">
        <v>1078</v>
      </c>
      <c r="F502" s="8">
        <f t="shared" si="8"/>
        <v>3963292</v>
      </c>
      <c r="G502" s="8">
        <f>VLOOKUP(A502, localcont!$D$10:$L$1764, 8)</f>
        <v>3598952.1589709213</v>
      </c>
      <c r="H502" s="81">
        <f>VLOOKUP(A502, localcont!$D$10:$L$1764, 9)*F502</f>
        <v>3188680.2434353922</v>
      </c>
    </row>
    <row r="503" spans="1:8">
      <c r="A503" s="6">
        <v>1078</v>
      </c>
      <c r="B503" s="6">
        <v>216</v>
      </c>
      <c r="C503" s="6" t="s">
        <v>1334</v>
      </c>
      <c r="D503" s="6">
        <v>818</v>
      </c>
      <c r="E503" s="6" t="s">
        <v>1098</v>
      </c>
      <c r="F503" s="8">
        <f t="shared" si="8"/>
        <v>3963292</v>
      </c>
      <c r="G503" s="8">
        <f>VLOOKUP(A503, localcont!$D$10:$L$1764, 8)</f>
        <v>874277.26859466056</v>
      </c>
      <c r="H503" s="81">
        <f>VLOOKUP(A503, localcont!$D$10:$L$1764, 9)*F503</f>
        <v>774611.75656460761</v>
      </c>
    </row>
    <row r="504" spans="1:8">
      <c r="A504" s="6">
        <v>1081</v>
      </c>
      <c r="B504" s="6">
        <v>217</v>
      </c>
      <c r="C504" s="6" t="s">
        <v>1335</v>
      </c>
      <c r="D504" s="6">
        <v>217</v>
      </c>
      <c r="E504" s="6" t="s">
        <v>898</v>
      </c>
      <c r="F504" s="8">
        <f t="shared" si="8"/>
        <v>34789232</v>
      </c>
      <c r="G504" s="8">
        <f>VLOOKUP(A504, localcont!$D$10:$L$1764, 8)</f>
        <v>29675954.006980006</v>
      </c>
      <c r="H504" s="81">
        <f>VLOOKUP(A504, localcont!$D$10:$L$1764, 9)*F504</f>
        <v>33710098.653116457</v>
      </c>
    </row>
    <row r="505" spans="1:8">
      <c r="A505" s="6">
        <v>1082</v>
      </c>
      <c r="B505" s="6">
        <v>217</v>
      </c>
      <c r="C505" s="6" t="s">
        <v>1335</v>
      </c>
      <c r="D505" s="6">
        <v>853</v>
      </c>
      <c r="E505" s="6" t="s">
        <v>1108</v>
      </c>
      <c r="F505" s="8">
        <f t="shared" si="8"/>
        <v>34789232</v>
      </c>
      <c r="G505" s="8">
        <f>VLOOKUP(A505, localcont!$D$10:$L$1764, 8)</f>
        <v>949991.6300765255</v>
      </c>
      <c r="H505" s="81">
        <f>VLOOKUP(A505, localcont!$D$10:$L$1764, 9)*F505</f>
        <v>1079133.3468835484</v>
      </c>
    </row>
    <row r="506" spans="1:8">
      <c r="A506" s="6">
        <v>1086</v>
      </c>
      <c r="B506" s="6">
        <v>218</v>
      </c>
      <c r="C506" s="6" t="s">
        <v>1336</v>
      </c>
      <c r="D506" s="6">
        <v>218</v>
      </c>
      <c r="E506" s="6" t="s">
        <v>899</v>
      </c>
      <c r="F506" s="8">
        <f t="shared" si="8"/>
        <v>25315634</v>
      </c>
      <c r="G506" s="8">
        <f>VLOOKUP(A506, localcont!$D$10:$L$1764, 8)</f>
        <v>29386897.029999994</v>
      </c>
      <c r="H506" s="81">
        <f>VLOOKUP(A506, localcont!$D$10:$L$1764, 9)*F506</f>
        <v>23393541.12172946</v>
      </c>
    </row>
    <row r="507" spans="1:8">
      <c r="A507" s="6">
        <v>1087</v>
      </c>
      <c r="B507" s="6">
        <v>218</v>
      </c>
      <c r="C507" s="6" t="s">
        <v>1336</v>
      </c>
      <c r="D507" s="6">
        <v>872</v>
      </c>
      <c r="E507" s="6" t="s">
        <v>1112</v>
      </c>
      <c r="F507" s="8">
        <f t="shared" si="8"/>
        <v>25315634</v>
      </c>
      <c r="G507" s="8">
        <f>VLOOKUP(A507, localcont!$D$10:$L$1764, 8)</f>
        <v>2101813.7347341846</v>
      </c>
      <c r="H507" s="81">
        <f>VLOOKUP(A507, localcont!$D$10:$L$1764, 9)*F507</f>
        <v>1673156.1002689479</v>
      </c>
    </row>
    <row r="508" spans="1:8">
      <c r="A508" s="6">
        <v>1088</v>
      </c>
      <c r="B508" s="6">
        <v>218</v>
      </c>
      <c r="C508" s="6" t="s">
        <v>1336</v>
      </c>
      <c r="D508" s="6">
        <v>910</v>
      </c>
      <c r="E508" s="6" t="s">
        <v>1118</v>
      </c>
      <c r="F508" s="8">
        <f t="shared" si="8"/>
        <v>25315634</v>
      </c>
      <c r="G508" s="8">
        <f>VLOOKUP(A508, localcont!$D$10:$L$1764, 8)</f>
        <v>312713.64279765502</v>
      </c>
      <c r="H508" s="81">
        <f>VLOOKUP(A508, localcont!$D$10:$L$1764, 9)*F508</f>
        <v>248936.77800159226</v>
      </c>
    </row>
    <row r="509" spans="1:8">
      <c r="A509" s="6">
        <v>1091</v>
      </c>
      <c r="B509" s="6">
        <v>219</v>
      </c>
      <c r="C509" s="6" t="s">
        <v>1337</v>
      </c>
      <c r="D509" s="6">
        <v>219</v>
      </c>
      <c r="E509" s="6" t="s">
        <v>900</v>
      </c>
      <c r="F509" s="8">
        <f t="shared" si="8"/>
        <v>33864081</v>
      </c>
      <c r="G509" s="8">
        <f>VLOOKUP(A509, localcont!$D$10:$L$1764, 8)</f>
        <v>26697645.459049996</v>
      </c>
      <c r="H509" s="81">
        <f>VLOOKUP(A509, localcont!$D$10:$L$1764, 9)*F509</f>
        <v>33291565.963444337</v>
      </c>
    </row>
    <row r="510" spans="1:8">
      <c r="A510" s="6">
        <v>1092</v>
      </c>
      <c r="B510" s="6">
        <v>219</v>
      </c>
      <c r="C510" s="6" t="s">
        <v>1337</v>
      </c>
      <c r="D510" s="6">
        <v>873</v>
      </c>
      <c r="E510" s="6" t="s">
        <v>1113</v>
      </c>
      <c r="F510" s="8">
        <f t="shared" si="8"/>
        <v>33864081</v>
      </c>
      <c r="G510" s="8">
        <f>VLOOKUP(A510, localcont!$D$10:$L$1764, 8)</f>
        <v>459119.39026003063</v>
      </c>
      <c r="H510" s="81">
        <f>VLOOKUP(A510, localcont!$D$10:$L$1764, 9)*F510</f>
        <v>572515.03655566357</v>
      </c>
    </row>
    <row r="511" spans="1:8">
      <c r="A511" s="6">
        <v>1096</v>
      </c>
      <c r="B511" s="6">
        <v>220</v>
      </c>
      <c r="C511" s="6" t="s">
        <v>1338</v>
      </c>
      <c r="D511" s="6">
        <v>220</v>
      </c>
      <c r="E511" s="6" t="s">
        <v>901</v>
      </c>
      <c r="F511" s="8">
        <f t="shared" si="8"/>
        <v>51267739</v>
      </c>
      <c r="G511" s="8">
        <f>VLOOKUP(A511, localcont!$D$10:$L$1764, 8)</f>
        <v>56535316.259999998</v>
      </c>
      <c r="H511" s="81">
        <f>VLOOKUP(A511, localcont!$D$10:$L$1764, 9)*F511</f>
        <v>48958624.165993974</v>
      </c>
    </row>
    <row r="512" spans="1:8">
      <c r="A512" s="6">
        <v>1097</v>
      </c>
      <c r="B512" s="6">
        <v>220</v>
      </c>
      <c r="C512" s="6" t="s">
        <v>1338</v>
      </c>
      <c r="D512" s="6">
        <v>806</v>
      </c>
      <c r="E512" s="6" t="s">
        <v>1094</v>
      </c>
      <c r="F512" s="8">
        <f t="shared" si="8"/>
        <v>51267739</v>
      </c>
      <c r="G512" s="8">
        <f>VLOOKUP(A512, localcont!$D$10:$L$1764, 8)</f>
        <v>2402178.9640076384</v>
      </c>
      <c r="H512" s="81">
        <f>VLOOKUP(A512, localcont!$D$10:$L$1764, 9)*F512</f>
        <v>2080246.2046456544</v>
      </c>
    </row>
    <row r="513" spans="1:8">
      <c r="A513" s="6">
        <v>1098</v>
      </c>
      <c r="B513" s="6">
        <v>220</v>
      </c>
      <c r="C513" s="6" t="s">
        <v>1338</v>
      </c>
      <c r="D513" s="6">
        <v>915</v>
      </c>
      <c r="E513" s="6" t="s">
        <v>1119</v>
      </c>
      <c r="F513" s="8">
        <f t="shared" si="8"/>
        <v>51267739</v>
      </c>
      <c r="G513" s="8">
        <f>VLOOKUP(A513, localcont!$D$10:$L$1764, 8)</f>
        <v>264287.66255790152</v>
      </c>
      <c r="H513" s="81">
        <f>VLOOKUP(A513, localcont!$D$10:$L$1764, 9)*F513</f>
        <v>228868.62936037176</v>
      </c>
    </row>
    <row r="514" spans="1:8">
      <c r="A514" s="6">
        <v>1101</v>
      </c>
      <c r="B514" s="6">
        <v>221</v>
      </c>
      <c r="C514" s="6" t="s">
        <v>1339</v>
      </c>
      <c r="D514" s="6">
        <v>221</v>
      </c>
      <c r="E514" s="6" t="s">
        <v>902</v>
      </c>
      <c r="F514" s="8">
        <f t="shared" si="8"/>
        <v>19662340</v>
      </c>
      <c r="G514" s="8">
        <f>VLOOKUP(A514, localcont!$D$10:$L$1764, 8)</f>
        <v>6233849.8500000006</v>
      </c>
      <c r="H514" s="81">
        <f>VLOOKUP(A514, localcont!$D$10:$L$1764, 9)*F514</f>
        <v>12169658.230802156</v>
      </c>
    </row>
    <row r="515" spans="1:8">
      <c r="A515" s="6">
        <v>1102</v>
      </c>
      <c r="B515" s="6">
        <v>221</v>
      </c>
      <c r="C515" s="6" t="s">
        <v>1339</v>
      </c>
      <c r="D515" s="6">
        <v>700</v>
      </c>
      <c r="E515" s="6" t="s">
        <v>1065</v>
      </c>
      <c r="F515" s="8">
        <f t="shared" si="8"/>
        <v>19662340</v>
      </c>
      <c r="G515" s="8">
        <f>VLOOKUP(A515, localcont!$D$10:$L$1764, 8)</f>
        <v>3838090.7858850332</v>
      </c>
      <c r="H515" s="81">
        <f>VLOOKUP(A515, localcont!$D$10:$L$1764, 9)*F515</f>
        <v>7492681.769197843</v>
      </c>
    </row>
    <row r="516" spans="1:8">
      <c r="A516" s="6">
        <v>1106</v>
      </c>
      <c r="B516" s="6">
        <v>222</v>
      </c>
      <c r="C516" s="6" t="s">
        <v>1340</v>
      </c>
      <c r="D516" s="6">
        <v>222</v>
      </c>
      <c r="E516" s="6" t="s">
        <v>903</v>
      </c>
      <c r="F516" s="8">
        <f t="shared" si="8"/>
        <v>2159350</v>
      </c>
      <c r="G516" s="8">
        <f>VLOOKUP(A516, localcont!$D$10:$L$1764, 8)</f>
        <v>0</v>
      </c>
      <c r="H516" s="81">
        <f>VLOOKUP(A516, localcont!$D$10:$L$1764, 9)*F516</f>
        <v>0</v>
      </c>
    </row>
    <row r="517" spans="1:8">
      <c r="A517" s="6">
        <v>1107</v>
      </c>
      <c r="B517" s="6">
        <v>222</v>
      </c>
      <c r="C517" s="6" t="s">
        <v>1340</v>
      </c>
      <c r="D517" s="6">
        <v>753</v>
      </c>
      <c r="E517" s="6" t="s">
        <v>1079</v>
      </c>
      <c r="F517" s="8">
        <f t="shared" si="8"/>
        <v>2159350</v>
      </c>
      <c r="G517" s="8">
        <f>VLOOKUP(A517, localcont!$D$10:$L$1764, 8)</f>
        <v>3273018.8337757913</v>
      </c>
      <c r="H517" s="81">
        <f>VLOOKUP(A517, localcont!$D$10:$L$1764, 9)*F517</f>
        <v>1975250.7551405146</v>
      </c>
    </row>
    <row r="518" spans="1:8">
      <c r="A518" s="6">
        <v>1108</v>
      </c>
      <c r="B518" s="6">
        <v>222</v>
      </c>
      <c r="C518" s="6" t="s">
        <v>1340</v>
      </c>
      <c r="D518" s="6">
        <v>860</v>
      </c>
      <c r="E518" s="6" t="s">
        <v>1110</v>
      </c>
      <c r="F518" s="8">
        <f t="shared" si="8"/>
        <v>2159350</v>
      </c>
      <c r="G518" s="8">
        <f>VLOOKUP(A518, localcont!$D$10:$L$1764, 8)</f>
        <v>305055.08940617146</v>
      </c>
      <c r="H518" s="81">
        <f>VLOOKUP(A518, localcont!$D$10:$L$1764, 9)*F518</f>
        <v>184099.2448594856</v>
      </c>
    </row>
    <row r="519" spans="1:8">
      <c r="A519" s="6">
        <v>1111</v>
      </c>
      <c r="B519" s="6">
        <v>223</v>
      </c>
      <c r="C519" s="6" t="s">
        <v>1341</v>
      </c>
      <c r="D519" s="6">
        <v>223</v>
      </c>
      <c r="E519" s="6" t="s">
        <v>904</v>
      </c>
      <c r="F519" s="8">
        <f t="shared" si="8"/>
        <v>5352618</v>
      </c>
      <c r="G519" s="8">
        <f>VLOOKUP(A519, localcont!$D$10:$L$1764, 8)</f>
        <v>9418168.6300000008</v>
      </c>
      <c r="H519" s="81">
        <f>VLOOKUP(A519, localcont!$D$10:$L$1764, 9)*F519</f>
        <v>2714290.4384420239</v>
      </c>
    </row>
    <row r="520" spans="1:8">
      <c r="A520" s="6">
        <v>1112</v>
      </c>
      <c r="B520" s="6">
        <v>223</v>
      </c>
      <c r="C520" s="6" t="s">
        <v>1341</v>
      </c>
      <c r="D520" s="6">
        <v>755</v>
      </c>
      <c r="E520" s="6" t="s">
        <v>1080</v>
      </c>
      <c r="F520" s="8">
        <f t="shared" si="8"/>
        <v>5352618</v>
      </c>
      <c r="G520" s="8">
        <f>VLOOKUP(A520, localcont!$D$10:$L$1764, 8)</f>
        <v>7121894.5291479211</v>
      </c>
      <c r="H520" s="81">
        <f>VLOOKUP(A520, localcont!$D$10:$L$1764, 9)*F520</f>
        <v>2052510.5233817373</v>
      </c>
    </row>
    <row r="521" spans="1:8">
      <c r="A521" s="6">
        <v>1113</v>
      </c>
      <c r="B521" s="6">
        <v>223</v>
      </c>
      <c r="C521" s="6" t="s">
        <v>1341</v>
      </c>
      <c r="D521" s="6">
        <v>818</v>
      </c>
      <c r="E521" s="6" t="s">
        <v>1098</v>
      </c>
      <c r="F521" s="8">
        <f t="shared" si="8"/>
        <v>5352618</v>
      </c>
      <c r="G521" s="8">
        <f>VLOOKUP(A521, localcont!$D$10:$L$1764, 8)</f>
        <v>2032694.6496697904</v>
      </c>
      <c r="H521" s="81">
        <f>VLOOKUP(A521, localcont!$D$10:$L$1764, 9)*F521</f>
        <v>585817.03817623947</v>
      </c>
    </row>
    <row r="522" spans="1:8">
      <c r="A522" s="6">
        <v>1116</v>
      </c>
      <c r="B522" s="6">
        <v>224</v>
      </c>
      <c r="C522" s="6" t="s">
        <v>1342</v>
      </c>
      <c r="D522" s="6">
        <v>224</v>
      </c>
      <c r="E522" s="6" t="s">
        <v>905</v>
      </c>
      <c r="F522" s="8">
        <f t="shared" si="8"/>
        <v>25881928</v>
      </c>
      <c r="G522" s="8">
        <f>VLOOKUP(A522, localcont!$D$10:$L$1764, 8)</f>
        <v>2052611.2499999998</v>
      </c>
      <c r="H522" s="81">
        <f>VLOOKUP(A522, localcont!$D$10:$L$1764, 9)*F522</f>
        <v>8595868.6776551753</v>
      </c>
    </row>
    <row r="523" spans="1:8">
      <c r="A523" s="6">
        <v>1117</v>
      </c>
      <c r="B523" s="6">
        <v>224</v>
      </c>
      <c r="C523" s="6" t="s">
        <v>1342</v>
      </c>
      <c r="D523" s="6">
        <v>660</v>
      </c>
      <c r="E523" s="6" t="s">
        <v>1051</v>
      </c>
      <c r="F523" s="8">
        <f t="shared" ref="F523:F586" si="9">VLOOKUP(B523, town351, 7)</f>
        <v>25881928</v>
      </c>
      <c r="G523" s="8">
        <f>VLOOKUP(A523, localcont!$D$10:$L$1764, 8)</f>
        <v>3800361.2816436989</v>
      </c>
      <c r="H523" s="81">
        <f>VLOOKUP(A523, localcont!$D$10:$L$1764, 9)*F523</f>
        <v>15915047.968608059</v>
      </c>
    </row>
    <row r="524" spans="1:8">
      <c r="A524" s="6">
        <v>1118</v>
      </c>
      <c r="B524" s="6">
        <v>224</v>
      </c>
      <c r="C524" s="6" t="s">
        <v>1342</v>
      </c>
      <c r="D524" s="6">
        <v>815</v>
      </c>
      <c r="E524" s="6" t="s">
        <v>1096</v>
      </c>
      <c r="F524" s="8">
        <f t="shared" si="9"/>
        <v>25881928</v>
      </c>
      <c r="G524" s="8">
        <f>VLOOKUP(A524, localcont!$D$10:$L$1764, 8)</f>
        <v>327384.40221558517</v>
      </c>
      <c r="H524" s="81">
        <f>VLOOKUP(A524, localcont!$D$10:$L$1764, 9)*F524</f>
        <v>1371011.3537367645</v>
      </c>
    </row>
    <row r="525" spans="1:8">
      <c r="A525" s="6">
        <v>1121</v>
      </c>
      <c r="B525" s="6">
        <v>225</v>
      </c>
      <c r="C525" s="6" t="s">
        <v>1343</v>
      </c>
      <c r="D525" s="6">
        <v>225</v>
      </c>
      <c r="E525" s="6" t="s">
        <v>906</v>
      </c>
      <c r="F525" s="8">
        <f t="shared" si="9"/>
        <v>4120922</v>
      </c>
      <c r="G525" s="8">
        <f>VLOOKUP(A525, localcont!$D$10:$L$1764, 8)</f>
        <v>0</v>
      </c>
      <c r="H525" s="81">
        <f>VLOOKUP(A525, localcont!$D$10:$L$1764, 9)*F525</f>
        <v>0</v>
      </c>
    </row>
    <row r="526" spans="1:8">
      <c r="A526" s="6">
        <v>1122</v>
      </c>
      <c r="B526" s="6">
        <v>225</v>
      </c>
      <c r="C526" s="6" t="s">
        <v>1343</v>
      </c>
      <c r="D526" s="6">
        <v>662</v>
      </c>
      <c r="E526" s="6" t="s">
        <v>1052</v>
      </c>
      <c r="F526" s="8">
        <f t="shared" si="9"/>
        <v>4120922</v>
      </c>
      <c r="G526" s="8">
        <f>VLOOKUP(A526, localcont!$D$10:$L$1764, 8)</f>
        <v>1870547.6596054086</v>
      </c>
      <c r="H526" s="81">
        <f>VLOOKUP(A526, localcont!$D$10:$L$1764, 9)*F526</f>
        <v>4120922</v>
      </c>
    </row>
    <row r="527" spans="1:8">
      <c r="A527" s="6">
        <v>1126</v>
      </c>
      <c r="B527" s="6">
        <v>226</v>
      </c>
      <c r="C527" s="6" t="s">
        <v>1344</v>
      </c>
      <c r="D527" s="6">
        <v>226</v>
      </c>
      <c r="E527" s="6" t="s">
        <v>907</v>
      </c>
      <c r="F527" s="8">
        <f t="shared" si="9"/>
        <v>13830063</v>
      </c>
      <c r="G527" s="8">
        <f>VLOOKUP(A527, localcont!$D$10:$L$1764, 8)</f>
        <v>23877644.359999999</v>
      </c>
      <c r="H527" s="81">
        <f>VLOOKUP(A527, localcont!$D$10:$L$1764, 9)*F527</f>
        <v>12250740.808628291</v>
      </c>
    </row>
    <row r="528" spans="1:8">
      <c r="A528" s="6">
        <v>1127</v>
      </c>
      <c r="B528" s="6">
        <v>226</v>
      </c>
      <c r="C528" s="6" t="s">
        <v>1344</v>
      </c>
      <c r="D528" s="6">
        <v>876</v>
      </c>
      <c r="E528" s="6" t="s">
        <v>1114</v>
      </c>
      <c r="F528" s="8">
        <f t="shared" si="9"/>
        <v>13830063</v>
      </c>
      <c r="G528" s="8">
        <f>VLOOKUP(A528, localcont!$D$10:$L$1764, 8)</f>
        <v>3078221.489174739</v>
      </c>
      <c r="H528" s="81">
        <f>VLOOKUP(A528, localcont!$D$10:$L$1764, 9)*F528</f>
        <v>1579322.1913717089</v>
      </c>
    </row>
    <row r="529" spans="1:8">
      <c r="A529" s="6">
        <v>1131</v>
      </c>
      <c r="B529" s="6">
        <v>227</v>
      </c>
      <c r="C529" s="6" t="s">
        <v>1345</v>
      </c>
      <c r="D529" s="6">
        <v>227</v>
      </c>
      <c r="E529" s="6" t="s">
        <v>908</v>
      </c>
      <c r="F529" s="8">
        <f t="shared" si="9"/>
        <v>9675647</v>
      </c>
      <c r="G529" s="8">
        <f>VLOOKUP(A529, localcont!$D$10:$L$1764, 8)</f>
        <v>19106951.319999997</v>
      </c>
      <c r="H529" s="81">
        <f>VLOOKUP(A529, localcont!$D$10:$L$1764, 9)*F529</f>
        <v>7989965.6470154412</v>
      </c>
    </row>
    <row r="530" spans="1:8">
      <c r="A530" s="6">
        <v>1132</v>
      </c>
      <c r="B530" s="6">
        <v>227</v>
      </c>
      <c r="C530" s="6" t="s">
        <v>1345</v>
      </c>
      <c r="D530" s="6">
        <v>860</v>
      </c>
      <c r="E530" s="6" t="s">
        <v>1110</v>
      </c>
      <c r="F530" s="8">
        <f t="shared" si="9"/>
        <v>9675647</v>
      </c>
      <c r="G530" s="8">
        <f>VLOOKUP(A530, localcont!$D$10:$L$1764, 8)</f>
        <v>4031085.1104270676</v>
      </c>
      <c r="H530" s="81">
        <f>VLOOKUP(A530, localcont!$D$10:$L$1764, 9)*F530</f>
        <v>1685681.35298456</v>
      </c>
    </row>
    <row r="531" spans="1:8">
      <c r="A531" s="6">
        <v>1136</v>
      </c>
      <c r="B531" s="6">
        <v>228</v>
      </c>
      <c r="C531" s="6" t="s">
        <v>1346</v>
      </c>
      <c r="D531" s="6">
        <v>228</v>
      </c>
      <c r="E531" s="6" t="s">
        <v>909</v>
      </c>
      <c r="F531" s="8">
        <f t="shared" si="9"/>
        <v>5998032</v>
      </c>
      <c r="G531" s="8">
        <f>VLOOKUP(A531, localcont!$D$10:$L$1764, 8)</f>
        <v>0</v>
      </c>
      <c r="H531" s="81">
        <f>VLOOKUP(A531, localcont!$D$10:$L$1764, 9)*F531</f>
        <v>0</v>
      </c>
    </row>
    <row r="532" spans="1:8">
      <c r="A532" s="6">
        <v>1137</v>
      </c>
      <c r="B532" s="6">
        <v>228</v>
      </c>
      <c r="C532" s="6" t="s">
        <v>1346</v>
      </c>
      <c r="D532" s="6">
        <v>775</v>
      </c>
      <c r="E532" s="6" t="s">
        <v>1089</v>
      </c>
      <c r="F532" s="8">
        <f t="shared" si="9"/>
        <v>5998032</v>
      </c>
      <c r="G532" s="8">
        <f>VLOOKUP(A532, localcont!$D$10:$L$1764, 8)</f>
        <v>7836595.578435624</v>
      </c>
      <c r="H532" s="81">
        <f>VLOOKUP(A532, localcont!$D$10:$L$1764, 9)*F532</f>
        <v>5425874.1389294602</v>
      </c>
    </row>
    <row r="533" spans="1:8">
      <c r="A533" s="6">
        <v>1138</v>
      </c>
      <c r="B533" s="6">
        <v>228</v>
      </c>
      <c r="C533" s="6" t="s">
        <v>1346</v>
      </c>
      <c r="D533" s="6">
        <v>876</v>
      </c>
      <c r="E533" s="6" t="s">
        <v>1114</v>
      </c>
      <c r="F533" s="8">
        <f t="shared" si="9"/>
        <v>5998032</v>
      </c>
      <c r="G533" s="8">
        <f>VLOOKUP(A533, localcont!$D$10:$L$1764, 8)</f>
        <v>826368.18500128866</v>
      </c>
      <c r="H533" s="81">
        <f>VLOOKUP(A533, localcont!$D$10:$L$1764, 9)*F533</f>
        <v>572157.86107053875</v>
      </c>
    </row>
    <row r="534" spans="1:8">
      <c r="A534" s="6">
        <v>1141</v>
      </c>
      <c r="B534" s="6">
        <v>229</v>
      </c>
      <c r="C534" s="6" t="s">
        <v>1347</v>
      </c>
      <c r="D534" s="6">
        <v>229</v>
      </c>
      <c r="E534" s="6" t="s">
        <v>910</v>
      </c>
      <c r="F534" s="8">
        <f t="shared" si="9"/>
        <v>69778720</v>
      </c>
      <c r="G534" s="8">
        <f>VLOOKUP(A534, localcont!$D$10:$L$1764, 8)</f>
        <v>95329652.76000002</v>
      </c>
      <c r="H534" s="81">
        <f>VLOOKUP(A534, localcont!$D$10:$L$1764, 9)*F534</f>
        <v>64144654.825740375</v>
      </c>
    </row>
    <row r="535" spans="1:8">
      <c r="A535" s="6">
        <v>1142</v>
      </c>
      <c r="B535" s="6">
        <v>229</v>
      </c>
      <c r="C535" s="6" t="s">
        <v>1347</v>
      </c>
      <c r="D535" s="6">
        <v>817</v>
      </c>
      <c r="E535" s="6" t="s">
        <v>1097</v>
      </c>
      <c r="F535" s="8">
        <f t="shared" si="9"/>
        <v>69778720</v>
      </c>
      <c r="G535" s="8">
        <f>VLOOKUP(A535, localcont!$D$10:$L$1764, 8)</f>
        <v>8373160.2913521379</v>
      </c>
      <c r="H535" s="81">
        <f>VLOOKUP(A535, localcont!$D$10:$L$1764, 9)*F535</f>
        <v>5634065.1742596207</v>
      </c>
    </row>
    <row r="536" spans="1:8">
      <c r="A536" s="6">
        <v>1146</v>
      </c>
      <c r="B536" s="6">
        <v>230</v>
      </c>
      <c r="C536" s="6" t="s">
        <v>1348</v>
      </c>
      <c r="D536" s="6">
        <v>230</v>
      </c>
      <c r="E536" s="6" t="s">
        <v>911</v>
      </c>
      <c r="F536" s="8">
        <f t="shared" si="9"/>
        <v>1790716</v>
      </c>
      <c r="G536" s="8">
        <f>VLOOKUP(A536, localcont!$D$10:$L$1764, 8)</f>
        <v>910076.45</v>
      </c>
      <c r="H536" s="81">
        <f>VLOOKUP(A536, localcont!$D$10:$L$1764, 9)*F536</f>
        <v>823184.39949327765</v>
      </c>
    </row>
    <row r="537" spans="1:8">
      <c r="A537" s="6">
        <v>1147</v>
      </c>
      <c r="B537" s="6">
        <v>230</v>
      </c>
      <c r="C537" s="6" t="s">
        <v>1348</v>
      </c>
      <c r="D537" s="6">
        <v>605</v>
      </c>
      <c r="E537" s="6" t="s">
        <v>1036</v>
      </c>
      <c r="F537" s="8">
        <f t="shared" si="9"/>
        <v>1790716</v>
      </c>
      <c r="G537" s="8">
        <f>VLOOKUP(A537, localcont!$D$10:$L$1764, 8)</f>
        <v>1069660.3638188441</v>
      </c>
      <c r="H537" s="81">
        <f>VLOOKUP(A537, localcont!$D$10:$L$1764, 9)*F537</f>
        <v>967531.60050672235</v>
      </c>
    </row>
    <row r="538" spans="1:8">
      <c r="A538" s="6">
        <v>1151</v>
      </c>
      <c r="B538" s="6">
        <v>231</v>
      </c>
      <c r="C538" s="6" t="s">
        <v>1349</v>
      </c>
      <c r="D538" s="6">
        <v>231</v>
      </c>
      <c r="E538" s="6" t="s">
        <v>912</v>
      </c>
      <c r="F538" s="8">
        <f t="shared" si="9"/>
        <v>27030619</v>
      </c>
      <c r="G538" s="8">
        <f>VLOOKUP(A538, localcont!$D$10:$L$1764, 8)</f>
        <v>33089290.707739998</v>
      </c>
      <c r="H538" s="81">
        <f>VLOOKUP(A538, localcont!$D$10:$L$1764, 9)*F538</f>
        <v>27030619</v>
      </c>
    </row>
    <row r="539" spans="1:8">
      <c r="A539" s="6">
        <v>1156</v>
      </c>
      <c r="B539" s="6">
        <v>232</v>
      </c>
      <c r="C539" s="6" t="s">
        <v>1350</v>
      </c>
      <c r="D539" s="6">
        <v>232</v>
      </c>
      <c r="E539" s="6" t="s">
        <v>913</v>
      </c>
      <c r="F539" s="8">
        <f t="shared" si="9"/>
        <v>14746645</v>
      </c>
      <c r="G539" s="8">
        <f>VLOOKUP(A539, localcont!$D$10:$L$1764, 8)</f>
        <v>0</v>
      </c>
      <c r="H539" s="81">
        <f>VLOOKUP(A539, localcont!$D$10:$L$1764, 9)*F539</f>
        <v>0</v>
      </c>
    </row>
    <row r="540" spans="1:8">
      <c r="A540" s="6">
        <v>1157</v>
      </c>
      <c r="B540" s="6">
        <v>232</v>
      </c>
      <c r="C540" s="6" t="s">
        <v>1350</v>
      </c>
      <c r="D540" s="6">
        <v>735</v>
      </c>
      <c r="E540" s="6" t="s">
        <v>1075</v>
      </c>
      <c r="F540" s="8">
        <f t="shared" si="9"/>
        <v>14746645</v>
      </c>
      <c r="G540" s="8">
        <f>VLOOKUP(A540, localcont!$D$10:$L$1764, 8)</f>
        <v>20060441.752641227</v>
      </c>
      <c r="H540" s="81">
        <f>VLOOKUP(A540, localcont!$D$10:$L$1764, 9)*F540</f>
        <v>12973966.173921596</v>
      </c>
    </row>
    <row r="541" spans="1:8">
      <c r="A541" s="6">
        <v>1158</v>
      </c>
      <c r="B541" s="6">
        <v>232</v>
      </c>
      <c r="C541" s="6" t="s">
        <v>1350</v>
      </c>
      <c r="D541" s="6">
        <v>852</v>
      </c>
      <c r="E541" s="6" t="s">
        <v>1107</v>
      </c>
      <c r="F541" s="8">
        <f t="shared" si="9"/>
        <v>14746645</v>
      </c>
      <c r="G541" s="8">
        <f>VLOOKUP(A541, localcont!$D$10:$L$1764, 8)</f>
        <v>2740929.0158444592</v>
      </c>
      <c r="H541" s="81">
        <f>VLOOKUP(A541, localcont!$D$10:$L$1764, 9)*F541</f>
        <v>1772678.8260784026</v>
      </c>
    </row>
    <row r="542" spans="1:8">
      <c r="A542" s="6">
        <v>1161</v>
      </c>
      <c r="B542" s="6">
        <v>233</v>
      </c>
      <c r="C542" s="6" t="s">
        <v>1351</v>
      </c>
      <c r="D542" s="6">
        <v>233</v>
      </c>
      <c r="E542" s="6" t="s">
        <v>914</v>
      </c>
      <c r="F542" s="8">
        <f t="shared" si="9"/>
        <v>748910</v>
      </c>
      <c r="G542" s="8">
        <f>VLOOKUP(A542, localcont!$D$10:$L$1764, 8)</f>
        <v>134882.64000000001</v>
      </c>
      <c r="H542" s="81">
        <f>VLOOKUP(A542, localcont!$D$10:$L$1764, 9)*F542</f>
        <v>68147.838337641151</v>
      </c>
    </row>
    <row r="543" spans="1:8">
      <c r="A543" s="6">
        <v>1162</v>
      </c>
      <c r="B543" s="6">
        <v>233</v>
      </c>
      <c r="C543" s="6" t="s">
        <v>1351</v>
      </c>
      <c r="D543" s="6">
        <v>635</v>
      </c>
      <c r="E543" s="6" t="s">
        <v>1045</v>
      </c>
      <c r="F543" s="8">
        <f t="shared" si="9"/>
        <v>748910</v>
      </c>
      <c r="G543" s="8">
        <f>VLOOKUP(A543, localcont!$D$10:$L$1764, 8)</f>
        <v>1347408.807337147</v>
      </c>
      <c r="H543" s="81">
        <f>VLOOKUP(A543, localcont!$D$10:$L$1764, 9)*F543</f>
        <v>680762.16166235891</v>
      </c>
    </row>
    <row r="544" spans="1:8">
      <c r="A544" s="6">
        <v>1166</v>
      </c>
      <c r="B544" s="6">
        <v>234</v>
      </c>
      <c r="C544" s="6" t="s">
        <v>1352</v>
      </c>
      <c r="D544" s="6">
        <v>234</v>
      </c>
      <c r="E544" s="6" t="s">
        <v>915</v>
      </c>
      <c r="F544" s="8">
        <f t="shared" si="9"/>
        <v>1539699</v>
      </c>
      <c r="G544" s="8">
        <f>VLOOKUP(A544, localcont!$D$10:$L$1764, 8)</f>
        <v>1204091.5800000003</v>
      </c>
      <c r="H544" s="81">
        <f>VLOOKUP(A544, localcont!$D$10:$L$1764, 9)*F544</f>
        <v>779984.40579314739</v>
      </c>
    </row>
    <row r="545" spans="1:8">
      <c r="A545" s="6">
        <v>1167</v>
      </c>
      <c r="B545" s="6">
        <v>234</v>
      </c>
      <c r="C545" s="6" t="s">
        <v>1352</v>
      </c>
      <c r="D545" s="6">
        <v>755</v>
      </c>
      <c r="E545" s="6" t="s">
        <v>1080</v>
      </c>
      <c r="F545" s="8">
        <f t="shared" si="9"/>
        <v>1539699</v>
      </c>
      <c r="G545" s="8">
        <f>VLOOKUP(A545, localcont!$D$10:$L$1764, 8)</f>
        <v>929664.55387989164</v>
      </c>
      <c r="H545" s="81">
        <f>VLOOKUP(A545, localcont!$D$10:$L$1764, 9)*F545</f>
        <v>602216.53127493721</v>
      </c>
    </row>
    <row r="546" spans="1:8">
      <c r="A546" s="6">
        <v>1168</v>
      </c>
      <c r="B546" s="6">
        <v>234</v>
      </c>
      <c r="C546" s="6" t="s">
        <v>1352</v>
      </c>
      <c r="D546" s="6">
        <v>832</v>
      </c>
      <c r="E546" s="6" t="s">
        <v>1105</v>
      </c>
      <c r="F546" s="8">
        <f t="shared" si="9"/>
        <v>1539699</v>
      </c>
      <c r="G546" s="8">
        <f>VLOOKUP(A546, localcont!$D$10:$L$1764, 8)</f>
        <v>243135.74737406039</v>
      </c>
      <c r="H546" s="81">
        <f>VLOOKUP(A546, localcont!$D$10:$L$1764, 9)*F546</f>
        <v>157498.06293191522</v>
      </c>
    </row>
    <row r="547" spans="1:8">
      <c r="A547" s="6">
        <v>1171</v>
      </c>
      <c r="B547" s="6">
        <v>235</v>
      </c>
      <c r="C547" s="6" t="s">
        <v>1353</v>
      </c>
      <c r="D547" s="6">
        <v>235</v>
      </c>
      <c r="E547" s="6" t="s">
        <v>916</v>
      </c>
      <c r="F547" s="8">
        <f t="shared" si="9"/>
        <v>1949231</v>
      </c>
      <c r="G547" s="8">
        <f>VLOOKUP(A547, localcont!$D$10:$L$1764, 8)</f>
        <v>0</v>
      </c>
      <c r="H547" s="81">
        <f>VLOOKUP(A547, localcont!$D$10:$L$1764, 9)*F547</f>
        <v>0</v>
      </c>
    </row>
    <row r="548" spans="1:8">
      <c r="A548" s="6">
        <v>1172</v>
      </c>
      <c r="B548" s="6">
        <v>235</v>
      </c>
      <c r="C548" s="6" t="s">
        <v>1353</v>
      </c>
      <c r="D548" s="6">
        <v>720</v>
      </c>
      <c r="E548" s="6" t="s">
        <v>1071</v>
      </c>
      <c r="F548" s="8">
        <f t="shared" si="9"/>
        <v>1949231</v>
      </c>
      <c r="G548" s="8">
        <f>VLOOKUP(A548, localcont!$D$10:$L$1764, 8)</f>
        <v>2978965.4490328659</v>
      </c>
      <c r="H548" s="81">
        <f>VLOOKUP(A548, localcont!$D$10:$L$1764, 9)*F548</f>
        <v>1675698.3419575312</v>
      </c>
    </row>
    <row r="549" spans="1:8">
      <c r="A549" s="6">
        <v>1173</v>
      </c>
      <c r="B549" s="6">
        <v>235</v>
      </c>
      <c r="C549" s="6" t="s">
        <v>1353</v>
      </c>
      <c r="D549" s="6">
        <v>832</v>
      </c>
      <c r="E549" s="6" t="s">
        <v>1105</v>
      </c>
      <c r="F549" s="8">
        <f t="shared" si="9"/>
        <v>1949231</v>
      </c>
      <c r="G549" s="8">
        <f>VLOOKUP(A549, localcont!$D$10:$L$1764, 8)</f>
        <v>486271.49474812078</v>
      </c>
      <c r="H549" s="81">
        <f>VLOOKUP(A549, localcont!$D$10:$L$1764, 9)*F549</f>
        <v>273532.65804246877</v>
      </c>
    </row>
    <row r="550" spans="1:8">
      <c r="A550" s="6">
        <v>1176</v>
      </c>
      <c r="B550" s="6">
        <v>236</v>
      </c>
      <c r="C550" s="6" t="s">
        <v>1354</v>
      </c>
      <c r="D550" s="6">
        <v>236</v>
      </c>
      <c r="E550" s="6" t="s">
        <v>917</v>
      </c>
      <c r="F550" s="8">
        <f t="shared" si="9"/>
        <v>36084497</v>
      </c>
      <c r="G550" s="8">
        <f>VLOOKUP(A550, localcont!$D$10:$L$1764, 8)</f>
        <v>97815674.270000011</v>
      </c>
      <c r="H550" s="81">
        <f>VLOOKUP(A550, localcont!$D$10:$L$1764, 9)*F550</f>
        <v>36084497</v>
      </c>
    </row>
    <row r="551" spans="1:8">
      <c r="A551" s="6">
        <v>1181</v>
      </c>
      <c r="B551" s="6">
        <v>237</v>
      </c>
      <c r="C551" s="6" t="s">
        <v>1355</v>
      </c>
      <c r="D551" s="6">
        <v>237</v>
      </c>
      <c r="E551" s="6" t="s">
        <v>918</v>
      </c>
      <c r="F551" s="8">
        <f t="shared" si="9"/>
        <v>759378</v>
      </c>
      <c r="G551" s="8">
        <f>VLOOKUP(A551, localcont!$D$10:$L$1764, 8)</f>
        <v>118022.31000000001</v>
      </c>
      <c r="H551" s="81">
        <f>VLOOKUP(A551, localcont!$D$10:$L$1764, 9)*F551</f>
        <v>88712.576490825551</v>
      </c>
    </row>
    <row r="552" spans="1:8">
      <c r="A552" s="6">
        <v>1182</v>
      </c>
      <c r="B552" s="6">
        <v>237</v>
      </c>
      <c r="C552" s="6" t="s">
        <v>1355</v>
      </c>
      <c r="D552" s="6">
        <v>717</v>
      </c>
      <c r="E552" s="6" t="s">
        <v>1070</v>
      </c>
      <c r="F552" s="8">
        <f t="shared" si="9"/>
        <v>759378</v>
      </c>
      <c r="G552" s="8">
        <f>VLOOKUP(A552, localcont!$D$10:$L$1764, 8)</f>
        <v>892246.46212216537</v>
      </c>
      <c r="H552" s="81">
        <f>VLOOKUP(A552, localcont!$D$10:$L$1764, 9)*F552</f>
        <v>670665.42350917449</v>
      </c>
    </row>
    <row r="553" spans="1:8">
      <c r="A553" s="6">
        <v>1186</v>
      </c>
      <c r="B553" s="6">
        <v>238</v>
      </c>
      <c r="C553" s="6" t="s">
        <v>1356</v>
      </c>
      <c r="D553" s="6">
        <v>238</v>
      </c>
      <c r="E553" s="6" t="s">
        <v>919</v>
      </c>
      <c r="F553" s="8">
        <f t="shared" si="9"/>
        <v>14413646</v>
      </c>
      <c r="G553" s="8">
        <f>VLOOKUP(A553, localcont!$D$10:$L$1764, 8)</f>
        <v>8367252.290000001</v>
      </c>
      <c r="H553" s="81">
        <f>VLOOKUP(A553, localcont!$D$10:$L$1764, 9)*F553</f>
        <v>6797309.9026626665</v>
      </c>
    </row>
    <row r="554" spans="1:8">
      <c r="A554" s="6">
        <v>1187</v>
      </c>
      <c r="B554" s="6">
        <v>238</v>
      </c>
      <c r="C554" s="6" t="s">
        <v>1356</v>
      </c>
      <c r="D554" s="6">
        <v>690</v>
      </c>
      <c r="E554" s="6" t="s">
        <v>1062</v>
      </c>
      <c r="F554" s="8">
        <f t="shared" si="9"/>
        <v>14413646</v>
      </c>
      <c r="G554" s="8">
        <f>VLOOKUP(A554, localcont!$D$10:$L$1764, 8)</f>
        <v>7134607.4095849413</v>
      </c>
      <c r="H554" s="81">
        <f>VLOOKUP(A554, localcont!$D$10:$L$1764, 9)*F554</f>
        <v>5795945.4210244874</v>
      </c>
    </row>
    <row r="555" spans="1:8">
      <c r="A555" s="6">
        <v>1188</v>
      </c>
      <c r="B555" s="6">
        <v>238</v>
      </c>
      <c r="C555" s="6" t="s">
        <v>1356</v>
      </c>
      <c r="D555" s="6">
        <v>878</v>
      </c>
      <c r="E555" s="6" t="s">
        <v>1115</v>
      </c>
      <c r="F555" s="8">
        <f t="shared" si="9"/>
        <v>14413646</v>
      </c>
      <c r="G555" s="8">
        <f>VLOOKUP(A555, localcont!$D$10:$L$1764, 8)</f>
        <v>2174765.7500375779</v>
      </c>
      <c r="H555" s="81">
        <f>VLOOKUP(A555, localcont!$D$10:$L$1764, 9)*F555</f>
        <v>1766715.7934713149</v>
      </c>
    </row>
    <row r="556" spans="1:8">
      <c r="A556" s="6">
        <v>1189</v>
      </c>
      <c r="B556" s="6">
        <v>238</v>
      </c>
      <c r="C556" s="6" t="s">
        <v>1356</v>
      </c>
      <c r="D556" s="6">
        <v>915</v>
      </c>
      <c r="E556" s="6" t="s">
        <v>1119</v>
      </c>
      <c r="F556" s="8">
        <f t="shared" si="9"/>
        <v>14413646</v>
      </c>
      <c r="G556" s="8">
        <f>VLOOKUP(A556, localcont!$D$10:$L$1764, 8)</f>
        <v>66071.915625820518</v>
      </c>
      <c r="H556" s="81">
        <f>VLOOKUP(A556, localcont!$D$10:$L$1764, 9)*F556</f>
        <v>53674.882841530991</v>
      </c>
    </row>
    <row r="557" spans="1:8">
      <c r="A557" s="6">
        <v>1191</v>
      </c>
      <c r="B557" s="6">
        <v>239</v>
      </c>
      <c r="C557" s="6" t="s">
        <v>1357</v>
      </c>
      <c r="D557" s="6">
        <v>239</v>
      </c>
      <c r="E557" s="6" t="s">
        <v>920</v>
      </c>
      <c r="F557" s="8">
        <f t="shared" si="9"/>
        <v>97970306</v>
      </c>
      <c r="G557" s="8">
        <f>VLOOKUP(A557, localcont!$D$10:$L$1764, 8)</f>
        <v>112170810.485</v>
      </c>
      <c r="H557" s="81">
        <f>VLOOKUP(A557, localcont!$D$10:$L$1764, 9)*F557</f>
        <v>97970306</v>
      </c>
    </row>
    <row r="558" spans="1:8">
      <c r="A558" s="6">
        <v>1196</v>
      </c>
      <c r="B558" s="6">
        <v>240</v>
      </c>
      <c r="C558" s="6" t="s">
        <v>1358</v>
      </c>
      <c r="D558" s="6">
        <v>240</v>
      </c>
      <c r="E558" s="6" t="s">
        <v>921</v>
      </c>
      <c r="F558" s="8">
        <f t="shared" si="9"/>
        <v>4769905</v>
      </c>
      <c r="G558" s="8">
        <f>VLOOKUP(A558, localcont!$D$10:$L$1764, 8)</f>
        <v>3445673.1154400003</v>
      </c>
      <c r="H558" s="81">
        <f>VLOOKUP(A558, localcont!$D$10:$L$1764, 9)*F558</f>
        <v>2573485.6745057264</v>
      </c>
    </row>
    <row r="559" spans="1:8">
      <c r="A559" s="6">
        <v>1197</v>
      </c>
      <c r="B559" s="6">
        <v>240</v>
      </c>
      <c r="C559" s="6" t="s">
        <v>1358</v>
      </c>
      <c r="D559" s="6">
        <v>760</v>
      </c>
      <c r="E559" s="6" t="s">
        <v>1081</v>
      </c>
      <c r="F559" s="8">
        <f t="shared" si="9"/>
        <v>4769905</v>
      </c>
      <c r="G559" s="8">
        <f>VLOOKUP(A559, localcont!$D$10:$L$1764, 8)</f>
        <v>2940814.1242294046</v>
      </c>
      <c r="H559" s="81">
        <f>VLOOKUP(A559, localcont!$D$10:$L$1764, 9)*F559</f>
        <v>2196419.3254942736</v>
      </c>
    </row>
    <row r="560" spans="1:8">
      <c r="A560" s="6">
        <v>1201</v>
      </c>
      <c r="B560" s="6">
        <v>241</v>
      </c>
      <c r="C560" s="6" t="s">
        <v>1359</v>
      </c>
      <c r="D560" s="6">
        <v>241</v>
      </c>
      <c r="E560" s="6" t="s">
        <v>922</v>
      </c>
      <c r="F560" s="8">
        <f t="shared" si="9"/>
        <v>6137433</v>
      </c>
      <c r="G560" s="8">
        <f>VLOOKUP(A560, localcont!$D$10:$L$1764, 8)</f>
        <v>0</v>
      </c>
      <c r="H560" s="81">
        <f>VLOOKUP(A560, localcont!$D$10:$L$1764, 9)*F560</f>
        <v>0</v>
      </c>
    </row>
    <row r="561" spans="1:8">
      <c r="A561" s="6">
        <v>1202</v>
      </c>
      <c r="B561" s="6">
        <v>241</v>
      </c>
      <c r="C561" s="6" t="s">
        <v>1359</v>
      </c>
      <c r="D561" s="6">
        <v>775</v>
      </c>
      <c r="E561" s="6" t="s">
        <v>1089</v>
      </c>
      <c r="F561" s="8">
        <f t="shared" si="9"/>
        <v>6137433</v>
      </c>
      <c r="G561" s="8">
        <f>VLOOKUP(A561, localcont!$D$10:$L$1764, 8)</f>
        <v>5371859.8726635063</v>
      </c>
      <c r="H561" s="81">
        <f>VLOOKUP(A561, localcont!$D$10:$L$1764, 9)*F561</f>
        <v>5608579.0537465634</v>
      </c>
    </row>
    <row r="562" spans="1:8">
      <c r="A562" s="6">
        <v>1203</v>
      </c>
      <c r="B562" s="6">
        <v>241</v>
      </c>
      <c r="C562" s="6" t="s">
        <v>1359</v>
      </c>
      <c r="D562" s="6">
        <v>832</v>
      </c>
      <c r="E562" s="6" t="s">
        <v>1105</v>
      </c>
      <c r="F562" s="8">
        <f t="shared" si="9"/>
        <v>6137433</v>
      </c>
      <c r="G562" s="8">
        <f>VLOOKUP(A562, localcont!$D$10:$L$1764, 8)</f>
        <v>506532.80717882095</v>
      </c>
      <c r="H562" s="81">
        <f>VLOOKUP(A562, localcont!$D$10:$L$1764, 9)*F562</f>
        <v>528853.9462534372</v>
      </c>
    </row>
    <row r="563" spans="1:8">
      <c r="A563" s="6">
        <v>1206</v>
      </c>
      <c r="B563" s="6">
        <v>242</v>
      </c>
      <c r="C563" s="6" t="s">
        <v>1360</v>
      </c>
      <c r="D563" s="6">
        <v>242</v>
      </c>
      <c r="E563" s="6" t="s">
        <v>923</v>
      </c>
      <c r="F563" s="8">
        <f t="shared" si="9"/>
        <v>21326401</v>
      </c>
      <c r="G563" s="8">
        <f>VLOOKUP(A563, localcont!$D$10:$L$1764, 8)</f>
        <v>1580908.4799999997</v>
      </c>
      <c r="H563" s="81">
        <f>VLOOKUP(A563, localcont!$D$10:$L$1764, 9)*F563</f>
        <v>19694977.424558155</v>
      </c>
    </row>
    <row r="564" spans="1:8">
      <c r="A564" s="6">
        <v>1207</v>
      </c>
      <c r="B564" s="6">
        <v>242</v>
      </c>
      <c r="C564" s="6" t="s">
        <v>1360</v>
      </c>
      <c r="D564" s="6">
        <v>815</v>
      </c>
      <c r="E564" s="6" t="s">
        <v>1096</v>
      </c>
      <c r="F564" s="8">
        <f t="shared" si="9"/>
        <v>21326401</v>
      </c>
      <c r="G564" s="8">
        <f>VLOOKUP(A564, localcont!$D$10:$L$1764, 8)</f>
        <v>130953.7609153058</v>
      </c>
      <c r="H564" s="81">
        <f>VLOOKUP(A564, localcont!$D$10:$L$1764, 9)*F564</f>
        <v>1631423.5754418462</v>
      </c>
    </row>
    <row r="565" spans="1:8">
      <c r="A565" s="6">
        <v>1211</v>
      </c>
      <c r="B565" s="6">
        <v>243</v>
      </c>
      <c r="C565" s="6" t="s">
        <v>1361</v>
      </c>
      <c r="D565" s="6">
        <v>243</v>
      </c>
      <c r="E565" s="6" t="s">
        <v>924</v>
      </c>
      <c r="F565" s="8">
        <f t="shared" si="9"/>
        <v>142771098</v>
      </c>
      <c r="G565" s="8">
        <f>VLOOKUP(A565, localcont!$D$10:$L$1764, 8)</f>
        <v>167877095.85800001</v>
      </c>
      <c r="H565" s="81">
        <f>VLOOKUP(A565, localcont!$D$10:$L$1764, 9)*F565</f>
        <v>142378842.58363357</v>
      </c>
    </row>
    <row r="566" spans="1:8">
      <c r="A566" s="6">
        <v>1212</v>
      </c>
      <c r="B566" s="6">
        <v>243</v>
      </c>
      <c r="C566" s="6" t="s">
        <v>1361</v>
      </c>
      <c r="D566" s="6">
        <v>915</v>
      </c>
      <c r="E566" s="6" t="s">
        <v>1119</v>
      </c>
      <c r="F566" s="8">
        <f t="shared" si="9"/>
        <v>142771098</v>
      </c>
      <c r="G566" s="8">
        <f>VLOOKUP(A566, localcont!$D$10:$L$1764, 8)</f>
        <v>462503.40948998259</v>
      </c>
      <c r="H566" s="81">
        <f>VLOOKUP(A566, localcont!$D$10:$L$1764, 9)*F566</f>
        <v>392255.41636643693</v>
      </c>
    </row>
    <row r="567" spans="1:8">
      <c r="A567" s="6">
        <v>1216</v>
      </c>
      <c r="B567" s="6">
        <v>244</v>
      </c>
      <c r="C567" s="6" t="s">
        <v>1362</v>
      </c>
      <c r="D567" s="6">
        <v>244</v>
      </c>
      <c r="E567" s="6" t="s">
        <v>925</v>
      </c>
      <c r="F567" s="8">
        <f t="shared" si="9"/>
        <v>35624153</v>
      </c>
      <c r="G567" s="8">
        <f>VLOOKUP(A567, localcont!$D$10:$L$1764, 8)</f>
        <v>53653467.411599994</v>
      </c>
      <c r="H567" s="81">
        <f>VLOOKUP(A567, localcont!$D$10:$L$1764, 9)*F567</f>
        <v>31754795.127341222</v>
      </c>
    </row>
    <row r="568" spans="1:8">
      <c r="A568" s="6">
        <v>1217</v>
      </c>
      <c r="B568" s="6">
        <v>244</v>
      </c>
      <c r="C568" s="6" t="s">
        <v>1362</v>
      </c>
      <c r="D568" s="6">
        <v>806</v>
      </c>
      <c r="E568" s="6" t="s">
        <v>1094</v>
      </c>
      <c r="F568" s="8">
        <f t="shared" si="9"/>
        <v>35624153</v>
      </c>
      <c r="G568" s="8">
        <f>VLOOKUP(A568, localcont!$D$10:$L$1764, 8)</f>
        <v>6383568.1731511848</v>
      </c>
      <c r="H568" s="81">
        <f>VLOOKUP(A568, localcont!$D$10:$L$1764, 9)*F568</f>
        <v>3778113.6858268669</v>
      </c>
    </row>
    <row r="569" spans="1:8">
      <c r="A569" s="6">
        <v>1218</v>
      </c>
      <c r="B569" s="6">
        <v>244</v>
      </c>
      <c r="C569" s="6" t="s">
        <v>1362</v>
      </c>
      <c r="D569" s="6">
        <v>915</v>
      </c>
      <c r="E569" s="6" t="s">
        <v>1119</v>
      </c>
      <c r="F569" s="8">
        <f t="shared" si="9"/>
        <v>35624153</v>
      </c>
      <c r="G569" s="8">
        <f>VLOOKUP(A569, localcont!$D$10:$L$1764, 8)</f>
        <v>154167.80316332754</v>
      </c>
      <c r="H569" s="81">
        <f>VLOOKUP(A569, localcont!$D$10:$L$1764, 9)*F569</f>
        <v>91244.186831908315</v>
      </c>
    </row>
    <row r="570" spans="1:8">
      <c r="A570" s="6">
        <v>1221</v>
      </c>
      <c r="B570" s="6">
        <v>245</v>
      </c>
      <c r="C570" s="6" t="s">
        <v>1363</v>
      </c>
      <c r="D570" s="6">
        <v>245</v>
      </c>
      <c r="E570" s="6" t="s">
        <v>926</v>
      </c>
      <c r="F570" s="8">
        <f t="shared" si="9"/>
        <v>21463492</v>
      </c>
      <c r="G570" s="8">
        <f>VLOOKUP(A570, localcont!$D$10:$L$1764, 8)</f>
        <v>0</v>
      </c>
      <c r="H570" s="81">
        <f>VLOOKUP(A570, localcont!$D$10:$L$1764, 9)*F570</f>
        <v>0</v>
      </c>
    </row>
    <row r="571" spans="1:8">
      <c r="A571" s="6">
        <v>1222</v>
      </c>
      <c r="B571" s="6">
        <v>245</v>
      </c>
      <c r="C571" s="6" t="s">
        <v>1363</v>
      </c>
      <c r="D571" s="6">
        <v>625</v>
      </c>
      <c r="E571" s="6" t="s">
        <v>1043</v>
      </c>
      <c r="F571" s="8">
        <f t="shared" si="9"/>
        <v>21463492</v>
      </c>
      <c r="G571" s="8">
        <f>VLOOKUP(A571, localcont!$D$10:$L$1764, 8)</f>
        <v>29618424.446628749</v>
      </c>
      <c r="H571" s="81">
        <f>VLOOKUP(A571, localcont!$D$10:$L$1764, 9)*F571</f>
        <v>19020007.330549922</v>
      </c>
    </row>
    <row r="572" spans="1:8">
      <c r="A572" s="6">
        <v>1223</v>
      </c>
      <c r="B572" s="6">
        <v>245</v>
      </c>
      <c r="C572" s="6" t="s">
        <v>1363</v>
      </c>
      <c r="D572" s="6">
        <v>810</v>
      </c>
      <c r="E572" s="6" t="s">
        <v>1095</v>
      </c>
      <c r="F572" s="8">
        <f t="shared" si="9"/>
        <v>21463492</v>
      </c>
      <c r="G572" s="8">
        <f>VLOOKUP(A572, localcont!$D$10:$L$1764, 8)</f>
        <v>3596578.8215634432</v>
      </c>
      <c r="H572" s="81">
        <f>VLOOKUP(A572, localcont!$D$10:$L$1764, 9)*F572</f>
        <v>2309608.1857528905</v>
      </c>
    </row>
    <row r="573" spans="1:8">
      <c r="A573" s="6">
        <v>1224</v>
      </c>
      <c r="B573" s="6">
        <v>245</v>
      </c>
      <c r="C573" s="6" t="s">
        <v>1363</v>
      </c>
      <c r="D573" s="6">
        <v>910</v>
      </c>
      <c r="E573" s="6" t="s">
        <v>1118</v>
      </c>
      <c r="F573" s="8">
        <f t="shared" si="9"/>
        <v>21463492</v>
      </c>
      <c r="G573" s="8">
        <f>VLOOKUP(A573, localcont!$D$10:$L$1764, 8)</f>
        <v>208475.76179408262</v>
      </c>
      <c r="H573" s="81">
        <f>VLOOKUP(A573, localcont!$D$10:$L$1764, 9)*F573</f>
        <v>133876.48369718605</v>
      </c>
    </row>
    <row r="574" spans="1:8">
      <c r="A574" s="6">
        <v>1226</v>
      </c>
      <c r="B574" s="6">
        <v>246</v>
      </c>
      <c r="C574" s="6" t="s">
        <v>1364</v>
      </c>
      <c r="D574" s="6">
        <v>246</v>
      </c>
      <c r="E574" s="6" t="s">
        <v>927</v>
      </c>
      <c r="F574" s="8">
        <f t="shared" si="9"/>
        <v>55911010</v>
      </c>
      <c r="G574" s="8">
        <f>VLOOKUP(A574, localcont!$D$10:$L$1764, 8)</f>
        <v>47040957.59142001</v>
      </c>
      <c r="H574" s="81">
        <f>VLOOKUP(A574, localcont!$D$10:$L$1764, 9)*F574</f>
        <v>54912940.386042938</v>
      </c>
    </row>
    <row r="575" spans="1:8">
      <c r="A575" s="6">
        <v>1227</v>
      </c>
      <c r="B575" s="6">
        <v>246</v>
      </c>
      <c r="C575" s="6" t="s">
        <v>1364</v>
      </c>
      <c r="D575" s="6">
        <v>853</v>
      </c>
      <c r="E575" s="6" t="s">
        <v>1108</v>
      </c>
      <c r="F575" s="8">
        <f t="shared" si="9"/>
        <v>55911010</v>
      </c>
      <c r="G575" s="8">
        <f>VLOOKUP(A575, localcont!$D$10:$L$1764, 8)</f>
        <v>854992.46722859028</v>
      </c>
      <c r="H575" s="81">
        <f>VLOOKUP(A575, localcont!$D$10:$L$1764, 9)*F575</f>
        <v>998069.61395706737</v>
      </c>
    </row>
    <row r="576" spans="1:8">
      <c r="A576" s="6">
        <v>1231</v>
      </c>
      <c r="B576" s="6">
        <v>247</v>
      </c>
      <c r="C576" s="6" t="s">
        <v>1365</v>
      </c>
      <c r="D576" s="6">
        <v>247</v>
      </c>
      <c r="E576" s="6" t="s">
        <v>928</v>
      </c>
      <c r="F576" s="8">
        <f t="shared" si="9"/>
        <v>19684728</v>
      </c>
      <c r="G576" s="8">
        <f>VLOOKUP(A576, localcont!$D$10:$L$1764, 8)</f>
        <v>0</v>
      </c>
      <c r="H576" s="81">
        <f>VLOOKUP(A576, localcont!$D$10:$L$1764, 9)*F576</f>
        <v>0</v>
      </c>
    </row>
    <row r="577" spans="1:8">
      <c r="A577" s="6">
        <v>1232</v>
      </c>
      <c r="B577" s="6">
        <v>247</v>
      </c>
      <c r="C577" s="6" t="s">
        <v>1365</v>
      </c>
      <c r="D577" s="6">
        <v>650</v>
      </c>
      <c r="E577" s="6" t="s">
        <v>1048</v>
      </c>
      <c r="F577" s="8">
        <f t="shared" si="9"/>
        <v>19684728</v>
      </c>
      <c r="G577" s="8">
        <f>VLOOKUP(A577, localcont!$D$10:$L$1764, 8)</f>
        <v>19435684.052628122</v>
      </c>
      <c r="H577" s="81">
        <f>VLOOKUP(A577, localcont!$D$10:$L$1764, 9)*F577</f>
        <v>17941937.617646784</v>
      </c>
    </row>
    <row r="578" spans="1:8">
      <c r="A578" s="6">
        <v>1233</v>
      </c>
      <c r="B578" s="6">
        <v>247</v>
      </c>
      <c r="C578" s="6" t="s">
        <v>1365</v>
      </c>
      <c r="D578" s="6">
        <v>810</v>
      </c>
      <c r="E578" s="6" t="s">
        <v>1095</v>
      </c>
      <c r="F578" s="8">
        <f t="shared" si="9"/>
        <v>19684728</v>
      </c>
      <c r="G578" s="8">
        <f>VLOOKUP(A578, localcont!$D$10:$L$1764, 8)</f>
        <v>1158220.298563123</v>
      </c>
      <c r="H578" s="81">
        <f>VLOOKUP(A578, localcont!$D$10:$L$1764, 9)*F578</f>
        <v>1069204.268192546</v>
      </c>
    </row>
    <row r="579" spans="1:8">
      <c r="A579" s="6">
        <v>1234</v>
      </c>
      <c r="B579" s="6">
        <v>247</v>
      </c>
      <c r="C579" s="6" t="s">
        <v>1365</v>
      </c>
      <c r="D579" s="6">
        <v>910</v>
      </c>
      <c r="E579" s="6" t="s">
        <v>1118</v>
      </c>
      <c r="F579" s="8">
        <f t="shared" si="9"/>
        <v>19684728</v>
      </c>
      <c r="G579" s="8">
        <f>VLOOKUP(A579, localcont!$D$10:$L$1764, 8)</f>
        <v>729665.16638582025</v>
      </c>
      <c r="H579" s="81">
        <f>VLOOKUP(A579, localcont!$D$10:$L$1764, 9)*F579</f>
        <v>673586.11416066834</v>
      </c>
    </row>
    <row r="580" spans="1:8">
      <c r="A580" s="6">
        <v>1236</v>
      </c>
      <c r="B580" s="6">
        <v>248</v>
      </c>
      <c r="C580" s="6" t="s">
        <v>1366</v>
      </c>
      <c r="D580" s="6">
        <v>248</v>
      </c>
      <c r="E580" s="6" t="s">
        <v>929</v>
      </c>
      <c r="F580" s="8">
        <f t="shared" si="9"/>
        <v>61963745</v>
      </c>
      <c r="G580" s="8">
        <f>VLOOKUP(A580, localcont!$D$10:$L$1764, 8)</f>
        <v>150716408.54799998</v>
      </c>
      <c r="H580" s="81">
        <f>VLOOKUP(A580, localcont!$D$10:$L$1764, 9)*F580</f>
        <v>59381146.402801737</v>
      </c>
    </row>
    <row r="581" spans="1:8">
      <c r="A581" s="6">
        <v>1237</v>
      </c>
      <c r="B581" s="6">
        <v>248</v>
      </c>
      <c r="C581" s="6" t="s">
        <v>1366</v>
      </c>
      <c r="D581" s="6">
        <v>853</v>
      </c>
      <c r="E581" s="6" t="s">
        <v>1108</v>
      </c>
      <c r="F581" s="8">
        <f t="shared" si="9"/>
        <v>61963745</v>
      </c>
      <c r="G581" s="8">
        <f>VLOOKUP(A581, localcont!$D$10:$L$1764, 8)</f>
        <v>6554942.2480071774</v>
      </c>
      <c r="H581" s="81">
        <f>VLOOKUP(A581, localcont!$D$10:$L$1764, 9)*F581</f>
        <v>2582598.59719826</v>
      </c>
    </row>
    <row r="582" spans="1:8">
      <c r="A582" s="6">
        <v>1241</v>
      </c>
      <c r="B582" s="6">
        <v>249</v>
      </c>
      <c r="C582" s="6" t="s">
        <v>1367</v>
      </c>
      <c r="D582" s="6">
        <v>249</v>
      </c>
      <c r="E582" s="6" t="s">
        <v>930</v>
      </c>
      <c r="F582" s="8">
        <f t="shared" si="9"/>
        <v>3161881</v>
      </c>
      <c r="G582" s="8">
        <f>VLOOKUP(A582, localcont!$D$10:$L$1764, 8)</f>
        <v>1660447.3899999997</v>
      </c>
      <c r="H582" s="81">
        <f>VLOOKUP(A582, localcont!$D$10:$L$1764, 9)*F582</f>
        <v>3161881</v>
      </c>
    </row>
    <row r="583" spans="1:8">
      <c r="A583" s="6">
        <v>1246</v>
      </c>
      <c r="B583" s="6">
        <v>250</v>
      </c>
      <c r="C583" s="6" t="s">
        <v>1368</v>
      </c>
      <c r="D583" s="6">
        <v>250</v>
      </c>
      <c r="E583" s="6" t="s">
        <v>931</v>
      </c>
      <c r="F583" s="8">
        <f t="shared" si="9"/>
        <v>9278501</v>
      </c>
      <c r="G583" s="8">
        <f>VLOOKUP(A583, localcont!$D$10:$L$1764, 8)</f>
        <v>6292946.6200000001</v>
      </c>
      <c r="H583" s="81">
        <f>VLOOKUP(A583, localcont!$D$10:$L$1764, 9)*F583</f>
        <v>4633816.8693331908</v>
      </c>
    </row>
    <row r="584" spans="1:8">
      <c r="A584" s="6">
        <v>1247</v>
      </c>
      <c r="B584" s="6">
        <v>250</v>
      </c>
      <c r="C584" s="6" t="s">
        <v>1368</v>
      </c>
      <c r="D584" s="6">
        <v>740</v>
      </c>
      <c r="E584" s="6" t="s">
        <v>1076</v>
      </c>
      <c r="F584" s="8">
        <f t="shared" si="9"/>
        <v>9278501</v>
      </c>
      <c r="G584" s="8">
        <f>VLOOKUP(A584, localcont!$D$10:$L$1764, 8)</f>
        <v>4374845.4707159204</v>
      </c>
      <c r="H584" s="81">
        <f>VLOOKUP(A584, localcont!$D$10:$L$1764, 9)*F584</f>
        <v>3221421.373335809</v>
      </c>
    </row>
    <row r="585" spans="1:8">
      <c r="A585" s="6">
        <v>1248</v>
      </c>
      <c r="B585" s="6">
        <v>250</v>
      </c>
      <c r="C585" s="6" t="s">
        <v>1368</v>
      </c>
      <c r="D585" s="6">
        <v>855</v>
      </c>
      <c r="E585" s="6" t="s">
        <v>1109</v>
      </c>
      <c r="F585" s="8">
        <f t="shared" si="9"/>
        <v>9278501</v>
      </c>
      <c r="G585" s="8">
        <f>VLOOKUP(A585, localcont!$D$10:$L$1764, 8)</f>
        <v>1932859.4138867743</v>
      </c>
      <c r="H585" s="81">
        <f>VLOOKUP(A585, localcont!$D$10:$L$1764, 9)*F585</f>
        <v>1423262.7573310004</v>
      </c>
    </row>
    <row r="586" spans="1:8">
      <c r="A586" s="6">
        <v>1251</v>
      </c>
      <c r="B586" s="6">
        <v>251</v>
      </c>
      <c r="C586" s="6" t="s">
        <v>1369</v>
      </c>
      <c r="D586" s="6">
        <v>251</v>
      </c>
      <c r="E586" s="6" t="s">
        <v>932</v>
      </c>
      <c r="F586" s="8">
        <f t="shared" si="9"/>
        <v>19531584</v>
      </c>
      <c r="G586" s="8">
        <f>VLOOKUP(A586, localcont!$D$10:$L$1764, 8)</f>
        <v>35665890.654100001</v>
      </c>
      <c r="H586" s="81">
        <f>VLOOKUP(A586, localcont!$D$10:$L$1764, 9)*F586</f>
        <v>18062512.788407497</v>
      </c>
    </row>
    <row r="587" spans="1:8">
      <c r="A587" s="6">
        <v>1252</v>
      </c>
      <c r="B587" s="6">
        <v>251</v>
      </c>
      <c r="C587" s="6" t="s">
        <v>1369</v>
      </c>
      <c r="D587" s="6">
        <v>873</v>
      </c>
      <c r="E587" s="6" t="s">
        <v>1113</v>
      </c>
      <c r="F587" s="8">
        <f t="shared" ref="F587:F650" si="10">VLOOKUP(B587, town351, 7)</f>
        <v>19531584</v>
      </c>
      <c r="G587" s="8">
        <f>VLOOKUP(A587, localcont!$D$10:$L$1764, 8)</f>
        <v>2900799.784035142</v>
      </c>
      <c r="H587" s="81">
        <f>VLOOKUP(A587, localcont!$D$10:$L$1764, 9)*F587</f>
        <v>1469071.2115925043</v>
      </c>
    </row>
    <row r="588" spans="1:8">
      <c r="A588" s="6">
        <v>1256</v>
      </c>
      <c r="B588" s="6">
        <v>252</v>
      </c>
      <c r="C588" s="6" t="s">
        <v>1370</v>
      </c>
      <c r="D588" s="6">
        <v>252</v>
      </c>
      <c r="E588" s="6" t="s">
        <v>933</v>
      </c>
      <c r="F588" s="8">
        <f t="shared" si="10"/>
        <v>17491332</v>
      </c>
      <c r="G588" s="8">
        <f>VLOOKUP(A588, localcont!$D$10:$L$1764, 8)</f>
        <v>7652804.31757</v>
      </c>
      <c r="H588" s="81">
        <f>VLOOKUP(A588, localcont!$D$10:$L$1764, 9)*F588</f>
        <v>16825919.779020354</v>
      </c>
    </row>
    <row r="589" spans="1:8">
      <c r="A589" s="6">
        <v>1257</v>
      </c>
      <c r="B589" s="6">
        <v>252</v>
      </c>
      <c r="C589" s="6" t="s">
        <v>1370</v>
      </c>
      <c r="D589" s="6">
        <v>817</v>
      </c>
      <c r="E589" s="6" t="s">
        <v>1097</v>
      </c>
      <c r="F589" s="8">
        <f t="shared" si="10"/>
        <v>17491332</v>
      </c>
      <c r="G589" s="8">
        <f>VLOOKUP(A589, localcont!$D$10:$L$1764, 8)</f>
        <v>302644.34780119668</v>
      </c>
      <c r="H589" s="81">
        <f>VLOOKUP(A589, localcont!$D$10:$L$1764, 9)*F589</f>
        <v>665412.22097964515</v>
      </c>
    </row>
    <row r="590" spans="1:8">
      <c r="A590" s="6">
        <v>1261</v>
      </c>
      <c r="B590" s="6">
        <v>253</v>
      </c>
      <c r="C590" s="6" t="s">
        <v>1371</v>
      </c>
      <c r="D590" s="6">
        <v>253</v>
      </c>
      <c r="E590" s="6" t="s">
        <v>934</v>
      </c>
      <c r="F590" s="8">
        <f t="shared" si="10"/>
        <v>2322035</v>
      </c>
      <c r="G590" s="8">
        <f>VLOOKUP(A590, localcont!$D$10:$L$1764, 8)</f>
        <v>784243.28</v>
      </c>
      <c r="H590" s="81">
        <f>VLOOKUP(A590, localcont!$D$10:$L$1764, 9)*F590</f>
        <v>2322035</v>
      </c>
    </row>
    <row r="591" spans="1:8">
      <c r="A591" s="6">
        <v>1266</v>
      </c>
      <c r="B591" s="6">
        <v>254</v>
      </c>
      <c r="C591" s="6" t="s">
        <v>1372</v>
      </c>
      <c r="D591" s="6">
        <v>254</v>
      </c>
      <c r="E591" s="6" t="s">
        <v>935</v>
      </c>
      <c r="F591" s="8">
        <f t="shared" si="10"/>
        <v>10688338</v>
      </c>
      <c r="G591" s="8">
        <f>VLOOKUP(A591, localcont!$D$10:$L$1764, 8)</f>
        <v>86837.768100000001</v>
      </c>
      <c r="H591" s="81">
        <f>VLOOKUP(A591, localcont!$D$10:$L$1764, 9)*F591</f>
        <v>89181.474481062105</v>
      </c>
    </row>
    <row r="592" spans="1:8">
      <c r="A592" s="6">
        <v>1267</v>
      </c>
      <c r="B592" s="6">
        <v>254</v>
      </c>
      <c r="C592" s="6" t="s">
        <v>1372</v>
      </c>
      <c r="D592" s="6">
        <v>773</v>
      </c>
      <c r="E592" s="6" t="s">
        <v>1087</v>
      </c>
      <c r="F592" s="8">
        <f t="shared" si="10"/>
        <v>10688338</v>
      </c>
      <c r="G592" s="8">
        <f>VLOOKUP(A592, localcont!$D$10:$L$1764, 8)</f>
        <v>9893691.7141481172</v>
      </c>
      <c r="H592" s="81">
        <f>VLOOKUP(A592, localcont!$D$10:$L$1764, 9)*F592</f>
        <v>10160717.328809327</v>
      </c>
    </row>
    <row r="593" spans="1:8">
      <c r="A593" s="6">
        <v>1268</v>
      </c>
      <c r="B593" s="6">
        <v>254</v>
      </c>
      <c r="C593" s="6" t="s">
        <v>1372</v>
      </c>
      <c r="D593" s="6">
        <v>885</v>
      </c>
      <c r="E593" s="6" t="s">
        <v>1117</v>
      </c>
      <c r="F593" s="8">
        <f t="shared" si="10"/>
        <v>10688338</v>
      </c>
      <c r="G593" s="8">
        <f>VLOOKUP(A593, localcont!$D$10:$L$1764, 8)</f>
        <v>426916.92990458745</v>
      </c>
      <c r="H593" s="81">
        <f>VLOOKUP(A593, localcont!$D$10:$L$1764, 9)*F593</f>
        <v>438439.19670960936</v>
      </c>
    </row>
    <row r="594" spans="1:8">
      <c r="A594" s="6">
        <v>1271</v>
      </c>
      <c r="B594" s="6">
        <v>255</v>
      </c>
      <c r="C594" s="6" t="s">
        <v>1373</v>
      </c>
      <c r="D594" s="6">
        <v>255</v>
      </c>
      <c r="E594" s="6" t="s">
        <v>936</v>
      </c>
      <c r="F594" s="8">
        <f t="shared" si="10"/>
        <v>1217063</v>
      </c>
      <c r="G594" s="8">
        <f>VLOOKUP(A594, localcont!$D$10:$L$1764, 8)</f>
        <v>0</v>
      </c>
      <c r="H594" s="81">
        <f>VLOOKUP(A594, localcont!$D$10:$L$1764, 9)*F594</f>
        <v>0</v>
      </c>
    </row>
    <row r="595" spans="1:8">
      <c r="A595" s="6">
        <v>1272</v>
      </c>
      <c r="B595" s="6">
        <v>255</v>
      </c>
      <c r="C595" s="6" t="s">
        <v>1373</v>
      </c>
      <c r="D595" s="6">
        <v>615</v>
      </c>
      <c r="E595" s="6" t="s">
        <v>1038</v>
      </c>
      <c r="F595" s="8">
        <f t="shared" si="10"/>
        <v>1217063</v>
      </c>
      <c r="G595" s="8">
        <f>VLOOKUP(A595, localcont!$D$10:$L$1764, 8)</f>
        <v>1888291.608356575</v>
      </c>
      <c r="H595" s="81">
        <f>VLOOKUP(A595, localcont!$D$10:$L$1764, 9)*F595</f>
        <v>1088578.4454090085</v>
      </c>
    </row>
    <row r="596" spans="1:8">
      <c r="A596" s="6">
        <v>1273</v>
      </c>
      <c r="B596" s="6">
        <v>255</v>
      </c>
      <c r="C596" s="6" t="s">
        <v>1373</v>
      </c>
      <c r="D596" s="6">
        <v>832</v>
      </c>
      <c r="E596" s="6" t="s">
        <v>1105</v>
      </c>
      <c r="F596" s="8">
        <f t="shared" si="10"/>
        <v>1217063</v>
      </c>
      <c r="G596" s="8">
        <f>VLOOKUP(A596, localcont!$D$10:$L$1764, 8)</f>
        <v>222874.43524241718</v>
      </c>
      <c r="H596" s="81">
        <f>VLOOKUP(A596, localcont!$D$10:$L$1764, 9)*F596</f>
        <v>128484.55459099136</v>
      </c>
    </row>
    <row r="597" spans="1:8">
      <c r="A597" s="6">
        <v>1276</v>
      </c>
      <c r="B597" s="6">
        <v>256</v>
      </c>
      <c r="C597" s="6" t="s">
        <v>1374</v>
      </c>
      <c r="D597" s="6">
        <v>256</v>
      </c>
      <c r="E597" s="6" t="s">
        <v>937</v>
      </c>
      <c r="F597" s="8">
        <f t="shared" si="10"/>
        <v>1602910</v>
      </c>
      <c r="G597" s="8">
        <f>VLOOKUP(A597, localcont!$D$10:$L$1764, 8)</f>
        <v>267378.24</v>
      </c>
      <c r="H597" s="81">
        <f>VLOOKUP(A597, localcont!$D$10:$L$1764, 9)*F597</f>
        <v>122280.97391357312</v>
      </c>
    </row>
    <row r="598" spans="1:8">
      <c r="A598" s="6">
        <v>1277</v>
      </c>
      <c r="B598" s="6">
        <v>256</v>
      </c>
      <c r="C598" s="6" t="s">
        <v>1374</v>
      </c>
      <c r="D598" s="6">
        <v>672</v>
      </c>
      <c r="E598" s="6" t="s">
        <v>1055</v>
      </c>
      <c r="F598" s="8">
        <f t="shared" si="10"/>
        <v>1602910</v>
      </c>
      <c r="G598" s="8">
        <f>VLOOKUP(A598, localcont!$D$10:$L$1764, 8)</f>
        <v>3237527.2327133431</v>
      </c>
      <c r="H598" s="81">
        <f>VLOOKUP(A598, localcont!$D$10:$L$1764, 9)*F598</f>
        <v>1480629.026086427</v>
      </c>
    </row>
    <row r="599" spans="1:8">
      <c r="A599" s="6">
        <v>1281</v>
      </c>
      <c r="B599" s="6">
        <v>257</v>
      </c>
      <c r="C599" s="6" t="s">
        <v>1375</v>
      </c>
      <c r="D599" s="6">
        <v>257</v>
      </c>
      <c r="E599" s="6" t="s">
        <v>938</v>
      </c>
      <c r="F599" s="8">
        <f t="shared" si="10"/>
        <v>11104607</v>
      </c>
      <c r="G599" s="8">
        <f>VLOOKUP(A599, localcont!$D$10:$L$1764, 8)</f>
        <v>0</v>
      </c>
      <c r="H599" s="81">
        <f>VLOOKUP(A599, localcont!$D$10:$L$1764, 9)*F599</f>
        <v>0</v>
      </c>
    </row>
    <row r="600" spans="1:8">
      <c r="A600" s="6">
        <v>1282</v>
      </c>
      <c r="B600" s="6">
        <v>257</v>
      </c>
      <c r="C600" s="6" t="s">
        <v>1375</v>
      </c>
      <c r="D600" s="6">
        <v>775</v>
      </c>
      <c r="E600" s="6" t="s">
        <v>1089</v>
      </c>
      <c r="F600" s="8">
        <f t="shared" si="10"/>
        <v>11104607</v>
      </c>
      <c r="G600" s="8">
        <f>VLOOKUP(A600, localcont!$D$10:$L$1764, 8)</f>
        <v>20906014.656237829</v>
      </c>
      <c r="H600" s="81">
        <f>VLOOKUP(A600, localcont!$D$10:$L$1764, 9)*F600</f>
        <v>10395767.370241439</v>
      </c>
    </row>
    <row r="601" spans="1:8">
      <c r="A601" s="6">
        <v>1283</v>
      </c>
      <c r="B601" s="6">
        <v>257</v>
      </c>
      <c r="C601" s="6" t="s">
        <v>1375</v>
      </c>
      <c r="D601" s="6">
        <v>876</v>
      </c>
      <c r="E601" s="6" t="s">
        <v>1114</v>
      </c>
      <c r="F601" s="8">
        <f t="shared" si="10"/>
        <v>11104607</v>
      </c>
      <c r="G601" s="8">
        <f>VLOOKUP(A601, localcont!$D$10:$L$1764, 8)</f>
        <v>1425485.1191721619</v>
      </c>
      <c r="H601" s="81">
        <f>VLOOKUP(A601, localcont!$D$10:$L$1764, 9)*F601</f>
        <v>708839.62975856161</v>
      </c>
    </row>
    <row r="602" spans="1:8">
      <c r="A602" s="6">
        <v>1286</v>
      </c>
      <c r="B602" s="6">
        <v>258</v>
      </c>
      <c r="C602" s="6" t="s">
        <v>1376</v>
      </c>
      <c r="D602" s="6">
        <v>258</v>
      </c>
      <c r="E602" s="6" t="s">
        <v>939</v>
      </c>
      <c r="F602" s="8">
        <f t="shared" si="10"/>
        <v>55735647</v>
      </c>
      <c r="G602" s="8">
        <f>VLOOKUP(A602, localcont!$D$10:$L$1764, 8)</f>
        <v>75190968.379999995</v>
      </c>
      <c r="H602" s="81">
        <f>VLOOKUP(A602, localcont!$D$10:$L$1764, 9)*F602</f>
        <v>53304086.623220146</v>
      </c>
    </row>
    <row r="603" spans="1:8">
      <c r="A603" s="6">
        <v>1287</v>
      </c>
      <c r="B603" s="6">
        <v>258</v>
      </c>
      <c r="C603" s="6" t="s">
        <v>1376</v>
      </c>
      <c r="D603" s="6">
        <v>817</v>
      </c>
      <c r="E603" s="6" t="s">
        <v>1097</v>
      </c>
      <c r="F603" s="8">
        <f t="shared" si="10"/>
        <v>55735647</v>
      </c>
      <c r="G603" s="8">
        <f>VLOOKUP(A603, localcont!$D$10:$L$1764, 8)</f>
        <v>3429969.2760305321</v>
      </c>
      <c r="H603" s="81">
        <f>VLOOKUP(A603, localcont!$D$10:$L$1764, 9)*F603</f>
        <v>2431560.376779858</v>
      </c>
    </row>
    <row r="604" spans="1:8">
      <c r="A604" s="6">
        <v>1291</v>
      </c>
      <c r="B604" s="6">
        <v>259</v>
      </c>
      <c r="C604" s="6" t="s">
        <v>1377</v>
      </c>
      <c r="D604" s="6">
        <v>259</v>
      </c>
      <c r="E604" s="6" t="s">
        <v>940</v>
      </c>
      <c r="F604" s="8">
        <f t="shared" si="10"/>
        <v>14321092</v>
      </c>
      <c r="G604" s="8">
        <f>VLOOKUP(A604, localcont!$D$10:$L$1764, 8)</f>
        <v>50580.990000000005</v>
      </c>
      <c r="H604" s="81">
        <f>VLOOKUP(A604, localcont!$D$10:$L$1764, 9)*F604</f>
        <v>56648.581364263569</v>
      </c>
    </row>
    <row r="605" spans="1:8">
      <c r="A605" s="6">
        <v>1292</v>
      </c>
      <c r="B605" s="6">
        <v>259</v>
      </c>
      <c r="C605" s="6" t="s">
        <v>1377</v>
      </c>
      <c r="D605" s="6">
        <v>773</v>
      </c>
      <c r="E605" s="6" t="s">
        <v>1087</v>
      </c>
      <c r="F605" s="8">
        <f t="shared" si="10"/>
        <v>14321092</v>
      </c>
      <c r="G605" s="8">
        <f>VLOOKUP(A605, localcont!$D$10:$L$1764, 8)</f>
        <v>11605258.635313623</v>
      </c>
      <c r="H605" s="81">
        <f>VLOOKUP(A605, localcont!$D$10:$L$1764, 9)*F605</f>
        <v>12997401.554534344</v>
      </c>
    </row>
    <row r="606" spans="1:8">
      <c r="A606" s="6">
        <v>1293</v>
      </c>
      <c r="B606" s="6">
        <v>259</v>
      </c>
      <c r="C606" s="6" t="s">
        <v>1377</v>
      </c>
      <c r="D606" s="6">
        <v>885</v>
      </c>
      <c r="E606" s="6" t="s">
        <v>1117</v>
      </c>
      <c r="F606" s="8">
        <f t="shared" si="10"/>
        <v>14321092</v>
      </c>
      <c r="G606" s="8">
        <f>VLOOKUP(A606, localcont!$D$10:$L$1764, 8)</f>
        <v>1131329.864124781</v>
      </c>
      <c r="H606" s="81">
        <f>VLOOKUP(A606, localcont!$D$10:$L$1764, 9)*F606</f>
        <v>1267041.8641013927</v>
      </c>
    </row>
    <row r="607" spans="1:8">
      <c r="A607" s="6">
        <v>1296</v>
      </c>
      <c r="B607" s="6">
        <v>260</v>
      </c>
      <c r="C607" s="6" t="s">
        <v>1378</v>
      </c>
      <c r="D607" s="6">
        <v>260</v>
      </c>
      <c r="E607" s="6" t="s">
        <v>941</v>
      </c>
      <c r="F607" s="8">
        <f t="shared" si="10"/>
        <v>1437909</v>
      </c>
      <c r="G607" s="8">
        <f>VLOOKUP(A607, localcont!$D$10:$L$1764, 8)</f>
        <v>0</v>
      </c>
      <c r="H607" s="81">
        <f>VLOOKUP(A607, localcont!$D$10:$L$1764, 9)*F607</f>
        <v>0</v>
      </c>
    </row>
    <row r="608" spans="1:8">
      <c r="A608" s="6">
        <v>1297</v>
      </c>
      <c r="B608" s="6">
        <v>260</v>
      </c>
      <c r="C608" s="6" t="s">
        <v>1378</v>
      </c>
      <c r="D608" s="6">
        <v>662</v>
      </c>
      <c r="E608" s="6" t="s">
        <v>1052</v>
      </c>
      <c r="F608" s="8">
        <f t="shared" si="10"/>
        <v>1437909</v>
      </c>
      <c r="G608" s="8">
        <f>VLOOKUP(A608, localcont!$D$10:$L$1764, 8)</f>
        <v>1371734.9503945918</v>
      </c>
      <c r="H608" s="81">
        <f>VLOOKUP(A608, localcont!$D$10:$L$1764, 9)*F608</f>
        <v>1437909</v>
      </c>
    </row>
    <row r="609" spans="1:8">
      <c r="A609" s="6">
        <v>1301</v>
      </c>
      <c r="B609" s="6">
        <v>261</v>
      </c>
      <c r="C609" s="6" t="s">
        <v>1379</v>
      </c>
      <c r="D609" s="6">
        <v>261</v>
      </c>
      <c r="E609" s="6" t="s">
        <v>942</v>
      </c>
      <c r="F609" s="8">
        <f t="shared" si="10"/>
        <v>38255780</v>
      </c>
      <c r="G609" s="8">
        <f>VLOOKUP(A609, localcont!$D$10:$L$1764, 8)</f>
        <v>29473433.750000004</v>
      </c>
      <c r="H609" s="81">
        <f>VLOOKUP(A609, localcont!$D$10:$L$1764, 9)*F609</f>
        <v>34364885.735949315</v>
      </c>
    </row>
    <row r="610" spans="1:8">
      <c r="A610" s="6">
        <v>1302</v>
      </c>
      <c r="B610" s="6">
        <v>261</v>
      </c>
      <c r="C610" s="6" t="s">
        <v>1379</v>
      </c>
      <c r="D610" s="6">
        <v>879</v>
      </c>
      <c r="E610" s="6" t="s">
        <v>1116</v>
      </c>
      <c r="F610" s="8">
        <f t="shared" si="10"/>
        <v>38255780</v>
      </c>
      <c r="G610" s="8">
        <f>VLOOKUP(A610, localcont!$D$10:$L$1764, 8)</f>
        <v>3337069.5657453467</v>
      </c>
      <c r="H610" s="81">
        <f>VLOOKUP(A610, localcont!$D$10:$L$1764, 9)*F610</f>
        <v>3890894.2640506835</v>
      </c>
    </row>
    <row r="611" spans="1:8">
      <c r="A611" s="6">
        <v>1306</v>
      </c>
      <c r="B611" s="6">
        <v>262</v>
      </c>
      <c r="C611" s="6" t="s">
        <v>1380</v>
      </c>
      <c r="D611" s="6">
        <v>262</v>
      </c>
      <c r="E611" s="6" t="s">
        <v>943</v>
      </c>
      <c r="F611" s="8">
        <f t="shared" si="10"/>
        <v>42031459</v>
      </c>
      <c r="G611" s="8">
        <f>VLOOKUP(A611, localcont!$D$10:$L$1764, 8)</f>
        <v>46319897.799999997</v>
      </c>
      <c r="H611" s="81">
        <f>VLOOKUP(A611, localcont!$D$10:$L$1764, 9)*F611</f>
        <v>39480820.504280716</v>
      </c>
    </row>
    <row r="612" spans="1:8">
      <c r="A612" s="6">
        <v>1307</v>
      </c>
      <c r="B612" s="6">
        <v>262</v>
      </c>
      <c r="C612" s="6" t="s">
        <v>1380</v>
      </c>
      <c r="D612" s="6">
        <v>853</v>
      </c>
      <c r="E612" s="6" t="s">
        <v>1108</v>
      </c>
      <c r="F612" s="8">
        <f t="shared" si="10"/>
        <v>42031459</v>
      </c>
      <c r="G612" s="8">
        <f>VLOOKUP(A612, localcont!$D$10:$L$1764, 8)</f>
        <v>2992473.6349806311</v>
      </c>
      <c r="H612" s="81">
        <f>VLOOKUP(A612, localcont!$D$10:$L$1764, 9)*F612</f>
        <v>2550638.4957192792</v>
      </c>
    </row>
    <row r="613" spans="1:8">
      <c r="A613" s="6">
        <v>1311</v>
      </c>
      <c r="B613" s="6">
        <v>263</v>
      </c>
      <c r="C613" s="6" t="s">
        <v>1381</v>
      </c>
      <c r="D613" s="6">
        <v>263</v>
      </c>
      <c r="E613" s="6" t="s">
        <v>944</v>
      </c>
      <c r="F613" s="8">
        <f t="shared" si="10"/>
        <v>629505</v>
      </c>
      <c r="G613" s="8">
        <f>VLOOKUP(A613, localcont!$D$10:$L$1764, 8)</f>
        <v>622293.56000000006</v>
      </c>
      <c r="H613" s="81">
        <f>VLOOKUP(A613, localcont!$D$10:$L$1764, 9)*F613</f>
        <v>453683.73165045958</v>
      </c>
    </row>
    <row r="614" spans="1:8">
      <c r="A614" s="6">
        <v>1312</v>
      </c>
      <c r="B614" s="6">
        <v>263</v>
      </c>
      <c r="C614" s="6" t="s">
        <v>1381</v>
      </c>
      <c r="D614" s="6">
        <v>851</v>
      </c>
      <c r="E614" s="6" t="s">
        <v>1106</v>
      </c>
      <c r="F614" s="8">
        <f t="shared" si="10"/>
        <v>629505</v>
      </c>
      <c r="G614" s="8">
        <f>VLOOKUP(A614, localcont!$D$10:$L$1764, 8)</f>
        <v>241164.57208398994</v>
      </c>
      <c r="H614" s="81">
        <f>VLOOKUP(A614, localcont!$D$10:$L$1764, 9)*F614</f>
        <v>175821.26834954039</v>
      </c>
    </row>
    <row r="615" spans="1:8">
      <c r="A615" s="6">
        <v>1316</v>
      </c>
      <c r="B615" s="6">
        <v>264</v>
      </c>
      <c r="C615" s="6" t="s">
        <v>1382</v>
      </c>
      <c r="D615" s="6">
        <v>264</v>
      </c>
      <c r="E615" s="6" t="s">
        <v>945</v>
      </c>
      <c r="F615" s="8">
        <f t="shared" si="10"/>
        <v>49339221</v>
      </c>
      <c r="G615" s="8">
        <f>VLOOKUP(A615, localcont!$D$10:$L$1764, 8)</f>
        <v>35051638.613499999</v>
      </c>
      <c r="H615" s="81">
        <f>VLOOKUP(A615, localcont!$D$10:$L$1764, 9)*F615</f>
        <v>47802349.245062165</v>
      </c>
    </row>
    <row r="616" spans="1:8">
      <c r="A616" s="6">
        <v>1317</v>
      </c>
      <c r="B616" s="6">
        <v>264</v>
      </c>
      <c r="C616" s="6" t="s">
        <v>1382</v>
      </c>
      <c r="D616" s="6">
        <v>873</v>
      </c>
      <c r="E616" s="6" t="s">
        <v>1113</v>
      </c>
      <c r="F616" s="8">
        <f t="shared" si="10"/>
        <v>49339221</v>
      </c>
      <c r="G616" s="8">
        <f>VLOOKUP(A616, localcont!$D$10:$L$1764, 8)</f>
        <v>1126929.4124690169</v>
      </c>
      <c r="H616" s="81">
        <f>VLOOKUP(A616, localcont!$D$10:$L$1764, 9)*F616</f>
        <v>1536871.7549378388</v>
      </c>
    </row>
    <row r="617" spans="1:8">
      <c r="A617" s="6">
        <v>1321</v>
      </c>
      <c r="B617" s="6">
        <v>265</v>
      </c>
      <c r="C617" s="6" t="s">
        <v>1383</v>
      </c>
      <c r="D617" s="6">
        <v>265</v>
      </c>
      <c r="E617" s="6" t="s">
        <v>946</v>
      </c>
      <c r="F617" s="8">
        <f t="shared" si="10"/>
        <v>22429816</v>
      </c>
      <c r="G617" s="8">
        <f>VLOOKUP(A617, localcont!$D$10:$L$1764, 8)</f>
        <v>26822442.259999998</v>
      </c>
      <c r="H617" s="81">
        <f>VLOOKUP(A617, localcont!$D$10:$L$1764, 9)*F617</f>
        <v>20868588.686896861</v>
      </c>
    </row>
    <row r="618" spans="1:8">
      <c r="A618" s="6">
        <v>1322</v>
      </c>
      <c r="B618" s="6">
        <v>265</v>
      </c>
      <c r="C618" s="6" t="s">
        <v>1383</v>
      </c>
      <c r="D618" s="6">
        <v>878</v>
      </c>
      <c r="E618" s="6" t="s">
        <v>1115</v>
      </c>
      <c r="F618" s="8">
        <f t="shared" si="10"/>
        <v>22429816</v>
      </c>
      <c r="G618" s="8">
        <f>VLOOKUP(A618, localcont!$D$10:$L$1764, 8)</f>
        <v>1735630.3582239018</v>
      </c>
      <c r="H618" s="81">
        <f>VLOOKUP(A618, localcont!$D$10:$L$1764, 9)*F618</f>
        <v>1350367.5656068339</v>
      </c>
    </row>
    <row r="619" spans="1:8">
      <c r="A619" s="6">
        <v>1323</v>
      </c>
      <c r="B619" s="6">
        <v>265</v>
      </c>
      <c r="C619" s="6" t="s">
        <v>1383</v>
      </c>
      <c r="D619" s="6">
        <v>910</v>
      </c>
      <c r="E619" s="6" t="s">
        <v>1118</v>
      </c>
      <c r="F619" s="8">
        <f t="shared" si="10"/>
        <v>22429816</v>
      </c>
      <c r="G619" s="8">
        <f>VLOOKUP(A619, localcont!$D$10:$L$1764, 8)</f>
        <v>271018.49037491984</v>
      </c>
      <c r="H619" s="81">
        <f>VLOOKUP(A619, localcont!$D$10:$L$1764, 9)*F619</f>
        <v>210859.74749630864</v>
      </c>
    </row>
    <row r="620" spans="1:8">
      <c r="A620" s="6">
        <v>1326</v>
      </c>
      <c r="B620" s="6">
        <v>266</v>
      </c>
      <c r="C620" s="6" t="s">
        <v>1384</v>
      </c>
      <c r="D620" s="6">
        <v>266</v>
      </c>
      <c r="E620" s="6" t="s">
        <v>947</v>
      </c>
      <c r="F620" s="8">
        <f t="shared" si="10"/>
        <v>40407893</v>
      </c>
      <c r="G620" s="8">
        <f>VLOOKUP(A620, localcont!$D$10:$L$1764, 8)</f>
        <v>45602230.371939994</v>
      </c>
      <c r="H620" s="81">
        <f>VLOOKUP(A620, localcont!$D$10:$L$1764, 9)*F620</f>
        <v>39814303.52041965</v>
      </c>
    </row>
    <row r="621" spans="1:8">
      <c r="A621" s="6">
        <v>1327</v>
      </c>
      <c r="B621" s="6">
        <v>266</v>
      </c>
      <c r="C621" s="6" t="s">
        <v>1384</v>
      </c>
      <c r="D621" s="6">
        <v>872</v>
      </c>
      <c r="E621" s="6" t="s">
        <v>1112</v>
      </c>
      <c r="F621" s="8">
        <f t="shared" si="10"/>
        <v>40407893</v>
      </c>
      <c r="G621" s="8">
        <f>VLOOKUP(A621, localcont!$D$10:$L$1764, 8)</f>
        <v>481665.64745926013</v>
      </c>
      <c r="H621" s="81">
        <f>VLOOKUP(A621, localcont!$D$10:$L$1764, 9)*F621</f>
        <v>420531.67415036244</v>
      </c>
    </row>
    <row r="622" spans="1:8">
      <c r="A622" s="6">
        <v>1328</v>
      </c>
      <c r="B622" s="6">
        <v>266</v>
      </c>
      <c r="C622" s="6" t="s">
        <v>1384</v>
      </c>
      <c r="D622" s="6">
        <v>915</v>
      </c>
      <c r="E622" s="6" t="s">
        <v>1119</v>
      </c>
      <c r="F622" s="8">
        <f t="shared" si="10"/>
        <v>40407893</v>
      </c>
      <c r="G622" s="8">
        <f>VLOOKUP(A622, localcont!$D$10:$L$1764, 8)</f>
        <v>198215.74693208101</v>
      </c>
      <c r="H622" s="81">
        <f>VLOOKUP(A622, localcont!$D$10:$L$1764, 9)*F622</f>
        <v>173057.80542998543</v>
      </c>
    </row>
    <row r="623" spans="1:8">
      <c r="A623" s="6">
        <v>1331</v>
      </c>
      <c r="B623" s="6">
        <v>267</v>
      </c>
      <c r="C623" s="6" t="s">
        <v>1385</v>
      </c>
      <c r="D623" s="6">
        <v>267</v>
      </c>
      <c r="E623" s="6" t="s">
        <v>948</v>
      </c>
      <c r="F623" s="8">
        <f t="shared" si="10"/>
        <v>5773628</v>
      </c>
      <c r="G623" s="8">
        <f>VLOOKUP(A623, localcont!$D$10:$L$1764, 8)</f>
        <v>45335.72</v>
      </c>
      <c r="H623" s="81">
        <f>VLOOKUP(A623, localcont!$D$10:$L$1764, 9)*F623</f>
        <v>54183.275025182185</v>
      </c>
    </row>
    <row r="624" spans="1:8">
      <c r="A624" s="6">
        <v>1332</v>
      </c>
      <c r="B624" s="6">
        <v>267</v>
      </c>
      <c r="C624" s="6" t="s">
        <v>1385</v>
      </c>
      <c r="D624" s="6">
        <v>765</v>
      </c>
      <c r="E624" s="6" t="s">
        <v>1083</v>
      </c>
      <c r="F624" s="8">
        <f t="shared" si="10"/>
        <v>5773628</v>
      </c>
      <c r="G624" s="8">
        <f>VLOOKUP(A624, localcont!$D$10:$L$1764, 8)</f>
        <v>4785519.9687805055</v>
      </c>
      <c r="H624" s="81">
        <f>VLOOKUP(A624, localcont!$D$10:$L$1764, 9)*F624</f>
        <v>5719444.7249748185</v>
      </c>
    </row>
    <row r="625" spans="1:8">
      <c r="A625" s="6">
        <v>1336</v>
      </c>
      <c r="B625" s="6">
        <v>268</v>
      </c>
      <c r="C625" s="6" t="s">
        <v>1386</v>
      </c>
      <c r="D625" s="6">
        <v>268</v>
      </c>
      <c r="E625" s="6" t="s">
        <v>949</v>
      </c>
      <c r="F625" s="8">
        <f t="shared" si="10"/>
        <v>1916137</v>
      </c>
      <c r="G625" s="8">
        <f>VLOOKUP(A625, localcont!$D$10:$L$1764, 8)</f>
        <v>0</v>
      </c>
      <c r="H625" s="81">
        <f>VLOOKUP(A625, localcont!$D$10:$L$1764, 9)*F625</f>
        <v>0</v>
      </c>
    </row>
    <row r="626" spans="1:8">
      <c r="A626" s="6">
        <v>1337</v>
      </c>
      <c r="B626" s="6">
        <v>268</v>
      </c>
      <c r="C626" s="6" t="s">
        <v>1386</v>
      </c>
      <c r="D626" s="6">
        <v>717</v>
      </c>
      <c r="E626" s="6" t="s">
        <v>1070</v>
      </c>
      <c r="F626" s="8">
        <f t="shared" si="10"/>
        <v>1916137</v>
      </c>
      <c r="G626" s="8">
        <f>VLOOKUP(A626, localcont!$D$10:$L$1764, 8)</f>
        <v>2164794.6948750364</v>
      </c>
      <c r="H626" s="81">
        <f>VLOOKUP(A626, localcont!$D$10:$L$1764, 9)*F626</f>
        <v>1740415.3084998908</v>
      </c>
    </row>
    <row r="627" spans="1:8">
      <c r="A627" s="6">
        <v>1338</v>
      </c>
      <c r="B627" s="6">
        <v>268</v>
      </c>
      <c r="C627" s="6" t="s">
        <v>1386</v>
      </c>
      <c r="D627" s="6">
        <v>818</v>
      </c>
      <c r="E627" s="6" t="s">
        <v>1098</v>
      </c>
      <c r="F627" s="8">
        <f t="shared" si="10"/>
        <v>1916137</v>
      </c>
      <c r="G627" s="8">
        <f>VLOOKUP(A627, localcont!$D$10:$L$1764, 8)</f>
        <v>218569.31714866514</v>
      </c>
      <c r="H627" s="81">
        <f>VLOOKUP(A627, localcont!$D$10:$L$1764, 9)*F627</f>
        <v>175721.69150010936</v>
      </c>
    </row>
    <row r="628" spans="1:8">
      <c r="A628" s="6">
        <v>1341</v>
      </c>
      <c r="B628" s="6">
        <v>269</v>
      </c>
      <c r="C628" s="6" t="s">
        <v>1387</v>
      </c>
      <c r="D628" s="6">
        <v>269</v>
      </c>
      <c r="E628" s="6" t="s">
        <v>950</v>
      </c>
      <c r="F628" s="8">
        <f t="shared" si="10"/>
        <v>26261509</v>
      </c>
      <c r="G628" s="8">
        <f>VLOOKUP(A628, localcont!$D$10:$L$1764, 8)</f>
        <v>4869362.1741699995</v>
      </c>
      <c r="H628" s="81">
        <f>VLOOKUP(A628, localcont!$D$10:$L$1764, 9)*F628</f>
        <v>10695995.491440305</v>
      </c>
    </row>
    <row r="629" spans="1:8">
      <c r="A629" s="6">
        <v>1342</v>
      </c>
      <c r="B629" s="6">
        <v>269</v>
      </c>
      <c r="C629" s="6" t="s">
        <v>1387</v>
      </c>
      <c r="D629" s="6">
        <v>655</v>
      </c>
      <c r="E629" s="6" t="s">
        <v>1049</v>
      </c>
      <c r="F629" s="8">
        <f t="shared" si="10"/>
        <v>26261509</v>
      </c>
      <c r="G629" s="8">
        <f>VLOOKUP(A629, localcont!$D$10:$L$1764, 8)</f>
        <v>7002570.0708066486</v>
      </c>
      <c r="H629" s="81">
        <f>VLOOKUP(A629, localcont!$D$10:$L$1764, 9)*F629</f>
        <v>15381780.041573849</v>
      </c>
    </row>
    <row r="630" spans="1:8">
      <c r="A630" s="6">
        <v>1343</v>
      </c>
      <c r="B630" s="6">
        <v>269</v>
      </c>
      <c r="C630" s="6" t="s">
        <v>1387</v>
      </c>
      <c r="D630" s="6">
        <v>878</v>
      </c>
      <c r="E630" s="6" t="s">
        <v>1115</v>
      </c>
      <c r="F630" s="8">
        <f t="shared" si="10"/>
        <v>26261509</v>
      </c>
      <c r="G630" s="8">
        <f>VLOOKUP(A630, localcont!$D$10:$L$1764, 8)</f>
        <v>83644.836517177973</v>
      </c>
      <c r="H630" s="81">
        <f>VLOOKUP(A630, localcont!$D$10:$L$1764, 9)*F630</f>
        <v>183733.46698584728</v>
      </c>
    </row>
    <row r="631" spans="1:8">
      <c r="A631" s="6">
        <v>1346</v>
      </c>
      <c r="B631" s="6">
        <v>270</v>
      </c>
      <c r="C631" s="6" t="s">
        <v>1388</v>
      </c>
      <c r="D631" s="6">
        <v>270</v>
      </c>
      <c r="E631" s="6" t="s">
        <v>951</v>
      </c>
      <c r="F631" s="8">
        <f t="shared" si="10"/>
        <v>7109328</v>
      </c>
      <c r="G631" s="8">
        <f>VLOOKUP(A631, localcont!$D$10:$L$1764, 8)</f>
        <v>0</v>
      </c>
      <c r="H631" s="81">
        <f>VLOOKUP(A631, localcont!$D$10:$L$1764, 9)*F631</f>
        <v>0</v>
      </c>
    </row>
    <row r="632" spans="1:8">
      <c r="A632" s="6">
        <v>1347</v>
      </c>
      <c r="B632" s="6">
        <v>270</v>
      </c>
      <c r="C632" s="6" t="s">
        <v>1388</v>
      </c>
      <c r="D632" s="6">
        <v>616</v>
      </c>
      <c r="E632" s="6" t="s">
        <v>1039</v>
      </c>
      <c r="F632" s="8">
        <f t="shared" si="10"/>
        <v>7109328</v>
      </c>
      <c r="G632" s="8">
        <f>VLOOKUP(A632, localcont!$D$10:$L$1764, 8)</f>
        <v>10200598.994762033</v>
      </c>
      <c r="H632" s="81">
        <f>VLOOKUP(A632, localcont!$D$10:$L$1764, 9)*F632</f>
        <v>6457061.0557711627</v>
      </c>
    </row>
    <row r="633" spans="1:8">
      <c r="A633" s="6">
        <v>1348</v>
      </c>
      <c r="B633" s="6">
        <v>270</v>
      </c>
      <c r="C633" s="6" t="s">
        <v>1388</v>
      </c>
      <c r="D633" s="6">
        <v>852</v>
      </c>
      <c r="E633" s="6" t="s">
        <v>1107</v>
      </c>
      <c r="F633" s="8">
        <f t="shared" si="10"/>
        <v>7109328</v>
      </c>
      <c r="G633" s="8">
        <f>VLOOKUP(A633, localcont!$D$10:$L$1764, 8)</f>
        <v>1030424.4420409243</v>
      </c>
      <c r="H633" s="81">
        <f>VLOOKUP(A633, localcont!$D$10:$L$1764, 9)*F633</f>
        <v>652266.9442288375</v>
      </c>
    </row>
    <row r="634" spans="1:8">
      <c r="A634" s="6">
        <v>1351</v>
      </c>
      <c r="B634" s="6">
        <v>271</v>
      </c>
      <c r="C634" s="6" t="s">
        <v>1389</v>
      </c>
      <c r="D634" s="6">
        <v>271</v>
      </c>
      <c r="E634" s="6" t="s">
        <v>952</v>
      </c>
      <c r="F634" s="8">
        <f t="shared" si="10"/>
        <v>69558155</v>
      </c>
      <c r="G634" s="8">
        <f>VLOOKUP(A634, localcont!$D$10:$L$1764, 8)</f>
        <v>77754351.169999987</v>
      </c>
      <c r="H634" s="81">
        <f>VLOOKUP(A634, localcont!$D$10:$L$1764, 9)*F634</f>
        <v>69558155</v>
      </c>
    </row>
    <row r="635" spans="1:8">
      <c r="A635" s="6">
        <v>1356</v>
      </c>
      <c r="B635" s="6">
        <v>272</v>
      </c>
      <c r="C635" s="6" t="s">
        <v>1390</v>
      </c>
      <c r="D635" s="6">
        <v>272</v>
      </c>
      <c r="E635" s="6" t="s">
        <v>953</v>
      </c>
      <c r="F635" s="8">
        <f t="shared" si="10"/>
        <v>1918991</v>
      </c>
      <c r="G635" s="8">
        <f>VLOOKUP(A635, localcont!$D$10:$L$1764, 8)</f>
        <v>1330308.4500000002</v>
      </c>
      <c r="H635" s="81">
        <f>VLOOKUP(A635, localcont!$D$10:$L$1764, 9)*F635</f>
        <v>900916.32991135633</v>
      </c>
    </row>
    <row r="636" spans="1:8">
      <c r="A636" s="6">
        <v>1357</v>
      </c>
      <c r="B636" s="6">
        <v>272</v>
      </c>
      <c r="C636" s="6" t="s">
        <v>1390</v>
      </c>
      <c r="D636" s="6">
        <v>605</v>
      </c>
      <c r="E636" s="6" t="s">
        <v>1036</v>
      </c>
      <c r="F636" s="8">
        <f t="shared" si="10"/>
        <v>1918991</v>
      </c>
      <c r="G636" s="8">
        <f>VLOOKUP(A636, localcont!$D$10:$L$1764, 8)</f>
        <v>1503306.4574189079</v>
      </c>
      <c r="H636" s="81">
        <f>VLOOKUP(A636, localcont!$D$10:$L$1764, 9)*F636</f>
        <v>1018074.6700886436</v>
      </c>
    </row>
    <row r="637" spans="1:8">
      <c r="A637" s="6">
        <v>1361</v>
      </c>
      <c r="B637" s="6">
        <v>273</v>
      </c>
      <c r="C637" s="6" t="s">
        <v>1391</v>
      </c>
      <c r="D637" s="6">
        <v>273</v>
      </c>
      <c r="E637" s="6" t="s">
        <v>954</v>
      </c>
      <c r="F637" s="8">
        <f t="shared" si="10"/>
        <v>21414556</v>
      </c>
      <c r="G637" s="8">
        <f>VLOOKUP(A637, localcont!$D$10:$L$1764, 8)</f>
        <v>20961593.84</v>
      </c>
      <c r="H637" s="81">
        <f>VLOOKUP(A637, localcont!$D$10:$L$1764, 9)*F637</f>
        <v>12583672.207099359</v>
      </c>
    </row>
    <row r="638" spans="1:8">
      <c r="A638" s="6">
        <v>1362</v>
      </c>
      <c r="B638" s="6">
        <v>273</v>
      </c>
      <c r="C638" s="6" t="s">
        <v>1391</v>
      </c>
      <c r="D638" s="6">
        <v>763</v>
      </c>
      <c r="E638" s="6" t="s">
        <v>1082</v>
      </c>
      <c r="F638" s="8">
        <f t="shared" si="10"/>
        <v>21414556</v>
      </c>
      <c r="G638" s="8">
        <f>VLOOKUP(A638, localcont!$D$10:$L$1764, 8)</f>
        <v>10709243.985871717</v>
      </c>
      <c r="H638" s="81">
        <f>VLOOKUP(A638, localcont!$D$10:$L$1764, 9)*F638</f>
        <v>6428977.5354248499</v>
      </c>
    </row>
    <row r="639" spans="1:8">
      <c r="A639" s="6">
        <v>1363</v>
      </c>
      <c r="B639" s="6">
        <v>273</v>
      </c>
      <c r="C639" s="6" t="s">
        <v>1391</v>
      </c>
      <c r="D639" s="6">
        <v>821</v>
      </c>
      <c r="E639" s="6" t="s">
        <v>1099</v>
      </c>
      <c r="F639" s="8">
        <f t="shared" si="10"/>
        <v>21414556</v>
      </c>
      <c r="G639" s="8">
        <f>VLOOKUP(A639, localcont!$D$10:$L$1764, 8)</f>
        <v>3313070.5869845925</v>
      </c>
      <c r="H639" s="81">
        <f>VLOOKUP(A639, localcont!$D$10:$L$1764, 9)*F639</f>
        <v>1988903.829728836</v>
      </c>
    </row>
    <row r="640" spans="1:8">
      <c r="A640" s="6">
        <v>1364</v>
      </c>
      <c r="B640" s="6">
        <v>273</v>
      </c>
      <c r="C640" s="6" t="s">
        <v>1391</v>
      </c>
      <c r="D640" s="6">
        <v>910</v>
      </c>
      <c r="E640" s="6" t="s">
        <v>1118</v>
      </c>
      <c r="F640" s="8">
        <f t="shared" si="10"/>
        <v>21414556</v>
      </c>
      <c r="G640" s="8">
        <f>VLOOKUP(A640, localcont!$D$10:$L$1764, 8)</f>
        <v>687970.01406961621</v>
      </c>
      <c r="H640" s="81">
        <f>VLOOKUP(A640, localcont!$D$10:$L$1764, 9)*F640</f>
        <v>413002.4277469535</v>
      </c>
    </row>
    <row r="641" spans="1:8">
      <c r="A641" s="6">
        <v>1366</v>
      </c>
      <c r="B641" s="6">
        <v>274</v>
      </c>
      <c r="C641" s="6" t="s">
        <v>1392</v>
      </c>
      <c r="D641" s="6">
        <v>274</v>
      </c>
      <c r="E641" s="6" t="s">
        <v>955</v>
      </c>
      <c r="F641" s="8">
        <f t="shared" si="10"/>
        <v>157195943</v>
      </c>
      <c r="G641" s="8">
        <f>VLOOKUP(A641, localcont!$D$10:$L$1764, 8)</f>
        <v>92273702.112999991</v>
      </c>
      <c r="H641" s="81">
        <f>VLOOKUP(A641, localcont!$D$10:$L$1764, 9)*F641</f>
        <v>157195943</v>
      </c>
    </row>
    <row r="642" spans="1:8">
      <c r="A642" s="6">
        <v>1371</v>
      </c>
      <c r="B642" s="6">
        <v>275</v>
      </c>
      <c r="C642" s="6" t="s">
        <v>1393</v>
      </c>
      <c r="D642" s="6">
        <v>275</v>
      </c>
      <c r="E642" s="6" t="s">
        <v>956</v>
      </c>
      <c r="F642" s="8">
        <f t="shared" si="10"/>
        <v>8555003</v>
      </c>
      <c r="G642" s="8">
        <f>VLOOKUP(A642, localcont!$D$10:$L$1764, 8)</f>
        <v>6090235.1399999997</v>
      </c>
      <c r="H642" s="81">
        <f>VLOOKUP(A642, localcont!$D$10:$L$1764, 9)*F642</f>
        <v>4936740.7263180027</v>
      </c>
    </row>
    <row r="643" spans="1:8">
      <c r="A643" s="6">
        <v>1372</v>
      </c>
      <c r="B643" s="6">
        <v>275</v>
      </c>
      <c r="C643" s="6" t="s">
        <v>1393</v>
      </c>
      <c r="D643" s="6">
        <v>683</v>
      </c>
      <c r="E643" s="6" t="s">
        <v>1060</v>
      </c>
      <c r="F643" s="8">
        <f t="shared" si="10"/>
        <v>8555003</v>
      </c>
      <c r="G643" s="8">
        <f>VLOOKUP(A643, localcont!$D$10:$L$1764, 8)</f>
        <v>4463687.5352677628</v>
      </c>
      <c r="H643" s="81">
        <f>VLOOKUP(A643, localcont!$D$10:$L$1764, 9)*F643</f>
        <v>3618262.2736819964</v>
      </c>
    </row>
    <row r="644" spans="1:8">
      <c r="A644" s="6">
        <v>1376</v>
      </c>
      <c r="B644" s="6">
        <v>276</v>
      </c>
      <c r="C644" s="6" t="s">
        <v>1394</v>
      </c>
      <c r="D644" s="6">
        <v>276</v>
      </c>
      <c r="E644" s="6" t="s">
        <v>957</v>
      </c>
      <c r="F644" s="8">
        <f t="shared" si="10"/>
        <v>34881433</v>
      </c>
      <c r="G644" s="8">
        <f>VLOOKUP(A644, localcont!$D$10:$L$1764, 8)</f>
        <v>14839839.35713</v>
      </c>
      <c r="H644" s="81">
        <f>VLOOKUP(A644, localcont!$D$10:$L$1764, 9)*F644</f>
        <v>23688255.751773559</v>
      </c>
    </row>
    <row r="645" spans="1:8">
      <c r="A645" s="6">
        <v>1377</v>
      </c>
      <c r="B645" s="6">
        <v>276</v>
      </c>
      <c r="C645" s="6" t="s">
        <v>1394</v>
      </c>
      <c r="D645" s="6">
        <v>730</v>
      </c>
      <c r="E645" s="6" t="s">
        <v>1074</v>
      </c>
      <c r="F645" s="8">
        <f t="shared" si="10"/>
        <v>34881433</v>
      </c>
      <c r="G645" s="8">
        <f>VLOOKUP(A645, localcont!$D$10:$L$1764, 8)</f>
        <v>6439574.151492158</v>
      </c>
      <c r="H645" s="81">
        <f>VLOOKUP(A645, localcont!$D$10:$L$1764, 9)*F645</f>
        <v>10279240.61453977</v>
      </c>
    </row>
    <row r="646" spans="1:8">
      <c r="A646" s="6">
        <v>1378</v>
      </c>
      <c r="B646" s="6">
        <v>276</v>
      </c>
      <c r="C646" s="6" t="s">
        <v>1394</v>
      </c>
      <c r="D646" s="6">
        <v>801</v>
      </c>
      <c r="E646" s="6" t="s">
        <v>1092</v>
      </c>
      <c r="F646" s="8">
        <f t="shared" si="10"/>
        <v>34881433</v>
      </c>
      <c r="G646" s="8">
        <f>VLOOKUP(A646, localcont!$D$10:$L$1764, 8)</f>
        <v>572548.3956534426</v>
      </c>
      <c r="H646" s="81">
        <f>VLOOKUP(A646, localcont!$D$10:$L$1764, 9)*F646</f>
        <v>913936.63368667243</v>
      </c>
    </row>
    <row r="647" spans="1:8">
      <c r="A647" s="6">
        <v>1381</v>
      </c>
      <c r="B647" s="6">
        <v>277</v>
      </c>
      <c r="C647" s="6" t="s">
        <v>1395</v>
      </c>
      <c r="D647" s="6">
        <v>277</v>
      </c>
      <c r="E647" s="6" t="s">
        <v>958</v>
      </c>
      <c r="F647" s="8">
        <f t="shared" si="10"/>
        <v>11757081</v>
      </c>
      <c r="G647" s="8">
        <f>VLOOKUP(A647, localcont!$D$10:$L$1764, 8)</f>
        <v>41980389.5</v>
      </c>
      <c r="H647" s="81">
        <f>VLOOKUP(A647, localcont!$D$10:$L$1764, 9)*F647</f>
        <v>10689232.381567175</v>
      </c>
    </row>
    <row r="648" spans="1:8">
      <c r="A648" s="6">
        <v>1382</v>
      </c>
      <c r="B648" s="6">
        <v>277</v>
      </c>
      <c r="C648" s="6" t="s">
        <v>1395</v>
      </c>
      <c r="D648" s="6">
        <v>876</v>
      </c>
      <c r="E648" s="6" t="s">
        <v>1114</v>
      </c>
      <c r="F648" s="8">
        <f t="shared" si="10"/>
        <v>11757081</v>
      </c>
      <c r="G648" s="8">
        <f>VLOOKUP(A648, localcont!$D$10:$L$1764, 8)</f>
        <v>4193818.5389393182</v>
      </c>
      <c r="H648" s="81">
        <f>VLOOKUP(A648, localcont!$D$10:$L$1764, 9)*F648</f>
        <v>1067848.6184328254</v>
      </c>
    </row>
    <row r="649" spans="1:8">
      <c r="A649" s="6">
        <v>1386</v>
      </c>
      <c r="B649" s="6">
        <v>278</v>
      </c>
      <c r="C649" s="6" t="s">
        <v>1396</v>
      </c>
      <c r="D649" s="6">
        <v>278</v>
      </c>
      <c r="E649" s="6" t="s">
        <v>959</v>
      </c>
      <c r="F649" s="8">
        <f t="shared" si="10"/>
        <v>17503725</v>
      </c>
      <c r="G649" s="8">
        <f>VLOOKUP(A649, localcont!$D$10:$L$1764, 8)</f>
        <v>26078106.460000001</v>
      </c>
      <c r="H649" s="81">
        <f>VLOOKUP(A649, localcont!$D$10:$L$1764, 9)*F649</f>
        <v>17503725</v>
      </c>
    </row>
    <row r="650" spans="1:8">
      <c r="A650" s="6">
        <v>1391</v>
      </c>
      <c r="B650" s="6">
        <v>279</v>
      </c>
      <c r="C650" s="6" t="s">
        <v>1397</v>
      </c>
      <c r="D650" s="6">
        <v>279</v>
      </c>
      <c r="E650" s="6" t="s">
        <v>960</v>
      </c>
      <c r="F650" s="8">
        <f t="shared" si="10"/>
        <v>11246843</v>
      </c>
      <c r="G650" s="8">
        <f>VLOOKUP(A650, localcont!$D$10:$L$1764, 8)</f>
        <v>0</v>
      </c>
      <c r="H650" s="81">
        <f>VLOOKUP(A650, localcont!$D$10:$L$1764, 9)*F650</f>
        <v>0</v>
      </c>
    </row>
    <row r="651" spans="1:8">
      <c r="A651" s="6">
        <v>1392</v>
      </c>
      <c r="B651" s="6">
        <v>279</v>
      </c>
      <c r="C651" s="6" t="s">
        <v>1397</v>
      </c>
      <c r="D651" s="6">
        <v>766</v>
      </c>
      <c r="E651" s="6" t="s">
        <v>1548</v>
      </c>
      <c r="F651" s="8">
        <f t="shared" ref="F651:F714" si="11">VLOOKUP(B651, town351, 7)</f>
        <v>11246843</v>
      </c>
      <c r="G651" s="8">
        <f>VLOOKUP(A651, localcont!$D$10:$L$1764, 8)</f>
        <v>15700995.515083062</v>
      </c>
      <c r="H651" s="81">
        <f>VLOOKUP(A651, localcont!$D$10:$L$1764, 9)*F651</f>
        <v>11246843</v>
      </c>
    </row>
    <row r="652" spans="1:8">
      <c r="A652" s="6">
        <v>1396</v>
      </c>
      <c r="B652" s="6">
        <v>280</v>
      </c>
      <c r="C652" s="6" t="s">
        <v>1398</v>
      </c>
      <c r="D652" s="6">
        <v>280</v>
      </c>
      <c r="E652" s="6" t="s">
        <v>961</v>
      </c>
      <c r="F652" s="8">
        <f t="shared" si="11"/>
        <v>11241715</v>
      </c>
      <c r="G652" s="8">
        <f>VLOOKUP(A652, localcont!$D$10:$L$1764, 8)</f>
        <v>67441.320000000007</v>
      </c>
      <c r="H652" s="81">
        <f>VLOOKUP(A652, localcont!$D$10:$L$1764, 9)*F652</f>
        <v>33355.642647368659</v>
      </c>
    </row>
    <row r="653" spans="1:8">
      <c r="A653" s="6">
        <v>1397</v>
      </c>
      <c r="B653" s="6">
        <v>280</v>
      </c>
      <c r="C653" s="6" t="s">
        <v>1398</v>
      </c>
      <c r="D653" s="6">
        <v>767</v>
      </c>
      <c r="E653" s="6" t="s">
        <v>1085</v>
      </c>
      <c r="F653" s="8">
        <f t="shared" si="11"/>
        <v>11241715</v>
      </c>
      <c r="G653" s="8">
        <f>VLOOKUP(A653, localcont!$D$10:$L$1764, 8)</f>
        <v>20141606.308702081</v>
      </c>
      <c r="H653" s="81">
        <f>VLOOKUP(A653, localcont!$D$10:$L$1764, 9)*F653</f>
        <v>9961789.3359301481</v>
      </c>
    </row>
    <row r="654" spans="1:8">
      <c r="A654" s="6">
        <v>1398</v>
      </c>
      <c r="B654" s="6">
        <v>280</v>
      </c>
      <c r="C654" s="6" t="s">
        <v>1398</v>
      </c>
      <c r="D654" s="6">
        <v>876</v>
      </c>
      <c r="E654" s="6" t="s">
        <v>1114</v>
      </c>
      <c r="F654" s="8">
        <f t="shared" si="11"/>
        <v>11241715</v>
      </c>
      <c r="G654" s="8">
        <f>VLOOKUP(A654, localcont!$D$10:$L$1764, 8)</f>
        <v>2520422.9642924494</v>
      </c>
      <c r="H654" s="81">
        <f>VLOOKUP(A654, localcont!$D$10:$L$1764, 9)*F654</f>
        <v>1246570.021422483</v>
      </c>
    </row>
    <row r="655" spans="1:8">
      <c r="A655" s="6">
        <v>1401</v>
      </c>
      <c r="B655" s="6">
        <v>281</v>
      </c>
      <c r="C655" s="6" t="s">
        <v>1399</v>
      </c>
      <c r="D655" s="6">
        <v>281</v>
      </c>
      <c r="E655" s="6" t="s">
        <v>962</v>
      </c>
      <c r="F655" s="8">
        <f t="shared" si="11"/>
        <v>86814191</v>
      </c>
      <c r="G655" s="8">
        <f>VLOOKUP(A655, localcont!$D$10:$L$1764, 8)</f>
        <v>557622637.52999997</v>
      </c>
      <c r="H655" s="81">
        <f>VLOOKUP(A655, localcont!$D$10:$L$1764, 9)*F655</f>
        <v>86814191</v>
      </c>
    </row>
    <row r="656" spans="1:8">
      <c r="A656" s="6">
        <v>1406</v>
      </c>
      <c r="B656" s="6">
        <v>282</v>
      </c>
      <c r="C656" s="6" t="s">
        <v>1400</v>
      </c>
      <c r="D656" s="6">
        <v>282</v>
      </c>
      <c r="E656" s="6" t="s">
        <v>963</v>
      </c>
      <c r="F656" s="8">
        <f t="shared" si="11"/>
        <v>12603148</v>
      </c>
      <c r="G656" s="8">
        <f>VLOOKUP(A656, localcont!$D$10:$L$1764, 8)</f>
        <v>16860.330000000002</v>
      </c>
      <c r="H656" s="81">
        <f>VLOOKUP(A656, localcont!$D$10:$L$1764, 9)*F656</f>
        <v>16225.365213968116</v>
      </c>
    </row>
    <row r="657" spans="1:8">
      <c r="A657" s="6">
        <v>1407</v>
      </c>
      <c r="B657" s="6">
        <v>282</v>
      </c>
      <c r="C657" s="6" t="s">
        <v>1400</v>
      </c>
      <c r="D657" s="6">
        <v>775</v>
      </c>
      <c r="E657" s="6" t="s">
        <v>1089</v>
      </c>
      <c r="F657" s="8">
        <f t="shared" si="11"/>
        <v>12603148</v>
      </c>
      <c r="G657" s="8">
        <f>VLOOKUP(A657, localcont!$D$10:$L$1764, 8)</f>
        <v>11742253.697039196</v>
      </c>
      <c r="H657" s="81">
        <f>VLOOKUP(A657, localcont!$D$10:$L$1764, 9)*F657</f>
        <v>11300037.108972853</v>
      </c>
    </row>
    <row r="658" spans="1:8">
      <c r="A658" s="6">
        <v>1408</v>
      </c>
      <c r="B658" s="6">
        <v>282</v>
      </c>
      <c r="C658" s="6" t="s">
        <v>1400</v>
      </c>
      <c r="D658" s="6">
        <v>832</v>
      </c>
      <c r="E658" s="6" t="s">
        <v>1105</v>
      </c>
      <c r="F658" s="8">
        <f t="shared" si="11"/>
        <v>12603148</v>
      </c>
      <c r="G658" s="8">
        <f>VLOOKUP(A658, localcont!$D$10:$L$1764, 8)</f>
        <v>1337246.6105573322</v>
      </c>
      <c r="H658" s="81">
        <f>VLOOKUP(A658, localcont!$D$10:$L$1764, 9)*F658</f>
        <v>1286885.5258131782</v>
      </c>
    </row>
    <row r="659" spans="1:8">
      <c r="A659" s="6">
        <v>1411</v>
      </c>
      <c r="B659" s="6">
        <v>283</v>
      </c>
      <c r="C659" s="6" t="s">
        <v>1401</v>
      </c>
      <c r="D659" s="6">
        <v>283</v>
      </c>
      <c r="E659" s="6" t="s">
        <v>964</v>
      </c>
      <c r="F659" s="8">
        <f t="shared" si="11"/>
        <v>6006688</v>
      </c>
      <c r="G659" s="8">
        <f>VLOOKUP(A659, localcont!$D$10:$L$1764, 8)</f>
        <v>0</v>
      </c>
      <c r="H659" s="81">
        <f>VLOOKUP(A659, localcont!$D$10:$L$1764, 9)*F659</f>
        <v>0</v>
      </c>
    </row>
    <row r="660" spans="1:8">
      <c r="A660" s="6">
        <v>1412</v>
      </c>
      <c r="B660" s="6">
        <v>283</v>
      </c>
      <c r="C660" s="6" t="s">
        <v>1401</v>
      </c>
      <c r="D660" s="6">
        <v>618</v>
      </c>
      <c r="E660" s="6" t="s">
        <v>1040</v>
      </c>
      <c r="F660" s="8">
        <f t="shared" si="11"/>
        <v>6006688</v>
      </c>
      <c r="G660" s="8">
        <f>VLOOKUP(A660, localcont!$D$10:$L$1764, 8)</f>
        <v>2052919.686048476</v>
      </c>
      <c r="H660" s="81">
        <f>VLOOKUP(A660, localcont!$D$10:$L$1764, 9)*F660</f>
        <v>6006688</v>
      </c>
    </row>
    <row r="661" spans="1:8">
      <c r="A661" s="6">
        <v>1416</v>
      </c>
      <c r="B661" s="6">
        <v>284</v>
      </c>
      <c r="C661" s="6" t="s">
        <v>1402</v>
      </c>
      <c r="D661" s="6">
        <v>284</v>
      </c>
      <c r="E661" s="6" t="s">
        <v>965</v>
      </c>
      <c r="F661" s="8">
        <f t="shared" si="11"/>
        <v>39714257</v>
      </c>
      <c r="G661" s="8">
        <f>VLOOKUP(A661, localcont!$D$10:$L$1764, 8)</f>
        <v>33190354.091199998</v>
      </c>
      <c r="H661" s="81">
        <f>VLOOKUP(A661, localcont!$D$10:$L$1764, 9)*F661</f>
        <v>37768408.247895591</v>
      </c>
    </row>
    <row r="662" spans="1:8">
      <c r="A662" s="6">
        <v>1417</v>
      </c>
      <c r="B662" s="6">
        <v>284</v>
      </c>
      <c r="C662" s="6" t="s">
        <v>1402</v>
      </c>
      <c r="D662" s="6">
        <v>853</v>
      </c>
      <c r="E662" s="6" t="s">
        <v>1108</v>
      </c>
      <c r="F662" s="8">
        <f t="shared" si="11"/>
        <v>39714257</v>
      </c>
      <c r="G662" s="8">
        <f>VLOOKUP(A662, localcont!$D$10:$L$1764, 8)</f>
        <v>1709984.9341377458</v>
      </c>
      <c r="H662" s="81">
        <f>VLOOKUP(A662, localcont!$D$10:$L$1764, 9)*F662</f>
        <v>1945848.7521044165</v>
      </c>
    </row>
    <row r="663" spans="1:8">
      <c r="A663" s="6">
        <v>1421</v>
      </c>
      <c r="B663" s="6">
        <v>285</v>
      </c>
      <c r="C663" s="6" t="s">
        <v>1403</v>
      </c>
      <c r="D663" s="6">
        <v>285</v>
      </c>
      <c r="E663" s="6" t="s">
        <v>966</v>
      </c>
      <c r="F663" s="8">
        <f t="shared" si="11"/>
        <v>37568657</v>
      </c>
      <c r="G663" s="8">
        <f>VLOOKUP(A663, localcont!$D$10:$L$1764, 8)</f>
        <v>60534150.371639997</v>
      </c>
      <c r="H663" s="81">
        <f>VLOOKUP(A663, localcont!$D$10:$L$1764, 9)*F663</f>
        <v>35906008.586692475</v>
      </c>
    </row>
    <row r="664" spans="1:8">
      <c r="A664" s="6">
        <v>1422</v>
      </c>
      <c r="B664" s="6">
        <v>285</v>
      </c>
      <c r="C664" s="6" t="s">
        <v>1403</v>
      </c>
      <c r="D664" s="6">
        <v>872</v>
      </c>
      <c r="E664" s="6" t="s">
        <v>1112</v>
      </c>
      <c r="F664" s="8">
        <f t="shared" si="11"/>
        <v>37568657</v>
      </c>
      <c r="G664" s="8">
        <f>VLOOKUP(A664, localcont!$D$10:$L$1764, 8)</f>
        <v>2692948.8477083463</v>
      </c>
      <c r="H664" s="81">
        <f>VLOOKUP(A664, localcont!$D$10:$L$1764, 9)*F664</f>
        <v>1597330.4961861626</v>
      </c>
    </row>
    <row r="665" spans="1:8">
      <c r="A665" s="6">
        <v>1423</v>
      </c>
      <c r="B665" s="6">
        <v>285</v>
      </c>
      <c r="C665" s="6" t="s">
        <v>1403</v>
      </c>
      <c r="D665" s="6">
        <v>915</v>
      </c>
      <c r="E665" s="6" t="s">
        <v>1119</v>
      </c>
      <c r="F665" s="8">
        <f t="shared" si="11"/>
        <v>37568657</v>
      </c>
      <c r="G665" s="8">
        <f>VLOOKUP(A665, localcont!$D$10:$L$1764, 8)</f>
        <v>110119.85939457403</v>
      </c>
      <c r="H665" s="81">
        <f>VLOOKUP(A665, localcont!$D$10:$L$1764, 9)*F665</f>
        <v>65317.917121363607</v>
      </c>
    </row>
    <row r="666" spans="1:8">
      <c r="A666" s="6">
        <v>1426</v>
      </c>
      <c r="B666" s="6">
        <v>286</v>
      </c>
      <c r="C666" s="6" t="s">
        <v>1404</v>
      </c>
      <c r="D666" s="6">
        <v>286</v>
      </c>
      <c r="E666" s="6" t="s">
        <v>967</v>
      </c>
      <c r="F666" s="8">
        <f t="shared" si="11"/>
        <v>15989518</v>
      </c>
      <c r="G666" s="8">
        <f>VLOOKUP(A666, localcont!$D$10:$L$1764, 8)</f>
        <v>0</v>
      </c>
      <c r="H666" s="81">
        <f>VLOOKUP(A666, localcont!$D$10:$L$1764, 9)*F666</f>
        <v>0</v>
      </c>
    </row>
    <row r="667" spans="1:8">
      <c r="A667" s="6">
        <v>1427</v>
      </c>
      <c r="B667" s="6">
        <v>286</v>
      </c>
      <c r="C667" s="6" t="s">
        <v>1404</v>
      </c>
      <c r="D667" s="6">
        <v>725</v>
      </c>
      <c r="E667" s="6" t="s">
        <v>1072</v>
      </c>
      <c r="F667" s="8">
        <f t="shared" si="11"/>
        <v>15989518</v>
      </c>
      <c r="G667" s="8">
        <f>VLOOKUP(A667, localcont!$D$10:$L$1764, 8)</f>
        <v>13539257.411027879</v>
      </c>
      <c r="H667" s="81">
        <f>VLOOKUP(A667, localcont!$D$10:$L$1764, 9)*F667</f>
        <v>14391235.980730513</v>
      </c>
    </row>
    <row r="668" spans="1:8">
      <c r="A668" s="6">
        <v>1428</v>
      </c>
      <c r="B668" s="6">
        <v>286</v>
      </c>
      <c r="C668" s="6" t="s">
        <v>1404</v>
      </c>
      <c r="D668" s="6">
        <v>830</v>
      </c>
      <c r="E668" s="6" t="s">
        <v>1104</v>
      </c>
      <c r="F668" s="8">
        <f t="shared" si="11"/>
        <v>15989518</v>
      </c>
      <c r="G668" s="8">
        <f>VLOOKUP(A668, localcont!$D$10:$L$1764, 8)</f>
        <v>1503661.7913347953</v>
      </c>
      <c r="H668" s="81">
        <f>VLOOKUP(A668, localcont!$D$10:$L$1764, 9)*F668</f>
        <v>1598282.0192694869</v>
      </c>
    </row>
    <row r="669" spans="1:8">
      <c r="A669" s="6">
        <v>1431</v>
      </c>
      <c r="B669" s="6">
        <v>287</v>
      </c>
      <c r="C669" s="6" t="s">
        <v>1405</v>
      </c>
      <c r="D669" s="6">
        <v>287</v>
      </c>
      <c r="E669" s="6" t="s">
        <v>968</v>
      </c>
      <c r="F669" s="8">
        <f t="shared" si="11"/>
        <v>14129242</v>
      </c>
      <c r="G669" s="8">
        <f>VLOOKUP(A669, localcont!$D$10:$L$1764, 8)</f>
        <v>11550189.470000001</v>
      </c>
      <c r="H669" s="81">
        <f>VLOOKUP(A669, localcont!$D$10:$L$1764, 9)*F669</f>
        <v>6789359.4097228087</v>
      </c>
    </row>
    <row r="670" spans="1:8">
      <c r="A670" s="6">
        <v>1432</v>
      </c>
      <c r="B670" s="6">
        <v>287</v>
      </c>
      <c r="C670" s="6" t="s">
        <v>1405</v>
      </c>
      <c r="D670" s="6">
        <v>770</v>
      </c>
      <c r="E670" s="6" t="s">
        <v>1086</v>
      </c>
      <c r="F670" s="8">
        <f t="shared" si="11"/>
        <v>14129242</v>
      </c>
      <c r="G670" s="8">
        <f>VLOOKUP(A670, localcont!$D$10:$L$1764, 8)</f>
        <v>12486750.146685364</v>
      </c>
      <c r="H670" s="81">
        <f>VLOOKUP(A670, localcont!$D$10:$L$1764, 9)*F670</f>
        <v>7339882.5902771913</v>
      </c>
    </row>
    <row r="671" spans="1:8">
      <c r="A671" s="6">
        <v>1436</v>
      </c>
      <c r="B671" s="6">
        <v>288</v>
      </c>
      <c r="C671" s="6" t="s">
        <v>1406</v>
      </c>
      <c r="D671" s="6">
        <v>288</v>
      </c>
      <c r="E671" s="6" t="s">
        <v>969</v>
      </c>
      <c r="F671" s="8">
        <f t="shared" si="11"/>
        <v>63746348</v>
      </c>
      <c r="G671" s="8">
        <f>VLOOKUP(A671, localcont!$D$10:$L$1764, 8)</f>
        <v>29591077.410479996</v>
      </c>
      <c r="H671" s="81">
        <f>VLOOKUP(A671, localcont!$D$10:$L$1764, 9)*F671</f>
        <v>39850567.400661044</v>
      </c>
    </row>
    <row r="672" spans="1:8">
      <c r="A672" s="6">
        <v>1437</v>
      </c>
      <c r="B672" s="6">
        <v>288</v>
      </c>
      <c r="C672" s="6" t="s">
        <v>1406</v>
      </c>
      <c r="D672" s="6">
        <v>695</v>
      </c>
      <c r="E672" s="6" t="s">
        <v>1063</v>
      </c>
      <c r="F672" s="8">
        <f t="shared" si="11"/>
        <v>63746348</v>
      </c>
      <c r="G672" s="8">
        <f>VLOOKUP(A672, localcont!$D$10:$L$1764, 8)</f>
        <v>17743835.022212397</v>
      </c>
      <c r="H672" s="81">
        <f>VLOOKUP(A672, localcont!$D$10:$L$1764, 9)*F672</f>
        <v>23895780.599338956</v>
      </c>
    </row>
    <row r="673" spans="1:8">
      <c r="A673" s="6">
        <v>1441</v>
      </c>
      <c r="B673" s="6">
        <v>289</v>
      </c>
      <c r="C673" s="6" t="s">
        <v>1407</v>
      </c>
      <c r="D673" s="6">
        <v>289</v>
      </c>
      <c r="E673" s="6" t="s">
        <v>970</v>
      </c>
      <c r="F673" s="8">
        <f t="shared" si="11"/>
        <v>4916390</v>
      </c>
      <c r="G673" s="8">
        <f>VLOOKUP(A673, localcont!$D$10:$L$1764, 8)</f>
        <v>2077119.5199999998</v>
      </c>
      <c r="H673" s="81">
        <f>VLOOKUP(A673, localcont!$D$10:$L$1764, 9)*F673</f>
        <v>2528969.8862401773</v>
      </c>
    </row>
    <row r="674" spans="1:8">
      <c r="A674" s="6">
        <v>1442</v>
      </c>
      <c r="B674" s="6">
        <v>289</v>
      </c>
      <c r="C674" s="6" t="s">
        <v>1407</v>
      </c>
      <c r="D674" s="6">
        <v>670</v>
      </c>
      <c r="E674" s="6" t="s">
        <v>1054</v>
      </c>
      <c r="F674" s="8">
        <f t="shared" si="11"/>
        <v>4916390</v>
      </c>
      <c r="G674" s="8">
        <f>VLOOKUP(A674, localcont!$D$10:$L$1764, 8)</f>
        <v>1764148.0216253875</v>
      </c>
      <c r="H674" s="81">
        <f>VLOOKUP(A674, localcont!$D$10:$L$1764, 9)*F674</f>
        <v>2147915.5044293213</v>
      </c>
    </row>
    <row r="675" spans="1:8">
      <c r="A675" s="6">
        <v>1443</v>
      </c>
      <c r="B675" s="6">
        <v>289</v>
      </c>
      <c r="C675" s="6" t="s">
        <v>1407</v>
      </c>
      <c r="D675" s="6">
        <v>818</v>
      </c>
      <c r="E675" s="6" t="s">
        <v>1098</v>
      </c>
      <c r="F675" s="8">
        <f t="shared" si="11"/>
        <v>4916390</v>
      </c>
      <c r="G675" s="8">
        <f>VLOOKUP(A675, localcont!$D$10:$L$1764, 8)</f>
        <v>196712.38549620018</v>
      </c>
      <c r="H675" s="81">
        <f>VLOOKUP(A675, localcont!$D$10:$L$1764, 9)*F675</f>
        <v>239504.60933050173</v>
      </c>
    </row>
    <row r="676" spans="1:8">
      <c r="A676" s="6">
        <v>1446</v>
      </c>
      <c r="B676" s="6">
        <v>290</v>
      </c>
      <c r="C676" s="6" t="s">
        <v>1408</v>
      </c>
      <c r="D676" s="6">
        <v>290</v>
      </c>
      <c r="E676" s="6" t="s">
        <v>971</v>
      </c>
      <c r="F676" s="8">
        <f t="shared" si="11"/>
        <v>16238556</v>
      </c>
      <c r="G676" s="8">
        <f>VLOOKUP(A676, localcont!$D$10:$L$1764, 8)</f>
        <v>16892397.649999999</v>
      </c>
      <c r="H676" s="81">
        <f>VLOOKUP(A676, localcont!$D$10:$L$1764, 9)*F676</f>
        <v>14734737.724958096</v>
      </c>
    </row>
    <row r="677" spans="1:8">
      <c r="A677" s="6">
        <v>1447</v>
      </c>
      <c r="B677" s="6">
        <v>290</v>
      </c>
      <c r="C677" s="6" t="s">
        <v>1408</v>
      </c>
      <c r="D677" s="6">
        <v>805</v>
      </c>
      <c r="E677" s="6" t="s">
        <v>1093</v>
      </c>
      <c r="F677" s="8">
        <f t="shared" si="11"/>
        <v>16238556</v>
      </c>
      <c r="G677" s="8">
        <f>VLOOKUP(A677, localcont!$D$10:$L$1764, 8)</f>
        <v>1724027.7207185379</v>
      </c>
      <c r="H677" s="81">
        <f>VLOOKUP(A677, localcont!$D$10:$L$1764, 9)*F677</f>
        <v>1503818.2750419066</v>
      </c>
    </row>
    <row r="678" spans="1:8">
      <c r="A678" s="6">
        <v>1451</v>
      </c>
      <c r="B678" s="6">
        <v>291</v>
      </c>
      <c r="C678" s="6" t="s">
        <v>1409</v>
      </c>
      <c r="D678" s="6">
        <v>291</v>
      </c>
      <c r="E678" s="6" t="s">
        <v>972</v>
      </c>
      <c r="F678" s="8">
        <f t="shared" si="11"/>
        <v>36045788</v>
      </c>
      <c r="G678" s="8">
        <f>VLOOKUP(A678, localcont!$D$10:$L$1764, 8)</f>
        <v>26943739.010000002</v>
      </c>
      <c r="H678" s="81">
        <f>VLOOKUP(A678, localcont!$D$10:$L$1764, 9)*F678</f>
        <v>35409412.562017731</v>
      </c>
    </row>
    <row r="679" spans="1:8">
      <c r="A679" s="6">
        <v>1452</v>
      </c>
      <c r="B679" s="6">
        <v>291</v>
      </c>
      <c r="C679" s="6" t="s">
        <v>1409</v>
      </c>
      <c r="D679" s="6">
        <v>817</v>
      </c>
      <c r="E679" s="6" t="s">
        <v>1097</v>
      </c>
      <c r="F679" s="8">
        <f t="shared" si="11"/>
        <v>36045788</v>
      </c>
      <c r="G679" s="8">
        <f>VLOOKUP(A679, localcont!$D$10:$L$1764, 8)</f>
        <v>484230.95648191468</v>
      </c>
      <c r="H679" s="81">
        <f>VLOOKUP(A679, localcont!$D$10:$L$1764, 9)*F679</f>
        <v>636375.43798226444</v>
      </c>
    </row>
    <row r="680" spans="1:8">
      <c r="A680" s="6">
        <v>1456</v>
      </c>
      <c r="B680" s="6">
        <v>292</v>
      </c>
      <c r="C680" s="6" t="s">
        <v>1410</v>
      </c>
      <c r="D680" s="6">
        <v>292</v>
      </c>
      <c r="E680" s="6" t="s">
        <v>973</v>
      </c>
      <c r="F680" s="8">
        <f t="shared" si="11"/>
        <v>20786656</v>
      </c>
      <c r="G680" s="8">
        <f>VLOOKUP(A680, localcont!$D$10:$L$1764, 8)</f>
        <v>28125194.139999993</v>
      </c>
      <c r="H680" s="81">
        <f>VLOOKUP(A680, localcont!$D$10:$L$1764, 9)*F680</f>
        <v>18409723.019723859</v>
      </c>
    </row>
    <row r="681" spans="1:8">
      <c r="A681" s="6">
        <v>1457</v>
      </c>
      <c r="B681" s="6">
        <v>292</v>
      </c>
      <c r="C681" s="6" t="s">
        <v>1410</v>
      </c>
      <c r="D681" s="6">
        <v>821</v>
      </c>
      <c r="E681" s="6" t="s">
        <v>1099</v>
      </c>
      <c r="F681" s="8">
        <f t="shared" si="11"/>
        <v>20786656</v>
      </c>
      <c r="G681" s="8">
        <f>VLOOKUP(A681, localcont!$D$10:$L$1764, 8)</f>
        <v>3005898.4795111292</v>
      </c>
      <c r="H681" s="81">
        <f>VLOOKUP(A681, localcont!$D$10:$L$1764, 9)*F681</f>
        <v>1967551.1627671558</v>
      </c>
    </row>
    <row r="682" spans="1:8">
      <c r="A682" s="6">
        <v>1458</v>
      </c>
      <c r="B682" s="6">
        <v>292</v>
      </c>
      <c r="C682" s="6" t="s">
        <v>1410</v>
      </c>
      <c r="D682" s="6">
        <v>910</v>
      </c>
      <c r="E682" s="6" t="s">
        <v>1118</v>
      </c>
      <c r="F682" s="8">
        <f t="shared" si="11"/>
        <v>20786656</v>
      </c>
      <c r="G682" s="8">
        <f>VLOOKUP(A682, localcont!$D$10:$L$1764, 8)</f>
        <v>625427.28548877896</v>
      </c>
      <c r="H682" s="81">
        <f>VLOOKUP(A682, localcont!$D$10:$L$1764, 9)*F682</f>
        <v>409381.81750898249</v>
      </c>
    </row>
    <row r="683" spans="1:8">
      <c r="A683" s="6">
        <v>1461</v>
      </c>
      <c r="B683" s="6">
        <v>293</v>
      </c>
      <c r="C683" s="6" t="s">
        <v>1411</v>
      </c>
      <c r="D683" s="6">
        <v>293</v>
      </c>
      <c r="E683" s="6" t="s">
        <v>974</v>
      </c>
      <c r="F683" s="8">
        <f t="shared" si="11"/>
        <v>55046805</v>
      </c>
      <c r="G683" s="8">
        <f>VLOOKUP(A683, localcont!$D$10:$L$1764, 8)</f>
        <v>140024274.21000001</v>
      </c>
      <c r="H683" s="81">
        <f>VLOOKUP(A683, localcont!$D$10:$L$1764, 9)*F683</f>
        <v>50731127.838346936</v>
      </c>
    </row>
    <row r="684" spans="1:8">
      <c r="A684" s="6">
        <v>1462</v>
      </c>
      <c r="B684" s="6">
        <v>293</v>
      </c>
      <c r="C684" s="6" t="s">
        <v>1411</v>
      </c>
      <c r="D684" s="6">
        <v>810</v>
      </c>
      <c r="E684" s="6" t="s">
        <v>1095</v>
      </c>
      <c r="F684" s="8">
        <f t="shared" si="11"/>
        <v>55046805</v>
      </c>
      <c r="G684" s="8">
        <f>VLOOKUP(A684, localcont!$D$10:$L$1764, 8)</f>
        <v>10931974.045336653</v>
      </c>
      <c r="H684" s="81">
        <f>VLOOKUP(A684, localcont!$D$10:$L$1764, 9)*F684</f>
        <v>3960680.217400888</v>
      </c>
    </row>
    <row r="685" spans="1:8">
      <c r="A685" s="6">
        <v>1463</v>
      </c>
      <c r="B685" s="6">
        <v>293</v>
      </c>
      <c r="C685" s="6" t="s">
        <v>1411</v>
      </c>
      <c r="D685" s="6">
        <v>910</v>
      </c>
      <c r="E685" s="6" t="s">
        <v>1118</v>
      </c>
      <c r="F685" s="8">
        <f t="shared" si="11"/>
        <v>55046805</v>
      </c>
      <c r="G685" s="8">
        <f>VLOOKUP(A685, localcont!$D$10:$L$1764, 8)</f>
        <v>979836.08060263807</v>
      </c>
      <c r="H685" s="81">
        <f>VLOOKUP(A685, localcont!$D$10:$L$1764, 9)*F685</f>
        <v>354996.94425216509</v>
      </c>
    </row>
    <row r="686" spans="1:8">
      <c r="A686" s="6">
        <v>1466</v>
      </c>
      <c r="B686" s="6">
        <v>294</v>
      </c>
      <c r="C686" s="6" t="s">
        <v>1412</v>
      </c>
      <c r="D686" s="6">
        <v>294</v>
      </c>
      <c r="E686" s="6" t="s">
        <v>975</v>
      </c>
      <c r="F686" s="8">
        <f t="shared" si="11"/>
        <v>7364129</v>
      </c>
      <c r="G686" s="8">
        <f>VLOOKUP(A686, localcont!$D$10:$L$1764, 8)</f>
        <v>16860.330000000002</v>
      </c>
      <c r="H686" s="81">
        <f>VLOOKUP(A686, localcont!$D$10:$L$1764, 9)*F686</f>
        <v>6952.9302499404675</v>
      </c>
    </row>
    <row r="687" spans="1:8">
      <c r="A687" s="6">
        <v>1467</v>
      </c>
      <c r="B687" s="6">
        <v>294</v>
      </c>
      <c r="C687" s="6" t="s">
        <v>1412</v>
      </c>
      <c r="D687" s="6">
        <v>720</v>
      </c>
      <c r="E687" s="6" t="s">
        <v>1071</v>
      </c>
      <c r="F687" s="8">
        <f t="shared" si="11"/>
        <v>7364129</v>
      </c>
      <c r="G687" s="8">
        <f>VLOOKUP(A687, localcont!$D$10:$L$1764, 8)</f>
        <v>16077861.370967135</v>
      </c>
      <c r="H687" s="81">
        <f>VLOOKUP(A687, localcont!$D$10:$L$1764, 9)*F687</f>
        <v>6630252.7103886288</v>
      </c>
    </row>
    <row r="688" spans="1:8">
      <c r="A688" s="6">
        <v>1468</v>
      </c>
      <c r="B688" s="6">
        <v>294</v>
      </c>
      <c r="C688" s="6" t="s">
        <v>1412</v>
      </c>
      <c r="D688" s="6">
        <v>832</v>
      </c>
      <c r="E688" s="6" t="s">
        <v>1105</v>
      </c>
      <c r="F688" s="8">
        <f t="shared" si="11"/>
        <v>7364129</v>
      </c>
      <c r="G688" s="8">
        <f>VLOOKUP(A688, localcont!$D$10:$L$1764, 8)</f>
        <v>1762734.1686114664</v>
      </c>
      <c r="H688" s="81">
        <f>VLOOKUP(A688, localcont!$D$10:$L$1764, 9)*F688</f>
        <v>726923.35936143156</v>
      </c>
    </row>
    <row r="689" spans="1:8">
      <c r="A689" s="6">
        <v>1471</v>
      </c>
      <c r="B689" s="6">
        <v>295</v>
      </c>
      <c r="C689" s="6" t="s">
        <v>1413</v>
      </c>
      <c r="D689" s="6">
        <v>295</v>
      </c>
      <c r="E689" s="6" t="s">
        <v>976</v>
      </c>
      <c r="F689" s="8">
        <f t="shared" si="11"/>
        <v>47250295</v>
      </c>
      <c r="G689" s="8">
        <f>VLOOKUP(A689, localcont!$D$10:$L$1764, 8)</f>
        <v>42576904.100000009</v>
      </c>
      <c r="H689" s="81">
        <f>VLOOKUP(A689, localcont!$D$10:$L$1764, 9)*F689</f>
        <v>40438026.52402667</v>
      </c>
    </row>
    <row r="690" spans="1:8">
      <c r="A690" s="6">
        <v>1472</v>
      </c>
      <c r="B690" s="6">
        <v>295</v>
      </c>
      <c r="C690" s="6" t="s">
        <v>1413</v>
      </c>
      <c r="D690" s="6">
        <v>871</v>
      </c>
      <c r="E690" s="6" t="s">
        <v>1111</v>
      </c>
      <c r="F690" s="8">
        <f t="shared" si="11"/>
        <v>47250295</v>
      </c>
      <c r="G690" s="8">
        <f>VLOOKUP(A690, localcont!$D$10:$L$1764, 8)</f>
        <v>7172587.9459680449</v>
      </c>
      <c r="H690" s="81">
        <f>VLOOKUP(A690, localcont!$D$10:$L$1764, 9)*F690</f>
        <v>6812268.4759733323</v>
      </c>
    </row>
    <row r="691" spans="1:8">
      <c r="A691" s="6">
        <v>1476</v>
      </c>
      <c r="B691" s="6">
        <v>296</v>
      </c>
      <c r="C691" s="6" t="s">
        <v>1414</v>
      </c>
      <c r="D691" s="6">
        <v>296</v>
      </c>
      <c r="E691" s="6" t="s">
        <v>977</v>
      </c>
      <c r="F691" s="8">
        <f t="shared" si="11"/>
        <v>16493404</v>
      </c>
      <c r="G691" s="8">
        <f>VLOOKUP(A691, localcont!$D$10:$L$1764, 8)</f>
        <v>5499468.6799999997</v>
      </c>
      <c r="H691" s="81">
        <f>VLOOKUP(A691, localcont!$D$10:$L$1764, 9)*F691</f>
        <v>10278607.539790442</v>
      </c>
    </row>
    <row r="692" spans="1:8">
      <c r="A692" s="6">
        <v>1477</v>
      </c>
      <c r="B692" s="6">
        <v>296</v>
      </c>
      <c r="C692" s="6" t="s">
        <v>1414</v>
      </c>
      <c r="D692" s="6">
        <v>700</v>
      </c>
      <c r="E692" s="6" t="s">
        <v>1065</v>
      </c>
      <c r="F692" s="8">
        <f t="shared" si="11"/>
        <v>16493404</v>
      </c>
      <c r="G692" s="8">
        <f>VLOOKUP(A692, localcont!$D$10:$L$1764, 8)</f>
        <v>3325166.2108109007</v>
      </c>
      <c r="H692" s="81">
        <f>VLOOKUP(A692, localcont!$D$10:$L$1764, 9)*F692</f>
        <v>6214796.4602095596</v>
      </c>
    </row>
    <row r="693" spans="1:8">
      <c r="A693" s="6">
        <v>1481</v>
      </c>
      <c r="B693" s="6">
        <v>297</v>
      </c>
      <c r="C693" s="6" t="s">
        <v>1415</v>
      </c>
      <c r="D693" s="6">
        <v>297</v>
      </c>
      <c r="E693" s="6" t="s">
        <v>978</v>
      </c>
      <c r="F693" s="8">
        <f t="shared" si="11"/>
        <v>1094473</v>
      </c>
      <c r="G693" s="8">
        <f>VLOOKUP(A693, localcont!$D$10:$L$1764, 8)</f>
        <v>0</v>
      </c>
      <c r="H693" s="81">
        <f>VLOOKUP(A693, localcont!$D$10:$L$1764, 9)*F693</f>
        <v>0</v>
      </c>
    </row>
    <row r="694" spans="1:8">
      <c r="A694" s="6">
        <v>1482</v>
      </c>
      <c r="B694" s="6">
        <v>297</v>
      </c>
      <c r="C694" s="6" t="s">
        <v>1415</v>
      </c>
      <c r="D694" s="6">
        <v>766</v>
      </c>
      <c r="E694" s="6" t="s">
        <v>1548</v>
      </c>
      <c r="F694" s="8">
        <f t="shared" si="11"/>
        <v>1094473</v>
      </c>
      <c r="G694" s="8">
        <f>VLOOKUP(A694, localcont!$D$10:$L$1764, 8)</f>
        <v>429555.53772842116</v>
      </c>
      <c r="H694" s="81">
        <f>VLOOKUP(A694, localcont!$D$10:$L$1764, 9)*F694</f>
        <v>1094473</v>
      </c>
    </row>
    <row r="695" spans="1:8">
      <c r="A695" s="6">
        <v>1486</v>
      </c>
      <c r="B695" s="6">
        <v>298</v>
      </c>
      <c r="C695" s="6" t="s">
        <v>1416</v>
      </c>
      <c r="D695" s="6">
        <v>298</v>
      </c>
      <c r="E695" s="6" t="s">
        <v>979</v>
      </c>
      <c r="F695" s="8">
        <f t="shared" si="11"/>
        <v>15638958</v>
      </c>
      <c r="G695" s="8">
        <f>VLOOKUP(A695, localcont!$D$10:$L$1764, 8)</f>
        <v>7135071.2786099995</v>
      </c>
      <c r="H695" s="81">
        <f>VLOOKUP(A695, localcont!$D$10:$L$1764, 9)*F695</f>
        <v>7992186.0915591707</v>
      </c>
    </row>
    <row r="696" spans="1:8">
      <c r="A696" s="6">
        <v>1487</v>
      </c>
      <c r="B696" s="6">
        <v>298</v>
      </c>
      <c r="C696" s="6" t="s">
        <v>1416</v>
      </c>
      <c r="D696" s="6">
        <v>705</v>
      </c>
      <c r="E696" s="6" t="s">
        <v>1066</v>
      </c>
      <c r="F696" s="8">
        <f t="shared" si="11"/>
        <v>15638958</v>
      </c>
      <c r="G696" s="8">
        <f>VLOOKUP(A696, localcont!$D$10:$L$1764, 8)</f>
        <v>6322293.4825305762</v>
      </c>
      <c r="H696" s="81">
        <f>VLOOKUP(A696, localcont!$D$10:$L$1764, 9)*F696</f>
        <v>7081771.7251564348</v>
      </c>
    </row>
    <row r="697" spans="1:8">
      <c r="A697" s="6">
        <v>1488</v>
      </c>
      <c r="B697" s="6">
        <v>298</v>
      </c>
      <c r="C697" s="6" t="s">
        <v>1416</v>
      </c>
      <c r="D697" s="6">
        <v>817</v>
      </c>
      <c r="E697" s="6" t="s">
        <v>1097</v>
      </c>
      <c r="F697" s="8">
        <f t="shared" si="11"/>
        <v>15638958</v>
      </c>
      <c r="G697" s="8">
        <f>VLOOKUP(A697, localcont!$D$10:$L$1764, 8)</f>
        <v>504407.24652538839</v>
      </c>
      <c r="H697" s="81">
        <f>VLOOKUP(A697, localcont!$D$10:$L$1764, 9)*F697</f>
        <v>565000.18328439421</v>
      </c>
    </row>
    <row r="698" spans="1:8">
      <c r="A698" s="6">
        <v>1491</v>
      </c>
      <c r="B698" s="6">
        <v>299</v>
      </c>
      <c r="C698" s="6" t="s">
        <v>1417</v>
      </c>
      <c r="D698" s="6">
        <v>299</v>
      </c>
      <c r="E698" s="6" t="s">
        <v>980</v>
      </c>
      <c r="F698" s="8">
        <f t="shared" si="11"/>
        <v>9953812</v>
      </c>
      <c r="G698" s="8">
        <f>VLOOKUP(A698, localcont!$D$10:$L$1764, 8)</f>
        <v>0</v>
      </c>
      <c r="H698" s="81">
        <f>VLOOKUP(A698, localcont!$D$10:$L$1764, 9)*F698</f>
        <v>0</v>
      </c>
    </row>
    <row r="699" spans="1:8">
      <c r="A699" s="6">
        <v>1492</v>
      </c>
      <c r="B699" s="6">
        <v>299</v>
      </c>
      <c r="C699" s="6" t="s">
        <v>1417</v>
      </c>
      <c r="D699" s="6">
        <v>735</v>
      </c>
      <c r="E699" s="6" t="s">
        <v>1075</v>
      </c>
      <c r="F699" s="8">
        <f t="shared" si="11"/>
        <v>9953812</v>
      </c>
      <c r="G699" s="8">
        <f>VLOOKUP(A699, localcont!$D$10:$L$1764, 8)</f>
        <v>16103929.823848812</v>
      </c>
      <c r="H699" s="81">
        <f>VLOOKUP(A699, localcont!$D$10:$L$1764, 9)*F699</f>
        <v>8686549.8959707431</v>
      </c>
    </row>
    <row r="700" spans="1:8">
      <c r="A700" s="6">
        <v>1493</v>
      </c>
      <c r="B700" s="6">
        <v>299</v>
      </c>
      <c r="C700" s="6" t="s">
        <v>1417</v>
      </c>
      <c r="D700" s="6">
        <v>852</v>
      </c>
      <c r="E700" s="6" t="s">
        <v>1107</v>
      </c>
      <c r="F700" s="8">
        <f t="shared" si="11"/>
        <v>9953812</v>
      </c>
      <c r="G700" s="8">
        <f>VLOOKUP(A700, localcont!$D$10:$L$1764, 8)</f>
        <v>2349367.7278221059</v>
      </c>
      <c r="H700" s="81">
        <f>VLOOKUP(A700, localcont!$D$10:$L$1764, 9)*F700</f>
        <v>1267262.1040292566</v>
      </c>
    </row>
    <row r="701" spans="1:8">
      <c r="A701" s="6">
        <v>1496</v>
      </c>
      <c r="B701" s="6">
        <v>300</v>
      </c>
      <c r="C701" s="6" t="s">
        <v>1418</v>
      </c>
      <c r="D701" s="6">
        <v>300</v>
      </c>
      <c r="E701" s="6" t="s">
        <v>981</v>
      </c>
      <c r="F701" s="8">
        <f t="shared" si="11"/>
        <v>12393085</v>
      </c>
      <c r="G701" s="8">
        <f>VLOOKUP(A701, localcont!$D$10:$L$1764, 8)</f>
        <v>2291577.2599999998</v>
      </c>
      <c r="H701" s="81">
        <f>VLOOKUP(A701, localcont!$D$10:$L$1764, 9)*F701</f>
        <v>11217825.950526709</v>
      </c>
    </row>
    <row r="702" spans="1:8">
      <c r="A702" s="6">
        <v>1497</v>
      </c>
      <c r="B702" s="6">
        <v>300</v>
      </c>
      <c r="C702" s="6" t="s">
        <v>1418</v>
      </c>
      <c r="D702" s="6">
        <v>815</v>
      </c>
      <c r="E702" s="6" t="s">
        <v>1096</v>
      </c>
      <c r="F702" s="8">
        <f t="shared" si="11"/>
        <v>12393085</v>
      </c>
      <c r="G702" s="8">
        <f>VLOOKUP(A702, localcont!$D$10:$L$1764, 8)</f>
        <v>240081.89503562043</v>
      </c>
      <c r="H702" s="81">
        <f>VLOOKUP(A702, localcont!$D$10:$L$1764, 9)*F702</f>
        <v>1175259.0494732927</v>
      </c>
    </row>
    <row r="703" spans="1:8">
      <c r="A703" s="6">
        <v>1501</v>
      </c>
      <c r="B703" s="6">
        <v>301</v>
      </c>
      <c r="C703" s="6" t="s">
        <v>1419</v>
      </c>
      <c r="D703" s="6">
        <v>301</v>
      </c>
      <c r="E703" s="6" t="s">
        <v>982</v>
      </c>
      <c r="F703" s="8">
        <f t="shared" si="11"/>
        <v>18417004</v>
      </c>
      <c r="G703" s="8">
        <f>VLOOKUP(A703, localcont!$D$10:$L$1764, 8)</f>
        <v>21384094.800000001</v>
      </c>
      <c r="H703" s="81">
        <f>VLOOKUP(A703, localcont!$D$10:$L$1764, 9)*F703</f>
        <v>16673467.956992252</v>
      </c>
    </row>
    <row r="704" spans="1:8">
      <c r="A704" s="6">
        <v>1502</v>
      </c>
      <c r="B704" s="6">
        <v>301</v>
      </c>
      <c r="C704" s="6" t="s">
        <v>1419</v>
      </c>
      <c r="D704" s="6">
        <v>828</v>
      </c>
      <c r="E704" s="6" t="s">
        <v>1102</v>
      </c>
      <c r="F704" s="8">
        <f t="shared" si="11"/>
        <v>18417004</v>
      </c>
      <c r="G704" s="8">
        <f>VLOOKUP(A704, localcont!$D$10:$L$1764, 8)</f>
        <v>2236123.8901868048</v>
      </c>
      <c r="H704" s="81">
        <f>VLOOKUP(A704, localcont!$D$10:$L$1764, 9)*F704</f>
        <v>1743536.0430077475</v>
      </c>
    </row>
    <row r="705" spans="1:8">
      <c r="A705" s="6">
        <v>1506</v>
      </c>
      <c r="B705" s="6">
        <v>302</v>
      </c>
      <c r="C705" s="6" t="s">
        <v>1420</v>
      </c>
      <c r="D705" s="6">
        <v>302</v>
      </c>
      <c r="E705" s="6" t="s">
        <v>983</v>
      </c>
      <c r="F705" s="8">
        <f t="shared" si="11"/>
        <v>1138610</v>
      </c>
      <c r="G705" s="8">
        <f>VLOOKUP(A705, localcont!$D$10:$L$1764, 8)</f>
        <v>322864.62</v>
      </c>
      <c r="H705" s="81">
        <f>VLOOKUP(A705, localcont!$D$10:$L$1764, 9)*F705</f>
        <v>1138610</v>
      </c>
    </row>
    <row r="706" spans="1:8">
      <c r="A706" s="6">
        <v>1511</v>
      </c>
      <c r="B706" s="6">
        <v>303</v>
      </c>
      <c r="C706" s="6" t="s">
        <v>1421</v>
      </c>
      <c r="D706" s="6">
        <v>303</v>
      </c>
      <c r="E706" s="6" t="s">
        <v>984</v>
      </c>
      <c r="F706" s="8">
        <f t="shared" si="11"/>
        <v>13601756</v>
      </c>
      <c r="G706" s="8">
        <f>VLOOKUP(A706, localcont!$D$10:$L$1764, 8)</f>
        <v>84301.650000000009</v>
      </c>
      <c r="H706" s="81">
        <f>VLOOKUP(A706, localcont!$D$10:$L$1764, 9)*F706</f>
        <v>71177.663381251594</v>
      </c>
    </row>
    <row r="707" spans="1:8">
      <c r="A707" s="6">
        <v>1512</v>
      </c>
      <c r="B707" s="6">
        <v>303</v>
      </c>
      <c r="C707" s="6" t="s">
        <v>1421</v>
      </c>
      <c r="D707" s="6">
        <v>710</v>
      </c>
      <c r="E707" s="6" t="s">
        <v>1067</v>
      </c>
      <c r="F707" s="8">
        <f t="shared" si="11"/>
        <v>13601756</v>
      </c>
      <c r="G707" s="8">
        <f>VLOOKUP(A707, localcont!$D$10:$L$1764, 8)</f>
        <v>14223881.599901132</v>
      </c>
      <c r="H707" s="81">
        <f>VLOOKUP(A707, localcont!$D$10:$L$1764, 9)*F707</f>
        <v>12009523.61540422</v>
      </c>
    </row>
    <row r="708" spans="1:8">
      <c r="A708" s="6">
        <v>1513</v>
      </c>
      <c r="B708" s="6">
        <v>303</v>
      </c>
      <c r="C708" s="6" t="s">
        <v>1421</v>
      </c>
      <c r="D708" s="6">
        <v>805</v>
      </c>
      <c r="E708" s="6" t="s">
        <v>1093</v>
      </c>
      <c r="F708" s="8">
        <f t="shared" si="11"/>
        <v>13601756</v>
      </c>
      <c r="G708" s="8">
        <f>VLOOKUP(A708, localcont!$D$10:$L$1764, 8)</f>
        <v>1801512.112751516</v>
      </c>
      <c r="H708" s="81">
        <f>VLOOKUP(A708, localcont!$D$10:$L$1764, 9)*F708</f>
        <v>1521054.7212145287</v>
      </c>
    </row>
    <row r="709" spans="1:8">
      <c r="A709" s="6">
        <v>1516</v>
      </c>
      <c r="B709" s="6">
        <v>304</v>
      </c>
      <c r="C709" s="6" t="s">
        <v>1422</v>
      </c>
      <c r="D709" s="6">
        <v>304</v>
      </c>
      <c r="E709" s="6" t="s">
        <v>985</v>
      </c>
      <c r="F709" s="8">
        <f t="shared" si="11"/>
        <v>18357487</v>
      </c>
      <c r="G709" s="8">
        <f>VLOOKUP(A709, localcont!$D$10:$L$1764, 8)</f>
        <v>22397904.870000001</v>
      </c>
      <c r="H709" s="81">
        <f>VLOOKUP(A709, localcont!$D$10:$L$1764, 9)*F709</f>
        <v>16412798.495699488</v>
      </c>
    </row>
    <row r="710" spans="1:8">
      <c r="A710" s="6">
        <v>1517</v>
      </c>
      <c r="B710" s="6">
        <v>304</v>
      </c>
      <c r="C710" s="6" t="s">
        <v>1422</v>
      </c>
      <c r="D710" s="6">
        <v>805</v>
      </c>
      <c r="E710" s="6" t="s">
        <v>1093</v>
      </c>
      <c r="F710" s="8">
        <f t="shared" si="11"/>
        <v>18357487</v>
      </c>
      <c r="G710" s="8">
        <f>VLOOKUP(A710, localcont!$D$10:$L$1764, 8)</f>
        <v>2653840.4241371965</v>
      </c>
      <c r="H710" s="81">
        <f>VLOOKUP(A710, localcont!$D$10:$L$1764, 9)*F710</f>
        <v>1944688.5043005126</v>
      </c>
    </row>
    <row r="711" spans="1:8">
      <c r="A711" s="6">
        <v>1521</v>
      </c>
      <c r="B711" s="6">
        <v>305</v>
      </c>
      <c r="C711" s="6" t="s">
        <v>1423</v>
      </c>
      <c r="D711" s="6">
        <v>305</v>
      </c>
      <c r="E711" s="6" t="s">
        <v>986</v>
      </c>
      <c r="F711" s="8">
        <f t="shared" si="11"/>
        <v>49382291</v>
      </c>
      <c r="G711" s="8">
        <f>VLOOKUP(A711, localcont!$D$10:$L$1764, 8)</f>
        <v>44741734.350440003</v>
      </c>
      <c r="H711" s="81">
        <f>VLOOKUP(A711, localcont!$D$10:$L$1764, 9)*F711</f>
        <v>46869487.374243259</v>
      </c>
    </row>
    <row r="712" spans="1:8">
      <c r="A712" s="6">
        <v>1522</v>
      </c>
      <c r="B712" s="6">
        <v>305</v>
      </c>
      <c r="C712" s="6" t="s">
        <v>1423</v>
      </c>
      <c r="D712" s="6">
        <v>853</v>
      </c>
      <c r="E712" s="6" t="s">
        <v>1108</v>
      </c>
      <c r="F712" s="8">
        <f t="shared" si="11"/>
        <v>49382291</v>
      </c>
      <c r="G712" s="8">
        <f>VLOOKUP(A712, localcont!$D$10:$L$1764, 8)</f>
        <v>2398728.865983156</v>
      </c>
      <c r="H712" s="81">
        <f>VLOOKUP(A712, localcont!$D$10:$L$1764, 9)*F712</f>
        <v>2512803.6257567368</v>
      </c>
    </row>
    <row r="713" spans="1:8">
      <c r="A713" s="6">
        <v>1526</v>
      </c>
      <c r="B713" s="6">
        <v>306</v>
      </c>
      <c r="C713" s="6" t="s">
        <v>1424</v>
      </c>
      <c r="D713" s="6">
        <v>306</v>
      </c>
      <c r="E713" s="6" t="s">
        <v>987</v>
      </c>
      <c r="F713" s="8">
        <f t="shared" si="11"/>
        <v>1552311</v>
      </c>
      <c r="G713" s="8">
        <f>VLOOKUP(A713, localcont!$D$10:$L$1764, 8)</f>
        <v>1625333.8399999999</v>
      </c>
      <c r="H713" s="81">
        <f>VLOOKUP(A713, localcont!$D$10:$L$1764, 9)*F713</f>
        <v>667013.84152810124</v>
      </c>
    </row>
    <row r="714" spans="1:8">
      <c r="A714" s="6">
        <v>1527</v>
      </c>
      <c r="B714" s="6">
        <v>306</v>
      </c>
      <c r="C714" s="6" t="s">
        <v>1424</v>
      </c>
      <c r="D714" s="6">
        <v>770</v>
      </c>
      <c r="E714" s="6" t="s">
        <v>1086</v>
      </c>
      <c r="F714" s="8">
        <f t="shared" si="11"/>
        <v>1552311</v>
      </c>
      <c r="G714" s="8">
        <f>VLOOKUP(A714, localcont!$D$10:$L$1764, 8)</f>
        <v>2157231.7402345818</v>
      </c>
      <c r="H714" s="81">
        <f>VLOOKUP(A714, localcont!$D$10:$L$1764, 9)*F714</f>
        <v>885297.15847189864</v>
      </c>
    </row>
    <row r="715" spans="1:8">
      <c r="A715" s="6">
        <v>1531</v>
      </c>
      <c r="B715" s="6">
        <v>307</v>
      </c>
      <c r="C715" s="6" t="s">
        <v>1425</v>
      </c>
      <c r="D715" s="6">
        <v>307</v>
      </c>
      <c r="E715" s="6" t="s">
        <v>988</v>
      </c>
      <c r="F715" s="8">
        <f t="shared" ref="F715:F778" si="12">VLOOKUP(B715, town351, 7)</f>
        <v>50300620</v>
      </c>
      <c r="G715" s="8">
        <f>VLOOKUP(A715, localcont!$D$10:$L$1764, 8)</f>
        <v>47733569.965189993</v>
      </c>
      <c r="H715" s="81">
        <f>VLOOKUP(A715, localcont!$D$10:$L$1764, 9)*F715</f>
        <v>47841550.443822332</v>
      </c>
    </row>
    <row r="716" spans="1:8">
      <c r="A716" s="6">
        <v>1532</v>
      </c>
      <c r="B716" s="6">
        <v>307</v>
      </c>
      <c r="C716" s="6" t="s">
        <v>1425</v>
      </c>
      <c r="D716" s="6">
        <v>878</v>
      </c>
      <c r="E716" s="6" t="s">
        <v>1115</v>
      </c>
      <c r="F716" s="8">
        <f t="shared" si="12"/>
        <v>50300620</v>
      </c>
      <c r="G716" s="8">
        <f>VLOOKUP(A716, localcont!$D$10:$L$1764, 8)</f>
        <v>1902920.0312582578</v>
      </c>
      <c r="H716" s="81">
        <f>VLOOKUP(A716, localcont!$D$10:$L$1764, 9)*F716</f>
        <v>1907224.7211426341</v>
      </c>
    </row>
    <row r="717" spans="1:8">
      <c r="A717" s="6">
        <v>1533</v>
      </c>
      <c r="B717" s="6">
        <v>307</v>
      </c>
      <c r="C717" s="6" t="s">
        <v>1425</v>
      </c>
      <c r="D717" s="6">
        <v>915</v>
      </c>
      <c r="E717" s="6" t="s">
        <v>1119</v>
      </c>
      <c r="F717" s="8">
        <f t="shared" si="12"/>
        <v>50300620</v>
      </c>
      <c r="G717" s="8">
        <f>VLOOKUP(A717, localcont!$D$10:$L$1764, 8)</f>
        <v>550599.29702748952</v>
      </c>
      <c r="H717" s="81">
        <f>VLOOKUP(A717, localcont!$D$10:$L$1764, 9)*F717</f>
        <v>551844.83503503876</v>
      </c>
    </row>
    <row r="718" spans="1:8">
      <c r="A718" s="6">
        <v>1536</v>
      </c>
      <c r="B718" s="6">
        <v>308</v>
      </c>
      <c r="C718" s="6" t="s">
        <v>1426</v>
      </c>
      <c r="D718" s="6">
        <v>308</v>
      </c>
      <c r="E718" s="6" t="s">
        <v>989</v>
      </c>
      <c r="F718" s="8">
        <f t="shared" si="12"/>
        <v>113214031</v>
      </c>
      <c r="G718" s="8">
        <f>VLOOKUP(A718, localcont!$D$10:$L$1764, 8)</f>
        <v>103566216.31179999</v>
      </c>
      <c r="H718" s="81">
        <f>VLOOKUP(A718, localcont!$D$10:$L$1764, 9)*F718</f>
        <v>113214031</v>
      </c>
    </row>
    <row r="719" spans="1:8">
      <c r="A719" s="6">
        <v>1541</v>
      </c>
      <c r="B719" s="6">
        <v>309</v>
      </c>
      <c r="C719" s="6" t="s">
        <v>1427</v>
      </c>
      <c r="D719" s="6">
        <v>309</v>
      </c>
      <c r="E719" s="6" t="s">
        <v>990</v>
      </c>
      <c r="F719" s="8">
        <f t="shared" si="12"/>
        <v>7541350</v>
      </c>
      <c r="G719" s="8">
        <f>VLOOKUP(A719, localcont!$D$10:$L$1764, 8)</f>
        <v>20308799.120000001</v>
      </c>
      <c r="H719" s="81">
        <f>VLOOKUP(A719, localcont!$D$10:$L$1764, 9)*F719</f>
        <v>6758239.0439714231</v>
      </c>
    </row>
    <row r="720" spans="1:8">
      <c r="A720" s="6">
        <v>1542</v>
      </c>
      <c r="B720" s="6">
        <v>309</v>
      </c>
      <c r="C720" s="6" t="s">
        <v>1427</v>
      </c>
      <c r="D720" s="6">
        <v>860</v>
      </c>
      <c r="E720" s="6" t="s">
        <v>1110</v>
      </c>
      <c r="F720" s="8">
        <f t="shared" si="12"/>
        <v>7541350</v>
      </c>
      <c r="G720" s="8">
        <f>VLOOKUP(A720, localcont!$D$10:$L$1764, 8)</f>
        <v>2353282.1184895006</v>
      </c>
      <c r="H720" s="81">
        <f>VLOOKUP(A720, localcont!$D$10:$L$1764, 9)*F720</f>
        <v>783110.95602857717</v>
      </c>
    </row>
    <row r="721" spans="1:8">
      <c r="A721" s="6">
        <v>1546</v>
      </c>
      <c r="B721" s="6">
        <v>310</v>
      </c>
      <c r="C721" s="6" t="s">
        <v>1428</v>
      </c>
      <c r="D721" s="6">
        <v>310</v>
      </c>
      <c r="E721" s="6" t="s">
        <v>991</v>
      </c>
      <c r="F721" s="8">
        <f t="shared" si="12"/>
        <v>28883769</v>
      </c>
      <c r="G721" s="8">
        <f>VLOOKUP(A721, localcont!$D$10:$L$1764, 8)</f>
        <v>37911821.280000001</v>
      </c>
      <c r="H721" s="81">
        <f>VLOOKUP(A721, localcont!$D$10:$L$1764, 9)*F721</f>
        <v>25184428.17574513</v>
      </c>
    </row>
    <row r="722" spans="1:8">
      <c r="A722" s="6">
        <v>1547</v>
      </c>
      <c r="B722" s="6">
        <v>310</v>
      </c>
      <c r="C722" s="6" t="s">
        <v>1428</v>
      </c>
      <c r="D722" s="6">
        <v>879</v>
      </c>
      <c r="E722" s="6" t="s">
        <v>1116</v>
      </c>
      <c r="F722" s="8">
        <f t="shared" si="12"/>
        <v>28883769</v>
      </c>
      <c r="G722" s="8">
        <f>VLOOKUP(A722, localcont!$D$10:$L$1764, 8)</f>
        <v>5568867.6830086112</v>
      </c>
      <c r="H722" s="81">
        <f>VLOOKUP(A722, localcont!$D$10:$L$1764, 9)*F722</f>
        <v>3699340.8242548704</v>
      </c>
    </row>
    <row r="723" spans="1:8">
      <c r="A723" s="6">
        <v>1551</v>
      </c>
      <c r="B723" s="6">
        <v>311</v>
      </c>
      <c r="C723" s="6" t="s">
        <v>1429</v>
      </c>
      <c r="D723" s="6">
        <v>311</v>
      </c>
      <c r="E723" s="6" t="s">
        <v>992</v>
      </c>
      <c r="F723" s="8">
        <f t="shared" si="12"/>
        <v>3580538</v>
      </c>
      <c r="G723" s="8">
        <f>VLOOKUP(A723, localcont!$D$10:$L$1764, 8)</f>
        <v>16860.330000000002</v>
      </c>
      <c r="H723" s="81">
        <f>VLOOKUP(A723, localcont!$D$10:$L$1764, 9)*F723</f>
        <v>5798.4022013464391</v>
      </c>
    </row>
    <row r="724" spans="1:8">
      <c r="A724" s="6">
        <v>1552</v>
      </c>
      <c r="B724" s="6">
        <v>311</v>
      </c>
      <c r="C724" s="6" t="s">
        <v>1429</v>
      </c>
      <c r="D724" s="6">
        <v>778</v>
      </c>
      <c r="E724" s="6" t="s">
        <v>1090</v>
      </c>
      <c r="F724" s="8">
        <f t="shared" si="12"/>
        <v>3580538</v>
      </c>
      <c r="G724" s="8">
        <f>VLOOKUP(A724, localcont!$D$10:$L$1764, 8)</f>
        <v>9239613.683993686</v>
      </c>
      <c r="H724" s="81">
        <f>VLOOKUP(A724, localcont!$D$10:$L$1764, 9)*F724</f>
        <v>3177576.9706085031</v>
      </c>
    </row>
    <row r="725" spans="1:8">
      <c r="A725" s="6">
        <v>1553</v>
      </c>
      <c r="B725" s="6">
        <v>311</v>
      </c>
      <c r="C725" s="6" t="s">
        <v>1429</v>
      </c>
      <c r="D725" s="6">
        <v>860</v>
      </c>
      <c r="E725" s="6" t="s">
        <v>1110</v>
      </c>
      <c r="F725" s="8">
        <f t="shared" si="12"/>
        <v>3580538</v>
      </c>
      <c r="G725" s="8">
        <f>VLOOKUP(A725, localcont!$D$10:$L$1764, 8)</f>
        <v>1154851.410020845</v>
      </c>
      <c r="H725" s="81">
        <f>VLOOKUP(A725, localcont!$D$10:$L$1764, 9)*F725</f>
        <v>397162.62719015026</v>
      </c>
    </row>
    <row r="726" spans="1:8">
      <c r="A726" s="6">
        <v>1556</v>
      </c>
      <c r="B726" s="6">
        <v>312</v>
      </c>
      <c r="C726" s="6" t="s">
        <v>1430</v>
      </c>
      <c r="D726" s="6">
        <v>312</v>
      </c>
      <c r="E726" s="6" t="s">
        <v>993</v>
      </c>
      <c r="F726" s="8">
        <f t="shared" si="12"/>
        <v>671372</v>
      </c>
      <c r="G726" s="8">
        <f>VLOOKUP(A726, localcont!$D$10:$L$1764, 8)</f>
        <v>700343.84</v>
      </c>
      <c r="H726" s="81">
        <f>VLOOKUP(A726, localcont!$D$10:$L$1764, 9)*F726</f>
        <v>580749.374979013</v>
      </c>
    </row>
    <row r="727" spans="1:8">
      <c r="A727" s="6">
        <v>1557</v>
      </c>
      <c r="B727" s="6">
        <v>312</v>
      </c>
      <c r="C727" s="6" t="s">
        <v>1430</v>
      </c>
      <c r="D727" s="6">
        <v>818</v>
      </c>
      <c r="E727" s="6" t="s">
        <v>1098</v>
      </c>
      <c r="F727" s="8">
        <f t="shared" si="12"/>
        <v>671372</v>
      </c>
      <c r="G727" s="8">
        <f>VLOOKUP(A727, localcont!$D$10:$L$1764, 8)</f>
        <v>109284.65863673412</v>
      </c>
      <c r="H727" s="81">
        <f>VLOOKUP(A727, localcont!$D$10:$L$1764, 9)*F727</f>
        <v>90622.625020987034</v>
      </c>
    </row>
    <row r="728" spans="1:8">
      <c r="A728" s="6">
        <v>1561</v>
      </c>
      <c r="B728" s="6">
        <v>313</v>
      </c>
      <c r="C728" s="6" t="s">
        <v>1431</v>
      </c>
      <c r="D728" s="6">
        <v>313</v>
      </c>
      <c r="E728" s="6" t="s">
        <v>994</v>
      </c>
      <c r="F728" s="8">
        <f t="shared" si="12"/>
        <v>626262</v>
      </c>
      <c r="G728" s="8">
        <f>VLOOKUP(A728, localcont!$D$10:$L$1764, 8)</f>
        <v>101161.98000000001</v>
      </c>
      <c r="H728" s="81">
        <f>VLOOKUP(A728, localcont!$D$10:$L$1764, 9)*F728</f>
        <v>66271.873178331312</v>
      </c>
    </row>
    <row r="729" spans="1:8">
      <c r="A729" s="6">
        <v>1562</v>
      </c>
      <c r="B729" s="6">
        <v>313</v>
      </c>
      <c r="C729" s="6" t="s">
        <v>1431</v>
      </c>
      <c r="D729" s="6">
        <v>635</v>
      </c>
      <c r="E729" s="6" t="s">
        <v>1045</v>
      </c>
      <c r="F729" s="8">
        <f t="shared" si="12"/>
        <v>626262</v>
      </c>
      <c r="G729" s="8">
        <f>VLOOKUP(A729, localcont!$D$10:$L$1764, 8)</f>
        <v>854807.73807754205</v>
      </c>
      <c r="H729" s="81">
        <f>VLOOKUP(A729, localcont!$D$10:$L$1764, 9)*F729</f>
        <v>559990.1268216687</v>
      </c>
    </row>
    <row r="730" spans="1:8">
      <c r="A730" s="6">
        <v>1566</v>
      </c>
      <c r="B730" s="6">
        <v>314</v>
      </c>
      <c r="C730" s="6" t="s">
        <v>1432</v>
      </c>
      <c r="D730" s="6">
        <v>314</v>
      </c>
      <c r="E730" s="6" t="s">
        <v>995</v>
      </c>
      <c r="F730" s="8">
        <f t="shared" si="12"/>
        <v>74795144</v>
      </c>
      <c r="G730" s="8">
        <f>VLOOKUP(A730, localcont!$D$10:$L$1764, 8)</f>
        <v>42285807.326579988</v>
      </c>
      <c r="H730" s="81">
        <f>VLOOKUP(A730, localcont!$D$10:$L$1764, 9)*F730</f>
        <v>74795144</v>
      </c>
    </row>
    <row r="731" spans="1:8">
      <c r="A731" s="6">
        <v>1571</v>
      </c>
      <c r="B731" s="6">
        <v>315</v>
      </c>
      <c r="C731" s="6" t="s">
        <v>1433</v>
      </c>
      <c r="D731" s="6">
        <v>315</v>
      </c>
      <c r="E731" s="6" t="s">
        <v>996</v>
      </c>
      <c r="F731" s="8">
        <f t="shared" si="12"/>
        <v>61720544</v>
      </c>
      <c r="G731" s="8">
        <f>VLOOKUP(A731, localcont!$D$10:$L$1764, 8)</f>
        <v>33905314.106570005</v>
      </c>
      <c r="H731" s="81">
        <f>VLOOKUP(A731, localcont!$D$10:$L$1764, 9)*F731</f>
        <v>61720544</v>
      </c>
    </row>
    <row r="732" spans="1:8">
      <c r="A732" s="6">
        <v>1576</v>
      </c>
      <c r="B732" s="6">
        <v>316</v>
      </c>
      <c r="C732" s="6" t="s">
        <v>1434</v>
      </c>
      <c r="D732" s="6">
        <v>316</v>
      </c>
      <c r="E732" s="6" t="s">
        <v>997</v>
      </c>
      <c r="F732" s="8">
        <f t="shared" si="12"/>
        <v>16977324</v>
      </c>
      <c r="G732" s="8">
        <f>VLOOKUP(A732, localcont!$D$10:$L$1764, 8)</f>
        <v>33656707.75</v>
      </c>
      <c r="H732" s="81">
        <f>VLOOKUP(A732, localcont!$D$10:$L$1764, 9)*F732</f>
        <v>15519788.335512554</v>
      </c>
    </row>
    <row r="733" spans="1:8">
      <c r="A733" s="6">
        <v>1577</v>
      </c>
      <c r="B733" s="6">
        <v>316</v>
      </c>
      <c r="C733" s="6" t="s">
        <v>1434</v>
      </c>
      <c r="D733" s="6">
        <v>876</v>
      </c>
      <c r="E733" s="6" t="s">
        <v>1114</v>
      </c>
      <c r="F733" s="8">
        <f t="shared" si="12"/>
        <v>16977324</v>
      </c>
      <c r="G733" s="8">
        <f>VLOOKUP(A733, localcont!$D$10:$L$1764, 8)</f>
        <v>3160858.3077519061</v>
      </c>
      <c r="H733" s="81">
        <f>VLOOKUP(A733, localcont!$D$10:$L$1764, 9)*F733</f>
        <v>1457535.6644874448</v>
      </c>
    </row>
    <row r="734" spans="1:8">
      <c r="A734" s="6">
        <v>1581</v>
      </c>
      <c r="B734" s="6">
        <v>317</v>
      </c>
      <c r="C734" s="6" t="s">
        <v>1435</v>
      </c>
      <c r="D734" s="6">
        <v>317</v>
      </c>
      <c r="E734" s="6" t="s">
        <v>998</v>
      </c>
      <c r="F734" s="8">
        <f t="shared" si="12"/>
        <v>202740514</v>
      </c>
      <c r="G734" s="8">
        <f>VLOOKUP(A734, localcont!$D$10:$L$1764, 8)</f>
        <v>53567076.591169998</v>
      </c>
      <c r="H734" s="81">
        <f>VLOOKUP(A734, localcont!$D$10:$L$1764, 9)*F734</f>
        <v>202657191.99370188</v>
      </c>
    </row>
    <row r="735" spans="1:8">
      <c r="A735" s="6">
        <v>1582</v>
      </c>
      <c r="B735" s="6">
        <v>317</v>
      </c>
      <c r="C735" s="6" t="s">
        <v>1435</v>
      </c>
      <c r="D735" s="6">
        <v>915</v>
      </c>
      <c r="E735" s="6" t="s">
        <v>1119</v>
      </c>
      <c r="F735" s="8">
        <f t="shared" si="12"/>
        <v>202740514</v>
      </c>
      <c r="G735" s="8">
        <f>VLOOKUP(A735, localcont!$D$10:$L$1764, 8)</f>
        <v>22023.971857067027</v>
      </c>
      <c r="H735" s="81">
        <f>VLOOKUP(A735, localcont!$D$10:$L$1764, 9)*F735</f>
        <v>83322.006298123291</v>
      </c>
    </row>
    <row r="736" spans="1:8">
      <c r="A736" s="6">
        <v>1586</v>
      </c>
      <c r="B736" s="6">
        <v>318</v>
      </c>
      <c r="C736" s="6" t="s">
        <v>1436</v>
      </c>
      <c r="D736" s="6">
        <v>318</v>
      </c>
      <c r="E736" s="6" t="s">
        <v>999</v>
      </c>
      <c r="F736" s="8">
        <f t="shared" si="12"/>
        <v>14434457</v>
      </c>
      <c r="G736" s="8">
        <f>VLOOKUP(A736, localcont!$D$10:$L$1764, 8)</f>
        <v>1446546.9000000001</v>
      </c>
      <c r="H736" s="81">
        <f>VLOOKUP(A736, localcont!$D$10:$L$1764, 9)*F736</f>
        <v>5773938.7077703755</v>
      </c>
    </row>
    <row r="737" spans="1:8">
      <c r="A737" s="6">
        <v>1587</v>
      </c>
      <c r="B737" s="6">
        <v>318</v>
      </c>
      <c r="C737" s="6" t="s">
        <v>1436</v>
      </c>
      <c r="D737" s="6">
        <v>660</v>
      </c>
      <c r="E737" s="6" t="s">
        <v>1051</v>
      </c>
      <c r="F737" s="8">
        <f t="shared" si="12"/>
        <v>14434457</v>
      </c>
      <c r="G737" s="8">
        <f>VLOOKUP(A737, localcont!$D$10:$L$1764, 8)</f>
        <v>1929640.8058926903</v>
      </c>
      <c r="H737" s="81">
        <f>VLOOKUP(A737, localcont!$D$10:$L$1764, 9)*F737</f>
        <v>7702223.6480801459</v>
      </c>
    </row>
    <row r="738" spans="1:8">
      <c r="A738" s="6">
        <v>1588</v>
      </c>
      <c r="B738" s="6">
        <v>318</v>
      </c>
      <c r="C738" s="6" t="s">
        <v>1436</v>
      </c>
      <c r="D738" s="6">
        <v>815</v>
      </c>
      <c r="E738" s="6" t="s">
        <v>1096</v>
      </c>
      <c r="F738" s="8">
        <f t="shared" si="12"/>
        <v>14434457</v>
      </c>
      <c r="G738" s="8">
        <f>VLOOKUP(A738, localcont!$D$10:$L$1764, 8)</f>
        <v>240081.89503562043</v>
      </c>
      <c r="H738" s="81">
        <f>VLOOKUP(A738, localcont!$D$10:$L$1764, 9)*F738</f>
        <v>958294.64414947969</v>
      </c>
    </row>
    <row r="739" spans="1:8">
      <c r="A739" s="6">
        <v>1591</v>
      </c>
      <c r="B739" s="6">
        <v>319</v>
      </c>
      <c r="C739" s="6" t="s">
        <v>1437</v>
      </c>
      <c r="D739" s="6">
        <v>319</v>
      </c>
      <c r="E739" s="6" t="s">
        <v>1000</v>
      </c>
      <c r="F739" s="8">
        <f t="shared" si="12"/>
        <v>769644</v>
      </c>
      <c r="G739" s="8">
        <f>VLOOKUP(A739, localcont!$D$10:$L$1764, 8)</f>
        <v>0</v>
      </c>
      <c r="H739" s="81">
        <f>VLOOKUP(A739, localcont!$D$10:$L$1764, 9)*F739</f>
        <v>0</v>
      </c>
    </row>
    <row r="740" spans="1:8">
      <c r="A740" s="6">
        <v>1592</v>
      </c>
      <c r="B740" s="6">
        <v>319</v>
      </c>
      <c r="C740" s="6" t="s">
        <v>1437</v>
      </c>
      <c r="D740" s="6">
        <v>728</v>
      </c>
      <c r="E740" s="6" t="s">
        <v>1073</v>
      </c>
      <c r="F740" s="8">
        <f t="shared" si="12"/>
        <v>769644</v>
      </c>
      <c r="G740" s="8">
        <f>VLOOKUP(A740, localcont!$D$10:$L$1764, 8)</f>
        <v>942498.40726609004</v>
      </c>
      <c r="H740" s="81">
        <f>VLOOKUP(A740, localcont!$D$10:$L$1764, 9)*F740</f>
        <v>399750.54235282762</v>
      </c>
    </row>
    <row r="741" spans="1:8">
      <c r="A741" s="6">
        <v>1593</v>
      </c>
      <c r="B741" s="6">
        <v>319</v>
      </c>
      <c r="C741" s="6" t="s">
        <v>1437</v>
      </c>
      <c r="D741" s="6">
        <v>755</v>
      </c>
      <c r="E741" s="6" t="s">
        <v>1080</v>
      </c>
      <c r="F741" s="8">
        <f t="shared" si="12"/>
        <v>769644</v>
      </c>
      <c r="G741" s="8">
        <f>VLOOKUP(A741, localcont!$D$10:$L$1764, 8)</f>
        <v>697248.41545582085</v>
      </c>
      <c r="H741" s="81">
        <f>VLOOKUP(A741, localcont!$D$10:$L$1764, 9)*F741</f>
        <v>295730.40132939251</v>
      </c>
    </row>
    <row r="742" spans="1:8">
      <c r="A742" s="6">
        <v>1594</v>
      </c>
      <c r="B742" s="6">
        <v>319</v>
      </c>
      <c r="C742" s="6" t="s">
        <v>1437</v>
      </c>
      <c r="D742" s="6">
        <v>818</v>
      </c>
      <c r="E742" s="6" t="s">
        <v>1098</v>
      </c>
      <c r="F742" s="8">
        <f t="shared" si="12"/>
        <v>769644</v>
      </c>
      <c r="G742" s="8">
        <f>VLOOKUP(A742, localcont!$D$10:$L$1764, 8)</f>
        <v>174855.45371893211</v>
      </c>
      <c r="H742" s="81">
        <f>VLOOKUP(A742, localcont!$D$10:$L$1764, 9)*F742</f>
        <v>74163.056317779861</v>
      </c>
    </row>
    <row r="743" spans="1:8">
      <c r="A743" s="6">
        <v>1596</v>
      </c>
      <c r="B743" s="6">
        <v>320</v>
      </c>
      <c r="C743" s="6" t="s">
        <v>1438</v>
      </c>
      <c r="D743" s="6">
        <v>320</v>
      </c>
      <c r="E743" s="6" t="s">
        <v>1001</v>
      </c>
      <c r="F743" s="8">
        <f t="shared" si="12"/>
        <v>11607672</v>
      </c>
      <c r="G743" s="8">
        <f>VLOOKUP(A743, localcont!$D$10:$L$1764, 8)</f>
        <v>0</v>
      </c>
      <c r="H743" s="81">
        <f>VLOOKUP(A743, localcont!$D$10:$L$1764, 9)*F743</f>
        <v>0</v>
      </c>
    </row>
    <row r="744" spans="1:8">
      <c r="A744" s="6">
        <v>1597</v>
      </c>
      <c r="B744" s="6">
        <v>320</v>
      </c>
      <c r="C744" s="6" t="s">
        <v>1438</v>
      </c>
      <c r="D744" s="6">
        <v>675</v>
      </c>
      <c r="E744" s="6" t="s">
        <v>1058</v>
      </c>
      <c r="F744" s="8">
        <f t="shared" si="12"/>
        <v>11607672</v>
      </c>
      <c r="G744" s="8">
        <f>VLOOKUP(A744, localcont!$D$10:$L$1764, 8)</f>
        <v>7024808.7980984719</v>
      </c>
      <c r="H744" s="81">
        <f>VLOOKUP(A744, localcont!$D$10:$L$1764, 9)*F744</f>
        <v>11097684.920275867</v>
      </c>
    </row>
    <row r="745" spans="1:8">
      <c r="A745" s="6">
        <v>1598</v>
      </c>
      <c r="B745" s="6">
        <v>320</v>
      </c>
      <c r="C745" s="6" t="s">
        <v>1438</v>
      </c>
      <c r="D745" s="6">
        <v>817</v>
      </c>
      <c r="E745" s="6" t="s">
        <v>1097</v>
      </c>
      <c r="F745" s="8">
        <f t="shared" si="12"/>
        <v>11607672</v>
      </c>
      <c r="G745" s="8">
        <f>VLOOKUP(A745, localcont!$D$10:$L$1764, 8)</f>
        <v>322820.63784467045</v>
      </c>
      <c r="H745" s="81">
        <f>VLOOKUP(A745, localcont!$D$10:$L$1764, 9)*F745</f>
        <v>509987.07972413296</v>
      </c>
    </row>
    <row r="746" spans="1:8">
      <c r="A746" s="6">
        <v>1601</v>
      </c>
      <c r="B746" s="6">
        <v>321</v>
      </c>
      <c r="C746" s="6" t="s">
        <v>1439</v>
      </c>
      <c r="D746" s="6">
        <v>321</v>
      </c>
      <c r="E746" s="6" t="s">
        <v>1002</v>
      </c>
      <c r="F746" s="8">
        <f t="shared" si="12"/>
        <v>44455906</v>
      </c>
      <c r="G746" s="8">
        <f>VLOOKUP(A746, localcont!$D$10:$L$1764, 8)</f>
        <v>49809693.649999991</v>
      </c>
      <c r="H746" s="81">
        <f>VLOOKUP(A746, localcont!$D$10:$L$1764, 9)*F746</f>
        <v>43127332.093548775</v>
      </c>
    </row>
    <row r="747" spans="1:8">
      <c r="A747" s="6">
        <v>1602</v>
      </c>
      <c r="B747" s="6">
        <v>321</v>
      </c>
      <c r="C747" s="6" t="s">
        <v>1439</v>
      </c>
      <c r="D747" s="6">
        <v>801</v>
      </c>
      <c r="E747" s="6" t="s">
        <v>1092</v>
      </c>
      <c r="F747" s="8">
        <f t="shared" si="12"/>
        <v>44455906</v>
      </c>
      <c r="G747" s="8">
        <f>VLOOKUP(A747, localcont!$D$10:$L$1764, 8)</f>
        <v>1534429.7005939318</v>
      </c>
      <c r="H747" s="81">
        <f>VLOOKUP(A747, localcont!$D$10:$L$1764, 9)*F747</f>
        <v>1328573.906451222</v>
      </c>
    </row>
    <row r="748" spans="1:8">
      <c r="A748" s="6">
        <v>1606</v>
      </c>
      <c r="B748" s="6">
        <v>322</v>
      </c>
      <c r="C748" s="6" t="s">
        <v>1440</v>
      </c>
      <c r="D748" s="6">
        <v>322</v>
      </c>
      <c r="E748" s="6" t="s">
        <v>1003</v>
      </c>
      <c r="F748" s="8">
        <f t="shared" si="12"/>
        <v>9746345</v>
      </c>
      <c r="G748" s="8">
        <f>VLOOKUP(A748, localcont!$D$10:$L$1764, 8)</f>
        <v>11804797.720000001</v>
      </c>
      <c r="H748" s="81">
        <f>VLOOKUP(A748, localcont!$D$10:$L$1764, 9)*F748</f>
        <v>9746345</v>
      </c>
    </row>
    <row r="749" spans="1:8">
      <c r="A749" s="6">
        <v>1611</v>
      </c>
      <c r="B749" s="6">
        <v>323</v>
      </c>
      <c r="C749" s="6" t="s">
        <v>1441</v>
      </c>
      <c r="D749" s="6">
        <v>323</v>
      </c>
      <c r="E749" s="6" t="s">
        <v>1004</v>
      </c>
      <c r="F749" s="8">
        <f t="shared" si="12"/>
        <v>10556989</v>
      </c>
      <c r="G749" s="8">
        <f>VLOOKUP(A749, localcont!$D$10:$L$1764, 8)</f>
        <v>15992142.17</v>
      </c>
      <c r="H749" s="81">
        <f>VLOOKUP(A749, localcont!$D$10:$L$1764, 9)*F749</f>
        <v>9573954.0620377045</v>
      </c>
    </row>
    <row r="750" spans="1:8">
      <c r="A750" s="6">
        <v>1612</v>
      </c>
      <c r="B750" s="6">
        <v>323</v>
      </c>
      <c r="C750" s="6" t="s">
        <v>1441</v>
      </c>
      <c r="D750" s="6">
        <v>872</v>
      </c>
      <c r="E750" s="6" t="s">
        <v>1112</v>
      </c>
      <c r="F750" s="8">
        <f t="shared" si="12"/>
        <v>10556989</v>
      </c>
      <c r="G750" s="8">
        <f>VLOOKUP(A750, localcont!$D$10:$L$1764, 8)</f>
        <v>1642041.9801580023</v>
      </c>
      <c r="H750" s="81">
        <f>VLOOKUP(A750, localcont!$D$10:$L$1764, 9)*F750</f>
        <v>983034.93796229456</v>
      </c>
    </row>
    <row r="751" spans="1:8">
      <c r="A751" s="6">
        <v>1616</v>
      </c>
      <c r="B751" s="6">
        <v>324</v>
      </c>
      <c r="C751" s="6" t="s">
        <v>1442</v>
      </c>
      <c r="D751" s="6">
        <v>324</v>
      </c>
      <c r="E751" s="6" t="s">
        <v>1005</v>
      </c>
      <c r="F751" s="8">
        <f t="shared" si="12"/>
        <v>4454635</v>
      </c>
      <c r="G751" s="8">
        <f>VLOOKUP(A751, localcont!$D$10:$L$1764, 8)</f>
        <v>469702.2</v>
      </c>
      <c r="H751" s="81">
        <f>VLOOKUP(A751, localcont!$D$10:$L$1764, 9)*F751</f>
        <v>302252.51587947825</v>
      </c>
    </row>
    <row r="752" spans="1:8">
      <c r="A752" s="6">
        <v>1617</v>
      </c>
      <c r="B752" s="6">
        <v>324</v>
      </c>
      <c r="C752" s="6" t="s">
        <v>1442</v>
      </c>
      <c r="D752" s="6">
        <v>778</v>
      </c>
      <c r="E752" s="6" t="s">
        <v>1090</v>
      </c>
      <c r="F752" s="8">
        <f t="shared" si="12"/>
        <v>4454635</v>
      </c>
      <c r="G752" s="8">
        <f>VLOOKUP(A752, localcont!$D$10:$L$1764, 8)</f>
        <v>6452826.9760063142</v>
      </c>
      <c r="H752" s="81">
        <f>VLOOKUP(A752, localcont!$D$10:$L$1764, 9)*F752</f>
        <v>4152382.4841205217</v>
      </c>
    </row>
    <row r="753" spans="1:8">
      <c r="A753" s="6">
        <v>1621</v>
      </c>
      <c r="B753" s="6">
        <v>325</v>
      </c>
      <c r="C753" s="6" t="s">
        <v>1443</v>
      </c>
      <c r="D753" s="6">
        <v>325</v>
      </c>
      <c r="E753" s="6" t="s">
        <v>1006</v>
      </c>
      <c r="F753" s="8">
        <f t="shared" si="12"/>
        <v>35472994</v>
      </c>
      <c r="G753" s="8">
        <f>VLOOKUP(A753, localcont!$D$10:$L$1764, 8)</f>
        <v>77785675.980000004</v>
      </c>
      <c r="H753" s="81">
        <f>VLOOKUP(A753, localcont!$D$10:$L$1764, 9)*F753</f>
        <v>35472994</v>
      </c>
    </row>
    <row r="754" spans="1:8">
      <c r="A754" s="6">
        <v>1626</v>
      </c>
      <c r="B754" s="6">
        <v>326</v>
      </c>
      <c r="C754" s="6" t="s">
        <v>1444</v>
      </c>
      <c r="D754" s="6">
        <v>326</v>
      </c>
      <c r="E754" s="6" t="s">
        <v>1007</v>
      </c>
      <c r="F754" s="8">
        <f t="shared" si="12"/>
        <v>51124610</v>
      </c>
      <c r="G754" s="8">
        <f>VLOOKUP(A754, localcont!$D$10:$L$1764, 8)</f>
        <v>56506301.348869994</v>
      </c>
      <c r="H754" s="81">
        <f>VLOOKUP(A754, localcont!$D$10:$L$1764, 9)*F754</f>
        <v>49657642.860102788</v>
      </c>
    </row>
    <row r="755" spans="1:8">
      <c r="A755" s="6">
        <v>1627</v>
      </c>
      <c r="B755" s="6">
        <v>326</v>
      </c>
      <c r="C755" s="6" t="s">
        <v>1444</v>
      </c>
      <c r="D755" s="6">
        <v>852</v>
      </c>
      <c r="E755" s="6" t="s">
        <v>1107</v>
      </c>
      <c r="F755" s="8">
        <f t="shared" si="12"/>
        <v>51124610</v>
      </c>
      <c r="G755" s="8">
        <f>VLOOKUP(A755, localcont!$D$10:$L$1764, 8)</f>
        <v>1669287.5960594954</v>
      </c>
      <c r="H755" s="81">
        <f>VLOOKUP(A755, localcont!$D$10:$L$1764, 9)*F755</f>
        <v>1466967.1398972147</v>
      </c>
    </row>
    <row r="756" spans="1:8">
      <c r="A756" s="6">
        <v>1631</v>
      </c>
      <c r="B756" s="6">
        <v>327</v>
      </c>
      <c r="C756" s="6" t="s">
        <v>1445</v>
      </c>
      <c r="D756" s="6">
        <v>327</v>
      </c>
      <c r="E756" s="6" t="s">
        <v>1008</v>
      </c>
      <c r="F756" s="8">
        <f t="shared" si="12"/>
        <v>2193264</v>
      </c>
      <c r="G756" s="8">
        <f>VLOOKUP(A756, localcont!$D$10:$L$1764, 8)</f>
        <v>1321578.7600000002</v>
      </c>
      <c r="H756" s="81">
        <f>VLOOKUP(A756, localcont!$D$10:$L$1764, 9)*F756</f>
        <v>1153937.8096234344</v>
      </c>
    </row>
    <row r="757" spans="1:8">
      <c r="A757" s="6">
        <v>1632</v>
      </c>
      <c r="B757" s="6">
        <v>327</v>
      </c>
      <c r="C757" s="6" t="s">
        <v>1445</v>
      </c>
      <c r="D757" s="6">
        <v>683</v>
      </c>
      <c r="E757" s="6" t="s">
        <v>1060</v>
      </c>
      <c r="F757" s="8">
        <f t="shared" si="12"/>
        <v>2193264</v>
      </c>
      <c r="G757" s="8">
        <f>VLOOKUP(A757, localcont!$D$10:$L$1764, 8)</f>
        <v>1190316.6760448017</v>
      </c>
      <c r="H757" s="81">
        <f>VLOOKUP(A757, localcont!$D$10:$L$1764, 9)*F757</f>
        <v>1039326.1903765656</v>
      </c>
    </row>
    <row r="758" spans="1:8">
      <c r="A758" s="6">
        <v>1636</v>
      </c>
      <c r="B758" s="6">
        <v>328</v>
      </c>
      <c r="C758" s="6" t="s">
        <v>1446</v>
      </c>
      <c r="D758" s="6">
        <v>328</v>
      </c>
      <c r="E758" s="6" t="s">
        <v>1009</v>
      </c>
      <c r="F758" s="8">
        <f t="shared" si="12"/>
        <v>10984935</v>
      </c>
      <c r="G758" s="8">
        <f>VLOOKUP(A758, localcont!$D$10:$L$1764, 8)</f>
        <v>0</v>
      </c>
      <c r="H758" s="81">
        <f>VLOOKUP(A758, localcont!$D$10:$L$1764, 9)*F758</f>
        <v>0</v>
      </c>
    </row>
    <row r="759" spans="1:8">
      <c r="A759" s="6">
        <v>1637</v>
      </c>
      <c r="B759" s="6">
        <v>328</v>
      </c>
      <c r="C759" s="6" t="s">
        <v>1446</v>
      </c>
      <c r="D759" s="6">
        <v>610</v>
      </c>
      <c r="E759" s="6" t="s">
        <v>1037</v>
      </c>
      <c r="F759" s="8">
        <f t="shared" si="12"/>
        <v>10984935</v>
      </c>
      <c r="G759" s="8">
        <f>VLOOKUP(A759, localcont!$D$10:$L$1764, 8)</f>
        <v>16654373.507311169</v>
      </c>
      <c r="H759" s="81">
        <f>VLOOKUP(A759, localcont!$D$10:$L$1764, 9)*F759</f>
        <v>10111532.185204247</v>
      </c>
    </row>
    <row r="760" spans="1:8">
      <c r="A760" s="6">
        <v>1638</v>
      </c>
      <c r="B760" s="6">
        <v>328</v>
      </c>
      <c r="C760" s="6" t="s">
        <v>1446</v>
      </c>
      <c r="D760" s="6">
        <v>832</v>
      </c>
      <c r="E760" s="6" t="s">
        <v>1105</v>
      </c>
      <c r="F760" s="8">
        <f t="shared" si="12"/>
        <v>10984935</v>
      </c>
      <c r="G760" s="8">
        <f>VLOOKUP(A760, localcont!$D$10:$L$1764, 8)</f>
        <v>1438553.1721127192</v>
      </c>
      <c r="H760" s="81">
        <f>VLOOKUP(A760, localcont!$D$10:$L$1764, 9)*F760</f>
        <v>873402.81479575485</v>
      </c>
    </row>
    <row r="761" spans="1:8">
      <c r="A761" s="6">
        <v>1641</v>
      </c>
      <c r="B761" s="6">
        <v>329</v>
      </c>
      <c r="C761" s="6" t="s">
        <v>1447</v>
      </c>
      <c r="D761" s="6">
        <v>329</v>
      </c>
      <c r="E761" s="6" t="s">
        <v>1010</v>
      </c>
      <c r="F761" s="8">
        <f t="shared" si="12"/>
        <v>10791780</v>
      </c>
      <c r="G761" s="8">
        <f>VLOOKUP(A761, localcont!$D$10:$L$1764, 8)</f>
        <v>67441.320000000007</v>
      </c>
      <c r="H761" s="81">
        <f>VLOOKUP(A761, localcont!$D$10:$L$1764, 9)*F761</f>
        <v>95848.996446567646</v>
      </c>
    </row>
    <row r="762" spans="1:8">
      <c r="A762" s="6">
        <v>1642</v>
      </c>
      <c r="B762" s="6">
        <v>329</v>
      </c>
      <c r="C762" s="6" t="s">
        <v>1447</v>
      </c>
      <c r="D762" s="6">
        <v>745</v>
      </c>
      <c r="E762" s="6" t="s">
        <v>1077</v>
      </c>
      <c r="F762" s="8">
        <f t="shared" si="12"/>
        <v>10791780</v>
      </c>
      <c r="G762" s="8">
        <f>VLOOKUP(A762, localcont!$D$10:$L$1764, 8)</f>
        <v>7205688.7566268397</v>
      </c>
      <c r="H762" s="81">
        <f>VLOOKUP(A762, localcont!$D$10:$L$1764, 9)*F762</f>
        <v>10240873.636948364</v>
      </c>
    </row>
    <row r="763" spans="1:8">
      <c r="A763" s="6">
        <v>1643</v>
      </c>
      <c r="B763" s="6">
        <v>329</v>
      </c>
      <c r="C763" s="6" t="s">
        <v>1447</v>
      </c>
      <c r="D763" s="6">
        <v>885</v>
      </c>
      <c r="E763" s="6" t="s">
        <v>1117</v>
      </c>
      <c r="F763" s="8">
        <f t="shared" si="12"/>
        <v>10791780</v>
      </c>
      <c r="G763" s="8">
        <f>VLOOKUP(A763, localcont!$D$10:$L$1764, 8)</f>
        <v>320187.69749642711</v>
      </c>
      <c r="H763" s="81">
        <f>VLOOKUP(A763, localcont!$D$10:$L$1764, 9)*F763</f>
        <v>455057.36660506821</v>
      </c>
    </row>
    <row r="764" spans="1:8">
      <c r="A764" s="6">
        <v>1646</v>
      </c>
      <c r="B764" s="6">
        <v>330</v>
      </c>
      <c r="C764" s="6" t="s">
        <v>1448</v>
      </c>
      <c r="D764" s="6">
        <v>330</v>
      </c>
      <c r="E764" s="6" t="s">
        <v>1011</v>
      </c>
      <c r="F764" s="8">
        <f t="shared" si="12"/>
        <v>120137636</v>
      </c>
      <c r="G764" s="8">
        <f>VLOOKUP(A764, localcont!$D$10:$L$1764, 8)</f>
        <v>26381907.903000001</v>
      </c>
      <c r="H764" s="81">
        <f>VLOOKUP(A764, localcont!$D$10:$L$1764, 9)*F764</f>
        <v>120137636</v>
      </c>
    </row>
    <row r="765" spans="1:8">
      <c r="A765" s="6">
        <v>1651</v>
      </c>
      <c r="B765" s="6">
        <v>331</v>
      </c>
      <c r="C765" s="6" t="s">
        <v>1449</v>
      </c>
      <c r="D765" s="6">
        <v>331</v>
      </c>
      <c r="E765" s="6" t="s">
        <v>1012</v>
      </c>
      <c r="F765" s="8">
        <f t="shared" si="12"/>
        <v>30223850</v>
      </c>
      <c r="G765" s="8">
        <f>VLOOKUP(A765, localcont!$D$10:$L$1764, 8)</f>
        <v>22168976.699999999</v>
      </c>
      <c r="H765" s="81">
        <f>VLOOKUP(A765, localcont!$D$10:$L$1764, 9)*F765</f>
        <v>26377038.452634856</v>
      </c>
    </row>
    <row r="766" spans="1:8">
      <c r="A766" s="6">
        <v>1652</v>
      </c>
      <c r="B766" s="6">
        <v>331</v>
      </c>
      <c r="C766" s="6" t="s">
        <v>1449</v>
      </c>
      <c r="D766" s="6">
        <v>821</v>
      </c>
      <c r="E766" s="6" t="s">
        <v>1099</v>
      </c>
      <c r="F766" s="8">
        <f t="shared" si="12"/>
        <v>30223850</v>
      </c>
      <c r="G766" s="8">
        <f>VLOOKUP(A766, localcont!$D$10:$L$1764, 8)</f>
        <v>2545140.3184631867</v>
      </c>
      <c r="H766" s="81">
        <f>VLOOKUP(A766, localcont!$D$10:$L$1764, 9)*F766</f>
        <v>3028252.7225289019</v>
      </c>
    </row>
    <row r="767" spans="1:8">
      <c r="A767" s="6">
        <v>1653</v>
      </c>
      <c r="B767" s="6">
        <v>331</v>
      </c>
      <c r="C767" s="6" t="s">
        <v>1449</v>
      </c>
      <c r="D767" s="6">
        <v>910</v>
      </c>
      <c r="E767" s="6" t="s">
        <v>1118</v>
      </c>
      <c r="F767" s="8">
        <f t="shared" si="12"/>
        <v>30223850</v>
      </c>
      <c r="G767" s="8">
        <f>VLOOKUP(A767, localcont!$D$10:$L$1764, 8)</f>
        <v>687970.01406961621</v>
      </c>
      <c r="H767" s="81">
        <f>VLOOKUP(A767, localcont!$D$10:$L$1764, 9)*F767</f>
        <v>818558.82483624108</v>
      </c>
    </row>
    <row r="768" spans="1:8">
      <c r="A768" s="6">
        <v>1656</v>
      </c>
      <c r="B768" s="6">
        <v>332</v>
      </c>
      <c r="C768" s="6" t="s">
        <v>1450</v>
      </c>
      <c r="D768" s="6">
        <v>332</v>
      </c>
      <c r="E768" s="6" t="s">
        <v>1013</v>
      </c>
      <c r="F768" s="8">
        <f t="shared" si="12"/>
        <v>27745529</v>
      </c>
      <c r="G768" s="8">
        <f>VLOOKUP(A768, localcont!$D$10:$L$1764, 8)</f>
        <v>68366792.900000006</v>
      </c>
      <c r="H768" s="81">
        <f>VLOOKUP(A768, localcont!$D$10:$L$1764, 9)*F768</f>
        <v>27745529</v>
      </c>
    </row>
    <row r="769" spans="1:8">
      <c r="A769" s="6">
        <v>1661</v>
      </c>
      <c r="B769" s="6">
        <v>333</v>
      </c>
      <c r="C769" s="6" t="s">
        <v>1451</v>
      </c>
      <c r="D769" s="6">
        <v>333</v>
      </c>
      <c r="E769" s="6" t="s">
        <v>1014</v>
      </c>
      <c r="F769" s="8">
        <f t="shared" si="12"/>
        <v>3506644</v>
      </c>
      <c r="G769" s="8">
        <f>VLOOKUP(A769, localcont!$D$10:$L$1764, 8)</f>
        <v>0</v>
      </c>
      <c r="H769" s="81">
        <f>VLOOKUP(A769, localcont!$D$10:$L$1764, 9)*F769</f>
        <v>0</v>
      </c>
    </row>
    <row r="770" spans="1:8">
      <c r="A770" s="6">
        <v>1662</v>
      </c>
      <c r="B770" s="6">
        <v>333</v>
      </c>
      <c r="C770" s="6" t="s">
        <v>1451</v>
      </c>
      <c r="D770" s="6">
        <v>618</v>
      </c>
      <c r="E770" s="6" t="s">
        <v>1040</v>
      </c>
      <c r="F770" s="8">
        <f t="shared" si="12"/>
        <v>3506644</v>
      </c>
      <c r="G770" s="8">
        <f>VLOOKUP(A770, localcont!$D$10:$L$1764, 8)</f>
        <v>1817852.5464350374</v>
      </c>
      <c r="H770" s="81">
        <f>VLOOKUP(A770, localcont!$D$10:$L$1764, 9)*F770</f>
        <v>3506644</v>
      </c>
    </row>
    <row r="771" spans="1:8">
      <c r="A771" s="6">
        <v>1666</v>
      </c>
      <c r="B771" s="6">
        <v>334</v>
      </c>
      <c r="C771" s="6" t="s">
        <v>1452</v>
      </c>
      <c r="D771" s="6">
        <v>334</v>
      </c>
      <c r="E771" s="6" t="s">
        <v>1015</v>
      </c>
      <c r="F771" s="8">
        <f t="shared" si="12"/>
        <v>15116085</v>
      </c>
      <c r="G771" s="8">
        <f>VLOOKUP(A771, localcont!$D$10:$L$1764, 8)</f>
        <v>0</v>
      </c>
      <c r="H771" s="81">
        <f>VLOOKUP(A771, localcont!$D$10:$L$1764, 9)*F771</f>
        <v>0</v>
      </c>
    </row>
    <row r="772" spans="1:8">
      <c r="A772" s="6">
        <v>1667</v>
      </c>
      <c r="B772" s="6">
        <v>334</v>
      </c>
      <c r="C772" s="6" t="s">
        <v>1452</v>
      </c>
      <c r="D772" s="6">
        <v>700</v>
      </c>
      <c r="E772" s="6" t="s">
        <v>1065</v>
      </c>
      <c r="F772" s="8">
        <f t="shared" si="12"/>
        <v>15116085</v>
      </c>
      <c r="G772" s="8">
        <f>VLOOKUP(A772, localcont!$D$10:$L$1764, 8)</f>
        <v>2087072.4088401117</v>
      </c>
      <c r="H772" s="81">
        <f>VLOOKUP(A772, localcont!$D$10:$L$1764, 9)*F772</f>
        <v>5445886.5586491087</v>
      </c>
    </row>
    <row r="773" spans="1:8">
      <c r="A773" s="6">
        <v>1668</v>
      </c>
      <c r="B773" s="6">
        <v>334</v>
      </c>
      <c r="C773" s="6" t="s">
        <v>1452</v>
      </c>
      <c r="D773" s="6">
        <v>774</v>
      </c>
      <c r="E773" s="6" t="s">
        <v>1088</v>
      </c>
      <c r="F773" s="8">
        <f t="shared" si="12"/>
        <v>15116085</v>
      </c>
      <c r="G773" s="8">
        <f>VLOOKUP(A773, localcont!$D$10:$L$1764, 8)</f>
        <v>3705990.592642548</v>
      </c>
      <c r="H773" s="81">
        <f>VLOOKUP(A773, localcont!$D$10:$L$1764, 9)*F773</f>
        <v>9670198.4413508903</v>
      </c>
    </row>
    <row r="774" spans="1:8">
      <c r="A774" s="6">
        <v>1671</v>
      </c>
      <c r="B774" s="6">
        <v>335</v>
      </c>
      <c r="C774" s="6" t="s">
        <v>1453</v>
      </c>
      <c r="D774" s="6">
        <v>335</v>
      </c>
      <c r="E774" s="6" t="s">
        <v>1016</v>
      </c>
      <c r="F774" s="8">
        <f t="shared" si="12"/>
        <v>57578315</v>
      </c>
      <c r="G774" s="8">
        <f>VLOOKUP(A774, localcont!$D$10:$L$1764, 8)</f>
        <v>36920748.450279996</v>
      </c>
      <c r="H774" s="81">
        <f>VLOOKUP(A774, localcont!$D$10:$L$1764, 9)*F774</f>
        <v>57133567.720855571</v>
      </c>
    </row>
    <row r="775" spans="1:8">
      <c r="A775" s="6">
        <v>1672</v>
      </c>
      <c r="B775" s="6">
        <v>335</v>
      </c>
      <c r="C775" s="6" t="s">
        <v>1453</v>
      </c>
      <c r="D775" s="6">
        <v>806</v>
      </c>
      <c r="E775" s="6" t="s">
        <v>1094</v>
      </c>
      <c r="F775" s="8">
        <f t="shared" si="12"/>
        <v>57578315</v>
      </c>
      <c r="G775" s="8">
        <f>VLOOKUP(A775, localcont!$D$10:$L$1764, 8)</f>
        <v>111211.98898651257</v>
      </c>
      <c r="H775" s="81">
        <f>VLOOKUP(A775, localcont!$D$10:$L$1764, 9)*F775</f>
        <v>172096.66571869762</v>
      </c>
    </row>
    <row r="776" spans="1:8">
      <c r="A776" s="6">
        <v>1673</v>
      </c>
      <c r="B776" s="6">
        <v>335</v>
      </c>
      <c r="C776" s="6" t="s">
        <v>1453</v>
      </c>
      <c r="D776" s="6">
        <v>915</v>
      </c>
      <c r="E776" s="6" t="s">
        <v>1119</v>
      </c>
      <c r="F776" s="8">
        <f t="shared" si="12"/>
        <v>57578315</v>
      </c>
      <c r="G776" s="8">
        <f>VLOOKUP(A776, localcont!$D$10:$L$1764, 8)</f>
        <v>176191.77507501398</v>
      </c>
      <c r="H776" s="81">
        <f>VLOOKUP(A776, localcont!$D$10:$L$1764, 9)*F776</f>
        <v>272650.61342573416</v>
      </c>
    </row>
    <row r="777" spans="1:8">
      <c r="A777" s="6">
        <v>1676</v>
      </c>
      <c r="B777" s="6">
        <v>336</v>
      </c>
      <c r="C777" s="6" t="s">
        <v>1454</v>
      </c>
      <c r="D777" s="6">
        <v>336</v>
      </c>
      <c r="E777" s="6" t="s">
        <v>1017</v>
      </c>
      <c r="F777" s="8">
        <f t="shared" si="12"/>
        <v>78224151</v>
      </c>
      <c r="G777" s="8">
        <f>VLOOKUP(A777, localcont!$D$10:$L$1764, 8)</f>
        <v>92545801.942100003</v>
      </c>
      <c r="H777" s="81">
        <f>VLOOKUP(A777, localcont!$D$10:$L$1764, 9)*F777</f>
        <v>77872044.454384208</v>
      </c>
    </row>
    <row r="778" spans="1:8">
      <c r="A778" s="6">
        <v>1677</v>
      </c>
      <c r="B778" s="6">
        <v>336</v>
      </c>
      <c r="C778" s="6" t="s">
        <v>1454</v>
      </c>
      <c r="D778" s="6">
        <v>915</v>
      </c>
      <c r="E778" s="6" t="s">
        <v>1119</v>
      </c>
      <c r="F778" s="8">
        <f t="shared" si="12"/>
        <v>78224151</v>
      </c>
      <c r="G778" s="8">
        <f>VLOOKUP(A778, localcont!$D$10:$L$1764, 8)</f>
        <v>418455.46577584854</v>
      </c>
      <c r="H778" s="81">
        <f>VLOOKUP(A778, localcont!$D$10:$L$1764, 9)*F778</f>
        <v>352106.54561580106</v>
      </c>
    </row>
    <row r="779" spans="1:8">
      <c r="A779" s="6">
        <v>1681</v>
      </c>
      <c r="B779" s="6">
        <v>337</v>
      </c>
      <c r="C779" s="6" t="s">
        <v>1455</v>
      </c>
      <c r="D779" s="6">
        <v>337</v>
      </c>
      <c r="E779" s="6" t="s">
        <v>1018</v>
      </c>
      <c r="F779" s="8">
        <f t="shared" ref="F779:F812" si="13">VLOOKUP(B779, town351, 7)</f>
        <v>1904844</v>
      </c>
      <c r="G779" s="8">
        <f>VLOOKUP(A779, localcont!$D$10:$L$1764, 8)</f>
        <v>1124388.7500000002</v>
      </c>
      <c r="H779" s="81">
        <f>VLOOKUP(A779, localcont!$D$10:$L$1764, 9)*F779</f>
        <v>937649.86645015504</v>
      </c>
    </row>
    <row r="780" spans="1:8">
      <c r="A780" s="6">
        <v>1682</v>
      </c>
      <c r="B780" s="6">
        <v>337</v>
      </c>
      <c r="C780" s="6" t="s">
        <v>1455</v>
      </c>
      <c r="D780" s="6">
        <v>670</v>
      </c>
      <c r="E780" s="6" t="s">
        <v>1054</v>
      </c>
      <c r="F780" s="8">
        <f t="shared" si="13"/>
        <v>1904844</v>
      </c>
      <c r="G780" s="8">
        <f>VLOOKUP(A780, localcont!$D$10:$L$1764, 8)</f>
        <v>766392.17332566937</v>
      </c>
      <c r="H780" s="81">
        <f>VLOOKUP(A780, localcont!$D$10:$L$1764, 9)*F780</f>
        <v>639109.48857079714</v>
      </c>
    </row>
    <row r="781" spans="1:8">
      <c r="A781" s="6">
        <v>1683</v>
      </c>
      <c r="B781" s="6">
        <v>337</v>
      </c>
      <c r="C781" s="6" t="s">
        <v>1455</v>
      </c>
      <c r="D781" s="6">
        <v>818</v>
      </c>
      <c r="E781" s="6" t="s">
        <v>1098</v>
      </c>
      <c r="F781" s="8">
        <f t="shared" si="13"/>
        <v>1904844</v>
      </c>
      <c r="G781" s="8">
        <f>VLOOKUP(A781, localcont!$D$10:$L$1764, 8)</f>
        <v>393424.77086759731</v>
      </c>
      <c r="H781" s="81">
        <f>VLOOKUP(A781, localcont!$D$10:$L$1764, 9)*F781</f>
        <v>328084.64497904788</v>
      </c>
    </row>
    <row r="782" spans="1:8">
      <c r="A782" s="6">
        <v>1686</v>
      </c>
      <c r="B782" s="6">
        <v>338</v>
      </c>
      <c r="C782" s="6" t="s">
        <v>1456</v>
      </c>
      <c r="D782" s="6">
        <v>338</v>
      </c>
      <c r="E782" s="6" t="s">
        <v>1019</v>
      </c>
      <c r="F782" s="8">
        <f t="shared" si="13"/>
        <v>16701676</v>
      </c>
      <c r="G782" s="8">
        <f>VLOOKUP(A782, localcont!$D$10:$L$1764, 8)</f>
        <v>250517.91</v>
      </c>
      <c r="H782" s="81">
        <f>VLOOKUP(A782, localcont!$D$10:$L$1764, 9)*F782</f>
        <v>123697.0388128795</v>
      </c>
    </row>
    <row r="783" spans="1:8">
      <c r="A783" s="6">
        <v>1687</v>
      </c>
      <c r="B783" s="6">
        <v>338</v>
      </c>
      <c r="C783" s="6" t="s">
        <v>1456</v>
      </c>
      <c r="D783" s="6">
        <v>780</v>
      </c>
      <c r="E783" s="6" t="s">
        <v>1091</v>
      </c>
      <c r="F783" s="8">
        <f t="shared" si="13"/>
        <v>16701676</v>
      </c>
      <c r="G783" s="8">
        <f>VLOOKUP(A783, localcont!$D$10:$L$1764, 8)</f>
        <v>30131221.081489474</v>
      </c>
      <c r="H783" s="81">
        <f>VLOOKUP(A783, localcont!$D$10:$L$1764, 9)*F783</f>
        <v>14877749.952474281</v>
      </c>
    </row>
    <row r="784" spans="1:8">
      <c r="A784" s="6">
        <v>1688</v>
      </c>
      <c r="B784" s="6">
        <v>338</v>
      </c>
      <c r="C784" s="6" t="s">
        <v>1456</v>
      </c>
      <c r="D784" s="6">
        <v>873</v>
      </c>
      <c r="E784" s="6" t="s">
        <v>1113</v>
      </c>
      <c r="F784" s="8">
        <f t="shared" si="13"/>
        <v>16701676</v>
      </c>
      <c r="G784" s="8">
        <f>VLOOKUP(A784, localcont!$D$10:$L$1764, 8)</f>
        <v>3443395.4270194103</v>
      </c>
      <c r="H784" s="81">
        <f>VLOOKUP(A784, localcont!$D$10:$L$1764, 9)*F784</f>
        <v>1700229.0087128372</v>
      </c>
    </row>
    <row r="785" spans="1:8">
      <c r="A785" s="6">
        <v>1691</v>
      </c>
      <c r="B785" s="6">
        <v>339</v>
      </c>
      <c r="C785" s="6" t="s">
        <v>1457</v>
      </c>
      <c r="D785" s="6">
        <v>339</v>
      </c>
      <c r="E785" s="6" t="s">
        <v>1020</v>
      </c>
      <c r="F785" s="8">
        <f t="shared" si="13"/>
        <v>19536368</v>
      </c>
      <c r="G785" s="8">
        <f>VLOOKUP(A785, localcont!$D$10:$L$1764, 8)</f>
        <v>0</v>
      </c>
      <c r="H785" s="81">
        <f>VLOOKUP(A785, localcont!$D$10:$L$1764, 9)*F785</f>
        <v>0</v>
      </c>
    </row>
    <row r="786" spans="1:8">
      <c r="A786" s="6">
        <v>1692</v>
      </c>
      <c r="B786" s="6">
        <v>339</v>
      </c>
      <c r="C786" s="6" t="s">
        <v>1457</v>
      </c>
      <c r="D786" s="6">
        <v>680</v>
      </c>
      <c r="E786" s="6" t="s">
        <v>1059</v>
      </c>
      <c r="F786" s="8">
        <f t="shared" si="13"/>
        <v>19536368</v>
      </c>
      <c r="G786" s="8">
        <f>VLOOKUP(A786, localcont!$D$10:$L$1764, 8)</f>
        <v>29475167.009635031</v>
      </c>
      <c r="H786" s="81">
        <f>VLOOKUP(A786, localcont!$D$10:$L$1764, 9)*F786</f>
        <v>19536368</v>
      </c>
    </row>
    <row r="787" spans="1:8">
      <c r="A787" s="6">
        <v>1696</v>
      </c>
      <c r="B787" s="6">
        <v>340</v>
      </c>
      <c r="C787" s="6" t="s">
        <v>1458</v>
      </c>
      <c r="D787" s="6">
        <v>340</v>
      </c>
      <c r="E787" s="6" t="s">
        <v>1021</v>
      </c>
      <c r="F787" s="8">
        <f t="shared" si="13"/>
        <v>2591073</v>
      </c>
      <c r="G787" s="8">
        <f>VLOOKUP(A787, localcont!$D$10:$L$1764, 8)</f>
        <v>2006164.9200000002</v>
      </c>
      <c r="H787" s="81">
        <f>VLOOKUP(A787, localcont!$D$10:$L$1764, 9)*F787</f>
        <v>1465015.9145257475</v>
      </c>
    </row>
    <row r="788" spans="1:8">
      <c r="A788" s="6">
        <v>1697</v>
      </c>
      <c r="B788" s="6">
        <v>340</v>
      </c>
      <c r="C788" s="6" t="s">
        <v>1458</v>
      </c>
      <c r="D788" s="6">
        <v>683</v>
      </c>
      <c r="E788" s="6" t="s">
        <v>1060</v>
      </c>
      <c r="F788" s="8">
        <f t="shared" si="13"/>
        <v>2591073</v>
      </c>
      <c r="G788" s="8">
        <f>VLOOKUP(A788, localcont!$D$10:$L$1764, 8)</f>
        <v>1542001.1485180252</v>
      </c>
      <c r="H788" s="81">
        <f>VLOOKUP(A788, localcont!$D$10:$L$1764, 9)*F788</f>
        <v>1126057.0854742527</v>
      </c>
    </row>
    <row r="789" spans="1:8">
      <c r="A789" s="6">
        <v>1701</v>
      </c>
      <c r="B789" s="6">
        <v>341</v>
      </c>
      <c r="C789" s="6" t="s">
        <v>1459</v>
      </c>
      <c r="D789" s="6">
        <v>341</v>
      </c>
      <c r="E789" s="6" t="s">
        <v>1022</v>
      </c>
      <c r="F789" s="8">
        <f t="shared" si="13"/>
        <v>9651271</v>
      </c>
      <c r="G789" s="8">
        <f>VLOOKUP(A789, localcont!$D$10:$L$1764, 8)</f>
        <v>0</v>
      </c>
      <c r="H789" s="81">
        <f>VLOOKUP(A789, localcont!$D$10:$L$1764, 9)*F789</f>
        <v>0</v>
      </c>
    </row>
    <row r="790" spans="1:8">
      <c r="A790" s="6">
        <v>1702</v>
      </c>
      <c r="B790" s="6">
        <v>341</v>
      </c>
      <c r="C790" s="6" t="s">
        <v>1459</v>
      </c>
      <c r="D790" s="6">
        <v>715</v>
      </c>
      <c r="E790" s="6" t="s">
        <v>1069</v>
      </c>
      <c r="F790" s="8">
        <f t="shared" si="13"/>
        <v>9651271</v>
      </c>
      <c r="G790" s="8">
        <f>VLOOKUP(A790, localcont!$D$10:$L$1764, 8)</f>
        <v>9908699.3657844961</v>
      </c>
      <c r="H790" s="81">
        <f>VLOOKUP(A790, localcont!$D$10:$L$1764, 9)*F790</f>
        <v>9261904.940638531</v>
      </c>
    </row>
    <row r="791" spans="1:8">
      <c r="A791" s="6">
        <v>1703</v>
      </c>
      <c r="B791" s="6">
        <v>341</v>
      </c>
      <c r="C791" s="6" t="s">
        <v>1459</v>
      </c>
      <c r="D791" s="6">
        <v>851</v>
      </c>
      <c r="E791" s="6" t="s">
        <v>1106</v>
      </c>
      <c r="F791" s="8">
        <f t="shared" si="13"/>
        <v>9651271</v>
      </c>
      <c r="G791" s="8">
        <f>VLOOKUP(A791, localcont!$D$10:$L$1764, 8)</f>
        <v>416556.98802572693</v>
      </c>
      <c r="H791" s="81">
        <f>VLOOKUP(A791, localcont!$D$10:$L$1764, 9)*F791</f>
        <v>389366.05936146801</v>
      </c>
    </row>
    <row r="792" spans="1:8">
      <c r="A792" s="6">
        <v>1706</v>
      </c>
      <c r="B792" s="6">
        <v>342</v>
      </c>
      <c r="C792" s="6" t="s">
        <v>1460</v>
      </c>
      <c r="D792" s="6">
        <v>342</v>
      </c>
      <c r="E792" s="6" t="s">
        <v>1023</v>
      </c>
      <c r="F792" s="8">
        <f t="shared" si="13"/>
        <v>42198765</v>
      </c>
      <c r="G792" s="8">
        <f>VLOOKUP(A792, localcont!$D$10:$L$1764, 8)</f>
        <v>36803962.054719999</v>
      </c>
      <c r="H792" s="81">
        <f>VLOOKUP(A792, localcont!$D$10:$L$1764, 9)*F792</f>
        <v>36044928.285877861</v>
      </c>
    </row>
    <row r="793" spans="1:8">
      <c r="A793" s="6">
        <v>1707</v>
      </c>
      <c r="B793" s="6">
        <v>342</v>
      </c>
      <c r="C793" s="6" t="s">
        <v>1460</v>
      </c>
      <c r="D793" s="6">
        <v>871</v>
      </c>
      <c r="E793" s="6" t="s">
        <v>1111</v>
      </c>
      <c r="F793" s="8">
        <f t="shared" si="13"/>
        <v>42198765</v>
      </c>
      <c r="G793" s="8">
        <f>VLOOKUP(A793, localcont!$D$10:$L$1764, 8)</f>
        <v>6283424.1511372142</v>
      </c>
      <c r="H793" s="81">
        <f>VLOOKUP(A793, localcont!$D$10:$L$1764, 9)*F793</f>
        <v>6153836.7141221352</v>
      </c>
    </row>
    <row r="794" spans="1:8">
      <c r="A794" s="6">
        <v>1711</v>
      </c>
      <c r="B794" s="6">
        <v>343</v>
      </c>
      <c r="C794" s="6" t="s">
        <v>1461</v>
      </c>
      <c r="D794" s="6">
        <v>343</v>
      </c>
      <c r="E794" s="6" t="s">
        <v>1024</v>
      </c>
      <c r="F794" s="8">
        <f t="shared" si="13"/>
        <v>7903853</v>
      </c>
      <c r="G794" s="8">
        <f>VLOOKUP(A794, localcont!$D$10:$L$1764, 8)</f>
        <v>20484346.350000001</v>
      </c>
      <c r="H794" s="81">
        <f>VLOOKUP(A794, localcont!$D$10:$L$1764, 9)*F794</f>
        <v>7218428.8917578915</v>
      </c>
    </row>
    <row r="795" spans="1:8">
      <c r="A795" s="6">
        <v>1712</v>
      </c>
      <c r="B795" s="6">
        <v>343</v>
      </c>
      <c r="C795" s="6" t="s">
        <v>1461</v>
      </c>
      <c r="D795" s="6">
        <v>832</v>
      </c>
      <c r="E795" s="6" t="s">
        <v>1105</v>
      </c>
      <c r="F795" s="8">
        <f t="shared" si="13"/>
        <v>7903853</v>
      </c>
      <c r="G795" s="8">
        <f>VLOOKUP(A795, localcont!$D$10:$L$1764, 8)</f>
        <v>1945085.9792915401</v>
      </c>
      <c r="H795" s="81">
        <f>VLOOKUP(A795, localcont!$D$10:$L$1764, 9)*F795</f>
        <v>685424.10824210872</v>
      </c>
    </row>
    <row r="796" spans="1:8">
      <c r="A796" s="6">
        <v>1716</v>
      </c>
      <c r="B796" s="6">
        <v>344</v>
      </c>
      <c r="C796" s="6" t="s">
        <v>1462</v>
      </c>
      <c r="D796" s="6">
        <v>344</v>
      </c>
      <c r="E796" s="6" t="s">
        <v>1025</v>
      </c>
      <c r="F796" s="8">
        <f t="shared" si="13"/>
        <v>94242416</v>
      </c>
      <c r="G796" s="8">
        <f>VLOOKUP(A796, localcont!$D$10:$L$1764, 8)</f>
        <v>55351171.165500008</v>
      </c>
      <c r="H796" s="81">
        <f>VLOOKUP(A796, localcont!$D$10:$L$1764, 9)*F796</f>
        <v>94000416.759834424</v>
      </c>
    </row>
    <row r="797" spans="1:8">
      <c r="A797" s="6">
        <v>1717</v>
      </c>
      <c r="B797" s="6">
        <v>344</v>
      </c>
      <c r="C797" s="6" t="s">
        <v>1462</v>
      </c>
      <c r="D797" s="6">
        <v>853</v>
      </c>
      <c r="E797" s="6" t="s">
        <v>1108</v>
      </c>
      <c r="F797" s="8">
        <f t="shared" si="13"/>
        <v>94242416</v>
      </c>
      <c r="G797" s="8">
        <f>VLOOKUP(A797, localcont!$D$10:$L$1764, 8)</f>
        <v>142498.74443162014</v>
      </c>
      <c r="H797" s="81">
        <f>VLOOKUP(A797, localcont!$D$10:$L$1764, 9)*F797</f>
        <v>241999.24016557037</v>
      </c>
    </row>
    <row r="798" spans="1:8">
      <c r="A798" s="6">
        <v>1721</v>
      </c>
      <c r="B798" s="6">
        <v>345</v>
      </c>
      <c r="C798" s="6" t="s">
        <v>1463</v>
      </c>
      <c r="D798" s="6">
        <v>345</v>
      </c>
      <c r="E798" s="6" t="s">
        <v>1026</v>
      </c>
      <c r="F798" s="8">
        <f t="shared" si="13"/>
        <v>972932</v>
      </c>
      <c r="G798" s="8">
        <f>VLOOKUP(A798, localcont!$D$10:$L$1764, 8)</f>
        <v>84301.650000000009</v>
      </c>
      <c r="H798" s="81">
        <f>VLOOKUP(A798, localcont!$D$10:$L$1764, 9)*F798</f>
        <v>88706.358801175345</v>
      </c>
    </row>
    <row r="799" spans="1:8">
      <c r="A799" s="6">
        <v>1722</v>
      </c>
      <c r="B799" s="6">
        <v>345</v>
      </c>
      <c r="C799" s="6" t="s">
        <v>1463</v>
      </c>
      <c r="D799" s="6">
        <v>635</v>
      </c>
      <c r="E799" s="6" t="s">
        <v>1045</v>
      </c>
      <c r="F799" s="8">
        <f t="shared" si="13"/>
        <v>972932</v>
      </c>
      <c r="G799" s="8">
        <f>VLOOKUP(A799, localcont!$D$10:$L$1764, 8)</f>
        <v>840319.47126186441</v>
      </c>
      <c r="H799" s="81">
        <f>VLOOKUP(A799, localcont!$D$10:$L$1764, 9)*F799</f>
        <v>884225.64119882463</v>
      </c>
    </row>
    <row r="800" spans="1:8">
      <c r="A800" s="6">
        <v>1726</v>
      </c>
      <c r="B800" s="6">
        <v>346</v>
      </c>
      <c r="C800" s="6" t="s">
        <v>1464</v>
      </c>
      <c r="D800" s="6">
        <v>346</v>
      </c>
      <c r="E800" s="6" t="s">
        <v>1027</v>
      </c>
      <c r="F800" s="8">
        <f t="shared" si="13"/>
        <v>24407352</v>
      </c>
      <c r="G800" s="8">
        <f>VLOOKUP(A800, localcont!$D$10:$L$1764, 8)</f>
        <v>30384003.300080005</v>
      </c>
      <c r="H800" s="81">
        <f>VLOOKUP(A800, localcont!$D$10:$L$1764, 9)*F800</f>
        <v>23279182.863628738</v>
      </c>
    </row>
    <row r="801" spans="1:8">
      <c r="A801" s="6">
        <v>1727</v>
      </c>
      <c r="B801" s="6">
        <v>346</v>
      </c>
      <c r="C801" s="6" t="s">
        <v>1464</v>
      </c>
      <c r="D801" s="6">
        <v>853</v>
      </c>
      <c r="E801" s="6" t="s">
        <v>1108</v>
      </c>
      <c r="F801" s="8">
        <f t="shared" si="13"/>
        <v>24407352</v>
      </c>
      <c r="G801" s="8">
        <f>VLOOKUP(A801, localcont!$D$10:$L$1764, 8)</f>
        <v>1472487.0268581905</v>
      </c>
      <c r="H801" s="81">
        <f>VLOOKUP(A801, localcont!$D$10:$L$1764, 9)*F801</f>
        <v>1128169.1363712614</v>
      </c>
    </row>
    <row r="802" spans="1:8">
      <c r="A802" s="6">
        <v>1731</v>
      </c>
      <c r="B802" s="6">
        <v>347</v>
      </c>
      <c r="C802" s="6" t="s">
        <v>1028</v>
      </c>
      <c r="D802" s="6">
        <v>347</v>
      </c>
      <c r="E802" s="6" t="s">
        <v>1028</v>
      </c>
      <c r="F802" s="8">
        <f t="shared" si="13"/>
        <v>71479081</v>
      </c>
      <c r="G802" s="8">
        <f>VLOOKUP(A802, localcont!$D$10:$L$1764, 8)</f>
        <v>70723977.379679993</v>
      </c>
      <c r="H802" s="81">
        <f>VLOOKUP(A802, localcont!$D$10:$L$1764, 9)*F802</f>
        <v>68643778.481431186</v>
      </c>
    </row>
    <row r="803" spans="1:8">
      <c r="A803" s="6">
        <v>1732</v>
      </c>
      <c r="B803" s="6">
        <v>347</v>
      </c>
      <c r="C803" s="6" t="s">
        <v>1028</v>
      </c>
      <c r="D803" s="6">
        <v>853</v>
      </c>
      <c r="E803" s="6" t="s">
        <v>1108</v>
      </c>
      <c r="F803" s="8">
        <f t="shared" si="13"/>
        <v>71479081</v>
      </c>
      <c r="G803" s="8">
        <f>VLOOKUP(A803, localcont!$D$10:$L$1764, 8)</f>
        <v>2921224.2627648213</v>
      </c>
      <c r="H803" s="81">
        <f>VLOOKUP(A803, localcont!$D$10:$L$1764, 9)*F803</f>
        <v>2835302.5185688138</v>
      </c>
    </row>
    <row r="804" spans="1:8">
      <c r="A804" s="6">
        <v>1736</v>
      </c>
      <c r="B804" s="6">
        <v>348</v>
      </c>
      <c r="C804" s="6" t="s">
        <v>1465</v>
      </c>
      <c r="D804" s="6">
        <v>348</v>
      </c>
      <c r="E804" s="6" t="s">
        <v>1029</v>
      </c>
      <c r="F804" s="8">
        <f t="shared" si="13"/>
        <v>147969708</v>
      </c>
      <c r="G804" s="8">
        <f>VLOOKUP(A804, localcont!$D$10:$L$1764, 8)</f>
        <v>505110665.75</v>
      </c>
      <c r="H804" s="81">
        <f>VLOOKUP(A804, localcont!$D$10:$L$1764, 9)*F804</f>
        <v>147969708</v>
      </c>
    </row>
    <row r="805" spans="1:8">
      <c r="A805" s="6">
        <v>1741</v>
      </c>
      <c r="B805" s="6">
        <v>349</v>
      </c>
      <c r="C805" s="6" t="s">
        <v>1466</v>
      </c>
      <c r="D805" s="6">
        <v>349</v>
      </c>
      <c r="E805" s="6" t="s">
        <v>1030</v>
      </c>
      <c r="F805" s="8">
        <f t="shared" si="13"/>
        <v>1339531</v>
      </c>
      <c r="G805" s="8">
        <f>VLOOKUP(A805, localcont!$D$10:$L$1764, 8)</f>
        <v>1599602.0399999998</v>
      </c>
      <c r="H805" s="81">
        <f>VLOOKUP(A805, localcont!$D$10:$L$1764, 9)*F805</f>
        <v>1339531</v>
      </c>
    </row>
    <row r="806" spans="1:8">
      <c r="A806" s="6">
        <v>1746</v>
      </c>
      <c r="B806" s="6">
        <v>350</v>
      </c>
      <c r="C806" s="6" t="s">
        <v>1467</v>
      </c>
      <c r="D806" s="6">
        <v>350</v>
      </c>
      <c r="E806" s="6" t="s">
        <v>1031</v>
      </c>
      <c r="F806" s="8">
        <f t="shared" si="13"/>
        <v>24188981</v>
      </c>
      <c r="G806" s="8">
        <f>VLOOKUP(A806, localcont!$D$10:$L$1764, 8)</f>
        <v>12020258.945529999</v>
      </c>
      <c r="H806" s="81">
        <f>VLOOKUP(A806, localcont!$D$10:$L$1764, 9)*F806</f>
        <v>12206575.082073076</v>
      </c>
    </row>
    <row r="807" spans="1:8">
      <c r="A807" s="6">
        <v>1747</v>
      </c>
      <c r="B807" s="6">
        <v>350</v>
      </c>
      <c r="C807" s="6" t="s">
        <v>1467</v>
      </c>
      <c r="D807" s="6">
        <v>690</v>
      </c>
      <c r="E807" s="6" t="s">
        <v>1062</v>
      </c>
      <c r="F807" s="8">
        <f t="shared" si="13"/>
        <v>24188981</v>
      </c>
      <c r="G807" s="8">
        <f>VLOOKUP(A807, localcont!$D$10:$L$1764, 8)</f>
        <v>9991132.5568335652</v>
      </c>
      <c r="H807" s="81">
        <f>VLOOKUP(A807, localcont!$D$10:$L$1764, 9)*F807</f>
        <v>10145996.87598962</v>
      </c>
    </row>
    <row r="808" spans="1:8">
      <c r="A808" s="6">
        <v>1748</v>
      </c>
      <c r="B808" s="6">
        <v>350</v>
      </c>
      <c r="C808" s="6" t="s">
        <v>1467</v>
      </c>
      <c r="D808" s="6">
        <v>878</v>
      </c>
      <c r="E808" s="6" t="s">
        <v>1115</v>
      </c>
      <c r="F808" s="8">
        <f t="shared" si="13"/>
        <v>24188981</v>
      </c>
      <c r="G808" s="8">
        <f>VLOOKUP(A808, localcont!$D$10:$L$1764, 8)</f>
        <v>1610163.1034481351</v>
      </c>
      <c r="H808" s="81">
        <f>VLOOKUP(A808, localcont!$D$10:$L$1764, 9)*F808</f>
        <v>1635120.9159210708</v>
      </c>
    </row>
    <row r="809" spans="1:8">
      <c r="A809" s="6">
        <v>1749</v>
      </c>
      <c r="B809" s="6">
        <v>350</v>
      </c>
      <c r="C809" s="6" t="s">
        <v>1467</v>
      </c>
      <c r="D809" s="6">
        <v>915</v>
      </c>
      <c r="E809" s="6" t="s">
        <v>1119</v>
      </c>
      <c r="F809" s="8">
        <f t="shared" si="13"/>
        <v>24188981</v>
      </c>
      <c r="G809" s="8">
        <f>VLOOKUP(A809, localcont!$D$10:$L$1764, 8)</f>
        <v>198215.74693208101</v>
      </c>
      <c r="H809" s="81">
        <f>VLOOKUP(A809, localcont!$D$10:$L$1764, 9)*F809</f>
        <v>201288.12601623702</v>
      </c>
    </row>
    <row r="810" spans="1:8">
      <c r="A810" s="6">
        <v>1751</v>
      </c>
      <c r="B810" s="6">
        <v>351</v>
      </c>
      <c r="C810" s="6" t="s">
        <v>1468</v>
      </c>
      <c r="D810" s="6">
        <v>351</v>
      </c>
      <c r="E810" s="6" t="s">
        <v>1032</v>
      </c>
      <c r="F810" s="8">
        <f t="shared" si="13"/>
        <v>46750939</v>
      </c>
      <c r="G810" s="8">
        <f>VLOOKUP(A810, localcont!$D$10:$L$1764, 8)</f>
        <v>0</v>
      </c>
      <c r="H810" s="81">
        <f>VLOOKUP(A810, localcont!$D$10:$L$1764, 9)*F810</f>
        <v>0</v>
      </c>
    </row>
    <row r="811" spans="1:8">
      <c r="A811" s="6">
        <v>1752</v>
      </c>
      <c r="B811" s="6">
        <v>351</v>
      </c>
      <c r="C811" s="6" t="s">
        <v>1468</v>
      </c>
      <c r="D811" s="6">
        <v>645</v>
      </c>
      <c r="E811" s="6" t="s">
        <v>1047</v>
      </c>
      <c r="F811" s="8">
        <f t="shared" si="13"/>
        <v>46750939</v>
      </c>
      <c r="G811" s="8">
        <f>VLOOKUP(A811, localcont!$D$10:$L$1764, 8)</f>
        <v>37148463.639183111</v>
      </c>
      <c r="H811" s="81">
        <f>VLOOKUP(A811, localcont!$D$10:$L$1764, 9)*F811</f>
        <v>43057526.604718275</v>
      </c>
    </row>
    <row r="812" spans="1:8">
      <c r="A812" s="6">
        <v>1753</v>
      </c>
      <c r="B812" s="6">
        <v>351</v>
      </c>
      <c r="C812" s="6" t="s">
        <v>1468</v>
      </c>
      <c r="D812" s="6">
        <v>815</v>
      </c>
      <c r="E812" s="6" t="s">
        <v>1096</v>
      </c>
      <c r="F812" s="8">
        <f t="shared" si="13"/>
        <v>46750939</v>
      </c>
      <c r="G812" s="8">
        <f>VLOOKUP(A812, localcont!$D$10:$L$1764, 8)</f>
        <v>3186541.5152666047</v>
      </c>
      <c r="H812" s="81">
        <f>VLOOKUP(A812, localcont!$D$10:$L$1764, 9)*F812</f>
        <v>3693412.395281719</v>
      </c>
    </row>
    <row r="813" spans="1:8">
      <c r="A813" s="6"/>
      <c r="B813" s="6"/>
      <c r="C813" s="6"/>
      <c r="D813" s="6"/>
      <c r="E813" s="6"/>
      <c r="F813" s="8"/>
      <c r="G813" s="8"/>
      <c r="H813" s="81"/>
    </row>
    <row r="814" spans="1:8">
      <c r="A814" s="6"/>
      <c r="B814" s="6"/>
      <c r="C814" s="6"/>
      <c r="D814" s="6"/>
      <c r="E814" s="6"/>
      <c r="F814" s="8"/>
      <c r="G814" s="8"/>
      <c r="H814" s="81"/>
    </row>
    <row r="815" spans="1:8">
      <c r="A815" s="6"/>
      <c r="B815" s="6"/>
      <c r="C815" s="6"/>
      <c r="D815" s="6"/>
      <c r="E815" s="6"/>
      <c r="F815" s="8"/>
      <c r="G815" s="8"/>
      <c r="H815" s="81"/>
    </row>
    <row r="816" spans="1:8">
      <c r="A816" s="6"/>
      <c r="B816" s="6"/>
      <c r="C816" s="6"/>
      <c r="D816" s="6"/>
      <c r="E816" s="6"/>
      <c r="F816" s="8"/>
      <c r="G816" s="8"/>
      <c r="H816" s="81"/>
    </row>
    <row r="817" spans="1:8">
      <c r="A817" s="6"/>
      <c r="B817" s="6"/>
      <c r="C817" s="6"/>
      <c r="D817" s="6"/>
      <c r="E817" s="6"/>
      <c r="F817" s="8"/>
      <c r="G817" s="8"/>
      <c r="H817" s="81"/>
    </row>
    <row r="818" spans="1:8">
      <c r="A818" s="6"/>
      <c r="B818" s="6"/>
      <c r="C818" s="6"/>
      <c r="D818" s="6"/>
      <c r="E818" s="6"/>
      <c r="F818" s="8"/>
      <c r="G818" s="8"/>
      <c r="H818" s="81"/>
    </row>
    <row r="819" spans="1:8">
      <c r="A819" s="6"/>
      <c r="B819" s="6"/>
      <c r="C819" s="6"/>
      <c r="D819" s="6"/>
      <c r="E819" s="6"/>
      <c r="F819" s="8"/>
      <c r="G819" s="8"/>
      <c r="H819" s="81"/>
    </row>
    <row r="820" spans="1:8">
      <c r="A820" s="6"/>
    </row>
  </sheetData>
  <autoFilter ref="A9:H813" xr:uid="{89DE3F9F-D1E8-4F7C-8DE6-F6767684966F}"/>
  <sortState xmlns:xlrd2="http://schemas.microsoft.com/office/spreadsheetml/2017/richdata2" ref="A10:E820">
    <sortCondition ref="D10:D820"/>
  </sortState>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BU526"/>
  <sheetViews>
    <sheetView workbookViewId="0">
      <pane xSplit="2" ySplit="9" topLeftCell="BG10" activePane="bottomRight" state="frozen"/>
      <selection pane="topRight"/>
      <selection pane="bottomLeft"/>
      <selection pane="bottomRight" activeCell="BM10" sqref="BM10"/>
    </sheetView>
  </sheetViews>
  <sheetFormatPr defaultColWidth="9" defaultRowHeight="12.75"/>
  <cols>
    <col min="1" max="1" width="6.125" style="6" bestFit="1" customWidth="1"/>
    <col min="2" max="2" width="24.125" style="6" bestFit="1" customWidth="1"/>
    <col min="3" max="3" width="13.875" style="6" bestFit="1" customWidth="1"/>
    <col min="4" max="15" width="12.25" style="6" bestFit="1" customWidth="1"/>
    <col min="16" max="16" width="18.125" style="6" bestFit="1" customWidth="1"/>
    <col min="17" max="18" width="12.25" style="6" bestFit="1" customWidth="1"/>
    <col min="19" max="19" width="18.625" style="6" bestFit="1" customWidth="1"/>
    <col min="20" max="20" width="10.75" style="6" bestFit="1" customWidth="1"/>
    <col min="21" max="21" width="12.25" style="6" bestFit="1" customWidth="1"/>
    <col min="22" max="22" width="19.125" style="6" bestFit="1" customWidth="1"/>
    <col min="23" max="23" width="22.25" style="6" bestFit="1" customWidth="1"/>
    <col min="24" max="25" width="20.375" style="6" bestFit="1" customWidth="1"/>
    <col min="26" max="33" width="12.25" style="6" bestFit="1" customWidth="1"/>
    <col min="34" max="34" width="13.125" style="6" bestFit="1" customWidth="1"/>
    <col min="35" max="37" width="12.25" style="6" bestFit="1" customWidth="1"/>
    <col min="38" max="38" width="13.375" style="6" bestFit="1" customWidth="1"/>
    <col min="39" max="40" width="12.25" style="6" bestFit="1" customWidth="1"/>
    <col min="41" max="41" width="13.375" style="6" bestFit="1" customWidth="1"/>
    <col min="42" max="42" width="12.25" style="6" bestFit="1" customWidth="1"/>
    <col min="43" max="43" width="14.375" style="6" bestFit="1" customWidth="1"/>
    <col min="44" max="44" width="13.375" style="6" bestFit="1" customWidth="1"/>
    <col min="45" max="46" width="12.25" style="6" bestFit="1" customWidth="1"/>
    <col min="47" max="47" width="13.375" style="6" bestFit="1" customWidth="1"/>
    <col min="48" max="49" width="12.25" style="6" bestFit="1" customWidth="1"/>
    <col min="50" max="50" width="13.375" style="9" bestFit="1" customWidth="1"/>
    <col min="51" max="52" width="12.25" style="9" bestFit="1" customWidth="1"/>
    <col min="53" max="53" width="13.375" style="9" bestFit="1" customWidth="1"/>
    <col min="54" max="55" width="12.25" style="9" bestFit="1" customWidth="1"/>
    <col min="56" max="56" width="13.375" style="9" bestFit="1" customWidth="1"/>
    <col min="57" max="58" width="12.25" style="9" bestFit="1" customWidth="1"/>
    <col min="59" max="59" width="13.375" style="9" bestFit="1" customWidth="1"/>
    <col min="60" max="61" width="12.25" style="9" bestFit="1" customWidth="1"/>
    <col min="62" max="62" width="13.375" style="9" bestFit="1" customWidth="1"/>
    <col min="63" max="64" width="12.25" style="9" bestFit="1" customWidth="1"/>
    <col min="65" max="65" width="11.625" style="6" bestFit="1" customWidth="1"/>
    <col min="66" max="67" width="10.75" style="6" bestFit="1" customWidth="1"/>
    <col min="68" max="68" width="11.625" style="6" bestFit="1" customWidth="1"/>
    <col min="69" max="70" width="10.75" style="6" bestFit="1" customWidth="1"/>
    <col min="71" max="71" width="11.625" style="6" bestFit="1" customWidth="1"/>
    <col min="72" max="73" width="10.75" style="6" bestFit="1" customWidth="1"/>
    <col min="74" max="16384" width="9" style="6"/>
  </cols>
  <sheetData>
    <row r="1" spans="1:73" s="75" customFormat="1" ht="60.75" customHeight="1">
      <c r="C1" s="75" t="s">
        <v>2315</v>
      </c>
      <c r="D1" s="75" t="s">
        <v>388</v>
      </c>
      <c r="E1" s="75" t="s">
        <v>389</v>
      </c>
      <c r="F1" s="75" t="s">
        <v>388</v>
      </c>
      <c r="G1" s="75" t="s">
        <v>388</v>
      </c>
      <c r="H1" s="75" t="s">
        <v>388</v>
      </c>
      <c r="I1" s="75" t="s">
        <v>388</v>
      </c>
      <c r="M1" s="75" t="s">
        <v>50</v>
      </c>
      <c r="N1" s="75" t="s">
        <v>50</v>
      </c>
      <c r="O1" s="75" t="s">
        <v>392</v>
      </c>
      <c r="Q1" s="75" t="s">
        <v>313</v>
      </c>
      <c r="S1" s="75" t="s">
        <v>480</v>
      </c>
      <c r="U1" s="75" t="s">
        <v>100</v>
      </c>
      <c r="V1" s="75" t="s">
        <v>289</v>
      </c>
      <c r="W1" s="75" t="s">
        <v>290</v>
      </c>
      <c r="X1" s="75" t="s">
        <v>291</v>
      </c>
      <c r="Y1" s="75" t="s">
        <v>292</v>
      </c>
      <c r="Z1" s="75" t="s">
        <v>81</v>
      </c>
      <c r="AA1" s="75" t="s">
        <v>81</v>
      </c>
      <c r="AB1" s="75" t="s">
        <v>81</v>
      </c>
      <c r="AC1" s="76" t="s">
        <v>637</v>
      </c>
      <c r="AD1" s="76" t="s">
        <v>637</v>
      </c>
      <c r="AE1" s="76" t="s">
        <v>639</v>
      </c>
      <c r="AF1" s="75" t="s">
        <v>652</v>
      </c>
      <c r="AG1" s="75" t="s">
        <v>652</v>
      </c>
      <c r="AH1" s="75" t="s">
        <v>654</v>
      </c>
      <c r="AI1" s="75" t="s">
        <v>648</v>
      </c>
      <c r="AJ1" s="75" t="s">
        <v>648</v>
      </c>
      <c r="AK1" s="75" t="s">
        <v>674</v>
      </c>
      <c r="AL1" s="75" t="s">
        <v>668</v>
      </c>
      <c r="AM1" s="75" t="s">
        <v>668</v>
      </c>
      <c r="AN1" s="75" t="s">
        <v>1576</v>
      </c>
      <c r="AO1" s="75" t="s">
        <v>1586</v>
      </c>
      <c r="AP1" s="75" t="s">
        <v>1586</v>
      </c>
      <c r="AQ1" s="75" t="s">
        <v>1593</v>
      </c>
      <c r="AR1" s="75" t="s">
        <v>2102</v>
      </c>
      <c r="AS1" s="75" t="s">
        <v>2102</v>
      </c>
      <c r="AT1" s="75" t="s">
        <v>2203</v>
      </c>
      <c r="AU1" s="75" t="s">
        <v>2204</v>
      </c>
      <c r="AV1" s="75" t="s">
        <v>2204</v>
      </c>
      <c r="AW1" s="75" t="s">
        <v>2204</v>
      </c>
      <c r="AX1" s="319" t="s">
        <v>2174</v>
      </c>
      <c r="AY1" s="319" t="s">
        <v>2174</v>
      </c>
      <c r="AZ1" s="319" t="s">
        <v>2174</v>
      </c>
      <c r="BA1" s="319" t="s">
        <v>2218</v>
      </c>
      <c r="BB1" s="319" t="s">
        <v>2218</v>
      </c>
      <c r="BC1" s="319" t="s">
        <v>2218</v>
      </c>
      <c r="BD1" s="319" t="s">
        <v>2240</v>
      </c>
      <c r="BE1" s="319" t="s">
        <v>2240</v>
      </c>
      <c r="BF1" s="319" t="s">
        <v>2240</v>
      </c>
      <c r="BG1" s="319" t="s">
        <v>2295</v>
      </c>
      <c r="BH1" s="319" t="s">
        <v>2295</v>
      </c>
      <c r="BI1" s="474" t="s">
        <v>2296</v>
      </c>
      <c r="BJ1" s="319" t="s">
        <v>2316</v>
      </c>
      <c r="BK1" s="319" t="s">
        <v>2316</v>
      </c>
      <c r="BL1" s="319" t="s">
        <v>2316</v>
      </c>
    </row>
    <row r="2" spans="1:73" s="77" customFormat="1">
      <c r="C2" s="12"/>
      <c r="AX2" s="320"/>
      <c r="AY2" s="320"/>
      <c r="AZ2" s="320"/>
      <c r="BA2" s="320"/>
      <c r="BB2" s="320"/>
      <c r="BC2" s="320"/>
      <c r="BD2" s="320"/>
      <c r="BE2" s="320"/>
      <c r="BF2" s="320"/>
      <c r="BG2" s="320"/>
      <c r="BH2" s="320"/>
      <c r="BI2" s="320"/>
      <c r="BJ2" s="320"/>
      <c r="BK2" s="320"/>
      <c r="BL2" s="320"/>
      <c r="BS2" s="6"/>
    </row>
    <row r="3" spans="1:73">
      <c r="A3" s="6">
        <v>1</v>
      </c>
      <c r="B3" s="6">
        <v>2</v>
      </c>
      <c r="C3" s="6">
        <v>3</v>
      </c>
      <c r="D3" s="6">
        <v>4</v>
      </c>
      <c r="E3" s="6">
        <v>5</v>
      </c>
      <c r="F3" s="6">
        <v>6</v>
      </c>
      <c r="G3" s="6">
        <v>7</v>
      </c>
      <c r="H3" s="6">
        <v>8</v>
      </c>
      <c r="I3" s="6">
        <v>9</v>
      </c>
      <c r="J3" s="6">
        <v>10</v>
      </c>
      <c r="K3" s="6">
        <v>11</v>
      </c>
      <c r="L3" s="6">
        <v>12</v>
      </c>
      <c r="M3" s="6">
        <v>13</v>
      </c>
      <c r="N3" s="6">
        <v>14</v>
      </c>
      <c r="O3" s="6">
        <v>15</v>
      </c>
      <c r="P3" s="6">
        <v>16</v>
      </c>
      <c r="Q3" s="6">
        <v>17</v>
      </c>
      <c r="R3" s="6">
        <v>18</v>
      </c>
      <c r="S3" s="6">
        <v>19</v>
      </c>
      <c r="T3" s="6">
        <v>20</v>
      </c>
      <c r="U3" s="6">
        <v>21</v>
      </c>
      <c r="V3" s="6">
        <v>22</v>
      </c>
      <c r="W3" s="6">
        <v>23</v>
      </c>
      <c r="X3" s="6">
        <v>24</v>
      </c>
      <c r="Y3" s="6">
        <v>25</v>
      </c>
      <c r="Z3" s="6">
        <v>26</v>
      </c>
      <c r="AA3" s="6">
        <v>27</v>
      </c>
      <c r="AB3" s="6">
        <v>28</v>
      </c>
      <c r="AC3" s="6">
        <v>29</v>
      </c>
      <c r="AD3" s="6">
        <v>30</v>
      </c>
      <c r="AE3" s="6">
        <v>31</v>
      </c>
      <c r="AF3" s="6">
        <v>32</v>
      </c>
      <c r="AG3" s="6">
        <v>33</v>
      </c>
      <c r="AH3" s="6">
        <v>34</v>
      </c>
      <c r="AI3" s="6">
        <v>35</v>
      </c>
      <c r="AJ3" s="6">
        <v>36</v>
      </c>
      <c r="AK3" s="6">
        <v>37</v>
      </c>
      <c r="AL3" s="6">
        <v>38</v>
      </c>
      <c r="AM3" s="6">
        <v>39</v>
      </c>
      <c r="AN3" s="6">
        <v>40</v>
      </c>
      <c r="AO3" s="6">
        <v>41</v>
      </c>
      <c r="AP3" s="6">
        <v>42</v>
      </c>
      <c r="AQ3" s="6">
        <v>43</v>
      </c>
      <c r="AR3" s="6">
        <v>44</v>
      </c>
      <c r="AS3" s="6">
        <v>45</v>
      </c>
      <c r="AT3" s="6">
        <v>46</v>
      </c>
      <c r="AU3" s="7">
        <v>47</v>
      </c>
      <c r="AV3" s="7">
        <f>AU3+1</f>
        <v>48</v>
      </c>
      <c r="AW3" s="7">
        <f t="shared" ref="AW3" si="0">AV3+1</f>
        <v>49</v>
      </c>
      <c r="AX3" s="7">
        <v>50</v>
      </c>
      <c r="AY3" s="7">
        <v>51</v>
      </c>
      <c r="AZ3" s="7">
        <v>52</v>
      </c>
      <c r="BA3" s="7">
        <v>53</v>
      </c>
      <c r="BB3" s="7">
        <v>54</v>
      </c>
      <c r="BC3" s="7">
        <v>55</v>
      </c>
      <c r="BD3" s="7">
        <v>56</v>
      </c>
      <c r="BE3" s="7">
        <v>57</v>
      </c>
      <c r="BF3" s="7">
        <v>58</v>
      </c>
      <c r="BG3" s="7">
        <v>59</v>
      </c>
      <c r="BH3" s="7">
        <v>60</v>
      </c>
      <c r="BI3" s="7">
        <v>61</v>
      </c>
      <c r="BJ3" s="7">
        <v>62</v>
      </c>
      <c r="BK3" s="7">
        <v>63</v>
      </c>
      <c r="BL3" s="7">
        <v>64</v>
      </c>
      <c r="BM3" s="7"/>
      <c r="BN3" s="7"/>
      <c r="BO3" s="7"/>
      <c r="BP3" s="7"/>
      <c r="BQ3" s="7"/>
      <c r="BR3" s="7"/>
      <c r="BS3" s="7"/>
      <c r="BT3" s="7"/>
      <c r="BU3" s="7"/>
    </row>
    <row r="4" spans="1:73" s="12" customFormat="1">
      <c r="AW4" s="85"/>
      <c r="BS4" s="6"/>
      <c r="BT4" s="6"/>
    </row>
    <row r="5" spans="1:73" s="12" customFormat="1">
      <c r="E5" s="10"/>
      <c r="AX5" s="383"/>
      <c r="AY5" s="383"/>
      <c r="AZ5" s="383"/>
      <c r="BA5" s="85"/>
      <c r="BB5" s="85"/>
      <c r="BC5" s="85"/>
      <c r="BD5" s="85"/>
      <c r="BE5" s="85"/>
      <c r="BF5" s="85"/>
      <c r="BG5" s="85"/>
      <c r="BH5" s="85"/>
      <c r="BI5" s="85"/>
      <c r="BJ5" s="85"/>
      <c r="BK5" s="85"/>
      <c r="BL5" s="85"/>
    </row>
    <row r="6" spans="1:73" s="12" customFormat="1">
      <c r="AX6" s="85"/>
      <c r="AY6" s="85"/>
      <c r="AZ6" s="85"/>
      <c r="BA6" s="85"/>
      <c r="BB6" s="85"/>
      <c r="BC6" s="85"/>
      <c r="BD6" s="85"/>
      <c r="BE6" s="85"/>
      <c r="BF6" s="85"/>
      <c r="BG6" s="85"/>
      <c r="BH6" s="85"/>
      <c r="BI6" s="85"/>
      <c r="BJ6" s="85"/>
      <c r="BK6" s="85"/>
      <c r="BL6" s="85"/>
    </row>
    <row r="7" spans="1:73" s="12" customFormat="1">
      <c r="A7" s="15"/>
      <c r="C7" s="12" t="s">
        <v>1600</v>
      </c>
      <c r="E7" s="12" t="s">
        <v>133</v>
      </c>
      <c r="G7" s="12" t="s">
        <v>615</v>
      </c>
      <c r="H7" s="12" t="s">
        <v>132</v>
      </c>
      <c r="I7" s="12" t="s">
        <v>387</v>
      </c>
      <c r="J7" s="12" t="s">
        <v>615</v>
      </c>
      <c r="K7" s="12" t="s">
        <v>132</v>
      </c>
      <c r="L7" s="12" t="s">
        <v>90</v>
      </c>
      <c r="M7" s="12" t="s">
        <v>615</v>
      </c>
      <c r="N7" s="12" t="s">
        <v>132</v>
      </c>
      <c r="O7" s="12" t="s">
        <v>229</v>
      </c>
      <c r="Q7" s="12" t="s">
        <v>615</v>
      </c>
      <c r="R7" s="12" t="s">
        <v>132</v>
      </c>
      <c r="S7" s="12" t="s">
        <v>229</v>
      </c>
      <c r="U7" s="12" t="s">
        <v>615</v>
      </c>
      <c r="V7" s="12" t="s">
        <v>132</v>
      </c>
      <c r="Y7" s="12" t="s">
        <v>479</v>
      </c>
      <c r="Z7" s="12" t="s">
        <v>615</v>
      </c>
      <c r="AA7" s="12" t="s">
        <v>132</v>
      </c>
      <c r="AC7" s="12" t="s">
        <v>615</v>
      </c>
      <c r="AD7" s="12" t="s">
        <v>132</v>
      </c>
      <c r="AF7" s="12" t="s">
        <v>615</v>
      </c>
      <c r="AG7" s="12" t="s">
        <v>132</v>
      </c>
      <c r="AI7" s="12" t="s">
        <v>615</v>
      </c>
      <c r="AJ7" s="12" t="s">
        <v>132</v>
      </c>
      <c r="AL7" s="12" t="s">
        <v>615</v>
      </c>
      <c r="AM7" s="12" t="s">
        <v>132</v>
      </c>
      <c r="AO7" s="12" t="s">
        <v>615</v>
      </c>
      <c r="AP7" s="12" t="s">
        <v>132</v>
      </c>
      <c r="AR7" s="12" t="s">
        <v>615</v>
      </c>
      <c r="AS7" s="12" t="s">
        <v>132</v>
      </c>
      <c r="AU7" s="12" t="s">
        <v>615</v>
      </c>
      <c r="AV7" s="12" t="s">
        <v>132</v>
      </c>
      <c r="AX7" s="12" t="s">
        <v>615</v>
      </c>
      <c r="AY7" s="12" t="s">
        <v>132</v>
      </c>
      <c r="BA7" s="12" t="s">
        <v>615</v>
      </c>
      <c r="BB7" s="12" t="s">
        <v>132</v>
      </c>
      <c r="BD7" s="12" t="s">
        <v>615</v>
      </c>
      <c r="BE7" s="12" t="s">
        <v>132</v>
      </c>
      <c r="BG7" s="12" t="s">
        <v>615</v>
      </c>
      <c r="BH7" s="12" t="s">
        <v>132</v>
      </c>
      <c r="BJ7" s="12" t="s">
        <v>615</v>
      </c>
      <c r="BK7" s="12" t="s">
        <v>132</v>
      </c>
    </row>
    <row r="8" spans="1:73" s="12" customFormat="1">
      <c r="A8" s="15"/>
      <c r="C8" s="12" t="s">
        <v>1594</v>
      </c>
      <c r="D8" s="12" t="s">
        <v>108</v>
      </c>
      <c r="E8" s="12" t="s">
        <v>110</v>
      </c>
      <c r="F8" s="12" t="s">
        <v>599</v>
      </c>
      <c r="G8" s="12" t="s">
        <v>617</v>
      </c>
      <c r="H8" s="12" t="s">
        <v>618</v>
      </c>
      <c r="I8" s="12" t="s">
        <v>229</v>
      </c>
      <c r="J8" s="12" t="s">
        <v>617</v>
      </c>
      <c r="K8" s="12" t="s">
        <v>618</v>
      </c>
      <c r="L8" s="12" t="s">
        <v>229</v>
      </c>
      <c r="M8" s="12" t="s">
        <v>617</v>
      </c>
      <c r="N8" s="12" t="s">
        <v>618</v>
      </c>
      <c r="O8" s="12" t="s">
        <v>225</v>
      </c>
      <c r="P8" s="12" t="s">
        <v>176</v>
      </c>
      <c r="Q8" s="12" t="s">
        <v>617</v>
      </c>
      <c r="R8" s="12" t="s">
        <v>618</v>
      </c>
      <c r="S8" s="12" t="s">
        <v>225</v>
      </c>
      <c r="T8" s="12" t="s">
        <v>465</v>
      </c>
      <c r="U8" s="12" t="s">
        <v>617</v>
      </c>
      <c r="V8" s="12" t="s">
        <v>618</v>
      </c>
      <c r="W8" s="12" t="s">
        <v>400</v>
      </c>
      <c r="X8" s="12" t="s">
        <v>51</v>
      </c>
      <c r="Y8" s="12" t="s">
        <v>109</v>
      </c>
      <c r="Z8" s="12" t="s">
        <v>617</v>
      </c>
      <c r="AA8" s="12" t="s">
        <v>618</v>
      </c>
      <c r="AB8" s="12" t="s">
        <v>400</v>
      </c>
      <c r="AC8" s="12" t="s">
        <v>617</v>
      </c>
      <c r="AD8" s="12" t="s">
        <v>618</v>
      </c>
      <c r="AE8" s="12" t="s">
        <v>400</v>
      </c>
      <c r="AF8" s="12" t="s">
        <v>617</v>
      </c>
      <c r="AG8" s="12" t="s">
        <v>618</v>
      </c>
      <c r="AH8" s="12" t="s">
        <v>400</v>
      </c>
      <c r="AI8" s="12" t="s">
        <v>617</v>
      </c>
      <c r="AJ8" s="12" t="s">
        <v>618</v>
      </c>
      <c r="AK8" s="12" t="s">
        <v>400</v>
      </c>
      <c r="AL8" s="12" t="s">
        <v>617</v>
      </c>
      <c r="AM8" s="12" t="s">
        <v>618</v>
      </c>
      <c r="AN8" s="12" t="s">
        <v>400</v>
      </c>
      <c r="AO8" s="78" t="s">
        <v>617</v>
      </c>
      <c r="AP8" s="12" t="s">
        <v>618</v>
      </c>
      <c r="AQ8" s="12" t="s">
        <v>400</v>
      </c>
      <c r="AR8" s="78" t="s">
        <v>617</v>
      </c>
      <c r="AS8" s="12" t="s">
        <v>618</v>
      </c>
      <c r="AT8" s="12" t="s">
        <v>400</v>
      </c>
      <c r="AU8" s="78" t="s">
        <v>617</v>
      </c>
      <c r="AV8" s="12" t="s">
        <v>618</v>
      </c>
      <c r="AW8" s="12" t="s">
        <v>400</v>
      </c>
      <c r="AX8" s="78" t="s">
        <v>617</v>
      </c>
      <c r="AY8" s="12" t="s">
        <v>618</v>
      </c>
      <c r="AZ8" s="12" t="s">
        <v>400</v>
      </c>
      <c r="BA8" s="78" t="s">
        <v>617</v>
      </c>
      <c r="BB8" s="12" t="s">
        <v>618</v>
      </c>
      <c r="BC8" s="12" t="s">
        <v>400</v>
      </c>
      <c r="BD8" s="78" t="s">
        <v>617</v>
      </c>
      <c r="BE8" s="12" t="s">
        <v>618</v>
      </c>
      <c r="BF8" s="12" t="s">
        <v>400</v>
      </c>
      <c r="BG8" s="78" t="s">
        <v>617</v>
      </c>
      <c r="BH8" s="12" t="s">
        <v>618</v>
      </c>
      <c r="BI8" s="12" t="s">
        <v>400</v>
      </c>
      <c r="BJ8" s="78" t="s">
        <v>617</v>
      </c>
      <c r="BK8" s="12" t="s">
        <v>618</v>
      </c>
      <c r="BL8" s="12" t="s">
        <v>400</v>
      </c>
      <c r="BM8" s="78"/>
      <c r="BP8" s="78"/>
      <c r="BS8" s="78"/>
    </row>
    <row r="9" spans="1:73">
      <c r="A9" s="10" t="s">
        <v>57</v>
      </c>
      <c r="B9" s="15" t="s">
        <v>594</v>
      </c>
      <c r="C9" s="78" t="s">
        <v>2294</v>
      </c>
      <c r="D9" s="12" t="s">
        <v>386</v>
      </c>
      <c r="E9" s="12" t="s">
        <v>386</v>
      </c>
      <c r="F9" s="12" t="s">
        <v>386</v>
      </c>
      <c r="G9" s="78" t="s">
        <v>387</v>
      </c>
      <c r="H9" s="78" t="s">
        <v>387</v>
      </c>
      <c r="I9" s="78" t="s">
        <v>225</v>
      </c>
      <c r="J9" s="12" t="s">
        <v>90</v>
      </c>
      <c r="K9" s="78" t="s">
        <v>90</v>
      </c>
      <c r="L9" s="78" t="s">
        <v>225</v>
      </c>
      <c r="M9" s="12" t="s">
        <v>469</v>
      </c>
      <c r="N9" s="78" t="s">
        <v>469</v>
      </c>
      <c r="O9" s="78" t="s">
        <v>469</v>
      </c>
      <c r="P9" s="78" t="s">
        <v>177</v>
      </c>
      <c r="Q9" s="12" t="s">
        <v>465</v>
      </c>
      <c r="R9" s="78" t="s">
        <v>465</v>
      </c>
      <c r="S9" s="78" t="s">
        <v>465</v>
      </c>
      <c r="T9" s="78" t="s">
        <v>51</v>
      </c>
      <c r="U9" s="78" t="s">
        <v>101</v>
      </c>
      <c r="V9" s="78" t="s">
        <v>101</v>
      </c>
      <c r="W9" s="78" t="s">
        <v>101</v>
      </c>
      <c r="X9" s="12" t="s">
        <v>101</v>
      </c>
      <c r="Y9" s="12" t="s">
        <v>101</v>
      </c>
      <c r="Z9" s="78" t="s">
        <v>390</v>
      </c>
      <c r="AA9" s="78" t="s">
        <v>390</v>
      </c>
      <c r="AB9" s="78" t="s">
        <v>390</v>
      </c>
      <c r="AC9" s="78" t="s">
        <v>79</v>
      </c>
      <c r="AD9" s="78" t="s">
        <v>79</v>
      </c>
      <c r="AE9" s="78" t="s">
        <v>79</v>
      </c>
      <c r="AF9" s="78" t="s">
        <v>634</v>
      </c>
      <c r="AG9" s="78" t="s">
        <v>634</v>
      </c>
      <c r="AH9" s="78" t="s">
        <v>634</v>
      </c>
      <c r="AI9" s="78" t="s">
        <v>649</v>
      </c>
      <c r="AJ9" s="78" t="s">
        <v>649</v>
      </c>
      <c r="AK9" s="78" t="s">
        <v>649</v>
      </c>
      <c r="AL9" s="78" t="s">
        <v>669</v>
      </c>
      <c r="AM9" s="78" t="s">
        <v>669</v>
      </c>
      <c r="AN9" s="78" t="s">
        <v>669</v>
      </c>
      <c r="AO9" s="78" t="s">
        <v>675</v>
      </c>
      <c r="AP9" s="78" t="s">
        <v>675</v>
      </c>
      <c r="AQ9" s="78" t="s">
        <v>675</v>
      </c>
      <c r="AR9" s="78" t="s">
        <v>1585</v>
      </c>
      <c r="AS9" s="78" t="s">
        <v>1585</v>
      </c>
      <c r="AT9" s="78" t="s">
        <v>1585</v>
      </c>
      <c r="AU9" s="12" t="s">
        <v>2103</v>
      </c>
      <c r="AV9" s="12" t="s">
        <v>2103</v>
      </c>
      <c r="AW9" s="12" t="s">
        <v>2103</v>
      </c>
      <c r="AX9" s="12" t="s">
        <v>2117</v>
      </c>
      <c r="AY9" s="12" t="s">
        <v>2117</v>
      </c>
      <c r="AZ9" s="12" t="s">
        <v>2117</v>
      </c>
      <c r="BA9" s="12" t="s">
        <v>2173</v>
      </c>
      <c r="BB9" s="12" t="s">
        <v>2173</v>
      </c>
      <c r="BC9" s="12" t="s">
        <v>2173</v>
      </c>
      <c r="BD9" s="12" t="s">
        <v>2217</v>
      </c>
      <c r="BE9" s="12" t="s">
        <v>2217</v>
      </c>
      <c r="BF9" s="12" t="s">
        <v>2217</v>
      </c>
      <c r="BG9" s="12" t="s">
        <v>2239</v>
      </c>
      <c r="BH9" s="12" t="s">
        <v>2239</v>
      </c>
      <c r="BI9" s="12" t="s">
        <v>2239</v>
      </c>
      <c r="BJ9" s="12" t="s">
        <v>2294</v>
      </c>
      <c r="BK9" s="12" t="s">
        <v>2294</v>
      </c>
      <c r="BL9" s="12" t="s">
        <v>2294</v>
      </c>
      <c r="BM9" s="12"/>
      <c r="BN9" s="12"/>
      <c r="BO9" s="12"/>
      <c r="BP9" s="12"/>
      <c r="BQ9" s="12"/>
      <c r="BR9" s="12"/>
      <c r="BS9" s="12"/>
      <c r="BT9" s="12"/>
      <c r="BU9" s="12"/>
    </row>
    <row r="10" spans="1:73" ht="23.25" customHeight="1">
      <c r="A10" s="6">
        <v>1</v>
      </c>
      <c r="B10" s="6" t="s">
        <v>1120</v>
      </c>
      <c r="C10" s="421">
        <v>39.92</v>
      </c>
      <c r="D10" s="9">
        <v>16523760</v>
      </c>
      <c r="E10" s="33">
        <v>10191983</v>
      </c>
      <c r="F10" s="9">
        <v>6869653</v>
      </c>
      <c r="G10" s="9">
        <v>17243088.48</v>
      </c>
      <c r="H10" s="9">
        <v>10835090</v>
      </c>
      <c r="I10" s="9">
        <v>7152781</v>
      </c>
      <c r="J10" s="9">
        <v>18063555.577898104</v>
      </c>
      <c r="K10" s="9">
        <v>11492886</v>
      </c>
      <c r="L10" s="9">
        <v>7448806</v>
      </c>
      <c r="M10" s="9">
        <v>19020902.029999997</v>
      </c>
      <c r="N10" s="9">
        <v>11903143</v>
      </c>
      <c r="O10" s="9">
        <v>6987394</v>
      </c>
      <c r="P10" s="9">
        <v>821183</v>
      </c>
      <c r="Q10" s="9">
        <v>19474318.639892824</v>
      </c>
      <c r="R10" s="9">
        <v>12084604</v>
      </c>
      <c r="S10" s="9">
        <v>7652405</v>
      </c>
      <c r="T10" s="9">
        <v>0</v>
      </c>
      <c r="U10" s="9">
        <v>18226050.298500001</v>
      </c>
      <c r="V10" s="9">
        <v>11741657</v>
      </c>
      <c r="W10" s="9">
        <v>7205352</v>
      </c>
      <c r="X10" s="9">
        <v>38682</v>
      </c>
      <c r="Y10" s="9">
        <v>462271</v>
      </c>
      <c r="Z10" s="9">
        <v>17359608.879999999</v>
      </c>
      <c r="AA10" s="9">
        <v>12056554</v>
      </c>
      <c r="AB10" s="9">
        <v>7244034</v>
      </c>
      <c r="AC10" s="9">
        <v>18273059.900000002</v>
      </c>
      <c r="AD10" s="9">
        <v>12498017</v>
      </c>
      <c r="AE10" s="9">
        <v>7324394</v>
      </c>
      <c r="AF10" s="9">
        <v>18967492.810000002</v>
      </c>
      <c r="AG10" s="9">
        <v>13020494</v>
      </c>
      <c r="AH10" s="9">
        <v>7374594</v>
      </c>
      <c r="AI10" s="9">
        <v>18287521.510000002</v>
      </c>
      <c r="AJ10" s="9">
        <v>12943494</v>
      </c>
      <c r="AK10" s="28">
        <v>7423394</v>
      </c>
      <c r="AL10" s="9">
        <v>18870910.490000002</v>
      </c>
      <c r="AM10" s="9">
        <v>13029356</v>
      </c>
      <c r="AN10" s="28">
        <v>7472269</v>
      </c>
      <c r="AO10" s="9">
        <v>19481152.105999999</v>
      </c>
      <c r="AP10" s="9">
        <v>12843377</v>
      </c>
      <c r="AQ10" s="28">
        <v>7579849</v>
      </c>
      <c r="AR10" s="9">
        <v>19699144.432921756</v>
      </c>
      <c r="AS10" s="9">
        <v>12922903</v>
      </c>
      <c r="AT10" s="28">
        <v>7637749</v>
      </c>
      <c r="AU10" s="9">
        <v>21515960.214600004</v>
      </c>
      <c r="AV10" s="9">
        <v>13701008</v>
      </c>
      <c r="AW10" s="9">
        <v>7816931</v>
      </c>
      <c r="AX10" s="9">
        <v>23388476.609717574</v>
      </c>
      <c r="AY10" s="9">
        <v>14463601</v>
      </c>
      <c r="AZ10" s="28">
        <v>8933994</v>
      </c>
      <c r="BA10" s="9">
        <v>25332546.714959998</v>
      </c>
      <c r="BB10" s="9">
        <v>15287069</v>
      </c>
      <c r="BC10" s="9">
        <v>10045478</v>
      </c>
      <c r="BD10" s="9">
        <v>26529795.66124</v>
      </c>
      <c r="BE10" s="9">
        <v>15771170</v>
      </c>
      <c r="BF10" s="9">
        <v>10858340</v>
      </c>
      <c r="BG10" s="9">
        <v>29563170.916989997</v>
      </c>
      <c r="BH10" s="9">
        <v>16599047</v>
      </c>
      <c r="BI10" s="9">
        <v>12964124</v>
      </c>
      <c r="BJ10" s="9">
        <v>31287579.078960005</v>
      </c>
      <c r="BK10" s="9">
        <v>17104459</v>
      </c>
      <c r="BL10" s="9">
        <v>14183120</v>
      </c>
      <c r="BM10" s="9"/>
      <c r="BN10" s="9"/>
      <c r="BO10" s="9"/>
      <c r="BP10" s="9"/>
      <c r="BQ10" s="9"/>
      <c r="BR10" s="9"/>
      <c r="BS10" s="9"/>
      <c r="BT10" s="9"/>
      <c r="BU10" s="9"/>
    </row>
    <row r="11" spans="1:73">
      <c r="A11" s="6">
        <v>2</v>
      </c>
      <c r="B11" s="6" t="s">
        <v>1121</v>
      </c>
      <c r="C11" s="421">
        <v>17.5</v>
      </c>
      <c r="D11" s="9">
        <v>16798342</v>
      </c>
      <c r="E11" s="33">
        <v>14323943</v>
      </c>
      <c r="F11" s="9">
        <v>2723714</v>
      </c>
      <c r="G11" s="9">
        <v>17472326.599199999</v>
      </c>
      <c r="H11" s="9">
        <v>14258025</v>
      </c>
      <c r="I11" s="9">
        <v>3214302</v>
      </c>
      <c r="J11" s="9">
        <v>18387597.604836155</v>
      </c>
      <c r="K11" s="9">
        <v>14103803</v>
      </c>
      <c r="L11" s="9">
        <v>4283795</v>
      </c>
      <c r="M11" s="9">
        <v>19355313.269600004</v>
      </c>
      <c r="N11" s="9">
        <v>14127172</v>
      </c>
      <c r="O11" s="9">
        <v>4678327</v>
      </c>
      <c r="P11" s="9">
        <v>549814</v>
      </c>
      <c r="Q11" s="9">
        <v>19717633.622768261</v>
      </c>
      <c r="R11" s="9">
        <v>14236925</v>
      </c>
      <c r="S11" s="9">
        <v>5123578</v>
      </c>
      <c r="T11" s="9">
        <v>357131</v>
      </c>
      <c r="U11" s="9">
        <v>19649104.540190399</v>
      </c>
      <c r="V11" s="9">
        <v>14516319</v>
      </c>
      <c r="W11" s="9">
        <v>5160527</v>
      </c>
      <c r="X11" s="9">
        <v>27704</v>
      </c>
      <c r="Y11" s="9">
        <v>353078</v>
      </c>
      <c r="Z11" s="9">
        <v>19614092.674799997</v>
      </c>
      <c r="AA11" s="9">
        <v>14543128</v>
      </c>
      <c r="AB11" s="9">
        <v>5188231</v>
      </c>
      <c r="AC11" s="9">
        <v>20151482.417030003</v>
      </c>
      <c r="AD11" s="9">
        <v>14761130</v>
      </c>
      <c r="AE11" s="9">
        <v>5537500.2082832009</v>
      </c>
      <c r="AF11" s="9">
        <v>13308</v>
      </c>
      <c r="AG11" s="9">
        <v>9807</v>
      </c>
      <c r="AH11" s="9">
        <v>1699</v>
      </c>
      <c r="AI11" s="9">
        <v>0</v>
      </c>
      <c r="AJ11" s="9">
        <v>0</v>
      </c>
      <c r="AK11" s="28">
        <v>0</v>
      </c>
      <c r="AL11" s="9">
        <v>0</v>
      </c>
      <c r="AM11" s="9">
        <v>0</v>
      </c>
      <c r="AN11" s="28">
        <v>0</v>
      </c>
      <c r="AO11" s="9">
        <v>0</v>
      </c>
      <c r="AP11" s="9">
        <v>0</v>
      </c>
      <c r="AQ11" s="28">
        <v>0</v>
      </c>
      <c r="AR11" s="9">
        <v>0</v>
      </c>
      <c r="AS11" s="9">
        <v>0</v>
      </c>
      <c r="AT11" s="28">
        <v>0</v>
      </c>
      <c r="AU11" s="9">
        <v>0</v>
      </c>
      <c r="AV11" s="9">
        <v>0</v>
      </c>
      <c r="AW11" s="9">
        <v>0</v>
      </c>
      <c r="AX11" s="9">
        <v>0</v>
      </c>
      <c r="AY11" s="9">
        <v>0</v>
      </c>
      <c r="AZ11" s="28">
        <v>0</v>
      </c>
      <c r="BA11" s="9">
        <v>0</v>
      </c>
      <c r="BB11" s="9">
        <v>0</v>
      </c>
      <c r="BC11" s="9">
        <v>0</v>
      </c>
      <c r="BD11" s="9">
        <v>0</v>
      </c>
      <c r="BE11" s="9">
        <v>0</v>
      </c>
      <c r="BF11" s="9">
        <v>0</v>
      </c>
      <c r="BG11" s="9">
        <v>0</v>
      </c>
      <c r="BH11" s="9">
        <v>0</v>
      </c>
      <c r="BI11" s="9">
        <v>0</v>
      </c>
      <c r="BJ11" s="9">
        <v>0</v>
      </c>
      <c r="BK11" s="9">
        <v>0</v>
      </c>
      <c r="BL11" s="9">
        <v>0</v>
      </c>
      <c r="BM11" s="9"/>
      <c r="BN11" s="9"/>
      <c r="BO11" s="9"/>
      <c r="BP11" s="9"/>
      <c r="BQ11" s="9"/>
      <c r="BR11" s="9"/>
      <c r="BS11" s="9"/>
      <c r="BT11" s="9"/>
      <c r="BU11" s="9"/>
    </row>
    <row r="12" spans="1:73">
      <c r="A12" s="6">
        <v>3</v>
      </c>
      <c r="B12" s="6" t="s">
        <v>1122</v>
      </c>
      <c r="C12" s="421">
        <v>38.200000000000003</v>
      </c>
      <c r="D12" s="9">
        <v>10752617</v>
      </c>
      <c r="E12" s="33">
        <v>4702995</v>
      </c>
      <c r="F12" s="9">
        <v>6049622</v>
      </c>
      <c r="G12" s="9">
        <v>10925643.810000001</v>
      </c>
      <c r="H12" s="9">
        <v>5021780</v>
      </c>
      <c r="I12" s="9">
        <v>6138021</v>
      </c>
      <c r="J12" s="9">
        <v>10761756.058842914</v>
      </c>
      <c r="K12" s="9">
        <v>5158813</v>
      </c>
      <c r="L12" s="9">
        <v>6206921</v>
      </c>
      <c r="M12" s="9">
        <v>11395406.830000002</v>
      </c>
      <c r="N12" s="9">
        <v>5414309</v>
      </c>
      <c r="O12" s="9">
        <v>5825831</v>
      </c>
      <c r="P12" s="9">
        <v>684672</v>
      </c>
      <c r="Q12" s="9">
        <v>11223341.565244021</v>
      </c>
      <c r="R12" s="9">
        <v>5326164</v>
      </c>
      <c r="S12" s="9">
        <v>6380293</v>
      </c>
      <c r="T12" s="9">
        <v>0</v>
      </c>
      <c r="U12" s="9">
        <v>10323398.130179999</v>
      </c>
      <c r="V12" s="9">
        <v>5401579</v>
      </c>
      <c r="W12" s="9">
        <v>6007556</v>
      </c>
      <c r="X12" s="9">
        <v>32251</v>
      </c>
      <c r="Y12" s="9">
        <v>371236</v>
      </c>
      <c r="Z12" s="9">
        <v>10560494.92</v>
      </c>
      <c r="AA12" s="9">
        <v>5591539</v>
      </c>
      <c r="AB12" s="9">
        <v>6039807</v>
      </c>
      <c r="AC12" s="9">
        <v>10945583.299999999</v>
      </c>
      <c r="AD12" s="9">
        <v>5840331</v>
      </c>
      <c r="AE12" s="9">
        <v>6088327</v>
      </c>
      <c r="AF12" s="9">
        <v>11227244.859999999</v>
      </c>
      <c r="AG12" s="9">
        <v>6098928</v>
      </c>
      <c r="AH12" s="9">
        <v>6118877</v>
      </c>
      <c r="AI12" s="9">
        <v>11538501.129999999</v>
      </c>
      <c r="AJ12" s="9">
        <v>6393318</v>
      </c>
      <c r="AK12" s="28">
        <v>6150152</v>
      </c>
      <c r="AL12" s="9">
        <v>11701370.220000003</v>
      </c>
      <c r="AM12" s="9">
        <v>6720092</v>
      </c>
      <c r="AN12" s="28">
        <v>6181252</v>
      </c>
      <c r="AO12" s="9">
        <v>11862468.339999998</v>
      </c>
      <c r="AP12" s="9">
        <v>6851396</v>
      </c>
      <c r="AQ12" s="28">
        <v>6250222</v>
      </c>
      <c r="AR12" s="9">
        <v>11736546.345857544</v>
      </c>
      <c r="AS12" s="9">
        <v>6867294</v>
      </c>
      <c r="AT12" s="28">
        <v>6286522</v>
      </c>
      <c r="AU12" s="9">
        <v>12395984.840000002</v>
      </c>
      <c r="AV12" s="9">
        <v>7125126</v>
      </c>
      <c r="AW12" s="9">
        <v>6323332</v>
      </c>
      <c r="AX12" s="9">
        <v>13443441.482329441</v>
      </c>
      <c r="AY12" s="9">
        <v>7498601</v>
      </c>
      <c r="AZ12" s="28">
        <v>6361492</v>
      </c>
      <c r="BA12" s="9">
        <v>13990412.9</v>
      </c>
      <c r="BB12" s="9">
        <v>7889510</v>
      </c>
      <c r="BC12" s="9">
        <v>6361492</v>
      </c>
      <c r="BD12" s="9">
        <v>13489100.060000001</v>
      </c>
      <c r="BE12" s="9">
        <v>7882117</v>
      </c>
      <c r="BF12" s="9">
        <v>6397702</v>
      </c>
      <c r="BG12" s="9">
        <v>14410940.639999999</v>
      </c>
      <c r="BH12" s="9">
        <v>8355453</v>
      </c>
      <c r="BI12" s="9">
        <v>6469222</v>
      </c>
      <c r="BJ12" s="9">
        <v>15911255.389999999</v>
      </c>
      <c r="BK12" s="9">
        <v>8740925</v>
      </c>
      <c r="BL12" s="9">
        <v>7170330</v>
      </c>
      <c r="BM12" s="9"/>
      <c r="BN12" s="9"/>
      <c r="BO12" s="9"/>
      <c r="BP12" s="9"/>
      <c r="BQ12" s="9"/>
      <c r="BR12" s="9"/>
      <c r="BS12" s="9"/>
      <c r="BT12" s="9"/>
      <c r="BU12" s="9"/>
    </row>
    <row r="13" spans="1:73">
      <c r="A13" s="6">
        <v>4</v>
      </c>
      <c r="B13" s="6" t="s">
        <v>1123</v>
      </c>
      <c r="C13" s="421">
        <v>67.14</v>
      </c>
      <c r="D13" s="9">
        <v>0</v>
      </c>
      <c r="E13" s="33">
        <v>0</v>
      </c>
      <c r="F13" s="9">
        <v>0</v>
      </c>
      <c r="G13" s="9">
        <v>0</v>
      </c>
      <c r="H13" s="9">
        <v>0</v>
      </c>
      <c r="I13" s="9">
        <v>0</v>
      </c>
      <c r="J13" s="9">
        <v>0</v>
      </c>
      <c r="K13" s="9">
        <v>0</v>
      </c>
      <c r="L13" s="9">
        <v>0</v>
      </c>
      <c r="M13" s="9">
        <v>11943.49</v>
      </c>
      <c r="N13" s="9">
        <v>2802</v>
      </c>
      <c r="O13" s="9">
        <v>9141</v>
      </c>
      <c r="P13" s="9">
        <v>0</v>
      </c>
      <c r="Q13" s="9">
        <v>12306.57500478469</v>
      </c>
      <c r="R13" s="9">
        <v>3310</v>
      </c>
      <c r="S13" s="9">
        <v>8958</v>
      </c>
      <c r="T13" s="9">
        <v>39</v>
      </c>
      <c r="U13" s="9">
        <v>0</v>
      </c>
      <c r="V13" s="9">
        <v>0</v>
      </c>
      <c r="W13" s="9">
        <v>0</v>
      </c>
      <c r="X13" s="9">
        <v>0</v>
      </c>
      <c r="Y13" s="9">
        <v>0</v>
      </c>
      <c r="Z13" s="9">
        <v>0</v>
      </c>
      <c r="AA13" s="9">
        <v>0</v>
      </c>
      <c r="AB13" s="9">
        <v>0</v>
      </c>
      <c r="AC13" s="9">
        <v>12697.210000000001</v>
      </c>
      <c r="AD13" s="9">
        <v>3609</v>
      </c>
      <c r="AE13" s="9">
        <v>9088</v>
      </c>
      <c r="AF13" s="9">
        <v>0</v>
      </c>
      <c r="AG13" s="9">
        <v>0</v>
      </c>
      <c r="AH13" s="9">
        <v>0</v>
      </c>
      <c r="AI13" s="9">
        <v>0</v>
      </c>
      <c r="AJ13" s="9">
        <v>0</v>
      </c>
      <c r="AK13" s="28">
        <v>0</v>
      </c>
      <c r="AL13" s="9">
        <v>0</v>
      </c>
      <c r="AM13" s="9">
        <v>0</v>
      </c>
      <c r="AN13" s="28">
        <v>0</v>
      </c>
      <c r="AO13" s="9">
        <v>0</v>
      </c>
      <c r="AP13" s="9">
        <v>0</v>
      </c>
      <c r="AQ13" s="28">
        <v>0</v>
      </c>
      <c r="AR13" s="9">
        <v>0</v>
      </c>
      <c r="AS13" s="9">
        <v>0</v>
      </c>
      <c r="AT13" s="28">
        <v>0</v>
      </c>
      <c r="AU13" s="9">
        <v>0</v>
      </c>
      <c r="AV13" s="9">
        <v>0</v>
      </c>
      <c r="AW13" s="9">
        <v>0</v>
      </c>
      <c r="AX13" s="9">
        <v>0</v>
      </c>
      <c r="AY13" s="9">
        <v>0</v>
      </c>
      <c r="AZ13" s="28">
        <v>0</v>
      </c>
      <c r="BA13" s="9">
        <v>0</v>
      </c>
      <c r="BB13" s="9">
        <v>0</v>
      </c>
      <c r="BC13" s="9">
        <v>0</v>
      </c>
      <c r="BD13" s="9">
        <v>0</v>
      </c>
      <c r="BE13" s="9">
        <v>0</v>
      </c>
      <c r="BF13" s="9">
        <v>0</v>
      </c>
      <c r="BG13" s="9">
        <v>0</v>
      </c>
      <c r="BH13" s="9">
        <v>0</v>
      </c>
      <c r="BI13" s="9">
        <v>0</v>
      </c>
      <c r="BJ13" s="9">
        <v>0</v>
      </c>
      <c r="BK13" s="9">
        <v>0</v>
      </c>
      <c r="BL13" s="9">
        <v>0</v>
      </c>
      <c r="BM13" s="9"/>
      <c r="BN13" s="9"/>
      <c r="BO13" s="9"/>
      <c r="BP13" s="9"/>
      <c r="BQ13" s="9"/>
      <c r="BR13" s="9"/>
      <c r="BS13" s="9"/>
      <c r="BT13" s="9"/>
      <c r="BU13" s="9"/>
    </row>
    <row r="14" spans="1:73">
      <c r="A14" s="6">
        <v>5</v>
      </c>
      <c r="B14" s="6" t="s">
        <v>1124</v>
      </c>
      <c r="C14" s="421">
        <v>45.27</v>
      </c>
      <c r="D14" s="9">
        <v>32319935</v>
      </c>
      <c r="E14" s="33">
        <v>21493837</v>
      </c>
      <c r="F14" s="9">
        <v>10826098</v>
      </c>
      <c r="G14" s="9">
        <v>34566078.779999994</v>
      </c>
      <c r="H14" s="9">
        <v>22041666</v>
      </c>
      <c r="I14" s="9">
        <v>12524413</v>
      </c>
      <c r="J14" s="9">
        <v>35551345.780867614</v>
      </c>
      <c r="K14" s="9">
        <v>21602566</v>
      </c>
      <c r="L14" s="9">
        <v>14029399</v>
      </c>
      <c r="M14" s="9">
        <v>37698376.909999989</v>
      </c>
      <c r="N14" s="9">
        <v>21211830</v>
      </c>
      <c r="O14" s="9">
        <v>14752751</v>
      </c>
      <c r="P14" s="9">
        <v>1733796</v>
      </c>
      <c r="Q14" s="9">
        <v>38739894.035965554</v>
      </c>
      <c r="R14" s="9">
        <v>21200429</v>
      </c>
      <c r="S14" s="9">
        <v>16156816</v>
      </c>
      <c r="T14" s="9">
        <v>1382649</v>
      </c>
      <c r="U14" s="9">
        <v>37851740.416679993</v>
      </c>
      <c r="V14" s="9">
        <v>20906343</v>
      </c>
      <c r="W14" s="9">
        <v>16620258</v>
      </c>
      <c r="X14" s="9">
        <v>89225</v>
      </c>
      <c r="Y14" s="9">
        <v>936907</v>
      </c>
      <c r="Z14" s="9">
        <v>38691315.740000002</v>
      </c>
      <c r="AA14" s="9">
        <v>21196318</v>
      </c>
      <c r="AB14" s="9">
        <v>17494998</v>
      </c>
      <c r="AC14" s="9">
        <v>40065479.369999997</v>
      </c>
      <c r="AD14" s="9">
        <v>21799451</v>
      </c>
      <c r="AE14" s="9">
        <v>18531417.812022001</v>
      </c>
      <c r="AF14" s="9">
        <v>39705689.879999995</v>
      </c>
      <c r="AG14" s="9">
        <v>22317126</v>
      </c>
      <c r="AH14" s="9">
        <v>18633592.812022001</v>
      </c>
      <c r="AI14" s="9">
        <v>40513463.040000007</v>
      </c>
      <c r="AJ14" s="9">
        <v>22228633</v>
      </c>
      <c r="AK14" s="28">
        <v>18827346.812022001</v>
      </c>
      <c r="AL14" s="9">
        <v>40806967.850000001</v>
      </c>
      <c r="AM14" s="9">
        <v>22728531</v>
      </c>
      <c r="AN14" s="28">
        <v>18927671.812022001</v>
      </c>
      <c r="AO14" s="9">
        <v>39809443.760000005</v>
      </c>
      <c r="AP14" s="9">
        <v>22702754</v>
      </c>
      <c r="AQ14" s="28">
        <v>19138981.812022001</v>
      </c>
      <c r="AR14" s="9">
        <v>40549530.336503848</v>
      </c>
      <c r="AS14" s="9">
        <v>22135293</v>
      </c>
      <c r="AT14" s="28">
        <v>19253911.812022001</v>
      </c>
      <c r="AU14" s="9">
        <v>41326070.32</v>
      </c>
      <c r="AV14" s="9">
        <v>22474431</v>
      </c>
      <c r="AW14" s="9">
        <v>19367102</v>
      </c>
      <c r="AX14" s="9">
        <v>42227451.049391314</v>
      </c>
      <c r="AY14" s="9">
        <v>22951211</v>
      </c>
      <c r="AZ14" s="28">
        <v>19477412</v>
      </c>
      <c r="BA14" s="9">
        <v>42427489.500000007</v>
      </c>
      <c r="BB14" s="9">
        <v>23256462</v>
      </c>
      <c r="BC14" s="9">
        <v>19477412</v>
      </c>
      <c r="BD14" s="9">
        <v>42850725.390000008</v>
      </c>
      <c r="BE14" s="9">
        <v>23421246</v>
      </c>
      <c r="BF14" s="9">
        <v>19949538</v>
      </c>
      <c r="BG14" s="9">
        <v>46476254.920000002</v>
      </c>
      <c r="BH14" s="9">
        <v>24515018</v>
      </c>
      <c r="BI14" s="9">
        <v>21961237</v>
      </c>
      <c r="BJ14" s="9">
        <v>50397491.299999997</v>
      </c>
      <c r="BK14" s="9">
        <v>25373043</v>
      </c>
      <c r="BL14" s="9">
        <v>25024448</v>
      </c>
      <c r="BM14" s="9"/>
      <c r="BN14" s="9"/>
      <c r="BO14" s="9"/>
      <c r="BP14" s="9"/>
      <c r="BQ14" s="9"/>
      <c r="BR14" s="9"/>
      <c r="BS14" s="9"/>
      <c r="BT14" s="9"/>
      <c r="BU14" s="9"/>
    </row>
    <row r="15" spans="1:73">
      <c r="A15" s="6">
        <v>6</v>
      </c>
      <c r="B15" s="6" t="s">
        <v>1125</v>
      </c>
      <c r="C15" s="421">
        <v>17.5</v>
      </c>
      <c r="D15" s="9">
        <v>0</v>
      </c>
      <c r="E15" s="33">
        <v>0</v>
      </c>
      <c r="F15" s="9">
        <v>0</v>
      </c>
      <c r="G15" s="9">
        <v>0</v>
      </c>
      <c r="H15" s="9">
        <v>0</v>
      </c>
      <c r="I15" s="9">
        <v>0</v>
      </c>
      <c r="J15" s="9">
        <v>0</v>
      </c>
      <c r="K15" s="9">
        <v>0</v>
      </c>
      <c r="L15" s="9">
        <v>0</v>
      </c>
      <c r="M15" s="9">
        <v>0</v>
      </c>
      <c r="N15" s="9">
        <v>0</v>
      </c>
      <c r="O15" s="9">
        <v>0</v>
      </c>
      <c r="P15" s="9">
        <v>0</v>
      </c>
      <c r="Q15" s="9">
        <v>0</v>
      </c>
      <c r="R15" s="9">
        <v>0</v>
      </c>
      <c r="S15" s="9">
        <v>0</v>
      </c>
      <c r="T15" s="9">
        <v>0</v>
      </c>
      <c r="U15" s="9">
        <v>0</v>
      </c>
      <c r="V15" s="9">
        <v>0</v>
      </c>
      <c r="W15" s="9">
        <v>0</v>
      </c>
      <c r="X15" s="9">
        <v>0</v>
      </c>
      <c r="Y15" s="9">
        <v>0</v>
      </c>
      <c r="Z15" s="9">
        <v>0</v>
      </c>
      <c r="AA15" s="9">
        <v>0</v>
      </c>
      <c r="AB15" s="9">
        <v>0</v>
      </c>
      <c r="AC15" s="9">
        <v>0</v>
      </c>
      <c r="AD15" s="9">
        <v>0</v>
      </c>
      <c r="AE15" s="9">
        <v>0</v>
      </c>
      <c r="AF15" s="9">
        <v>0</v>
      </c>
      <c r="AG15" s="9">
        <v>0</v>
      </c>
      <c r="AH15" s="9">
        <v>0</v>
      </c>
      <c r="AI15" s="9">
        <v>0</v>
      </c>
      <c r="AJ15" s="9">
        <v>0</v>
      </c>
      <c r="AK15" s="28">
        <v>0</v>
      </c>
      <c r="AL15" s="9">
        <v>0</v>
      </c>
      <c r="AM15" s="9">
        <v>0</v>
      </c>
      <c r="AN15" s="28">
        <v>0</v>
      </c>
      <c r="AO15" s="9">
        <v>0</v>
      </c>
      <c r="AP15" s="9">
        <v>0</v>
      </c>
      <c r="AQ15" s="28">
        <v>0</v>
      </c>
      <c r="AR15" s="9">
        <v>0</v>
      </c>
      <c r="AS15" s="9">
        <v>0</v>
      </c>
      <c r="AT15" s="28">
        <v>0</v>
      </c>
      <c r="AU15" s="9">
        <v>0</v>
      </c>
      <c r="AV15" s="9">
        <v>0</v>
      </c>
      <c r="AW15" s="9">
        <v>0</v>
      </c>
      <c r="AX15" s="9">
        <v>0</v>
      </c>
      <c r="AY15" s="9">
        <v>0</v>
      </c>
      <c r="AZ15" s="28">
        <v>0</v>
      </c>
      <c r="BA15" s="9">
        <v>0</v>
      </c>
      <c r="BB15" s="9">
        <v>0</v>
      </c>
      <c r="BC15" s="9">
        <v>0</v>
      </c>
      <c r="BD15" s="9">
        <v>0</v>
      </c>
      <c r="BE15" s="9">
        <v>0</v>
      </c>
      <c r="BF15" s="9">
        <v>0</v>
      </c>
      <c r="BG15" s="9">
        <v>0</v>
      </c>
      <c r="BH15" s="9">
        <v>0</v>
      </c>
      <c r="BI15" s="9">
        <v>0</v>
      </c>
      <c r="BJ15" s="9">
        <v>0</v>
      </c>
      <c r="BK15" s="9">
        <v>0</v>
      </c>
      <c r="BL15" s="9">
        <v>0</v>
      </c>
      <c r="BM15" s="9"/>
      <c r="BN15" s="9"/>
      <c r="BO15" s="9"/>
      <c r="BP15" s="9"/>
      <c r="BQ15" s="9"/>
      <c r="BR15" s="9"/>
      <c r="BS15" s="9"/>
      <c r="BT15" s="9"/>
      <c r="BU15" s="9"/>
    </row>
    <row r="16" spans="1:73">
      <c r="A16" s="6">
        <v>7</v>
      </c>
      <c r="B16" s="6" t="s">
        <v>1126</v>
      </c>
      <c r="C16" s="421">
        <v>20.37</v>
      </c>
      <c r="D16" s="9">
        <v>19460597</v>
      </c>
      <c r="E16" s="33">
        <v>12406221</v>
      </c>
      <c r="F16" s="9">
        <v>8455877</v>
      </c>
      <c r="G16" s="9">
        <v>19548536.809999999</v>
      </c>
      <c r="H16" s="9">
        <v>12809091</v>
      </c>
      <c r="I16" s="9">
        <v>8583727</v>
      </c>
      <c r="J16" s="9">
        <v>19781530.293151677</v>
      </c>
      <c r="K16" s="9">
        <v>13167547</v>
      </c>
      <c r="L16" s="9">
        <v>8706827</v>
      </c>
      <c r="M16" s="9">
        <v>20756560.399999999</v>
      </c>
      <c r="N16" s="9">
        <v>13536773</v>
      </c>
      <c r="O16" s="9">
        <v>8124385</v>
      </c>
      <c r="P16" s="9">
        <v>954806</v>
      </c>
      <c r="Q16" s="9">
        <v>21190912.030989472</v>
      </c>
      <c r="R16" s="9">
        <v>13555005</v>
      </c>
      <c r="S16" s="9">
        <v>8897607</v>
      </c>
      <c r="T16" s="9">
        <v>0</v>
      </c>
      <c r="U16" s="9">
        <v>21216914.582820002</v>
      </c>
      <c r="V16" s="9">
        <v>13646574</v>
      </c>
      <c r="W16" s="9">
        <v>8377810</v>
      </c>
      <c r="X16" s="9">
        <v>44976</v>
      </c>
      <c r="Y16" s="9">
        <v>535896</v>
      </c>
      <c r="Z16" s="9">
        <v>21437478.949999999</v>
      </c>
      <c r="AA16" s="9">
        <v>13871392</v>
      </c>
      <c r="AB16" s="9">
        <v>8422786</v>
      </c>
      <c r="AC16" s="9">
        <v>21788085.690000001</v>
      </c>
      <c r="AD16" s="9">
        <v>14228051</v>
      </c>
      <c r="AE16" s="9">
        <v>8517266</v>
      </c>
      <c r="AF16" s="9">
        <v>22520782.300000004</v>
      </c>
      <c r="AG16" s="9">
        <v>14645774</v>
      </c>
      <c r="AH16" s="9">
        <f>8577441+84220</f>
        <v>8661661</v>
      </c>
      <c r="AI16" s="9">
        <v>23277123.93</v>
      </c>
      <c r="AJ16" s="9">
        <v>14710835</v>
      </c>
      <c r="AK16" s="28">
        <v>8807407</v>
      </c>
      <c r="AL16" s="9">
        <v>23284050.52</v>
      </c>
      <c r="AM16" s="9">
        <v>14749359</v>
      </c>
      <c r="AN16" s="28">
        <v>8867257</v>
      </c>
      <c r="AO16" s="9">
        <v>22775372.140000001</v>
      </c>
      <c r="AP16" s="9">
        <v>14489823</v>
      </c>
      <c r="AQ16" s="28">
        <v>8995077</v>
      </c>
      <c r="AR16" s="9">
        <v>22137199.0502779</v>
      </c>
      <c r="AS16" s="9">
        <v>14640237</v>
      </c>
      <c r="AT16" s="28">
        <v>9061587</v>
      </c>
      <c r="AU16" s="9">
        <v>22830750.459999997</v>
      </c>
      <c r="AV16" s="9">
        <v>15155898</v>
      </c>
      <c r="AW16" s="9">
        <v>9127527</v>
      </c>
      <c r="AX16" s="9">
        <v>22996252.745490368</v>
      </c>
      <c r="AY16" s="9">
        <v>15621860</v>
      </c>
      <c r="AZ16" s="28">
        <v>9190887</v>
      </c>
      <c r="BA16" s="9">
        <v>22553274.579999998</v>
      </c>
      <c r="BB16" s="9">
        <v>16118764</v>
      </c>
      <c r="BC16" s="9">
        <v>9190887</v>
      </c>
      <c r="BD16" s="9">
        <v>22473928.549999997</v>
      </c>
      <c r="BE16" s="9">
        <v>16512866</v>
      </c>
      <c r="BF16" s="9">
        <v>9248787</v>
      </c>
      <c r="BG16" s="9">
        <v>23505262.730000008</v>
      </c>
      <c r="BH16" s="9">
        <v>17438478</v>
      </c>
      <c r="BI16" s="9">
        <v>9361467</v>
      </c>
      <c r="BJ16" s="9">
        <v>24965747.029999997</v>
      </c>
      <c r="BK16" s="9">
        <v>18234602</v>
      </c>
      <c r="BL16" s="9">
        <v>9472287</v>
      </c>
      <c r="BM16" s="9"/>
      <c r="BN16" s="9"/>
      <c r="BO16" s="9"/>
      <c r="BP16" s="9"/>
      <c r="BQ16" s="9"/>
      <c r="BR16" s="9"/>
      <c r="BS16" s="9"/>
      <c r="BT16" s="9"/>
      <c r="BU16" s="9"/>
    </row>
    <row r="17" spans="1:73">
      <c r="A17" s="6">
        <v>8</v>
      </c>
      <c r="B17" s="6" t="s">
        <v>1127</v>
      </c>
      <c r="C17" s="421">
        <v>19.04</v>
      </c>
      <c r="D17" s="9">
        <v>11114274</v>
      </c>
      <c r="E17" s="33">
        <v>5541487</v>
      </c>
      <c r="F17" s="9">
        <v>5572787</v>
      </c>
      <c r="G17" s="9">
        <v>11497553.710000001</v>
      </c>
      <c r="H17" s="9">
        <v>5563556</v>
      </c>
      <c r="I17" s="9">
        <v>5933998</v>
      </c>
      <c r="J17" s="9">
        <v>11950170.523914317</v>
      </c>
      <c r="K17" s="9">
        <v>5791375</v>
      </c>
      <c r="L17" s="9">
        <v>6158796</v>
      </c>
      <c r="M17" s="9">
        <v>12240957.26</v>
      </c>
      <c r="N17" s="9">
        <v>6176229</v>
      </c>
      <c r="O17" s="9">
        <v>5607673</v>
      </c>
      <c r="P17" s="9">
        <v>659034</v>
      </c>
      <c r="Q17" s="9">
        <v>12789869.018824883</v>
      </c>
      <c r="R17" s="9">
        <v>8287309</v>
      </c>
      <c r="S17" s="9">
        <v>6141373</v>
      </c>
      <c r="T17" s="9">
        <v>0</v>
      </c>
      <c r="U17" s="9">
        <v>12104976.778860003</v>
      </c>
      <c r="V17" s="9">
        <v>8244892</v>
      </c>
      <c r="W17" s="9">
        <v>5782594</v>
      </c>
      <c r="X17" s="9">
        <v>31044</v>
      </c>
      <c r="Y17" s="9">
        <v>361635</v>
      </c>
      <c r="Z17" s="9">
        <v>11778216.34</v>
      </c>
      <c r="AA17" s="9">
        <v>8330699</v>
      </c>
      <c r="AB17" s="9">
        <v>5813638</v>
      </c>
      <c r="AC17" s="9">
        <v>12123554.34</v>
      </c>
      <c r="AD17" s="9">
        <v>8560597</v>
      </c>
      <c r="AE17" s="9">
        <v>5864398</v>
      </c>
      <c r="AF17" s="9">
        <v>11999013.530000001</v>
      </c>
      <c r="AG17" s="9">
        <v>8782052</v>
      </c>
      <c r="AH17" s="9">
        <v>5895073</v>
      </c>
      <c r="AI17" s="9">
        <v>11927369.58</v>
      </c>
      <c r="AJ17" s="9">
        <v>8808278</v>
      </c>
      <c r="AK17" s="28">
        <v>5925198</v>
      </c>
      <c r="AL17" s="9">
        <v>12222179.260000002</v>
      </c>
      <c r="AM17" s="9">
        <v>9033626</v>
      </c>
      <c r="AN17" s="28">
        <v>5954998</v>
      </c>
      <c r="AO17" s="9">
        <v>12153334.120000001</v>
      </c>
      <c r="AP17" s="9">
        <v>9054116</v>
      </c>
      <c r="AQ17" s="28">
        <v>6020943</v>
      </c>
      <c r="AR17" s="9">
        <v>11871248.344619127</v>
      </c>
      <c r="AS17" s="9">
        <v>8817279</v>
      </c>
      <c r="AT17" s="28">
        <v>6055023</v>
      </c>
      <c r="AU17" s="9">
        <v>11969353.380000003</v>
      </c>
      <c r="AV17" s="9">
        <v>8946746</v>
      </c>
      <c r="AW17" s="9">
        <v>6088203</v>
      </c>
      <c r="AX17" s="9">
        <v>12803970.649125857</v>
      </c>
      <c r="AY17" s="9">
        <v>9508882</v>
      </c>
      <c r="AZ17" s="28">
        <v>6122223</v>
      </c>
      <c r="BA17" s="9">
        <v>12512134.57</v>
      </c>
      <c r="BB17" s="9">
        <v>9645618</v>
      </c>
      <c r="BC17" s="9">
        <v>6122223</v>
      </c>
      <c r="BD17" s="9">
        <v>12765297.700000001</v>
      </c>
      <c r="BE17" s="9">
        <v>9889673</v>
      </c>
      <c r="BF17" s="9">
        <v>6153573</v>
      </c>
      <c r="BG17" s="9">
        <v>13429756.490000002</v>
      </c>
      <c r="BH17" s="9">
        <v>10461831</v>
      </c>
      <c r="BI17" s="9">
        <v>6217473</v>
      </c>
      <c r="BJ17" s="9">
        <v>14207190.940000001</v>
      </c>
      <c r="BK17" s="9">
        <v>11168148</v>
      </c>
      <c r="BL17" s="9">
        <v>6280773</v>
      </c>
      <c r="BM17" s="9"/>
      <c r="BN17" s="9"/>
      <c r="BO17" s="9"/>
      <c r="BP17" s="9"/>
      <c r="BQ17" s="9"/>
      <c r="BR17" s="9"/>
      <c r="BS17" s="9"/>
      <c r="BT17" s="9"/>
      <c r="BU17" s="9"/>
    </row>
    <row r="18" spans="1:73">
      <c r="A18" s="6">
        <v>9</v>
      </c>
      <c r="B18" s="6" t="s">
        <v>1128</v>
      </c>
      <c r="C18" s="421">
        <v>17.5</v>
      </c>
      <c r="D18" s="9">
        <v>40445552</v>
      </c>
      <c r="E18" s="33">
        <v>43398252</v>
      </c>
      <c r="F18" s="9">
        <v>5235106</v>
      </c>
      <c r="G18" s="9">
        <v>45421092.757479988</v>
      </c>
      <c r="H18" s="9">
        <v>43984801</v>
      </c>
      <c r="I18" s="9">
        <v>6105826</v>
      </c>
      <c r="J18" s="9">
        <v>47430802.160358295</v>
      </c>
      <c r="K18" s="9">
        <v>44443293</v>
      </c>
      <c r="L18" s="9">
        <v>6764195</v>
      </c>
      <c r="M18" s="9">
        <v>50839207.830960013</v>
      </c>
      <c r="N18" s="9">
        <v>44963510</v>
      </c>
      <c r="O18" s="9">
        <v>6682611</v>
      </c>
      <c r="P18" s="9">
        <v>785364</v>
      </c>
      <c r="Q18" s="9">
        <v>52920927.943806164</v>
      </c>
      <c r="R18" s="9">
        <v>46055668</v>
      </c>
      <c r="S18" s="9">
        <v>7318616</v>
      </c>
      <c r="T18" s="9">
        <v>0</v>
      </c>
      <c r="U18" s="9">
        <v>52465302.435107633</v>
      </c>
      <c r="V18" s="9">
        <v>46239193</v>
      </c>
      <c r="W18" s="9">
        <v>6891063</v>
      </c>
      <c r="X18" s="9">
        <v>36994</v>
      </c>
      <c r="Y18" s="9">
        <v>541909</v>
      </c>
      <c r="Z18" s="9">
        <v>53641152.655579992</v>
      </c>
      <c r="AA18" s="9">
        <v>47162432</v>
      </c>
      <c r="AB18" s="9">
        <v>6928057</v>
      </c>
      <c r="AC18" s="9">
        <v>55867173.864680015</v>
      </c>
      <c r="AD18" s="9">
        <v>48525635</v>
      </c>
      <c r="AE18" s="9">
        <v>7950343.1065797508</v>
      </c>
      <c r="AF18" s="9">
        <v>57208567.533579998</v>
      </c>
      <c r="AG18" s="9">
        <v>49906105</v>
      </c>
      <c r="AH18" s="9">
        <f>8465632.15952894+84220</f>
        <v>8549852.1595289409</v>
      </c>
      <c r="AI18" s="9">
        <v>56905481.147259988</v>
      </c>
      <c r="AJ18" s="9">
        <v>49453903</v>
      </c>
      <c r="AK18" s="28">
        <v>9042864.1595289409</v>
      </c>
      <c r="AL18" s="9">
        <v>57593754.781260006</v>
      </c>
      <c r="AM18" s="9">
        <v>49454967</v>
      </c>
      <c r="AN18" s="28">
        <v>9191614.1595289409</v>
      </c>
      <c r="AO18" s="9">
        <v>58523208.186840013</v>
      </c>
      <c r="AP18" s="9">
        <v>48754974</v>
      </c>
      <c r="AQ18" s="28">
        <v>9768234</v>
      </c>
      <c r="AR18" s="9">
        <v>59213763.705395557</v>
      </c>
      <c r="AS18" s="9">
        <v>49146929</v>
      </c>
      <c r="AT18" s="28">
        <v>10066835</v>
      </c>
      <c r="AU18" s="9">
        <v>60546641.049729995</v>
      </c>
      <c r="AV18" s="9">
        <v>49950979</v>
      </c>
      <c r="AW18" s="9">
        <v>10595662</v>
      </c>
      <c r="AX18" s="9">
        <v>63835635.793936521</v>
      </c>
      <c r="AY18" s="9">
        <v>52178457</v>
      </c>
      <c r="AZ18" s="28">
        <v>11668291</v>
      </c>
      <c r="BA18" s="9">
        <v>64237434.876240008</v>
      </c>
      <c r="BB18" s="9">
        <v>52995883</v>
      </c>
      <c r="BC18" s="9">
        <v>11668291</v>
      </c>
      <c r="BD18" s="9">
        <v>64739542.478479996</v>
      </c>
      <c r="BE18" s="9">
        <v>53410123</v>
      </c>
      <c r="BF18" s="9">
        <v>11837131</v>
      </c>
      <c r="BG18" s="9">
        <v>67357496.128189996</v>
      </c>
      <c r="BH18" s="9">
        <v>55569934</v>
      </c>
      <c r="BI18" s="9">
        <v>12167131</v>
      </c>
      <c r="BJ18" s="9">
        <v>72244408.493600011</v>
      </c>
      <c r="BK18" s="9">
        <v>58293608</v>
      </c>
      <c r="BL18" s="9">
        <v>13950800</v>
      </c>
      <c r="BM18" s="9"/>
      <c r="BN18" s="9"/>
      <c r="BO18" s="9"/>
      <c r="BP18" s="9"/>
      <c r="BQ18" s="9"/>
      <c r="BR18" s="9"/>
      <c r="BS18" s="9"/>
      <c r="BT18" s="9"/>
      <c r="BU18" s="9"/>
    </row>
    <row r="19" spans="1:73">
      <c r="A19" s="6">
        <v>10</v>
      </c>
      <c r="B19" s="6" t="s">
        <v>1129</v>
      </c>
      <c r="C19" s="421">
        <v>17.5</v>
      </c>
      <c r="D19" s="9">
        <v>31514908</v>
      </c>
      <c r="E19" s="33">
        <v>29608395</v>
      </c>
      <c r="F19" s="9">
        <v>5019276.8</v>
      </c>
      <c r="G19" s="9">
        <v>34791436.82971999</v>
      </c>
      <c r="H19" s="9">
        <v>30151702</v>
      </c>
      <c r="I19" s="9">
        <v>5592669.7999999998</v>
      </c>
      <c r="J19" s="9">
        <v>35888202.793767765</v>
      </c>
      <c r="K19" s="9">
        <v>30613441</v>
      </c>
      <c r="L19" s="9">
        <v>5814119.7999999998</v>
      </c>
      <c r="M19" s="9">
        <v>38070505.063400008</v>
      </c>
      <c r="N19" s="9">
        <v>31841211</v>
      </c>
      <c r="O19" s="9">
        <v>5574195</v>
      </c>
      <c r="P19" s="9">
        <v>655099</v>
      </c>
      <c r="Q19" s="9">
        <v>40248798.10830944</v>
      </c>
      <c r="R19" s="9">
        <v>33205258</v>
      </c>
      <c r="S19" s="9">
        <v>6104708</v>
      </c>
      <c r="T19" s="9">
        <v>938832</v>
      </c>
      <c r="U19" s="9">
        <v>39642105.945616916</v>
      </c>
      <c r="V19" s="9">
        <v>33491571</v>
      </c>
      <c r="W19" s="9">
        <v>6632057</v>
      </c>
      <c r="X19" s="9">
        <v>35604</v>
      </c>
      <c r="Y19" s="9">
        <v>490929</v>
      </c>
      <c r="Z19" s="9">
        <v>41361535.892299995</v>
      </c>
      <c r="AA19" s="9">
        <v>34480956</v>
      </c>
      <c r="AB19" s="9">
        <v>6880580</v>
      </c>
      <c r="AC19" s="9">
        <v>43488849.24750001</v>
      </c>
      <c r="AD19" s="9">
        <v>35379353</v>
      </c>
      <c r="AE19" s="9">
        <v>8109496</v>
      </c>
      <c r="AF19" s="9">
        <v>46406615.112400003</v>
      </c>
      <c r="AG19" s="9">
        <v>36357635</v>
      </c>
      <c r="AH19" s="9">
        <v>10048980</v>
      </c>
      <c r="AI19" s="9">
        <v>47819420.315520003</v>
      </c>
      <c r="AJ19" s="9">
        <v>37584838</v>
      </c>
      <c r="AK19" s="28">
        <v>10234582</v>
      </c>
      <c r="AL19" s="9">
        <v>50290292.382299997</v>
      </c>
      <c r="AM19" s="9">
        <v>39574733</v>
      </c>
      <c r="AN19" s="28">
        <v>10715559</v>
      </c>
      <c r="AO19" s="9">
        <v>51156059.770829991</v>
      </c>
      <c r="AP19" s="9">
        <v>41761139</v>
      </c>
      <c r="AQ19" s="28">
        <v>11012669</v>
      </c>
      <c r="AR19" s="9">
        <v>54501493.562073596</v>
      </c>
      <c r="AS19" s="9">
        <v>43805119</v>
      </c>
      <c r="AT19" s="28">
        <v>11180879</v>
      </c>
      <c r="AU19" s="9">
        <v>58002940.646099992</v>
      </c>
      <c r="AV19" s="9">
        <v>46237018</v>
      </c>
      <c r="AW19" s="9">
        <v>11765923</v>
      </c>
      <c r="AX19" s="9">
        <v>62294073.096873432</v>
      </c>
      <c r="AY19" s="9">
        <v>48330137</v>
      </c>
      <c r="AZ19" s="28">
        <v>13979327</v>
      </c>
      <c r="BA19" s="9">
        <v>64895656.34093</v>
      </c>
      <c r="BB19" s="9">
        <v>50343449</v>
      </c>
      <c r="BC19" s="9">
        <v>14566028</v>
      </c>
      <c r="BD19" s="9">
        <v>64412505.935059994</v>
      </c>
      <c r="BE19" s="9">
        <v>51220285</v>
      </c>
      <c r="BF19" s="9">
        <v>14741108</v>
      </c>
      <c r="BG19" s="9">
        <v>69496899.573259994</v>
      </c>
      <c r="BH19" s="9">
        <v>53603535</v>
      </c>
      <c r="BI19" s="9">
        <v>15893365</v>
      </c>
      <c r="BJ19" s="9">
        <v>74896748.635400012</v>
      </c>
      <c r="BK19" s="9">
        <v>56193340</v>
      </c>
      <c r="BL19" s="9">
        <v>18703409</v>
      </c>
      <c r="BM19" s="9"/>
      <c r="BN19" s="9"/>
      <c r="BO19" s="9"/>
      <c r="BP19" s="9"/>
      <c r="BQ19" s="9"/>
      <c r="BR19" s="9"/>
      <c r="BS19" s="9"/>
      <c r="BT19" s="9"/>
      <c r="BU19" s="9"/>
    </row>
    <row r="20" spans="1:73">
      <c r="A20" s="6">
        <v>11</v>
      </c>
      <c r="B20" s="6" t="s">
        <v>1130</v>
      </c>
      <c r="C20" s="421">
        <v>54.71</v>
      </c>
      <c r="D20" s="9">
        <v>0</v>
      </c>
      <c r="E20" s="33">
        <v>0</v>
      </c>
      <c r="F20" s="9">
        <v>0</v>
      </c>
      <c r="G20" s="9">
        <v>0</v>
      </c>
      <c r="H20" s="9">
        <v>0</v>
      </c>
      <c r="I20" s="9">
        <v>0</v>
      </c>
      <c r="J20" s="9">
        <v>0</v>
      </c>
      <c r="K20" s="9">
        <v>0</v>
      </c>
      <c r="L20" s="9">
        <v>0</v>
      </c>
      <c r="M20" s="9">
        <v>0</v>
      </c>
      <c r="N20" s="9">
        <v>0</v>
      </c>
      <c r="O20" s="9">
        <v>0</v>
      </c>
      <c r="P20" s="9">
        <v>0</v>
      </c>
      <c r="Q20" s="9">
        <v>0</v>
      </c>
      <c r="R20" s="9">
        <v>0</v>
      </c>
      <c r="S20" s="9">
        <v>0</v>
      </c>
      <c r="T20" s="9">
        <v>0</v>
      </c>
      <c r="U20" s="9">
        <v>12035.81568</v>
      </c>
      <c r="V20" s="9">
        <v>5767</v>
      </c>
      <c r="W20" s="9">
        <v>6269</v>
      </c>
      <c r="X20" s="9">
        <v>0</v>
      </c>
      <c r="Y20" s="9">
        <v>0</v>
      </c>
      <c r="Z20" s="9">
        <v>0</v>
      </c>
      <c r="AA20" s="9">
        <v>0</v>
      </c>
      <c r="AB20" s="9">
        <v>0</v>
      </c>
      <c r="AC20" s="9">
        <v>0</v>
      </c>
      <c r="AD20" s="9">
        <v>0</v>
      </c>
      <c r="AE20" s="9">
        <v>0</v>
      </c>
      <c r="AF20" s="9">
        <v>0</v>
      </c>
      <c r="AG20" s="9">
        <v>0</v>
      </c>
      <c r="AH20" s="9">
        <v>0</v>
      </c>
      <c r="AI20" s="9">
        <v>0</v>
      </c>
      <c r="AJ20" s="9">
        <v>0</v>
      </c>
      <c r="AK20" s="28">
        <v>0</v>
      </c>
      <c r="AL20" s="9">
        <v>0</v>
      </c>
      <c r="AM20" s="9">
        <v>0</v>
      </c>
      <c r="AN20" s="28">
        <v>0</v>
      </c>
      <c r="AO20" s="9">
        <v>0</v>
      </c>
      <c r="AP20" s="9">
        <v>0</v>
      </c>
      <c r="AQ20" s="28">
        <v>0</v>
      </c>
      <c r="AR20" s="9">
        <v>0</v>
      </c>
      <c r="AS20" s="9">
        <v>0</v>
      </c>
      <c r="AT20" s="28">
        <v>0</v>
      </c>
      <c r="AU20" s="9">
        <v>0</v>
      </c>
      <c r="AV20" s="9">
        <v>0</v>
      </c>
      <c r="AW20" s="9">
        <v>0</v>
      </c>
      <c r="AX20" s="9">
        <v>0</v>
      </c>
      <c r="AY20" s="9">
        <v>0</v>
      </c>
      <c r="AZ20" s="28">
        <v>0</v>
      </c>
      <c r="BA20" s="9">
        <v>0</v>
      </c>
      <c r="BB20" s="9">
        <v>0</v>
      </c>
      <c r="BC20" s="9">
        <v>0</v>
      </c>
      <c r="BD20" s="9">
        <v>0</v>
      </c>
      <c r="BE20" s="9">
        <v>0</v>
      </c>
      <c r="BF20" s="9">
        <v>0</v>
      </c>
      <c r="BG20" s="9">
        <v>0</v>
      </c>
      <c r="BH20" s="9">
        <v>0</v>
      </c>
      <c r="BI20" s="9">
        <v>0</v>
      </c>
      <c r="BJ20" s="9">
        <v>0</v>
      </c>
      <c r="BK20" s="9">
        <v>0</v>
      </c>
      <c r="BL20" s="9">
        <v>0</v>
      </c>
      <c r="BM20" s="9"/>
      <c r="BN20" s="9"/>
      <c r="BO20" s="9"/>
      <c r="BP20" s="9"/>
      <c r="BQ20" s="9"/>
      <c r="BR20" s="9"/>
      <c r="BS20" s="9"/>
      <c r="BT20" s="9"/>
      <c r="BU20" s="9"/>
    </row>
    <row r="21" spans="1:73">
      <c r="A21" s="6">
        <v>12</v>
      </c>
      <c r="B21" s="6" t="s">
        <v>1131</v>
      </c>
      <c r="C21" s="421">
        <v>43.73</v>
      </c>
      <c r="D21" s="9">
        <v>0</v>
      </c>
      <c r="E21" s="33">
        <v>0</v>
      </c>
      <c r="F21" s="9">
        <v>0</v>
      </c>
      <c r="G21" s="9">
        <v>10849.66</v>
      </c>
      <c r="H21" s="9">
        <v>3784</v>
      </c>
      <c r="I21" s="9">
        <v>7066</v>
      </c>
      <c r="J21" s="9">
        <v>0</v>
      </c>
      <c r="K21" s="9">
        <v>0</v>
      </c>
      <c r="L21" s="9">
        <v>0</v>
      </c>
      <c r="M21" s="9">
        <v>0</v>
      </c>
      <c r="N21" s="9">
        <v>0</v>
      </c>
      <c r="O21" s="9">
        <v>0</v>
      </c>
      <c r="P21" s="9">
        <v>0</v>
      </c>
      <c r="Q21" s="9">
        <v>0</v>
      </c>
      <c r="R21" s="9">
        <v>0</v>
      </c>
      <c r="S21" s="9">
        <v>0</v>
      </c>
      <c r="T21" s="9">
        <v>0</v>
      </c>
      <c r="U21" s="9">
        <v>36107.447039999999</v>
      </c>
      <c r="V21" s="9">
        <v>17602</v>
      </c>
      <c r="W21" s="9">
        <v>18505</v>
      </c>
      <c r="X21" s="9">
        <v>0</v>
      </c>
      <c r="Y21" s="9">
        <v>0</v>
      </c>
      <c r="Z21" s="9">
        <v>0</v>
      </c>
      <c r="AA21" s="9">
        <v>0</v>
      </c>
      <c r="AB21" s="9">
        <v>0</v>
      </c>
      <c r="AC21" s="9">
        <v>0</v>
      </c>
      <c r="AD21" s="9">
        <v>0</v>
      </c>
      <c r="AE21" s="9">
        <v>0</v>
      </c>
      <c r="AF21" s="9">
        <v>0</v>
      </c>
      <c r="AG21" s="9">
        <v>0</v>
      </c>
      <c r="AH21" s="9">
        <v>0</v>
      </c>
      <c r="AI21" s="9">
        <v>0</v>
      </c>
      <c r="AJ21" s="9">
        <v>0</v>
      </c>
      <c r="AK21" s="28">
        <v>0</v>
      </c>
      <c r="AL21" s="9">
        <v>0</v>
      </c>
      <c r="AM21" s="9">
        <v>0</v>
      </c>
      <c r="AN21" s="28">
        <v>0</v>
      </c>
      <c r="AO21" s="9">
        <v>0</v>
      </c>
      <c r="AP21" s="9">
        <v>0</v>
      </c>
      <c r="AQ21" s="28">
        <v>0</v>
      </c>
      <c r="AR21" s="9">
        <v>0</v>
      </c>
      <c r="AS21" s="9">
        <v>0</v>
      </c>
      <c r="AT21" s="28">
        <v>0</v>
      </c>
      <c r="AU21" s="9">
        <v>0</v>
      </c>
      <c r="AV21" s="9">
        <v>0</v>
      </c>
      <c r="AW21" s="9">
        <v>0</v>
      </c>
      <c r="AX21" s="9">
        <v>0</v>
      </c>
      <c r="AY21" s="9">
        <v>0</v>
      </c>
      <c r="AZ21" s="28">
        <v>0</v>
      </c>
      <c r="BA21" s="9">
        <v>0</v>
      </c>
      <c r="BB21" s="9">
        <v>0</v>
      </c>
      <c r="BC21" s="9">
        <v>0</v>
      </c>
      <c r="BD21" s="9">
        <v>0</v>
      </c>
      <c r="BE21" s="9">
        <v>0</v>
      </c>
      <c r="BF21" s="9">
        <v>0</v>
      </c>
      <c r="BG21" s="9">
        <v>0</v>
      </c>
      <c r="BH21" s="9">
        <v>0</v>
      </c>
      <c r="BI21" s="9">
        <v>0</v>
      </c>
      <c r="BJ21" s="9">
        <v>0</v>
      </c>
      <c r="BK21" s="9">
        <v>0</v>
      </c>
      <c r="BL21" s="9">
        <v>0</v>
      </c>
      <c r="BM21" s="9"/>
      <c r="BN21" s="9"/>
      <c r="BO21" s="9"/>
      <c r="BP21" s="9"/>
      <c r="BQ21" s="9"/>
      <c r="BR21" s="9"/>
      <c r="BS21" s="9"/>
      <c r="BT21" s="9"/>
      <c r="BU21" s="9"/>
    </row>
    <row r="22" spans="1:73">
      <c r="A22" s="6">
        <v>13</v>
      </c>
      <c r="B22" s="6" t="s">
        <v>1132</v>
      </c>
      <c r="C22" s="421">
        <v>18.079999999999998</v>
      </c>
      <c r="D22" s="9">
        <v>88168</v>
      </c>
      <c r="E22" s="33">
        <v>48246</v>
      </c>
      <c r="F22" s="9">
        <v>66553</v>
      </c>
      <c r="G22" s="9">
        <v>97646.94</v>
      </c>
      <c r="H22" s="9">
        <v>58472</v>
      </c>
      <c r="I22" s="9">
        <v>71328</v>
      </c>
      <c r="J22" s="9">
        <v>158055.47</v>
      </c>
      <c r="K22" s="9">
        <v>93913</v>
      </c>
      <c r="L22" s="9">
        <v>98741</v>
      </c>
      <c r="M22" s="9">
        <v>154299.47</v>
      </c>
      <c r="N22" s="9">
        <v>98640</v>
      </c>
      <c r="O22" s="9">
        <v>99291</v>
      </c>
      <c r="P22" s="9">
        <v>0</v>
      </c>
      <c r="Q22" s="9">
        <v>171296.79213014356</v>
      </c>
      <c r="R22" s="9">
        <v>113319</v>
      </c>
      <c r="S22" s="9">
        <v>97305</v>
      </c>
      <c r="T22" s="9">
        <v>0</v>
      </c>
      <c r="U22" s="9">
        <v>227707.1532</v>
      </c>
      <c r="V22" s="9">
        <v>147698</v>
      </c>
      <c r="W22" s="9">
        <v>93413</v>
      </c>
      <c r="X22" s="9">
        <v>0</v>
      </c>
      <c r="Y22" s="9">
        <v>0</v>
      </c>
      <c r="Z22" s="9">
        <v>244010.68</v>
      </c>
      <c r="AA22" s="9">
        <v>163790</v>
      </c>
      <c r="AB22" s="9">
        <v>93413</v>
      </c>
      <c r="AC22" s="9">
        <v>265614.51000000007</v>
      </c>
      <c r="AD22" s="9">
        <v>185836</v>
      </c>
      <c r="AE22" s="9">
        <v>93413</v>
      </c>
      <c r="AF22" s="9">
        <v>205261.50999999998</v>
      </c>
      <c r="AG22" s="9">
        <v>160515</v>
      </c>
      <c r="AH22" s="9">
        <v>93413</v>
      </c>
      <c r="AI22" s="9">
        <v>207026.65000000002</v>
      </c>
      <c r="AJ22" s="9">
        <v>168768</v>
      </c>
      <c r="AK22" s="28">
        <v>93413</v>
      </c>
      <c r="AL22" s="9">
        <v>276131.65999999997</v>
      </c>
      <c r="AM22" s="9">
        <v>227950</v>
      </c>
      <c r="AN22" s="28">
        <v>93413</v>
      </c>
      <c r="AO22" s="9">
        <v>236011.40000000002</v>
      </c>
      <c r="AP22" s="9">
        <v>187511</v>
      </c>
      <c r="AQ22" s="28">
        <v>93413</v>
      </c>
      <c r="AR22" s="9">
        <v>226884.18269824251</v>
      </c>
      <c r="AS22" s="9">
        <v>176931</v>
      </c>
      <c r="AT22" s="28">
        <v>93413</v>
      </c>
      <c r="AU22" s="9">
        <v>233861.83</v>
      </c>
      <c r="AV22" s="9">
        <v>163542</v>
      </c>
      <c r="AW22" s="9">
        <v>93413</v>
      </c>
      <c r="AX22" s="9">
        <v>100602.5807874735</v>
      </c>
      <c r="AY22" s="9">
        <v>74854</v>
      </c>
      <c r="AZ22" s="28">
        <v>93413</v>
      </c>
      <c r="BA22" s="9">
        <v>117262.39999999999</v>
      </c>
      <c r="BB22" s="9">
        <v>96741</v>
      </c>
      <c r="BC22" s="9">
        <v>93413</v>
      </c>
      <c r="BD22" s="9">
        <v>134575.02000000002</v>
      </c>
      <c r="BE22" s="9">
        <v>111024</v>
      </c>
      <c r="BF22" s="9">
        <v>93683</v>
      </c>
      <c r="BG22" s="9">
        <v>141279.39000000001</v>
      </c>
      <c r="BH22" s="9">
        <v>110785</v>
      </c>
      <c r="BI22" s="9">
        <v>93683</v>
      </c>
      <c r="BJ22" s="9">
        <v>245151</v>
      </c>
      <c r="BK22" s="9">
        <v>179015</v>
      </c>
      <c r="BL22" s="9">
        <v>93683</v>
      </c>
      <c r="BM22" s="9"/>
      <c r="BN22" s="9"/>
      <c r="BO22" s="9"/>
      <c r="BP22" s="9"/>
      <c r="BQ22" s="9"/>
      <c r="BR22" s="9"/>
      <c r="BS22" s="9"/>
      <c r="BT22" s="9"/>
      <c r="BU22" s="9"/>
    </row>
    <row r="23" spans="1:73">
      <c r="A23" s="6">
        <v>14</v>
      </c>
      <c r="B23" s="6" t="s">
        <v>1133</v>
      </c>
      <c r="C23" s="421">
        <v>22.37</v>
      </c>
      <c r="D23" s="9">
        <v>17600708</v>
      </c>
      <c r="E23" s="33">
        <v>15268810</v>
      </c>
      <c r="F23" s="9">
        <v>2710446</v>
      </c>
      <c r="G23" s="9">
        <v>19209670.376520004</v>
      </c>
      <c r="H23" s="9">
        <v>15739323</v>
      </c>
      <c r="I23" s="9">
        <v>3470347</v>
      </c>
      <c r="J23" s="9">
        <v>20160314.837740563</v>
      </c>
      <c r="K23" s="9">
        <v>16316673</v>
      </c>
      <c r="L23" s="9">
        <v>3843642</v>
      </c>
      <c r="M23" s="9">
        <v>21548050.5513</v>
      </c>
      <c r="N23" s="9">
        <v>16954069</v>
      </c>
      <c r="O23" s="9">
        <v>4110859</v>
      </c>
      <c r="P23" s="9">
        <v>483123</v>
      </c>
      <c r="Q23" s="9">
        <v>21943205.255612019</v>
      </c>
      <c r="R23" s="9">
        <v>17161770</v>
      </c>
      <c r="S23" s="9">
        <v>4502102</v>
      </c>
      <c r="T23" s="9">
        <v>279333</v>
      </c>
      <c r="U23" s="9">
        <v>21499028.046113763</v>
      </c>
      <c r="V23" s="9">
        <v>17147082</v>
      </c>
      <c r="W23" s="9">
        <v>4502104</v>
      </c>
      <c r="X23" s="9">
        <v>24169</v>
      </c>
      <c r="Y23" s="9">
        <v>317887</v>
      </c>
      <c r="Z23" s="9">
        <v>22018866.611560002</v>
      </c>
      <c r="AA23" s="9">
        <v>17141832</v>
      </c>
      <c r="AB23" s="9">
        <v>4877035</v>
      </c>
      <c r="AC23" s="9">
        <v>22827562.789220002</v>
      </c>
      <c r="AD23" s="9">
        <v>17549961</v>
      </c>
      <c r="AE23" s="9">
        <v>5393484.5103722075</v>
      </c>
      <c r="AF23" s="9">
        <v>23024892.666360006</v>
      </c>
      <c r="AG23" s="9">
        <v>17849470</v>
      </c>
      <c r="AH23" s="9">
        <v>5455184.5103722075</v>
      </c>
      <c r="AI23" s="9">
        <v>23394153.285179999</v>
      </c>
      <c r="AJ23" s="9">
        <v>18210677</v>
      </c>
      <c r="AK23" s="28">
        <v>5517159.5103722075</v>
      </c>
      <c r="AL23" s="9">
        <v>23999962.492609996</v>
      </c>
      <c r="AM23" s="9">
        <v>18808879</v>
      </c>
      <c r="AN23" s="28">
        <v>5579509.5103722075</v>
      </c>
      <c r="AO23" s="9">
        <v>24958578.790420003</v>
      </c>
      <c r="AP23" s="9">
        <v>19022776</v>
      </c>
      <c r="AQ23" s="28">
        <v>5935803</v>
      </c>
      <c r="AR23" s="9">
        <v>24948345.559453651</v>
      </c>
      <c r="AS23" s="9">
        <v>19465664</v>
      </c>
      <c r="AT23" s="28">
        <v>6012213</v>
      </c>
      <c r="AU23" s="9">
        <v>26344731.796339996</v>
      </c>
      <c r="AV23" s="9">
        <v>20247938</v>
      </c>
      <c r="AW23" s="9">
        <v>6115970</v>
      </c>
      <c r="AX23" s="9">
        <v>29177890.758524973</v>
      </c>
      <c r="AY23" s="9">
        <v>21472389</v>
      </c>
      <c r="AZ23" s="28">
        <v>7839520</v>
      </c>
      <c r="BA23" s="9">
        <v>30232498.719999995</v>
      </c>
      <c r="BB23" s="9">
        <v>22294876</v>
      </c>
      <c r="BC23" s="9">
        <v>7937623</v>
      </c>
      <c r="BD23" s="9">
        <v>30147061.930000003</v>
      </c>
      <c r="BE23" s="9">
        <v>22838677</v>
      </c>
      <c r="BF23" s="9">
        <v>8018443</v>
      </c>
      <c r="BG23" s="9">
        <v>33942250.529999994</v>
      </c>
      <c r="BH23" s="9">
        <v>24208528</v>
      </c>
      <c r="BI23" s="9">
        <v>9733723</v>
      </c>
      <c r="BJ23" s="9">
        <v>36758230.609999992</v>
      </c>
      <c r="BK23" s="9">
        <v>25484731</v>
      </c>
      <c r="BL23" s="9">
        <v>11273500</v>
      </c>
      <c r="BM23" s="9"/>
      <c r="BN23" s="9"/>
      <c r="BO23" s="9"/>
      <c r="BP23" s="9"/>
      <c r="BQ23" s="9"/>
      <c r="BR23" s="9"/>
      <c r="BS23" s="9"/>
      <c r="BT23" s="9"/>
      <c r="BU23" s="9"/>
    </row>
    <row r="24" spans="1:73">
      <c r="A24" s="6">
        <v>15</v>
      </c>
      <c r="B24" s="6" t="s">
        <v>1134</v>
      </c>
      <c r="C24" s="421">
        <v>71.48</v>
      </c>
      <c r="D24" s="9">
        <v>0</v>
      </c>
      <c r="E24" s="33">
        <v>0</v>
      </c>
      <c r="F24" s="9">
        <v>0</v>
      </c>
      <c r="G24" s="9">
        <v>0</v>
      </c>
      <c r="H24" s="9">
        <v>0</v>
      </c>
      <c r="I24" s="9">
        <v>0</v>
      </c>
      <c r="J24" s="9">
        <v>0</v>
      </c>
      <c r="K24" s="9">
        <v>0</v>
      </c>
      <c r="L24" s="9">
        <v>0</v>
      </c>
      <c r="M24" s="9">
        <v>0</v>
      </c>
      <c r="N24" s="9">
        <v>0</v>
      </c>
      <c r="O24" s="9">
        <v>0</v>
      </c>
      <c r="P24" s="9">
        <v>0</v>
      </c>
      <c r="Q24" s="9">
        <v>0</v>
      </c>
      <c r="R24" s="9">
        <v>0</v>
      </c>
      <c r="S24" s="9">
        <v>0</v>
      </c>
      <c r="T24" s="9">
        <v>0</v>
      </c>
      <c r="U24" s="9">
        <v>0</v>
      </c>
      <c r="V24" s="9">
        <v>0</v>
      </c>
      <c r="W24" s="9">
        <v>0</v>
      </c>
      <c r="X24" s="9">
        <v>0</v>
      </c>
      <c r="Y24" s="9">
        <v>0</v>
      </c>
      <c r="Z24" s="9">
        <v>0</v>
      </c>
      <c r="AA24" s="9">
        <v>0</v>
      </c>
      <c r="AB24" s="9">
        <v>0</v>
      </c>
      <c r="AC24" s="9">
        <v>0</v>
      </c>
      <c r="AD24" s="9">
        <v>0</v>
      </c>
      <c r="AE24" s="9">
        <v>0</v>
      </c>
      <c r="AF24" s="9">
        <v>0</v>
      </c>
      <c r="AG24" s="9">
        <v>0</v>
      </c>
      <c r="AH24" s="9">
        <v>0</v>
      </c>
      <c r="AI24" s="9">
        <v>0</v>
      </c>
      <c r="AJ24" s="9">
        <v>0</v>
      </c>
      <c r="AK24" s="28">
        <v>0</v>
      </c>
      <c r="AL24" s="9">
        <v>0</v>
      </c>
      <c r="AM24" s="9">
        <v>0</v>
      </c>
      <c r="AN24" s="28">
        <v>0</v>
      </c>
      <c r="AO24" s="9">
        <v>26341.840000000004</v>
      </c>
      <c r="AP24" s="9">
        <v>3873</v>
      </c>
      <c r="AQ24" s="28">
        <v>22469</v>
      </c>
      <c r="AR24" s="9">
        <v>26833.666687179095</v>
      </c>
      <c r="AS24" s="9">
        <v>4106</v>
      </c>
      <c r="AT24" s="28">
        <v>22728</v>
      </c>
      <c r="AU24" s="9">
        <v>13837.16</v>
      </c>
      <c r="AV24" s="9">
        <v>2099</v>
      </c>
      <c r="AW24" s="9">
        <v>13837.16</v>
      </c>
      <c r="AX24" s="9">
        <v>0</v>
      </c>
      <c r="AY24" s="9">
        <v>0</v>
      </c>
      <c r="AZ24" s="28">
        <v>0</v>
      </c>
      <c r="BA24" s="9">
        <v>0</v>
      </c>
      <c r="BB24" s="9">
        <v>0</v>
      </c>
      <c r="BC24" s="9">
        <v>0</v>
      </c>
      <c r="BD24" s="9">
        <v>0</v>
      </c>
      <c r="BE24" s="9">
        <v>0</v>
      </c>
      <c r="BF24" s="9">
        <v>0</v>
      </c>
      <c r="BG24" s="9">
        <v>0</v>
      </c>
      <c r="BH24" s="9">
        <v>0</v>
      </c>
      <c r="BI24" s="9">
        <v>0</v>
      </c>
      <c r="BJ24" s="9">
        <v>0</v>
      </c>
      <c r="BK24" s="9">
        <v>0</v>
      </c>
      <c r="BL24" s="9">
        <v>0</v>
      </c>
      <c r="BM24" s="9"/>
      <c r="BN24" s="9"/>
      <c r="BO24" s="9"/>
      <c r="BP24" s="9"/>
      <c r="BQ24" s="9"/>
      <c r="BR24" s="9"/>
      <c r="BS24" s="9"/>
      <c r="BT24" s="9"/>
      <c r="BU24" s="9"/>
    </row>
    <row r="25" spans="1:73">
      <c r="A25" s="6">
        <v>16</v>
      </c>
      <c r="B25" s="6" t="s">
        <v>1135</v>
      </c>
      <c r="C25" s="421">
        <v>51.51</v>
      </c>
      <c r="D25" s="9">
        <v>49581258</v>
      </c>
      <c r="E25" s="33">
        <v>24133853</v>
      </c>
      <c r="F25" s="9">
        <v>26883243.999999996</v>
      </c>
      <c r="G25" s="9">
        <v>51622674.860000007</v>
      </c>
      <c r="H25" s="9">
        <v>26137000</v>
      </c>
      <c r="I25" s="9">
        <v>27866185.999999996</v>
      </c>
      <c r="J25" s="9">
        <v>53454656.395922035</v>
      </c>
      <c r="K25" s="9">
        <v>27572010</v>
      </c>
      <c r="L25" s="9">
        <v>28728682.999999996</v>
      </c>
      <c r="M25" s="9">
        <v>56616897.470000006</v>
      </c>
      <c r="N25" s="9">
        <v>28727620</v>
      </c>
      <c r="O25" s="9">
        <v>27069945.999999996</v>
      </c>
      <c r="P25" s="9">
        <v>3181356</v>
      </c>
      <c r="Q25" s="9">
        <v>58918761.277305275</v>
      </c>
      <c r="R25" s="9">
        <v>28533080</v>
      </c>
      <c r="S25" s="9">
        <v>29646276</v>
      </c>
      <c r="T25" s="9">
        <v>739405</v>
      </c>
      <c r="U25" s="9">
        <v>57958272.469619997</v>
      </c>
      <c r="V25" s="9">
        <v>29329457</v>
      </c>
      <c r="W25" s="9">
        <v>28610552</v>
      </c>
      <c r="X25" s="9">
        <v>153594</v>
      </c>
      <c r="Y25" s="9">
        <v>1774285</v>
      </c>
      <c r="Z25" s="9">
        <v>59072872.719999991</v>
      </c>
      <c r="AA25" s="9">
        <v>30079922</v>
      </c>
      <c r="AB25" s="9">
        <v>28992951</v>
      </c>
      <c r="AC25" s="9">
        <v>63511315.789999999</v>
      </c>
      <c r="AD25" s="9">
        <v>31014381</v>
      </c>
      <c r="AE25" s="9">
        <v>32496935</v>
      </c>
      <c r="AF25" s="9">
        <v>65997192.829999998</v>
      </c>
      <c r="AG25" s="9">
        <v>31917394</v>
      </c>
      <c r="AH25" s="9">
        <v>34079799</v>
      </c>
      <c r="AI25" s="9">
        <v>66876305.419999994</v>
      </c>
      <c r="AJ25" s="9">
        <v>32678917</v>
      </c>
      <c r="AK25" s="28">
        <v>34235474</v>
      </c>
      <c r="AL25" s="9">
        <v>68325590.250000015</v>
      </c>
      <c r="AM25" s="9">
        <v>33083184</v>
      </c>
      <c r="AN25" s="28">
        <v>35242406</v>
      </c>
      <c r="AO25" s="9">
        <v>68466287.280000016</v>
      </c>
      <c r="AP25" s="9">
        <v>32806836</v>
      </c>
      <c r="AQ25" s="28">
        <v>35659451</v>
      </c>
      <c r="AR25" s="9">
        <v>69495854.734565571</v>
      </c>
      <c r="AS25" s="9">
        <v>33973326</v>
      </c>
      <c r="AT25" s="28">
        <v>35846981</v>
      </c>
      <c r="AU25" s="9">
        <v>72980818.829999998</v>
      </c>
      <c r="AV25" s="9">
        <v>35206834</v>
      </c>
      <c r="AW25" s="9">
        <v>37773985</v>
      </c>
      <c r="AX25" s="9">
        <v>77760770.558410808</v>
      </c>
      <c r="AY25" s="9">
        <v>36638947</v>
      </c>
      <c r="AZ25" s="28">
        <v>41121824</v>
      </c>
      <c r="BA25" s="9">
        <v>79207276.429999992</v>
      </c>
      <c r="BB25" s="9">
        <v>38037529</v>
      </c>
      <c r="BC25" s="9">
        <v>41169747</v>
      </c>
      <c r="BD25" s="9">
        <v>80741145.670000002</v>
      </c>
      <c r="BE25" s="9">
        <v>39217459</v>
      </c>
      <c r="BF25" s="9">
        <v>41523687</v>
      </c>
      <c r="BG25" s="9">
        <v>89310929.609999999</v>
      </c>
      <c r="BH25" s="9">
        <v>41515915</v>
      </c>
      <c r="BI25" s="9">
        <v>47795015</v>
      </c>
      <c r="BJ25" s="9">
        <v>97105120.719999999</v>
      </c>
      <c r="BK25" s="9">
        <v>43712969</v>
      </c>
      <c r="BL25" s="9">
        <v>53392152</v>
      </c>
      <c r="BM25" s="9"/>
      <c r="BN25" s="9"/>
      <c r="BO25" s="9"/>
      <c r="BP25" s="9"/>
      <c r="BQ25" s="9"/>
      <c r="BR25" s="9"/>
      <c r="BS25" s="9"/>
      <c r="BT25" s="9"/>
      <c r="BU25" s="9"/>
    </row>
    <row r="26" spans="1:73">
      <c r="A26" s="6">
        <v>17</v>
      </c>
      <c r="B26" s="6" t="s">
        <v>1136</v>
      </c>
      <c r="C26" s="421">
        <v>41.99</v>
      </c>
      <c r="D26" s="9">
        <v>16499311</v>
      </c>
      <c r="E26" s="33">
        <v>14372371</v>
      </c>
      <c r="F26" s="9">
        <v>3851160.4</v>
      </c>
      <c r="G26" s="9">
        <v>17023458.98</v>
      </c>
      <c r="H26" s="9">
        <v>14092633</v>
      </c>
      <c r="I26" s="9">
        <v>4305255.4000000004</v>
      </c>
      <c r="J26" s="9">
        <v>18480214.973095328</v>
      </c>
      <c r="K26" s="9">
        <v>14055240</v>
      </c>
      <c r="L26" s="9">
        <v>5071081.4000000004</v>
      </c>
      <c r="M26" s="9">
        <v>19659678.48</v>
      </c>
      <c r="N26" s="9">
        <v>13968259</v>
      </c>
      <c r="O26" s="9">
        <v>5197030.4000000004</v>
      </c>
      <c r="P26" s="9">
        <v>610773</v>
      </c>
      <c r="Q26" s="9">
        <v>20439500.344528228</v>
      </c>
      <c r="R26" s="9">
        <v>14187753</v>
      </c>
      <c r="S26" s="9">
        <v>5691647</v>
      </c>
      <c r="T26" s="9">
        <v>560100</v>
      </c>
      <c r="U26" s="9">
        <v>20652528.680219997</v>
      </c>
      <c r="V26" s="9">
        <v>14065172</v>
      </c>
      <c r="W26" s="9">
        <v>6460963</v>
      </c>
      <c r="X26" s="9">
        <v>34685</v>
      </c>
      <c r="Y26" s="9">
        <v>91709</v>
      </c>
      <c r="Z26" s="9">
        <v>20662647.859999999</v>
      </c>
      <c r="AA26" s="9">
        <v>14287674</v>
      </c>
      <c r="AB26" s="9">
        <v>6495648</v>
      </c>
      <c r="AC26" s="9">
        <v>22131023.739999998</v>
      </c>
      <c r="AD26" s="9">
        <v>14570334</v>
      </c>
      <c r="AE26" s="9">
        <v>7942820.3625045</v>
      </c>
      <c r="AF26" s="9">
        <v>22143759.650000002</v>
      </c>
      <c r="AG26" s="9">
        <v>14877912</v>
      </c>
      <c r="AH26" s="9">
        <v>8141597.1613508752</v>
      </c>
      <c r="AI26" s="9">
        <v>22469656.549999997</v>
      </c>
      <c r="AJ26" s="9">
        <v>14563293</v>
      </c>
      <c r="AK26" s="28">
        <v>8389817.1613508761</v>
      </c>
      <c r="AL26" s="9">
        <v>22643826.370000001</v>
      </c>
      <c r="AM26" s="9">
        <v>14394734</v>
      </c>
      <c r="AN26" s="28">
        <v>8448392.1613508761</v>
      </c>
      <c r="AO26" s="9">
        <v>23122124.420000002</v>
      </c>
      <c r="AP26" s="9">
        <v>14141768</v>
      </c>
      <c r="AQ26" s="28">
        <v>8983238</v>
      </c>
      <c r="AR26" s="9">
        <v>24064548.393377755</v>
      </c>
      <c r="AS26" s="9">
        <v>13986014</v>
      </c>
      <c r="AT26" s="28">
        <v>10078534</v>
      </c>
      <c r="AU26" s="9">
        <v>25672129.779999997</v>
      </c>
      <c r="AV26" s="9">
        <v>14624535</v>
      </c>
      <c r="AW26" s="9">
        <v>11066959</v>
      </c>
      <c r="AX26" s="9">
        <v>26762943.249616574</v>
      </c>
      <c r="AY26" s="9">
        <v>15076760</v>
      </c>
      <c r="AZ26" s="28">
        <v>11851108</v>
      </c>
      <c r="BA26" s="9">
        <v>27521289.789999999</v>
      </c>
      <c r="BB26" s="9">
        <v>15309359</v>
      </c>
      <c r="BC26" s="9">
        <v>12211931</v>
      </c>
      <c r="BD26" s="9">
        <v>27367440.740000006</v>
      </c>
      <c r="BE26" s="9">
        <v>15568309</v>
      </c>
      <c r="BF26" s="9">
        <v>12284561</v>
      </c>
      <c r="BG26" s="9">
        <v>30252650.170000002</v>
      </c>
      <c r="BH26" s="9">
        <v>16217482</v>
      </c>
      <c r="BI26" s="9">
        <v>14035168</v>
      </c>
      <c r="BJ26" s="9">
        <v>32176028.359999999</v>
      </c>
      <c r="BK26" s="9">
        <v>17041707</v>
      </c>
      <c r="BL26" s="9">
        <v>15134321</v>
      </c>
      <c r="BM26" s="9"/>
      <c r="BN26" s="9"/>
      <c r="BO26" s="9"/>
      <c r="BP26" s="9"/>
      <c r="BQ26" s="9"/>
      <c r="BR26" s="9"/>
      <c r="BS26" s="9"/>
      <c r="BT26" s="9"/>
      <c r="BU26" s="9"/>
    </row>
    <row r="27" spans="1:73">
      <c r="A27" s="6">
        <v>18</v>
      </c>
      <c r="B27" s="6" t="s">
        <v>1137</v>
      </c>
      <c r="C27" s="421">
        <v>36.86</v>
      </c>
      <c r="D27" s="9">
        <v>4314744</v>
      </c>
      <c r="E27" s="33">
        <v>5219399</v>
      </c>
      <c r="F27" s="9">
        <v>598615.19999999995</v>
      </c>
      <c r="G27" s="9">
        <v>4744879.2</v>
      </c>
      <c r="H27" s="9">
        <v>5087039</v>
      </c>
      <c r="I27" s="9">
        <v>689890.2</v>
      </c>
      <c r="J27" s="9">
        <v>4908325.580745657</v>
      </c>
      <c r="K27" s="9">
        <v>4879669</v>
      </c>
      <c r="L27" s="9">
        <v>821450.2</v>
      </c>
      <c r="M27" s="9">
        <v>4880185.91</v>
      </c>
      <c r="N27" s="9">
        <v>4634153</v>
      </c>
      <c r="O27" s="9">
        <v>787773.2</v>
      </c>
      <c r="P27" s="9">
        <v>92582</v>
      </c>
      <c r="Q27" s="9">
        <v>5079184.7577110045</v>
      </c>
      <c r="R27" s="9">
        <v>4655392</v>
      </c>
      <c r="S27" s="9">
        <v>862748</v>
      </c>
      <c r="T27" s="9">
        <v>0</v>
      </c>
      <c r="U27" s="9">
        <v>5003299.8623400005</v>
      </c>
      <c r="V27" s="9">
        <v>4683156</v>
      </c>
      <c r="W27" s="9">
        <v>812346</v>
      </c>
      <c r="X27" s="9">
        <v>4361</v>
      </c>
      <c r="Y27" s="9">
        <v>59766</v>
      </c>
      <c r="Z27" s="9">
        <v>5311469.62</v>
      </c>
      <c r="AA27" s="9">
        <v>4662241</v>
      </c>
      <c r="AB27" s="9">
        <v>816707</v>
      </c>
      <c r="AC27" s="9">
        <v>5330691.71</v>
      </c>
      <c r="AD27" s="9">
        <v>4889789</v>
      </c>
      <c r="AE27" s="9">
        <v>874133.94566824997</v>
      </c>
      <c r="AF27" s="9">
        <v>5277960.9499999993</v>
      </c>
      <c r="AG27" s="9">
        <v>4882181</v>
      </c>
      <c r="AH27" s="9">
        <v>902872.92975868739</v>
      </c>
      <c r="AI27" s="9">
        <v>5301350.57</v>
      </c>
      <c r="AJ27" s="9">
        <v>4680844</v>
      </c>
      <c r="AK27" s="28">
        <v>946828.92975868739</v>
      </c>
      <c r="AL27" s="9">
        <v>5497208.8500000006</v>
      </c>
      <c r="AM27" s="9">
        <v>4485828</v>
      </c>
      <c r="AN27" s="28">
        <v>1011381</v>
      </c>
      <c r="AO27" s="9">
        <v>5736311.7000000011</v>
      </c>
      <c r="AP27" s="9">
        <v>4321841</v>
      </c>
      <c r="AQ27" s="28">
        <v>1414471</v>
      </c>
      <c r="AR27" s="9">
        <v>5634205.6633891659</v>
      </c>
      <c r="AS27" s="9">
        <v>4254900</v>
      </c>
      <c r="AT27" s="28">
        <v>1430611</v>
      </c>
      <c r="AU27" s="9">
        <v>6193899.0300000012</v>
      </c>
      <c r="AV27" s="9">
        <v>4386495</v>
      </c>
      <c r="AW27" s="9">
        <v>1807404</v>
      </c>
      <c r="AX27" s="9">
        <v>6653932.0309206927</v>
      </c>
      <c r="AY27" s="9">
        <v>4537696</v>
      </c>
      <c r="AZ27" s="28">
        <v>2116236</v>
      </c>
      <c r="BA27" s="9">
        <v>7045846.1099999985</v>
      </c>
      <c r="BB27" s="9">
        <v>4598969</v>
      </c>
      <c r="BC27" s="9">
        <v>2448769</v>
      </c>
      <c r="BD27" s="9">
        <v>7016240.1299999999</v>
      </c>
      <c r="BE27" s="9">
        <v>4689958</v>
      </c>
      <c r="BF27" s="9">
        <v>2465569</v>
      </c>
      <c r="BG27" s="9">
        <v>8289241.6600000001</v>
      </c>
      <c r="BH27" s="9">
        <v>5081884</v>
      </c>
      <c r="BI27" s="9">
        <v>3207358</v>
      </c>
      <c r="BJ27" s="9">
        <v>9536788.9200000018</v>
      </c>
      <c r="BK27" s="9">
        <v>5390722</v>
      </c>
      <c r="BL27" s="9">
        <v>4146067</v>
      </c>
      <c r="BM27" s="9"/>
      <c r="BN27" s="9"/>
      <c r="BO27" s="9"/>
      <c r="BP27" s="9"/>
      <c r="BQ27" s="9"/>
      <c r="BR27" s="9"/>
      <c r="BS27" s="9"/>
      <c r="BT27" s="9"/>
      <c r="BU27" s="9"/>
    </row>
    <row r="28" spans="1:73">
      <c r="A28" s="6">
        <v>19</v>
      </c>
      <c r="B28" s="6" t="s">
        <v>1138</v>
      </c>
      <c r="C28" s="421">
        <v>26.98</v>
      </c>
      <c r="D28" s="9">
        <v>8246427</v>
      </c>
      <c r="E28" s="33">
        <v>6215760</v>
      </c>
      <c r="F28" s="9">
        <v>3640814</v>
      </c>
      <c r="G28" s="9">
        <v>8871545.0322399996</v>
      </c>
      <c r="H28" s="9">
        <v>6363490</v>
      </c>
      <c r="I28" s="9">
        <v>3883672</v>
      </c>
      <c r="J28" s="9">
        <v>9386273.5519316979</v>
      </c>
      <c r="K28" s="9">
        <v>6352709</v>
      </c>
      <c r="L28" s="9">
        <v>4095225</v>
      </c>
      <c r="M28" s="9">
        <v>9764441.5805200022</v>
      </c>
      <c r="N28" s="9">
        <v>6347229</v>
      </c>
      <c r="O28" s="9">
        <v>3805903</v>
      </c>
      <c r="P28" s="9">
        <v>447283</v>
      </c>
      <c r="Q28" s="9">
        <v>10086779.713210486</v>
      </c>
      <c r="R28" s="9">
        <v>6445455</v>
      </c>
      <c r="S28" s="9">
        <v>4168122</v>
      </c>
      <c r="T28" s="9">
        <v>0</v>
      </c>
      <c r="U28" s="9">
        <v>643993</v>
      </c>
      <c r="V28" s="9">
        <v>415421.3758135406</v>
      </c>
      <c r="W28" s="9">
        <v>253793</v>
      </c>
      <c r="X28" s="9">
        <v>1362</v>
      </c>
      <c r="Y28" s="9">
        <v>16107</v>
      </c>
      <c r="Z28" s="9">
        <v>769483.96129999985</v>
      </c>
      <c r="AA28" s="9">
        <v>504740</v>
      </c>
      <c r="AB28" s="9">
        <v>264744</v>
      </c>
      <c r="AC28" s="9">
        <v>104146</v>
      </c>
      <c r="AD28" s="9">
        <v>557301</v>
      </c>
      <c r="AE28" s="9">
        <v>38995</v>
      </c>
      <c r="AF28" s="9">
        <v>0</v>
      </c>
      <c r="AG28" s="9">
        <v>0</v>
      </c>
      <c r="AH28" s="9">
        <v>0</v>
      </c>
      <c r="AI28" s="9">
        <v>0</v>
      </c>
      <c r="AJ28" s="9">
        <v>0</v>
      </c>
      <c r="AK28" s="28">
        <v>0</v>
      </c>
      <c r="AL28" s="9">
        <v>0</v>
      </c>
      <c r="AM28" s="9">
        <v>0</v>
      </c>
      <c r="AN28" s="28">
        <v>0</v>
      </c>
      <c r="AO28" s="9">
        <v>0</v>
      </c>
      <c r="AP28" s="9">
        <v>0</v>
      </c>
      <c r="AQ28" s="28">
        <v>0</v>
      </c>
      <c r="AR28" s="9">
        <v>0</v>
      </c>
      <c r="AS28" s="9">
        <v>0</v>
      </c>
      <c r="AT28" s="28">
        <v>0</v>
      </c>
      <c r="AU28" s="9">
        <v>0</v>
      </c>
      <c r="AV28" s="9">
        <v>0</v>
      </c>
      <c r="AW28" s="9">
        <v>0</v>
      </c>
      <c r="AX28" s="9">
        <v>0</v>
      </c>
      <c r="AY28" s="9">
        <v>0</v>
      </c>
      <c r="AZ28" s="28">
        <v>0</v>
      </c>
      <c r="BA28" s="9">
        <v>0</v>
      </c>
      <c r="BB28" s="9">
        <v>0</v>
      </c>
      <c r="BC28" s="9">
        <v>0</v>
      </c>
      <c r="BD28" s="9">
        <v>0</v>
      </c>
      <c r="BE28" s="9">
        <v>0</v>
      </c>
      <c r="BF28" s="9">
        <v>0</v>
      </c>
      <c r="BG28" s="9">
        <v>0</v>
      </c>
      <c r="BH28" s="9">
        <v>0</v>
      </c>
      <c r="BI28" s="9">
        <v>0</v>
      </c>
      <c r="BJ28" s="9">
        <v>0</v>
      </c>
      <c r="BK28" s="9">
        <v>0</v>
      </c>
      <c r="BL28" s="9">
        <v>0</v>
      </c>
      <c r="BM28" s="9"/>
      <c r="BN28" s="9"/>
      <c r="BO28" s="9"/>
      <c r="BP28" s="9"/>
      <c r="BQ28" s="9"/>
      <c r="BR28" s="9"/>
      <c r="BS28" s="9"/>
      <c r="BT28" s="9"/>
      <c r="BU28" s="9"/>
    </row>
    <row r="29" spans="1:73">
      <c r="A29" s="6">
        <v>20</v>
      </c>
      <c r="B29" s="6" t="s">
        <v>1139</v>
      </c>
      <c r="C29" s="421">
        <v>17.5</v>
      </c>
      <c r="D29" s="9">
        <v>47026157</v>
      </c>
      <c r="E29" s="33">
        <v>46712289</v>
      </c>
      <c r="F29" s="9">
        <v>6420888</v>
      </c>
      <c r="G29" s="9">
        <v>47204345.670000002</v>
      </c>
      <c r="H29" s="9">
        <v>46877880</v>
      </c>
      <c r="I29" s="9">
        <v>6788862</v>
      </c>
      <c r="J29" s="9">
        <v>48539833.542866066</v>
      </c>
      <c r="K29" s="9">
        <v>45893085</v>
      </c>
      <c r="L29" s="9">
        <v>7300545</v>
      </c>
      <c r="M29" s="9">
        <v>49407513.479999997</v>
      </c>
      <c r="N29" s="9">
        <v>45447325</v>
      </c>
      <c r="O29" s="9">
        <v>6930189</v>
      </c>
      <c r="P29" s="9">
        <v>814460</v>
      </c>
      <c r="Q29" s="9">
        <v>50897964.509274639</v>
      </c>
      <c r="R29" s="9">
        <v>45599938</v>
      </c>
      <c r="S29" s="9">
        <v>7589756</v>
      </c>
      <c r="T29" s="9">
        <v>0</v>
      </c>
      <c r="U29" s="9">
        <v>49664767.726020001</v>
      </c>
      <c r="V29" s="9">
        <v>44936193</v>
      </c>
      <c r="W29" s="9">
        <v>7146363</v>
      </c>
      <c r="X29" s="9">
        <v>38365</v>
      </c>
      <c r="Y29" s="9">
        <v>542328</v>
      </c>
      <c r="Z29" s="9">
        <v>49571418</v>
      </c>
      <c r="AA29" s="9">
        <v>44732590</v>
      </c>
      <c r="AB29" s="9">
        <v>7184728</v>
      </c>
      <c r="AC29" s="9">
        <v>52647431.899999999</v>
      </c>
      <c r="AD29" s="9">
        <v>46300239</v>
      </c>
      <c r="AE29" s="9">
        <v>7401888</v>
      </c>
      <c r="AF29" s="9">
        <v>53905631.089999996</v>
      </c>
      <c r="AG29" s="9">
        <v>47284048</v>
      </c>
      <c r="AH29" s="9">
        <v>7909787.3601874998</v>
      </c>
      <c r="AI29" s="9">
        <v>53870372.68999999</v>
      </c>
      <c r="AJ29" s="9">
        <v>46207751</v>
      </c>
      <c r="AK29" s="28">
        <v>8440922.3601875007</v>
      </c>
      <c r="AL29" s="9">
        <v>55521659.879999995</v>
      </c>
      <c r="AM29" s="9">
        <v>46784953</v>
      </c>
      <c r="AN29" s="28">
        <v>8736707</v>
      </c>
      <c r="AO29" s="9">
        <v>57300644.839999989</v>
      </c>
      <c r="AP29" s="9">
        <v>47453547</v>
      </c>
      <c r="AQ29" s="28">
        <v>9847098</v>
      </c>
      <c r="AR29" s="9">
        <v>58000134.653313488</v>
      </c>
      <c r="AS29" s="9">
        <v>48045485</v>
      </c>
      <c r="AT29" s="28">
        <v>10011348</v>
      </c>
      <c r="AU29" s="9">
        <v>60393953.440000013</v>
      </c>
      <c r="AV29" s="9">
        <v>49825012</v>
      </c>
      <c r="AW29" s="9">
        <v>10568941</v>
      </c>
      <c r="AX29" s="9">
        <v>63524348.519651115</v>
      </c>
      <c r="AY29" s="9">
        <v>51296149</v>
      </c>
      <c r="AZ29" s="28">
        <v>12228200</v>
      </c>
      <c r="BA29" s="9">
        <v>65773443.140000001</v>
      </c>
      <c r="BB29" s="9">
        <v>52762387</v>
      </c>
      <c r="BC29" s="9">
        <v>13011056</v>
      </c>
      <c r="BD29" s="9">
        <v>65238260.339999989</v>
      </c>
      <c r="BE29" s="9">
        <v>53821564</v>
      </c>
      <c r="BF29" s="9">
        <v>13165466</v>
      </c>
      <c r="BG29" s="9">
        <v>75594779.840000004</v>
      </c>
      <c r="BH29" s="9">
        <v>56888584</v>
      </c>
      <c r="BI29" s="9">
        <v>18706196</v>
      </c>
      <c r="BJ29" s="9">
        <v>84542110.140000001</v>
      </c>
      <c r="BK29" s="9">
        <v>59790057</v>
      </c>
      <c r="BL29" s="9">
        <v>24752053</v>
      </c>
      <c r="BM29" s="9"/>
      <c r="BN29" s="9"/>
      <c r="BO29" s="9"/>
      <c r="BP29" s="9"/>
      <c r="BQ29" s="9"/>
      <c r="BR29" s="9"/>
      <c r="BS29" s="9"/>
      <c r="BT29" s="9"/>
      <c r="BU29" s="9"/>
    </row>
    <row r="30" spans="1:73">
      <c r="A30" s="6">
        <v>21</v>
      </c>
      <c r="B30" s="6" t="s">
        <v>1140</v>
      </c>
      <c r="C30" s="421">
        <v>58.56</v>
      </c>
      <c r="D30" s="9">
        <v>19593</v>
      </c>
      <c r="E30" s="33">
        <v>9834</v>
      </c>
      <c r="F30" s="9">
        <v>15043</v>
      </c>
      <c r="G30" s="9">
        <v>21699.32</v>
      </c>
      <c r="H30" s="9">
        <v>7253</v>
      </c>
      <c r="I30" s="9">
        <v>16444</v>
      </c>
      <c r="J30" s="9">
        <v>22710.54</v>
      </c>
      <c r="K30" s="9">
        <v>6521</v>
      </c>
      <c r="L30" s="9">
        <v>17100</v>
      </c>
      <c r="M30" s="9">
        <v>23886.98</v>
      </c>
      <c r="N30" s="9">
        <v>7013</v>
      </c>
      <c r="O30" s="9">
        <v>17858</v>
      </c>
      <c r="P30" s="9">
        <v>0</v>
      </c>
      <c r="Q30" s="9">
        <v>61532.87502392345</v>
      </c>
      <c r="R30" s="9">
        <v>22041</v>
      </c>
      <c r="S30" s="9">
        <v>17501</v>
      </c>
      <c r="T30" s="9">
        <v>21991</v>
      </c>
      <c r="U30" s="9">
        <v>0</v>
      </c>
      <c r="V30" s="9">
        <v>0</v>
      </c>
      <c r="W30" s="9">
        <v>0</v>
      </c>
      <c r="X30" s="9">
        <v>0</v>
      </c>
      <c r="Y30" s="9">
        <v>0</v>
      </c>
      <c r="Z30" s="9">
        <v>12250.07</v>
      </c>
      <c r="AA30" s="9">
        <v>4767</v>
      </c>
      <c r="AB30" s="9">
        <v>7483</v>
      </c>
      <c r="AC30" s="9">
        <v>25394.420000000002</v>
      </c>
      <c r="AD30" s="9">
        <v>10406</v>
      </c>
      <c r="AE30" s="9">
        <v>14988</v>
      </c>
      <c r="AF30" s="9">
        <v>12894.02</v>
      </c>
      <c r="AG30" s="9">
        <v>5544</v>
      </c>
      <c r="AH30" s="9">
        <v>12894.02</v>
      </c>
      <c r="AI30" s="9">
        <v>0</v>
      </c>
      <c r="AJ30" s="9">
        <v>0</v>
      </c>
      <c r="AK30" s="28">
        <v>0</v>
      </c>
      <c r="AL30" s="9">
        <v>0</v>
      </c>
      <c r="AM30" s="9">
        <v>0</v>
      </c>
      <c r="AN30" s="28">
        <v>0</v>
      </c>
      <c r="AO30" s="9">
        <v>0</v>
      </c>
      <c r="AP30" s="9">
        <v>0</v>
      </c>
      <c r="AQ30" s="28">
        <v>0</v>
      </c>
      <c r="AR30" s="9">
        <v>0</v>
      </c>
      <c r="AS30" s="9">
        <v>0</v>
      </c>
      <c r="AT30" s="28">
        <v>0</v>
      </c>
      <c r="AU30" s="9">
        <v>0</v>
      </c>
      <c r="AV30" s="9">
        <v>0</v>
      </c>
      <c r="AW30" s="9">
        <v>0</v>
      </c>
      <c r="AX30" s="9">
        <v>0</v>
      </c>
      <c r="AY30" s="9">
        <v>0</v>
      </c>
      <c r="AZ30" s="28">
        <v>0</v>
      </c>
      <c r="BA30" s="9">
        <v>0</v>
      </c>
      <c r="BB30" s="9">
        <v>0</v>
      </c>
      <c r="BC30" s="9">
        <v>0</v>
      </c>
      <c r="BD30" s="9">
        <v>0</v>
      </c>
      <c r="BE30" s="9">
        <v>0</v>
      </c>
      <c r="BF30" s="9">
        <v>0</v>
      </c>
      <c r="BG30" s="9">
        <v>0</v>
      </c>
      <c r="BH30" s="9">
        <v>0</v>
      </c>
      <c r="BI30" s="9">
        <v>0</v>
      </c>
      <c r="BJ30" s="9">
        <v>0</v>
      </c>
      <c r="BK30" s="9">
        <v>0</v>
      </c>
      <c r="BL30" s="9">
        <v>0</v>
      </c>
      <c r="BM30" s="9"/>
      <c r="BN30" s="9"/>
      <c r="BO30" s="9"/>
      <c r="BP30" s="9"/>
      <c r="BQ30" s="9"/>
      <c r="BR30" s="9"/>
      <c r="BS30" s="9"/>
      <c r="BT30" s="9"/>
      <c r="BU30" s="9"/>
    </row>
    <row r="31" spans="1:73">
      <c r="A31" s="6">
        <v>22</v>
      </c>
      <c r="B31" s="6" t="s">
        <v>1141</v>
      </c>
      <c r="C31" s="421">
        <v>17.5</v>
      </c>
      <c r="D31" s="9">
        <v>48982</v>
      </c>
      <c r="E31" s="33">
        <v>54219</v>
      </c>
      <c r="F31" s="9">
        <v>48982</v>
      </c>
      <c r="G31" s="9">
        <v>140168.19</v>
      </c>
      <c r="H31" s="9">
        <v>87604</v>
      </c>
      <c r="I31" s="9">
        <v>79274</v>
      </c>
      <c r="J31" s="9">
        <v>146700.20000000001</v>
      </c>
      <c r="K31" s="9">
        <v>105888</v>
      </c>
      <c r="L31" s="9">
        <v>80981</v>
      </c>
      <c r="M31" s="9">
        <v>95547.92</v>
      </c>
      <c r="N31" s="9">
        <v>70485</v>
      </c>
      <c r="O31" s="9">
        <v>81381</v>
      </c>
      <c r="P31" s="9">
        <v>0</v>
      </c>
      <c r="Q31" s="9">
        <v>86146.025033492828</v>
      </c>
      <c r="R31" s="9">
        <v>68508</v>
      </c>
      <c r="S31" s="9">
        <v>79753</v>
      </c>
      <c r="T31" s="9">
        <v>0</v>
      </c>
      <c r="U31" s="9">
        <v>155492.25912</v>
      </c>
      <c r="V31" s="9">
        <v>142385</v>
      </c>
      <c r="W31" s="9">
        <v>76563</v>
      </c>
      <c r="X31" s="9">
        <v>0</v>
      </c>
      <c r="Y31" s="9">
        <v>0</v>
      </c>
      <c r="Z31" s="9">
        <v>170510.26</v>
      </c>
      <c r="AA31" s="9">
        <v>161768</v>
      </c>
      <c r="AB31" s="9">
        <v>76563</v>
      </c>
      <c r="AC31" s="9">
        <v>227522.88</v>
      </c>
      <c r="AD31" s="9">
        <v>221631</v>
      </c>
      <c r="AE31" s="9">
        <v>76563</v>
      </c>
      <c r="AF31" s="9">
        <v>218155.53</v>
      </c>
      <c r="AG31" s="9">
        <v>210026</v>
      </c>
      <c r="AH31" s="9">
        <v>76563</v>
      </c>
      <c r="AI31" s="9">
        <v>246041.35</v>
      </c>
      <c r="AJ31" s="9">
        <v>221437</v>
      </c>
      <c r="AK31" s="28">
        <v>76563</v>
      </c>
      <c r="AL31" s="9">
        <v>118799.64000000001</v>
      </c>
      <c r="AM31" s="9">
        <v>103997</v>
      </c>
      <c r="AN31" s="28">
        <v>76563</v>
      </c>
      <c r="AO31" s="9">
        <v>170156.80000000002</v>
      </c>
      <c r="AP31" s="9">
        <v>141158</v>
      </c>
      <c r="AQ31" s="28">
        <v>76563</v>
      </c>
      <c r="AR31" s="9">
        <v>173216.84932388432</v>
      </c>
      <c r="AS31" s="9">
        <v>131694</v>
      </c>
      <c r="AT31" s="28">
        <v>76563</v>
      </c>
      <c r="AU31" s="9">
        <v>206187.50999999995</v>
      </c>
      <c r="AV31" s="9">
        <v>157270</v>
      </c>
      <c r="AW31" s="9">
        <v>76563</v>
      </c>
      <c r="AX31" s="9">
        <v>143717.97255353359</v>
      </c>
      <c r="AY31" s="9">
        <v>108529</v>
      </c>
      <c r="AZ31" s="28">
        <v>76563</v>
      </c>
      <c r="BA31" s="9">
        <v>188943.82</v>
      </c>
      <c r="BB31" s="9">
        <v>155879</v>
      </c>
      <c r="BC31" s="9">
        <v>76563</v>
      </c>
      <c r="BD31" s="9">
        <v>207582.36000000004</v>
      </c>
      <c r="BE31" s="9">
        <v>163858</v>
      </c>
      <c r="BF31" s="9">
        <v>76923</v>
      </c>
      <c r="BG31" s="9">
        <v>202094.16</v>
      </c>
      <c r="BH31" s="9">
        <v>153855</v>
      </c>
      <c r="BI31" s="9">
        <v>76923</v>
      </c>
      <c r="BJ31" s="9">
        <v>261641.76000000004</v>
      </c>
      <c r="BK31" s="9">
        <v>189361</v>
      </c>
      <c r="BL31" s="9">
        <v>76923</v>
      </c>
      <c r="BM31" s="9"/>
      <c r="BN31" s="9"/>
      <c r="BO31" s="9"/>
      <c r="BP31" s="9"/>
      <c r="BQ31" s="9"/>
      <c r="BR31" s="9"/>
      <c r="BS31" s="9"/>
      <c r="BT31" s="9"/>
      <c r="BU31" s="9"/>
    </row>
    <row r="32" spans="1:73">
      <c r="A32" s="6">
        <v>23</v>
      </c>
      <c r="B32" s="6" t="s">
        <v>1142</v>
      </c>
      <c r="C32" s="421">
        <v>17.5</v>
      </c>
      <c r="D32" s="9">
        <v>17469341</v>
      </c>
      <c r="E32" s="33">
        <v>19992834</v>
      </c>
      <c r="F32" s="9">
        <v>2053688</v>
      </c>
      <c r="G32" s="9">
        <v>18847501.762400001</v>
      </c>
      <c r="H32" s="9">
        <v>20198035</v>
      </c>
      <c r="I32" s="9">
        <v>2302613</v>
      </c>
      <c r="J32" s="9">
        <v>19936512.315641664</v>
      </c>
      <c r="K32" s="9">
        <v>20143875</v>
      </c>
      <c r="L32" s="9">
        <v>2658496</v>
      </c>
      <c r="M32" s="9">
        <v>21540315.715160001</v>
      </c>
      <c r="N32" s="9">
        <v>20229106</v>
      </c>
      <c r="O32" s="9">
        <v>2707008</v>
      </c>
      <c r="P32" s="9">
        <v>318137</v>
      </c>
      <c r="Q32" s="9">
        <v>22837847.15390702</v>
      </c>
      <c r="R32" s="9">
        <v>20263035</v>
      </c>
      <c r="S32" s="9">
        <v>2964642</v>
      </c>
      <c r="T32" s="9">
        <v>0</v>
      </c>
      <c r="U32" s="9">
        <v>22281982.144923359</v>
      </c>
      <c r="V32" s="9">
        <v>20213672</v>
      </c>
      <c r="W32" s="9">
        <v>2791448</v>
      </c>
      <c r="X32" s="9">
        <v>14986</v>
      </c>
      <c r="Y32" s="9">
        <v>220883</v>
      </c>
      <c r="Z32" s="9">
        <v>22574959.842000004</v>
      </c>
      <c r="AA32" s="9">
        <v>20395123</v>
      </c>
      <c r="AB32" s="9">
        <v>2806434</v>
      </c>
      <c r="AC32" s="9">
        <v>24305160.20324</v>
      </c>
      <c r="AD32" s="9">
        <v>20957504</v>
      </c>
      <c r="AE32" s="9">
        <v>3729645.7841924857</v>
      </c>
      <c r="AF32" s="9">
        <v>25381920.618640006</v>
      </c>
      <c r="AG32" s="9">
        <v>21670472</v>
      </c>
      <c r="AH32" s="9">
        <f>3907693.36520986+16844</f>
        <v>3924537.3652098598</v>
      </c>
      <c r="AI32" s="9">
        <v>25862895.333689999</v>
      </c>
      <c r="AJ32" s="9">
        <v>21890571</v>
      </c>
      <c r="AK32" s="28">
        <v>4145009.3652098598</v>
      </c>
      <c r="AL32" s="9">
        <v>26053076.229189999</v>
      </c>
      <c r="AM32" s="9">
        <v>22187734</v>
      </c>
      <c r="AN32" s="28">
        <v>4209634.3652098598</v>
      </c>
      <c r="AO32" s="9">
        <v>25950850.370000001</v>
      </c>
      <c r="AP32" s="9">
        <v>21694256</v>
      </c>
      <c r="AQ32" s="28">
        <v>4352414.3652098598</v>
      </c>
      <c r="AR32" s="9">
        <v>26915524.993783444</v>
      </c>
      <c r="AS32" s="9">
        <v>22291183</v>
      </c>
      <c r="AT32" s="28">
        <v>4624342</v>
      </c>
      <c r="AU32" s="9">
        <v>27912085.889699996</v>
      </c>
      <c r="AV32" s="9">
        <v>23027471</v>
      </c>
      <c r="AW32" s="9">
        <v>4884615</v>
      </c>
      <c r="AX32" s="9">
        <v>29672258.159568485</v>
      </c>
      <c r="AY32" s="9">
        <v>24098559</v>
      </c>
      <c r="AZ32" s="28">
        <v>5595167</v>
      </c>
      <c r="BA32" s="9">
        <v>30502691.57316</v>
      </c>
      <c r="BB32" s="9">
        <v>25097492</v>
      </c>
      <c r="BC32" s="9">
        <v>5595167</v>
      </c>
      <c r="BD32" s="9">
        <v>30729462.661080003</v>
      </c>
      <c r="BE32" s="9">
        <v>25351806</v>
      </c>
      <c r="BF32" s="9">
        <v>5674637</v>
      </c>
      <c r="BG32" s="9">
        <v>32246555.756910007</v>
      </c>
      <c r="BH32" s="9">
        <v>26379003</v>
      </c>
      <c r="BI32" s="9">
        <v>5867553</v>
      </c>
      <c r="BJ32" s="9">
        <v>33265363.043120004</v>
      </c>
      <c r="BK32" s="9">
        <v>27443924</v>
      </c>
      <c r="BL32" s="9">
        <v>6020493</v>
      </c>
      <c r="BM32" s="9"/>
      <c r="BN32" s="9"/>
      <c r="BO32" s="9"/>
      <c r="BP32" s="9"/>
      <c r="BQ32" s="9"/>
      <c r="BR32" s="9"/>
      <c r="BS32" s="9"/>
      <c r="BT32" s="9"/>
      <c r="BU32" s="9"/>
    </row>
    <row r="33" spans="1:73">
      <c r="A33" s="6">
        <v>24</v>
      </c>
      <c r="B33" s="6" t="s">
        <v>1143</v>
      </c>
      <c r="C33" s="421">
        <v>46.96</v>
      </c>
      <c r="D33" s="9">
        <v>18090392</v>
      </c>
      <c r="E33" s="33">
        <v>8585608</v>
      </c>
      <c r="F33" s="9">
        <v>9504784</v>
      </c>
      <c r="G33" s="9">
        <v>19713838.600000001</v>
      </c>
      <c r="H33" s="9">
        <v>9148930</v>
      </c>
      <c r="I33" s="9">
        <v>10564909</v>
      </c>
      <c r="J33" s="9">
        <v>20636641.406207636</v>
      </c>
      <c r="K33" s="9">
        <v>9371626</v>
      </c>
      <c r="L33" s="9">
        <v>11265015</v>
      </c>
      <c r="M33" s="9">
        <v>22678130.579999998</v>
      </c>
      <c r="N33" s="9">
        <v>9514031</v>
      </c>
      <c r="O33" s="9">
        <v>11779707</v>
      </c>
      <c r="P33" s="9">
        <v>1384393</v>
      </c>
      <c r="Q33" s="9">
        <v>23575322.127127279</v>
      </c>
      <c r="R33" s="9">
        <v>9788345</v>
      </c>
      <c r="S33" s="9">
        <v>12900818</v>
      </c>
      <c r="T33" s="9">
        <v>886159</v>
      </c>
      <c r="U33" s="9">
        <v>22816367.782979999</v>
      </c>
      <c r="V33" s="9">
        <v>9964385</v>
      </c>
      <c r="W33" s="9">
        <v>12981543</v>
      </c>
      <c r="X33" s="9">
        <v>69691</v>
      </c>
      <c r="Y33" s="9">
        <v>802818</v>
      </c>
      <c r="Z33" s="9">
        <v>23483392.580000002</v>
      </c>
      <c r="AA33" s="9">
        <v>10232132</v>
      </c>
      <c r="AB33" s="9">
        <v>13251261</v>
      </c>
      <c r="AC33" s="9">
        <v>23567308.230000004</v>
      </c>
      <c r="AD33" s="9">
        <v>10469424</v>
      </c>
      <c r="AE33" s="9">
        <v>13355141</v>
      </c>
      <c r="AF33" s="9">
        <v>23833924.679999996</v>
      </c>
      <c r="AG33" s="9">
        <v>10829462</v>
      </c>
      <c r="AH33" s="9">
        <v>13419341</v>
      </c>
      <c r="AI33" s="9">
        <v>23327151.939999998</v>
      </c>
      <c r="AJ33" s="9">
        <v>11128856</v>
      </c>
      <c r="AK33" s="28">
        <v>13481666</v>
      </c>
      <c r="AL33" s="9">
        <v>22973661.619999997</v>
      </c>
      <c r="AM33" s="9">
        <v>11383708</v>
      </c>
      <c r="AN33" s="28">
        <v>13541691</v>
      </c>
      <c r="AO33" s="9">
        <v>23089848.73</v>
      </c>
      <c r="AP33" s="9">
        <v>11282677</v>
      </c>
      <c r="AQ33" s="28">
        <v>13673306</v>
      </c>
      <c r="AR33" s="9">
        <v>23338797.006631523</v>
      </c>
      <c r="AS33" s="9">
        <v>11231898</v>
      </c>
      <c r="AT33" s="28">
        <v>13744526</v>
      </c>
      <c r="AU33" s="9">
        <v>23863029.98</v>
      </c>
      <c r="AV33" s="9">
        <v>11563925</v>
      </c>
      <c r="AW33" s="9">
        <v>13814846</v>
      </c>
      <c r="AX33" s="9">
        <v>24514320.307211746</v>
      </c>
      <c r="AY33" s="9">
        <v>12048062</v>
      </c>
      <c r="AZ33" s="28">
        <v>13884146</v>
      </c>
      <c r="BA33" s="9">
        <v>24726417.459999997</v>
      </c>
      <c r="BB33" s="9">
        <v>12418125</v>
      </c>
      <c r="BC33" s="9">
        <v>13884146</v>
      </c>
      <c r="BD33" s="9">
        <v>24800115.190000001</v>
      </c>
      <c r="BE33" s="9">
        <v>12857028</v>
      </c>
      <c r="BF33" s="9">
        <v>13950266</v>
      </c>
      <c r="BG33" s="9">
        <v>26384198.330000002</v>
      </c>
      <c r="BH33" s="9">
        <v>13099002</v>
      </c>
      <c r="BI33" s="9">
        <v>14080886</v>
      </c>
      <c r="BJ33" s="9">
        <v>27713334.379999995</v>
      </c>
      <c r="BK33" s="9">
        <v>13763232</v>
      </c>
      <c r="BL33" s="9">
        <v>14210006</v>
      </c>
      <c r="BM33" s="9"/>
      <c r="BN33" s="9"/>
      <c r="BO33" s="9"/>
      <c r="BP33" s="9"/>
      <c r="BQ33" s="9"/>
      <c r="BR33" s="9"/>
      <c r="BS33" s="9"/>
      <c r="BT33" s="9"/>
      <c r="BU33" s="9"/>
    </row>
    <row r="34" spans="1:73">
      <c r="A34" s="6">
        <v>25</v>
      </c>
      <c r="B34" s="6" t="s">
        <v>1144</v>
      </c>
      <c r="C34" s="421">
        <v>28.51</v>
      </c>
      <c r="D34" s="9">
        <v>19213556</v>
      </c>
      <c r="E34" s="33">
        <v>11849997</v>
      </c>
      <c r="F34" s="9">
        <v>7674956.0000000019</v>
      </c>
      <c r="G34" s="9">
        <v>19765781.870000005</v>
      </c>
      <c r="H34" s="9">
        <v>12301746</v>
      </c>
      <c r="I34" s="9">
        <v>7877733.0000000019</v>
      </c>
      <c r="J34" s="9">
        <v>20737641.341686606</v>
      </c>
      <c r="K34" s="9">
        <v>12839032</v>
      </c>
      <c r="L34" s="9">
        <v>8236349</v>
      </c>
      <c r="M34" s="9">
        <v>21635191.629999999</v>
      </c>
      <c r="N34" s="9">
        <v>13286678</v>
      </c>
      <c r="O34" s="9">
        <v>7660683</v>
      </c>
      <c r="P34" s="9">
        <v>900310</v>
      </c>
      <c r="Q34" s="9">
        <v>22336539.266939711</v>
      </c>
      <c r="R34" s="9">
        <v>13855656</v>
      </c>
      <c r="S34" s="9">
        <v>8389773</v>
      </c>
      <c r="T34" s="9">
        <v>91110</v>
      </c>
      <c r="U34" s="9">
        <v>21918230.382779997</v>
      </c>
      <c r="V34" s="9">
        <v>14070986</v>
      </c>
      <c r="W34" s="9">
        <v>7985431</v>
      </c>
      <c r="X34" s="9">
        <v>42869</v>
      </c>
      <c r="Y34" s="9">
        <v>516233</v>
      </c>
      <c r="Z34" s="9">
        <v>22005905.830000002</v>
      </c>
      <c r="AA34" s="9">
        <v>14331642</v>
      </c>
      <c r="AB34" s="9">
        <v>8028300</v>
      </c>
      <c r="AC34" s="9">
        <v>21897110.52</v>
      </c>
      <c r="AD34" s="9">
        <v>14719762</v>
      </c>
      <c r="AE34" s="9">
        <v>8123660</v>
      </c>
      <c r="AF34" s="9">
        <v>22859867.109999999</v>
      </c>
      <c r="AG34" s="9">
        <v>15024829</v>
      </c>
      <c r="AH34" s="9">
        <v>8184635</v>
      </c>
      <c r="AI34" s="9">
        <v>22925709.119999997</v>
      </c>
      <c r="AJ34" s="9">
        <v>15265577</v>
      </c>
      <c r="AK34" s="28">
        <v>8245235</v>
      </c>
      <c r="AL34" s="9">
        <v>23462633.450000003</v>
      </c>
      <c r="AM34" s="9">
        <v>15314220</v>
      </c>
      <c r="AN34" s="28">
        <v>8305835</v>
      </c>
      <c r="AO34" s="9">
        <v>22360509.420000002</v>
      </c>
      <c r="AP34" s="9">
        <v>15180149</v>
      </c>
      <c r="AQ34" s="28">
        <v>8433985</v>
      </c>
      <c r="AR34" s="9">
        <v>22943454.173670746</v>
      </c>
      <c r="AS34" s="9">
        <v>15348243</v>
      </c>
      <c r="AT34" s="28">
        <v>8503945</v>
      </c>
      <c r="AU34" s="9">
        <v>23842628.519999996</v>
      </c>
      <c r="AV34" s="9">
        <v>15794941</v>
      </c>
      <c r="AW34" s="9">
        <v>8573845</v>
      </c>
      <c r="AX34" s="9">
        <v>24541929.425553497</v>
      </c>
      <c r="AY34" s="9">
        <v>16455942</v>
      </c>
      <c r="AZ34" s="28">
        <v>8642425</v>
      </c>
      <c r="BA34" s="9">
        <v>24676853.43</v>
      </c>
      <c r="BB34" s="9">
        <v>16772086</v>
      </c>
      <c r="BC34" s="9">
        <v>8642425</v>
      </c>
      <c r="BD34" s="9">
        <v>24805882.760000002</v>
      </c>
      <c r="BE34" s="9">
        <v>17397231</v>
      </c>
      <c r="BF34" s="9">
        <v>8707945</v>
      </c>
      <c r="BG34" s="9">
        <v>27015991.390000001</v>
      </c>
      <c r="BH34" s="9">
        <v>18432465</v>
      </c>
      <c r="BI34" s="9">
        <v>8837425</v>
      </c>
      <c r="BJ34" s="9">
        <v>29660512.23</v>
      </c>
      <c r="BK34" s="9">
        <v>19686080</v>
      </c>
      <c r="BL34" s="9">
        <v>9974432</v>
      </c>
      <c r="BM34" s="9"/>
      <c r="BN34" s="9"/>
      <c r="BO34" s="9"/>
      <c r="BP34" s="9"/>
      <c r="BQ34" s="9"/>
      <c r="BR34" s="9"/>
      <c r="BS34" s="9"/>
      <c r="BT34" s="9"/>
      <c r="BU34" s="9"/>
    </row>
    <row r="35" spans="1:73">
      <c r="A35" s="6">
        <v>26</v>
      </c>
      <c r="B35" s="6" t="s">
        <v>1145</v>
      </c>
      <c r="C35" s="421">
        <v>17.5</v>
      </c>
      <c r="D35" s="9">
        <v>25508704</v>
      </c>
      <c r="E35" s="33">
        <v>25370522</v>
      </c>
      <c r="F35" s="9">
        <v>3002919.2</v>
      </c>
      <c r="G35" s="9">
        <v>26906930.229400001</v>
      </c>
      <c r="H35" s="9">
        <v>25515369</v>
      </c>
      <c r="I35" s="9">
        <v>3344078.2</v>
      </c>
      <c r="J35" s="9">
        <v>28888243.350710981</v>
      </c>
      <c r="K35" s="9">
        <v>25916568</v>
      </c>
      <c r="L35" s="9">
        <v>3857487.2</v>
      </c>
      <c r="M35" s="9">
        <v>31086767.443360008</v>
      </c>
      <c r="N35" s="9">
        <v>26482952</v>
      </c>
      <c r="O35" s="9">
        <v>4119658</v>
      </c>
      <c r="P35" s="9">
        <v>484157</v>
      </c>
      <c r="Q35" s="9">
        <v>33630843.731472418</v>
      </c>
      <c r="R35" s="9">
        <v>27745446</v>
      </c>
      <c r="S35" s="9">
        <v>4511739</v>
      </c>
      <c r="T35" s="9">
        <v>1373659</v>
      </c>
      <c r="U35" s="9">
        <v>32919934.323621243</v>
      </c>
      <c r="V35" s="9">
        <v>28127012</v>
      </c>
      <c r="W35" s="9">
        <v>5541573</v>
      </c>
      <c r="X35" s="9">
        <v>29750</v>
      </c>
      <c r="Y35" s="9">
        <v>410300</v>
      </c>
      <c r="Z35" s="9">
        <v>33178102.924880005</v>
      </c>
      <c r="AA35" s="9">
        <v>28699894</v>
      </c>
      <c r="AB35" s="9">
        <v>5571323</v>
      </c>
      <c r="AC35" s="9">
        <v>34247348.968879998</v>
      </c>
      <c r="AD35" s="9">
        <v>29351497</v>
      </c>
      <c r="AE35" s="9">
        <v>5724243</v>
      </c>
      <c r="AF35" s="9">
        <v>35925169.712800004</v>
      </c>
      <c r="AG35" s="9">
        <v>30375090</v>
      </c>
      <c r="AH35" s="9">
        <v>5864908.424935</v>
      </c>
      <c r="AI35" s="9">
        <v>37689370.076880001</v>
      </c>
      <c r="AJ35" s="9">
        <v>31269266</v>
      </c>
      <c r="AK35" s="28">
        <v>6420104</v>
      </c>
      <c r="AL35" s="9">
        <v>39180121.943280004</v>
      </c>
      <c r="AM35" s="9">
        <v>32414023</v>
      </c>
      <c r="AN35" s="28">
        <v>6766099</v>
      </c>
      <c r="AO35" s="9">
        <v>40728661.169720002</v>
      </c>
      <c r="AP35" s="9">
        <v>33616892</v>
      </c>
      <c r="AQ35" s="28">
        <v>7111769</v>
      </c>
      <c r="AR35" s="9">
        <v>42643514.599933475</v>
      </c>
      <c r="AS35" s="9">
        <v>34843282</v>
      </c>
      <c r="AT35" s="28">
        <v>7800233</v>
      </c>
      <c r="AU35" s="9">
        <v>45512607.460039996</v>
      </c>
      <c r="AV35" s="9">
        <v>36735671</v>
      </c>
      <c r="AW35" s="9">
        <v>9036713</v>
      </c>
      <c r="AX35" s="9">
        <v>47857221.466895089</v>
      </c>
      <c r="AY35" s="9">
        <v>38364680</v>
      </c>
      <c r="AZ35" s="424">
        <v>9637942</v>
      </c>
      <c r="BA35" s="9">
        <v>50418107.66032999</v>
      </c>
      <c r="BB35" s="9">
        <v>40662179</v>
      </c>
      <c r="BC35" s="9">
        <v>9755929</v>
      </c>
      <c r="BD35" s="9">
        <v>50694465.246789992</v>
      </c>
      <c r="BE35" s="9">
        <v>40824828</v>
      </c>
      <c r="BF35" s="9">
        <v>9891949</v>
      </c>
      <c r="BG35" s="9">
        <v>53256083.380400002</v>
      </c>
      <c r="BH35" s="9">
        <v>43686648</v>
      </c>
      <c r="BI35" s="9">
        <v>10158889</v>
      </c>
      <c r="BJ35" s="9">
        <v>57423975.883839987</v>
      </c>
      <c r="BK35" s="9">
        <v>45639441</v>
      </c>
      <c r="BL35" s="9">
        <v>11784535</v>
      </c>
      <c r="BM35" s="9"/>
      <c r="BN35" s="9"/>
      <c r="BO35" s="9"/>
      <c r="BP35" s="9"/>
      <c r="BQ35" s="9"/>
      <c r="BR35" s="9"/>
      <c r="BS35" s="9"/>
      <c r="BT35" s="9"/>
      <c r="BU35" s="9"/>
    </row>
    <row r="36" spans="1:73">
      <c r="A36" s="6">
        <v>27</v>
      </c>
      <c r="B36" s="6" t="s">
        <v>1146</v>
      </c>
      <c r="C36" s="421">
        <v>42.34</v>
      </c>
      <c r="D36" s="9">
        <v>7643922</v>
      </c>
      <c r="E36" s="33">
        <v>2828497</v>
      </c>
      <c r="F36" s="9">
        <v>4920431</v>
      </c>
      <c r="G36" s="9">
        <v>8272940.120000001</v>
      </c>
      <c r="H36" s="9">
        <v>3113070</v>
      </c>
      <c r="I36" s="9">
        <v>5258969</v>
      </c>
      <c r="J36" s="9">
        <v>8560781.2362940945</v>
      </c>
      <c r="K36" s="9">
        <v>3328896</v>
      </c>
      <c r="L36" s="9">
        <v>5405595</v>
      </c>
      <c r="M36" s="9">
        <v>8827170.8099999987</v>
      </c>
      <c r="N36" s="9">
        <v>3585871</v>
      </c>
      <c r="O36" s="9">
        <v>4954853</v>
      </c>
      <c r="P36" s="9">
        <v>582312</v>
      </c>
      <c r="Q36" s="9">
        <v>9064946.7510200962</v>
      </c>
      <c r="R36" s="9">
        <v>3849845</v>
      </c>
      <c r="S36" s="9">
        <v>5426422</v>
      </c>
      <c r="T36" s="9">
        <v>0</v>
      </c>
      <c r="U36" s="9">
        <v>6358267</v>
      </c>
      <c r="V36" s="9">
        <v>2943167.6275719707</v>
      </c>
      <c r="W36" s="9">
        <v>3785929</v>
      </c>
      <c r="X36" s="9">
        <v>19984</v>
      </c>
      <c r="Y36" s="9">
        <v>230000</v>
      </c>
      <c r="Z36" s="9">
        <v>6692981.5599999996</v>
      </c>
      <c r="AA36" s="9">
        <v>3181543</v>
      </c>
      <c r="AB36" s="9">
        <v>3805913</v>
      </c>
      <c r="AC36" s="9">
        <v>6718784.6800000006</v>
      </c>
      <c r="AD36" s="9">
        <v>3109727</v>
      </c>
      <c r="AE36" s="9">
        <v>3837513</v>
      </c>
      <c r="AF36" s="9">
        <v>6637699.4999999991</v>
      </c>
      <c r="AG36" s="9">
        <v>3087420</v>
      </c>
      <c r="AH36" s="9">
        <v>3856463</v>
      </c>
      <c r="AI36" s="9">
        <v>6578224.6799999988</v>
      </c>
      <c r="AJ36" s="9">
        <v>3202757</v>
      </c>
      <c r="AK36" s="28">
        <v>3875013</v>
      </c>
      <c r="AL36" s="9">
        <v>6569709.3200000003</v>
      </c>
      <c r="AM36" s="9">
        <v>3390355</v>
      </c>
      <c r="AN36" s="28">
        <v>3893088</v>
      </c>
      <c r="AO36" s="9">
        <v>6930346.8399999989</v>
      </c>
      <c r="AP36" s="9">
        <v>3591123</v>
      </c>
      <c r="AQ36" s="28">
        <v>3934448</v>
      </c>
      <c r="AR36" s="9">
        <v>7359719.0961112287</v>
      </c>
      <c r="AS36" s="9">
        <v>3696563</v>
      </c>
      <c r="AT36" s="28">
        <v>3957968</v>
      </c>
      <c r="AU36" s="9">
        <v>7541762.2899999991</v>
      </c>
      <c r="AV36" s="9">
        <v>3837447</v>
      </c>
      <c r="AW36" s="9">
        <v>3981188</v>
      </c>
      <c r="AX36" s="9">
        <v>7578024.2998736957</v>
      </c>
      <c r="AY36" s="9">
        <v>3944412</v>
      </c>
      <c r="AZ36" s="28">
        <v>4003448</v>
      </c>
      <c r="BA36" s="9">
        <v>8014902.1800000006</v>
      </c>
      <c r="BB36" s="9">
        <v>4170576</v>
      </c>
      <c r="BC36" s="9">
        <v>4003448</v>
      </c>
      <c r="BD36" s="9">
        <v>7950531.7800000003</v>
      </c>
      <c r="BE36" s="9">
        <v>4249272</v>
      </c>
      <c r="BF36" s="9">
        <v>4025438</v>
      </c>
      <c r="BG36" s="9">
        <v>8601441.5</v>
      </c>
      <c r="BH36" s="9">
        <v>4571797</v>
      </c>
      <c r="BI36" s="9">
        <v>4068938</v>
      </c>
      <c r="BJ36" s="9">
        <v>8929788.1399999987</v>
      </c>
      <c r="BK36" s="9">
        <v>4777868</v>
      </c>
      <c r="BL36" s="9">
        <v>4151920</v>
      </c>
      <c r="BM36" s="9"/>
      <c r="BN36" s="9"/>
      <c r="BO36" s="9"/>
      <c r="BP36" s="9"/>
      <c r="BQ36" s="9"/>
      <c r="BR36" s="9"/>
      <c r="BS36" s="9"/>
      <c r="BT36" s="9"/>
      <c r="BU36" s="9"/>
    </row>
    <row r="37" spans="1:73">
      <c r="A37" s="6">
        <v>28</v>
      </c>
      <c r="B37" s="6" t="s">
        <v>1147</v>
      </c>
      <c r="C37" s="421">
        <v>17.5</v>
      </c>
      <c r="D37" s="9">
        <v>1495721</v>
      </c>
      <c r="E37" s="33">
        <v>1260426</v>
      </c>
      <c r="F37" s="9">
        <v>505156.8</v>
      </c>
      <c r="G37" s="9">
        <v>1574409.8655099997</v>
      </c>
      <c r="H37" s="9">
        <v>1380034</v>
      </c>
      <c r="I37" s="9">
        <v>518927.8</v>
      </c>
      <c r="J37" s="9">
        <v>1531631.5569803971</v>
      </c>
      <c r="K37" s="9">
        <v>1426621</v>
      </c>
      <c r="L37" s="9">
        <v>529127.80000000005</v>
      </c>
      <c r="M37" s="9">
        <v>1559344.8398399998</v>
      </c>
      <c r="N37" s="9">
        <v>1379744</v>
      </c>
      <c r="O37" s="9">
        <v>482385.8</v>
      </c>
      <c r="P37" s="9">
        <v>56692</v>
      </c>
      <c r="Q37" s="9">
        <v>1739191.978516578</v>
      </c>
      <c r="R37" s="9">
        <v>1464517</v>
      </c>
      <c r="S37" s="9">
        <v>528296</v>
      </c>
      <c r="T37" s="9">
        <v>0</v>
      </c>
      <c r="U37" s="9">
        <v>1521295.9949798398</v>
      </c>
      <c r="V37" s="9">
        <v>1367714</v>
      </c>
      <c r="W37" s="9">
        <v>497433</v>
      </c>
      <c r="X37" s="9">
        <v>2670</v>
      </c>
      <c r="Y37" s="9">
        <v>32943</v>
      </c>
      <c r="Z37" s="9">
        <v>1493144.841</v>
      </c>
      <c r="AA37" s="9">
        <v>1321677</v>
      </c>
      <c r="AB37" s="9">
        <v>500103</v>
      </c>
      <c r="AC37" s="9">
        <v>1366340</v>
      </c>
      <c r="AD37" s="9">
        <v>1379734</v>
      </c>
      <c r="AE37" s="9">
        <v>428980</v>
      </c>
      <c r="AF37" s="9">
        <v>1449658.5541600001</v>
      </c>
      <c r="AG37" s="9">
        <v>1228268</v>
      </c>
      <c r="AH37" s="9">
        <v>433030</v>
      </c>
      <c r="AI37" s="9">
        <v>1474055.7653800002</v>
      </c>
      <c r="AJ37" s="9">
        <v>1240618</v>
      </c>
      <c r="AK37" s="28">
        <v>437180</v>
      </c>
      <c r="AL37" s="9">
        <v>1394075.23704</v>
      </c>
      <c r="AM37" s="9">
        <v>1182830</v>
      </c>
      <c r="AN37" s="28">
        <v>440980</v>
      </c>
      <c r="AO37" s="9">
        <v>1517885.7034299998</v>
      </c>
      <c r="AP37" s="9">
        <v>1268093</v>
      </c>
      <c r="AQ37" s="28">
        <v>449505</v>
      </c>
      <c r="AR37" s="9">
        <v>1603891.1351568666</v>
      </c>
      <c r="AS37" s="9">
        <v>1339179</v>
      </c>
      <c r="AT37" s="28">
        <v>454305</v>
      </c>
      <c r="AU37" s="9">
        <v>1639651.6628</v>
      </c>
      <c r="AV37" s="9">
        <v>1352713</v>
      </c>
      <c r="AW37" s="9">
        <v>0</v>
      </c>
      <c r="AX37" s="9">
        <v>0</v>
      </c>
      <c r="AY37" s="9">
        <v>0</v>
      </c>
      <c r="AZ37" s="28">
        <v>0</v>
      </c>
      <c r="BA37" s="9">
        <v>0</v>
      </c>
      <c r="BB37" s="9">
        <v>0</v>
      </c>
      <c r="BC37" s="9">
        <v>0</v>
      </c>
      <c r="BD37" s="9">
        <v>0</v>
      </c>
      <c r="BE37" s="9">
        <v>0</v>
      </c>
      <c r="BF37" s="9">
        <v>0</v>
      </c>
      <c r="BG37" s="9">
        <v>0</v>
      </c>
      <c r="BH37" s="9">
        <v>0</v>
      </c>
      <c r="BI37" s="9">
        <v>0</v>
      </c>
      <c r="BJ37" s="9">
        <v>0</v>
      </c>
      <c r="BK37" s="9">
        <v>0</v>
      </c>
      <c r="BL37" s="9">
        <v>0</v>
      </c>
      <c r="BM37" s="9"/>
      <c r="BN37" s="9"/>
      <c r="BO37" s="9"/>
      <c r="BP37" s="9"/>
      <c r="BQ37" s="9"/>
      <c r="BR37" s="9"/>
      <c r="BS37" s="9"/>
      <c r="BT37" s="9"/>
      <c r="BU37" s="9"/>
    </row>
    <row r="38" spans="1:73">
      <c r="A38" s="6">
        <v>29</v>
      </c>
      <c r="B38" s="6" t="s">
        <v>1148</v>
      </c>
      <c r="C38" s="421">
        <v>42.59</v>
      </c>
      <c r="D38" s="9">
        <v>0</v>
      </c>
      <c r="E38" s="33">
        <v>0</v>
      </c>
      <c r="F38" s="9">
        <v>0</v>
      </c>
      <c r="G38" s="9">
        <v>0</v>
      </c>
      <c r="H38" s="9">
        <v>0</v>
      </c>
      <c r="I38" s="9">
        <v>0</v>
      </c>
      <c r="J38" s="9">
        <v>0</v>
      </c>
      <c r="K38" s="9">
        <v>0</v>
      </c>
      <c r="L38" s="9">
        <v>0</v>
      </c>
      <c r="M38" s="9">
        <v>0</v>
      </c>
      <c r="N38" s="9">
        <v>0</v>
      </c>
      <c r="O38" s="9">
        <v>0</v>
      </c>
      <c r="P38" s="9">
        <v>0</v>
      </c>
      <c r="Q38" s="9">
        <v>24613.150009569381</v>
      </c>
      <c r="R38" s="9">
        <v>12834</v>
      </c>
      <c r="S38" s="9">
        <v>0</v>
      </c>
      <c r="T38" s="9">
        <v>11779</v>
      </c>
      <c r="U38" s="9">
        <v>24071.631359999999</v>
      </c>
      <c r="V38" s="9">
        <v>12891</v>
      </c>
      <c r="W38" s="9">
        <v>11308</v>
      </c>
      <c r="X38" s="9">
        <v>0</v>
      </c>
      <c r="Y38" s="9">
        <v>0</v>
      </c>
      <c r="Z38" s="9">
        <v>12250.07</v>
      </c>
      <c r="AA38" s="9">
        <v>6787</v>
      </c>
      <c r="AB38" s="9">
        <v>11308</v>
      </c>
      <c r="AC38" s="9">
        <v>12697.210000000001</v>
      </c>
      <c r="AD38" s="9">
        <v>6666</v>
      </c>
      <c r="AE38" s="9">
        <v>11308</v>
      </c>
      <c r="AF38" s="9">
        <v>0</v>
      </c>
      <c r="AG38" s="9">
        <v>0</v>
      </c>
      <c r="AH38" s="9">
        <v>0</v>
      </c>
      <c r="AI38" s="9">
        <v>0</v>
      </c>
      <c r="AJ38" s="9">
        <v>0</v>
      </c>
      <c r="AK38" s="28">
        <v>0</v>
      </c>
      <c r="AL38" s="9">
        <v>0</v>
      </c>
      <c r="AM38" s="9">
        <v>0</v>
      </c>
      <c r="AN38" s="28">
        <v>0</v>
      </c>
      <c r="AO38" s="9">
        <v>0</v>
      </c>
      <c r="AP38" s="9">
        <v>0</v>
      </c>
      <c r="AQ38" s="28">
        <v>0</v>
      </c>
      <c r="AR38" s="9">
        <v>0</v>
      </c>
      <c r="AS38" s="9">
        <v>0</v>
      </c>
      <c r="AT38" s="28">
        <v>0</v>
      </c>
      <c r="AU38" s="9">
        <v>0</v>
      </c>
      <c r="AV38" s="9">
        <v>0</v>
      </c>
      <c r="AW38" s="9">
        <v>0</v>
      </c>
      <c r="AX38" s="9">
        <v>0</v>
      </c>
      <c r="AY38" s="9">
        <v>0</v>
      </c>
      <c r="AZ38" s="28">
        <v>0</v>
      </c>
      <c r="BA38" s="9">
        <v>0</v>
      </c>
      <c r="BB38" s="9">
        <v>0</v>
      </c>
      <c r="BC38" s="9">
        <v>0</v>
      </c>
      <c r="BD38" s="9">
        <v>0</v>
      </c>
      <c r="BE38" s="9">
        <v>0</v>
      </c>
      <c r="BF38" s="9">
        <v>0</v>
      </c>
      <c r="BG38" s="9">
        <v>0</v>
      </c>
      <c r="BH38" s="9">
        <v>0</v>
      </c>
      <c r="BI38" s="9">
        <v>0</v>
      </c>
      <c r="BJ38" s="9">
        <v>0</v>
      </c>
      <c r="BK38" s="9">
        <v>0</v>
      </c>
      <c r="BL38" s="9">
        <v>0</v>
      </c>
      <c r="BM38" s="9"/>
      <c r="BN38" s="9"/>
      <c r="BO38" s="9"/>
      <c r="BP38" s="9"/>
      <c r="BQ38" s="9"/>
      <c r="BR38" s="9"/>
      <c r="BS38" s="9"/>
      <c r="BT38" s="9"/>
      <c r="BU38" s="9"/>
    </row>
    <row r="39" spans="1:73">
      <c r="A39" s="6">
        <v>30</v>
      </c>
      <c r="B39" s="6" t="s">
        <v>1149</v>
      </c>
      <c r="C39" s="421">
        <v>17.5</v>
      </c>
      <c r="D39" s="9">
        <v>34118143</v>
      </c>
      <c r="E39" s="33">
        <v>32135174</v>
      </c>
      <c r="F39" s="9">
        <v>6332869.2000000002</v>
      </c>
      <c r="G39" s="9">
        <v>35715876.831259988</v>
      </c>
      <c r="H39" s="9">
        <v>32889802</v>
      </c>
      <c r="I39" s="9">
        <v>6612472.2000000002</v>
      </c>
      <c r="J39" s="9">
        <v>37367798.212748706</v>
      </c>
      <c r="K39" s="9">
        <v>33478649</v>
      </c>
      <c r="L39" s="9">
        <v>6901558.2000000002</v>
      </c>
      <c r="M39" s="9">
        <v>39386154.621250004</v>
      </c>
      <c r="N39" s="9">
        <v>34043028</v>
      </c>
      <c r="O39" s="9">
        <v>6491827.2000000002</v>
      </c>
      <c r="P39" s="9">
        <v>762943</v>
      </c>
      <c r="Q39" s="9">
        <v>39194005.831609689</v>
      </c>
      <c r="R39" s="9">
        <v>34064888</v>
      </c>
      <c r="S39" s="9">
        <v>7109675</v>
      </c>
      <c r="T39" s="9">
        <v>0</v>
      </c>
      <c r="U39" s="9">
        <v>38562013.260270961</v>
      </c>
      <c r="V39" s="9">
        <v>34027524</v>
      </c>
      <c r="W39" s="9">
        <v>6694328</v>
      </c>
      <c r="X39" s="9">
        <v>35938</v>
      </c>
      <c r="Y39" s="9">
        <v>485209</v>
      </c>
      <c r="Z39" s="9">
        <v>39163824.46955999</v>
      </c>
      <c r="AA39" s="9">
        <v>34390816</v>
      </c>
      <c r="AB39" s="9">
        <v>6730266</v>
      </c>
      <c r="AC39" s="9">
        <v>41449624.288350001</v>
      </c>
      <c r="AD39" s="9">
        <v>35366026</v>
      </c>
      <c r="AE39" s="9">
        <v>6901866</v>
      </c>
      <c r="AF39" s="9">
        <v>42458330.514560007</v>
      </c>
      <c r="AG39" s="9">
        <v>36512325</v>
      </c>
      <c r="AH39" s="9">
        <f>7033951.460012+193707</f>
        <v>7227658.4600120001</v>
      </c>
      <c r="AI39" s="9">
        <v>43026226.781149998</v>
      </c>
      <c r="AJ39" s="9">
        <v>36875947</v>
      </c>
      <c r="AK39" s="28">
        <v>7336283.4600120001</v>
      </c>
      <c r="AL39" s="9">
        <v>44949344.692879997</v>
      </c>
      <c r="AM39" s="9">
        <v>37443198</v>
      </c>
      <c r="AN39" s="28">
        <v>7506147</v>
      </c>
      <c r="AO39" s="9">
        <v>44666515.990000002</v>
      </c>
      <c r="AP39" s="9">
        <v>37114279</v>
      </c>
      <c r="AQ39" s="28">
        <v>7750842</v>
      </c>
      <c r="AR39" s="9">
        <v>45588032.85854122</v>
      </c>
      <c r="AS39" s="9">
        <v>37741029</v>
      </c>
      <c r="AT39" s="28">
        <v>7884162</v>
      </c>
      <c r="AU39" s="9">
        <v>46490353.889999993</v>
      </c>
      <c r="AV39" s="9">
        <v>38354542</v>
      </c>
      <c r="AW39" s="9">
        <v>8135812</v>
      </c>
      <c r="AX39" s="9">
        <v>49446399.057018369</v>
      </c>
      <c r="AY39" s="9">
        <v>40188832</v>
      </c>
      <c r="AZ39" s="28">
        <v>9257567</v>
      </c>
      <c r="BA39" s="9">
        <v>51866271.119999997</v>
      </c>
      <c r="BB39" s="9">
        <v>41749093</v>
      </c>
      <c r="BC39" s="9">
        <v>10125430</v>
      </c>
      <c r="BD39" s="9">
        <v>53925726.18999999</v>
      </c>
      <c r="BE39" s="9">
        <v>43334812</v>
      </c>
      <c r="BF39" s="9">
        <v>10590914</v>
      </c>
      <c r="BG39" s="9">
        <v>58610573.329999998</v>
      </c>
      <c r="BH39" s="9">
        <v>45452132</v>
      </c>
      <c r="BI39" s="9">
        <v>13158441</v>
      </c>
      <c r="BJ39" s="9">
        <v>61798815.259999998</v>
      </c>
      <c r="BK39" s="9">
        <v>47254334</v>
      </c>
      <c r="BL39" s="9">
        <v>14544481</v>
      </c>
      <c r="BM39" s="9"/>
      <c r="BN39" s="9"/>
      <c r="BO39" s="9"/>
      <c r="BP39" s="9"/>
      <c r="BQ39" s="9"/>
      <c r="BR39" s="9"/>
      <c r="BS39" s="9"/>
      <c r="BT39" s="9"/>
      <c r="BU39" s="9"/>
    </row>
    <row r="40" spans="1:73">
      <c r="A40" s="6">
        <v>31</v>
      </c>
      <c r="B40" s="6" t="s">
        <v>1150</v>
      </c>
      <c r="C40" s="421">
        <v>17.5</v>
      </c>
      <c r="D40" s="9">
        <v>44723745</v>
      </c>
      <c r="E40" s="33">
        <v>33169789</v>
      </c>
      <c r="F40" s="9">
        <v>13000488.000000002</v>
      </c>
      <c r="G40" s="9">
        <v>47634963.546500005</v>
      </c>
      <c r="H40" s="9">
        <v>33645086</v>
      </c>
      <c r="I40" s="9">
        <v>14140521.000000002</v>
      </c>
      <c r="J40" s="9">
        <v>48947057.0166407</v>
      </c>
      <c r="K40" s="9">
        <v>33836479</v>
      </c>
      <c r="L40" s="9">
        <v>15747049.000000002</v>
      </c>
      <c r="M40" s="9">
        <v>51035401.591280006</v>
      </c>
      <c r="N40" s="9">
        <v>33569444</v>
      </c>
      <c r="O40" s="9">
        <v>15629163</v>
      </c>
      <c r="P40" s="9">
        <v>1836795</v>
      </c>
      <c r="Q40" s="9">
        <v>52105541.174899884</v>
      </c>
      <c r="R40" s="9">
        <v>33750443</v>
      </c>
      <c r="S40" s="9">
        <v>17116639</v>
      </c>
      <c r="T40" s="9">
        <v>1238459</v>
      </c>
      <c r="U40" s="9">
        <v>48993356.292637311</v>
      </c>
      <c r="V40" s="9">
        <v>33261644</v>
      </c>
      <c r="W40" s="9">
        <v>17282794</v>
      </c>
      <c r="X40" s="9">
        <v>92782</v>
      </c>
      <c r="Y40" s="9">
        <v>1127922</v>
      </c>
      <c r="Z40" s="9">
        <v>50875415.991750009</v>
      </c>
      <c r="AA40" s="9">
        <v>33909226</v>
      </c>
      <c r="AB40" s="9">
        <v>17375576</v>
      </c>
      <c r="AC40" s="9">
        <v>52527991.367600001</v>
      </c>
      <c r="AD40" s="9">
        <v>34773532</v>
      </c>
      <c r="AE40" s="9">
        <v>18204887.04653937</v>
      </c>
      <c r="AF40" s="9">
        <v>51957284.506579995</v>
      </c>
      <c r="AG40" s="9">
        <v>35443588</v>
      </c>
      <c r="AH40" s="9">
        <f>18343562.0465394+8422</f>
        <v>18351984.0465394</v>
      </c>
      <c r="AI40" s="9">
        <v>50581059.937599994</v>
      </c>
      <c r="AJ40" s="9">
        <v>35165450</v>
      </c>
      <c r="AK40" s="28">
        <v>18486609.0465394</v>
      </c>
      <c r="AL40" s="9">
        <v>51437518.584149994</v>
      </c>
      <c r="AM40" s="9">
        <v>35483899</v>
      </c>
      <c r="AN40" s="28">
        <v>18620584.0465394</v>
      </c>
      <c r="AO40" s="9">
        <v>49371895.506909996</v>
      </c>
      <c r="AP40" s="9">
        <v>34830635</v>
      </c>
      <c r="AQ40" s="28">
        <v>18904494.0465394</v>
      </c>
      <c r="AR40" s="9">
        <v>49374269.014992416</v>
      </c>
      <c r="AS40" s="9">
        <v>35556235</v>
      </c>
      <c r="AT40" s="28">
        <v>19055514.0465394</v>
      </c>
      <c r="AU40" s="9">
        <v>50010476.058320001</v>
      </c>
      <c r="AV40" s="9">
        <v>37025362</v>
      </c>
      <c r="AW40" s="9">
        <v>19202874.0465394</v>
      </c>
      <c r="AX40" s="9">
        <v>51908631.204447828</v>
      </c>
      <c r="AY40" s="9">
        <v>39371685</v>
      </c>
      <c r="AZ40" s="28">
        <v>19348854</v>
      </c>
      <c r="BA40" s="9">
        <v>52647471.612599999</v>
      </c>
      <c r="BB40" s="9">
        <v>41417136</v>
      </c>
      <c r="BC40" s="9">
        <v>19348854</v>
      </c>
      <c r="BD40" s="9">
        <v>52245953.957079992</v>
      </c>
      <c r="BE40" s="9">
        <v>43102912</v>
      </c>
      <c r="BF40" s="9">
        <v>19489674</v>
      </c>
      <c r="BG40" s="9">
        <v>57705837.690000005</v>
      </c>
      <c r="BH40" s="9">
        <v>46197969</v>
      </c>
      <c r="BI40" s="9">
        <v>19777194</v>
      </c>
      <c r="BJ40" s="9">
        <v>63590856.680000007</v>
      </c>
      <c r="BK40" s="9">
        <v>49635324</v>
      </c>
      <c r="BL40" s="9">
        <v>20069934</v>
      </c>
      <c r="BM40" s="9"/>
      <c r="BN40" s="9"/>
      <c r="BO40" s="9"/>
      <c r="BP40" s="9"/>
      <c r="BQ40" s="9"/>
      <c r="BR40" s="9"/>
      <c r="BS40" s="9"/>
      <c r="BT40" s="9"/>
      <c r="BU40" s="9"/>
    </row>
    <row r="41" spans="1:73">
      <c r="A41" s="6">
        <v>32</v>
      </c>
      <c r="B41" s="6" t="s">
        <v>1151</v>
      </c>
      <c r="C41" s="421">
        <v>44.4</v>
      </c>
      <c r="D41" s="9">
        <v>78960</v>
      </c>
      <c r="E41" s="33">
        <v>54427</v>
      </c>
      <c r="F41" s="9">
        <v>38854</v>
      </c>
      <c r="G41" s="9">
        <v>194416.49</v>
      </c>
      <c r="H41" s="9">
        <v>79381</v>
      </c>
      <c r="I41" s="9">
        <v>115035</v>
      </c>
      <c r="J41" s="9">
        <v>192121.28</v>
      </c>
      <c r="K41" s="9">
        <v>87676</v>
      </c>
      <c r="L41" s="9">
        <v>115785</v>
      </c>
      <c r="M41" s="9">
        <v>214016.92</v>
      </c>
      <c r="N41" s="9">
        <v>93849</v>
      </c>
      <c r="O41" s="9">
        <v>127344</v>
      </c>
      <c r="P41" s="9">
        <v>0</v>
      </c>
      <c r="Q41" s="9">
        <v>208216.51714449763</v>
      </c>
      <c r="R41" s="9">
        <v>92534</v>
      </c>
      <c r="S41" s="9">
        <v>124797</v>
      </c>
      <c r="T41" s="9">
        <v>0</v>
      </c>
      <c r="U41" s="9">
        <v>84250.709759999998</v>
      </c>
      <c r="V41" s="9">
        <v>38469</v>
      </c>
      <c r="W41" s="9">
        <v>84250.709759999998</v>
      </c>
      <c r="X41" s="9">
        <v>0</v>
      </c>
      <c r="Y41" s="9">
        <v>0</v>
      </c>
      <c r="Z41" s="9">
        <v>85750.49</v>
      </c>
      <c r="AA41" s="9">
        <v>40589</v>
      </c>
      <c r="AB41" s="9">
        <v>84251</v>
      </c>
      <c r="AC41" s="9">
        <v>88880.470000000016</v>
      </c>
      <c r="AD41" s="9">
        <v>43338</v>
      </c>
      <c r="AE41" s="9">
        <v>84251</v>
      </c>
      <c r="AF41" s="9">
        <v>116046.18</v>
      </c>
      <c r="AG41" s="9">
        <v>57626</v>
      </c>
      <c r="AH41" s="9">
        <v>84251</v>
      </c>
      <c r="AI41" s="9">
        <v>181016.85000000003</v>
      </c>
      <c r="AJ41" s="9">
        <v>89793</v>
      </c>
      <c r="AK41" s="28">
        <v>91224</v>
      </c>
      <c r="AL41" s="9">
        <v>223331.82000000004</v>
      </c>
      <c r="AM41" s="9">
        <v>112108</v>
      </c>
      <c r="AN41" s="28">
        <v>111224</v>
      </c>
      <c r="AO41" s="9">
        <v>249182.32000000004</v>
      </c>
      <c r="AP41" s="9">
        <v>125734</v>
      </c>
      <c r="AQ41" s="28">
        <v>125414</v>
      </c>
      <c r="AR41" s="9">
        <v>293968.34941619023</v>
      </c>
      <c r="AS41" s="9">
        <v>142085</v>
      </c>
      <c r="AT41" s="28">
        <v>151883</v>
      </c>
      <c r="AU41" s="9">
        <v>303047.63</v>
      </c>
      <c r="AV41" s="9">
        <v>146874</v>
      </c>
      <c r="AW41" s="9">
        <v>156507</v>
      </c>
      <c r="AX41" s="9">
        <v>357718.72900887078</v>
      </c>
      <c r="AY41" s="9">
        <v>174004</v>
      </c>
      <c r="AZ41" s="28">
        <v>183898</v>
      </c>
      <c r="BA41" s="9">
        <v>408810.81999999995</v>
      </c>
      <c r="BB41" s="9">
        <v>197411</v>
      </c>
      <c r="BC41" s="9">
        <v>211400</v>
      </c>
      <c r="BD41" s="9">
        <v>446826.83999999991</v>
      </c>
      <c r="BE41" s="9">
        <v>218589</v>
      </c>
      <c r="BF41" s="9">
        <v>234189</v>
      </c>
      <c r="BG41" s="9">
        <v>437559.81000000006</v>
      </c>
      <c r="BH41" s="9">
        <v>213832</v>
      </c>
      <c r="BI41" s="9">
        <v>234189</v>
      </c>
      <c r="BJ41" s="9">
        <v>393567.83999999997</v>
      </c>
      <c r="BK41" s="9">
        <v>197879</v>
      </c>
      <c r="BL41" s="9">
        <v>234189</v>
      </c>
      <c r="BM41" s="9"/>
      <c r="BN41" s="9"/>
      <c r="BO41" s="9"/>
      <c r="BP41" s="9"/>
      <c r="BQ41" s="9"/>
      <c r="BR41" s="9"/>
      <c r="BS41" s="9"/>
      <c r="BT41" s="9"/>
      <c r="BU41" s="9"/>
    </row>
    <row r="42" spans="1:73">
      <c r="A42" s="6">
        <v>33</v>
      </c>
      <c r="B42" s="6" t="s">
        <v>1152</v>
      </c>
      <c r="C42" s="421">
        <v>17.5</v>
      </c>
      <c r="D42" s="9">
        <v>48982</v>
      </c>
      <c r="E42" s="33">
        <v>35517</v>
      </c>
      <c r="F42" s="9">
        <v>34879</v>
      </c>
      <c r="G42" s="9">
        <v>65097.96</v>
      </c>
      <c r="H42" s="9">
        <v>37532</v>
      </c>
      <c r="I42" s="9">
        <v>43027</v>
      </c>
      <c r="J42" s="9">
        <v>34065.81</v>
      </c>
      <c r="K42" s="9">
        <v>19175</v>
      </c>
      <c r="L42" s="9">
        <v>34065.81</v>
      </c>
      <c r="M42" s="9">
        <v>59717.45</v>
      </c>
      <c r="N42" s="9">
        <v>34567</v>
      </c>
      <c r="O42" s="9">
        <v>45413.81</v>
      </c>
      <c r="P42" s="9">
        <v>0</v>
      </c>
      <c r="Q42" s="9">
        <v>73839.450028708146</v>
      </c>
      <c r="R42" s="9">
        <v>45404</v>
      </c>
      <c r="S42" s="9">
        <v>44506</v>
      </c>
      <c r="T42" s="9">
        <v>0</v>
      </c>
      <c r="U42" s="9">
        <v>84250.709759999998</v>
      </c>
      <c r="V42" s="9">
        <v>55481</v>
      </c>
      <c r="W42" s="9">
        <v>42726</v>
      </c>
      <c r="X42" s="9">
        <v>0</v>
      </c>
      <c r="Y42" s="9">
        <v>0</v>
      </c>
      <c r="Z42" s="9">
        <v>122500.7</v>
      </c>
      <c r="AA42" s="9">
        <v>81440</v>
      </c>
      <c r="AB42" s="9">
        <v>42726</v>
      </c>
      <c r="AC42" s="9">
        <v>88880.470000000016</v>
      </c>
      <c r="AD42" s="9">
        <v>61527</v>
      </c>
      <c r="AE42" s="9">
        <v>42726</v>
      </c>
      <c r="AF42" s="9">
        <v>128940.2</v>
      </c>
      <c r="AG42" s="9">
        <v>98474</v>
      </c>
      <c r="AH42" s="9">
        <v>42726</v>
      </c>
      <c r="AI42" s="9">
        <v>181016.85000000003</v>
      </c>
      <c r="AJ42" s="9">
        <v>141333</v>
      </c>
      <c r="AK42" s="28">
        <v>43655</v>
      </c>
      <c r="AL42" s="9">
        <v>92399.719999999987</v>
      </c>
      <c r="AM42" s="9">
        <v>77583</v>
      </c>
      <c r="AN42" s="28">
        <v>43655</v>
      </c>
      <c r="AO42" s="9">
        <v>105367.36000000002</v>
      </c>
      <c r="AP42" s="9">
        <v>88144</v>
      </c>
      <c r="AQ42" s="28">
        <v>43655</v>
      </c>
      <c r="AR42" s="9">
        <v>80501.000061537285</v>
      </c>
      <c r="AS42" s="9">
        <v>67637</v>
      </c>
      <c r="AT42" s="28">
        <v>43655</v>
      </c>
      <c r="AU42" s="9">
        <v>110697.28</v>
      </c>
      <c r="AV42" s="9">
        <v>91325</v>
      </c>
      <c r="AW42" s="9">
        <v>43655</v>
      </c>
      <c r="AX42" s="9">
        <v>114974.37804282685</v>
      </c>
      <c r="AY42" s="9">
        <v>91083</v>
      </c>
      <c r="AZ42" s="28">
        <v>43655</v>
      </c>
      <c r="BA42" s="9">
        <v>102604.6</v>
      </c>
      <c r="BB42" s="9">
        <v>84649</v>
      </c>
      <c r="BC42" s="9">
        <v>43655</v>
      </c>
      <c r="BD42" s="9">
        <v>149527.79999999999</v>
      </c>
      <c r="BE42" s="9">
        <v>123360</v>
      </c>
      <c r="BF42" s="9">
        <v>43955</v>
      </c>
      <c r="BG42" s="9">
        <v>156977.1</v>
      </c>
      <c r="BH42" s="9">
        <v>129506</v>
      </c>
      <c r="BI42" s="9">
        <v>43955</v>
      </c>
      <c r="BJ42" s="9">
        <v>245151</v>
      </c>
      <c r="BK42" s="9">
        <v>186549</v>
      </c>
      <c r="BL42" s="9">
        <v>58602</v>
      </c>
      <c r="BM42" s="9"/>
      <c r="BN42" s="9"/>
      <c r="BO42" s="9"/>
      <c r="BP42" s="9"/>
      <c r="BQ42" s="9"/>
      <c r="BR42" s="9"/>
      <c r="BS42" s="9"/>
      <c r="BT42" s="9"/>
      <c r="BU42" s="9"/>
    </row>
    <row r="43" spans="1:73">
      <c r="A43" s="6">
        <v>34</v>
      </c>
      <c r="B43" s="6" t="s">
        <v>1153</v>
      </c>
      <c r="C43" s="421">
        <v>17.5</v>
      </c>
      <c r="D43" s="9">
        <v>9973</v>
      </c>
      <c r="E43" s="33">
        <v>4632</v>
      </c>
      <c r="F43" s="9">
        <v>5341</v>
      </c>
      <c r="G43" s="9">
        <v>11170.821760000001</v>
      </c>
      <c r="H43" s="9">
        <v>8623</v>
      </c>
      <c r="I43" s="9">
        <v>5551</v>
      </c>
      <c r="J43" s="9">
        <v>11756.7567</v>
      </c>
      <c r="K43" s="9">
        <v>9885</v>
      </c>
      <c r="L43" s="9">
        <v>5654</v>
      </c>
      <c r="M43" s="9">
        <v>12414.87736</v>
      </c>
      <c r="N43" s="9">
        <v>10106</v>
      </c>
      <c r="O43" s="9">
        <v>5769</v>
      </c>
      <c r="P43" s="9">
        <v>0</v>
      </c>
      <c r="Q43" s="9">
        <v>0</v>
      </c>
      <c r="R43" s="9">
        <v>0</v>
      </c>
      <c r="S43" s="9">
        <v>5654</v>
      </c>
      <c r="T43" s="9">
        <v>0</v>
      </c>
      <c r="U43" s="9">
        <v>0</v>
      </c>
      <c r="V43" s="9">
        <v>0</v>
      </c>
      <c r="W43" s="9">
        <v>0</v>
      </c>
      <c r="X43" s="9">
        <v>0</v>
      </c>
      <c r="Y43" s="9">
        <v>0</v>
      </c>
      <c r="Z43" s="9">
        <v>0</v>
      </c>
      <c r="AA43" s="9">
        <v>0</v>
      </c>
      <c r="AB43" s="9">
        <v>0</v>
      </c>
      <c r="AC43" s="9">
        <v>0</v>
      </c>
      <c r="AD43" s="9">
        <v>0</v>
      </c>
      <c r="AE43" s="9">
        <v>0</v>
      </c>
      <c r="AF43" s="9">
        <v>0</v>
      </c>
      <c r="AG43" s="9">
        <v>0</v>
      </c>
      <c r="AH43" s="9">
        <v>0</v>
      </c>
      <c r="AI43" s="9">
        <v>0</v>
      </c>
      <c r="AJ43" s="9">
        <v>0</v>
      </c>
      <c r="AK43" s="28">
        <v>0</v>
      </c>
      <c r="AL43" s="9">
        <v>13623.25469</v>
      </c>
      <c r="AM43" s="9">
        <v>11667</v>
      </c>
      <c r="AN43" s="28">
        <v>1956</v>
      </c>
      <c r="AO43" s="9">
        <v>27251.545720000002</v>
      </c>
      <c r="AP43" s="9">
        <v>22684</v>
      </c>
      <c r="AQ43" s="28">
        <v>4568</v>
      </c>
      <c r="AR43" s="9">
        <v>13854.834543589546</v>
      </c>
      <c r="AS43" s="9">
        <v>11515</v>
      </c>
      <c r="AT43" s="28">
        <v>4568</v>
      </c>
      <c r="AU43" s="9">
        <v>14264.24656</v>
      </c>
      <c r="AV43" s="9">
        <v>11464</v>
      </c>
      <c r="AW43" s="9">
        <v>4568</v>
      </c>
      <c r="AX43" s="9">
        <v>14861.542035353355</v>
      </c>
      <c r="AY43" s="9">
        <v>12091</v>
      </c>
      <c r="AZ43" s="28">
        <v>4568</v>
      </c>
      <c r="BA43" s="9">
        <v>15157.29088</v>
      </c>
      <c r="BB43" s="9">
        <v>12505</v>
      </c>
      <c r="BC43" s="9">
        <v>4568</v>
      </c>
      <c r="BD43" s="9">
        <v>15459.313859999998</v>
      </c>
      <c r="BE43" s="9">
        <v>12370</v>
      </c>
      <c r="BF43" s="9">
        <v>4598</v>
      </c>
      <c r="BG43" s="9">
        <v>0</v>
      </c>
      <c r="BH43" s="9">
        <v>0</v>
      </c>
      <c r="BI43" s="9">
        <v>0</v>
      </c>
      <c r="BJ43" s="9">
        <v>0</v>
      </c>
      <c r="BK43" s="9">
        <v>0</v>
      </c>
      <c r="BL43" s="9">
        <v>0</v>
      </c>
      <c r="BM43" s="9"/>
      <c r="BN43" s="9"/>
      <c r="BO43" s="9"/>
      <c r="BP43" s="9"/>
      <c r="BQ43" s="9"/>
      <c r="BR43" s="9"/>
      <c r="BS43" s="9"/>
      <c r="BT43" s="9"/>
      <c r="BU43" s="9"/>
    </row>
    <row r="44" spans="1:73">
      <c r="A44" s="6">
        <v>35</v>
      </c>
      <c r="B44" s="6" t="s">
        <v>1154</v>
      </c>
      <c r="C44" s="421">
        <v>17.5</v>
      </c>
      <c r="D44" s="9">
        <v>586105185</v>
      </c>
      <c r="E44" s="33">
        <v>399376878</v>
      </c>
      <c r="F44" s="9">
        <v>203634716.00000003</v>
      </c>
      <c r="G44" s="9">
        <v>619256557.27349997</v>
      </c>
      <c r="H44" s="9">
        <v>422061485</v>
      </c>
      <c r="I44" s="9">
        <v>210540147.00000003</v>
      </c>
      <c r="J44" s="9">
        <v>645423775.69285941</v>
      </c>
      <c r="K44" s="9">
        <v>450972697</v>
      </c>
      <c r="L44" s="9">
        <v>215807608.00000003</v>
      </c>
      <c r="M44" s="9">
        <v>674654547.49265981</v>
      </c>
      <c r="N44" s="9">
        <v>485336817</v>
      </c>
      <c r="O44" s="9">
        <v>198137070.00000003</v>
      </c>
      <c r="P44" s="9">
        <v>23285769</v>
      </c>
      <c r="Q44" s="9">
        <v>698913738.66387761</v>
      </c>
      <c r="R44" s="9">
        <v>510847386</v>
      </c>
      <c r="S44" s="9">
        <v>216994382</v>
      </c>
      <c r="T44" s="9">
        <v>0</v>
      </c>
      <c r="U44" s="9">
        <v>680748415.44375777</v>
      </c>
      <c r="V44" s="9">
        <v>527398841</v>
      </c>
      <c r="W44" s="9">
        <v>204317586</v>
      </c>
      <c r="X44" s="9">
        <v>1096867</v>
      </c>
      <c r="Y44" s="9">
        <v>13086129</v>
      </c>
      <c r="Z44" s="9">
        <v>706116381.62752008</v>
      </c>
      <c r="AA44" s="9">
        <v>551817407</v>
      </c>
      <c r="AB44" s="9">
        <v>205414453</v>
      </c>
      <c r="AC44" s="9">
        <v>724294011.71002996</v>
      </c>
      <c r="AD44" s="9">
        <v>579960095</v>
      </c>
      <c r="AE44" s="9">
        <v>207858813</v>
      </c>
      <c r="AF44" s="9">
        <v>750290537.27947998</v>
      </c>
      <c r="AG44" s="9">
        <v>604305866</v>
      </c>
      <c r="AH44" s="9">
        <f>209406563+8422</f>
        <v>209414985</v>
      </c>
      <c r="AI44" s="9">
        <v>780383012.88296986</v>
      </c>
      <c r="AJ44" s="9">
        <v>627463814</v>
      </c>
      <c r="AK44" s="28">
        <v>210991435</v>
      </c>
      <c r="AL44" s="9">
        <v>805600562.75407994</v>
      </c>
      <c r="AM44" s="9">
        <v>657393838</v>
      </c>
      <c r="AN44" s="28">
        <v>212596335</v>
      </c>
      <c r="AO44" s="9">
        <v>802914847.56588995</v>
      </c>
      <c r="AP44" s="9">
        <v>666445514</v>
      </c>
      <c r="AQ44" s="28">
        <v>216128435</v>
      </c>
      <c r="AR44" s="9">
        <v>829896970.52937865</v>
      </c>
      <c r="AS44" s="9">
        <v>686260642</v>
      </c>
      <c r="AT44" s="28">
        <v>218066495</v>
      </c>
      <c r="AU44" s="9">
        <v>861999611.91060007</v>
      </c>
      <c r="AV44" s="9">
        <v>711149680</v>
      </c>
      <c r="AW44" s="9">
        <v>220001735</v>
      </c>
      <c r="AX44" s="9">
        <v>910864776.36300993</v>
      </c>
      <c r="AY44" s="9">
        <v>749907338</v>
      </c>
      <c r="AZ44" s="28">
        <v>221915045</v>
      </c>
      <c r="BA44" s="9">
        <v>924506066.0076499</v>
      </c>
      <c r="BB44" s="9">
        <v>762717504</v>
      </c>
      <c r="BC44" s="9">
        <v>221915045</v>
      </c>
      <c r="BD44" s="9">
        <v>978880394.48934996</v>
      </c>
      <c r="BE44" s="9">
        <v>788497356</v>
      </c>
      <c r="BF44" s="9">
        <v>223736165</v>
      </c>
      <c r="BG44" s="9">
        <v>1012695285.9958402</v>
      </c>
      <c r="BH44" s="9">
        <v>827212576</v>
      </c>
      <c r="BI44" s="9">
        <v>227236505</v>
      </c>
      <c r="BJ44" s="9">
        <v>1095713386.0691998</v>
      </c>
      <c r="BK44" s="9">
        <v>880485066</v>
      </c>
      <c r="BL44" s="9">
        <v>230700785</v>
      </c>
      <c r="BM44" s="9"/>
      <c r="BN44" s="9"/>
      <c r="BO44" s="9"/>
      <c r="BP44" s="9"/>
      <c r="BQ44" s="9"/>
      <c r="BR44" s="9"/>
      <c r="BS44" s="9"/>
      <c r="BT44" s="9"/>
      <c r="BU44" s="9"/>
    </row>
    <row r="45" spans="1:73">
      <c r="A45" s="6">
        <v>36</v>
      </c>
      <c r="B45" s="6" t="s">
        <v>1155</v>
      </c>
      <c r="C45" s="421">
        <v>17.5</v>
      </c>
      <c r="D45" s="9">
        <v>17925620</v>
      </c>
      <c r="E45" s="33">
        <v>14175597</v>
      </c>
      <c r="F45" s="9">
        <v>4520605</v>
      </c>
      <c r="G45" s="9">
        <v>19096415.879999999</v>
      </c>
      <c r="H45" s="9">
        <v>14957841</v>
      </c>
      <c r="I45" s="9">
        <v>4725494</v>
      </c>
      <c r="J45" s="9">
        <v>19833297.543827865</v>
      </c>
      <c r="K45" s="9">
        <v>15646627</v>
      </c>
      <c r="L45" s="9">
        <v>4854448</v>
      </c>
      <c r="M45" s="9">
        <v>20945577.219999999</v>
      </c>
      <c r="N45" s="9">
        <v>16223237</v>
      </c>
      <c r="O45" s="9">
        <v>4518112</v>
      </c>
      <c r="P45" s="9">
        <v>530985</v>
      </c>
      <c r="Q45" s="9">
        <v>20772043.229703348</v>
      </c>
      <c r="R45" s="9">
        <v>16779418</v>
      </c>
      <c r="S45" s="9">
        <v>4948115</v>
      </c>
      <c r="T45" s="9">
        <v>0</v>
      </c>
      <c r="U45" s="9">
        <v>19969976.504640002</v>
      </c>
      <c r="V45" s="9">
        <v>16817476</v>
      </c>
      <c r="W45" s="9">
        <v>4659046</v>
      </c>
      <c r="X45" s="9">
        <v>25012</v>
      </c>
      <c r="Y45" s="9">
        <v>321732</v>
      </c>
      <c r="Z45" s="9">
        <v>19955194.440000001</v>
      </c>
      <c r="AA45" s="9">
        <v>17178276</v>
      </c>
      <c r="AB45" s="9">
        <v>4684058</v>
      </c>
      <c r="AC45" s="9">
        <v>20413172.529999997</v>
      </c>
      <c r="AD45" s="9">
        <v>17508247</v>
      </c>
      <c r="AE45" s="9">
        <v>4771738</v>
      </c>
      <c r="AF45" s="9">
        <v>20231816.77</v>
      </c>
      <c r="AG45" s="9">
        <v>17624172</v>
      </c>
      <c r="AH45" s="9">
        <v>4825238</v>
      </c>
      <c r="AI45" s="9">
        <v>19753593.370000005</v>
      </c>
      <c r="AJ45" s="9">
        <v>16968423</v>
      </c>
      <c r="AK45" s="28">
        <v>4877338</v>
      </c>
      <c r="AL45" s="9">
        <v>19473369.859999999</v>
      </c>
      <c r="AM45" s="9">
        <v>16682400</v>
      </c>
      <c r="AN45" s="28">
        <v>4927363</v>
      </c>
      <c r="AO45" s="9">
        <v>19315319.800000001</v>
      </c>
      <c r="AP45" s="9">
        <v>16178695</v>
      </c>
      <c r="AQ45" s="28">
        <v>5034613</v>
      </c>
      <c r="AR45" s="9">
        <v>20067959.034898311</v>
      </c>
      <c r="AS45" s="9">
        <v>16608266</v>
      </c>
      <c r="AT45" s="28">
        <v>5094043</v>
      </c>
      <c r="AU45" s="9">
        <v>21368782.289999999</v>
      </c>
      <c r="AV45" s="9">
        <v>17629245</v>
      </c>
      <c r="AW45" s="9">
        <v>5155183</v>
      </c>
      <c r="AX45" s="9">
        <v>22123862.831195891</v>
      </c>
      <c r="AY45" s="9">
        <v>18252187</v>
      </c>
      <c r="AZ45" s="28">
        <v>5215213</v>
      </c>
      <c r="BA45" s="9">
        <v>22664002.020000003</v>
      </c>
      <c r="BB45" s="9">
        <v>18697802</v>
      </c>
      <c r="BC45" s="9">
        <v>5215213</v>
      </c>
      <c r="BD45" s="9">
        <v>20951766.189999998</v>
      </c>
      <c r="BE45" s="9">
        <v>17285207</v>
      </c>
      <c r="BF45" s="9">
        <v>5268883</v>
      </c>
      <c r="BG45" s="9">
        <v>21855345.039999999</v>
      </c>
      <c r="BH45" s="9">
        <v>17827720</v>
      </c>
      <c r="BI45" s="9">
        <v>5371903</v>
      </c>
      <c r="BJ45" s="9">
        <v>22858350.509999994</v>
      </c>
      <c r="BK45" s="9">
        <v>18409357</v>
      </c>
      <c r="BL45" s="9">
        <v>5472583</v>
      </c>
      <c r="BM45" s="9"/>
      <c r="BN45" s="9"/>
      <c r="BO45" s="9"/>
      <c r="BP45" s="9"/>
      <c r="BQ45" s="9"/>
      <c r="BR45" s="9"/>
      <c r="BS45" s="9"/>
      <c r="BT45" s="9"/>
      <c r="BU45" s="9"/>
    </row>
    <row r="46" spans="1:73">
      <c r="A46" s="6">
        <v>37</v>
      </c>
      <c r="B46" s="6" t="s">
        <v>1156</v>
      </c>
      <c r="C46" s="421">
        <v>17.5</v>
      </c>
      <c r="D46" s="9">
        <v>4097907</v>
      </c>
      <c r="E46" s="33">
        <v>3155257</v>
      </c>
      <c r="F46" s="9">
        <v>1318163</v>
      </c>
      <c r="G46" s="9">
        <v>4120404.6616799999</v>
      </c>
      <c r="H46" s="9">
        <v>3160718</v>
      </c>
      <c r="I46" s="9">
        <v>1344663</v>
      </c>
      <c r="J46" s="9">
        <v>4148265.2990540327</v>
      </c>
      <c r="K46" s="9">
        <v>3153303</v>
      </c>
      <c r="L46" s="9">
        <v>1370363</v>
      </c>
      <c r="M46" s="9">
        <v>4158143.8214699994</v>
      </c>
      <c r="N46" s="9">
        <v>3122645</v>
      </c>
      <c r="O46" s="9">
        <v>1248173</v>
      </c>
      <c r="P46" s="9">
        <v>146690</v>
      </c>
      <c r="Q46" s="9">
        <v>4221713.9749441538</v>
      </c>
      <c r="R46" s="9">
        <v>3141987</v>
      </c>
      <c r="S46" s="9">
        <v>1366966</v>
      </c>
      <c r="T46" s="9">
        <v>0</v>
      </c>
      <c r="U46" s="9">
        <v>3719555.6312304004</v>
      </c>
      <c r="V46" s="9">
        <v>3019563</v>
      </c>
      <c r="W46" s="9">
        <v>1287108</v>
      </c>
      <c r="X46" s="9">
        <v>6910</v>
      </c>
      <c r="Y46" s="9">
        <v>83923</v>
      </c>
      <c r="Z46" s="9">
        <v>3688231.1508000009</v>
      </c>
      <c r="AA46" s="9">
        <v>3037911</v>
      </c>
      <c r="AB46" s="9">
        <v>1294018</v>
      </c>
      <c r="AC46" s="9">
        <v>3802586.1715900004</v>
      </c>
      <c r="AD46" s="9">
        <v>3281068</v>
      </c>
      <c r="AE46" s="9">
        <v>1310578</v>
      </c>
      <c r="AF46" s="9">
        <v>0</v>
      </c>
      <c r="AG46" s="9">
        <v>0</v>
      </c>
      <c r="AH46" s="9">
        <v>0</v>
      </c>
      <c r="AI46" s="9">
        <v>0</v>
      </c>
      <c r="AJ46" s="9">
        <v>0</v>
      </c>
      <c r="AK46" s="28">
        <v>0</v>
      </c>
      <c r="AL46" s="9">
        <v>0</v>
      </c>
      <c r="AM46" s="9">
        <v>0</v>
      </c>
      <c r="AN46" s="28">
        <v>0</v>
      </c>
      <c r="AO46" s="9">
        <v>0</v>
      </c>
      <c r="AP46" s="9">
        <v>0</v>
      </c>
      <c r="AQ46" s="28">
        <f>14864</f>
        <v>14864</v>
      </c>
      <c r="AR46" s="9">
        <v>88385.021661537277</v>
      </c>
      <c r="AS46" s="9">
        <v>73448</v>
      </c>
      <c r="AT46" s="28">
        <v>14937</v>
      </c>
      <c r="AU46" s="9">
        <v>106694.35</v>
      </c>
      <c r="AV46" s="9">
        <v>87553</v>
      </c>
      <c r="AW46" s="9">
        <v>19141</v>
      </c>
      <c r="AX46" s="9">
        <v>127474.53052282683</v>
      </c>
      <c r="AY46" s="9">
        <v>104905</v>
      </c>
      <c r="AZ46" s="28">
        <v>22674</v>
      </c>
      <c r="BA46" s="9">
        <v>143372.81232</v>
      </c>
      <c r="BB46" s="9">
        <v>117755</v>
      </c>
      <c r="BC46" s="9">
        <v>25618</v>
      </c>
      <c r="BD46" s="9">
        <v>144995.14512</v>
      </c>
      <c r="BE46" s="9">
        <v>119621</v>
      </c>
      <c r="BF46" s="9">
        <v>25888</v>
      </c>
      <c r="BG46" s="9">
        <v>171344.57700000002</v>
      </c>
      <c r="BH46" s="9">
        <v>138436</v>
      </c>
      <c r="BI46" s="9">
        <v>32909</v>
      </c>
      <c r="BJ46" s="9">
        <v>107478.84312000001</v>
      </c>
      <c r="BK46" s="9">
        <v>82107</v>
      </c>
      <c r="BL46" s="9">
        <v>32909</v>
      </c>
      <c r="BM46" s="9"/>
      <c r="BN46" s="9"/>
      <c r="BO46" s="9"/>
      <c r="BP46" s="9"/>
      <c r="BQ46" s="9"/>
      <c r="BR46" s="9"/>
      <c r="BS46" s="9"/>
      <c r="BT46" s="9"/>
      <c r="BU46" s="9"/>
    </row>
    <row r="47" spans="1:73">
      <c r="A47" s="6">
        <v>38</v>
      </c>
      <c r="B47" s="6" t="s">
        <v>1157</v>
      </c>
      <c r="C47" s="421">
        <v>17.5</v>
      </c>
      <c r="D47" s="9">
        <v>6071885</v>
      </c>
      <c r="E47" s="33">
        <v>5163711</v>
      </c>
      <c r="F47" s="9">
        <v>1491956.8</v>
      </c>
      <c r="G47" s="9">
        <v>6289686.6546200002</v>
      </c>
      <c r="H47" s="9">
        <v>5060226</v>
      </c>
      <c r="I47" s="9">
        <v>1536106.8</v>
      </c>
      <c r="J47" s="9">
        <v>6441226.7548756497</v>
      </c>
      <c r="K47" s="9">
        <v>5155389</v>
      </c>
      <c r="L47" s="9">
        <v>1579156.8</v>
      </c>
      <c r="M47" s="9">
        <v>6868240.9885999989</v>
      </c>
      <c r="N47" s="9">
        <v>5466446</v>
      </c>
      <c r="O47" s="9">
        <v>1479954.8</v>
      </c>
      <c r="P47" s="9">
        <v>173929</v>
      </c>
      <c r="Q47" s="9">
        <v>6715149.8644612292</v>
      </c>
      <c r="R47" s="9">
        <v>5538616</v>
      </c>
      <c r="S47" s="9">
        <v>1620806</v>
      </c>
      <c r="T47" s="9">
        <v>0</v>
      </c>
      <c r="U47" s="9">
        <v>6426161.3153402992</v>
      </c>
      <c r="V47" s="9">
        <v>5556487</v>
      </c>
      <c r="W47" s="9">
        <v>1526119</v>
      </c>
      <c r="X47" s="9">
        <v>8193</v>
      </c>
      <c r="Y47" s="9">
        <v>106694</v>
      </c>
      <c r="Z47" s="9">
        <v>6278578.7740599988</v>
      </c>
      <c r="AA47" s="9">
        <v>5546995</v>
      </c>
      <c r="AB47" s="9">
        <v>1534312</v>
      </c>
      <c r="AC47" s="9">
        <v>6142159.6714999992</v>
      </c>
      <c r="AD47" s="9">
        <v>5438279</v>
      </c>
      <c r="AE47" s="9">
        <v>1563632</v>
      </c>
      <c r="AF47" s="9">
        <v>6321744.6236000005</v>
      </c>
      <c r="AG47" s="9">
        <v>5657134</v>
      </c>
      <c r="AH47" s="9">
        <f>1582232+25266</f>
        <v>1607498</v>
      </c>
      <c r="AI47" s="9">
        <v>6315613.1311499998</v>
      </c>
      <c r="AJ47" s="9">
        <v>5486948</v>
      </c>
      <c r="AK47" s="28">
        <v>1625748</v>
      </c>
      <c r="AL47" s="9">
        <v>6380974.8437599996</v>
      </c>
      <c r="AM47" s="9">
        <v>5508993</v>
      </c>
      <c r="AN47" s="28">
        <v>1643973</v>
      </c>
      <c r="AO47" s="9">
        <v>6361983.2980000013</v>
      </c>
      <c r="AP47" s="9">
        <v>5310704</v>
      </c>
      <c r="AQ47" s="28">
        <v>1683463</v>
      </c>
      <c r="AR47" s="9">
        <v>6728318.9448366938</v>
      </c>
      <c r="AS47" s="9">
        <v>5579890</v>
      </c>
      <c r="AT47" s="28">
        <v>1705633</v>
      </c>
      <c r="AU47" s="9">
        <v>6655216.9083199995</v>
      </c>
      <c r="AV47" s="9">
        <v>5490554</v>
      </c>
      <c r="AW47" s="9">
        <v>1726753</v>
      </c>
      <c r="AX47" s="9">
        <v>7004474.1685977643</v>
      </c>
      <c r="AY47" s="9">
        <v>5765598</v>
      </c>
      <c r="AZ47" s="28">
        <v>1747903</v>
      </c>
      <c r="BA47" s="9">
        <v>7419452.1552000009</v>
      </c>
      <c r="BB47" s="9">
        <v>6121048</v>
      </c>
      <c r="BC47" s="9">
        <v>1747903</v>
      </c>
      <c r="BD47" s="9">
        <v>7077684.451799999</v>
      </c>
      <c r="BE47" s="9">
        <v>5839090</v>
      </c>
      <c r="BF47" s="9">
        <v>1768093</v>
      </c>
      <c r="BG47" s="9">
        <v>8106140.9460000005</v>
      </c>
      <c r="BH47" s="9">
        <v>6300062</v>
      </c>
      <c r="BI47" s="9">
        <v>1811833</v>
      </c>
      <c r="BJ47" s="9">
        <v>8528050.2678800002</v>
      </c>
      <c r="BK47" s="9">
        <v>6718468</v>
      </c>
      <c r="BL47" s="9">
        <v>1855093</v>
      </c>
      <c r="BM47" s="9"/>
      <c r="BN47" s="9"/>
      <c r="BO47" s="9"/>
      <c r="BP47" s="9"/>
      <c r="BQ47" s="9"/>
      <c r="BR47" s="9"/>
      <c r="BS47" s="9"/>
      <c r="BT47" s="9"/>
      <c r="BU47" s="9"/>
    </row>
    <row r="48" spans="1:73">
      <c r="A48" s="6">
        <v>39</v>
      </c>
      <c r="B48" s="6" t="s">
        <v>1158</v>
      </c>
      <c r="C48" s="421">
        <v>17.5</v>
      </c>
      <c r="D48" s="9">
        <v>2456202</v>
      </c>
      <c r="E48" s="33">
        <v>2401450</v>
      </c>
      <c r="F48" s="9">
        <v>399441.2</v>
      </c>
      <c r="G48" s="9">
        <v>2596679.29</v>
      </c>
      <c r="H48" s="9">
        <v>2468253</v>
      </c>
      <c r="I48" s="9">
        <v>424025.2</v>
      </c>
      <c r="J48" s="9">
        <v>2637266.6833377071</v>
      </c>
      <c r="K48" s="9">
        <v>2412440</v>
      </c>
      <c r="L48" s="9">
        <v>441425.2</v>
      </c>
      <c r="M48" s="9">
        <v>2748598.3</v>
      </c>
      <c r="N48" s="9">
        <v>2379694</v>
      </c>
      <c r="O48" s="9">
        <v>412437.2</v>
      </c>
      <c r="P48" s="9">
        <v>48471</v>
      </c>
      <c r="Q48" s="9">
        <v>2995460.8425033498</v>
      </c>
      <c r="R48" s="9">
        <v>2540646</v>
      </c>
      <c r="S48" s="9">
        <v>451690</v>
      </c>
      <c r="T48" s="9">
        <v>3125</v>
      </c>
      <c r="U48" s="9">
        <v>2900472.82014</v>
      </c>
      <c r="V48" s="9">
        <v>2577094</v>
      </c>
      <c r="W48" s="9">
        <v>428244</v>
      </c>
      <c r="X48" s="9">
        <v>2299</v>
      </c>
      <c r="Y48" s="9">
        <v>33097</v>
      </c>
      <c r="Z48" s="9">
        <v>2809495.56</v>
      </c>
      <c r="AA48" s="9">
        <v>2592747</v>
      </c>
      <c r="AB48" s="9">
        <v>430543</v>
      </c>
      <c r="AC48" s="9">
        <v>2762062</v>
      </c>
      <c r="AD48" s="9">
        <v>2804850</v>
      </c>
      <c r="AE48" s="9">
        <v>404281</v>
      </c>
      <c r="AF48" s="9">
        <v>2837168.6900000004</v>
      </c>
      <c r="AG48" s="9">
        <v>2524555</v>
      </c>
      <c r="AH48" s="9">
        <v>427336.88018750004</v>
      </c>
      <c r="AI48" s="9">
        <v>2701535.6</v>
      </c>
      <c r="AJ48" s="9">
        <v>2336823</v>
      </c>
      <c r="AK48" s="28">
        <v>443237.88018750004</v>
      </c>
      <c r="AL48" s="9">
        <v>2619960.2999999998</v>
      </c>
      <c r="AM48" s="9">
        <v>2263384</v>
      </c>
      <c r="AN48" s="28">
        <v>450312.88018750004</v>
      </c>
      <c r="AO48" s="9">
        <v>2586705.9099999997</v>
      </c>
      <c r="AP48" s="9">
        <v>2165226</v>
      </c>
      <c r="AQ48" s="28">
        <v>465437.88018750004</v>
      </c>
      <c r="AR48" s="9">
        <v>2629403.7758567845</v>
      </c>
      <c r="AS48" s="9">
        <v>2172204</v>
      </c>
      <c r="AT48" s="28">
        <v>473687.88018750004</v>
      </c>
      <c r="AU48" s="9">
        <v>2856144.64</v>
      </c>
      <c r="AV48" s="9">
        <v>2256220</v>
      </c>
      <c r="AW48" s="9">
        <v>72374</v>
      </c>
      <c r="AX48" s="9">
        <v>429577.71528563765</v>
      </c>
      <c r="AY48" s="9">
        <v>344845</v>
      </c>
      <c r="AZ48" s="28">
        <v>84733</v>
      </c>
      <c r="BA48" s="9">
        <v>438126.42</v>
      </c>
      <c r="BB48" s="9">
        <v>353125</v>
      </c>
      <c r="BC48" s="9">
        <v>85001</v>
      </c>
      <c r="BD48" s="9">
        <v>579645.30000000005</v>
      </c>
      <c r="BE48" s="9">
        <v>466173</v>
      </c>
      <c r="BF48" s="9">
        <v>113472</v>
      </c>
      <c r="BG48" s="9">
        <v>500350.65000000008</v>
      </c>
      <c r="BH48" s="9">
        <v>412789</v>
      </c>
      <c r="BI48" s="9">
        <v>113472</v>
      </c>
      <c r="BJ48" s="9">
        <v>377077.07999999996</v>
      </c>
      <c r="BK48" s="9">
        <v>311089</v>
      </c>
      <c r="BL48" s="9">
        <v>113472</v>
      </c>
      <c r="BM48" s="9"/>
      <c r="BN48" s="9"/>
      <c r="BO48" s="9"/>
      <c r="BP48" s="9"/>
      <c r="BQ48" s="9"/>
      <c r="BR48" s="9"/>
      <c r="BS48" s="9"/>
      <c r="BT48" s="9"/>
      <c r="BU48" s="9"/>
    </row>
    <row r="49" spans="1:73">
      <c r="A49" s="6">
        <v>40</v>
      </c>
      <c r="B49" s="6" t="s">
        <v>1159</v>
      </c>
      <c r="C49" s="421">
        <v>20.94</v>
      </c>
      <c r="D49" s="9">
        <v>36257909</v>
      </c>
      <c r="E49" s="33">
        <v>32433077</v>
      </c>
      <c r="F49" s="9">
        <v>4903921.2</v>
      </c>
      <c r="G49" s="9">
        <v>39382974.82124</v>
      </c>
      <c r="H49" s="9">
        <v>33034864</v>
      </c>
      <c r="I49" s="9">
        <v>6348111</v>
      </c>
      <c r="J49" s="9">
        <v>41131026.449868038</v>
      </c>
      <c r="K49" s="9">
        <v>33655897</v>
      </c>
      <c r="L49" s="9">
        <v>7475129</v>
      </c>
      <c r="M49" s="9">
        <v>44050195.07244999</v>
      </c>
      <c r="N49" s="9">
        <v>34532907</v>
      </c>
      <c r="O49" s="9">
        <v>8516409</v>
      </c>
      <c r="P49" s="9">
        <v>1000879</v>
      </c>
      <c r="Q49" s="9">
        <v>46447721.11701142</v>
      </c>
      <c r="R49" s="9">
        <v>34269687</v>
      </c>
      <c r="S49" s="9">
        <v>9326942</v>
      </c>
      <c r="T49" s="9">
        <v>2851092</v>
      </c>
      <c r="U49" s="9">
        <v>45861987.164652348</v>
      </c>
      <c r="V49" s="9">
        <v>35115999</v>
      </c>
      <c r="W49" s="9">
        <v>11466594</v>
      </c>
      <c r="X49" s="9">
        <v>61558</v>
      </c>
      <c r="Y49" s="9">
        <v>781482</v>
      </c>
      <c r="Z49" s="9">
        <v>47773435.682659999</v>
      </c>
      <c r="AA49" s="9">
        <v>35619436</v>
      </c>
      <c r="AB49" s="9">
        <v>12154000</v>
      </c>
      <c r="AC49" s="9">
        <v>49979205.223809995</v>
      </c>
      <c r="AD49" s="9">
        <v>36669696</v>
      </c>
      <c r="AE49" s="9">
        <v>13546898.562588248</v>
      </c>
      <c r="AF49" s="9">
        <v>51154368.228680007</v>
      </c>
      <c r="AG49" s="9">
        <v>37491319</v>
      </c>
      <c r="AH49" s="9">
        <v>13863900.583767677</v>
      </c>
      <c r="AI49" s="9">
        <v>53388255.002250001</v>
      </c>
      <c r="AJ49" s="9">
        <v>38760993</v>
      </c>
      <c r="AK49" s="28">
        <v>14627262</v>
      </c>
      <c r="AL49" s="9">
        <v>55247735.783950001</v>
      </c>
      <c r="AM49" s="9">
        <v>39956696</v>
      </c>
      <c r="AN49" s="28">
        <v>15291040</v>
      </c>
      <c r="AO49" s="9">
        <v>56110509.381990001</v>
      </c>
      <c r="AP49" s="9">
        <v>39512030</v>
      </c>
      <c r="AQ49" s="28">
        <v>16598479</v>
      </c>
      <c r="AR49" s="9">
        <v>58118969.896002591</v>
      </c>
      <c r="AS49" s="9">
        <v>40917885</v>
      </c>
      <c r="AT49" s="28">
        <v>17201085</v>
      </c>
      <c r="AU49" s="9">
        <v>60365199.038079999</v>
      </c>
      <c r="AV49" s="9">
        <v>42548094</v>
      </c>
      <c r="AW49" s="9">
        <v>17817105</v>
      </c>
      <c r="AX49" s="9">
        <v>63032117.839880839</v>
      </c>
      <c r="AY49" s="9">
        <v>44795946</v>
      </c>
      <c r="AZ49" s="28">
        <v>18297651</v>
      </c>
      <c r="BA49" s="9">
        <v>64248920.529949985</v>
      </c>
      <c r="BB49" s="9">
        <v>46089277</v>
      </c>
      <c r="BC49" s="9">
        <v>18297651</v>
      </c>
      <c r="BD49" s="9">
        <v>63352380.463700004</v>
      </c>
      <c r="BE49" s="9">
        <v>47033101</v>
      </c>
      <c r="BF49" s="9">
        <v>18459141</v>
      </c>
      <c r="BG49" s="9">
        <v>68308994.308569983</v>
      </c>
      <c r="BH49" s="9">
        <v>48941926</v>
      </c>
      <c r="BI49" s="9">
        <v>19367068</v>
      </c>
      <c r="BJ49" s="9">
        <v>72501248.639650002</v>
      </c>
      <c r="BK49" s="9">
        <v>51848673</v>
      </c>
      <c r="BL49" s="9">
        <v>20652576</v>
      </c>
      <c r="BM49" s="9"/>
      <c r="BN49" s="9"/>
      <c r="BO49" s="9"/>
      <c r="BP49" s="9"/>
      <c r="BQ49" s="9"/>
      <c r="BR49" s="9"/>
      <c r="BS49" s="9"/>
      <c r="BT49" s="9"/>
      <c r="BU49" s="9"/>
    </row>
    <row r="50" spans="1:73">
      <c r="A50" s="6">
        <v>41</v>
      </c>
      <c r="B50" s="6" t="s">
        <v>1160</v>
      </c>
      <c r="C50" s="421">
        <v>17.5</v>
      </c>
      <c r="D50" s="9">
        <v>3745908</v>
      </c>
      <c r="E50" s="33">
        <v>3609192</v>
      </c>
      <c r="F50" s="9">
        <v>847877.2</v>
      </c>
      <c r="G50" s="9">
        <v>3716661.11</v>
      </c>
      <c r="H50" s="9">
        <v>3503455</v>
      </c>
      <c r="I50" s="9">
        <v>872877.2</v>
      </c>
      <c r="J50" s="9">
        <v>3870065.49</v>
      </c>
      <c r="K50" s="9">
        <v>3592082</v>
      </c>
      <c r="L50" s="9">
        <v>899723.2</v>
      </c>
      <c r="M50" s="9">
        <v>4197809.6900000004</v>
      </c>
      <c r="N50" s="9">
        <v>3789305</v>
      </c>
      <c r="O50" s="9">
        <v>856428.2</v>
      </c>
      <c r="P50" s="9">
        <v>100650</v>
      </c>
      <c r="Q50" s="9">
        <v>4216302.6441186611</v>
      </c>
      <c r="R50" s="9">
        <v>3870397</v>
      </c>
      <c r="S50" s="9">
        <v>937937</v>
      </c>
      <c r="T50" s="9">
        <v>0</v>
      </c>
      <c r="U50" s="9">
        <v>4075130.8498800001</v>
      </c>
      <c r="V50" s="9">
        <v>3786992</v>
      </c>
      <c r="W50" s="9">
        <v>883143</v>
      </c>
      <c r="X50" s="9">
        <v>4741</v>
      </c>
      <c r="Y50" s="9">
        <v>62353</v>
      </c>
      <c r="Z50" s="9">
        <v>4135853.54</v>
      </c>
      <c r="AA50" s="9">
        <v>3959695</v>
      </c>
      <c r="AB50" s="9">
        <v>887884</v>
      </c>
      <c r="AC50" s="9">
        <v>4270180.41</v>
      </c>
      <c r="AD50" s="9">
        <v>4095847</v>
      </c>
      <c r="AE50" s="9">
        <v>906844</v>
      </c>
      <c r="AF50" s="9">
        <v>4270777.8100000005</v>
      </c>
      <c r="AG50" s="9">
        <v>4059699</v>
      </c>
      <c r="AH50" s="9">
        <v>918344</v>
      </c>
      <c r="AI50" s="9">
        <v>4371530.74</v>
      </c>
      <c r="AJ50" s="9">
        <v>3934378</v>
      </c>
      <c r="AK50" s="28">
        <v>930169</v>
      </c>
      <c r="AL50" s="9">
        <v>4481450.93</v>
      </c>
      <c r="AM50" s="9">
        <v>3903212</v>
      </c>
      <c r="AN50" s="28">
        <v>942019</v>
      </c>
      <c r="AO50" s="9">
        <v>4710846.5600000005</v>
      </c>
      <c r="AP50" s="9">
        <v>3929503</v>
      </c>
      <c r="AQ50" s="28">
        <v>968749</v>
      </c>
      <c r="AR50" s="9">
        <v>4863009.8651172351</v>
      </c>
      <c r="AS50" s="9">
        <v>4034625</v>
      </c>
      <c r="AT50" s="28">
        <v>983449</v>
      </c>
      <c r="AU50" s="9">
        <v>4845032.0600000005</v>
      </c>
      <c r="AV50" s="9">
        <v>3997151</v>
      </c>
      <c r="AW50" s="9">
        <v>997669</v>
      </c>
      <c r="AX50" s="9">
        <v>5028082.1512436774</v>
      </c>
      <c r="AY50" s="9">
        <v>4091479</v>
      </c>
      <c r="AZ50" s="28">
        <v>1011979</v>
      </c>
      <c r="BA50" s="9">
        <v>5175998.03</v>
      </c>
      <c r="BB50" s="9">
        <v>4206025</v>
      </c>
      <c r="BC50" s="9">
        <v>1011979</v>
      </c>
      <c r="BD50" s="9">
        <v>4895214.0599999996</v>
      </c>
      <c r="BE50" s="9">
        <v>4038551</v>
      </c>
      <c r="BF50" s="9">
        <v>1024909</v>
      </c>
      <c r="BG50" s="9">
        <v>5580574.6600000001</v>
      </c>
      <c r="BH50" s="9">
        <v>4228204</v>
      </c>
      <c r="BI50" s="9">
        <v>1352371</v>
      </c>
      <c r="BJ50" s="9">
        <v>5743102.1100000003</v>
      </c>
      <c r="BK50" s="9">
        <v>4394765</v>
      </c>
      <c r="BL50" s="9">
        <v>1377451</v>
      </c>
      <c r="BM50" s="9"/>
      <c r="BN50" s="9"/>
      <c r="BO50" s="9"/>
      <c r="BP50" s="9"/>
      <c r="BQ50" s="9"/>
      <c r="BR50" s="9"/>
      <c r="BS50" s="9"/>
      <c r="BT50" s="9"/>
      <c r="BU50" s="9"/>
    </row>
    <row r="51" spans="1:73">
      <c r="A51" s="6">
        <v>42</v>
      </c>
      <c r="B51" s="6" t="s">
        <v>1161</v>
      </c>
      <c r="C51" s="421">
        <v>38.01</v>
      </c>
      <c r="D51" s="9">
        <v>88168</v>
      </c>
      <c r="E51" s="33">
        <v>50372</v>
      </c>
      <c r="F51" s="9">
        <v>88168</v>
      </c>
      <c r="G51" s="9">
        <v>97646.94</v>
      </c>
      <c r="H51" s="9">
        <v>52590</v>
      </c>
      <c r="I51" s="9">
        <v>91714</v>
      </c>
      <c r="J51" s="9">
        <v>79486.89</v>
      </c>
      <c r="K51" s="9">
        <v>42308</v>
      </c>
      <c r="L51" s="9">
        <v>79486.89</v>
      </c>
      <c r="M51" s="9">
        <v>95547.92</v>
      </c>
      <c r="N51" s="9">
        <v>49903</v>
      </c>
      <c r="O51" s="9">
        <v>85767.89</v>
      </c>
      <c r="P51" s="9">
        <v>0</v>
      </c>
      <c r="Q51" s="9">
        <v>110759.17504306222</v>
      </c>
      <c r="R51" s="9">
        <v>61737</v>
      </c>
      <c r="S51" s="9">
        <v>84053</v>
      </c>
      <c r="T51" s="9">
        <v>0</v>
      </c>
      <c r="U51" s="9">
        <v>36107.447039999999</v>
      </c>
      <c r="V51" s="9">
        <v>20964</v>
      </c>
      <c r="W51" s="9">
        <v>36107.447039999999</v>
      </c>
      <c r="X51" s="9">
        <v>0</v>
      </c>
      <c r="Y51" s="9">
        <v>0</v>
      </c>
      <c r="Z51" s="9">
        <v>49000.28</v>
      </c>
      <c r="AA51" s="9">
        <v>28706</v>
      </c>
      <c r="AB51" s="9">
        <v>36107</v>
      </c>
      <c r="AC51" s="9">
        <v>38091.630000000005</v>
      </c>
      <c r="AD51" s="9">
        <v>22925</v>
      </c>
      <c r="AE51" s="9">
        <v>36107</v>
      </c>
      <c r="AF51" s="9">
        <v>51576.08</v>
      </c>
      <c r="AG51" s="9">
        <v>31717</v>
      </c>
      <c r="AH51" s="9">
        <v>36107</v>
      </c>
      <c r="AI51" s="9">
        <v>78029.39999999998</v>
      </c>
      <c r="AJ51" s="9">
        <v>48603</v>
      </c>
      <c r="AK51" s="28">
        <v>36107</v>
      </c>
      <c r="AL51" s="9">
        <v>131999.6</v>
      </c>
      <c r="AM51" s="9">
        <v>81574</v>
      </c>
      <c r="AN51" s="28">
        <v>50426</v>
      </c>
      <c r="AO51" s="9">
        <v>196498.64000000004</v>
      </c>
      <c r="AP51" s="9">
        <v>121288</v>
      </c>
      <c r="AQ51" s="28">
        <v>76038</v>
      </c>
      <c r="AR51" s="9">
        <v>200050.51601106342</v>
      </c>
      <c r="AS51" s="9">
        <v>124537</v>
      </c>
      <c r="AT51" s="28">
        <v>76038</v>
      </c>
      <c r="AU51" s="9">
        <v>124534.43999999997</v>
      </c>
      <c r="AV51" s="9">
        <v>80047</v>
      </c>
      <c r="AW51" s="9">
        <v>76038</v>
      </c>
      <c r="AX51" s="9">
        <v>129346.17529818021</v>
      </c>
      <c r="AY51" s="9">
        <v>81640</v>
      </c>
      <c r="AZ51" s="28">
        <v>76038</v>
      </c>
      <c r="BA51" s="9">
        <v>117262.39999999999</v>
      </c>
      <c r="BB51" s="9">
        <v>73653</v>
      </c>
      <c r="BC51" s="9">
        <v>76038</v>
      </c>
      <c r="BD51" s="9">
        <v>104669.45999999999</v>
      </c>
      <c r="BE51" s="9">
        <v>65145</v>
      </c>
      <c r="BF51" s="9">
        <v>76248</v>
      </c>
      <c r="BG51" s="9">
        <v>156977.1</v>
      </c>
      <c r="BH51" s="9">
        <v>93380</v>
      </c>
      <c r="BI51" s="9">
        <v>76248</v>
      </c>
      <c r="BJ51" s="9">
        <v>228660.24000000002</v>
      </c>
      <c r="BK51" s="9">
        <v>131975</v>
      </c>
      <c r="BL51" s="9">
        <v>96685</v>
      </c>
      <c r="BM51" s="9"/>
      <c r="BN51" s="9"/>
      <c r="BO51" s="9"/>
      <c r="BP51" s="9"/>
      <c r="BQ51" s="9"/>
      <c r="BR51" s="9"/>
      <c r="BS51" s="9"/>
      <c r="BT51" s="9"/>
      <c r="BU51" s="9"/>
    </row>
    <row r="52" spans="1:73">
      <c r="A52" s="6">
        <v>43</v>
      </c>
      <c r="B52" s="6" t="s">
        <v>1162</v>
      </c>
      <c r="C52" s="421">
        <v>41.51</v>
      </c>
      <c r="D52" s="9">
        <v>2082262</v>
      </c>
      <c r="E52" s="33">
        <v>1222310</v>
      </c>
      <c r="F52" s="9">
        <v>892997.6</v>
      </c>
      <c r="G52" s="9">
        <v>2227974.4500000002</v>
      </c>
      <c r="H52" s="9">
        <v>1181088</v>
      </c>
      <c r="I52" s="9">
        <v>1046886</v>
      </c>
      <c r="J52" s="9">
        <v>2430566.1536758002</v>
      </c>
      <c r="K52" s="9">
        <v>1254545</v>
      </c>
      <c r="L52" s="9">
        <v>1176021</v>
      </c>
      <c r="M52" s="9">
        <v>2380996.33</v>
      </c>
      <c r="N52" s="9">
        <v>1252428</v>
      </c>
      <c r="O52" s="9">
        <v>1065723</v>
      </c>
      <c r="P52" s="9">
        <v>125248</v>
      </c>
      <c r="Q52" s="9">
        <v>2416094.560888038</v>
      </c>
      <c r="R52" s="9">
        <v>1320275</v>
      </c>
      <c r="S52" s="9">
        <v>1167152</v>
      </c>
      <c r="T52" s="9">
        <v>0</v>
      </c>
      <c r="U52" s="9">
        <v>2491980.6652200003</v>
      </c>
      <c r="V52" s="9">
        <v>1418885</v>
      </c>
      <c r="W52" s="9">
        <v>1098967</v>
      </c>
      <c r="X52" s="9">
        <v>5900</v>
      </c>
      <c r="Y52" s="9">
        <v>69910</v>
      </c>
      <c r="Z52" s="9">
        <v>2587336.7200000002</v>
      </c>
      <c r="AA52" s="9">
        <v>1412114</v>
      </c>
      <c r="AB52" s="9">
        <v>1175223</v>
      </c>
      <c r="AC52" s="9">
        <v>2627653.7399999998</v>
      </c>
      <c r="AD52" s="9">
        <v>1439707</v>
      </c>
      <c r="AE52" s="9">
        <v>1187947</v>
      </c>
      <c r="AF52" s="9">
        <v>2589280.4</v>
      </c>
      <c r="AG52" s="9">
        <v>1451989</v>
      </c>
      <c r="AH52" s="9">
        <v>1195297</v>
      </c>
      <c r="AI52" s="9">
        <v>2557047.06</v>
      </c>
      <c r="AJ52" s="9">
        <v>1495359</v>
      </c>
      <c r="AK52" s="28">
        <v>1202422</v>
      </c>
      <c r="AL52" s="9">
        <v>2535170.4500000002</v>
      </c>
      <c r="AM52" s="9">
        <v>1464818</v>
      </c>
      <c r="AN52" s="28">
        <v>1209272</v>
      </c>
      <c r="AO52" s="9">
        <v>2386674.08</v>
      </c>
      <c r="AP52" s="9">
        <v>1412227</v>
      </c>
      <c r="AQ52" s="28">
        <v>1223352</v>
      </c>
      <c r="AR52" s="9">
        <v>2534076.5705832485</v>
      </c>
      <c r="AS52" s="9">
        <v>1459687</v>
      </c>
      <c r="AT52" s="28">
        <v>1231392</v>
      </c>
      <c r="AU52" s="9">
        <v>2588960.9799999995</v>
      </c>
      <c r="AV52" s="9">
        <v>1544601</v>
      </c>
      <c r="AW52" s="9">
        <v>1239312</v>
      </c>
      <c r="AX52" s="9">
        <v>2714228.2124121352</v>
      </c>
      <c r="AY52" s="9">
        <v>1546449</v>
      </c>
      <c r="AZ52" s="28">
        <v>1247172</v>
      </c>
      <c r="BA52" s="9">
        <v>3081860.73</v>
      </c>
      <c r="BB52" s="9">
        <v>1716855</v>
      </c>
      <c r="BC52" s="9">
        <v>1365006</v>
      </c>
      <c r="BD52" s="9">
        <v>2957057.94</v>
      </c>
      <c r="BE52" s="9">
        <v>1755767</v>
      </c>
      <c r="BF52" s="9">
        <v>1373076</v>
      </c>
      <c r="BG52" s="9">
        <v>3134102.29</v>
      </c>
      <c r="BH52" s="9">
        <v>1768013</v>
      </c>
      <c r="BI52" s="9">
        <v>1388436</v>
      </c>
      <c r="BJ52" s="9">
        <v>3511281.75</v>
      </c>
      <c r="BK52" s="9">
        <v>1913482</v>
      </c>
      <c r="BL52" s="9">
        <v>1597800</v>
      </c>
      <c r="BM52" s="9"/>
      <c r="BN52" s="9"/>
      <c r="BO52" s="9"/>
      <c r="BP52" s="9"/>
      <c r="BQ52" s="9"/>
      <c r="BR52" s="9"/>
      <c r="BS52" s="9"/>
      <c r="BT52" s="9"/>
      <c r="BU52" s="9"/>
    </row>
    <row r="53" spans="1:73">
      <c r="A53" s="6">
        <v>44</v>
      </c>
      <c r="B53" s="6" t="s">
        <v>1163</v>
      </c>
      <c r="C53" s="421">
        <v>75.88</v>
      </c>
      <c r="D53" s="9">
        <v>138977359</v>
      </c>
      <c r="E53" s="33">
        <v>28667300</v>
      </c>
      <c r="F53" s="9">
        <v>110310059</v>
      </c>
      <c r="G53" s="9">
        <v>148050710.59000003</v>
      </c>
      <c r="H53" s="9">
        <v>30752545</v>
      </c>
      <c r="I53" s="9">
        <v>117298166</v>
      </c>
      <c r="J53" s="9">
        <v>154658101.48941717</v>
      </c>
      <c r="K53" s="9">
        <v>32078890</v>
      </c>
      <c r="L53" s="9">
        <v>122579211</v>
      </c>
      <c r="M53" s="9">
        <v>162730674.18000001</v>
      </c>
      <c r="N53" s="9">
        <v>33821654</v>
      </c>
      <c r="O53" s="9">
        <v>115352398</v>
      </c>
      <c r="P53" s="9">
        <v>13556622</v>
      </c>
      <c r="Q53" s="9">
        <v>165249140.34832537</v>
      </c>
      <c r="R53" s="9">
        <v>32323782</v>
      </c>
      <c r="S53" s="9">
        <v>126330840</v>
      </c>
      <c r="T53" s="9">
        <v>6594518</v>
      </c>
      <c r="U53" s="9">
        <v>165226027.56366</v>
      </c>
      <c r="V53" s="9">
        <v>32681998</v>
      </c>
      <c r="W53" s="9">
        <v>130000851</v>
      </c>
      <c r="X53" s="9">
        <v>697902</v>
      </c>
      <c r="Y53" s="9">
        <v>2623405</v>
      </c>
      <c r="Z53" s="9">
        <v>173663222.44</v>
      </c>
      <c r="AA53" s="9">
        <v>34080582</v>
      </c>
      <c r="AB53" s="9">
        <v>139582640</v>
      </c>
      <c r="AC53" s="9">
        <v>183049366.26000002</v>
      </c>
      <c r="AD53" s="9">
        <v>34969008</v>
      </c>
      <c r="AE53" s="9">
        <v>148088586</v>
      </c>
      <c r="AF53" s="9">
        <v>194125642.31999999</v>
      </c>
      <c r="AG53" s="9">
        <v>36202770</v>
      </c>
      <c r="AH53" s="9">
        <v>157922872</v>
      </c>
      <c r="AI53" s="9">
        <v>202656340.72</v>
      </c>
      <c r="AJ53" s="9">
        <v>37791281</v>
      </c>
      <c r="AK53" s="28">
        <v>164865060</v>
      </c>
      <c r="AL53" s="9">
        <v>209479318.44</v>
      </c>
      <c r="AM53" s="9">
        <v>39438390</v>
      </c>
      <c r="AN53" s="28">
        <v>170040928</v>
      </c>
      <c r="AO53" s="9">
        <v>202933234.47</v>
      </c>
      <c r="AP53" s="9">
        <v>40436538</v>
      </c>
      <c r="AQ53" s="28">
        <v>171012998</v>
      </c>
      <c r="AR53" s="9">
        <v>210658023.1896143</v>
      </c>
      <c r="AS53" s="9">
        <v>42271112</v>
      </c>
      <c r="AT53" s="28">
        <v>171549638</v>
      </c>
      <c r="AU53" s="9">
        <v>219005794.21000001</v>
      </c>
      <c r="AV53" s="9">
        <v>43627822</v>
      </c>
      <c r="AW53" s="9">
        <v>178296402.16310808</v>
      </c>
      <c r="AX53" s="9">
        <v>232535452.17106631</v>
      </c>
      <c r="AY53" s="9">
        <v>46034943</v>
      </c>
      <c r="AZ53" s="28">
        <v>186500509</v>
      </c>
      <c r="BA53" s="9">
        <v>237304378.99000001</v>
      </c>
      <c r="BB53" s="9">
        <v>48074759</v>
      </c>
      <c r="BC53" s="9">
        <v>189236745</v>
      </c>
      <c r="BD53" s="9">
        <v>261944926.60000005</v>
      </c>
      <c r="BE53" s="9">
        <v>49559396</v>
      </c>
      <c r="BF53" s="9">
        <v>212385531</v>
      </c>
      <c r="BG53" s="9">
        <v>276250953.13999999</v>
      </c>
      <c r="BH53" s="9">
        <v>52190600</v>
      </c>
      <c r="BI53" s="9">
        <v>224060353</v>
      </c>
      <c r="BJ53" s="9">
        <v>295646847.72000003</v>
      </c>
      <c r="BK53" s="9">
        <v>54579267</v>
      </c>
      <c r="BL53" s="9">
        <v>241067581</v>
      </c>
      <c r="BM53" s="9"/>
      <c r="BN53" s="9"/>
      <c r="BO53" s="9"/>
      <c r="BP53" s="9"/>
      <c r="BQ53" s="9"/>
      <c r="BR53" s="9"/>
      <c r="BS53" s="9"/>
      <c r="BT53" s="9"/>
      <c r="BU53" s="9"/>
    </row>
    <row r="54" spans="1:73">
      <c r="A54" s="6">
        <v>45</v>
      </c>
      <c r="B54" s="6" t="s">
        <v>1164</v>
      </c>
      <c r="C54" s="421">
        <v>54.37</v>
      </c>
      <c r="D54" s="9">
        <v>2025359</v>
      </c>
      <c r="E54" s="33">
        <v>709065</v>
      </c>
      <c r="F54" s="9">
        <v>1322058.3999999999</v>
      </c>
      <c r="G54" s="9">
        <v>2063441.72</v>
      </c>
      <c r="H54" s="9">
        <v>801638</v>
      </c>
      <c r="I54" s="9">
        <v>1345037.4</v>
      </c>
      <c r="J54" s="9">
        <v>2050160.4735631028</v>
      </c>
      <c r="K54" s="9">
        <v>812205</v>
      </c>
      <c r="L54" s="9">
        <v>1357887.4</v>
      </c>
      <c r="M54" s="9">
        <v>2003095.25</v>
      </c>
      <c r="N54" s="9">
        <v>823505</v>
      </c>
      <c r="O54" s="9">
        <v>1225913.3999999999</v>
      </c>
      <c r="P54" s="9">
        <v>144074</v>
      </c>
      <c r="Q54" s="9">
        <v>2262218.9634143542</v>
      </c>
      <c r="R54" s="9">
        <v>963341</v>
      </c>
      <c r="S54" s="9">
        <v>1342588</v>
      </c>
      <c r="T54" s="9">
        <v>0</v>
      </c>
      <c r="U54" s="9">
        <v>2318727.5348999999</v>
      </c>
      <c r="V54" s="9">
        <v>997242</v>
      </c>
      <c r="W54" s="9">
        <v>1296130</v>
      </c>
      <c r="X54" s="9">
        <v>6958</v>
      </c>
      <c r="Y54" s="9">
        <v>46050</v>
      </c>
      <c r="Z54" s="9">
        <v>2344861.94</v>
      </c>
      <c r="AA54" s="9">
        <v>1042415</v>
      </c>
      <c r="AB54" s="9">
        <v>1303088</v>
      </c>
      <c r="AC54" s="9">
        <v>2462784.7700000005</v>
      </c>
      <c r="AD54" s="9">
        <v>1111388</v>
      </c>
      <c r="AE54" s="9">
        <v>1354889.719122</v>
      </c>
      <c r="AF54" s="9">
        <v>2368076.6400000006</v>
      </c>
      <c r="AG54" s="9">
        <v>1081418</v>
      </c>
      <c r="AH54" s="9">
        <v>1361089.719122</v>
      </c>
      <c r="AI54" s="9">
        <v>2293424.8199999998</v>
      </c>
      <c r="AJ54" s="9">
        <v>1033581</v>
      </c>
      <c r="AK54" s="28">
        <v>1366889.719122</v>
      </c>
      <c r="AL54" s="9">
        <v>2475237.4299999997</v>
      </c>
      <c r="AM54" s="9">
        <v>1069272</v>
      </c>
      <c r="AN54" s="28">
        <v>1405965</v>
      </c>
      <c r="AO54" s="9">
        <v>2406993.0500000003</v>
      </c>
      <c r="AP54" s="9">
        <v>1047029</v>
      </c>
      <c r="AQ54" s="28">
        <v>1419330</v>
      </c>
      <c r="AR54" s="9">
        <v>2393041.9473765823</v>
      </c>
      <c r="AS54" s="9">
        <v>1030082</v>
      </c>
      <c r="AT54" s="28">
        <v>1426350</v>
      </c>
      <c r="AU54" s="9">
        <v>2539081.3000000003</v>
      </c>
      <c r="AV54" s="9">
        <v>1093626</v>
      </c>
      <c r="AW54" s="9">
        <v>1445497</v>
      </c>
      <c r="AX54" s="9">
        <v>2740659.0357464454</v>
      </c>
      <c r="AY54" s="9">
        <v>1155170</v>
      </c>
      <c r="AZ54" s="28">
        <v>1585489</v>
      </c>
      <c r="BA54" s="9">
        <v>2871199.0500000003</v>
      </c>
      <c r="BB54" s="9">
        <v>1170696</v>
      </c>
      <c r="BC54" s="9">
        <v>1700503</v>
      </c>
      <c r="BD54" s="9">
        <v>2739833.1099999994</v>
      </c>
      <c r="BE54" s="9">
        <v>1154807</v>
      </c>
      <c r="BF54" s="9">
        <v>1707403</v>
      </c>
      <c r="BG54" s="9">
        <v>2950079.4100000006</v>
      </c>
      <c r="BH54" s="9">
        <v>1240313</v>
      </c>
      <c r="BI54" s="9">
        <v>1721083</v>
      </c>
      <c r="BJ54" s="9">
        <v>3240938.5500000003</v>
      </c>
      <c r="BK54" s="9">
        <v>1329203</v>
      </c>
      <c r="BL54" s="9">
        <v>1911736</v>
      </c>
      <c r="BM54" s="9"/>
      <c r="BN54" s="9"/>
      <c r="BO54" s="9"/>
      <c r="BP54" s="9"/>
      <c r="BQ54" s="9"/>
      <c r="BR54" s="9"/>
      <c r="BS54" s="9"/>
      <c r="BT54" s="9"/>
      <c r="BU54" s="9"/>
    </row>
    <row r="55" spans="1:73">
      <c r="A55" s="6">
        <v>46</v>
      </c>
      <c r="B55" s="6" t="s">
        <v>1165</v>
      </c>
      <c r="C55" s="421">
        <v>17.5</v>
      </c>
      <c r="D55" s="9">
        <v>43182454</v>
      </c>
      <c r="E55" s="33">
        <v>61282406</v>
      </c>
      <c r="F55" s="9">
        <v>5214247.2</v>
      </c>
      <c r="G55" s="9">
        <v>46243374.585639991</v>
      </c>
      <c r="H55" s="9">
        <v>59029263</v>
      </c>
      <c r="I55" s="9">
        <v>5789916.2000000002</v>
      </c>
      <c r="J55" s="9">
        <v>49807109.097208999</v>
      </c>
      <c r="K55" s="9">
        <v>56651328</v>
      </c>
      <c r="L55" s="9">
        <v>6667814.2000000002</v>
      </c>
      <c r="M55" s="9">
        <v>52046875.491919994</v>
      </c>
      <c r="N55" s="9">
        <v>53580843</v>
      </c>
      <c r="O55" s="9">
        <v>6687235.2000000002</v>
      </c>
      <c r="P55" s="9">
        <v>785907</v>
      </c>
      <c r="Q55" s="9">
        <v>55448797.678294986</v>
      </c>
      <c r="R55" s="9">
        <v>53202974</v>
      </c>
      <c r="S55" s="9">
        <v>7323679</v>
      </c>
      <c r="T55" s="9">
        <v>0</v>
      </c>
      <c r="U55" s="9">
        <v>55383764.102746435</v>
      </c>
      <c r="V55" s="9">
        <v>52241986</v>
      </c>
      <c r="W55" s="9">
        <v>6895830</v>
      </c>
      <c r="X55" s="9">
        <v>37020</v>
      </c>
      <c r="Y55" s="9">
        <v>549129</v>
      </c>
      <c r="Z55" s="9">
        <v>57861961.59826</v>
      </c>
      <c r="AA55" s="9">
        <v>52548862</v>
      </c>
      <c r="AB55" s="9">
        <v>6932850</v>
      </c>
      <c r="AC55" s="9">
        <v>63110212.205569983</v>
      </c>
      <c r="AD55" s="9">
        <v>54160831</v>
      </c>
      <c r="AE55" s="9">
        <v>8949381</v>
      </c>
      <c r="AF55" s="9">
        <v>66334276.020650007</v>
      </c>
      <c r="AG55" s="9">
        <v>55964810</v>
      </c>
      <c r="AH55" s="9">
        <v>10369466</v>
      </c>
      <c r="AI55" s="9">
        <v>68558216.958700001</v>
      </c>
      <c r="AJ55" s="9">
        <v>57398755</v>
      </c>
      <c r="AK55" s="28">
        <v>11159462</v>
      </c>
      <c r="AL55" s="9">
        <v>71400245.83788</v>
      </c>
      <c r="AM55" s="9">
        <v>59216726</v>
      </c>
      <c r="AN55" s="28">
        <v>12183520</v>
      </c>
      <c r="AO55" s="9">
        <v>73409265.273400009</v>
      </c>
      <c r="AP55" s="9">
        <v>60679638</v>
      </c>
      <c r="AQ55" s="28">
        <v>12729627</v>
      </c>
      <c r="AR55" s="9">
        <v>75819883.374121532</v>
      </c>
      <c r="AS55" s="9">
        <v>62590117</v>
      </c>
      <c r="AT55" s="28">
        <v>13229766</v>
      </c>
      <c r="AU55" s="9">
        <v>79599261.272049993</v>
      </c>
      <c r="AV55" s="9">
        <v>64824584</v>
      </c>
      <c r="AW55" s="9">
        <v>14774677</v>
      </c>
      <c r="AX55" s="9">
        <v>83235896.760623336</v>
      </c>
      <c r="AY55" s="9">
        <v>68669614</v>
      </c>
      <c r="AZ55" s="28">
        <v>15006787</v>
      </c>
      <c r="BA55" s="9">
        <v>83874467.613419995</v>
      </c>
      <c r="BB55" s="9">
        <v>69196436</v>
      </c>
      <c r="BC55" s="9">
        <v>15006787</v>
      </c>
      <c r="BD55" s="9">
        <v>77422819.851260006</v>
      </c>
      <c r="BE55" s="9">
        <v>63873826</v>
      </c>
      <c r="BF55" s="9">
        <v>15212527</v>
      </c>
      <c r="BG55" s="9">
        <v>82255132.52319999</v>
      </c>
      <c r="BH55" s="9">
        <v>67860485</v>
      </c>
      <c r="BI55" s="9">
        <v>15620467</v>
      </c>
      <c r="BJ55" s="9">
        <v>89394640.063260004</v>
      </c>
      <c r="BK55" s="9">
        <v>73750578</v>
      </c>
      <c r="BL55" s="9">
        <v>16035247</v>
      </c>
      <c r="BM55" s="9"/>
      <c r="BN55" s="9"/>
      <c r="BO55" s="9"/>
      <c r="BP55" s="9"/>
      <c r="BQ55" s="9"/>
      <c r="BR55" s="9"/>
      <c r="BS55" s="9"/>
      <c r="BT55" s="9"/>
      <c r="BU55" s="9"/>
    </row>
    <row r="56" spans="1:73">
      <c r="A56" s="6">
        <v>47</v>
      </c>
      <c r="B56" s="6" t="s">
        <v>1166</v>
      </c>
      <c r="C56" s="421">
        <v>43.51</v>
      </c>
      <c r="D56" s="9">
        <v>0</v>
      </c>
      <c r="E56" s="33">
        <v>0</v>
      </c>
      <c r="F56" s="9">
        <v>0</v>
      </c>
      <c r="G56" s="9">
        <v>0</v>
      </c>
      <c r="H56" s="9">
        <v>0</v>
      </c>
      <c r="I56" s="9">
        <v>0</v>
      </c>
      <c r="J56" s="9">
        <v>0</v>
      </c>
      <c r="K56" s="9">
        <v>0</v>
      </c>
      <c r="L56" s="9">
        <v>0</v>
      </c>
      <c r="M56" s="9">
        <v>0</v>
      </c>
      <c r="N56" s="9">
        <v>0</v>
      </c>
      <c r="O56" s="9">
        <v>0</v>
      </c>
      <c r="P56" s="9">
        <v>0</v>
      </c>
      <c r="Q56" s="9">
        <v>12306.57500478469</v>
      </c>
      <c r="R56" s="9">
        <v>6213</v>
      </c>
      <c r="S56" s="9">
        <v>0</v>
      </c>
      <c r="T56" s="9">
        <v>6094</v>
      </c>
      <c r="U56" s="9">
        <v>12035.81568</v>
      </c>
      <c r="V56" s="9">
        <v>5834</v>
      </c>
      <c r="W56" s="9">
        <v>6202</v>
      </c>
      <c r="X56" s="9">
        <v>0</v>
      </c>
      <c r="Y56" s="9">
        <v>0</v>
      </c>
      <c r="Z56" s="9">
        <v>0</v>
      </c>
      <c r="AA56" s="9">
        <v>0</v>
      </c>
      <c r="AB56" s="9">
        <v>0</v>
      </c>
      <c r="AC56" s="9">
        <v>0</v>
      </c>
      <c r="AD56" s="9">
        <v>0</v>
      </c>
      <c r="AE56" s="9">
        <v>0</v>
      </c>
      <c r="AF56" s="9">
        <v>0</v>
      </c>
      <c r="AG56" s="9">
        <v>0</v>
      </c>
      <c r="AH56" s="9">
        <v>0</v>
      </c>
      <c r="AI56" s="9">
        <v>0</v>
      </c>
      <c r="AJ56" s="9">
        <v>0</v>
      </c>
      <c r="AK56" s="28">
        <v>0</v>
      </c>
      <c r="AL56" s="9">
        <v>0</v>
      </c>
      <c r="AM56" s="9">
        <v>0</v>
      </c>
      <c r="AN56" s="28">
        <v>0</v>
      </c>
      <c r="AO56" s="9">
        <v>0</v>
      </c>
      <c r="AP56" s="9">
        <v>0</v>
      </c>
      <c r="AQ56" s="28">
        <v>0</v>
      </c>
      <c r="AR56" s="9">
        <v>13416.833343589547</v>
      </c>
      <c r="AS56" s="9">
        <v>8460</v>
      </c>
      <c r="AT56" s="28">
        <v>4957</v>
      </c>
      <c r="AU56" s="9">
        <v>27674.32</v>
      </c>
      <c r="AV56" s="9">
        <v>17242</v>
      </c>
      <c r="AW56" s="9">
        <v>10478</v>
      </c>
      <c r="AX56" s="9">
        <v>28743.594510706713</v>
      </c>
      <c r="AY56" s="9">
        <v>15670</v>
      </c>
      <c r="AZ56" s="28">
        <v>13074</v>
      </c>
      <c r="BA56" s="9">
        <v>29315.599999999999</v>
      </c>
      <c r="BB56" s="9">
        <v>16598</v>
      </c>
      <c r="BC56" s="9">
        <v>13074</v>
      </c>
      <c r="BD56" s="9">
        <v>29905.56</v>
      </c>
      <c r="BE56" s="9">
        <v>18425</v>
      </c>
      <c r="BF56" s="9">
        <v>13134</v>
      </c>
      <c r="BG56" s="9">
        <v>15697.710000000001</v>
      </c>
      <c r="BH56" s="9">
        <v>8117</v>
      </c>
      <c r="BI56" s="9">
        <v>13134</v>
      </c>
      <c r="BJ56" s="9">
        <v>16490.760000000002</v>
      </c>
      <c r="BK56" s="9">
        <v>8510</v>
      </c>
      <c r="BL56" s="9">
        <v>13134</v>
      </c>
      <c r="BM56" s="9"/>
      <c r="BN56" s="9"/>
      <c r="BO56" s="9"/>
      <c r="BP56" s="9"/>
      <c r="BQ56" s="9"/>
      <c r="BR56" s="9"/>
      <c r="BS56" s="9"/>
      <c r="BT56" s="9"/>
      <c r="BU56" s="9"/>
    </row>
    <row r="57" spans="1:73">
      <c r="A57" s="6">
        <v>48</v>
      </c>
      <c r="B57" s="6" t="s">
        <v>1167</v>
      </c>
      <c r="C57" s="421">
        <v>17.5</v>
      </c>
      <c r="D57" s="9">
        <v>26346430</v>
      </c>
      <c r="E57" s="33">
        <v>31715482</v>
      </c>
      <c r="F57" s="9">
        <v>3726893.6</v>
      </c>
      <c r="G57" s="9">
        <v>28476092.515739989</v>
      </c>
      <c r="H57" s="9">
        <v>31274657</v>
      </c>
      <c r="I57" s="9">
        <v>4099584.6</v>
      </c>
      <c r="J57" s="9">
        <v>29703889.542099517</v>
      </c>
      <c r="K57" s="9">
        <v>30286140</v>
      </c>
      <c r="L57" s="9">
        <v>4663527.5999999996</v>
      </c>
      <c r="M57" s="9">
        <v>32206347.779779997</v>
      </c>
      <c r="N57" s="9">
        <v>29440791</v>
      </c>
      <c r="O57" s="9">
        <v>4943419.5999999996</v>
      </c>
      <c r="P57" s="9">
        <v>580968</v>
      </c>
      <c r="Q57" s="9">
        <v>33076725.604208447</v>
      </c>
      <c r="R57" s="9">
        <v>30090020</v>
      </c>
      <c r="S57" s="9">
        <v>5413900</v>
      </c>
      <c r="T57" s="9">
        <v>0</v>
      </c>
      <c r="U57" s="9">
        <v>32935307.252465941</v>
      </c>
      <c r="V57" s="9">
        <v>30061628</v>
      </c>
      <c r="W57" s="9">
        <v>5097620</v>
      </c>
      <c r="X57" s="9">
        <v>27366</v>
      </c>
      <c r="Y57" s="9">
        <v>382764</v>
      </c>
      <c r="Z57" s="9">
        <v>33128199.854009997</v>
      </c>
      <c r="AA57" s="9">
        <v>30481205</v>
      </c>
      <c r="AB57" s="9">
        <v>5124986</v>
      </c>
      <c r="AC57" s="9">
        <v>33884514.180340007</v>
      </c>
      <c r="AD57" s="9">
        <v>31423998</v>
      </c>
      <c r="AE57" s="9">
        <v>5326186.995389875</v>
      </c>
      <c r="AF57" s="9">
        <v>34352845.412480004</v>
      </c>
      <c r="AG57" s="9">
        <v>32068110</v>
      </c>
      <c r="AH57" s="9">
        <v>5497577.2333384063</v>
      </c>
      <c r="AI57" s="9">
        <v>34467698.66996</v>
      </c>
      <c r="AJ57" s="9">
        <v>30725441</v>
      </c>
      <c r="AK57" s="28">
        <v>5684571.2333384063</v>
      </c>
      <c r="AL57" s="9">
        <v>34239007.273680001</v>
      </c>
      <c r="AM57" s="9">
        <v>30149693</v>
      </c>
      <c r="AN57" s="28">
        <v>5771296.2333384063</v>
      </c>
      <c r="AO57" s="9">
        <v>34371376.749679998</v>
      </c>
      <c r="AP57" s="9">
        <v>28843485</v>
      </c>
      <c r="AQ57" s="28">
        <v>5961486.2333384063</v>
      </c>
      <c r="AR57" s="9">
        <v>35700016.024699226</v>
      </c>
      <c r="AS57" s="9">
        <v>29571420</v>
      </c>
      <c r="AT57" s="28">
        <v>6128596</v>
      </c>
      <c r="AU57" s="9">
        <v>37486525.891100004</v>
      </c>
      <c r="AV57" s="9">
        <v>30926384</v>
      </c>
      <c r="AW57" s="9">
        <v>6560142</v>
      </c>
      <c r="AX57" s="9">
        <v>39132795.405252784</v>
      </c>
      <c r="AY57" s="9">
        <v>32284557</v>
      </c>
      <c r="AZ57" s="28">
        <v>6851477</v>
      </c>
      <c r="BA57" s="9">
        <v>40012176.135040008</v>
      </c>
      <c r="BB57" s="9">
        <v>33010045</v>
      </c>
      <c r="BC57" s="9">
        <v>7002131</v>
      </c>
      <c r="BD57" s="9">
        <v>40093789.187169999</v>
      </c>
      <c r="BE57" s="9">
        <v>33077377</v>
      </c>
      <c r="BF57" s="9">
        <v>7104731</v>
      </c>
      <c r="BG57" s="9">
        <v>44168133.059200004</v>
      </c>
      <c r="BH57" s="9">
        <v>35018289</v>
      </c>
      <c r="BI57" s="9">
        <v>9149844</v>
      </c>
      <c r="BJ57" s="9">
        <v>46103747.98904001</v>
      </c>
      <c r="BK57" s="9">
        <v>36818680</v>
      </c>
      <c r="BL57" s="9">
        <v>9355284</v>
      </c>
      <c r="BM57" s="9"/>
      <c r="BN57" s="9"/>
      <c r="BO57" s="9"/>
      <c r="BP57" s="9"/>
      <c r="BQ57" s="9"/>
      <c r="BR57" s="9"/>
      <c r="BS57" s="9"/>
      <c r="BT57" s="9"/>
      <c r="BU57" s="9"/>
    </row>
    <row r="58" spans="1:73">
      <c r="A58" s="6">
        <v>49</v>
      </c>
      <c r="B58" s="6" t="s">
        <v>1168</v>
      </c>
      <c r="C58" s="421">
        <v>17.5</v>
      </c>
      <c r="D58" s="9">
        <v>58192422</v>
      </c>
      <c r="E58" s="33">
        <v>121371348</v>
      </c>
      <c r="F58" s="9">
        <v>7122204.7999999998</v>
      </c>
      <c r="G58" s="9">
        <v>59270960.026400015</v>
      </c>
      <c r="H58" s="9">
        <v>88906440</v>
      </c>
      <c r="I58" s="9">
        <v>7772247.7999999998</v>
      </c>
      <c r="J58" s="9">
        <v>58586280.466038458</v>
      </c>
      <c r="K58" s="9">
        <v>83184123</v>
      </c>
      <c r="L58" s="9">
        <v>8516352.8000000007</v>
      </c>
      <c r="M58" s="9">
        <v>62523713.757140018</v>
      </c>
      <c r="N58" s="9">
        <v>76283365</v>
      </c>
      <c r="O58" s="9">
        <v>8336916.8000000007</v>
      </c>
      <c r="P58" s="9">
        <v>979784</v>
      </c>
      <c r="Q58" s="9">
        <v>65306358.733187631</v>
      </c>
      <c r="R58" s="9">
        <v>75386475</v>
      </c>
      <c r="S58" s="9">
        <v>9130367</v>
      </c>
      <c r="T58" s="9">
        <v>0</v>
      </c>
      <c r="U58" s="9">
        <v>63289437.868766032</v>
      </c>
      <c r="V58" s="9">
        <v>70899052</v>
      </c>
      <c r="W58" s="9">
        <v>8596971</v>
      </c>
      <c r="X58" s="9">
        <v>46152</v>
      </c>
      <c r="Y58" s="9">
        <v>639119</v>
      </c>
      <c r="Z58" s="9">
        <v>65583156.403349996</v>
      </c>
      <c r="AA58" s="9">
        <v>70070141</v>
      </c>
      <c r="AB58" s="9">
        <v>8643123</v>
      </c>
      <c r="AC58" s="9">
        <v>68855555.119200006</v>
      </c>
      <c r="AD58" s="9">
        <v>68855555</v>
      </c>
      <c r="AE58" s="9">
        <v>8892163</v>
      </c>
      <c r="AF58" s="9">
        <v>72833197.092889979</v>
      </c>
      <c r="AG58" s="9">
        <v>69898977</v>
      </c>
      <c r="AH58" s="9">
        <v>9053613</v>
      </c>
      <c r="AI58" s="9">
        <v>75565946.828440011</v>
      </c>
      <c r="AJ58" s="9">
        <v>67728118</v>
      </c>
      <c r="AK58" s="28">
        <v>10513263</v>
      </c>
      <c r="AL58" s="9">
        <v>79533780.825280011</v>
      </c>
      <c r="AM58" s="9">
        <v>68456380</v>
      </c>
      <c r="AN58" s="28">
        <v>11077401</v>
      </c>
      <c r="AO58" s="9">
        <v>80655732.60428001</v>
      </c>
      <c r="AP58" s="9">
        <v>67464934</v>
      </c>
      <c r="AQ58" s="28">
        <v>13287462</v>
      </c>
      <c r="AR58" s="9">
        <v>84055799.773383468</v>
      </c>
      <c r="AS58" s="9">
        <v>69688258</v>
      </c>
      <c r="AT58" s="28">
        <f>14474654-107112</f>
        <v>14367542</v>
      </c>
      <c r="AU58" s="9">
        <v>88309460.905200005</v>
      </c>
      <c r="AV58" s="9">
        <v>72855305</v>
      </c>
      <c r="AW58" s="9">
        <v>15454156</v>
      </c>
      <c r="AX58" s="9">
        <v>95754602.358881176</v>
      </c>
      <c r="AY58" s="9">
        <v>78997547</v>
      </c>
      <c r="AZ58" s="28">
        <v>16757055</v>
      </c>
      <c r="BA58" s="9">
        <v>97837766.086960018</v>
      </c>
      <c r="BB58" s="9">
        <v>80716157</v>
      </c>
      <c r="BC58" s="9">
        <v>17121609</v>
      </c>
      <c r="BD58" s="9">
        <v>100848386.94927999</v>
      </c>
      <c r="BE58" s="9">
        <v>83199919</v>
      </c>
      <c r="BF58" s="9">
        <v>17648468</v>
      </c>
      <c r="BG58" s="9">
        <v>105936291.71016</v>
      </c>
      <c r="BH58" s="9">
        <v>87397441</v>
      </c>
      <c r="BI58" s="9">
        <v>18538851</v>
      </c>
      <c r="BJ58" s="9">
        <v>112732473.50964999</v>
      </c>
      <c r="BK58" s="9">
        <v>93004291</v>
      </c>
      <c r="BL58" s="9">
        <v>19728183</v>
      </c>
      <c r="BM58" s="9"/>
      <c r="BN58" s="9"/>
      <c r="BO58" s="9"/>
      <c r="BP58" s="9"/>
      <c r="BQ58" s="9"/>
      <c r="BR58" s="9"/>
      <c r="BS58" s="9"/>
      <c r="BT58" s="9"/>
      <c r="BU58" s="9"/>
    </row>
    <row r="59" spans="1:73">
      <c r="A59" s="6">
        <v>50</v>
      </c>
      <c r="B59" s="6" t="s">
        <v>1169</v>
      </c>
      <c r="C59" s="421">
        <v>17.5</v>
      </c>
      <c r="D59" s="9">
        <v>21297642</v>
      </c>
      <c r="E59" s="33">
        <v>22689136</v>
      </c>
      <c r="F59" s="9">
        <v>2658679.6</v>
      </c>
      <c r="G59" s="9">
        <v>23120445.500109997</v>
      </c>
      <c r="H59" s="9">
        <v>22714049</v>
      </c>
      <c r="I59" s="9">
        <v>2977670.6</v>
      </c>
      <c r="J59" s="9">
        <v>24474543.710445229</v>
      </c>
      <c r="K59" s="9">
        <v>22506106</v>
      </c>
      <c r="L59" s="9">
        <v>3369282.6</v>
      </c>
      <c r="M59" s="9">
        <v>26022801.77039</v>
      </c>
      <c r="N59" s="9">
        <v>22769714</v>
      </c>
      <c r="O59" s="9">
        <v>3364793.6</v>
      </c>
      <c r="P59" s="9">
        <v>395442</v>
      </c>
      <c r="Q59" s="9">
        <v>26782117.437980484</v>
      </c>
      <c r="R59" s="9">
        <v>23032985</v>
      </c>
      <c r="S59" s="9">
        <v>3685031</v>
      </c>
      <c r="T59" s="9">
        <v>64101</v>
      </c>
      <c r="U59" s="9">
        <v>26442324.635255523</v>
      </c>
      <c r="V59" s="9">
        <v>23230516</v>
      </c>
      <c r="W59" s="9">
        <v>3530108</v>
      </c>
      <c r="X59" s="9">
        <v>18951</v>
      </c>
      <c r="Y59" s="9">
        <v>275998</v>
      </c>
      <c r="Z59" s="9">
        <v>27781523.257420003</v>
      </c>
      <c r="AA59" s="9">
        <v>23943285</v>
      </c>
      <c r="AB59" s="9">
        <v>3838238</v>
      </c>
      <c r="AC59" s="9">
        <v>29173938.351570003</v>
      </c>
      <c r="AD59" s="9">
        <v>24768223</v>
      </c>
      <c r="AE59" s="9">
        <v>4580646.0528811878</v>
      </c>
      <c r="AF59" s="9">
        <v>30084633.497920007</v>
      </c>
      <c r="AG59" s="9">
        <v>25615490</v>
      </c>
      <c r="AH59" s="9">
        <v>4751687.2551948912</v>
      </c>
      <c r="AI59" s="9">
        <v>30171279.553439993</v>
      </c>
      <c r="AJ59" s="9">
        <v>25776936</v>
      </c>
      <c r="AK59" s="28">
        <v>4936587.2551948912</v>
      </c>
      <c r="AL59" s="9">
        <v>31710377.389359999</v>
      </c>
      <c r="AM59" s="9">
        <v>26583708</v>
      </c>
      <c r="AN59" s="28">
        <v>5126669</v>
      </c>
      <c r="AO59" s="9">
        <v>31711055.289259996</v>
      </c>
      <c r="AP59" s="9">
        <v>26390963</v>
      </c>
      <c r="AQ59" s="28">
        <v>5320092</v>
      </c>
      <c r="AR59" s="9">
        <v>33816147.853070647</v>
      </c>
      <c r="AS59" s="9">
        <v>27788653</v>
      </c>
      <c r="AT59" s="28">
        <v>6027495</v>
      </c>
      <c r="AU59" s="9">
        <v>34875442.289380006</v>
      </c>
      <c r="AV59" s="9">
        <v>28772240</v>
      </c>
      <c r="AW59" s="9">
        <v>6127065</v>
      </c>
      <c r="AX59" s="9">
        <v>36127373.083982036</v>
      </c>
      <c r="AY59" s="9">
        <v>29805082</v>
      </c>
      <c r="AZ59" s="28">
        <v>6327312</v>
      </c>
      <c r="BA59" s="9">
        <v>37234938.635360003</v>
      </c>
      <c r="BB59" s="9">
        <v>30718825</v>
      </c>
      <c r="BC59" s="9">
        <v>6516115</v>
      </c>
      <c r="BD59" s="9">
        <v>37413396.475199997</v>
      </c>
      <c r="BE59" s="9">
        <v>30866052</v>
      </c>
      <c r="BF59" s="9">
        <v>6613135</v>
      </c>
      <c r="BG59" s="9">
        <v>40961226.355149999</v>
      </c>
      <c r="BH59" s="9">
        <v>33070790</v>
      </c>
      <c r="BI59" s="9">
        <v>7890436</v>
      </c>
      <c r="BJ59" s="9">
        <v>43350134.769279994</v>
      </c>
      <c r="BK59" s="9">
        <v>34684949</v>
      </c>
      <c r="BL59" s="9">
        <v>8665186</v>
      </c>
      <c r="BM59" s="9"/>
      <c r="BN59" s="9"/>
      <c r="BO59" s="9"/>
      <c r="BP59" s="9"/>
      <c r="BQ59" s="9"/>
      <c r="BR59" s="9"/>
      <c r="BS59" s="9"/>
      <c r="BT59" s="9"/>
      <c r="BU59" s="9"/>
    </row>
    <row r="60" spans="1:73">
      <c r="A60" s="6">
        <v>51</v>
      </c>
      <c r="B60" s="6" t="s">
        <v>1170</v>
      </c>
      <c r="C60" s="421">
        <v>17.5</v>
      </c>
      <c r="D60" s="9">
        <v>5380976</v>
      </c>
      <c r="E60" s="33">
        <v>5527723</v>
      </c>
      <c r="F60" s="9">
        <v>625736.4</v>
      </c>
      <c r="G60" s="9">
        <v>5564262.385809999</v>
      </c>
      <c r="H60" s="9">
        <v>5588855</v>
      </c>
      <c r="I60" s="9">
        <v>695338.4</v>
      </c>
      <c r="J60" s="9">
        <v>5581542.8067216659</v>
      </c>
      <c r="K60" s="9">
        <v>5455408</v>
      </c>
      <c r="L60" s="9">
        <v>779767.4</v>
      </c>
      <c r="M60" s="9">
        <v>5703345.7581000021</v>
      </c>
      <c r="N60" s="9">
        <v>5287388</v>
      </c>
      <c r="O60" s="9">
        <v>762232.4</v>
      </c>
      <c r="P60" s="9">
        <v>89580</v>
      </c>
      <c r="Q60" s="9">
        <v>5621329.9800242223</v>
      </c>
      <c r="R60" s="9">
        <v>5264374</v>
      </c>
      <c r="S60" s="9">
        <v>834776</v>
      </c>
      <c r="T60" s="9">
        <v>0</v>
      </c>
      <c r="U60" s="9">
        <v>5332769.3760069599</v>
      </c>
      <c r="V60" s="9">
        <v>4994997</v>
      </c>
      <c r="W60" s="9">
        <v>786008</v>
      </c>
      <c r="X60" s="9">
        <v>4220</v>
      </c>
      <c r="Y60" s="9">
        <v>61148</v>
      </c>
      <c r="Z60" s="9">
        <v>5279778.722959999</v>
      </c>
      <c r="AA60" s="9">
        <v>5047262</v>
      </c>
      <c r="AB60" s="9">
        <v>790228</v>
      </c>
      <c r="AC60" s="9">
        <v>5237293.4315999998</v>
      </c>
      <c r="AD60" s="9">
        <v>5073775</v>
      </c>
      <c r="AE60" s="9">
        <v>815308</v>
      </c>
      <c r="AF60" s="9">
        <v>5211682.2159700003</v>
      </c>
      <c r="AG60" s="9">
        <v>5137653</v>
      </c>
      <c r="AH60" s="9">
        <v>839492.09694868745</v>
      </c>
      <c r="AI60" s="9">
        <v>5130124.3316099988</v>
      </c>
      <c r="AJ60" s="9">
        <v>4617112</v>
      </c>
      <c r="AK60" s="28">
        <v>859890.09694868745</v>
      </c>
      <c r="AL60" s="9">
        <v>5330419.6237000003</v>
      </c>
      <c r="AM60" s="9">
        <v>4642180</v>
      </c>
      <c r="AN60" s="28">
        <v>875115.09694868745</v>
      </c>
      <c r="AO60" s="9">
        <v>5096190.4877600009</v>
      </c>
      <c r="AP60" s="9">
        <v>4276513</v>
      </c>
      <c r="AQ60" s="28">
        <f>906850.096948687+7432</f>
        <v>914282.09694868699</v>
      </c>
      <c r="AR60" s="9">
        <v>5148187.6529762335</v>
      </c>
      <c r="AS60" s="9">
        <v>4284734</v>
      </c>
      <c r="AT60" s="28">
        <v>931172.09694868699</v>
      </c>
      <c r="AU60" s="9">
        <v>5496906.7434400003</v>
      </c>
      <c r="AV60" s="9">
        <v>4534948</v>
      </c>
      <c r="AW60" s="9">
        <v>961959</v>
      </c>
      <c r="AX60" s="9">
        <v>5645404.4536545286</v>
      </c>
      <c r="AY60" s="9">
        <v>4644791</v>
      </c>
      <c r="AZ60" s="28">
        <v>1009657</v>
      </c>
      <c r="BA60" s="9">
        <v>5783671.1796799991</v>
      </c>
      <c r="BB60" s="9">
        <v>4771528</v>
      </c>
      <c r="BC60" s="9">
        <v>1012143</v>
      </c>
      <c r="BD60" s="9">
        <v>5777297.3325199997</v>
      </c>
      <c r="BE60" s="9">
        <v>4766270</v>
      </c>
      <c r="BF60" s="9">
        <v>1028823</v>
      </c>
      <c r="BG60" s="9">
        <v>6420143.4459200008</v>
      </c>
      <c r="BH60" s="9">
        <v>5066173</v>
      </c>
      <c r="BI60" s="9">
        <v>1353970</v>
      </c>
      <c r="BJ60" s="9">
        <v>6639945.1630799994</v>
      </c>
      <c r="BK60" s="9">
        <v>5477955</v>
      </c>
      <c r="BL60" s="9">
        <v>1387990</v>
      </c>
      <c r="BM60" s="9"/>
      <c r="BN60" s="9"/>
      <c r="BO60" s="9"/>
      <c r="BP60" s="9"/>
      <c r="BQ60" s="9"/>
      <c r="BR60" s="9"/>
      <c r="BS60" s="9"/>
      <c r="BT60" s="9"/>
      <c r="BU60" s="9"/>
    </row>
    <row r="61" spans="1:73">
      <c r="A61" s="6">
        <v>52</v>
      </c>
      <c r="B61" s="6" t="s">
        <v>1171</v>
      </c>
      <c r="C61" s="421">
        <v>44.89</v>
      </c>
      <c r="D61" s="9">
        <v>14692519</v>
      </c>
      <c r="E61" s="33">
        <v>5600310</v>
      </c>
      <c r="F61" s="9">
        <v>9266231</v>
      </c>
      <c r="G61" s="9">
        <v>15522693.041550003</v>
      </c>
      <c r="H61" s="9">
        <v>5937552</v>
      </c>
      <c r="I61" s="9">
        <v>9740177</v>
      </c>
      <c r="J61" s="9">
        <v>16020593.808795983</v>
      </c>
      <c r="K61" s="9">
        <v>6229859</v>
      </c>
      <c r="L61" s="9">
        <v>10016064</v>
      </c>
      <c r="M61" s="9">
        <v>16571482.380320001</v>
      </c>
      <c r="N61" s="9">
        <v>6622023</v>
      </c>
      <c r="O61" s="9">
        <v>9233907</v>
      </c>
      <c r="P61" s="9">
        <v>1085201</v>
      </c>
      <c r="Q61" s="9">
        <v>17214969.206102479</v>
      </c>
      <c r="R61" s="9">
        <v>7603064</v>
      </c>
      <c r="S61" s="9">
        <v>10112726</v>
      </c>
      <c r="T61" s="9">
        <v>0</v>
      </c>
      <c r="U61" s="9">
        <v>16524123.59413152</v>
      </c>
      <c r="V61" s="9">
        <v>7761924</v>
      </c>
      <c r="W61" s="9">
        <v>9521941</v>
      </c>
      <c r="X61" s="9">
        <v>51118</v>
      </c>
      <c r="Y61" s="9">
        <v>586792</v>
      </c>
      <c r="Z61" s="9">
        <v>16233062.765200002</v>
      </c>
      <c r="AA61" s="9">
        <v>8021055</v>
      </c>
      <c r="AB61" s="9">
        <v>9573059</v>
      </c>
      <c r="AC61" s="9">
        <v>16560679.89696</v>
      </c>
      <c r="AD61" s="9">
        <v>8171863</v>
      </c>
      <c r="AE61" s="9">
        <v>9644539</v>
      </c>
      <c r="AF61" s="9">
        <v>16614966.67595</v>
      </c>
      <c r="AG61" s="9">
        <v>8403720</v>
      </c>
      <c r="AH61" s="9">
        <v>9688439</v>
      </c>
      <c r="AI61" s="9">
        <v>16482096.760799997</v>
      </c>
      <c r="AJ61" s="9">
        <v>8461514</v>
      </c>
      <c r="AK61" s="28">
        <v>9731289</v>
      </c>
      <c r="AL61" s="9">
        <v>16197468.462199999</v>
      </c>
      <c r="AM61" s="9">
        <v>8567837</v>
      </c>
      <c r="AN61" s="28">
        <v>9772714</v>
      </c>
      <c r="AO61" s="9">
        <v>16376740.850159999</v>
      </c>
      <c r="AP61" s="9">
        <v>8366875</v>
      </c>
      <c r="AQ61" s="28">
        <v>9863519</v>
      </c>
      <c r="AR61" s="9">
        <v>16782096.605596974</v>
      </c>
      <c r="AS61" s="9">
        <v>8454008</v>
      </c>
      <c r="AT61" s="28">
        <v>9913049</v>
      </c>
      <c r="AU61" s="9">
        <v>16982947.176720001</v>
      </c>
      <c r="AV61" s="9">
        <v>8706167</v>
      </c>
      <c r="AW61" s="9">
        <v>9961139</v>
      </c>
      <c r="AX61" s="9">
        <v>17414154.77758931</v>
      </c>
      <c r="AY61" s="9">
        <v>9062138</v>
      </c>
      <c r="AZ61" s="28">
        <v>10008599</v>
      </c>
      <c r="BA61" s="9">
        <v>18039221.234960001</v>
      </c>
      <c r="BB61" s="9">
        <v>9418559</v>
      </c>
      <c r="BC61" s="9">
        <v>10008599</v>
      </c>
      <c r="BD61" s="9">
        <v>17600656.3972</v>
      </c>
      <c r="BE61" s="9">
        <v>9595425</v>
      </c>
      <c r="BF61" s="9">
        <v>10053629</v>
      </c>
      <c r="BG61" s="9">
        <v>19740695.12156</v>
      </c>
      <c r="BH61" s="9">
        <v>10252128</v>
      </c>
      <c r="BI61" s="9">
        <v>10144409</v>
      </c>
      <c r="BJ61" s="9">
        <v>21283331.499319997</v>
      </c>
      <c r="BK61" s="9">
        <v>10820042</v>
      </c>
      <c r="BL61" s="9">
        <v>10463289</v>
      </c>
      <c r="BM61" s="9"/>
      <c r="BN61" s="9"/>
      <c r="BO61" s="9"/>
      <c r="BP61" s="9"/>
      <c r="BQ61" s="9"/>
      <c r="BR61" s="9"/>
      <c r="BS61" s="9"/>
      <c r="BT61" s="9"/>
      <c r="BU61" s="9"/>
    </row>
    <row r="62" spans="1:73">
      <c r="A62" s="6">
        <v>53</v>
      </c>
      <c r="B62" s="6" t="s">
        <v>1172</v>
      </c>
      <c r="C62" s="421">
        <v>45.92</v>
      </c>
      <c r="D62" s="9">
        <v>78372</v>
      </c>
      <c r="E62" s="33">
        <v>24481</v>
      </c>
      <c r="F62" s="9">
        <v>66503</v>
      </c>
      <c r="G62" s="9">
        <v>140168.19</v>
      </c>
      <c r="H62" s="9">
        <v>52863</v>
      </c>
      <c r="I62" s="9">
        <v>104458</v>
      </c>
      <c r="J62" s="9">
        <v>180766.01</v>
      </c>
      <c r="K62" s="9">
        <v>75004</v>
      </c>
      <c r="L62" s="9">
        <v>130303</v>
      </c>
      <c r="M62" s="9">
        <v>202073.43</v>
      </c>
      <c r="N62" s="9">
        <v>86198</v>
      </c>
      <c r="O62" s="9">
        <v>143418</v>
      </c>
      <c r="P62" s="9">
        <v>0</v>
      </c>
      <c r="Q62" s="9">
        <v>183603.36713492827</v>
      </c>
      <c r="R62" s="9">
        <v>78176</v>
      </c>
      <c r="S62" s="9">
        <v>140550</v>
      </c>
      <c r="T62" s="9">
        <v>0</v>
      </c>
      <c r="U62" s="9">
        <v>96286.525439999998</v>
      </c>
      <c r="V62" s="9">
        <v>48181</v>
      </c>
      <c r="W62" s="9">
        <v>96286.525439999998</v>
      </c>
      <c r="X62" s="9">
        <v>0</v>
      </c>
      <c r="Y62" s="9">
        <v>0</v>
      </c>
      <c r="Z62" s="9">
        <v>61250.35</v>
      </c>
      <c r="AA62" s="9">
        <v>31272</v>
      </c>
      <c r="AB62" s="9">
        <v>61250.35</v>
      </c>
      <c r="AC62" s="9">
        <v>63486.049999999996</v>
      </c>
      <c r="AD62" s="9">
        <v>33682</v>
      </c>
      <c r="AE62" s="9">
        <v>61250.35</v>
      </c>
      <c r="AF62" s="9">
        <v>77364.119999999981</v>
      </c>
      <c r="AG62" s="9">
        <v>42623</v>
      </c>
      <c r="AH62" s="9">
        <v>61250.35</v>
      </c>
      <c r="AI62" s="9">
        <v>65024.500000000007</v>
      </c>
      <c r="AJ62" s="9">
        <v>36024</v>
      </c>
      <c r="AK62" s="28">
        <v>61250.35</v>
      </c>
      <c r="AL62" s="9">
        <v>65999.8</v>
      </c>
      <c r="AM62" s="9">
        <v>37958</v>
      </c>
      <c r="AN62" s="28">
        <v>61250.35</v>
      </c>
      <c r="AO62" s="9">
        <v>118538.28</v>
      </c>
      <c r="AP62" s="9">
        <v>62581</v>
      </c>
      <c r="AQ62" s="28">
        <v>61250.35</v>
      </c>
      <c r="AR62" s="9">
        <v>186633.68266747385</v>
      </c>
      <c r="AS62" s="9">
        <v>94583</v>
      </c>
      <c r="AT62" s="28">
        <v>92051</v>
      </c>
      <c r="AU62" s="9">
        <v>178513.19</v>
      </c>
      <c r="AV62" s="9">
        <v>86258</v>
      </c>
      <c r="AW62" s="9">
        <v>92255</v>
      </c>
      <c r="AX62" s="9">
        <v>199628.95919998386</v>
      </c>
      <c r="AY62" s="9">
        <v>93353</v>
      </c>
      <c r="AZ62" s="28">
        <v>106276</v>
      </c>
      <c r="BA62" s="9">
        <v>102604.6</v>
      </c>
      <c r="BB62" s="9">
        <v>52817</v>
      </c>
      <c r="BC62" s="9">
        <v>102604.6</v>
      </c>
      <c r="BD62" s="9">
        <v>104669.45999999999</v>
      </c>
      <c r="BE62" s="9">
        <v>54679</v>
      </c>
      <c r="BF62" s="9">
        <v>102815</v>
      </c>
      <c r="BG62" s="9">
        <v>109883.97</v>
      </c>
      <c r="BH62" s="9">
        <v>52817</v>
      </c>
      <c r="BI62" s="9">
        <v>102815</v>
      </c>
      <c r="BJ62" s="9">
        <v>131926.08000000002</v>
      </c>
      <c r="BK62" s="9">
        <v>67011</v>
      </c>
      <c r="BL62" s="9">
        <v>102815</v>
      </c>
      <c r="BM62" s="9"/>
      <c r="BN62" s="9"/>
      <c r="BO62" s="9"/>
      <c r="BP62" s="9"/>
      <c r="BQ62" s="9"/>
      <c r="BR62" s="9"/>
      <c r="BS62" s="9"/>
      <c r="BT62" s="9"/>
      <c r="BU62" s="9"/>
    </row>
    <row r="63" spans="1:73">
      <c r="A63" s="6">
        <v>54</v>
      </c>
      <c r="B63" s="6" t="s">
        <v>1173</v>
      </c>
      <c r="C63" s="421">
        <v>40.9</v>
      </c>
      <c r="D63" s="9">
        <v>9796</v>
      </c>
      <c r="E63" s="33">
        <v>3731</v>
      </c>
      <c r="F63" s="9">
        <v>6065</v>
      </c>
      <c r="G63" s="9">
        <v>0</v>
      </c>
      <c r="H63" s="9">
        <v>1019</v>
      </c>
      <c r="I63" s="9">
        <v>0</v>
      </c>
      <c r="J63" s="9">
        <v>0</v>
      </c>
      <c r="K63" s="9">
        <v>0</v>
      </c>
      <c r="L63" s="9">
        <v>0</v>
      </c>
      <c r="M63" s="9">
        <v>0</v>
      </c>
      <c r="N63" s="9">
        <v>0</v>
      </c>
      <c r="O63" s="9">
        <v>0</v>
      </c>
      <c r="P63" s="9">
        <v>0</v>
      </c>
      <c r="Q63" s="9">
        <v>12306.57500478469</v>
      </c>
      <c r="R63" s="9">
        <v>4735</v>
      </c>
      <c r="S63" s="9">
        <v>0</v>
      </c>
      <c r="T63" s="9">
        <v>7572</v>
      </c>
      <c r="U63" s="9">
        <v>12035.81568</v>
      </c>
      <c r="V63" s="9">
        <v>4895</v>
      </c>
      <c r="W63" s="9">
        <v>7269</v>
      </c>
      <c r="X63" s="9">
        <v>0</v>
      </c>
      <c r="Y63" s="9">
        <v>0</v>
      </c>
      <c r="Z63" s="9">
        <v>36750.21</v>
      </c>
      <c r="AA63" s="9">
        <v>15574</v>
      </c>
      <c r="AB63" s="9">
        <v>21176</v>
      </c>
      <c r="AC63" s="9">
        <v>38091.630000000005</v>
      </c>
      <c r="AD63" s="9">
        <v>16459</v>
      </c>
      <c r="AE63" s="9">
        <v>21633</v>
      </c>
      <c r="AF63" s="9">
        <v>25788.04</v>
      </c>
      <c r="AG63" s="9">
        <v>11686</v>
      </c>
      <c r="AH63" s="9">
        <v>21633</v>
      </c>
      <c r="AI63" s="9">
        <v>26009.8</v>
      </c>
      <c r="AJ63" s="9">
        <v>11935</v>
      </c>
      <c r="AK63" s="28">
        <v>21633</v>
      </c>
      <c r="AL63" s="9">
        <v>26399.920000000002</v>
      </c>
      <c r="AM63" s="9">
        <v>12481</v>
      </c>
      <c r="AN63" s="28">
        <v>21633</v>
      </c>
      <c r="AO63" s="9">
        <v>26341.840000000004</v>
      </c>
      <c r="AP63" s="9">
        <v>13326</v>
      </c>
      <c r="AQ63" s="28">
        <v>21633</v>
      </c>
      <c r="AR63" s="9">
        <v>40250.500030768642</v>
      </c>
      <c r="AS63" s="9">
        <v>20853</v>
      </c>
      <c r="AT63" s="28">
        <v>21633</v>
      </c>
      <c r="AU63" s="9">
        <v>41511.479999999996</v>
      </c>
      <c r="AV63" s="9">
        <v>21350</v>
      </c>
      <c r="AW63" s="9">
        <v>21633</v>
      </c>
      <c r="AX63" s="9">
        <v>0</v>
      </c>
      <c r="AY63" s="9">
        <v>0</v>
      </c>
      <c r="AZ63" s="28">
        <v>0</v>
      </c>
      <c r="BA63" s="9">
        <v>14657.8</v>
      </c>
      <c r="BB63" s="9">
        <v>7900</v>
      </c>
      <c r="BC63" s="9">
        <v>6759</v>
      </c>
      <c r="BD63" s="9">
        <v>14952.78</v>
      </c>
      <c r="BE63" s="9">
        <v>8396</v>
      </c>
      <c r="BF63" s="9">
        <v>6789</v>
      </c>
      <c r="BG63" s="9">
        <v>15697.710000000001</v>
      </c>
      <c r="BH63" s="9">
        <v>8363</v>
      </c>
      <c r="BI63" s="9">
        <v>7335</v>
      </c>
      <c r="BJ63" s="9">
        <v>0</v>
      </c>
      <c r="BK63" s="9">
        <v>0</v>
      </c>
      <c r="BL63" s="9">
        <v>0</v>
      </c>
      <c r="BM63" s="9"/>
      <c r="BN63" s="9"/>
      <c r="BO63" s="9"/>
      <c r="BP63" s="9"/>
      <c r="BQ63" s="9"/>
      <c r="BR63" s="9"/>
      <c r="BS63" s="9"/>
      <c r="BT63" s="9"/>
      <c r="BU63" s="9"/>
    </row>
    <row r="64" spans="1:73">
      <c r="A64" s="6">
        <v>55</v>
      </c>
      <c r="B64" s="6" t="s">
        <v>1174</v>
      </c>
      <c r="C64" s="421">
        <v>17.5</v>
      </c>
      <c r="D64" s="9">
        <v>4193476</v>
      </c>
      <c r="E64" s="33">
        <v>7336875</v>
      </c>
      <c r="F64" s="9">
        <v>477224.8</v>
      </c>
      <c r="G64" s="9">
        <v>4300106.45</v>
      </c>
      <c r="H64" s="9">
        <v>6443767</v>
      </c>
      <c r="I64" s="9">
        <v>532283.80000000005</v>
      </c>
      <c r="J64" s="9">
        <v>4585029.6806893088</v>
      </c>
      <c r="K64" s="9">
        <v>6009057</v>
      </c>
      <c r="L64" s="9">
        <v>613312.80000000005</v>
      </c>
      <c r="M64" s="9">
        <v>4990261.8899999997</v>
      </c>
      <c r="N64" s="9">
        <v>5494357</v>
      </c>
      <c r="O64" s="9">
        <v>625585.80000000005</v>
      </c>
      <c r="P64" s="9">
        <v>73521</v>
      </c>
      <c r="Q64" s="9">
        <v>4899882.2308746418</v>
      </c>
      <c r="R64" s="9">
        <v>5453455</v>
      </c>
      <c r="S64" s="9">
        <v>685125</v>
      </c>
      <c r="T64" s="9">
        <v>0</v>
      </c>
      <c r="U64" s="9">
        <v>4739534.5728599997</v>
      </c>
      <c r="V64" s="9">
        <v>5103025</v>
      </c>
      <c r="W64" s="9">
        <v>645100</v>
      </c>
      <c r="X64" s="9">
        <v>3463</v>
      </c>
      <c r="Y64" s="9">
        <v>50262</v>
      </c>
      <c r="Z64" s="9">
        <v>0</v>
      </c>
      <c r="AA64" s="9">
        <v>0</v>
      </c>
      <c r="AB64" s="9">
        <v>0</v>
      </c>
      <c r="AC64" s="9">
        <v>0</v>
      </c>
      <c r="AD64" s="9">
        <v>0</v>
      </c>
      <c r="AE64" s="9">
        <v>0</v>
      </c>
      <c r="AF64" s="9">
        <v>0</v>
      </c>
      <c r="AG64" s="9">
        <v>0</v>
      </c>
      <c r="AH64" s="9">
        <v>0</v>
      </c>
      <c r="AI64" s="9">
        <v>0</v>
      </c>
      <c r="AJ64" s="9">
        <v>0</v>
      </c>
      <c r="AK64" s="28">
        <v>0</v>
      </c>
      <c r="AL64" s="9">
        <v>0</v>
      </c>
      <c r="AM64" s="9">
        <v>0</v>
      </c>
      <c r="AN64" s="28">
        <v>0</v>
      </c>
      <c r="AO64" s="9">
        <v>0</v>
      </c>
      <c r="AP64" s="9">
        <v>0</v>
      </c>
      <c r="AQ64" s="28">
        <v>0</v>
      </c>
      <c r="AR64" s="9">
        <v>0</v>
      </c>
      <c r="AS64" s="9">
        <v>0</v>
      </c>
      <c r="AT64" s="28">
        <v>0</v>
      </c>
      <c r="AU64" s="9">
        <v>0</v>
      </c>
      <c r="AV64" s="9">
        <v>0</v>
      </c>
      <c r="AW64" s="9">
        <v>0</v>
      </c>
      <c r="AX64" s="9">
        <v>0</v>
      </c>
      <c r="AY64" s="9">
        <v>0</v>
      </c>
      <c r="AZ64" s="28">
        <v>0</v>
      </c>
      <c r="BA64" s="9">
        <v>0</v>
      </c>
      <c r="BB64" s="9">
        <v>0</v>
      </c>
      <c r="BC64" s="9">
        <v>0</v>
      </c>
      <c r="BD64" s="9">
        <v>0</v>
      </c>
      <c r="BE64" s="9">
        <v>0</v>
      </c>
      <c r="BF64" s="9">
        <v>0</v>
      </c>
      <c r="BG64" s="9">
        <v>0</v>
      </c>
      <c r="BH64" s="9">
        <v>0</v>
      </c>
      <c r="BI64" s="9">
        <v>0</v>
      </c>
      <c r="BJ64" s="9">
        <v>0</v>
      </c>
      <c r="BK64" s="9">
        <v>0</v>
      </c>
      <c r="BL64" s="9">
        <v>0</v>
      </c>
      <c r="BM64" s="9"/>
      <c r="BN64" s="9"/>
      <c r="BO64" s="9"/>
      <c r="BP64" s="9"/>
      <c r="BQ64" s="9"/>
      <c r="BR64" s="9"/>
      <c r="BS64" s="9"/>
      <c r="BT64" s="9"/>
      <c r="BU64" s="9"/>
    </row>
    <row r="65" spans="1:73">
      <c r="A65" s="6">
        <v>56</v>
      </c>
      <c r="B65" s="6" t="s">
        <v>1175</v>
      </c>
      <c r="C65" s="421">
        <v>17.5</v>
      </c>
      <c r="D65" s="9">
        <v>40243143</v>
      </c>
      <c r="E65" s="33">
        <v>36260612</v>
      </c>
      <c r="F65" s="9">
        <v>6876856</v>
      </c>
      <c r="G65" s="9">
        <v>42592748.364599995</v>
      </c>
      <c r="H65" s="9">
        <v>37179861</v>
      </c>
      <c r="I65" s="9">
        <v>7440307</v>
      </c>
      <c r="J65" s="9">
        <v>44064611.171122938</v>
      </c>
      <c r="K65" s="9">
        <v>37500357</v>
      </c>
      <c r="L65" s="9">
        <v>8365004</v>
      </c>
      <c r="M65" s="9">
        <v>46153358.467759997</v>
      </c>
      <c r="N65" s="9">
        <v>37130897</v>
      </c>
      <c r="O65" s="9">
        <v>8440095</v>
      </c>
      <c r="P65" s="9">
        <v>991910</v>
      </c>
      <c r="Q65" s="9">
        <v>47744450.184116684</v>
      </c>
      <c r="R65" s="9">
        <v>37306579</v>
      </c>
      <c r="S65" s="9">
        <v>9243365</v>
      </c>
      <c r="T65" s="9">
        <v>1194506</v>
      </c>
      <c r="U65" s="9">
        <v>45545882.214795649</v>
      </c>
      <c r="V65" s="9">
        <v>37406417</v>
      </c>
      <c r="W65" s="9">
        <v>9828091</v>
      </c>
      <c r="X65" s="9">
        <v>52762</v>
      </c>
      <c r="Y65" s="9">
        <v>692768</v>
      </c>
      <c r="Z65" s="9">
        <v>45821656.65101999</v>
      </c>
      <c r="AA65" s="9">
        <v>38188765</v>
      </c>
      <c r="AB65" s="9">
        <v>9880853</v>
      </c>
      <c r="AC65" s="9">
        <v>47211208.199219994</v>
      </c>
      <c r="AD65" s="9">
        <v>38901400</v>
      </c>
      <c r="AE65" s="9">
        <v>10089893</v>
      </c>
      <c r="AF65" s="9">
        <v>46881673.41488</v>
      </c>
      <c r="AG65" s="9">
        <v>39656173</v>
      </c>
      <c r="AH65" s="9">
        <v>10218568</v>
      </c>
      <c r="AI65" s="9">
        <v>47335965.470179997</v>
      </c>
      <c r="AJ65" s="9">
        <v>39489751</v>
      </c>
      <c r="AK65" s="28">
        <v>10346618</v>
      </c>
      <c r="AL65" s="9">
        <v>47241970.625249989</v>
      </c>
      <c r="AM65" s="9">
        <v>39434421</v>
      </c>
      <c r="AN65" s="28">
        <v>10473018</v>
      </c>
      <c r="AO65" s="9">
        <v>46800513.146480002</v>
      </c>
      <c r="AP65" s="9">
        <v>38219600</v>
      </c>
      <c r="AQ65" s="28">
        <v>10746368</v>
      </c>
      <c r="AR65" s="9">
        <v>47405594.168949671</v>
      </c>
      <c r="AS65" s="9">
        <v>37968938</v>
      </c>
      <c r="AT65" s="28">
        <v>10894328</v>
      </c>
      <c r="AU65" s="9">
        <v>50869628.260760002</v>
      </c>
      <c r="AV65" s="9">
        <v>40222347</v>
      </c>
      <c r="AW65" s="9">
        <v>11047148</v>
      </c>
      <c r="AX65" s="9">
        <v>52945358.502223566</v>
      </c>
      <c r="AY65" s="9">
        <v>42445789</v>
      </c>
      <c r="AZ65" s="28">
        <v>11199428</v>
      </c>
      <c r="BA65" s="9">
        <v>54223728</v>
      </c>
      <c r="BB65" s="9">
        <v>43879883</v>
      </c>
      <c r="BC65" s="9">
        <v>11199428</v>
      </c>
      <c r="BD65" s="9">
        <v>54364865.709999993</v>
      </c>
      <c r="BE65" s="9">
        <v>44851014</v>
      </c>
      <c r="BF65" s="9">
        <v>11348108</v>
      </c>
      <c r="BG65" s="9">
        <v>59337599.049999997</v>
      </c>
      <c r="BH65" s="9">
        <v>47375444</v>
      </c>
      <c r="BI65" s="9">
        <v>11962155</v>
      </c>
      <c r="BJ65" s="9">
        <v>63812307.760000005</v>
      </c>
      <c r="BK65" s="9">
        <v>49670508</v>
      </c>
      <c r="BL65" s="9">
        <v>14141800</v>
      </c>
      <c r="BM65" s="9"/>
      <c r="BN65" s="9"/>
      <c r="BO65" s="9"/>
      <c r="BP65" s="9"/>
      <c r="BQ65" s="9"/>
      <c r="BR65" s="9"/>
      <c r="BS65" s="9"/>
      <c r="BT65" s="9"/>
      <c r="BU65" s="9"/>
    </row>
    <row r="66" spans="1:73">
      <c r="A66" s="6">
        <v>57</v>
      </c>
      <c r="B66" s="6" t="s">
        <v>1176</v>
      </c>
      <c r="C66" s="421">
        <v>77.81</v>
      </c>
      <c r="D66" s="9">
        <v>50386551</v>
      </c>
      <c r="E66" s="33">
        <v>8453650</v>
      </c>
      <c r="F66" s="9">
        <v>42000702</v>
      </c>
      <c r="G66" s="9">
        <v>53256173.620359994</v>
      </c>
      <c r="H66" s="9">
        <v>9142672</v>
      </c>
      <c r="I66" s="9">
        <v>44127092</v>
      </c>
      <c r="J66" s="9">
        <v>58311558.942627169</v>
      </c>
      <c r="K66" s="9">
        <v>9794441</v>
      </c>
      <c r="L66" s="9">
        <v>48517118</v>
      </c>
      <c r="M66" s="9">
        <v>61064521.992660001</v>
      </c>
      <c r="N66" s="9">
        <v>10267187</v>
      </c>
      <c r="O66" s="9">
        <v>45455271</v>
      </c>
      <c r="P66" s="9">
        <v>5342064</v>
      </c>
      <c r="Q66" s="9">
        <v>62117725.984426871</v>
      </c>
      <c r="R66" s="9">
        <v>10206209</v>
      </c>
      <c r="S66" s="9">
        <v>49781388</v>
      </c>
      <c r="T66" s="9">
        <v>2130129</v>
      </c>
      <c r="U66" s="9">
        <v>63694269.530000001</v>
      </c>
      <c r="V66" s="9">
        <v>10946147</v>
      </c>
      <c r="W66" s="9">
        <v>51355990</v>
      </c>
      <c r="X66" s="9">
        <v>277725</v>
      </c>
      <c r="Y66" s="9">
        <v>1118615</v>
      </c>
      <c r="Z66" s="9">
        <v>64097834.562419996</v>
      </c>
      <c r="AA66" s="9">
        <v>11332640</v>
      </c>
      <c r="AB66" s="9">
        <v>52765195</v>
      </c>
      <c r="AC66" s="9">
        <v>67545521.032000005</v>
      </c>
      <c r="AD66" s="9">
        <v>11524290</v>
      </c>
      <c r="AE66" s="9">
        <v>56040644</v>
      </c>
      <c r="AF66" s="9">
        <v>73447858.946570009</v>
      </c>
      <c r="AG66" s="9">
        <v>11993753</v>
      </c>
      <c r="AH66" s="9">
        <v>61454106</v>
      </c>
      <c r="AI66" s="9">
        <v>77392158.150499985</v>
      </c>
      <c r="AJ66" s="9">
        <v>12901270</v>
      </c>
      <c r="AK66" s="28">
        <v>64490888</v>
      </c>
      <c r="AL66" s="9">
        <v>84321341.850099981</v>
      </c>
      <c r="AM66" s="9">
        <v>13967161</v>
      </c>
      <c r="AN66" s="28">
        <v>70354181</v>
      </c>
      <c r="AO66" s="9">
        <v>83654803.231740028</v>
      </c>
      <c r="AP66" s="9">
        <v>14735937</v>
      </c>
      <c r="AQ66" s="28">
        <v>71681078</v>
      </c>
      <c r="AR66" s="9">
        <v>87574481.054575801</v>
      </c>
      <c r="AS66" s="9">
        <v>16070465</v>
      </c>
      <c r="AT66" s="28">
        <f>73109660-1214292</f>
        <v>71895368</v>
      </c>
      <c r="AU66" s="9">
        <v>94734546.746300012</v>
      </c>
      <c r="AV66" s="9">
        <v>17306968</v>
      </c>
      <c r="AW66" s="9">
        <v>77723604.353151083</v>
      </c>
      <c r="AX66" s="9">
        <v>100163293.24265932</v>
      </c>
      <c r="AY66" s="9">
        <v>18590816</v>
      </c>
      <c r="AZ66" s="28">
        <v>81572477</v>
      </c>
      <c r="BA66" s="9">
        <v>105670798.9015</v>
      </c>
      <c r="BB66" s="9">
        <v>19903086</v>
      </c>
      <c r="BC66" s="9">
        <v>85769782</v>
      </c>
      <c r="BD66" s="9">
        <v>114106347.65687999</v>
      </c>
      <c r="BE66" s="9">
        <v>19018231</v>
      </c>
      <c r="BF66" s="9">
        <v>95092112</v>
      </c>
      <c r="BG66" s="9">
        <v>125093687.61760001</v>
      </c>
      <c r="BH66" s="9">
        <v>20484593</v>
      </c>
      <c r="BI66" s="9">
        <v>104609095</v>
      </c>
      <c r="BJ66" s="9">
        <v>138863180.45907998</v>
      </c>
      <c r="BK66" s="9">
        <v>22081668</v>
      </c>
      <c r="BL66" s="9">
        <v>116781512</v>
      </c>
      <c r="BM66" s="9"/>
      <c r="BN66" s="9"/>
      <c r="BO66" s="9"/>
      <c r="BP66" s="9"/>
      <c r="BQ66" s="9"/>
      <c r="BR66" s="9"/>
      <c r="BS66" s="9"/>
      <c r="BT66" s="9"/>
      <c r="BU66" s="9"/>
    </row>
    <row r="67" spans="1:73">
      <c r="A67" s="6">
        <v>58</v>
      </c>
      <c r="B67" s="6" t="s">
        <v>1177</v>
      </c>
      <c r="C67" s="421">
        <v>46.43</v>
      </c>
      <c r="D67" s="9">
        <v>411606</v>
      </c>
      <c r="E67" s="33">
        <v>147670</v>
      </c>
      <c r="F67" s="9">
        <v>263936</v>
      </c>
      <c r="G67" s="9">
        <v>421381.96</v>
      </c>
      <c r="H67" s="9">
        <v>162084</v>
      </c>
      <c r="I67" s="9">
        <v>269956</v>
      </c>
      <c r="J67" s="9">
        <v>475084.72</v>
      </c>
      <c r="K67" s="9">
        <v>183097</v>
      </c>
      <c r="L67" s="9">
        <v>302591</v>
      </c>
      <c r="M67" s="9">
        <v>499694.78</v>
      </c>
      <c r="N67" s="9">
        <v>201075</v>
      </c>
      <c r="O67" s="9">
        <v>316850</v>
      </c>
      <c r="P67" s="9">
        <v>0</v>
      </c>
      <c r="Q67" s="9">
        <v>453352.7593033493</v>
      </c>
      <c r="R67" s="9">
        <v>179424</v>
      </c>
      <c r="S67" s="9">
        <v>310513</v>
      </c>
      <c r="T67" s="9">
        <v>0</v>
      </c>
      <c r="U67" s="9">
        <v>479485.93776</v>
      </c>
      <c r="V67" s="9">
        <v>198341</v>
      </c>
      <c r="W67" s="9">
        <v>298092</v>
      </c>
      <c r="X67" s="9">
        <v>0</v>
      </c>
      <c r="Y67" s="9">
        <v>0</v>
      </c>
      <c r="Z67" s="9">
        <v>488021.36</v>
      </c>
      <c r="AA67" s="9">
        <v>199213</v>
      </c>
      <c r="AB67" s="9">
        <v>298092</v>
      </c>
      <c r="AC67" s="9">
        <v>38092</v>
      </c>
      <c r="AD67" s="9">
        <v>238032</v>
      </c>
      <c r="AE67" s="9">
        <v>21802</v>
      </c>
      <c r="AF67" s="9">
        <v>38682.05999999999</v>
      </c>
      <c r="AG67" s="9">
        <v>17166</v>
      </c>
      <c r="AH67" s="9">
        <v>21802</v>
      </c>
      <c r="AI67" s="9">
        <v>13004.9</v>
      </c>
      <c r="AJ67" s="9">
        <v>5919</v>
      </c>
      <c r="AK67" s="28">
        <v>13004.9</v>
      </c>
      <c r="AL67" s="9">
        <v>13199.960000000001</v>
      </c>
      <c r="AM67" s="9">
        <v>6175</v>
      </c>
      <c r="AN67" s="28">
        <v>13004.9</v>
      </c>
      <c r="AO67" s="9">
        <v>0</v>
      </c>
      <c r="AP67" s="9">
        <v>0</v>
      </c>
      <c r="AQ67" s="28">
        <v>0</v>
      </c>
      <c r="AR67" s="9">
        <v>0</v>
      </c>
      <c r="AS67" s="9">
        <v>0</v>
      </c>
      <c r="AT67" s="28">
        <v>0</v>
      </c>
      <c r="AU67" s="9">
        <v>0</v>
      </c>
      <c r="AV67" s="9">
        <v>0</v>
      </c>
      <c r="AW67" s="9">
        <v>0</v>
      </c>
      <c r="AX67" s="9">
        <v>0</v>
      </c>
      <c r="AY67" s="9">
        <v>0</v>
      </c>
      <c r="AZ67" s="28">
        <v>0</v>
      </c>
      <c r="BA67" s="9">
        <v>14657.8</v>
      </c>
      <c r="BB67" s="9">
        <v>6986</v>
      </c>
      <c r="BC67" s="9">
        <v>7672</v>
      </c>
      <c r="BD67" s="9">
        <v>14952.78</v>
      </c>
      <c r="BE67" s="9">
        <v>7513</v>
      </c>
      <c r="BF67" s="9">
        <v>7702</v>
      </c>
      <c r="BG67" s="9">
        <v>31395.420000000002</v>
      </c>
      <c r="BH67" s="9">
        <v>15812</v>
      </c>
      <c r="BI67" s="9">
        <v>15583</v>
      </c>
      <c r="BJ67" s="9">
        <v>32981.520000000004</v>
      </c>
      <c r="BK67" s="9">
        <v>16631</v>
      </c>
      <c r="BL67" s="9">
        <v>16351</v>
      </c>
      <c r="BM67" s="9"/>
      <c r="BN67" s="9"/>
      <c r="BO67" s="9"/>
      <c r="BP67" s="9"/>
      <c r="BQ67" s="9"/>
      <c r="BR67" s="9"/>
      <c r="BS67" s="9"/>
      <c r="BT67" s="9"/>
      <c r="BU67" s="9"/>
    </row>
    <row r="68" spans="1:73">
      <c r="A68" s="6">
        <v>59</v>
      </c>
      <c r="B68" s="6" t="s">
        <v>1178</v>
      </c>
      <c r="C68" s="421">
        <v>45.97</v>
      </c>
      <c r="D68" s="9">
        <v>147024</v>
      </c>
      <c r="E68" s="33">
        <v>57724</v>
      </c>
      <c r="F68" s="9">
        <v>89300</v>
      </c>
      <c r="G68" s="9">
        <v>108496.6</v>
      </c>
      <c r="H68" s="9">
        <v>52566</v>
      </c>
      <c r="I68" s="9">
        <v>89800</v>
      </c>
      <c r="J68" s="9">
        <v>158055.47</v>
      </c>
      <c r="K68" s="9">
        <v>67713</v>
      </c>
      <c r="L68" s="9">
        <v>121002</v>
      </c>
      <c r="M68" s="9">
        <v>178186.45</v>
      </c>
      <c r="N68" s="9">
        <v>77758</v>
      </c>
      <c r="O68" s="9">
        <v>133451</v>
      </c>
      <c r="P68" s="9">
        <v>0</v>
      </c>
      <c r="Q68" s="9">
        <v>183603.36713492827</v>
      </c>
      <c r="R68" s="9">
        <v>77294</v>
      </c>
      <c r="S68" s="9">
        <v>130782</v>
      </c>
      <c r="T68" s="9">
        <v>0</v>
      </c>
      <c r="U68" s="9">
        <v>167528.0748</v>
      </c>
      <c r="V68" s="9">
        <v>73335</v>
      </c>
      <c r="W68" s="9">
        <v>125551</v>
      </c>
      <c r="X68" s="9">
        <v>0</v>
      </c>
      <c r="Y68" s="9">
        <v>0</v>
      </c>
      <c r="Z68" s="9">
        <v>170510.26</v>
      </c>
      <c r="AA68" s="9">
        <v>80804</v>
      </c>
      <c r="AB68" s="9">
        <v>125551</v>
      </c>
      <c r="AC68" s="9">
        <v>214825.67</v>
      </c>
      <c r="AD68" s="9">
        <v>97804</v>
      </c>
      <c r="AE68" s="9">
        <v>125551</v>
      </c>
      <c r="AF68" s="9">
        <v>243943.57</v>
      </c>
      <c r="AG68" s="9">
        <v>117682</v>
      </c>
      <c r="AH68" s="9">
        <v>126262</v>
      </c>
      <c r="AI68" s="9">
        <v>220031.55</v>
      </c>
      <c r="AJ68" s="9">
        <v>109806</v>
      </c>
      <c r="AK68" s="28">
        <v>126262</v>
      </c>
      <c r="AL68" s="9">
        <v>210131.86</v>
      </c>
      <c r="AM68" s="9">
        <v>99091</v>
      </c>
      <c r="AN68" s="28">
        <v>126262</v>
      </c>
      <c r="AO68" s="9">
        <v>131709.20000000001</v>
      </c>
      <c r="AP68" s="9">
        <v>66688</v>
      </c>
      <c r="AQ68" s="28">
        <v>126262</v>
      </c>
      <c r="AR68" s="9">
        <v>93917.833405126818</v>
      </c>
      <c r="AS68" s="9">
        <v>48725</v>
      </c>
      <c r="AT68" s="28">
        <v>93917.833405126818</v>
      </c>
      <c r="AU68" s="9">
        <v>55348.639999999999</v>
      </c>
      <c r="AV68" s="9">
        <v>28255</v>
      </c>
      <c r="AW68" s="9">
        <v>55349</v>
      </c>
      <c r="AX68" s="9">
        <v>100602.5807874735</v>
      </c>
      <c r="AY68" s="9">
        <v>51760</v>
      </c>
      <c r="AZ68" s="28">
        <v>55349</v>
      </c>
      <c r="BA68" s="9">
        <v>131920.19999999998</v>
      </c>
      <c r="BB68" s="9">
        <v>68221</v>
      </c>
      <c r="BC68" s="9">
        <v>63699</v>
      </c>
      <c r="BD68" s="9">
        <v>134575.02000000002</v>
      </c>
      <c r="BE68" s="9">
        <v>64400</v>
      </c>
      <c r="BF68" s="9">
        <v>72014</v>
      </c>
      <c r="BG68" s="9">
        <v>109883.97</v>
      </c>
      <c r="BH68" s="9">
        <v>57072</v>
      </c>
      <c r="BI68" s="9">
        <v>72014</v>
      </c>
      <c r="BJ68" s="9">
        <v>98944.56</v>
      </c>
      <c r="BK68" s="9">
        <v>48005</v>
      </c>
      <c r="BL68" s="9">
        <v>72014</v>
      </c>
      <c r="BM68" s="9"/>
      <c r="BN68" s="9"/>
      <c r="BO68" s="9"/>
      <c r="BP68" s="9"/>
      <c r="BQ68" s="9"/>
      <c r="BR68" s="9"/>
      <c r="BS68" s="9"/>
      <c r="BT68" s="9"/>
      <c r="BU68" s="9"/>
    </row>
    <row r="69" spans="1:73">
      <c r="A69" s="6">
        <v>60</v>
      </c>
      <c r="B69" s="6" t="s">
        <v>1179</v>
      </c>
      <c r="C69" s="421">
        <v>23.7</v>
      </c>
      <c r="D69" s="9">
        <v>147024</v>
      </c>
      <c r="E69" s="33">
        <v>74106</v>
      </c>
      <c r="F69" s="9">
        <v>85640</v>
      </c>
      <c r="G69" s="9">
        <v>151017.85</v>
      </c>
      <c r="H69" s="9">
        <v>79291</v>
      </c>
      <c r="I69" s="9">
        <v>87945</v>
      </c>
      <c r="J69" s="9">
        <v>226187.09</v>
      </c>
      <c r="K69" s="9">
        <v>122154</v>
      </c>
      <c r="L69" s="9">
        <v>128461</v>
      </c>
      <c r="M69" s="9">
        <v>202073.43</v>
      </c>
      <c r="N69" s="9">
        <v>103249</v>
      </c>
      <c r="O69" s="9">
        <v>129211</v>
      </c>
      <c r="P69" s="9">
        <v>0</v>
      </c>
      <c r="Q69" s="9">
        <v>183603.36713492827</v>
      </c>
      <c r="R69" s="9">
        <v>91172</v>
      </c>
      <c r="S69" s="9">
        <v>126627</v>
      </c>
      <c r="T69" s="9">
        <v>0</v>
      </c>
      <c r="U69" s="9">
        <v>179563.89048</v>
      </c>
      <c r="V69" s="9">
        <v>95302</v>
      </c>
      <c r="W69" s="9">
        <v>121562</v>
      </c>
      <c r="X69" s="9">
        <v>0</v>
      </c>
      <c r="Y69" s="9">
        <v>0</v>
      </c>
      <c r="Z69" s="9">
        <v>170510.26</v>
      </c>
      <c r="AA69" s="9">
        <v>94294</v>
      </c>
      <c r="AB69" s="9">
        <v>121562</v>
      </c>
      <c r="AC69" s="9">
        <v>303706.14</v>
      </c>
      <c r="AD69" s="9">
        <v>170592</v>
      </c>
      <c r="AE69" s="9">
        <v>133114</v>
      </c>
      <c r="AF69" s="9">
        <v>256837.59</v>
      </c>
      <c r="AG69" s="9">
        <v>151126</v>
      </c>
      <c r="AH69" s="9">
        <v>133114</v>
      </c>
      <c r="AI69" s="9">
        <v>259046.25</v>
      </c>
      <c r="AJ69" s="9">
        <v>153673</v>
      </c>
      <c r="AK69" s="28">
        <v>133114</v>
      </c>
      <c r="AL69" s="9">
        <v>289331.62</v>
      </c>
      <c r="AM69" s="9">
        <v>163969</v>
      </c>
      <c r="AN69" s="28">
        <v>133114</v>
      </c>
      <c r="AO69" s="9">
        <v>262353.24</v>
      </c>
      <c r="AP69" s="9">
        <v>155148</v>
      </c>
      <c r="AQ69" s="28">
        <v>133114</v>
      </c>
      <c r="AR69" s="9">
        <v>267134.68272901117</v>
      </c>
      <c r="AS69" s="9">
        <v>162099</v>
      </c>
      <c r="AT69" s="28">
        <v>133114</v>
      </c>
      <c r="AU69" s="9">
        <v>261536.15000000002</v>
      </c>
      <c r="AV69" s="9">
        <v>168199</v>
      </c>
      <c r="AW69" s="9">
        <v>133114</v>
      </c>
      <c r="AX69" s="9">
        <v>300231.53998745733</v>
      </c>
      <c r="AY69" s="9">
        <v>197488</v>
      </c>
      <c r="AZ69" s="28">
        <v>133114</v>
      </c>
      <c r="BA69" s="9">
        <v>276890.62</v>
      </c>
      <c r="BB69" s="9">
        <v>199297</v>
      </c>
      <c r="BC69" s="9">
        <v>133114</v>
      </c>
      <c r="BD69" s="9">
        <v>267393.48</v>
      </c>
      <c r="BE69" s="9">
        <v>209594</v>
      </c>
      <c r="BF69" s="9">
        <v>133594</v>
      </c>
      <c r="BG69" s="9">
        <v>296280.42</v>
      </c>
      <c r="BH69" s="9">
        <v>213654</v>
      </c>
      <c r="BI69" s="9">
        <v>133594</v>
      </c>
      <c r="BJ69" s="9">
        <v>294623.28000000003</v>
      </c>
      <c r="BK69" s="9">
        <v>216744</v>
      </c>
      <c r="BL69" s="9">
        <v>133594</v>
      </c>
      <c r="BM69" s="9"/>
      <c r="BN69" s="9"/>
      <c r="BO69" s="9"/>
      <c r="BP69" s="9"/>
      <c r="BQ69" s="9"/>
      <c r="BR69" s="9"/>
      <c r="BS69" s="9"/>
      <c r="BT69" s="9"/>
      <c r="BU69" s="9"/>
    </row>
    <row r="70" spans="1:73">
      <c r="A70" s="6">
        <v>61</v>
      </c>
      <c r="B70" s="6" t="s">
        <v>1180</v>
      </c>
      <c r="C70" s="421">
        <v>70.03</v>
      </c>
      <c r="D70" s="9">
        <v>63096901</v>
      </c>
      <c r="E70" s="33">
        <v>25483093</v>
      </c>
      <c r="F70" s="9">
        <v>37613808</v>
      </c>
      <c r="G70" s="9">
        <v>66358804.090000004</v>
      </c>
      <c r="H70" s="9">
        <v>26441283</v>
      </c>
      <c r="I70" s="9">
        <v>39917521</v>
      </c>
      <c r="J70" s="9">
        <v>70099506.047638729</v>
      </c>
      <c r="K70" s="9">
        <v>26325951</v>
      </c>
      <c r="L70" s="9">
        <v>43773555</v>
      </c>
      <c r="M70" s="9">
        <v>74549552.000000015</v>
      </c>
      <c r="N70" s="9">
        <v>26468494</v>
      </c>
      <c r="O70" s="9">
        <v>43024649</v>
      </c>
      <c r="P70" s="9">
        <v>5056409</v>
      </c>
      <c r="Q70" s="9">
        <v>76114569.038086131</v>
      </c>
      <c r="R70" s="9">
        <v>26127050</v>
      </c>
      <c r="S70" s="9">
        <v>47119437</v>
      </c>
      <c r="T70" s="9">
        <v>2868082</v>
      </c>
      <c r="U70" s="9">
        <v>78296359.978620008</v>
      </c>
      <c r="V70" s="9">
        <v>26109119</v>
      </c>
      <c r="W70" s="9">
        <v>51185902</v>
      </c>
      <c r="X70" s="9">
        <v>274789</v>
      </c>
      <c r="Y70" s="9">
        <v>726550</v>
      </c>
      <c r="Z70" s="9">
        <v>80257160.099999994</v>
      </c>
      <c r="AA70" s="9">
        <v>26628690</v>
      </c>
      <c r="AB70" s="9">
        <v>53628470</v>
      </c>
      <c r="AC70" s="9">
        <v>83403437.559999987</v>
      </c>
      <c r="AD70" s="9">
        <v>27382282</v>
      </c>
      <c r="AE70" s="9">
        <v>56021156</v>
      </c>
      <c r="AF70" s="9">
        <v>85269685.210000008</v>
      </c>
      <c r="AG70" s="9">
        <v>28420070</v>
      </c>
      <c r="AH70" s="9">
        <v>56849615</v>
      </c>
      <c r="AI70" s="9">
        <v>86339875.140000001</v>
      </c>
      <c r="AJ70" s="9">
        <v>29088958</v>
      </c>
      <c r="AK70" s="28">
        <v>57250917</v>
      </c>
      <c r="AL70" s="9">
        <v>89726607.379999995</v>
      </c>
      <c r="AM70" s="9">
        <v>30214682</v>
      </c>
      <c r="AN70" s="28">
        <v>59511925</v>
      </c>
      <c r="AO70" s="9">
        <v>89575524.349999979</v>
      </c>
      <c r="AP70" s="9">
        <v>30016446</v>
      </c>
      <c r="AQ70" s="28">
        <v>59936745</v>
      </c>
      <c r="AR70" s="9">
        <v>91782958.022283211</v>
      </c>
      <c r="AS70" s="9">
        <v>29420367</v>
      </c>
      <c r="AT70" s="28">
        <v>62362591</v>
      </c>
      <c r="AU70" s="9">
        <v>93898617.529999986</v>
      </c>
      <c r="AV70" s="9">
        <v>30063802</v>
      </c>
      <c r="AW70" s="9">
        <v>63834816</v>
      </c>
      <c r="AX70" s="9">
        <v>99336604.583217233</v>
      </c>
      <c r="AY70" s="9">
        <v>30513907</v>
      </c>
      <c r="AZ70" s="28">
        <v>68822698</v>
      </c>
      <c r="BA70" s="9">
        <v>99981143.989999995</v>
      </c>
      <c r="BB70" s="9">
        <v>30903112</v>
      </c>
      <c r="BC70" s="9">
        <v>69078032</v>
      </c>
      <c r="BD70" s="9">
        <v>103803922.04000001</v>
      </c>
      <c r="BE70" s="9">
        <v>31307943</v>
      </c>
      <c r="BF70" s="9">
        <v>72495979</v>
      </c>
      <c r="BG70" s="9">
        <v>112893440.48</v>
      </c>
      <c r="BH70" s="9">
        <v>32109426</v>
      </c>
      <c r="BI70" s="9">
        <v>80784014</v>
      </c>
      <c r="BJ70" s="9">
        <v>122693363.2</v>
      </c>
      <c r="BK70" s="9">
        <v>33865812</v>
      </c>
      <c r="BL70" s="9">
        <v>88827551</v>
      </c>
      <c r="BM70" s="9"/>
      <c r="BN70" s="9"/>
      <c r="BO70" s="9"/>
      <c r="BP70" s="9"/>
      <c r="BQ70" s="9"/>
      <c r="BR70" s="9"/>
      <c r="BS70" s="9"/>
      <c r="BT70" s="9"/>
      <c r="BU70" s="9"/>
    </row>
    <row r="71" spans="1:73">
      <c r="A71" s="6">
        <v>62</v>
      </c>
      <c r="B71" s="6" t="s">
        <v>1181</v>
      </c>
      <c r="C71" s="421">
        <v>17.5</v>
      </c>
      <c r="D71" s="9">
        <v>0</v>
      </c>
      <c r="E71" s="33">
        <v>0</v>
      </c>
      <c r="F71" s="9">
        <v>0</v>
      </c>
      <c r="G71" s="9">
        <v>0</v>
      </c>
      <c r="H71" s="9">
        <v>0</v>
      </c>
      <c r="I71" s="9">
        <v>0</v>
      </c>
      <c r="J71" s="9">
        <v>0</v>
      </c>
      <c r="K71" s="9">
        <v>0</v>
      </c>
      <c r="L71" s="9">
        <v>0</v>
      </c>
      <c r="M71" s="9">
        <v>0</v>
      </c>
      <c r="N71" s="9">
        <v>0</v>
      </c>
      <c r="O71" s="9">
        <v>0</v>
      </c>
      <c r="P71" s="9">
        <v>0</v>
      </c>
      <c r="Q71" s="9">
        <v>0</v>
      </c>
      <c r="R71" s="9">
        <v>0</v>
      </c>
      <c r="S71" s="9">
        <v>0</v>
      </c>
      <c r="T71" s="9">
        <v>0</v>
      </c>
      <c r="U71" s="9">
        <v>0</v>
      </c>
      <c r="V71" s="9">
        <v>0</v>
      </c>
      <c r="W71" s="9">
        <v>0</v>
      </c>
      <c r="X71" s="9">
        <v>0</v>
      </c>
      <c r="Y71" s="9">
        <v>0</v>
      </c>
      <c r="Z71" s="9">
        <v>0</v>
      </c>
      <c r="AA71" s="9">
        <v>0</v>
      </c>
      <c r="AB71" s="9">
        <v>0</v>
      </c>
      <c r="AC71" s="9">
        <v>0</v>
      </c>
      <c r="AD71" s="9">
        <v>0</v>
      </c>
      <c r="AE71" s="9">
        <v>0</v>
      </c>
      <c r="AF71" s="9">
        <v>0</v>
      </c>
      <c r="AG71" s="9">
        <v>0</v>
      </c>
      <c r="AH71" s="9">
        <v>0</v>
      </c>
      <c r="AI71" s="9">
        <v>0</v>
      </c>
      <c r="AJ71" s="9">
        <v>0</v>
      </c>
      <c r="AK71" s="28">
        <v>0</v>
      </c>
      <c r="AL71" s="9">
        <v>0</v>
      </c>
      <c r="AM71" s="9">
        <v>0</v>
      </c>
      <c r="AN71" s="28">
        <v>0</v>
      </c>
      <c r="AO71" s="9">
        <v>0</v>
      </c>
      <c r="AP71" s="9">
        <v>0</v>
      </c>
      <c r="AQ71" s="28">
        <v>0</v>
      </c>
      <c r="AR71" s="9">
        <v>0</v>
      </c>
      <c r="AS71" s="9">
        <v>0</v>
      </c>
      <c r="AT71" s="28">
        <v>0</v>
      </c>
      <c r="AU71" s="9">
        <v>0</v>
      </c>
      <c r="AV71" s="9">
        <v>0</v>
      </c>
      <c r="AW71" s="9">
        <v>0</v>
      </c>
      <c r="AX71" s="9">
        <v>0</v>
      </c>
      <c r="AY71" s="9">
        <v>0</v>
      </c>
      <c r="AZ71" s="28">
        <v>0</v>
      </c>
      <c r="BA71" s="9">
        <v>0</v>
      </c>
      <c r="BB71" s="9">
        <v>0</v>
      </c>
      <c r="BC71" s="9">
        <v>0</v>
      </c>
      <c r="BD71" s="9">
        <v>0</v>
      </c>
      <c r="BE71" s="9">
        <v>0</v>
      </c>
      <c r="BF71" s="9">
        <v>0</v>
      </c>
      <c r="BG71" s="9">
        <v>0</v>
      </c>
      <c r="BH71" s="9">
        <v>0</v>
      </c>
      <c r="BI71" s="9">
        <v>0</v>
      </c>
      <c r="BJ71" s="9">
        <v>0</v>
      </c>
      <c r="BK71" s="9">
        <v>0</v>
      </c>
      <c r="BL71" s="9">
        <v>0</v>
      </c>
      <c r="BM71" s="9"/>
      <c r="BN71" s="9"/>
      <c r="BO71" s="9"/>
      <c r="BP71" s="9"/>
      <c r="BQ71" s="9"/>
      <c r="BR71" s="9"/>
      <c r="BS71" s="9"/>
      <c r="BT71" s="9"/>
      <c r="BU71" s="9"/>
    </row>
    <row r="72" spans="1:73">
      <c r="A72" s="6">
        <v>63</v>
      </c>
      <c r="B72" s="6" t="s">
        <v>1182</v>
      </c>
      <c r="C72" s="421">
        <v>65.41</v>
      </c>
      <c r="D72" s="9">
        <v>1993186</v>
      </c>
      <c r="E72" s="33">
        <v>524551</v>
      </c>
      <c r="F72" s="9">
        <v>1478268</v>
      </c>
      <c r="G72" s="9">
        <v>1972655.02</v>
      </c>
      <c r="H72" s="9">
        <v>539994</v>
      </c>
      <c r="I72" s="9">
        <v>1491068</v>
      </c>
      <c r="J72" s="9">
        <v>2196793.9275769964</v>
      </c>
      <c r="K72" s="9">
        <v>547599</v>
      </c>
      <c r="L72" s="9">
        <v>1656057</v>
      </c>
      <c r="M72" s="9">
        <v>2288928.2000000002</v>
      </c>
      <c r="N72" s="9">
        <v>572047</v>
      </c>
      <c r="O72" s="9">
        <v>1542133</v>
      </c>
      <c r="P72" s="9">
        <v>181237</v>
      </c>
      <c r="Q72" s="9">
        <v>2376571.2172095692</v>
      </c>
      <c r="R72" s="9">
        <v>528092</v>
      </c>
      <c r="S72" s="9">
        <v>1688903</v>
      </c>
      <c r="T72" s="9">
        <v>159576</v>
      </c>
      <c r="U72" s="9">
        <v>2231781.7016399996</v>
      </c>
      <c r="V72" s="9">
        <v>543566</v>
      </c>
      <c r="W72" s="9">
        <v>1740491</v>
      </c>
      <c r="X72" s="9">
        <v>9344</v>
      </c>
      <c r="Y72" s="9">
        <v>104994</v>
      </c>
      <c r="Z72" s="9">
        <v>2136484.0499999998</v>
      </c>
      <c r="AA72" s="9">
        <v>549697</v>
      </c>
      <c r="AB72" s="9">
        <v>1749835</v>
      </c>
      <c r="AC72" s="9">
        <v>2103294.87</v>
      </c>
      <c r="AD72" s="9">
        <v>569562</v>
      </c>
      <c r="AE72" s="9">
        <v>1758875</v>
      </c>
      <c r="AF72" s="9">
        <v>1986375.6900000002</v>
      </c>
      <c r="AG72" s="9">
        <v>576786</v>
      </c>
      <c r="AH72" s="9">
        <v>1764100</v>
      </c>
      <c r="AI72" s="9">
        <v>1905986.03</v>
      </c>
      <c r="AJ72" s="9">
        <v>594708</v>
      </c>
      <c r="AK72" s="28">
        <v>1769100</v>
      </c>
      <c r="AL72" s="9">
        <v>1772262.85</v>
      </c>
      <c r="AM72" s="9">
        <v>585884</v>
      </c>
      <c r="AN72" s="28">
        <v>1773600</v>
      </c>
      <c r="AO72" s="9">
        <v>1783981.5799999998</v>
      </c>
      <c r="AP72" s="9">
        <v>612660</v>
      </c>
      <c r="AQ72" s="28">
        <v>1783225</v>
      </c>
      <c r="AR72" s="9">
        <v>1862062.3235625066</v>
      </c>
      <c r="AS72" s="9">
        <v>641854</v>
      </c>
      <c r="AT72" s="28">
        <v>1788625</v>
      </c>
      <c r="AU72" s="9">
        <v>2064205.6799999997</v>
      </c>
      <c r="AV72" s="9">
        <v>709296</v>
      </c>
      <c r="AW72" s="9">
        <v>1794475</v>
      </c>
      <c r="AX72" s="9">
        <v>2056910.8702206635</v>
      </c>
      <c r="AY72" s="9">
        <v>685446</v>
      </c>
      <c r="AZ72" s="28">
        <v>1799935</v>
      </c>
      <c r="BA72" s="9">
        <v>2005332.3699999996</v>
      </c>
      <c r="BB72" s="9">
        <v>683465</v>
      </c>
      <c r="BC72" s="9">
        <v>1799935</v>
      </c>
      <c r="BD72" s="9">
        <v>2139256.1799999997</v>
      </c>
      <c r="BE72" s="9">
        <v>735842</v>
      </c>
      <c r="BF72" s="9">
        <v>1805335</v>
      </c>
      <c r="BG72" s="9">
        <v>2565630.8000000003</v>
      </c>
      <c r="BH72" s="9">
        <v>761205</v>
      </c>
      <c r="BI72" s="9">
        <v>1817095</v>
      </c>
      <c r="BJ72" s="9">
        <v>2395286.75</v>
      </c>
      <c r="BK72" s="9">
        <v>736864</v>
      </c>
      <c r="BL72" s="9">
        <v>1827355</v>
      </c>
      <c r="BM72" s="9"/>
      <c r="BN72" s="9"/>
      <c r="BO72" s="9"/>
      <c r="BP72" s="9"/>
      <c r="BQ72" s="9"/>
      <c r="BR72" s="9"/>
      <c r="BS72" s="9"/>
      <c r="BT72" s="9"/>
      <c r="BU72" s="9"/>
    </row>
    <row r="73" spans="1:73">
      <c r="A73" s="6">
        <v>64</v>
      </c>
      <c r="B73" s="6" t="s">
        <v>1183</v>
      </c>
      <c r="C73" s="421">
        <v>55.65</v>
      </c>
      <c r="D73" s="9">
        <v>15756067</v>
      </c>
      <c r="E73" s="33">
        <v>6894665</v>
      </c>
      <c r="F73" s="9">
        <v>8894104</v>
      </c>
      <c r="G73" s="9">
        <v>17332015.639999997</v>
      </c>
      <c r="H73" s="9">
        <v>7423486</v>
      </c>
      <c r="I73" s="9">
        <v>9908530</v>
      </c>
      <c r="J73" s="9">
        <v>18272407.502293319</v>
      </c>
      <c r="K73" s="9">
        <v>7817673</v>
      </c>
      <c r="L73" s="9">
        <v>10454735</v>
      </c>
      <c r="M73" s="9">
        <v>19345443.02</v>
      </c>
      <c r="N73" s="9">
        <v>8132725</v>
      </c>
      <c r="O73" s="9">
        <v>10033541</v>
      </c>
      <c r="P73" s="9">
        <v>1179177</v>
      </c>
      <c r="Q73" s="9">
        <v>19828374.571238272</v>
      </c>
      <c r="R73" s="9">
        <v>8774199</v>
      </c>
      <c r="S73" s="9">
        <v>10988464</v>
      </c>
      <c r="T73" s="9">
        <v>65712</v>
      </c>
      <c r="U73" s="9">
        <v>19382689.431299996</v>
      </c>
      <c r="V73" s="9">
        <v>8846816</v>
      </c>
      <c r="W73" s="9">
        <v>10408392</v>
      </c>
      <c r="X73" s="9">
        <v>55877</v>
      </c>
      <c r="Y73" s="9">
        <v>640182</v>
      </c>
      <c r="Z73" s="9">
        <v>19545739.000000004</v>
      </c>
      <c r="AA73" s="9">
        <v>9048453</v>
      </c>
      <c r="AB73" s="9">
        <v>10497286</v>
      </c>
      <c r="AC73" s="9">
        <v>20163527.150000002</v>
      </c>
      <c r="AD73" s="9">
        <v>9343931</v>
      </c>
      <c r="AE73" s="9">
        <v>10857440.780578749</v>
      </c>
      <c r="AF73" s="9">
        <v>20693064.010000002</v>
      </c>
      <c r="AG73" s="9">
        <v>9644943</v>
      </c>
      <c r="AH73" s="9">
        <v>11124661.80557175</v>
      </c>
      <c r="AI73" s="9">
        <v>20886485.84</v>
      </c>
      <c r="AJ73" s="9">
        <v>9674943</v>
      </c>
      <c r="AK73" s="28">
        <v>11251678.80557175</v>
      </c>
      <c r="AL73" s="9">
        <v>21129205.020000003</v>
      </c>
      <c r="AM73" s="9">
        <v>9800189</v>
      </c>
      <c r="AN73" s="28">
        <v>11329016</v>
      </c>
      <c r="AO73" s="9">
        <v>21580495.630000003</v>
      </c>
      <c r="AP73" s="9">
        <v>9661218</v>
      </c>
      <c r="AQ73" s="28">
        <v>12016981</v>
      </c>
      <c r="AR73" s="9">
        <v>21918110.246938307</v>
      </c>
      <c r="AS73" s="9">
        <v>9770470</v>
      </c>
      <c r="AT73" s="28">
        <f>12209651-62011</f>
        <v>12147640</v>
      </c>
      <c r="AU73" s="9">
        <v>22676410.390000004</v>
      </c>
      <c r="AV73" s="9">
        <v>10266561</v>
      </c>
      <c r="AW73" s="9">
        <v>12409849</v>
      </c>
      <c r="AX73" s="9">
        <v>24086138.195584625</v>
      </c>
      <c r="AY73" s="9">
        <v>10670037</v>
      </c>
      <c r="AZ73" s="28">
        <v>13416101</v>
      </c>
      <c r="BA73" s="9">
        <v>25739349.560000002</v>
      </c>
      <c r="BB73" s="9">
        <v>11372125</v>
      </c>
      <c r="BC73" s="9">
        <v>14367225</v>
      </c>
      <c r="BD73" s="9">
        <v>26864608.990000002</v>
      </c>
      <c r="BE73" s="9">
        <v>11925947</v>
      </c>
      <c r="BF73" s="9">
        <v>14938662</v>
      </c>
      <c r="BG73" s="9">
        <v>29918745.999999996</v>
      </c>
      <c r="BH73" s="9">
        <v>12528207</v>
      </c>
      <c r="BI73" s="9">
        <v>17390539</v>
      </c>
      <c r="BJ73" s="9">
        <v>32534279.410000004</v>
      </c>
      <c r="BK73" s="9">
        <v>13217258</v>
      </c>
      <c r="BL73" s="9">
        <v>19317021</v>
      </c>
      <c r="BM73" s="9"/>
      <c r="BN73" s="9"/>
      <c r="BO73" s="9"/>
      <c r="BP73" s="9"/>
      <c r="BQ73" s="9"/>
      <c r="BR73" s="9"/>
      <c r="BS73" s="9"/>
      <c r="BT73" s="9"/>
      <c r="BU73" s="9"/>
    </row>
    <row r="74" spans="1:73">
      <c r="A74" s="6">
        <v>65</v>
      </c>
      <c r="B74" s="6" t="s">
        <v>1184</v>
      </c>
      <c r="C74" s="421">
        <v>17.5</v>
      </c>
      <c r="D74" s="9">
        <v>10255772</v>
      </c>
      <c r="E74" s="33">
        <v>9352895</v>
      </c>
      <c r="F74" s="9">
        <v>1220622.8</v>
      </c>
      <c r="G74" s="9">
        <v>11254255.086480001</v>
      </c>
      <c r="H74" s="9">
        <v>9701624</v>
      </c>
      <c r="I74" s="9">
        <v>1552631</v>
      </c>
      <c r="J74" s="9">
        <v>11621501.817125602</v>
      </c>
      <c r="K74" s="9">
        <v>10016645</v>
      </c>
      <c r="L74" s="9">
        <v>1696971</v>
      </c>
      <c r="M74" s="9">
        <v>11287341.726259999</v>
      </c>
      <c r="N74" s="9">
        <v>10125783</v>
      </c>
      <c r="O74" s="9">
        <v>1600696</v>
      </c>
      <c r="P74" s="9">
        <v>188119</v>
      </c>
      <c r="Q74" s="9">
        <v>11947087.452460095</v>
      </c>
      <c r="R74" s="9">
        <v>10452621</v>
      </c>
      <c r="S74" s="9">
        <v>1753039</v>
      </c>
      <c r="T74" s="9">
        <v>0</v>
      </c>
      <c r="U74" s="9">
        <v>11786894.642872915</v>
      </c>
      <c r="V74" s="9">
        <v>10479155</v>
      </c>
      <c r="W74" s="9">
        <v>1650626</v>
      </c>
      <c r="X74" s="9">
        <v>8861</v>
      </c>
      <c r="Y74" s="9">
        <v>129327</v>
      </c>
      <c r="Z74" s="9">
        <v>12238484.622929998</v>
      </c>
      <c r="AA74" s="9">
        <v>10714412</v>
      </c>
      <c r="AB74" s="9">
        <v>1659487</v>
      </c>
      <c r="AC74" s="9">
        <v>12695055.016299998</v>
      </c>
      <c r="AD74" s="9">
        <v>10974758</v>
      </c>
      <c r="AE74" s="9">
        <v>1720297</v>
      </c>
      <c r="AF74" s="9">
        <v>13558190.14047</v>
      </c>
      <c r="AG74" s="9">
        <v>11461151</v>
      </c>
      <c r="AH74" s="9">
        <v>2165950.0686455625</v>
      </c>
      <c r="AI74" s="9">
        <v>14009300.662070001</v>
      </c>
      <c r="AJ74" s="9">
        <v>11815460</v>
      </c>
      <c r="AK74" s="28">
        <v>2265937.0686455625</v>
      </c>
      <c r="AL74" s="9">
        <v>14047813.289400002</v>
      </c>
      <c r="AM74" s="9">
        <v>11968705</v>
      </c>
      <c r="AN74" s="28">
        <v>2304762.0686455625</v>
      </c>
      <c r="AO74" s="9">
        <v>14622821.151839999</v>
      </c>
      <c r="AP74" s="9">
        <v>12122957</v>
      </c>
      <c r="AQ74" s="28">
        <v>2499864</v>
      </c>
      <c r="AR74" s="9">
        <v>14375663.798876762</v>
      </c>
      <c r="AS74" s="9">
        <v>11992671</v>
      </c>
      <c r="AT74" s="28">
        <v>2545614</v>
      </c>
      <c r="AU74" s="9">
        <v>15141702.031119999</v>
      </c>
      <c r="AV74" s="9">
        <v>12491904</v>
      </c>
      <c r="AW74" s="9">
        <v>2649798</v>
      </c>
      <c r="AX74" s="9">
        <v>15680191.001538649</v>
      </c>
      <c r="AY74" s="9">
        <v>12936157</v>
      </c>
      <c r="AZ74" s="28">
        <v>2748292</v>
      </c>
      <c r="BA74" s="9">
        <v>15514224.726079997</v>
      </c>
      <c r="BB74" s="9">
        <v>12799236</v>
      </c>
      <c r="BC74" s="9">
        <v>2748292</v>
      </c>
      <c r="BD74" s="9">
        <v>15385213.724099997</v>
      </c>
      <c r="BE74" s="9">
        <v>12692802</v>
      </c>
      <c r="BF74" s="9">
        <v>2790862</v>
      </c>
      <c r="BG74" s="9">
        <v>15911489.32886</v>
      </c>
      <c r="BH74" s="9">
        <v>13126979</v>
      </c>
      <c r="BI74" s="9">
        <v>2873722</v>
      </c>
      <c r="BJ74" s="9">
        <v>16687439.717179999</v>
      </c>
      <c r="BK74" s="9">
        <v>13767138</v>
      </c>
      <c r="BL74" s="9">
        <v>2955742</v>
      </c>
      <c r="BM74" s="9"/>
      <c r="BN74" s="9"/>
      <c r="BO74" s="9"/>
      <c r="BP74" s="9"/>
      <c r="BQ74" s="9"/>
      <c r="BR74" s="9"/>
      <c r="BS74" s="9"/>
      <c r="BT74" s="9"/>
      <c r="BU74" s="9"/>
    </row>
    <row r="75" spans="1:73">
      <c r="A75" s="6">
        <v>66</v>
      </c>
      <c r="B75" s="6" t="s">
        <v>1185</v>
      </c>
      <c r="C75" s="421">
        <v>40.33</v>
      </c>
      <c r="D75" s="9">
        <v>0</v>
      </c>
      <c r="E75" s="33">
        <v>0</v>
      </c>
      <c r="F75" s="9">
        <v>0</v>
      </c>
      <c r="G75" s="9">
        <v>0</v>
      </c>
      <c r="H75" s="9">
        <v>0</v>
      </c>
      <c r="I75" s="9">
        <v>0</v>
      </c>
      <c r="J75" s="9">
        <v>0</v>
      </c>
      <c r="K75" s="9">
        <v>0</v>
      </c>
      <c r="L75" s="9">
        <v>0</v>
      </c>
      <c r="M75" s="9">
        <v>0</v>
      </c>
      <c r="N75" s="9">
        <v>0</v>
      </c>
      <c r="O75" s="9">
        <v>0</v>
      </c>
      <c r="P75" s="9">
        <v>0</v>
      </c>
      <c r="Q75" s="9">
        <v>0</v>
      </c>
      <c r="R75" s="9">
        <v>0</v>
      </c>
      <c r="S75" s="9">
        <v>0</v>
      </c>
      <c r="T75" s="9">
        <v>0</v>
      </c>
      <c r="U75" s="9">
        <v>0</v>
      </c>
      <c r="V75" s="9">
        <v>0</v>
      </c>
      <c r="W75" s="9">
        <v>0</v>
      </c>
      <c r="X75" s="9">
        <v>0</v>
      </c>
      <c r="Y75" s="9">
        <v>0</v>
      </c>
      <c r="Z75" s="9">
        <v>0</v>
      </c>
      <c r="AA75" s="9">
        <v>0</v>
      </c>
      <c r="AB75" s="9">
        <v>0</v>
      </c>
      <c r="AC75" s="9">
        <v>0</v>
      </c>
      <c r="AD75" s="9">
        <v>0</v>
      </c>
      <c r="AE75" s="9">
        <v>0</v>
      </c>
      <c r="AF75" s="9">
        <v>0</v>
      </c>
      <c r="AG75" s="9">
        <v>0</v>
      </c>
      <c r="AH75" s="9">
        <v>0</v>
      </c>
      <c r="AI75" s="9">
        <v>13004.9</v>
      </c>
      <c r="AJ75" s="9">
        <v>7860</v>
      </c>
      <c r="AK75" s="28">
        <v>5145</v>
      </c>
      <c r="AL75" s="9">
        <v>13199.960000000001</v>
      </c>
      <c r="AM75" s="9">
        <v>8241</v>
      </c>
      <c r="AN75" s="28">
        <v>5145</v>
      </c>
      <c r="AO75" s="9">
        <v>13170.920000000002</v>
      </c>
      <c r="AP75" s="9">
        <v>7776</v>
      </c>
      <c r="AQ75" s="28">
        <v>5395</v>
      </c>
      <c r="AR75" s="9">
        <v>13416.833343589547</v>
      </c>
      <c r="AS75" s="9">
        <v>7440</v>
      </c>
      <c r="AT75" s="28">
        <v>5977</v>
      </c>
      <c r="AU75" s="9">
        <v>0</v>
      </c>
      <c r="AV75" s="9">
        <v>0</v>
      </c>
      <c r="AW75" s="9">
        <v>0</v>
      </c>
      <c r="AX75" s="9">
        <v>0</v>
      </c>
      <c r="AY75" s="9">
        <v>0</v>
      </c>
      <c r="AZ75" s="28">
        <v>0</v>
      </c>
      <c r="BA75" s="9">
        <v>0</v>
      </c>
      <c r="BB75" s="9">
        <v>0</v>
      </c>
      <c r="BC75" s="9">
        <v>0</v>
      </c>
      <c r="BD75" s="9">
        <v>0</v>
      </c>
      <c r="BE75" s="9">
        <v>0</v>
      </c>
      <c r="BF75" s="9">
        <v>0</v>
      </c>
      <c r="BG75" s="9">
        <v>0</v>
      </c>
      <c r="BH75" s="9">
        <v>0</v>
      </c>
      <c r="BI75" s="9">
        <v>0</v>
      </c>
      <c r="BJ75" s="9">
        <v>0</v>
      </c>
      <c r="BK75" s="9">
        <v>0</v>
      </c>
      <c r="BL75" s="9">
        <v>0</v>
      </c>
      <c r="BM75" s="9"/>
      <c r="BN75" s="9"/>
      <c r="BO75" s="9"/>
      <c r="BP75" s="9"/>
      <c r="BQ75" s="9"/>
      <c r="BR75" s="9"/>
      <c r="BS75" s="9"/>
      <c r="BT75" s="9"/>
      <c r="BU75" s="9"/>
    </row>
    <row r="76" spans="1:73">
      <c r="A76" s="6">
        <v>67</v>
      </c>
      <c r="B76" s="6" t="s">
        <v>1186</v>
      </c>
      <c r="C76" s="421">
        <v>17.5</v>
      </c>
      <c r="D76" s="9">
        <v>13711708</v>
      </c>
      <c r="E76" s="33">
        <v>16586109</v>
      </c>
      <c r="F76" s="9">
        <v>1639229.6</v>
      </c>
      <c r="G76" s="9">
        <v>13626561.195820002</v>
      </c>
      <c r="H76" s="9">
        <v>15556720</v>
      </c>
      <c r="I76" s="9">
        <v>1788313.6000000001</v>
      </c>
      <c r="J76" s="9">
        <v>13775795.201134795</v>
      </c>
      <c r="K76" s="9">
        <v>14723944</v>
      </c>
      <c r="L76" s="9">
        <v>1975048.6</v>
      </c>
      <c r="M76" s="9">
        <v>14398286.772480002</v>
      </c>
      <c r="N76" s="9">
        <v>14186610</v>
      </c>
      <c r="O76" s="9">
        <v>1928177.6</v>
      </c>
      <c r="P76" s="9">
        <v>226606</v>
      </c>
      <c r="Q76" s="9">
        <v>15022515.681104843</v>
      </c>
      <c r="R76" s="9">
        <v>14230911</v>
      </c>
      <c r="S76" s="9">
        <v>2111688</v>
      </c>
      <c r="T76" s="9">
        <v>0</v>
      </c>
      <c r="U76" s="9">
        <v>14880065.931155697</v>
      </c>
      <c r="V76" s="9">
        <v>14212716</v>
      </c>
      <c r="W76" s="9">
        <v>1988323</v>
      </c>
      <c r="X76" s="9">
        <v>10674</v>
      </c>
      <c r="Y76" s="9">
        <v>157941</v>
      </c>
      <c r="Z76" s="9">
        <v>15431249.350580001</v>
      </c>
      <c r="AA76" s="9">
        <v>14620020</v>
      </c>
      <c r="AB76" s="9">
        <v>1998997</v>
      </c>
      <c r="AC76" s="9">
        <v>16485820.2147</v>
      </c>
      <c r="AD76" s="9">
        <v>15013137</v>
      </c>
      <c r="AE76" s="9">
        <v>2075197</v>
      </c>
      <c r="AF76" s="9">
        <v>17831572.198360004</v>
      </c>
      <c r="AG76" s="9">
        <v>15783717</v>
      </c>
      <c r="AH76" s="9">
        <v>2125997</v>
      </c>
      <c r="AI76" s="9">
        <v>18417417.455640003</v>
      </c>
      <c r="AJ76" s="9">
        <v>15844185</v>
      </c>
      <c r="AK76" s="28">
        <v>2573232</v>
      </c>
      <c r="AL76" s="9">
        <v>18462886.786499996</v>
      </c>
      <c r="AM76" s="9">
        <v>15757030</v>
      </c>
      <c r="AN76" s="28">
        <v>2705857</v>
      </c>
      <c r="AO76" s="9">
        <v>18255708.435599998</v>
      </c>
      <c r="AP76" s="9">
        <v>15225394</v>
      </c>
      <c r="AQ76" s="28">
        <v>3030314</v>
      </c>
      <c r="AR76" s="9">
        <v>18805576.707899675</v>
      </c>
      <c r="AS76" s="9">
        <v>15575689</v>
      </c>
      <c r="AT76" s="28">
        <v>3229888</v>
      </c>
      <c r="AU76" s="9">
        <v>19595700.444320001</v>
      </c>
      <c r="AV76" s="9">
        <v>16166453</v>
      </c>
      <c r="AW76" s="9">
        <v>3429247</v>
      </c>
      <c r="AX76" s="9">
        <v>20298530.027942974</v>
      </c>
      <c r="AY76" s="9">
        <v>16746287</v>
      </c>
      <c r="AZ76" s="28">
        <v>3552455</v>
      </c>
      <c r="BA76" s="9">
        <v>21359034.911680002</v>
      </c>
      <c r="BB76" s="9">
        <v>17621204</v>
      </c>
      <c r="BC76" s="9">
        <v>3737831</v>
      </c>
      <c r="BD76" s="9">
        <v>21236752.310529996</v>
      </c>
      <c r="BE76" s="9">
        <v>17520320</v>
      </c>
      <c r="BF76" s="9">
        <v>3797771</v>
      </c>
      <c r="BG76" s="9">
        <v>22336390.42678</v>
      </c>
      <c r="BH76" s="9">
        <v>18427522</v>
      </c>
      <c r="BI76" s="9">
        <v>3916391</v>
      </c>
      <c r="BJ76" s="9">
        <v>23075622.333200004</v>
      </c>
      <c r="BK76" s="9">
        <v>19037389</v>
      </c>
      <c r="BL76" s="9">
        <v>4038233</v>
      </c>
      <c r="BM76" s="9"/>
      <c r="BN76" s="9"/>
      <c r="BO76" s="9"/>
      <c r="BP76" s="9"/>
      <c r="BQ76" s="9"/>
      <c r="BR76" s="9"/>
      <c r="BS76" s="9"/>
      <c r="BT76" s="9"/>
      <c r="BU76" s="9"/>
    </row>
    <row r="77" spans="1:73">
      <c r="A77" s="6">
        <v>68</v>
      </c>
      <c r="B77" s="6" t="s">
        <v>1187</v>
      </c>
      <c r="C77" s="421">
        <v>17.5</v>
      </c>
      <c r="D77" s="9">
        <v>900481</v>
      </c>
      <c r="E77" s="33">
        <v>519131</v>
      </c>
      <c r="F77" s="9">
        <v>563283.19999999995</v>
      </c>
      <c r="G77" s="9">
        <v>887748.23</v>
      </c>
      <c r="H77" s="9">
        <v>570221</v>
      </c>
      <c r="I77" s="9">
        <v>569433.19999999995</v>
      </c>
      <c r="J77" s="9">
        <v>1081794.7444083365</v>
      </c>
      <c r="K77" s="9">
        <v>683924</v>
      </c>
      <c r="L77" s="9">
        <v>619012.19999999995</v>
      </c>
      <c r="M77" s="9">
        <v>1153948.4099999999</v>
      </c>
      <c r="N77" s="9">
        <v>705236</v>
      </c>
      <c r="O77" s="9">
        <v>571560.19999999995</v>
      </c>
      <c r="P77" s="9">
        <v>67172</v>
      </c>
      <c r="Q77" s="9">
        <v>1145043.3689110049</v>
      </c>
      <c r="R77" s="9">
        <v>908027</v>
      </c>
      <c r="S77" s="9">
        <v>625958</v>
      </c>
      <c r="T77" s="9">
        <v>0</v>
      </c>
      <c r="U77" s="9">
        <v>1249385.60142</v>
      </c>
      <c r="V77" s="9">
        <v>1005920</v>
      </c>
      <c r="W77" s="9">
        <v>589390</v>
      </c>
      <c r="X77" s="9">
        <v>3164</v>
      </c>
      <c r="Y77" s="9">
        <v>37129</v>
      </c>
      <c r="Z77" s="9">
        <v>1252208.6499999999</v>
      </c>
      <c r="AA77" s="9">
        <v>987728</v>
      </c>
      <c r="AB77" s="9">
        <v>592554</v>
      </c>
      <c r="AC77" s="9">
        <v>1423805.89</v>
      </c>
      <c r="AD77" s="9">
        <v>1108375</v>
      </c>
      <c r="AE77" s="9">
        <v>598954</v>
      </c>
      <c r="AF77" s="9">
        <v>1317133.4800000004</v>
      </c>
      <c r="AG77" s="9">
        <v>1067389</v>
      </c>
      <c r="AH77" s="9">
        <v>602704</v>
      </c>
      <c r="AI77" s="9">
        <v>1306815.92</v>
      </c>
      <c r="AJ77" s="9">
        <v>1065116</v>
      </c>
      <c r="AK77" s="28">
        <v>606379</v>
      </c>
      <c r="AL77" s="9">
        <v>1311758.95</v>
      </c>
      <c r="AM77" s="9">
        <v>1106711</v>
      </c>
      <c r="AN77" s="28">
        <v>610004</v>
      </c>
      <c r="AO77" s="9">
        <v>1259226.5200000005</v>
      </c>
      <c r="AP77" s="9">
        <v>1022166</v>
      </c>
      <c r="AQ77" s="28">
        <v>617374</v>
      </c>
      <c r="AR77" s="9">
        <v>1137791.5559876624</v>
      </c>
      <c r="AS77" s="9">
        <v>909237</v>
      </c>
      <c r="AT77" s="28">
        <v>620884</v>
      </c>
      <c r="AU77" s="9">
        <v>1045830.0300000001</v>
      </c>
      <c r="AV77" s="9">
        <v>858867</v>
      </c>
      <c r="AW77" s="9">
        <v>623884</v>
      </c>
      <c r="AX77" s="9">
        <v>982498.98211336427</v>
      </c>
      <c r="AY77" s="9">
        <v>810562</v>
      </c>
      <c r="AZ77" s="28">
        <v>626464</v>
      </c>
      <c r="BA77" s="9">
        <v>894594.8200000003</v>
      </c>
      <c r="BB77" s="9">
        <v>738041</v>
      </c>
      <c r="BC77" s="9">
        <v>626464</v>
      </c>
      <c r="BD77" s="9">
        <v>926021.78</v>
      </c>
      <c r="BE77" s="9">
        <v>763968</v>
      </c>
      <c r="BF77" s="9">
        <v>628804</v>
      </c>
      <c r="BG77" s="9">
        <v>1051296.6600000004</v>
      </c>
      <c r="BH77" s="9">
        <v>810426</v>
      </c>
      <c r="BI77" s="9">
        <v>633484</v>
      </c>
      <c r="BJ77" s="9">
        <v>941811.15000000014</v>
      </c>
      <c r="BK77" s="9">
        <v>776994</v>
      </c>
      <c r="BL77" s="9">
        <v>637444</v>
      </c>
      <c r="BM77" s="9"/>
      <c r="BN77" s="9"/>
      <c r="BO77" s="9"/>
      <c r="BP77" s="9"/>
      <c r="BQ77" s="9"/>
      <c r="BR77" s="9"/>
      <c r="BS77" s="9"/>
      <c r="BT77" s="9"/>
      <c r="BU77" s="9"/>
    </row>
    <row r="78" spans="1:73">
      <c r="A78" s="6">
        <v>69</v>
      </c>
      <c r="B78" s="6" t="s">
        <v>1188</v>
      </c>
      <c r="C78" s="421">
        <v>17.5</v>
      </c>
      <c r="D78" s="9">
        <v>48982</v>
      </c>
      <c r="E78" s="33">
        <v>82658</v>
      </c>
      <c r="F78" s="9">
        <v>32727.599999999999</v>
      </c>
      <c r="G78" s="9">
        <v>75947.62</v>
      </c>
      <c r="H78" s="9">
        <v>69777</v>
      </c>
      <c r="I78" s="9">
        <v>41165.599999999999</v>
      </c>
      <c r="J78" s="9">
        <v>90842.16</v>
      </c>
      <c r="K78" s="9">
        <v>76148</v>
      </c>
      <c r="L78" s="9">
        <v>45639.6</v>
      </c>
      <c r="M78" s="9">
        <v>166242.96</v>
      </c>
      <c r="N78" s="9">
        <v>127944</v>
      </c>
      <c r="O78" s="9">
        <v>70567.600000000006</v>
      </c>
      <c r="P78" s="9">
        <v>0</v>
      </c>
      <c r="Q78" s="9">
        <v>208216.51714449763</v>
      </c>
      <c r="R78" s="9">
        <v>147140</v>
      </c>
      <c r="S78" s="9">
        <v>69156</v>
      </c>
      <c r="T78" s="9">
        <v>0</v>
      </c>
      <c r="U78" s="9">
        <v>203635.52184</v>
      </c>
      <c r="V78" s="9">
        <v>157619</v>
      </c>
      <c r="W78" s="9">
        <v>66390</v>
      </c>
      <c r="X78" s="9">
        <v>0</v>
      </c>
      <c r="Y78" s="9">
        <v>0</v>
      </c>
      <c r="Z78" s="9">
        <v>268510.82</v>
      </c>
      <c r="AA78" s="9">
        <v>194827</v>
      </c>
      <c r="AB78" s="9">
        <v>73684</v>
      </c>
      <c r="AC78" s="9">
        <v>164036.83000000002</v>
      </c>
      <c r="AD78" s="9">
        <v>133703</v>
      </c>
      <c r="AE78" s="9">
        <v>73684</v>
      </c>
      <c r="AF78" s="9">
        <v>166579.44999999998</v>
      </c>
      <c r="AG78" s="9">
        <v>138227</v>
      </c>
      <c r="AH78" s="9">
        <v>73684</v>
      </c>
      <c r="AI78" s="9">
        <v>168011.94999999998</v>
      </c>
      <c r="AJ78" s="9">
        <v>147058</v>
      </c>
      <c r="AK78" s="28">
        <v>73684</v>
      </c>
      <c r="AL78" s="9">
        <v>118799.64000000001</v>
      </c>
      <c r="AM78" s="9">
        <v>105143</v>
      </c>
      <c r="AN78" s="28">
        <v>73684</v>
      </c>
      <c r="AO78" s="9">
        <v>118538.28</v>
      </c>
      <c r="AP78" s="9">
        <v>100240</v>
      </c>
      <c r="AQ78" s="28">
        <v>73684</v>
      </c>
      <c r="AR78" s="9">
        <v>120751.50009230593</v>
      </c>
      <c r="AS78" s="9">
        <v>96880</v>
      </c>
      <c r="AT78" s="28">
        <v>73684</v>
      </c>
      <c r="AU78" s="9">
        <v>110697.28</v>
      </c>
      <c r="AV78" s="9">
        <v>91325</v>
      </c>
      <c r="AW78" s="9">
        <v>73684</v>
      </c>
      <c r="AX78" s="9">
        <v>86230.783532120156</v>
      </c>
      <c r="AY78" s="9">
        <v>71140</v>
      </c>
      <c r="AZ78" s="28">
        <v>73684</v>
      </c>
      <c r="BA78" s="9">
        <v>87946.800000000017</v>
      </c>
      <c r="BB78" s="9">
        <v>72556</v>
      </c>
      <c r="BC78" s="9">
        <v>73684</v>
      </c>
      <c r="BD78" s="9">
        <v>59811.12</v>
      </c>
      <c r="BE78" s="9">
        <v>49344</v>
      </c>
      <c r="BF78" s="9">
        <v>59811.12</v>
      </c>
      <c r="BG78" s="9">
        <v>78488.55</v>
      </c>
      <c r="BH78" s="9">
        <v>57133</v>
      </c>
      <c r="BI78" s="9">
        <v>59811.12</v>
      </c>
      <c r="BJ78" s="9">
        <v>98944.56</v>
      </c>
      <c r="BK78" s="9">
        <v>81629</v>
      </c>
      <c r="BL78" s="9">
        <v>59811.12</v>
      </c>
      <c r="BM78" s="9"/>
      <c r="BN78" s="9"/>
      <c r="BO78" s="9"/>
      <c r="BP78" s="9"/>
      <c r="BQ78" s="9"/>
      <c r="BR78" s="9"/>
      <c r="BS78" s="9"/>
      <c r="BT78" s="9"/>
      <c r="BU78" s="9"/>
    </row>
    <row r="79" spans="1:73">
      <c r="A79" s="6">
        <v>70</v>
      </c>
      <c r="B79" s="6" t="s">
        <v>1189</v>
      </c>
      <c r="C79" s="421">
        <v>51.26</v>
      </c>
      <c r="D79" s="9">
        <v>166617</v>
      </c>
      <c r="E79" s="33">
        <v>55122</v>
      </c>
      <c r="F79" s="9">
        <v>142474</v>
      </c>
      <c r="G79" s="9">
        <v>226965.47</v>
      </c>
      <c r="H79" s="9">
        <v>100136</v>
      </c>
      <c r="I79" s="9">
        <v>177549</v>
      </c>
      <c r="J79" s="9">
        <v>271608.17</v>
      </c>
      <c r="K79" s="9">
        <v>128312</v>
      </c>
      <c r="L79" s="9">
        <v>203607</v>
      </c>
      <c r="M79" s="9">
        <v>297621.34999999998</v>
      </c>
      <c r="N79" s="9">
        <v>135954</v>
      </c>
      <c r="O79" s="9">
        <v>218598</v>
      </c>
      <c r="P79" s="9">
        <v>0</v>
      </c>
      <c r="Q79" s="9">
        <v>294362.54217799043</v>
      </c>
      <c r="R79" s="9">
        <v>133527</v>
      </c>
      <c r="S79" s="9">
        <v>214226</v>
      </c>
      <c r="T79" s="9">
        <v>0</v>
      </c>
      <c r="U79" s="9">
        <v>275850.41592</v>
      </c>
      <c r="V79" s="9">
        <v>131098</v>
      </c>
      <c r="W79" s="9">
        <v>205657</v>
      </c>
      <c r="X79" s="9">
        <v>0</v>
      </c>
      <c r="Y79" s="9">
        <v>0</v>
      </c>
      <c r="Z79" s="9">
        <v>403261.59</v>
      </c>
      <c r="AA79" s="9">
        <v>190360</v>
      </c>
      <c r="AB79" s="9">
        <v>212902</v>
      </c>
      <c r="AC79" s="9">
        <v>531229.02000000014</v>
      </c>
      <c r="AD79" s="9">
        <v>258303</v>
      </c>
      <c r="AE79" s="9">
        <v>272926</v>
      </c>
      <c r="AF79" s="9">
        <v>513675.18</v>
      </c>
      <c r="AG79" s="9">
        <v>262243</v>
      </c>
      <c r="AH79" s="9">
        <v>272926</v>
      </c>
      <c r="AI79" s="9">
        <v>350080.55</v>
      </c>
      <c r="AJ79" s="9">
        <v>180975</v>
      </c>
      <c r="AK79" s="28">
        <v>272926</v>
      </c>
      <c r="AL79" s="9">
        <v>289331.62</v>
      </c>
      <c r="AM79" s="9">
        <v>153272</v>
      </c>
      <c r="AN79" s="28">
        <v>272926</v>
      </c>
      <c r="AO79" s="9">
        <v>236011.40000000002</v>
      </c>
      <c r="AP79" s="9">
        <v>127014</v>
      </c>
      <c r="AQ79" s="28">
        <v>236011.40000000002</v>
      </c>
      <c r="AR79" s="9">
        <v>240301.01604183207</v>
      </c>
      <c r="AS79" s="9">
        <v>128163</v>
      </c>
      <c r="AT79" s="28">
        <v>236011.40000000002</v>
      </c>
      <c r="AU79" s="9">
        <v>289210.46999999997</v>
      </c>
      <c r="AV79" s="9">
        <v>146665</v>
      </c>
      <c r="AW79" s="9">
        <v>236011.40000000002</v>
      </c>
      <c r="AX79" s="9">
        <v>285859.74273210397</v>
      </c>
      <c r="AY79" s="9">
        <v>144148</v>
      </c>
      <c r="AZ79" s="28">
        <v>236011</v>
      </c>
      <c r="BA79" s="9">
        <v>379495.22</v>
      </c>
      <c r="BB79" s="9">
        <v>187215</v>
      </c>
      <c r="BC79" s="9">
        <v>236011</v>
      </c>
      <c r="BD79" s="9">
        <v>312251.82</v>
      </c>
      <c r="BE79" s="9">
        <v>155489</v>
      </c>
      <c r="BF79" s="9">
        <v>236581</v>
      </c>
      <c r="BG79" s="9">
        <v>264885</v>
      </c>
      <c r="BH79" s="9">
        <v>125579</v>
      </c>
      <c r="BI79" s="9">
        <v>236581</v>
      </c>
      <c r="BJ79" s="9">
        <v>212169.47999999998</v>
      </c>
      <c r="BK79" s="9">
        <v>97790</v>
      </c>
      <c r="BL79" s="9">
        <v>212169.47999999998</v>
      </c>
      <c r="BM79" s="9"/>
      <c r="BN79" s="9"/>
      <c r="BO79" s="9"/>
      <c r="BP79" s="9"/>
      <c r="BQ79" s="9"/>
      <c r="BR79" s="9"/>
      <c r="BS79" s="9"/>
      <c r="BT79" s="9"/>
      <c r="BU79" s="9"/>
    </row>
    <row r="80" spans="1:73">
      <c r="A80" s="6">
        <v>71</v>
      </c>
      <c r="B80" s="6" t="s">
        <v>1190</v>
      </c>
      <c r="C80" s="421">
        <v>17.5</v>
      </c>
      <c r="D80" s="9">
        <v>26325457</v>
      </c>
      <c r="E80" s="33">
        <v>27029911</v>
      </c>
      <c r="F80" s="9">
        <v>3753262</v>
      </c>
      <c r="G80" s="9">
        <v>27291804.810000006</v>
      </c>
      <c r="H80" s="9">
        <v>27200094</v>
      </c>
      <c r="I80" s="9">
        <v>3957823</v>
      </c>
      <c r="J80" s="9">
        <v>28772437.490009252</v>
      </c>
      <c r="K80" s="9">
        <v>27211346</v>
      </c>
      <c r="L80" s="9">
        <v>4306061</v>
      </c>
      <c r="M80" s="9">
        <v>29725451.43</v>
      </c>
      <c r="N80" s="9">
        <v>27058817</v>
      </c>
      <c r="O80" s="9">
        <v>4117771</v>
      </c>
      <c r="P80" s="9">
        <v>483935</v>
      </c>
      <c r="Q80" s="9">
        <v>31202047.404463161</v>
      </c>
      <c r="R80" s="9">
        <v>27175421</v>
      </c>
      <c r="S80" s="9">
        <v>4509672</v>
      </c>
      <c r="T80" s="9">
        <v>0</v>
      </c>
      <c r="U80" s="9">
        <v>31223555.451959997</v>
      </c>
      <c r="V80" s="9">
        <v>27353004</v>
      </c>
      <c r="W80" s="9">
        <v>4246217</v>
      </c>
      <c r="X80" s="9">
        <v>22796</v>
      </c>
      <c r="Y80" s="9">
        <v>332859</v>
      </c>
      <c r="Z80" s="9">
        <v>31951682.219999999</v>
      </c>
      <c r="AA80" s="9">
        <v>27692459</v>
      </c>
      <c r="AB80" s="9">
        <v>4269013</v>
      </c>
      <c r="AC80" s="9">
        <v>33482299.539999999</v>
      </c>
      <c r="AD80" s="9">
        <v>28151599</v>
      </c>
      <c r="AE80" s="9">
        <v>5786817.6029244997</v>
      </c>
      <c r="AF80" s="9">
        <v>34213600.439999998</v>
      </c>
      <c r="AG80" s="9">
        <v>29050571</v>
      </c>
      <c r="AH80" s="9">
        <f>6079019.44455637+101064</f>
        <v>6180083.4445563704</v>
      </c>
      <c r="AI80" s="9">
        <v>34741461.949999996</v>
      </c>
      <c r="AJ80" s="9">
        <v>29063843</v>
      </c>
      <c r="AK80" s="28">
        <v>6334657.4445563704</v>
      </c>
      <c r="AL80" s="9">
        <v>34881940.840000004</v>
      </c>
      <c r="AM80" s="9">
        <v>29397926</v>
      </c>
      <c r="AN80" s="28">
        <v>6426157.4445563704</v>
      </c>
      <c r="AO80" s="9">
        <v>35588532.009999998</v>
      </c>
      <c r="AP80" s="9">
        <v>29520671</v>
      </c>
      <c r="AQ80" s="28">
        <v>6629052.4445563704</v>
      </c>
      <c r="AR80" s="9">
        <v>33833411.73052796</v>
      </c>
      <c r="AS80" s="9">
        <v>28261906</v>
      </c>
      <c r="AT80" s="28">
        <v>6732852.4445563704</v>
      </c>
      <c r="AU80" s="9">
        <v>35346165.090000004</v>
      </c>
      <c r="AV80" s="9">
        <v>29017711</v>
      </c>
      <c r="AW80" s="9">
        <v>6838332.4445563704</v>
      </c>
      <c r="AX80" s="9">
        <v>37107615.193679869</v>
      </c>
      <c r="AY80" s="9">
        <v>30032857</v>
      </c>
      <c r="AZ80" s="28">
        <v>7108192</v>
      </c>
      <c r="BA80" s="9">
        <v>37325532.020000011</v>
      </c>
      <c r="BB80" s="9">
        <v>30589946</v>
      </c>
      <c r="BC80" s="9">
        <v>7108192</v>
      </c>
      <c r="BD80" s="9">
        <v>37556776.830000006</v>
      </c>
      <c r="BE80" s="9">
        <v>30917580</v>
      </c>
      <c r="BF80" s="9">
        <v>7209712</v>
      </c>
      <c r="BG80" s="9">
        <v>39586571.120000005</v>
      </c>
      <c r="BH80" s="9">
        <v>31703302</v>
      </c>
      <c r="BI80" s="9">
        <v>7883269</v>
      </c>
      <c r="BJ80" s="9">
        <v>42331707.480000004</v>
      </c>
      <c r="BK80" s="9">
        <v>33039603</v>
      </c>
      <c r="BL80" s="9">
        <v>9292104</v>
      </c>
      <c r="BM80" s="9"/>
      <c r="BN80" s="9"/>
      <c r="BO80" s="9"/>
      <c r="BP80" s="9"/>
      <c r="BQ80" s="9"/>
      <c r="BR80" s="9"/>
      <c r="BS80" s="9"/>
      <c r="BT80" s="9"/>
      <c r="BU80" s="9"/>
    </row>
    <row r="81" spans="1:73">
      <c r="A81" s="6">
        <v>72</v>
      </c>
      <c r="B81" s="6" t="s">
        <v>1191</v>
      </c>
      <c r="C81" s="421">
        <v>17.5</v>
      </c>
      <c r="D81" s="9">
        <v>30013625</v>
      </c>
      <c r="E81" s="33">
        <v>21693435</v>
      </c>
      <c r="F81" s="9">
        <v>8320190</v>
      </c>
      <c r="G81" s="9">
        <v>31787364.080000002</v>
      </c>
      <c r="H81" s="9">
        <v>22637645</v>
      </c>
      <c r="I81" s="9">
        <v>9149719</v>
      </c>
      <c r="J81" s="9">
        <v>33384729.905952133</v>
      </c>
      <c r="K81" s="9">
        <v>24241171</v>
      </c>
      <c r="L81" s="9">
        <v>9429258</v>
      </c>
      <c r="M81" s="9">
        <v>34838597.450000003</v>
      </c>
      <c r="N81" s="9">
        <v>25612050</v>
      </c>
      <c r="O81" s="9">
        <v>8665307</v>
      </c>
      <c r="P81" s="9">
        <v>1018378</v>
      </c>
      <c r="Q81" s="9">
        <v>34865610.348156936</v>
      </c>
      <c r="R81" s="9">
        <v>25982767</v>
      </c>
      <c r="S81" s="9">
        <v>9490011</v>
      </c>
      <c r="T81" s="9">
        <v>0</v>
      </c>
      <c r="U81" s="9">
        <v>33815804.735880002</v>
      </c>
      <c r="V81" s="9">
        <v>26783708</v>
      </c>
      <c r="W81" s="9">
        <v>8935606</v>
      </c>
      <c r="X81" s="9">
        <v>47970</v>
      </c>
      <c r="Y81" s="9">
        <v>604210</v>
      </c>
      <c r="Z81" s="9">
        <v>34643308.829999998</v>
      </c>
      <c r="AA81" s="9">
        <v>27284947</v>
      </c>
      <c r="AB81" s="9">
        <v>8983576</v>
      </c>
      <c r="AC81" s="9">
        <v>35441243.159999996</v>
      </c>
      <c r="AD81" s="9">
        <v>28041617</v>
      </c>
      <c r="AE81" s="9">
        <v>9138016</v>
      </c>
      <c r="AF81" s="9">
        <v>35496365.130000003</v>
      </c>
      <c r="AG81" s="9">
        <v>28917668</v>
      </c>
      <c r="AH81" s="9">
        <v>9233066</v>
      </c>
      <c r="AI81" s="9">
        <v>35239525.229999997</v>
      </c>
      <c r="AJ81" s="9">
        <v>29520834</v>
      </c>
      <c r="AK81" s="28">
        <v>9326041</v>
      </c>
      <c r="AL81" s="9">
        <v>36075718.260000005</v>
      </c>
      <c r="AM81" s="9">
        <v>30256260</v>
      </c>
      <c r="AN81" s="28">
        <v>9419066</v>
      </c>
      <c r="AO81" s="9">
        <v>36117171.75</v>
      </c>
      <c r="AP81" s="9">
        <v>29976096</v>
      </c>
      <c r="AQ81" s="28">
        <v>9622951</v>
      </c>
      <c r="AR81" s="9">
        <v>36194408.009417139</v>
      </c>
      <c r="AS81" s="9">
        <v>30013628</v>
      </c>
      <c r="AT81" s="28">
        <v>9732331</v>
      </c>
      <c r="AU81" s="9">
        <v>37575677.390000001</v>
      </c>
      <c r="AV81" s="9">
        <v>30999934</v>
      </c>
      <c r="AW81" s="9">
        <v>9841531</v>
      </c>
      <c r="AX81" s="9">
        <v>38394448.348769426</v>
      </c>
      <c r="AY81" s="9">
        <v>31675420</v>
      </c>
      <c r="AZ81" s="28">
        <v>9948121</v>
      </c>
      <c r="BA81" s="9">
        <v>38785092.380000003</v>
      </c>
      <c r="BB81" s="9">
        <v>31997701</v>
      </c>
      <c r="BC81" s="9">
        <v>9948121</v>
      </c>
      <c r="BD81" s="9">
        <v>38413025.859999999</v>
      </c>
      <c r="BE81" s="9">
        <v>31690747</v>
      </c>
      <c r="BF81" s="9">
        <v>10049191</v>
      </c>
      <c r="BG81" s="9">
        <v>42137530.870000005</v>
      </c>
      <c r="BH81" s="9">
        <v>33036538</v>
      </c>
      <c r="BI81" s="9">
        <v>10251151</v>
      </c>
      <c r="BJ81" s="9">
        <v>43916766.759999998</v>
      </c>
      <c r="BK81" s="9">
        <v>34831363</v>
      </c>
      <c r="BL81" s="9">
        <v>10449331</v>
      </c>
      <c r="BM81" s="9"/>
      <c r="BN81" s="9"/>
      <c r="BO81" s="9"/>
      <c r="BP81" s="9"/>
      <c r="BQ81" s="9"/>
      <c r="BR81" s="9"/>
      <c r="BS81" s="9"/>
      <c r="BT81" s="9"/>
      <c r="BU81" s="9"/>
    </row>
    <row r="82" spans="1:73">
      <c r="A82" s="6">
        <v>73</v>
      </c>
      <c r="B82" s="6" t="s">
        <v>1192</v>
      </c>
      <c r="C82" s="421">
        <v>17.5</v>
      </c>
      <c r="D82" s="9">
        <v>20084837</v>
      </c>
      <c r="E82" s="33">
        <v>24834561</v>
      </c>
      <c r="F82" s="9">
        <v>3188973.6</v>
      </c>
      <c r="G82" s="9">
        <v>21999587.074999996</v>
      </c>
      <c r="H82" s="9">
        <v>24648038</v>
      </c>
      <c r="I82" s="9">
        <v>3524054.6</v>
      </c>
      <c r="J82" s="9">
        <v>22956468.83366517</v>
      </c>
      <c r="K82" s="9">
        <v>24204569</v>
      </c>
      <c r="L82" s="9">
        <v>3691508.6</v>
      </c>
      <c r="M82" s="9">
        <v>24352509.547620002</v>
      </c>
      <c r="N82" s="9">
        <v>23678833</v>
      </c>
      <c r="O82" s="9">
        <v>3521908.6</v>
      </c>
      <c r="P82" s="9">
        <v>413907</v>
      </c>
      <c r="Q82" s="9">
        <v>25074340.33835483</v>
      </c>
      <c r="R82" s="9">
        <v>23853832</v>
      </c>
      <c r="S82" s="9">
        <v>3857099</v>
      </c>
      <c r="T82" s="9">
        <v>0</v>
      </c>
      <c r="U82" s="9">
        <v>25207774.047433194</v>
      </c>
      <c r="V82" s="9">
        <v>23636066</v>
      </c>
      <c r="W82" s="9">
        <v>3631768</v>
      </c>
      <c r="X82" s="9">
        <v>19497</v>
      </c>
      <c r="Y82" s="9">
        <v>275484</v>
      </c>
      <c r="Z82" s="9">
        <v>25446765.917099997</v>
      </c>
      <c r="AA82" s="9">
        <v>23938734</v>
      </c>
      <c r="AB82" s="9">
        <v>3651265</v>
      </c>
      <c r="AC82" s="9">
        <v>26335982.540799998</v>
      </c>
      <c r="AD82" s="9">
        <v>24613424</v>
      </c>
      <c r="AE82" s="9">
        <v>3890647.9861599999</v>
      </c>
      <c r="AF82" s="9">
        <v>26535745.209500007</v>
      </c>
      <c r="AG82" s="9">
        <v>25162541</v>
      </c>
      <c r="AH82" s="9">
        <v>4078924.8425356252</v>
      </c>
      <c r="AI82" s="9">
        <v>27117828.372749999</v>
      </c>
      <c r="AJ82" s="9">
        <v>24153827</v>
      </c>
      <c r="AK82" s="28">
        <v>4312267.8425356252</v>
      </c>
      <c r="AL82" s="9">
        <v>26929202.733199999</v>
      </c>
      <c r="AM82" s="9">
        <v>23751768</v>
      </c>
      <c r="AN82" s="28">
        <v>4379292.8425356252</v>
      </c>
      <c r="AO82" s="9">
        <v>26660498.619539998</v>
      </c>
      <c r="AP82" s="9">
        <v>22460566</v>
      </c>
      <c r="AQ82" s="28">
        <v>4525097.8425356252</v>
      </c>
      <c r="AR82" s="9">
        <v>27026023.747824714</v>
      </c>
      <c r="AS82" s="9">
        <v>22421830</v>
      </c>
      <c r="AT82" s="28">
        <v>4604194</v>
      </c>
      <c r="AU82" s="9">
        <v>28479923.262210004</v>
      </c>
      <c r="AV82" s="9">
        <v>23238711</v>
      </c>
      <c r="AW82" s="9">
        <v>5241212</v>
      </c>
      <c r="AX82" s="9">
        <v>30327812.140098155</v>
      </c>
      <c r="AY82" s="9">
        <v>24319967</v>
      </c>
      <c r="AZ82" s="28">
        <v>6066360</v>
      </c>
      <c r="BA82" s="9">
        <v>31069861.763470002</v>
      </c>
      <c r="BB82" s="9">
        <v>25205198</v>
      </c>
      <c r="BC82" s="9">
        <v>6066360</v>
      </c>
      <c r="BD82" s="9">
        <v>30666508.900769994</v>
      </c>
      <c r="BE82" s="9">
        <v>25299870</v>
      </c>
      <c r="BF82" s="9">
        <v>6143940</v>
      </c>
      <c r="BG82" s="9">
        <v>33049835.113800008</v>
      </c>
      <c r="BH82" s="9">
        <v>26263407</v>
      </c>
      <c r="BI82" s="9">
        <v>6786428</v>
      </c>
      <c r="BJ82" s="9">
        <v>34648058.12985</v>
      </c>
      <c r="BK82" s="9">
        <v>27655361</v>
      </c>
      <c r="BL82" s="9">
        <v>6992697</v>
      </c>
      <c r="BM82" s="9"/>
      <c r="BN82" s="9"/>
      <c r="BO82" s="9"/>
      <c r="BP82" s="9"/>
      <c r="BQ82" s="9"/>
      <c r="BR82" s="9"/>
      <c r="BS82" s="9"/>
      <c r="BT82" s="9"/>
      <c r="BU82" s="9"/>
    </row>
    <row r="83" spans="1:73">
      <c r="A83" s="6">
        <v>74</v>
      </c>
      <c r="B83" s="6" t="s">
        <v>1193</v>
      </c>
      <c r="C83" s="421">
        <v>17.5</v>
      </c>
      <c r="D83" s="9">
        <v>2642380</v>
      </c>
      <c r="E83" s="33">
        <v>1930020</v>
      </c>
      <c r="F83" s="9">
        <v>712360</v>
      </c>
      <c r="G83" s="9">
        <v>2837157.02</v>
      </c>
      <c r="H83" s="9">
        <v>1916205</v>
      </c>
      <c r="I83" s="9">
        <v>920952</v>
      </c>
      <c r="J83" s="9">
        <v>2894786.9036194519</v>
      </c>
      <c r="K83" s="9">
        <v>1943673</v>
      </c>
      <c r="L83" s="9">
        <v>951114</v>
      </c>
      <c r="M83" s="9">
        <v>3308363.25</v>
      </c>
      <c r="N83" s="9">
        <v>2201765</v>
      </c>
      <c r="O83" s="9">
        <v>990223</v>
      </c>
      <c r="P83" s="9">
        <v>116375</v>
      </c>
      <c r="Q83" s="9">
        <v>3364244.2070966512</v>
      </c>
      <c r="R83" s="9">
        <v>2590037</v>
      </c>
      <c r="S83" s="9">
        <v>1084466</v>
      </c>
      <c r="T83" s="9">
        <v>0</v>
      </c>
      <c r="U83" s="9">
        <v>3310478.6745599997</v>
      </c>
      <c r="V83" s="9">
        <v>2602950</v>
      </c>
      <c r="W83" s="9">
        <v>1021111</v>
      </c>
      <c r="X83" s="9">
        <v>5482</v>
      </c>
      <c r="Y83" s="9">
        <v>67823</v>
      </c>
      <c r="Z83" s="9">
        <v>3402540.04</v>
      </c>
      <c r="AA83" s="9">
        <v>2702788</v>
      </c>
      <c r="AB83" s="9">
        <v>1026593</v>
      </c>
      <c r="AC83" s="9">
        <v>3431229.1799999997</v>
      </c>
      <c r="AD83" s="9">
        <v>2733958</v>
      </c>
      <c r="AE83" s="9">
        <v>1041993</v>
      </c>
      <c r="AF83" s="9">
        <v>3138146.3000000003</v>
      </c>
      <c r="AG83" s="9">
        <v>2712329</v>
      </c>
      <c r="AH83" s="9">
        <v>1050593</v>
      </c>
      <c r="AI83" s="9">
        <v>3182088.0800000005</v>
      </c>
      <c r="AJ83" s="9">
        <v>2730251</v>
      </c>
      <c r="AK83" s="28">
        <v>1059343</v>
      </c>
      <c r="AL83" s="9">
        <v>3228031.8499999992</v>
      </c>
      <c r="AM83" s="9">
        <v>2757185</v>
      </c>
      <c r="AN83" s="28">
        <v>1067968</v>
      </c>
      <c r="AO83" s="9">
        <v>2985824.2499999995</v>
      </c>
      <c r="AP83" s="9">
        <v>2500490</v>
      </c>
      <c r="AQ83" s="28">
        <v>1085623</v>
      </c>
      <c r="AR83" s="9">
        <v>3148595.0953759653</v>
      </c>
      <c r="AS83" s="9">
        <v>2614687</v>
      </c>
      <c r="AT83" s="28">
        <v>1095493</v>
      </c>
      <c r="AU83" s="9">
        <v>3139879.44</v>
      </c>
      <c r="AV83" s="9">
        <v>2590401</v>
      </c>
      <c r="AW83" s="9">
        <v>1104883</v>
      </c>
      <c r="AX83" s="9">
        <v>3354720.4057858582</v>
      </c>
      <c r="AY83" s="9">
        <v>2690443</v>
      </c>
      <c r="AZ83" s="28">
        <v>1114363</v>
      </c>
      <c r="BA83" s="9">
        <v>3368724.2699999996</v>
      </c>
      <c r="BB83" s="9">
        <v>2732273</v>
      </c>
      <c r="BC83" s="9">
        <v>1114363</v>
      </c>
      <c r="BD83" s="9">
        <v>3195342.38</v>
      </c>
      <c r="BE83" s="9">
        <v>2636157</v>
      </c>
      <c r="BF83" s="9">
        <v>1123153</v>
      </c>
      <c r="BG83" s="9">
        <v>3310653.2399999988</v>
      </c>
      <c r="BH83" s="9">
        <v>2731289</v>
      </c>
      <c r="BI83" s="9">
        <v>1140193</v>
      </c>
      <c r="BJ83" s="9">
        <v>3505682.31</v>
      </c>
      <c r="BK83" s="9">
        <v>2863682</v>
      </c>
      <c r="BL83" s="9">
        <v>1157053</v>
      </c>
      <c r="BM83" s="9"/>
      <c r="BN83" s="9"/>
      <c r="BO83" s="9"/>
      <c r="BP83" s="9"/>
      <c r="BQ83" s="9"/>
      <c r="BR83" s="9"/>
      <c r="BS83" s="9"/>
      <c r="BT83" s="9"/>
      <c r="BU83" s="9"/>
    </row>
    <row r="84" spans="1:73">
      <c r="A84" s="6">
        <v>75</v>
      </c>
      <c r="B84" s="6" t="s">
        <v>1194</v>
      </c>
      <c r="C84" s="421">
        <v>17.5</v>
      </c>
      <c r="D84" s="9">
        <v>0</v>
      </c>
      <c r="E84" s="33">
        <v>0</v>
      </c>
      <c r="F84" s="9">
        <v>0</v>
      </c>
      <c r="G84" s="9">
        <v>0</v>
      </c>
      <c r="H84" s="9">
        <v>0</v>
      </c>
      <c r="I84" s="9">
        <v>0</v>
      </c>
      <c r="J84" s="9">
        <v>0</v>
      </c>
      <c r="K84" s="9">
        <v>0</v>
      </c>
      <c r="L84" s="9">
        <v>0</v>
      </c>
      <c r="M84" s="9">
        <v>0</v>
      </c>
      <c r="N84" s="9">
        <v>0</v>
      </c>
      <c r="O84" s="9">
        <v>0</v>
      </c>
      <c r="P84" s="9">
        <v>0</v>
      </c>
      <c r="Q84" s="9">
        <v>0</v>
      </c>
      <c r="R84" s="9">
        <v>0</v>
      </c>
      <c r="S84" s="9">
        <v>0</v>
      </c>
      <c r="T84" s="9">
        <v>0</v>
      </c>
      <c r="U84" s="9">
        <v>0</v>
      </c>
      <c r="V84" s="9">
        <v>0</v>
      </c>
      <c r="W84" s="9">
        <v>0</v>
      </c>
      <c r="X84" s="9">
        <v>0</v>
      </c>
      <c r="Y84" s="9">
        <v>0</v>
      </c>
      <c r="Z84" s="9">
        <v>0</v>
      </c>
      <c r="AA84" s="9">
        <v>0</v>
      </c>
      <c r="AB84" s="9">
        <v>0</v>
      </c>
      <c r="AC84" s="9">
        <v>0</v>
      </c>
      <c r="AD84" s="9">
        <v>0</v>
      </c>
      <c r="AE84" s="9">
        <v>0</v>
      </c>
      <c r="AF84" s="9">
        <v>0</v>
      </c>
      <c r="AG84" s="9">
        <v>0</v>
      </c>
      <c r="AH84" s="9">
        <v>0</v>
      </c>
      <c r="AI84" s="9">
        <v>0</v>
      </c>
      <c r="AJ84" s="9">
        <v>0</v>
      </c>
      <c r="AK84" s="28">
        <v>0</v>
      </c>
      <c r="AL84" s="9">
        <v>0</v>
      </c>
      <c r="AM84" s="9">
        <v>0</v>
      </c>
      <c r="AN84" s="28">
        <v>0</v>
      </c>
      <c r="AO84" s="9">
        <v>0</v>
      </c>
      <c r="AP84" s="9">
        <v>0</v>
      </c>
      <c r="AQ84" s="28">
        <v>0</v>
      </c>
      <c r="AR84" s="9">
        <v>0</v>
      </c>
      <c r="AS84" s="9">
        <v>0</v>
      </c>
      <c r="AT84" s="28">
        <v>0</v>
      </c>
      <c r="AU84" s="9">
        <v>0</v>
      </c>
      <c r="AV84" s="9">
        <v>0</v>
      </c>
      <c r="AW84" s="9">
        <v>0</v>
      </c>
      <c r="AX84" s="9">
        <v>0</v>
      </c>
      <c r="AY84" s="9">
        <v>0</v>
      </c>
      <c r="AZ84" s="28">
        <v>0</v>
      </c>
      <c r="BA84" s="9">
        <v>0</v>
      </c>
      <c r="BB84" s="9">
        <v>0</v>
      </c>
      <c r="BC84" s="9">
        <v>0</v>
      </c>
      <c r="BD84" s="9">
        <v>0</v>
      </c>
      <c r="BE84" s="9">
        <v>0</v>
      </c>
      <c r="BF84" s="9">
        <v>0</v>
      </c>
      <c r="BG84" s="9">
        <v>0</v>
      </c>
      <c r="BH84" s="9">
        <v>0</v>
      </c>
      <c r="BI84" s="9">
        <v>0</v>
      </c>
      <c r="BJ84" s="9">
        <v>0</v>
      </c>
      <c r="BK84" s="9">
        <v>0</v>
      </c>
      <c r="BL84" s="9">
        <v>0</v>
      </c>
      <c r="BM84" s="9"/>
      <c r="BN84" s="9"/>
      <c r="BO84" s="9"/>
      <c r="BP84" s="9"/>
      <c r="BQ84" s="9"/>
      <c r="BR84" s="9"/>
      <c r="BS84" s="9"/>
      <c r="BT84" s="9"/>
      <c r="BU84" s="9"/>
    </row>
    <row r="85" spans="1:73">
      <c r="A85" s="6">
        <v>76</v>
      </c>
      <c r="B85" s="6" t="s">
        <v>1195</v>
      </c>
      <c r="C85" s="421">
        <v>44.53</v>
      </c>
      <c r="D85" s="9">
        <v>0</v>
      </c>
      <c r="E85" s="33">
        <v>0</v>
      </c>
      <c r="F85" s="9">
        <v>0</v>
      </c>
      <c r="G85" s="9">
        <v>0</v>
      </c>
      <c r="H85" s="9">
        <v>0</v>
      </c>
      <c r="I85" s="9">
        <v>0</v>
      </c>
      <c r="J85" s="9">
        <v>0</v>
      </c>
      <c r="K85" s="9">
        <v>0</v>
      </c>
      <c r="L85" s="9">
        <v>0</v>
      </c>
      <c r="M85" s="9">
        <v>0</v>
      </c>
      <c r="N85" s="9">
        <v>0</v>
      </c>
      <c r="O85" s="9">
        <v>0</v>
      </c>
      <c r="P85" s="9">
        <v>0</v>
      </c>
      <c r="Q85" s="9">
        <v>0</v>
      </c>
      <c r="R85" s="9">
        <v>0</v>
      </c>
      <c r="S85" s="9">
        <v>0</v>
      </c>
      <c r="T85" s="9">
        <v>0</v>
      </c>
      <c r="U85" s="9">
        <v>0</v>
      </c>
      <c r="V85" s="9">
        <v>0</v>
      </c>
      <c r="W85" s="9">
        <v>0</v>
      </c>
      <c r="X85" s="9">
        <v>0</v>
      </c>
      <c r="Y85" s="9">
        <v>0</v>
      </c>
      <c r="Z85" s="9">
        <v>0</v>
      </c>
      <c r="AA85" s="9">
        <v>0</v>
      </c>
      <c r="AB85" s="9">
        <v>0</v>
      </c>
      <c r="AC85" s="9">
        <v>0</v>
      </c>
      <c r="AD85" s="9">
        <v>0</v>
      </c>
      <c r="AE85" s="9">
        <v>0</v>
      </c>
      <c r="AF85" s="9">
        <v>0</v>
      </c>
      <c r="AG85" s="9">
        <v>0</v>
      </c>
      <c r="AH85" s="9">
        <v>0</v>
      </c>
      <c r="AI85" s="9">
        <v>0</v>
      </c>
      <c r="AJ85" s="9">
        <v>0</v>
      </c>
      <c r="AK85" s="28">
        <v>0</v>
      </c>
      <c r="AL85" s="9">
        <v>0</v>
      </c>
      <c r="AM85" s="9">
        <v>0</v>
      </c>
      <c r="AN85" s="28">
        <v>0</v>
      </c>
      <c r="AO85" s="9">
        <v>0</v>
      </c>
      <c r="AP85" s="9">
        <v>0</v>
      </c>
      <c r="AQ85" s="28">
        <v>0</v>
      </c>
      <c r="AR85" s="9">
        <v>0</v>
      </c>
      <c r="AS85" s="9">
        <v>0</v>
      </c>
      <c r="AT85" s="28">
        <v>0</v>
      </c>
      <c r="AU85" s="9">
        <v>0</v>
      </c>
      <c r="AV85" s="9">
        <v>0</v>
      </c>
      <c r="AW85" s="9">
        <v>0</v>
      </c>
      <c r="AX85" s="9">
        <v>0</v>
      </c>
      <c r="AY85" s="9">
        <v>0</v>
      </c>
      <c r="AZ85" s="28">
        <v>0</v>
      </c>
      <c r="BA85" s="9">
        <v>0</v>
      </c>
      <c r="BB85" s="9">
        <v>0</v>
      </c>
      <c r="BC85" s="9">
        <v>0</v>
      </c>
      <c r="BD85" s="9">
        <v>0</v>
      </c>
      <c r="BE85" s="9">
        <v>0</v>
      </c>
      <c r="BF85" s="9">
        <v>0</v>
      </c>
      <c r="BG85" s="9">
        <v>0</v>
      </c>
      <c r="BH85" s="9">
        <v>0</v>
      </c>
      <c r="BI85" s="9">
        <v>0</v>
      </c>
      <c r="BJ85" s="9">
        <v>0</v>
      </c>
      <c r="BK85" s="9">
        <v>0</v>
      </c>
      <c r="BL85" s="9">
        <v>0</v>
      </c>
      <c r="BM85" s="9"/>
      <c r="BN85" s="9"/>
      <c r="BO85" s="9"/>
      <c r="BP85" s="9"/>
      <c r="BQ85" s="9"/>
      <c r="BR85" s="9"/>
      <c r="BS85" s="9"/>
      <c r="BT85" s="9"/>
      <c r="BU85" s="9"/>
    </row>
    <row r="86" spans="1:73">
      <c r="A86" s="6">
        <v>77</v>
      </c>
      <c r="B86" s="6" t="s">
        <v>1196</v>
      </c>
      <c r="C86" s="421">
        <v>37.340000000000003</v>
      </c>
      <c r="D86" s="9">
        <v>10549229</v>
      </c>
      <c r="E86" s="33">
        <v>3948825</v>
      </c>
      <c r="F86" s="9">
        <v>6600404</v>
      </c>
      <c r="G86" s="9">
        <v>11244182.879999999</v>
      </c>
      <c r="H86" s="9">
        <v>4402719</v>
      </c>
      <c r="I86" s="9">
        <v>6966367</v>
      </c>
      <c r="J86" s="9">
        <v>11934136.084547279</v>
      </c>
      <c r="K86" s="9">
        <v>4703853</v>
      </c>
      <c r="L86" s="9">
        <v>7317967</v>
      </c>
      <c r="M86" s="9">
        <v>13091381.120000001</v>
      </c>
      <c r="N86" s="9">
        <v>5025155</v>
      </c>
      <c r="O86" s="9">
        <v>7217947</v>
      </c>
      <c r="P86" s="9">
        <v>848279</v>
      </c>
      <c r="Q86" s="9">
        <v>13862037.638614353</v>
      </c>
      <c r="R86" s="9">
        <v>5156920</v>
      </c>
      <c r="S86" s="9">
        <v>7904901</v>
      </c>
      <c r="T86" s="9">
        <v>800217</v>
      </c>
      <c r="U86" s="9">
        <v>13727725.332659999</v>
      </c>
      <c r="V86" s="9">
        <v>5395470</v>
      </c>
      <c r="W86" s="9">
        <v>8196565</v>
      </c>
      <c r="X86" s="9">
        <v>44003</v>
      </c>
      <c r="Y86" s="9">
        <v>505400</v>
      </c>
      <c r="Z86" s="9">
        <v>13936065.529999997</v>
      </c>
      <c r="AA86" s="9">
        <v>5567549</v>
      </c>
      <c r="AB86" s="9">
        <v>8368517</v>
      </c>
      <c r="AC86" s="9">
        <v>14220617.059999999</v>
      </c>
      <c r="AD86" s="9">
        <v>5766202</v>
      </c>
      <c r="AE86" s="9">
        <v>8454415</v>
      </c>
      <c r="AF86" s="9">
        <v>14221466.569999998</v>
      </c>
      <c r="AG86" s="9">
        <v>5973388</v>
      </c>
      <c r="AH86" s="9">
        <v>8493140</v>
      </c>
      <c r="AI86" s="9">
        <v>13898746.319999997</v>
      </c>
      <c r="AJ86" s="9">
        <v>6212332</v>
      </c>
      <c r="AK86" s="28">
        <v>8530840</v>
      </c>
      <c r="AL86" s="9">
        <v>13645814.699999997</v>
      </c>
      <c r="AM86" s="9">
        <v>6463272</v>
      </c>
      <c r="AN86" s="28">
        <v>8567140</v>
      </c>
      <c r="AO86" s="9">
        <v>13394369.66</v>
      </c>
      <c r="AP86" s="9">
        <v>6691646</v>
      </c>
      <c r="AQ86" s="28">
        <v>8644415</v>
      </c>
      <c r="AR86" s="9">
        <v>12935870.449951056</v>
      </c>
      <c r="AS86" s="9">
        <v>6783425</v>
      </c>
      <c r="AT86" s="28">
        <v>8684255</v>
      </c>
      <c r="AU86" s="9">
        <v>12935309.570000002</v>
      </c>
      <c r="AV86" s="9">
        <v>6890730</v>
      </c>
      <c r="AW86" s="9">
        <v>8722775</v>
      </c>
      <c r="AX86" s="9">
        <v>12970126.823695926</v>
      </c>
      <c r="AY86" s="9">
        <v>7112759</v>
      </c>
      <c r="AZ86" s="28">
        <v>8759585</v>
      </c>
      <c r="BA86" s="9">
        <v>13102757.229999999</v>
      </c>
      <c r="BB86" s="9">
        <v>7355911</v>
      </c>
      <c r="BC86" s="9">
        <v>8759585</v>
      </c>
      <c r="BD86" s="9">
        <v>12319421.250000002</v>
      </c>
      <c r="BE86" s="9">
        <v>7492002</v>
      </c>
      <c r="BF86" s="9">
        <v>8792765</v>
      </c>
      <c r="BG86" s="9">
        <v>13450769.330000004</v>
      </c>
      <c r="BH86" s="9">
        <v>7945377</v>
      </c>
      <c r="BI86" s="9">
        <v>8859605</v>
      </c>
      <c r="BJ86" s="9">
        <v>14574247.939999998</v>
      </c>
      <c r="BK86" s="9">
        <v>8454786</v>
      </c>
      <c r="BL86" s="9">
        <v>8927525</v>
      </c>
      <c r="BM86" s="9"/>
      <c r="BN86" s="9"/>
      <c r="BO86" s="9"/>
      <c r="BP86" s="9"/>
      <c r="BQ86" s="9"/>
      <c r="BR86" s="9"/>
      <c r="BS86" s="9"/>
      <c r="BT86" s="9"/>
      <c r="BU86" s="9"/>
    </row>
    <row r="87" spans="1:73">
      <c r="A87" s="6">
        <v>78</v>
      </c>
      <c r="B87" s="6" t="s">
        <v>1197</v>
      </c>
      <c r="C87" s="421">
        <v>17.5</v>
      </c>
      <c r="D87" s="9">
        <v>4317253</v>
      </c>
      <c r="E87" s="33">
        <v>5147915</v>
      </c>
      <c r="F87" s="9">
        <v>363450</v>
      </c>
      <c r="G87" s="9">
        <v>4498246.3891599998</v>
      </c>
      <c r="H87" s="9">
        <v>4992151</v>
      </c>
      <c r="I87" s="9">
        <v>448199</v>
      </c>
      <c r="J87" s="9">
        <v>4612399.3686480699</v>
      </c>
      <c r="K87" s="9">
        <v>4726827</v>
      </c>
      <c r="L87" s="9">
        <v>555890</v>
      </c>
      <c r="M87" s="9">
        <v>4778687.8410799997</v>
      </c>
      <c r="N87" s="9">
        <v>4574431</v>
      </c>
      <c r="O87" s="9">
        <v>580225</v>
      </c>
      <c r="P87" s="9">
        <v>68190</v>
      </c>
      <c r="Q87" s="9">
        <v>4840708.6085977424</v>
      </c>
      <c r="R87" s="9">
        <v>4416450</v>
      </c>
      <c r="S87" s="9">
        <v>635447</v>
      </c>
      <c r="T87" s="9">
        <v>0</v>
      </c>
      <c r="U87" s="9">
        <v>4717531.5725570414</v>
      </c>
      <c r="V87" s="9">
        <v>4342062</v>
      </c>
      <c r="W87" s="9">
        <v>598324</v>
      </c>
      <c r="X87" s="9">
        <v>3212</v>
      </c>
      <c r="Y87" s="9">
        <v>48386</v>
      </c>
      <c r="Z87" s="9">
        <v>4590181.74</v>
      </c>
      <c r="AA87" s="9">
        <v>4311579</v>
      </c>
      <c r="AB87" s="9">
        <v>601536</v>
      </c>
      <c r="AC87" s="9">
        <v>4512264.4704399994</v>
      </c>
      <c r="AD87" s="9">
        <v>4166423</v>
      </c>
      <c r="AE87" s="9">
        <v>622456</v>
      </c>
      <c r="AF87" s="9">
        <v>4653466.1436000001</v>
      </c>
      <c r="AG87" s="9">
        <v>4299403</v>
      </c>
      <c r="AH87" s="9">
        <v>635731</v>
      </c>
      <c r="AI87" s="9">
        <v>4528034.3919200003</v>
      </c>
      <c r="AJ87" s="9">
        <v>4059051</v>
      </c>
      <c r="AK87" s="28">
        <v>690567</v>
      </c>
      <c r="AL87" s="9">
        <v>4322776.7936200006</v>
      </c>
      <c r="AM87" s="9">
        <v>3814498</v>
      </c>
      <c r="AN87" s="28">
        <v>702567</v>
      </c>
      <c r="AO87" s="9">
        <v>4235362.0299200006</v>
      </c>
      <c r="AP87" s="9">
        <v>3546655</v>
      </c>
      <c r="AQ87" s="28">
        <v>728362</v>
      </c>
      <c r="AR87" s="9">
        <v>4468986.3633566014</v>
      </c>
      <c r="AS87" s="9">
        <v>3701130</v>
      </c>
      <c r="AT87" s="28">
        <v>767856</v>
      </c>
      <c r="AU87" s="9">
        <v>4640414.5082099997</v>
      </c>
      <c r="AV87" s="9">
        <v>3828342</v>
      </c>
      <c r="AW87" s="9">
        <v>812073</v>
      </c>
      <c r="AX87" s="9">
        <v>4873658.0694900909</v>
      </c>
      <c r="AY87" s="9">
        <v>4020768</v>
      </c>
      <c r="AZ87" s="28">
        <v>853856</v>
      </c>
      <c r="BA87" s="9">
        <v>4983216.4504999993</v>
      </c>
      <c r="BB87" s="9">
        <v>4111154</v>
      </c>
      <c r="BC87" s="9">
        <v>872062</v>
      </c>
      <c r="BD87" s="9">
        <v>4983017.6314199995</v>
      </c>
      <c r="BE87" s="9">
        <v>4110989</v>
      </c>
      <c r="BF87" s="9">
        <v>886342</v>
      </c>
      <c r="BG87" s="9">
        <v>5377259.1472499995</v>
      </c>
      <c r="BH87" s="9">
        <v>4436239</v>
      </c>
      <c r="BI87" s="9">
        <v>941020</v>
      </c>
      <c r="BJ87" s="9">
        <v>5901407.9242000002</v>
      </c>
      <c r="BK87" s="9">
        <v>4868661</v>
      </c>
      <c r="BL87" s="9">
        <v>1032747</v>
      </c>
      <c r="BM87" s="9"/>
      <c r="BN87" s="9"/>
      <c r="BO87" s="9"/>
      <c r="BP87" s="9"/>
      <c r="BQ87" s="9"/>
      <c r="BR87" s="9"/>
      <c r="BS87" s="9"/>
      <c r="BT87" s="9"/>
      <c r="BU87" s="9"/>
    </row>
    <row r="88" spans="1:73">
      <c r="A88" s="6">
        <v>79</v>
      </c>
      <c r="B88" s="6" t="s">
        <v>1198</v>
      </c>
      <c r="C88" s="421">
        <v>43.38</v>
      </c>
      <c r="D88" s="9">
        <v>29756497</v>
      </c>
      <c r="E88" s="33">
        <v>15882927</v>
      </c>
      <c r="F88" s="9">
        <v>14241936.999999998</v>
      </c>
      <c r="G88" s="9">
        <v>31544589.330080003</v>
      </c>
      <c r="H88" s="9">
        <v>16574636</v>
      </c>
      <c r="I88" s="9">
        <v>15009207</v>
      </c>
      <c r="J88" s="9">
        <v>33257290.873810038</v>
      </c>
      <c r="K88" s="9">
        <v>17250683</v>
      </c>
      <c r="L88" s="9">
        <v>16006608</v>
      </c>
      <c r="M88" s="9">
        <v>35284541.199999996</v>
      </c>
      <c r="N88" s="9">
        <v>17874077</v>
      </c>
      <c r="O88" s="9">
        <v>15579505</v>
      </c>
      <c r="P88" s="9">
        <v>1830959</v>
      </c>
      <c r="Q88" s="9">
        <v>36242185.987368427</v>
      </c>
      <c r="R88" s="9">
        <v>17529513</v>
      </c>
      <c r="S88" s="9">
        <v>17062255</v>
      </c>
      <c r="T88" s="9">
        <v>1650418</v>
      </c>
      <c r="U88" s="9">
        <v>34827941.444459997</v>
      </c>
      <c r="V88" s="9">
        <v>17559786</v>
      </c>
      <c r="W88" s="9">
        <v>17619480</v>
      </c>
      <c r="X88" s="9">
        <v>94589</v>
      </c>
      <c r="Y88" s="9">
        <v>1101079</v>
      </c>
      <c r="Z88" s="9">
        <v>35260306.700000003</v>
      </c>
      <c r="AA88" s="9">
        <v>17528088</v>
      </c>
      <c r="AB88" s="9">
        <v>17732219</v>
      </c>
      <c r="AC88" s="9">
        <v>36135215.210000008</v>
      </c>
      <c r="AD88" s="9">
        <v>18026125</v>
      </c>
      <c r="AE88" s="9">
        <v>18109090</v>
      </c>
      <c r="AF88" s="9">
        <v>37152939.319999993</v>
      </c>
      <c r="AG88" s="9">
        <v>18540729</v>
      </c>
      <c r="AH88" s="9">
        <f>18612210+50532</f>
        <v>18662742</v>
      </c>
      <c r="AI88" s="9">
        <v>37334953.579999998</v>
      </c>
      <c r="AJ88" s="9">
        <v>19220889</v>
      </c>
      <c r="AK88" s="28">
        <v>18761667</v>
      </c>
      <c r="AL88" s="9">
        <v>37644250.119999997</v>
      </c>
      <c r="AM88" s="9">
        <v>20168359</v>
      </c>
      <c r="AN88" s="28">
        <v>18858492</v>
      </c>
      <c r="AO88" s="9">
        <v>37207996.850000001</v>
      </c>
      <c r="AP88" s="9">
        <v>20566818</v>
      </c>
      <c r="AQ88" s="28">
        <v>19068977</v>
      </c>
      <c r="AR88" s="9">
        <v>37300000.771409988</v>
      </c>
      <c r="AS88" s="9">
        <v>20889283</v>
      </c>
      <c r="AT88" s="28">
        <v>19182047</v>
      </c>
      <c r="AU88" s="9">
        <v>39508798.249999993</v>
      </c>
      <c r="AV88" s="9">
        <v>21923341</v>
      </c>
      <c r="AW88" s="9">
        <v>19297217</v>
      </c>
      <c r="AX88" s="9">
        <v>41837070.949357763</v>
      </c>
      <c r="AY88" s="9">
        <v>23013126</v>
      </c>
      <c r="AZ88" s="28">
        <v>19413857</v>
      </c>
      <c r="BA88" s="9">
        <v>44096709.129999995</v>
      </c>
      <c r="BB88" s="9">
        <v>23979412</v>
      </c>
      <c r="BC88" s="9">
        <v>20128364</v>
      </c>
      <c r="BD88" s="9">
        <v>46058563.059999995</v>
      </c>
      <c r="BE88" s="9">
        <v>25045152</v>
      </c>
      <c r="BF88" s="9">
        <v>21013411</v>
      </c>
      <c r="BG88" s="9">
        <v>50418700.75</v>
      </c>
      <c r="BH88" s="9">
        <v>26100541</v>
      </c>
      <c r="BI88" s="9">
        <v>24318160</v>
      </c>
      <c r="BJ88" s="9">
        <v>54539267.460000008</v>
      </c>
      <c r="BK88" s="9">
        <v>27369124</v>
      </c>
      <c r="BL88" s="9">
        <v>27170143</v>
      </c>
      <c r="BM88" s="9"/>
      <c r="BN88" s="9"/>
      <c r="BO88" s="9"/>
      <c r="BP88" s="9"/>
      <c r="BQ88" s="9"/>
      <c r="BR88" s="9"/>
      <c r="BS88" s="9"/>
      <c r="BT88" s="9"/>
      <c r="BU88" s="9"/>
    </row>
    <row r="89" spans="1:73">
      <c r="A89" s="6">
        <v>80</v>
      </c>
      <c r="B89" s="6" t="s">
        <v>1199</v>
      </c>
      <c r="C89" s="421">
        <v>55.49</v>
      </c>
      <c r="D89" s="9">
        <v>0</v>
      </c>
      <c r="E89" s="33">
        <v>0</v>
      </c>
      <c r="F89" s="9">
        <v>0</v>
      </c>
      <c r="G89" s="9">
        <v>0</v>
      </c>
      <c r="H89" s="9">
        <v>0</v>
      </c>
      <c r="I89" s="9">
        <v>0</v>
      </c>
      <c r="J89" s="9">
        <v>0</v>
      </c>
      <c r="K89" s="9">
        <v>0</v>
      </c>
      <c r="L89" s="9">
        <v>0</v>
      </c>
      <c r="M89" s="9">
        <v>0</v>
      </c>
      <c r="N89" s="9">
        <v>0</v>
      </c>
      <c r="O89" s="9">
        <v>0</v>
      </c>
      <c r="P89" s="9">
        <v>0</v>
      </c>
      <c r="Q89" s="9">
        <v>0</v>
      </c>
      <c r="R89" s="9">
        <v>0</v>
      </c>
      <c r="S89" s="9">
        <v>0</v>
      </c>
      <c r="T89" s="9">
        <v>0</v>
      </c>
      <c r="U89" s="9">
        <v>0</v>
      </c>
      <c r="V89" s="9">
        <v>0</v>
      </c>
      <c r="W89" s="9">
        <v>0</v>
      </c>
      <c r="X89" s="9">
        <v>0</v>
      </c>
      <c r="Y89" s="9">
        <v>0</v>
      </c>
      <c r="Z89" s="9">
        <v>0</v>
      </c>
      <c r="AA89" s="9">
        <v>0</v>
      </c>
      <c r="AB89" s="9">
        <v>0</v>
      </c>
      <c r="AC89" s="9">
        <v>0</v>
      </c>
      <c r="AD89" s="9">
        <v>0</v>
      </c>
      <c r="AE89" s="9">
        <v>0</v>
      </c>
      <c r="AF89" s="9">
        <v>12894.02</v>
      </c>
      <c r="AG89" s="9">
        <v>3632</v>
      </c>
      <c r="AH89" s="9">
        <v>9262</v>
      </c>
      <c r="AI89" s="9">
        <v>13004.9</v>
      </c>
      <c r="AJ89" s="9">
        <v>3770</v>
      </c>
      <c r="AK89" s="28">
        <v>9262</v>
      </c>
      <c r="AL89" s="9">
        <v>13199.960000000001</v>
      </c>
      <c r="AM89" s="9">
        <v>3905</v>
      </c>
      <c r="AN89" s="28">
        <v>9295</v>
      </c>
      <c r="AO89" s="9">
        <v>26341.840000000004</v>
      </c>
      <c r="AP89" s="9">
        <v>8192</v>
      </c>
      <c r="AQ89" s="28">
        <v>18150</v>
      </c>
      <c r="AR89" s="9">
        <v>26833.666687179095</v>
      </c>
      <c r="AS89" s="9">
        <v>8759</v>
      </c>
      <c r="AT89" s="28">
        <v>18150</v>
      </c>
      <c r="AU89" s="9">
        <v>27674.32</v>
      </c>
      <c r="AV89" s="9">
        <v>9399</v>
      </c>
      <c r="AW89" s="9">
        <v>18275</v>
      </c>
      <c r="AX89" s="9">
        <v>14371.797255353356</v>
      </c>
      <c r="AY89" s="9">
        <v>4870</v>
      </c>
      <c r="AZ89" s="28">
        <v>14383</v>
      </c>
      <c r="BA89" s="9">
        <v>0</v>
      </c>
      <c r="BB89" s="9">
        <v>0</v>
      </c>
      <c r="BC89" s="9">
        <v>0</v>
      </c>
      <c r="BD89" s="9">
        <v>0</v>
      </c>
      <c r="BE89" s="9">
        <v>0</v>
      </c>
      <c r="BF89" s="9">
        <v>0</v>
      </c>
      <c r="BG89" s="9">
        <v>0</v>
      </c>
      <c r="BH89" s="9">
        <v>0</v>
      </c>
      <c r="BI89" s="9">
        <v>0</v>
      </c>
      <c r="BJ89" s="9">
        <v>16490.760000000002</v>
      </c>
      <c r="BK89" s="9">
        <v>5890</v>
      </c>
      <c r="BL89" s="9">
        <v>10601</v>
      </c>
      <c r="BM89" s="9"/>
      <c r="BN89" s="9"/>
      <c r="BO89" s="9"/>
      <c r="BP89" s="9"/>
      <c r="BQ89" s="9"/>
      <c r="BR89" s="9"/>
      <c r="BS89" s="9"/>
      <c r="BT89" s="9"/>
      <c r="BU89" s="9"/>
    </row>
    <row r="90" spans="1:73">
      <c r="A90" s="6">
        <v>81</v>
      </c>
      <c r="B90" s="6" t="s">
        <v>1200</v>
      </c>
      <c r="C90" s="421">
        <v>17.5</v>
      </c>
      <c r="D90" s="9">
        <v>0</v>
      </c>
      <c r="E90" s="33">
        <v>0</v>
      </c>
      <c r="F90" s="9">
        <v>0</v>
      </c>
      <c r="G90" s="9">
        <v>0</v>
      </c>
      <c r="H90" s="9">
        <v>0</v>
      </c>
      <c r="I90" s="9">
        <v>0</v>
      </c>
      <c r="J90" s="9">
        <v>0</v>
      </c>
      <c r="K90" s="9">
        <v>0</v>
      </c>
      <c r="L90" s="9">
        <v>0</v>
      </c>
      <c r="M90" s="9">
        <v>0</v>
      </c>
      <c r="N90" s="9">
        <v>0</v>
      </c>
      <c r="O90" s="9">
        <v>0</v>
      </c>
      <c r="P90" s="9">
        <v>0</v>
      </c>
      <c r="Q90" s="9">
        <v>12306.57500478469</v>
      </c>
      <c r="R90" s="9">
        <v>8124</v>
      </c>
      <c r="S90" s="9">
        <v>0</v>
      </c>
      <c r="T90" s="9">
        <v>4183</v>
      </c>
      <c r="U90" s="9">
        <v>12035.81568</v>
      </c>
      <c r="V90" s="9">
        <v>7678</v>
      </c>
      <c r="W90" s="9">
        <v>4358</v>
      </c>
      <c r="X90" s="9">
        <v>0</v>
      </c>
      <c r="Y90" s="9">
        <v>0</v>
      </c>
      <c r="Z90" s="9">
        <v>12250.07</v>
      </c>
      <c r="AA90" s="9">
        <v>7858</v>
      </c>
      <c r="AB90" s="9">
        <v>4392</v>
      </c>
      <c r="AC90" s="9">
        <v>12697.210000000001</v>
      </c>
      <c r="AD90" s="9">
        <v>8271</v>
      </c>
      <c r="AE90" s="9">
        <v>4426</v>
      </c>
      <c r="AF90" s="9">
        <v>0</v>
      </c>
      <c r="AG90" s="9">
        <v>0</v>
      </c>
      <c r="AH90" s="9">
        <v>0</v>
      </c>
      <c r="AI90" s="9">
        <v>0</v>
      </c>
      <c r="AJ90" s="9">
        <v>0</v>
      </c>
      <c r="AK90" s="28">
        <v>0</v>
      </c>
      <c r="AL90" s="9">
        <v>13199.960000000001</v>
      </c>
      <c r="AM90" s="9">
        <v>10239</v>
      </c>
      <c r="AN90" s="28">
        <v>2961</v>
      </c>
      <c r="AO90" s="9">
        <v>13170.920000000002</v>
      </c>
      <c r="AP90" s="9">
        <v>10950</v>
      </c>
      <c r="AQ90" s="28">
        <v>2961</v>
      </c>
      <c r="AR90" s="9">
        <v>13416.833343589547</v>
      </c>
      <c r="AS90" s="9">
        <v>11048</v>
      </c>
      <c r="AT90" s="28">
        <v>2961</v>
      </c>
      <c r="AU90" s="9">
        <v>13837.16</v>
      </c>
      <c r="AV90" s="9">
        <v>10927</v>
      </c>
      <c r="AW90" s="9">
        <v>2961</v>
      </c>
      <c r="AX90" s="9">
        <v>0</v>
      </c>
      <c r="AY90" s="9">
        <v>0</v>
      </c>
      <c r="AZ90" s="28">
        <v>0</v>
      </c>
      <c r="BA90" s="9">
        <v>0</v>
      </c>
      <c r="BB90" s="9">
        <v>0</v>
      </c>
      <c r="BC90" s="9">
        <v>0</v>
      </c>
      <c r="BD90" s="9">
        <v>0</v>
      </c>
      <c r="BE90" s="9">
        <v>0</v>
      </c>
      <c r="BF90" s="9">
        <v>0</v>
      </c>
      <c r="BG90" s="9">
        <v>0</v>
      </c>
      <c r="BH90" s="9">
        <v>0</v>
      </c>
      <c r="BI90" s="9">
        <v>0</v>
      </c>
      <c r="BJ90" s="9">
        <v>0</v>
      </c>
      <c r="BK90" s="9">
        <v>0</v>
      </c>
      <c r="BL90" s="9">
        <v>0</v>
      </c>
      <c r="BM90" s="9"/>
      <c r="BN90" s="9"/>
      <c r="BO90" s="9"/>
      <c r="BP90" s="9"/>
      <c r="BQ90" s="9"/>
      <c r="BR90" s="9"/>
      <c r="BS90" s="9"/>
      <c r="BT90" s="9"/>
      <c r="BU90" s="9"/>
    </row>
    <row r="91" spans="1:73">
      <c r="A91" s="6">
        <v>82</v>
      </c>
      <c r="B91" s="6" t="s">
        <v>1201</v>
      </c>
      <c r="C91" s="421">
        <v>17.5</v>
      </c>
      <c r="D91" s="9">
        <v>22544989</v>
      </c>
      <c r="E91" s="33">
        <v>21198757</v>
      </c>
      <c r="F91" s="9">
        <v>2814514.4</v>
      </c>
      <c r="G91" s="9">
        <v>24332599.68414</v>
      </c>
      <c r="H91" s="9">
        <v>21799788</v>
      </c>
      <c r="I91" s="9">
        <v>3127346.4</v>
      </c>
      <c r="J91" s="9">
        <v>25877873.382828854</v>
      </c>
      <c r="K91" s="9">
        <v>22471945</v>
      </c>
      <c r="L91" s="9">
        <v>3547730.4</v>
      </c>
      <c r="M91" s="9">
        <v>27351540.51557</v>
      </c>
      <c r="N91" s="9">
        <v>23010054</v>
      </c>
      <c r="O91" s="9">
        <v>3884918</v>
      </c>
      <c r="P91" s="9">
        <v>456569</v>
      </c>
      <c r="Q91" s="9">
        <v>28050327.867297076</v>
      </c>
      <c r="R91" s="9">
        <v>23415077</v>
      </c>
      <c r="S91" s="9">
        <v>4254657</v>
      </c>
      <c r="T91" s="9">
        <v>380594</v>
      </c>
      <c r="U91" s="9">
        <v>26964189.833086807</v>
      </c>
      <c r="V91" s="9">
        <v>23687032</v>
      </c>
      <c r="W91" s="9">
        <v>4364460</v>
      </c>
      <c r="X91" s="9">
        <v>23430</v>
      </c>
      <c r="Y91" s="9">
        <v>327711</v>
      </c>
      <c r="Z91" s="9">
        <v>26802911.094560001</v>
      </c>
      <c r="AA91" s="9">
        <v>23914065</v>
      </c>
      <c r="AB91" s="9">
        <v>4387890</v>
      </c>
      <c r="AC91" s="9">
        <v>27796890.404080003</v>
      </c>
      <c r="AD91" s="9">
        <v>24315649</v>
      </c>
      <c r="AE91" s="9">
        <v>4513610</v>
      </c>
      <c r="AF91" s="9">
        <v>28443468.301800001</v>
      </c>
      <c r="AG91" s="9">
        <v>24930173</v>
      </c>
      <c r="AH91" s="9">
        <v>4629609.23820375</v>
      </c>
      <c r="AI91" s="9">
        <v>28945039.577839997</v>
      </c>
      <c r="AJ91" s="9">
        <v>24862384</v>
      </c>
      <c r="AK91" s="28">
        <v>4782129.23820375</v>
      </c>
      <c r="AL91" s="9">
        <v>29322453.03464001</v>
      </c>
      <c r="AM91" s="9">
        <v>24866076</v>
      </c>
      <c r="AN91" s="28">
        <v>4860479.23820375</v>
      </c>
      <c r="AO91" s="9">
        <v>29421665.884350002</v>
      </c>
      <c r="AP91" s="9">
        <v>24493520</v>
      </c>
      <c r="AQ91" s="28">
        <v>5031584.23820375</v>
      </c>
      <c r="AR91" s="9">
        <v>29298212.848171137</v>
      </c>
      <c r="AS91" s="9">
        <v>24357911</v>
      </c>
      <c r="AT91" s="28">
        <v>5122424.23820375</v>
      </c>
      <c r="AU91" s="9">
        <v>30016424.79888</v>
      </c>
      <c r="AV91" s="9">
        <v>24763550</v>
      </c>
      <c r="AW91" s="9">
        <v>5252875</v>
      </c>
      <c r="AX91" s="9">
        <v>30413600.834905829</v>
      </c>
      <c r="AY91" s="9">
        <v>25091221</v>
      </c>
      <c r="AZ91" s="28">
        <v>5340535</v>
      </c>
      <c r="BA91" s="9">
        <v>30754555.552399997</v>
      </c>
      <c r="BB91" s="9">
        <v>25372508</v>
      </c>
      <c r="BC91" s="9">
        <v>5382048</v>
      </c>
      <c r="BD91" s="9">
        <v>29901986.556480002</v>
      </c>
      <c r="BE91" s="9">
        <v>24669139</v>
      </c>
      <c r="BF91" s="9">
        <v>5463948</v>
      </c>
      <c r="BG91" s="9">
        <v>31970862.733219996</v>
      </c>
      <c r="BH91" s="9">
        <v>25660838</v>
      </c>
      <c r="BI91" s="9">
        <v>6310025</v>
      </c>
      <c r="BJ91" s="9">
        <v>33659011.201460004</v>
      </c>
      <c r="BK91" s="9">
        <v>26987503</v>
      </c>
      <c r="BL91" s="9">
        <v>6671508</v>
      </c>
      <c r="BM91" s="9"/>
      <c r="BN91" s="9"/>
      <c r="BO91" s="9"/>
      <c r="BP91" s="9"/>
      <c r="BQ91" s="9"/>
      <c r="BR91" s="9"/>
      <c r="BS91" s="9"/>
      <c r="BT91" s="9"/>
      <c r="BU91" s="9"/>
    </row>
    <row r="92" spans="1:73">
      <c r="A92" s="6">
        <v>83</v>
      </c>
      <c r="B92" s="6" t="s">
        <v>1202</v>
      </c>
      <c r="C92" s="421">
        <v>42.37</v>
      </c>
      <c r="D92" s="9">
        <v>17015111</v>
      </c>
      <c r="E92" s="33">
        <v>7598854</v>
      </c>
      <c r="F92" s="9">
        <v>9416257</v>
      </c>
      <c r="G92" s="9">
        <v>18126132.039999999</v>
      </c>
      <c r="H92" s="9">
        <v>8088898</v>
      </c>
      <c r="I92" s="9">
        <v>10037234</v>
      </c>
      <c r="J92" s="9">
        <v>18786648.513602465</v>
      </c>
      <c r="K92" s="9">
        <v>8685044</v>
      </c>
      <c r="L92" s="9">
        <v>10382618</v>
      </c>
      <c r="M92" s="9">
        <v>19759944.039999999</v>
      </c>
      <c r="N92" s="9">
        <v>9220450</v>
      </c>
      <c r="O92" s="9">
        <v>9750332</v>
      </c>
      <c r="P92" s="9">
        <v>1145894</v>
      </c>
      <c r="Q92" s="9">
        <v>19857784.98755981</v>
      </c>
      <c r="R92" s="9">
        <v>9205039</v>
      </c>
      <c r="S92" s="9">
        <v>10678301</v>
      </c>
      <c r="T92" s="9">
        <v>0</v>
      </c>
      <c r="U92" s="9">
        <v>19438423.617059994</v>
      </c>
      <c r="V92" s="9">
        <v>9401494</v>
      </c>
      <c r="W92" s="9">
        <v>10054475</v>
      </c>
      <c r="X92" s="9">
        <v>53977</v>
      </c>
      <c r="Y92" s="9">
        <v>626999</v>
      </c>
      <c r="Z92" s="9">
        <v>19386079.859999999</v>
      </c>
      <c r="AA92" s="9">
        <v>9557760</v>
      </c>
      <c r="AB92" s="9">
        <v>10108452</v>
      </c>
      <c r="AC92" s="9">
        <v>19766953.350000001</v>
      </c>
      <c r="AD92" s="9">
        <v>9774113</v>
      </c>
      <c r="AE92" s="9">
        <v>10196332</v>
      </c>
      <c r="AF92" s="9">
        <v>20120825.100000001</v>
      </c>
      <c r="AG92" s="9">
        <v>10170405</v>
      </c>
      <c r="AH92" s="9">
        <v>10251257</v>
      </c>
      <c r="AI92" s="9">
        <v>20492729.260000002</v>
      </c>
      <c r="AJ92" s="9">
        <v>10728557</v>
      </c>
      <c r="AK92" s="28">
        <v>10306507</v>
      </c>
      <c r="AL92" s="9">
        <v>20764631.130000003</v>
      </c>
      <c r="AM92" s="9">
        <v>11106385</v>
      </c>
      <c r="AN92" s="28">
        <v>10361132</v>
      </c>
      <c r="AO92" s="9">
        <v>20397715.370000001</v>
      </c>
      <c r="AP92" s="9">
        <v>11201362</v>
      </c>
      <c r="AQ92" s="28">
        <v>10479107</v>
      </c>
      <c r="AR92" s="9">
        <v>21105299.528073356</v>
      </c>
      <c r="AS92" s="9">
        <v>11373002</v>
      </c>
      <c r="AT92" s="28">
        <v>10543697</v>
      </c>
      <c r="AU92" s="9">
        <v>22148437.780000001</v>
      </c>
      <c r="AV92" s="9">
        <v>11682386</v>
      </c>
      <c r="AW92" s="9">
        <v>10609367</v>
      </c>
      <c r="AX92" s="9">
        <v>23021485.869153682</v>
      </c>
      <c r="AY92" s="9">
        <v>12183037</v>
      </c>
      <c r="AZ92" s="28">
        <v>10847253</v>
      </c>
      <c r="BA92" s="9">
        <v>23574021.350000001</v>
      </c>
      <c r="BB92" s="9">
        <v>12580578</v>
      </c>
      <c r="BC92" s="9">
        <v>10995125</v>
      </c>
      <c r="BD92" s="9">
        <v>23394636.07</v>
      </c>
      <c r="BE92" s="9">
        <v>12898727</v>
      </c>
      <c r="BF92" s="9">
        <v>11057135</v>
      </c>
      <c r="BG92" s="9">
        <v>25682682.969999995</v>
      </c>
      <c r="BH92" s="9">
        <v>13482733</v>
      </c>
      <c r="BI92" s="9">
        <v>12199950</v>
      </c>
      <c r="BJ92" s="9">
        <v>26867274.059999999</v>
      </c>
      <c r="BK92" s="9">
        <v>13993957</v>
      </c>
      <c r="BL92" s="9">
        <v>12873317</v>
      </c>
      <c r="BM92" s="9"/>
      <c r="BN92" s="9"/>
      <c r="BO92" s="9"/>
      <c r="BP92" s="9"/>
      <c r="BQ92" s="9"/>
      <c r="BR92" s="9"/>
      <c r="BS92" s="9"/>
      <c r="BT92" s="9"/>
      <c r="BU92" s="9"/>
    </row>
    <row r="93" spans="1:73">
      <c r="A93" s="6">
        <v>84</v>
      </c>
      <c r="B93" s="6" t="s">
        <v>1203</v>
      </c>
      <c r="C93" s="421">
        <v>42.06</v>
      </c>
      <c r="D93" s="9">
        <v>176413</v>
      </c>
      <c r="E93" s="33">
        <v>103434</v>
      </c>
      <c r="F93" s="9">
        <v>72979</v>
      </c>
      <c r="G93" s="9">
        <v>172717.17</v>
      </c>
      <c r="H93" s="9">
        <v>67453</v>
      </c>
      <c r="I93" s="9">
        <v>105264</v>
      </c>
      <c r="J93" s="9">
        <v>102197.43</v>
      </c>
      <c r="K93" s="9">
        <v>29983</v>
      </c>
      <c r="L93" s="9">
        <v>102197.43</v>
      </c>
      <c r="M93" s="9">
        <v>95547.92</v>
      </c>
      <c r="N93" s="9">
        <v>28245</v>
      </c>
      <c r="O93" s="9">
        <v>95547.92</v>
      </c>
      <c r="P93" s="9">
        <v>0</v>
      </c>
      <c r="Q93" s="9">
        <v>86146.025033492828</v>
      </c>
      <c r="R93" s="9">
        <v>25739</v>
      </c>
      <c r="S93" s="9">
        <v>93637</v>
      </c>
      <c r="T93" s="9">
        <v>0</v>
      </c>
      <c r="U93" s="9">
        <v>60179.078399999999</v>
      </c>
      <c r="V93" s="9">
        <v>19896</v>
      </c>
      <c r="W93" s="9">
        <v>60179.078399999999</v>
      </c>
      <c r="X93" s="9">
        <v>0</v>
      </c>
      <c r="Y93" s="9">
        <v>0</v>
      </c>
      <c r="Z93" s="9">
        <v>110250.63</v>
      </c>
      <c r="AA93" s="9">
        <v>34586</v>
      </c>
      <c r="AB93" s="9">
        <v>75665</v>
      </c>
      <c r="AC93" s="9">
        <v>202128.46000000002</v>
      </c>
      <c r="AD93" s="9">
        <v>61700</v>
      </c>
      <c r="AE93" s="9">
        <v>140428</v>
      </c>
      <c r="AF93" s="9">
        <v>218155.53</v>
      </c>
      <c r="AG93" s="9">
        <v>71512</v>
      </c>
      <c r="AH93" s="9">
        <v>146644</v>
      </c>
      <c r="AI93" s="9">
        <v>285056.05</v>
      </c>
      <c r="AJ93" s="9">
        <v>99040</v>
      </c>
      <c r="AK93" s="28">
        <v>186016</v>
      </c>
      <c r="AL93" s="9">
        <v>276131.65999999997</v>
      </c>
      <c r="AM93" s="9">
        <v>108182</v>
      </c>
      <c r="AN93" s="28">
        <v>186016</v>
      </c>
      <c r="AO93" s="9">
        <v>275524.15999999997</v>
      </c>
      <c r="AP93" s="9">
        <v>112798</v>
      </c>
      <c r="AQ93" s="28">
        <v>186016</v>
      </c>
      <c r="AR93" s="9">
        <v>253717.84938542161</v>
      </c>
      <c r="AS93" s="9">
        <v>113257</v>
      </c>
      <c r="AT93" s="28">
        <v>186016</v>
      </c>
      <c r="AU93" s="9">
        <v>247698.99</v>
      </c>
      <c r="AV93" s="9">
        <v>118843</v>
      </c>
      <c r="AW93" s="9">
        <v>186016</v>
      </c>
      <c r="AX93" s="9">
        <v>328975.13449816412</v>
      </c>
      <c r="AY93" s="9">
        <v>163597</v>
      </c>
      <c r="AZ93" s="28">
        <v>186016</v>
      </c>
      <c r="BA93" s="9">
        <v>335521.82</v>
      </c>
      <c r="BB93" s="9">
        <v>162027</v>
      </c>
      <c r="BC93" s="9">
        <v>186016</v>
      </c>
      <c r="BD93" s="9">
        <v>357110.16</v>
      </c>
      <c r="BE93" s="9">
        <v>175397</v>
      </c>
      <c r="BF93" s="9">
        <v>186676</v>
      </c>
      <c r="BG93" s="9">
        <v>264885</v>
      </c>
      <c r="BH93" s="9">
        <v>139226</v>
      </c>
      <c r="BI93" s="9">
        <v>186676</v>
      </c>
      <c r="BJ93" s="9">
        <v>278132.51999999996</v>
      </c>
      <c r="BK93" s="9">
        <v>144480</v>
      </c>
      <c r="BL93" s="9">
        <v>186676</v>
      </c>
      <c r="BM93" s="9"/>
      <c r="BN93" s="9"/>
      <c r="BO93" s="9"/>
      <c r="BP93" s="9"/>
      <c r="BQ93" s="9"/>
      <c r="BR93" s="9"/>
      <c r="BS93" s="9"/>
      <c r="BT93" s="9"/>
      <c r="BU93" s="9"/>
    </row>
    <row r="94" spans="1:73">
      <c r="A94" s="6">
        <v>85</v>
      </c>
      <c r="B94" s="6" t="s">
        <v>1204</v>
      </c>
      <c r="C94" s="421">
        <v>17.5</v>
      </c>
      <c r="D94" s="9">
        <v>1507950</v>
      </c>
      <c r="E94" s="33">
        <v>2243267</v>
      </c>
      <c r="F94" s="9">
        <v>252703.6</v>
      </c>
      <c r="G94" s="9">
        <v>1616181.59</v>
      </c>
      <c r="H94" s="9">
        <v>1929935</v>
      </c>
      <c r="I94" s="9">
        <v>271644.59999999998</v>
      </c>
      <c r="J94" s="9">
        <v>1859265.36</v>
      </c>
      <c r="K94" s="9">
        <v>2013378</v>
      </c>
      <c r="L94" s="9">
        <v>314184.59999999998</v>
      </c>
      <c r="M94" s="9">
        <v>2009843.22</v>
      </c>
      <c r="N94" s="9">
        <v>2095073</v>
      </c>
      <c r="O94" s="9">
        <v>304723.59999999998</v>
      </c>
      <c r="P94" s="9">
        <v>35812</v>
      </c>
      <c r="Q94" s="9">
        <v>2013733.9113952154</v>
      </c>
      <c r="R94" s="9">
        <v>2116114</v>
      </c>
      <c r="S94" s="9">
        <v>333725</v>
      </c>
      <c r="T94" s="9">
        <v>0</v>
      </c>
      <c r="U94" s="9">
        <v>2017979.0678399999</v>
      </c>
      <c r="V94" s="9">
        <v>2078576</v>
      </c>
      <c r="W94" s="9">
        <v>314229</v>
      </c>
      <c r="X94" s="9">
        <v>1687</v>
      </c>
      <c r="Y94" s="9">
        <v>23709</v>
      </c>
      <c r="Z94" s="9">
        <v>1921167.55</v>
      </c>
      <c r="AA94" s="9">
        <v>1979180</v>
      </c>
      <c r="AB94" s="9">
        <v>315916</v>
      </c>
      <c r="AC94" s="9">
        <v>1990036.0999999999</v>
      </c>
      <c r="AD94" s="9">
        <v>1895355</v>
      </c>
      <c r="AE94" s="9">
        <v>324556</v>
      </c>
      <c r="AF94" s="9">
        <v>1954308.02</v>
      </c>
      <c r="AG94" s="9">
        <v>1817599</v>
      </c>
      <c r="AH94" s="9">
        <v>329806</v>
      </c>
      <c r="AI94" s="9">
        <v>1871143.94</v>
      </c>
      <c r="AJ94" s="9">
        <v>1673613</v>
      </c>
      <c r="AK94" s="28">
        <v>334856</v>
      </c>
      <c r="AL94" s="9">
        <v>1830657.57</v>
      </c>
      <c r="AM94" s="9">
        <v>1584800</v>
      </c>
      <c r="AN94" s="28">
        <v>339456</v>
      </c>
      <c r="AO94" s="9">
        <v>1797116.2700000003</v>
      </c>
      <c r="AP94" s="9">
        <v>1503602</v>
      </c>
      <c r="AQ94" s="28">
        <v>349191</v>
      </c>
      <c r="AR94" s="9">
        <v>1861930.3816340552</v>
      </c>
      <c r="AS94" s="9">
        <v>1558793</v>
      </c>
      <c r="AT94" s="28">
        <v>354681</v>
      </c>
      <c r="AU94" s="9">
        <v>1784959.9300000002</v>
      </c>
      <c r="AV94" s="9">
        <v>1472592</v>
      </c>
      <c r="AW94" s="9">
        <v>359871</v>
      </c>
      <c r="AX94" s="9">
        <v>1859186.0779373366</v>
      </c>
      <c r="AY94" s="9">
        <v>1533829</v>
      </c>
      <c r="AZ94" s="28">
        <v>364971</v>
      </c>
      <c r="BA94" s="9">
        <v>2151871.9300000002</v>
      </c>
      <c r="BB94" s="9">
        <v>1775294</v>
      </c>
      <c r="BC94" s="9">
        <v>376578</v>
      </c>
      <c r="BD94" s="9">
        <v>2320433.8899999997</v>
      </c>
      <c r="BE94" s="9">
        <v>1914358</v>
      </c>
      <c r="BF94" s="9">
        <v>406076</v>
      </c>
      <c r="BG94" s="9">
        <v>2709776.2300000004</v>
      </c>
      <c r="BH94" s="9">
        <v>2235566</v>
      </c>
      <c r="BI94" s="9">
        <v>474210</v>
      </c>
      <c r="BJ94" s="9">
        <v>2896212.01</v>
      </c>
      <c r="BK94" s="9">
        <v>2389375</v>
      </c>
      <c r="BL94" s="9">
        <v>506837</v>
      </c>
      <c r="BM94" s="9"/>
      <c r="BN94" s="9"/>
      <c r="BO94" s="9"/>
      <c r="BP94" s="9"/>
      <c r="BQ94" s="9"/>
      <c r="BR94" s="9"/>
      <c r="BS94" s="9"/>
      <c r="BT94" s="9"/>
      <c r="BU94" s="9"/>
    </row>
    <row r="95" spans="1:73">
      <c r="A95" s="6">
        <v>86</v>
      </c>
      <c r="B95" s="6" t="s">
        <v>1205</v>
      </c>
      <c r="C95" s="421">
        <v>33.08</v>
      </c>
      <c r="D95" s="9">
        <v>14379873</v>
      </c>
      <c r="E95" s="33">
        <v>7394800</v>
      </c>
      <c r="F95" s="9">
        <v>7061164</v>
      </c>
      <c r="G95" s="9">
        <v>14811911.220000003</v>
      </c>
      <c r="H95" s="9">
        <v>7910957</v>
      </c>
      <c r="I95" s="9">
        <v>7246465</v>
      </c>
      <c r="J95" s="9">
        <v>16177354.557884984</v>
      </c>
      <c r="K95" s="9">
        <v>8342895</v>
      </c>
      <c r="L95" s="9">
        <v>7856409</v>
      </c>
      <c r="M95" s="9">
        <v>16862713.349999998</v>
      </c>
      <c r="N95" s="9">
        <v>8754200</v>
      </c>
      <c r="O95" s="9">
        <v>7300531</v>
      </c>
      <c r="P95" s="9">
        <v>857984</v>
      </c>
      <c r="Q95" s="9">
        <v>17116009.975915793</v>
      </c>
      <c r="R95" s="9">
        <v>9909425</v>
      </c>
      <c r="S95" s="9">
        <v>7995345</v>
      </c>
      <c r="T95" s="9">
        <v>0</v>
      </c>
      <c r="U95" s="9">
        <v>16500250.305240002</v>
      </c>
      <c r="V95" s="9">
        <v>9949274</v>
      </c>
      <c r="W95" s="9">
        <v>7528257</v>
      </c>
      <c r="X95" s="9">
        <v>40415</v>
      </c>
      <c r="Y95" s="9">
        <v>471948</v>
      </c>
      <c r="Z95" s="9">
        <v>16577826.099999998</v>
      </c>
      <c r="AA95" s="9">
        <v>10194026</v>
      </c>
      <c r="AB95" s="9">
        <v>7568672</v>
      </c>
      <c r="AC95" s="9">
        <v>17510302.93</v>
      </c>
      <c r="AD95" s="9">
        <v>10521254</v>
      </c>
      <c r="AE95" s="9">
        <v>7641192</v>
      </c>
      <c r="AF95" s="9">
        <v>17991276.290000003</v>
      </c>
      <c r="AG95" s="9">
        <v>10956834</v>
      </c>
      <c r="AH95" s="9">
        <v>7687117</v>
      </c>
      <c r="AI95" s="9">
        <v>17813516.280000001</v>
      </c>
      <c r="AJ95" s="9">
        <v>11344349</v>
      </c>
      <c r="AK95" s="28">
        <v>7731667</v>
      </c>
      <c r="AL95" s="9">
        <v>18095294</v>
      </c>
      <c r="AM95" s="9">
        <v>11793004</v>
      </c>
      <c r="AN95" s="28">
        <v>7776017</v>
      </c>
      <c r="AO95" s="9">
        <v>18091522.210000005</v>
      </c>
      <c r="AP95" s="9">
        <v>11897561</v>
      </c>
      <c r="AQ95" s="28">
        <v>7873092</v>
      </c>
      <c r="AR95" s="9">
        <v>18534768.099589158</v>
      </c>
      <c r="AS95" s="9">
        <v>11761853</v>
      </c>
      <c r="AT95" s="28">
        <v>7926222</v>
      </c>
      <c r="AU95" s="9">
        <v>18672296.820000004</v>
      </c>
      <c r="AV95" s="9">
        <v>12132351</v>
      </c>
      <c r="AW95" s="9">
        <v>7977702</v>
      </c>
      <c r="AX95" s="9">
        <v>19700559.137801927</v>
      </c>
      <c r="AY95" s="9">
        <v>12320207</v>
      </c>
      <c r="AZ95" s="28">
        <v>8029692</v>
      </c>
      <c r="BA95" s="9">
        <v>20082994.249999996</v>
      </c>
      <c r="BB95" s="9">
        <v>12651233</v>
      </c>
      <c r="BC95" s="9">
        <v>8029692</v>
      </c>
      <c r="BD95" s="9">
        <v>19817458.09</v>
      </c>
      <c r="BE95" s="9">
        <v>12976004</v>
      </c>
      <c r="BF95" s="9">
        <v>8078592</v>
      </c>
      <c r="BG95" s="9">
        <v>21391869.32</v>
      </c>
      <c r="BH95" s="9">
        <v>13077217</v>
      </c>
      <c r="BI95" s="9">
        <v>8314652</v>
      </c>
      <c r="BJ95" s="9">
        <v>22559015.459999997</v>
      </c>
      <c r="BK95" s="9">
        <v>13894543</v>
      </c>
      <c r="BL95" s="9">
        <v>8664472</v>
      </c>
      <c r="BM95" s="9"/>
      <c r="BN95" s="9"/>
      <c r="BO95" s="9"/>
      <c r="BP95" s="9"/>
      <c r="BQ95" s="9"/>
      <c r="BR95" s="9"/>
      <c r="BS95" s="9"/>
      <c r="BT95" s="9"/>
      <c r="BU95" s="9"/>
    </row>
    <row r="96" spans="1:73">
      <c r="A96" s="6">
        <v>87</v>
      </c>
      <c r="B96" s="6" t="s">
        <v>1206</v>
      </c>
      <c r="C96" s="421">
        <v>40.01</v>
      </c>
      <c r="D96" s="9">
        <v>19356365</v>
      </c>
      <c r="E96" s="33">
        <v>16081730</v>
      </c>
      <c r="F96" s="9">
        <v>3415856.4</v>
      </c>
      <c r="G96" s="9">
        <v>20729712.940000001</v>
      </c>
      <c r="H96" s="9">
        <v>16113527</v>
      </c>
      <c r="I96" s="9">
        <v>4616186</v>
      </c>
      <c r="J96" s="9">
        <v>22100300.970615972</v>
      </c>
      <c r="K96" s="9">
        <v>15537297</v>
      </c>
      <c r="L96" s="9">
        <v>6563004</v>
      </c>
      <c r="M96" s="9">
        <v>23422159.73</v>
      </c>
      <c r="N96" s="9">
        <v>15098039</v>
      </c>
      <c r="O96" s="9">
        <v>7448721</v>
      </c>
      <c r="P96" s="9">
        <v>875400</v>
      </c>
      <c r="Q96" s="9">
        <v>24224414.35406699</v>
      </c>
      <c r="R96" s="9">
        <v>15193256</v>
      </c>
      <c r="S96" s="9">
        <v>8157639</v>
      </c>
      <c r="T96" s="9">
        <v>873519</v>
      </c>
      <c r="U96" s="9">
        <v>23669359.72518</v>
      </c>
      <c r="V96" s="9">
        <v>14824125</v>
      </c>
      <c r="W96" s="9">
        <v>8675518</v>
      </c>
      <c r="X96" s="9">
        <v>46574</v>
      </c>
      <c r="Y96" s="9">
        <v>379066</v>
      </c>
      <c r="Z96" s="9">
        <v>24105912.68</v>
      </c>
      <c r="AA96" s="9">
        <v>14975127</v>
      </c>
      <c r="AB96" s="9">
        <v>9130786</v>
      </c>
      <c r="AC96" s="9">
        <v>24771812.159999996</v>
      </c>
      <c r="AD96" s="9">
        <v>15279722</v>
      </c>
      <c r="AE96" s="9">
        <v>9767174.2199039999</v>
      </c>
      <c r="AF96" s="9">
        <v>24746375.960000001</v>
      </c>
      <c r="AG96" s="9">
        <v>15736133</v>
      </c>
      <c r="AH96" s="9">
        <v>9834624.2199039999</v>
      </c>
      <c r="AI96" s="9">
        <v>25028520.540000003</v>
      </c>
      <c r="AJ96" s="9">
        <v>15784772</v>
      </c>
      <c r="AK96" s="28">
        <v>9901624.2199039999</v>
      </c>
      <c r="AL96" s="9">
        <v>25486357.480000004</v>
      </c>
      <c r="AM96" s="9">
        <v>16206963</v>
      </c>
      <c r="AN96" s="28">
        <v>9967774.2199039999</v>
      </c>
      <c r="AO96" s="9">
        <v>26003641.129999999</v>
      </c>
      <c r="AP96" s="9">
        <v>15891476</v>
      </c>
      <c r="AQ96" s="28">
        <v>10115944.219904</v>
      </c>
      <c r="AR96" s="9">
        <v>26517601.927612852</v>
      </c>
      <c r="AS96" s="9">
        <v>15918988</v>
      </c>
      <c r="AT96" s="28">
        <v>10598614</v>
      </c>
      <c r="AU96" s="9">
        <v>27763311.460000001</v>
      </c>
      <c r="AV96" s="9">
        <v>16509582</v>
      </c>
      <c r="AW96" s="9">
        <v>11253729</v>
      </c>
      <c r="AX96" s="9">
        <v>28769862.744360216</v>
      </c>
      <c r="AY96" s="9">
        <v>16848895</v>
      </c>
      <c r="AZ96" s="28">
        <v>12102248</v>
      </c>
      <c r="BA96" s="9">
        <v>29030299.670000002</v>
      </c>
      <c r="BB96" s="9">
        <v>17494208</v>
      </c>
      <c r="BC96" s="9">
        <v>12102248</v>
      </c>
      <c r="BD96" s="9">
        <v>27993088.180000003</v>
      </c>
      <c r="BE96" s="9">
        <v>17190078</v>
      </c>
      <c r="BF96" s="9">
        <v>12175958</v>
      </c>
      <c r="BG96" s="9">
        <v>31009727.380000003</v>
      </c>
      <c r="BH96" s="9">
        <v>17979103</v>
      </c>
      <c r="BI96" s="9">
        <v>13030624</v>
      </c>
      <c r="BJ96" s="9">
        <v>33881345.879999995</v>
      </c>
      <c r="BK96" s="9">
        <v>18843898</v>
      </c>
      <c r="BL96" s="9">
        <v>15037448</v>
      </c>
      <c r="BM96" s="9"/>
      <c r="BN96" s="9"/>
      <c r="BO96" s="9"/>
      <c r="BP96" s="9"/>
      <c r="BQ96" s="9"/>
      <c r="BR96" s="9"/>
      <c r="BS96" s="9"/>
      <c r="BT96" s="9"/>
      <c r="BU96" s="9"/>
    </row>
    <row r="97" spans="1:73">
      <c r="A97" s="6">
        <v>88</v>
      </c>
      <c r="B97" s="6" t="s">
        <v>1207</v>
      </c>
      <c r="C97" s="421">
        <v>17.5</v>
      </c>
      <c r="D97" s="9">
        <v>25936350</v>
      </c>
      <c r="E97" s="33">
        <v>18495624</v>
      </c>
      <c r="F97" s="9">
        <v>7668206.9999999991</v>
      </c>
      <c r="G97" s="9">
        <v>27484649.059999999</v>
      </c>
      <c r="H97" s="9">
        <v>19567354</v>
      </c>
      <c r="I97" s="9">
        <v>8115511</v>
      </c>
      <c r="J97" s="9">
        <v>29177633.708206084</v>
      </c>
      <c r="K97" s="9">
        <v>20413260</v>
      </c>
      <c r="L97" s="9">
        <v>8764374</v>
      </c>
      <c r="M97" s="9">
        <v>30904576.539999995</v>
      </c>
      <c r="N97" s="9">
        <v>21110331</v>
      </c>
      <c r="O97" s="9">
        <v>8764241</v>
      </c>
      <c r="P97" s="9">
        <v>1030005</v>
      </c>
      <c r="Q97" s="9">
        <v>32240256.071471777</v>
      </c>
      <c r="R97" s="9">
        <v>22529505</v>
      </c>
      <c r="S97" s="9">
        <v>9598361</v>
      </c>
      <c r="T97" s="9">
        <v>112390</v>
      </c>
      <c r="U97" s="9">
        <v>31588230.077280004</v>
      </c>
      <c r="V97" s="9">
        <v>22880367</v>
      </c>
      <c r="W97" s="9">
        <v>9143450</v>
      </c>
      <c r="X97" s="9">
        <v>49086</v>
      </c>
      <c r="Y97" s="9">
        <v>613290</v>
      </c>
      <c r="Z97" s="9">
        <v>32076583.279999997</v>
      </c>
      <c r="AA97" s="9">
        <v>23438516</v>
      </c>
      <c r="AB97" s="9">
        <v>9192536</v>
      </c>
      <c r="AC97" s="9">
        <v>33281209.900000002</v>
      </c>
      <c r="AD97" s="9">
        <v>24208253</v>
      </c>
      <c r="AE97" s="9">
        <v>9343416</v>
      </c>
      <c r="AF97" s="9">
        <v>33673060.710000001</v>
      </c>
      <c r="AG97" s="9">
        <v>25085982</v>
      </c>
      <c r="AH97" s="9">
        <v>9437566</v>
      </c>
      <c r="AI97" s="9">
        <v>34368780.379999988</v>
      </c>
      <c r="AJ97" s="9">
        <v>25617334</v>
      </c>
      <c r="AK97" s="28">
        <v>9531741</v>
      </c>
      <c r="AL97" s="9">
        <v>34281775.100000001</v>
      </c>
      <c r="AM97" s="9">
        <v>26279966</v>
      </c>
      <c r="AN97" s="28">
        <v>9624016</v>
      </c>
      <c r="AO97" s="9">
        <v>34160203.240000002</v>
      </c>
      <c r="AP97" s="9">
        <v>25837978</v>
      </c>
      <c r="AQ97" s="28">
        <v>9823611</v>
      </c>
      <c r="AR97" s="9">
        <v>34946347.827118024</v>
      </c>
      <c r="AS97" s="9">
        <v>26650276</v>
      </c>
      <c r="AT97" s="28">
        <v>9933051</v>
      </c>
      <c r="AU97" s="9">
        <v>36092236.609999999</v>
      </c>
      <c r="AV97" s="9">
        <v>27619276</v>
      </c>
      <c r="AW97" s="9">
        <v>10041681</v>
      </c>
      <c r="AX97" s="9">
        <v>37265050.035474405</v>
      </c>
      <c r="AY97" s="9">
        <v>28602736</v>
      </c>
      <c r="AZ97" s="28">
        <v>10148451</v>
      </c>
      <c r="BA97" s="9">
        <v>37563612.82</v>
      </c>
      <c r="BB97" s="9">
        <v>29384825</v>
      </c>
      <c r="BC97" s="9">
        <v>10148451</v>
      </c>
      <c r="BD97" s="9">
        <v>37338104.880000003</v>
      </c>
      <c r="BE97" s="9">
        <v>30163362</v>
      </c>
      <c r="BF97" s="9">
        <v>10249641</v>
      </c>
      <c r="BG97" s="9">
        <v>39647570.750000007</v>
      </c>
      <c r="BH97" s="9">
        <v>31564199</v>
      </c>
      <c r="BI97" s="9">
        <v>10450341</v>
      </c>
      <c r="BJ97" s="9">
        <v>43192301.489999995</v>
      </c>
      <c r="BK97" s="9">
        <v>33376275</v>
      </c>
      <c r="BL97" s="9">
        <v>10655421</v>
      </c>
      <c r="BM97" s="9"/>
      <c r="BN97" s="9"/>
      <c r="BO97" s="9"/>
      <c r="BP97" s="9"/>
      <c r="BQ97" s="9"/>
      <c r="BR97" s="9"/>
      <c r="BS97" s="9"/>
      <c r="BT97" s="9"/>
      <c r="BU97" s="9"/>
    </row>
    <row r="98" spans="1:73">
      <c r="A98" s="6">
        <v>89</v>
      </c>
      <c r="B98" s="6" t="s">
        <v>1208</v>
      </c>
      <c r="C98" s="421">
        <v>17.5</v>
      </c>
      <c r="D98" s="9">
        <v>2906462</v>
      </c>
      <c r="E98" s="33">
        <v>3581665</v>
      </c>
      <c r="F98" s="9">
        <v>343128.4</v>
      </c>
      <c r="G98" s="9">
        <v>3005078.93</v>
      </c>
      <c r="H98" s="9">
        <v>3288955</v>
      </c>
      <c r="I98" s="9">
        <v>379680.4</v>
      </c>
      <c r="J98" s="9">
        <v>2849766.471590891</v>
      </c>
      <c r="K98" s="9">
        <v>3031703</v>
      </c>
      <c r="L98" s="9">
        <v>415389.4</v>
      </c>
      <c r="M98" s="9">
        <v>3070457.61</v>
      </c>
      <c r="N98" s="9">
        <v>3082373</v>
      </c>
      <c r="O98" s="9">
        <v>407713.4</v>
      </c>
      <c r="P98" s="9">
        <v>47916</v>
      </c>
      <c r="Q98" s="9">
        <v>3245618.0710277515</v>
      </c>
      <c r="R98" s="9">
        <v>3016515</v>
      </c>
      <c r="S98" s="9">
        <v>446517</v>
      </c>
      <c r="T98" s="9">
        <v>0</v>
      </c>
      <c r="U98" s="9">
        <v>3164477.4653399996</v>
      </c>
      <c r="V98" s="9">
        <v>3012929</v>
      </c>
      <c r="W98" s="9">
        <v>420431</v>
      </c>
      <c r="X98" s="9">
        <v>2257</v>
      </c>
      <c r="Y98" s="9">
        <v>33529</v>
      </c>
      <c r="Z98" s="9">
        <v>3286331.37</v>
      </c>
      <c r="AA98" s="9">
        <v>3029696</v>
      </c>
      <c r="AB98" s="9">
        <v>422688</v>
      </c>
      <c r="AC98" s="9">
        <v>3631686.44</v>
      </c>
      <c r="AD98" s="9">
        <v>3207706</v>
      </c>
      <c r="AE98" s="9">
        <v>438768</v>
      </c>
      <c r="AF98" s="9">
        <v>3600508.11</v>
      </c>
      <c r="AG98" s="9">
        <v>3160574</v>
      </c>
      <c r="AH98" s="9">
        <v>448818</v>
      </c>
      <c r="AI98" s="9">
        <v>3756339.3899999997</v>
      </c>
      <c r="AJ98" s="9">
        <v>3220458</v>
      </c>
      <c r="AK98" s="28">
        <v>535881</v>
      </c>
      <c r="AL98" s="9">
        <v>3949969.68</v>
      </c>
      <c r="AM98" s="9">
        <v>3348602</v>
      </c>
      <c r="AN98" s="28">
        <v>601368</v>
      </c>
      <c r="AO98" s="9">
        <v>4012060.0799999996</v>
      </c>
      <c r="AP98" s="9">
        <v>3327566</v>
      </c>
      <c r="AQ98" s="28">
        <v>684494</v>
      </c>
      <c r="AR98" s="9">
        <v>4120509.4730720278</v>
      </c>
      <c r="AS98" s="9">
        <v>3417460</v>
      </c>
      <c r="AT98" s="28">
        <v>703049</v>
      </c>
      <c r="AU98" s="9">
        <v>4383670.7300000004</v>
      </c>
      <c r="AV98" s="9">
        <v>3563552</v>
      </c>
      <c r="AW98" s="9">
        <v>820119</v>
      </c>
      <c r="AX98" s="9">
        <v>4884680.5483374586</v>
      </c>
      <c r="AY98" s="9">
        <v>4029861</v>
      </c>
      <c r="AZ98" s="28">
        <v>854820</v>
      </c>
      <c r="BA98" s="9">
        <v>5167542.74</v>
      </c>
      <c r="BB98" s="9">
        <v>4263223</v>
      </c>
      <c r="BC98" s="9">
        <v>904320</v>
      </c>
      <c r="BD98" s="9">
        <v>5243884.84</v>
      </c>
      <c r="BE98" s="9">
        <v>4326205</v>
      </c>
      <c r="BF98" s="9">
        <v>917680</v>
      </c>
      <c r="BG98" s="9">
        <v>5932989.4900000002</v>
      </c>
      <c r="BH98" s="9">
        <v>4894716</v>
      </c>
      <c r="BI98" s="9">
        <v>1038273</v>
      </c>
      <c r="BJ98" s="9">
        <v>6660865.3400000008</v>
      </c>
      <c r="BK98" s="9">
        <v>5495214</v>
      </c>
      <c r="BL98" s="9">
        <v>1165651</v>
      </c>
      <c r="BM98" s="9"/>
      <c r="BN98" s="9"/>
      <c r="BO98" s="9"/>
      <c r="BP98" s="9"/>
      <c r="BQ98" s="9"/>
      <c r="BR98" s="9"/>
      <c r="BS98" s="9"/>
      <c r="BT98" s="9"/>
      <c r="BU98" s="9"/>
    </row>
    <row r="99" spans="1:73">
      <c r="A99" s="6">
        <v>90</v>
      </c>
      <c r="B99" s="6" t="s">
        <v>1209</v>
      </c>
      <c r="C99" s="421">
        <v>17.5</v>
      </c>
      <c r="D99" s="9">
        <v>0</v>
      </c>
      <c r="E99" s="33">
        <v>0</v>
      </c>
      <c r="F99" s="9">
        <v>0</v>
      </c>
      <c r="G99" s="9">
        <v>0</v>
      </c>
      <c r="H99" s="9">
        <v>0</v>
      </c>
      <c r="I99" s="9">
        <v>0</v>
      </c>
      <c r="J99" s="9">
        <v>0</v>
      </c>
      <c r="K99" s="9">
        <v>0</v>
      </c>
      <c r="L99" s="9">
        <v>0</v>
      </c>
      <c r="M99" s="9">
        <v>0</v>
      </c>
      <c r="N99" s="9">
        <v>0</v>
      </c>
      <c r="O99" s="9">
        <v>0</v>
      </c>
      <c r="P99" s="9">
        <v>0</v>
      </c>
      <c r="Q99" s="9">
        <v>0</v>
      </c>
      <c r="R99" s="9">
        <v>0</v>
      </c>
      <c r="S99" s="9">
        <v>0</v>
      </c>
      <c r="T99" s="9">
        <v>0</v>
      </c>
      <c r="U99" s="9">
        <v>0</v>
      </c>
      <c r="V99" s="9">
        <v>0</v>
      </c>
      <c r="W99" s="9">
        <v>0</v>
      </c>
      <c r="X99" s="9">
        <v>0</v>
      </c>
      <c r="Y99" s="9">
        <v>0</v>
      </c>
      <c r="Z99" s="9">
        <v>0</v>
      </c>
      <c r="AA99" s="9">
        <v>0</v>
      </c>
      <c r="AB99" s="9">
        <v>0</v>
      </c>
      <c r="AC99" s="9">
        <v>0</v>
      </c>
      <c r="AD99" s="9">
        <v>0</v>
      </c>
      <c r="AE99" s="9">
        <v>0</v>
      </c>
      <c r="AF99" s="9">
        <v>0</v>
      </c>
      <c r="AG99" s="9">
        <v>0</v>
      </c>
      <c r="AH99" s="9">
        <v>0</v>
      </c>
      <c r="AI99" s="9">
        <v>0</v>
      </c>
      <c r="AJ99" s="9">
        <v>0</v>
      </c>
      <c r="AK99" s="28">
        <v>0</v>
      </c>
      <c r="AL99" s="9">
        <v>0</v>
      </c>
      <c r="AM99" s="9">
        <v>0</v>
      </c>
      <c r="AN99" s="28">
        <v>0</v>
      </c>
      <c r="AO99" s="9">
        <v>0</v>
      </c>
      <c r="AP99" s="9">
        <v>0</v>
      </c>
      <c r="AQ99" s="28">
        <v>0</v>
      </c>
      <c r="AR99" s="9">
        <v>0</v>
      </c>
      <c r="AS99" s="9">
        <v>0</v>
      </c>
      <c r="AT99" s="28">
        <v>0</v>
      </c>
      <c r="AU99" s="9">
        <v>0</v>
      </c>
      <c r="AV99" s="9">
        <v>0</v>
      </c>
      <c r="AW99" s="9">
        <v>0</v>
      </c>
      <c r="AX99" s="9">
        <v>0</v>
      </c>
      <c r="AY99" s="9">
        <v>0</v>
      </c>
      <c r="AZ99" s="28">
        <v>0</v>
      </c>
      <c r="BA99" s="9">
        <v>0</v>
      </c>
      <c r="BB99" s="9">
        <v>0</v>
      </c>
      <c r="BC99" s="9">
        <v>0</v>
      </c>
      <c r="BD99" s="9">
        <v>0</v>
      </c>
      <c r="BE99" s="9">
        <v>0</v>
      </c>
      <c r="BF99" s="9">
        <v>0</v>
      </c>
      <c r="BG99" s="9">
        <v>0</v>
      </c>
      <c r="BH99" s="9">
        <v>0</v>
      </c>
      <c r="BI99" s="9">
        <v>0</v>
      </c>
      <c r="BJ99" s="9">
        <v>0</v>
      </c>
      <c r="BK99" s="9">
        <v>0</v>
      </c>
      <c r="BL99" s="9">
        <v>0</v>
      </c>
      <c r="BM99" s="9"/>
      <c r="BN99" s="9"/>
      <c r="BO99" s="9"/>
      <c r="BP99" s="9"/>
      <c r="BQ99" s="9"/>
      <c r="BR99" s="9"/>
      <c r="BS99" s="9"/>
      <c r="BT99" s="9"/>
      <c r="BU99" s="9"/>
    </row>
    <row r="100" spans="1:73">
      <c r="A100" s="6">
        <v>91</v>
      </c>
      <c r="B100" s="6" t="s">
        <v>1210</v>
      </c>
      <c r="C100" s="421">
        <v>17.5</v>
      </c>
      <c r="D100" s="9">
        <v>1736037</v>
      </c>
      <c r="E100" s="33">
        <v>1696174</v>
      </c>
      <c r="F100" s="9">
        <v>257383.6</v>
      </c>
      <c r="G100" s="9">
        <v>1886102.04</v>
      </c>
      <c r="H100" s="9">
        <v>1693156</v>
      </c>
      <c r="I100" s="9">
        <v>283644.59999999998</v>
      </c>
      <c r="J100" s="9">
        <v>2063705.1585349285</v>
      </c>
      <c r="K100" s="9">
        <v>1733353</v>
      </c>
      <c r="L100" s="9">
        <v>330352</v>
      </c>
      <c r="M100" s="9">
        <v>2321411.09</v>
      </c>
      <c r="N100" s="9">
        <v>1908319</v>
      </c>
      <c r="O100" s="9">
        <v>369649</v>
      </c>
      <c r="P100" s="9">
        <v>43443</v>
      </c>
      <c r="Q100" s="9">
        <v>2466755.7200229666</v>
      </c>
      <c r="R100" s="9">
        <v>2035074</v>
      </c>
      <c r="S100" s="9">
        <v>404830</v>
      </c>
      <c r="T100" s="9">
        <v>26852</v>
      </c>
      <c r="U100" s="9">
        <v>2428316.4251399999</v>
      </c>
      <c r="V100" s="9">
        <v>2032401</v>
      </c>
      <c r="W100" s="9">
        <v>406463</v>
      </c>
      <c r="X100" s="9">
        <v>2182</v>
      </c>
      <c r="Y100" s="9">
        <v>30012</v>
      </c>
      <c r="Z100" s="9">
        <v>2407929.63</v>
      </c>
      <c r="AA100" s="9">
        <v>2045398</v>
      </c>
      <c r="AB100" s="9">
        <v>408645</v>
      </c>
      <c r="AC100" s="9">
        <v>2354101.85</v>
      </c>
      <c r="AD100" s="9">
        <v>2051456</v>
      </c>
      <c r="AE100" s="9">
        <v>418845</v>
      </c>
      <c r="AF100" s="9">
        <v>2478101.1</v>
      </c>
      <c r="AG100" s="9">
        <v>2103316</v>
      </c>
      <c r="AH100" s="9">
        <v>425470</v>
      </c>
      <c r="AI100" s="9">
        <v>2387006.7599999998</v>
      </c>
      <c r="AJ100" s="9">
        <v>2050836</v>
      </c>
      <c r="AK100" s="28">
        <v>431895</v>
      </c>
      <c r="AL100" s="9">
        <v>2412269.36</v>
      </c>
      <c r="AM100" s="9">
        <v>2019029</v>
      </c>
      <c r="AN100" s="28">
        <v>438270</v>
      </c>
      <c r="AO100" s="9">
        <v>2249261.63</v>
      </c>
      <c r="AP100" s="9">
        <v>1884292</v>
      </c>
      <c r="AQ100" s="28">
        <v>451195</v>
      </c>
      <c r="AR100" s="9">
        <v>2174084.4728259463</v>
      </c>
      <c r="AS100" s="9">
        <v>1812979</v>
      </c>
      <c r="AT100" s="28">
        <v>457975</v>
      </c>
      <c r="AU100" s="9">
        <v>2317098.66</v>
      </c>
      <c r="AV100" s="9">
        <v>1911606</v>
      </c>
      <c r="AW100" s="9">
        <v>464995</v>
      </c>
      <c r="AX100" s="9">
        <v>2280809.0489276485</v>
      </c>
      <c r="AY100" s="9">
        <v>1881667</v>
      </c>
      <c r="AZ100" s="28">
        <v>471505</v>
      </c>
      <c r="BA100" s="9">
        <v>2326189.63</v>
      </c>
      <c r="BB100" s="9">
        <v>1919106</v>
      </c>
      <c r="BC100" s="9">
        <v>471505</v>
      </c>
      <c r="BD100" s="9">
        <v>2355746.09</v>
      </c>
      <c r="BE100" s="9">
        <v>1943490</v>
      </c>
      <c r="BF100" s="9">
        <v>477715</v>
      </c>
      <c r="BG100" s="9">
        <v>2504088.0100000002</v>
      </c>
      <c r="BH100" s="9">
        <v>2013666</v>
      </c>
      <c r="BI100" s="9">
        <v>490422</v>
      </c>
      <c r="BJ100" s="9">
        <v>2671388.7799999998</v>
      </c>
      <c r="BK100" s="9">
        <v>2115389</v>
      </c>
      <c r="BL100" s="9">
        <v>556000</v>
      </c>
      <c r="BM100" s="9"/>
      <c r="BN100" s="9"/>
      <c r="BO100" s="9"/>
      <c r="BP100" s="9"/>
      <c r="BQ100" s="9"/>
      <c r="BR100" s="9"/>
      <c r="BS100" s="9"/>
      <c r="BT100" s="9"/>
      <c r="BU100" s="9"/>
    </row>
    <row r="101" spans="1:73">
      <c r="A101" s="6">
        <v>92</v>
      </c>
      <c r="B101" s="6" t="s">
        <v>1211</v>
      </c>
      <c r="C101" s="421">
        <v>17.5</v>
      </c>
      <c r="D101" s="9">
        <v>0</v>
      </c>
      <c r="E101" s="33">
        <v>0</v>
      </c>
      <c r="F101" s="9">
        <v>0</v>
      </c>
      <c r="G101" s="9">
        <v>0</v>
      </c>
      <c r="H101" s="9">
        <v>0</v>
      </c>
      <c r="I101" s="9">
        <v>0</v>
      </c>
      <c r="J101" s="9">
        <v>0</v>
      </c>
      <c r="K101" s="9">
        <v>0</v>
      </c>
      <c r="L101" s="9">
        <v>0</v>
      </c>
      <c r="M101" s="9">
        <v>0</v>
      </c>
      <c r="N101" s="9">
        <v>0</v>
      </c>
      <c r="O101" s="9">
        <v>0</v>
      </c>
      <c r="P101" s="9">
        <v>0</v>
      </c>
      <c r="Q101" s="9">
        <v>0</v>
      </c>
      <c r="R101" s="9">
        <v>0</v>
      </c>
      <c r="S101" s="9">
        <v>0</v>
      </c>
      <c r="T101" s="9">
        <v>0</v>
      </c>
      <c r="U101" s="9">
        <v>0</v>
      </c>
      <c r="V101" s="9">
        <v>0</v>
      </c>
      <c r="W101" s="9">
        <v>0</v>
      </c>
      <c r="X101" s="9">
        <v>0</v>
      </c>
      <c r="Y101" s="9">
        <v>0</v>
      </c>
      <c r="Z101" s="9">
        <v>0</v>
      </c>
      <c r="AA101" s="9">
        <v>0</v>
      </c>
      <c r="AB101" s="9">
        <v>0</v>
      </c>
      <c r="AC101" s="9">
        <v>0</v>
      </c>
      <c r="AD101" s="9">
        <v>0</v>
      </c>
      <c r="AE101" s="9">
        <v>0</v>
      </c>
      <c r="AF101" s="9">
        <v>0</v>
      </c>
      <c r="AG101" s="9">
        <v>0</v>
      </c>
      <c r="AH101" s="9">
        <v>0</v>
      </c>
      <c r="AI101" s="9">
        <v>0</v>
      </c>
      <c r="AJ101" s="9">
        <v>0</v>
      </c>
      <c r="AK101" s="28">
        <v>0</v>
      </c>
      <c r="AL101" s="9">
        <v>0</v>
      </c>
      <c r="AM101" s="9">
        <v>0</v>
      </c>
      <c r="AN101" s="28">
        <v>0</v>
      </c>
      <c r="AO101" s="9">
        <v>0</v>
      </c>
      <c r="AP101" s="9">
        <v>0</v>
      </c>
      <c r="AQ101" s="28">
        <v>0</v>
      </c>
      <c r="AR101" s="9">
        <v>0</v>
      </c>
      <c r="AS101" s="9">
        <v>0</v>
      </c>
      <c r="AT101" s="28">
        <v>0</v>
      </c>
      <c r="AU101" s="9">
        <v>0</v>
      </c>
      <c r="AV101" s="9">
        <v>0</v>
      </c>
      <c r="AW101" s="9">
        <v>0</v>
      </c>
      <c r="AX101" s="9">
        <v>0</v>
      </c>
      <c r="AY101" s="9">
        <v>0</v>
      </c>
      <c r="AZ101" s="28">
        <v>0</v>
      </c>
      <c r="BA101" s="9">
        <v>0</v>
      </c>
      <c r="BB101" s="9">
        <v>0</v>
      </c>
      <c r="BC101" s="9">
        <v>0</v>
      </c>
      <c r="BD101" s="9">
        <v>0</v>
      </c>
      <c r="BE101" s="9">
        <v>0</v>
      </c>
      <c r="BF101" s="9">
        <v>0</v>
      </c>
      <c r="BG101" s="9">
        <v>0</v>
      </c>
      <c r="BH101" s="9">
        <v>0</v>
      </c>
      <c r="BI101" s="9">
        <v>0</v>
      </c>
      <c r="BJ101" s="9">
        <v>0</v>
      </c>
      <c r="BK101" s="9">
        <v>0</v>
      </c>
      <c r="BL101" s="9">
        <v>0</v>
      </c>
      <c r="BM101" s="9"/>
      <c r="BN101" s="9"/>
      <c r="BO101" s="9"/>
      <c r="BP101" s="9"/>
      <c r="BQ101" s="9"/>
      <c r="BR101" s="9"/>
      <c r="BS101" s="9"/>
      <c r="BT101" s="9"/>
      <c r="BU101" s="9"/>
    </row>
    <row r="102" spans="1:73">
      <c r="A102" s="6">
        <v>93</v>
      </c>
      <c r="B102" s="6" t="s">
        <v>1212</v>
      </c>
      <c r="C102" s="421">
        <v>66.12</v>
      </c>
      <c r="D102" s="9">
        <v>45371743</v>
      </c>
      <c r="E102" s="33">
        <v>24514676</v>
      </c>
      <c r="F102" s="9">
        <v>20857067</v>
      </c>
      <c r="G102" s="9">
        <v>48207134.680500001</v>
      </c>
      <c r="H102" s="9">
        <v>25038448</v>
      </c>
      <c r="I102" s="9">
        <v>23168687</v>
      </c>
      <c r="J102" s="9">
        <v>53450079.377155341</v>
      </c>
      <c r="K102" s="9">
        <v>25416336</v>
      </c>
      <c r="L102" s="9">
        <v>28033743</v>
      </c>
      <c r="M102" s="9">
        <v>59682692.571389988</v>
      </c>
      <c r="N102" s="9">
        <v>25762913</v>
      </c>
      <c r="O102" s="9">
        <v>30352631</v>
      </c>
      <c r="P102" s="9">
        <v>3567149</v>
      </c>
      <c r="Q102" s="9">
        <v>62892763.612918936</v>
      </c>
      <c r="R102" s="9">
        <v>25931368</v>
      </c>
      <c r="S102" s="9">
        <v>33241384</v>
      </c>
      <c r="T102" s="9">
        <v>3720012</v>
      </c>
      <c r="U102" s="9">
        <v>64793932.005067073</v>
      </c>
      <c r="V102" s="9">
        <v>25957484</v>
      </c>
      <c r="W102" s="9">
        <v>38091277</v>
      </c>
      <c r="X102" s="9">
        <v>204491</v>
      </c>
      <c r="Y102" s="9">
        <v>540680</v>
      </c>
      <c r="Z102" s="9">
        <v>68020957.110019997</v>
      </c>
      <c r="AA102" s="9">
        <v>25027814</v>
      </c>
      <c r="AB102" s="9">
        <v>42993143</v>
      </c>
      <c r="AC102" s="9">
        <v>74288708.336989999</v>
      </c>
      <c r="AD102" s="9">
        <v>25279517</v>
      </c>
      <c r="AE102" s="9">
        <v>49378544.796454601</v>
      </c>
      <c r="AF102" s="9">
        <v>79707323.959860012</v>
      </c>
      <c r="AG102" s="9">
        <v>25001383</v>
      </c>
      <c r="AH102" s="9">
        <v>55042003.302143387</v>
      </c>
      <c r="AI102" s="9">
        <v>85328324.66643998</v>
      </c>
      <c r="AJ102" s="9">
        <v>24693137</v>
      </c>
      <c r="AK102" s="28">
        <v>60635188</v>
      </c>
      <c r="AL102" s="9">
        <v>89667949.965919986</v>
      </c>
      <c r="AM102" s="9">
        <v>25666047</v>
      </c>
      <c r="AN102" s="28">
        <v>64001903</v>
      </c>
      <c r="AO102" s="9">
        <v>87583038.240480021</v>
      </c>
      <c r="AP102" s="9">
        <v>26203286</v>
      </c>
      <c r="AQ102" s="28">
        <v>64492532</v>
      </c>
      <c r="AR102" s="9">
        <v>90558887.124926507</v>
      </c>
      <c r="AS102" s="9">
        <v>27455803</v>
      </c>
      <c r="AT102" s="28">
        <f>65650979-929397</f>
        <v>64721582</v>
      </c>
      <c r="AU102" s="9">
        <v>96231897.969240025</v>
      </c>
      <c r="AV102" s="9">
        <v>28814865</v>
      </c>
      <c r="AW102" s="9">
        <v>68940060.192849353</v>
      </c>
      <c r="AX102" s="9">
        <v>105617503.49762131</v>
      </c>
      <c r="AY102" s="9">
        <v>30615794</v>
      </c>
      <c r="AZ102" s="28">
        <v>75001709</v>
      </c>
      <c r="BA102" s="9">
        <v>109071464.1568</v>
      </c>
      <c r="BB102" s="9">
        <v>35431511</v>
      </c>
      <c r="BC102" s="9">
        <v>75001709</v>
      </c>
      <c r="BD102" s="9">
        <v>120819748.25191998</v>
      </c>
      <c r="BE102" s="9">
        <v>36483827</v>
      </c>
      <c r="BF102" s="9">
        <v>84335921</v>
      </c>
      <c r="BG102" s="9">
        <v>131079661.89111</v>
      </c>
      <c r="BH102" s="9">
        <v>38446657</v>
      </c>
      <c r="BI102" s="9">
        <v>92633005</v>
      </c>
      <c r="BJ102" s="9">
        <v>152643280.48403001</v>
      </c>
      <c r="BK102" s="9">
        <v>40961068</v>
      </c>
      <c r="BL102" s="9">
        <v>111682212</v>
      </c>
      <c r="BM102" s="9"/>
      <c r="BN102" s="9"/>
      <c r="BO102" s="9"/>
      <c r="BP102" s="9"/>
      <c r="BQ102" s="9"/>
      <c r="BR102" s="9"/>
      <c r="BS102" s="9"/>
      <c r="BT102" s="9"/>
      <c r="BU102" s="9"/>
    </row>
    <row r="103" spans="1:73">
      <c r="A103" s="6">
        <v>94</v>
      </c>
      <c r="B103" s="6" t="s">
        <v>1213</v>
      </c>
      <c r="C103" s="421">
        <v>33.450000000000003</v>
      </c>
      <c r="D103" s="9">
        <v>15772369</v>
      </c>
      <c r="E103" s="33">
        <v>8958998</v>
      </c>
      <c r="F103" s="9">
        <v>6900863.9999999991</v>
      </c>
      <c r="G103" s="9">
        <v>16146316.320000002</v>
      </c>
      <c r="H103" s="9">
        <v>8999243</v>
      </c>
      <c r="I103" s="9">
        <v>7147073</v>
      </c>
      <c r="J103" s="9">
        <v>16755601.389419528</v>
      </c>
      <c r="K103" s="9">
        <v>9196548</v>
      </c>
      <c r="L103" s="9">
        <v>7559053</v>
      </c>
      <c r="M103" s="9">
        <v>16953034.73</v>
      </c>
      <c r="N103" s="9">
        <v>9303393</v>
      </c>
      <c r="O103" s="9">
        <v>6852118</v>
      </c>
      <c r="P103" s="9">
        <v>805285</v>
      </c>
      <c r="Q103" s="9">
        <v>17423766.603881337</v>
      </c>
      <c r="R103" s="9">
        <v>9798899</v>
      </c>
      <c r="S103" s="9">
        <v>7504255</v>
      </c>
      <c r="T103" s="9">
        <v>120613</v>
      </c>
      <c r="U103" s="9">
        <v>16843034.112059999</v>
      </c>
      <c r="V103" s="9">
        <v>10187330</v>
      </c>
      <c r="W103" s="9">
        <v>7179423</v>
      </c>
      <c r="X103" s="9">
        <v>38542</v>
      </c>
      <c r="Y103" s="9">
        <v>454353</v>
      </c>
      <c r="Z103" s="9">
        <v>17104751.050000001</v>
      </c>
      <c r="AA103" s="9">
        <v>10317258</v>
      </c>
      <c r="AB103" s="9">
        <v>7217965</v>
      </c>
      <c r="AC103" s="9">
        <v>17453568.07</v>
      </c>
      <c r="AD103" s="9">
        <v>10832169</v>
      </c>
      <c r="AE103" s="9">
        <v>7292285</v>
      </c>
      <c r="AF103" s="9">
        <v>17879851.399999999</v>
      </c>
      <c r="AG103" s="9">
        <v>11242923</v>
      </c>
      <c r="AH103" s="9">
        <v>7338560</v>
      </c>
      <c r="AI103" s="9">
        <v>17736701.940000001</v>
      </c>
      <c r="AJ103" s="9">
        <v>11371020</v>
      </c>
      <c r="AK103" s="28">
        <v>7383635</v>
      </c>
      <c r="AL103" s="9">
        <v>17707799.16</v>
      </c>
      <c r="AM103" s="9">
        <v>11597160</v>
      </c>
      <c r="AN103" s="28">
        <v>7428260</v>
      </c>
      <c r="AO103" s="9">
        <v>18309668.060000002</v>
      </c>
      <c r="AP103" s="9">
        <v>11486709</v>
      </c>
      <c r="AQ103" s="28">
        <v>7526930</v>
      </c>
      <c r="AR103" s="9">
        <v>18758475.280269191</v>
      </c>
      <c r="AS103" s="9">
        <v>11557489</v>
      </c>
      <c r="AT103" s="28">
        <v>7580960</v>
      </c>
      <c r="AU103" s="9">
        <v>19508511.550000001</v>
      </c>
      <c r="AV103" s="9">
        <v>11713786</v>
      </c>
      <c r="AW103" s="9">
        <v>7794726</v>
      </c>
      <c r="AX103" s="9">
        <v>20489574.57642154</v>
      </c>
      <c r="AY103" s="9">
        <v>12333105</v>
      </c>
      <c r="AZ103" s="28">
        <v>8156470</v>
      </c>
      <c r="BA103" s="9">
        <v>20977288.109999999</v>
      </c>
      <c r="BB103" s="9">
        <v>12688884</v>
      </c>
      <c r="BC103" s="9">
        <v>8291230</v>
      </c>
      <c r="BD103" s="9">
        <v>20710203.66</v>
      </c>
      <c r="BE103" s="9">
        <v>12632417</v>
      </c>
      <c r="BF103" s="9">
        <v>8343040</v>
      </c>
      <c r="BG103" s="9">
        <v>22300570.939999998</v>
      </c>
      <c r="BH103" s="9">
        <v>13273418</v>
      </c>
      <c r="BI103" s="9">
        <v>9027153</v>
      </c>
      <c r="BJ103" s="9">
        <v>23768492.649999999</v>
      </c>
      <c r="BK103" s="9">
        <v>14136790</v>
      </c>
      <c r="BL103" s="9">
        <v>9631703</v>
      </c>
      <c r="BM103" s="9"/>
      <c r="BN103" s="9"/>
      <c r="BO103" s="9"/>
      <c r="BP103" s="9"/>
      <c r="BQ103" s="9"/>
      <c r="BR103" s="9"/>
      <c r="BS103" s="9"/>
      <c r="BT103" s="9"/>
      <c r="BU103" s="9"/>
    </row>
    <row r="104" spans="1:73">
      <c r="A104" s="6">
        <v>95</v>
      </c>
      <c r="B104" s="6" t="s">
        <v>1214</v>
      </c>
      <c r="C104" s="421">
        <v>77.010000000000005</v>
      </c>
      <c r="D104" s="9">
        <v>102479194</v>
      </c>
      <c r="E104" s="33">
        <v>13825097</v>
      </c>
      <c r="F104" s="9">
        <v>88654097</v>
      </c>
      <c r="G104" s="9">
        <v>104481870.5</v>
      </c>
      <c r="H104" s="9">
        <v>14847016</v>
      </c>
      <c r="I104" s="9">
        <v>90065583</v>
      </c>
      <c r="J104" s="9">
        <v>106032214.10539405</v>
      </c>
      <c r="K104" s="9">
        <v>15513206</v>
      </c>
      <c r="L104" s="9">
        <v>91119662</v>
      </c>
      <c r="M104" s="9">
        <v>109717451.8</v>
      </c>
      <c r="N104" s="9">
        <v>16580407</v>
      </c>
      <c r="O104" s="9">
        <v>83793405</v>
      </c>
      <c r="P104" s="9">
        <v>9847697</v>
      </c>
      <c r="Q104" s="9">
        <v>113237307.34539331</v>
      </c>
      <c r="R104" s="9">
        <v>19000896</v>
      </c>
      <c r="S104" s="9">
        <v>91768280</v>
      </c>
      <c r="T104" s="9">
        <v>2468131</v>
      </c>
      <c r="U104" s="9">
        <v>110588545.43874</v>
      </c>
      <c r="V104" s="9">
        <v>19582705</v>
      </c>
      <c r="W104" s="9">
        <v>89259672</v>
      </c>
      <c r="X104" s="9">
        <v>479186</v>
      </c>
      <c r="Y104" s="9">
        <v>4762753</v>
      </c>
      <c r="Z104" s="9">
        <v>113992339.77</v>
      </c>
      <c r="AA104" s="9">
        <v>20197065</v>
      </c>
      <c r="AB104" s="9">
        <v>93795275</v>
      </c>
      <c r="AC104" s="9">
        <v>117801266.98000002</v>
      </c>
      <c r="AD104" s="9">
        <v>21470723</v>
      </c>
      <c r="AE104" s="9">
        <v>96330544</v>
      </c>
      <c r="AF104" s="9">
        <v>122984522.46999998</v>
      </c>
      <c r="AG104" s="9">
        <v>22747952</v>
      </c>
      <c r="AH104" s="9">
        <v>100236570</v>
      </c>
      <c r="AI104" s="9">
        <v>126851512.44000001</v>
      </c>
      <c r="AJ104" s="9">
        <v>23922480</v>
      </c>
      <c r="AK104" s="28">
        <v>102929032</v>
      </c>
      <c r="AL104" s="9">
        <v>130963260.19999999</v>
      </c>
      <c r="AM104" s="9">
        <v>25218449</v>
      </c>
      <c r="AN104" s="28">
        <v>105744811</v>
      </c>
      <c r="AO104" s="9">
        <v>133322500.97999999</v>
      </c>
      <c r="AP104" s="9">
        <v>26181193</v>
      </c>
      <c r="AQ104" s="28">
        <v>107141308</v>
      </c>
      <c r="AR104" s="9">
        <v>140367627.0677751</v>
      </c>
      <c r="AS104" s="9">
        <v>27932437</v>
      </c>
      <c r="AT104" s="28">
        <v>112435190</v>
      </c>
      <c r="AU104" s="9">
        <v>149318107.95999998</v>
      </c>
      <c r="AV104" s="9">
        <v>29668942</v>
      </c>
      <c r="AW104" s="9">
        <v>119649166</v>
      </c>
      <c r="AX104" s="9">
        <v>162111258.55386746</v>
      </c>
      <c r="AY104" s="9">
        <v>31184570</v>
      </c>
      <c r="AZ104" s="28">
        <v>130926689</v>
      </c>
      <c r="BA104" s="9">
        <v>169915017.67999995</v>
      </c>
      <c r="BB104" s="9">
        <v>32906432</v>
      </c>
      <c r="BC104" s="9">
        <v>137016364</v>
      </c>
      <c r="BD104" s="9">
        <v>179465809.67000002</v>
      </c>
      <c r="BE104" s="9">
        <v>34286248</v>
      </c>
      <c r="BF104" s="9">
        <v>145182843</v>
      </c>
      <c r="BG104" s="9">
        <v>204753290.08000001</v>
      </c>
      <c r="BH104" s="9">
        <v>36332032</v>
      </c>
      <c r="BI104" s="9">
        <v>168421258</v>
      </c>
      <c r="BJ104" s="9">
        <v>226544925.61000004</v>
      </c>
      <c r="BK104" s="9">
        <v>38520449</v>
      </c>
      <c r="BL104" s="9">
        <v>188024477</v>
      </c>
      <c r="BM104" s="9"/>
      <c r="BN104" s="9"/>
      <c r="BO104" s="9"/>
      <c r="BP104" s="9"/>
      <c r="BQ104" s="9"/>
      <c r="BR104" s="9"/>
      <c r="BS104" s="9"/>
      <c r="BT104" s="9"/>
      <c r="BU104" s="9"/>
    </row>
    <row r="105" spans="1:73">
      <c r="A105" s="6">
        <v>96</v>
      </c>
      <c r="B105" s="6" t="s">
        <v>1215</v>
      </c>
      <c r="C105" s="421">
        <v>17.5</v>
      </c>
      <c r="D105" s="9">
        <v>30137881</v>
      </c>
      <c r="E105" s="33">
        <v>32265939</v>
      </c>
      <c r="F105" s="9">
        <v>4439705.5999999996</v>
      </c>
      <c r="G105" s="9">
        <v>31282681.59</v>
      </c>
      <c r="H105" s="9">
        <v>32702864</v>
      </c>
      <c r="I105" s="9">
        <v>4646658.5999999996</v>
      </c>
      <c r="J105" s="9">
        <v>32408337.333121564</v>
      </c>
      <c r="K105" s="9">
        <v>31997640</v>
      </c>
      <c r="L105" s="9">
        <v>4954098.5999999996</v>
      </c>
      <c r="M105" s="9">
        <v>32989864.899999995</v>
      </c>
      <c r="N105" s="9">
        <v>31420687</v>
      </c>
      <c r="O105" s="9">
        <v>4674989.5999999996</v>
      </c>
      <c r="P105" s="9">
        <v>549421</v>
      </c>
      <c r="Q105" s="9">
        <v>32976356.55624881</v>
      </c>
      <c r="R105" s="9">
        <v>31044599</v>
      </c>
      <c r="S105" s="9">
        <v>5119922</v>
      </c>
      <c r="T105" s="9">
        <v>0</v>
      </c>
      <c r="U105" s="9">
        <v>32249708.827199996</v>
      </c>
      <c r="V105" s="9">
        <v>30294456</v>
      </c>
      <c r="W105" s="9">
        <v>4820816</v>
      </c>
      <c r="X105" s="9">
        <v>25880</v>
      </c>
      <c r="Y105" s="9">
        <v>366051</v>
      </c>
      <c r="Z105" s="9">
        <v>32627799.279999997</v>
      </c>
      <c r="AA105" s="9">
        <v>30223796</v>
      </c>
      <c r="AB105" s="9">
        <v>4846696</v>
      </c>
      <c r="AC105" s="9">
        <v>32919523.759999994</v>
      </c>
      <c r="AD105" s="9">
        <v>30639342</v>
      </c>
      <c r="AE105" s="9">
        <v>4988896</v>
      </c>
      <c r="AF105" s="9">
        <v>33718540.630000003</v>
      </c>
      <c r="AG105" s="9">
        <v>31562698</v>
      </c>
      <c r="AH105" s="9">
        <v>5077571</v>
      </c>
      <c r="AI105" s="9">
        <v>34334682.75</v>
      </c>
      <c r="AJ105" s="9">
        <v>30535810</v>
      </c>
      <c r="AK105" s="28">
        <v>5403420</v>
      </c>
      <c r="AL105" s="9">
        <v>35910247.149999999</v>
      </c>
      <c r="AM105" s="9">
        <v>30727509</v>
      </c>
      <c r="AN105" s="28">
        <v>5492795</v>
      </c>
      <c r="AO105" s="9">
        <v>35716152.020000003</v>
      </c>
      <c r="AP105" s="9">
        <v>29797870</v>
      </c>
      <c r="AQ105" s="28">
        <v>5918282</v>
      </c>
      <c r="AR105" s="9">
        <v>35776347.341015682</v>
      </c>
      <c r="AS105" s="9">
        <v>29665659</v>
      </c>
      <c r="AT105" s="28">
        <v>6110688</v>
      </c>
      <c r="AU105" s="9">
        <v>37204346.420000009</v>
      </c>
      <c r="AV105" s="9">
        <v>30580964</v>
      </c>
      <c r="AW105" s="9">
        <v>6623382</v>
      </c>
      <c r="AX105" s="9">
        <v>38230735.995907485</v>
      </c>
      <c r="AY105" s="9">
        <v>31450637</v>
      </c>
      <c r="AZ105" s="28">
        <v>6780099</v>
      </c>
      <c r="BA105" s="9">
        <v>38101629.059999995</v>
      </c>
      <c r="BB105" s="9">
        <v>31433844</v>
      </c>
      <c r="BC105" s="9">
        <v>6780099</v>
      </c>
      <c r="BD105" s="9">
        <v>36995294.280000001</v>
      </c>
      <c r="BE105" s="9">
        <v>30521118</v>
      </c>
      <c r="BF105" s="9">
        <v>6871209</v>
      </c>
      <c r="BG105" s="9">
        <v>41087216.109999992</v>
      </c>
      <c r="BH105" s="9">
        <v>32002344</v>
      </c>
      <c r="BI105" s="9">
        <v>9084872</v>
      </c>
      <c r="BJ105" s="9">
        <v>42847018.859999999</v>
      </c>
      <c r="BK105" s="9">
        <v>33524110</v>
      </c>
      <c r="BL105" s="9">
        <v>9322909</v>
      </c>
      <c r="BM105" s="9"/>
      <c r="BN105" s="9"/>
      <c r="BO105" s="9"/>
      <c r="BP105" s="9"/>
      <c r="BQ105" s="9"/>
      <c r="BR105" s="9"/>
      <c r="BS105" s="9"/>
      <c r="BT105" s="9"/>
      <c r="BU105" s="9"/>
    </row>
    <row r="106" spans="1:73">
      <c r="A106" s="6">
        <v>97</v>
      </c>
      <c r="B106" s="6" t="s">
        <v>1216</v>
      </c>
      <c r="C106" s="421">
        <v>72.95</v>
      </c>
      <c r="D106" s="9">
        <v>48848791</v>
      </c>
      <c r="E106" s="33">
        <v>12405593</v>
      </c>
      <c r="F106" s="9">
        <v>36443198</v>
      </c>
      <c r="G106" s="9">
        <v>52232259.629999988</v>
      </c>
      <c r="H106" s="9">
        <v>13502431</v>
      </c>
      <c r="I106" s="9">
        <v>38857303</v>
      </c>
      <c r="J106" s="9">
        <v>53959279.694781937</v>
      </c>
      <c r="K106" s="9">
        <v>14179903</v>
      </c>
      <c r="L106" s="9">
        <v>40080379</v>
      </c>
      <c r="M106" s="9">
        <v>55478399.75</v>
      </c>
      <c r="N106" s="9">
        <v>14473238</v>
      </c>
      <c r="O106" s="9">
        <v>36822755</v>
      </c>
      <c r="P106" s="9">
        <v>4327540</v>
      </c>
      <c r="Q106" s="9">
        <v>55319139.938725367</v>
      </c>
      <c r="R106" s="9">
        <v>14039877</v>
      </c>
      <c r="S106" s="9">
        <v>40327289</v>
      </c>
      <c r="T106" s="9">
        <v>951974</v>
      </c>
      <c r="U106" s="9">
        <v>54357220.723620005</v>
      </c>
      <c r="V106" s="9">
        <v>14307424</v>
      </c>
      <c r="W106" s="9">
        <v>39281344</v>
      </c>
      <c r="X106" s="9">
        <v>210880</v>
      </c>
      <c r="Y106" s="9">
        <v>1921789</v>
      </c>
      <c r="Z106" s="9">
        <v>55048365.490000002</v>
      </c>
      <c r="AA106" s="9">
        <v>14570762</v>
      </c>
      <c r="AB106" s="9">
        <v>40477603</v>
      </c>
      <c r="AC106" s="9">
        <v>58628763.059999995</v>
      </c>
      <c r="AD106" s="9">
        <v>14936099</v>
      </c>
      <c r="AE106" s="9">
        <v>43692664</v>
      </c>
      <c r="AF106" s="9">
        <v>59765864.699999996</v>
      </c>
      <c r="AG106" s="9">
        <v>15456359</v>
      </c>
      <c r="AH106" s="9">
        <v>44309506</v>
      </c>
      <c r="AI106" s="9">
        <v>61364752.100000001</v>
      </c>
      <c r="AJ106" s="9">
        <v>15954871</v>
      </c>
      <c r="AK106" s="28">
        <v>45409881</v>
      </c>
      <c r="AL106" s="9">
        <v>62363310.040000007</v>
      </c>
      <c r="AM106" s="9">
        <v>16662973</v>
      </c>
      <c r="AN106" s="28">
        <v>45700337</v>
      </c>
      <c r="AO106" s="9">
        <v>64368039</v>
      </c>
      <c r="AP106" s="9">
        <v>16963311</v>
      </c>
      <c r="AQ106" s="28">
        <v>47404728</v>
      </c>
      <c r="AR106" s="9">
        <v>66887262.052477211</v>
      </c>
      <c r="AS106" s="9">
        <v>17058113</v>
      </c>
      <c r="AT106" s="28">
        <v>49829149</v>
      </c>
      <c r="AU106" s="9">
        <v>70117764.530000001</v>
      </c>
      <c r="AV106" s="9">
        <v>17761102</v>
      </c>
      <c r="AW106" s="9">
        <v>52356663</v>
      </c>
      <c r="AX106" s="9">
        <v>75293069.019942045</v>
      </c>
      <c r="AY106" s="9">
        <v>18599162</v>
      </c>
      <c r="AZ106" s="28">
        <v>56693907</v>
      </c>
      <c r="BA106" s="9">
        <v>77039272.929999992</v>
      </c>
      <c r="BB106" s="9">
        <v>19328344</v>
      </c>
      <c r="BC106" s="9">
        <v>57710929</v>
      </c>
      <c r="BD106" s="9">
        <v>80948312.820000008</v>
      </c>
      <c r="BE106" s="9">
        <v>19699066</v>
      </c>
      <c r="BF106" s="9">
        <v>61251183</v>
      </c>
      <c r="BG106" s="9">
        <v>88839002.539999992</v>
      </c>
      <c r="BH106" s="9">
        <v>20577723</v>
      </c>
      <c r="BI106" s="9">
        <v>68261280</v>
      </c>
      <c r="BJ106" s="9">
        <v>96678430.429999992</v>
      </c>
      <c r="BK106" s="9">
        <v>21950317</v>
      </c>
      <c r="BL106" s="9">
        <v>74728113</v>
      </c>
      <c r="BM106" s="9"/>
      <c r="BN106" s="9"/>
      <c r="BO106" s="9"/>
      <c r="BP106" s="9"/>
      <c r="BQ106" s="9"/>
      <c r="BR106" s="9"/>
      <c r="BS106" s="9"/>
      <c r="BT106" s="9"/>
      <c r="BU106" s="9"/>
    </row>
    <row r="107" spans="1:73">
      <c r="A107" s="6">
        <v>98</v>
      </c>
      <c r="B107" s="6" t="s">
        <v>1217</v>
      </c>
      <c r="C107" s="421">
        <v>43.86</v>
      </c>
      <c r="D107" s="9">
        <v>741408</v>
      </c>
      <c r="E107" s="33">
        <v>396558</v>
      </c>
      <c r="F107" s="9">
        <v>420539.6</v>
      </c>
      <c r="G107" s="9">
        <v>831136.1</v>
      </c>
      <c r="H107" s="9">
        <v>382280</v>
      </c>
      <c r="I107" s="9">
        <v>473569</v>
      </c>
      <c r="J107" s="9">
        <v>875058.42915476626</v>
      </c>
      <c r="K107" s="9">
        <v>374728</v>
      </c>
      <c r="L107" s="9">
        <v>500454</v>
      </c>
      <c r="M107" s="9">
        <v>898069.22</v>
      </c>
      <c r="N107" s="9">
        <v>381234</v>
      </c>
      <c r="O107" s="9">
        <v>462482</v>
      </c>
      <c r="P107" s="9">
        <v>54353</v>
      </c>
      <c r="Q107" s="9">
        <v>938109.73427751218</v>
      </c>
      <c r="R107" s="9">
        <v>382731</v>
      </c>
      <c r="S107" s="9">
        <v>506498</v>
      </c>
      <c r="T107" s="9">
        <v>48881</v>
      </c>
      <c r="U107" s="9">
        <v>920526.84221999999</v>
      </c>
      <c r="V107" s="9">
        <v>383625</v>
      </c>
      <c r="W107" s="9">
        <v>526600</v>
      </c>
      <c r="X107" s="9">
        <v>2827</v>
      </c>
      <c r="Y107" s="9">
        <v>28377</v>
      </c>
      <c r="Z107" s="9">
        <v>784588.89</v>
      </c>
      <c r="AA107" s="9">
        <v>384062</v>
      </c>
      <c r="AB107" s="9">
        <v>529427</v>
      </c>
      <c r="AC107" s="9">
        <v>794115.07999999984</v>
      </c>
      <c r="AD107" s="9">
        <v>388914</v>
      </c>
      <c r="AE107" s="9">
        <v>532667</v>
      </c>
      <c r="AF107" s="9">
        <v>872998.09999999986</v>
      </c>
      <c r="AG107" s="9">
        <v>415121</v>
      </c>
      <c r="AH107" s="9">
        <v>534842</v>
      </c>
      <c r="AI107" s="9">
        <v>924504.84</v>
      </c>
      <c r="AJ107" s="9">
        <v>460528</v>
      </c>
      <c r="AK107" s="28">
        <v>537067</v>
      </c>
      <c r="AL107" s="9">
        <v>872994.29</v>
      </c>
      <c r="AM107" s="9">
        <v>469626</v>
      </c>
      <c r="AN107" s="28">
        <v>539192</v>
      </c>
      <c r="AO107" s="9">
        <v>894111.96999999986</v>
      </c>
      <c r="AP107" s="9">
        <v>487635</v>
      </c>
      <c r="AQ107" s="28">
        <v>544087</v>
      </c>
      <c r="AR107" s="9">
        <v>837564.72544684017</v>
      </c>
      <c r="AS107" s="9">
        <v>470893</v>
      </c>
      <c r="AT107" s="28">
        <v>546637</v>
      </c>
      <c r="AU107" s="9">
        <v>718962.58</v>
      </c>
      <c r="AV107" s="9">
        <v>450463</v>
      </c>
      <c r="AW107" s="9">
        <v>548737</v>
      </c>
      <c r="AX107" s="9">
        <v>740254.54001652624</v>
      </c>
      <c r="AY107" s="9">
        <v>441172</v>
      </c>
      <c r="AZ107" s="28">
        <v>550717</v>
      </c>
      <c r="BA107" s="9">
        <v>747149.5</v>
      </c>
      <c r="BB107" s="9">
        <v>475424</v>
      </c>
      <c r="BC107" s="9">
        <v>550717</v>
      </c>
      <c r="BD107" s="9">
        <v>710252.54</v>
      </c>
      <c r="BE107" s="9">
        <v>432738</v>
      </c>
      <c r="BF107" s="9">
        <v>552457</v>
      </c>
      <c r="BG107" s="9">
        <v>969371.9800000001</v>
      </c>
      <c r="BH107" s="9">
        <v>458631</v>
      </c>
      <c r="BI107" s="9">
        <v>556297</v>
      </c>
      <c r="BJ107" s="9">
        <v>917915.93000000017</v>
      </c>
      <c r="BK107" s="9">
        <v>425391</v>
      </c>
      <c r="BL107" s="9">
        <v>559717</v>
      </c>
      <c r="BM107" s="9"/>
      <c r="BN107" s="9"/>
      <c r="BO107" s="9"/>
      <c r="BP107" s="9"/>
      <c r="BQ107" s="9"/>
      <c r="BR107" s="9"/>
      <c r="BS107" s="9"/>
      <c r="BT107" s="9"/>
      <c r="BU107" s="9"/>
    </row>
    <row r="108" spans="1:73">
      <c r="A108" s="6">
        <v>99</v>
      </c>
      <c r="B108" s="6" t="s">
        <v>1218</v>
      </c>
      <c r="C108" s="421">
        <v>17.5</v>
      </c>
      <c r="D108" s="9">
        <v>21688050</v>
      </c>
      <c r="E108" s="33">
        <v>15487944</v>
      </c>
      <c r="F108" s="9">
        <v>6200106</v>
      </c>
      <c r="G108" s="9">
        <v>23679618.058180004</v>
      </c>
      <c r="H108" s="9">
        <v>16211628</v>
      </c>
      <c r="I108" s="9">
        <v>7467990</v>
      </c>
      <c r="J108" s="9">
        <v>24391941.818536025</v>
      </c>
      <c r="K108" s="9">
        <v>16728189</v>
      </c>
      <c r="L108" s="9">
        <v>7700920</v>
      </c>
      <c r="M108" s="9">
        <v>25837985.804400004</v>
      </c>
      <c r="N108" s="9">
        <v>17375190</v>
      </c>
      <c r="O108" s="9">
        <v>7572812</v>
      </c>
      <c r="P108" s="9">
        <v>889984</v>
      </c>
      <c r="Q108" s="9">
        <v>26373440.684976753</v>
      </c>
      <c r="R108" s="9">
        <v>17554085</v>
      </c>
      <c r="S108" s="9">
        <v>8293540</v>
      </c>
      <c r="T108" s="9">
        <v>525816</v>
      </c>
      <c r="U108" s="9">
        <v>25261529.643114474</v>
      </c>
      <c r="V108" s="9">
        <v>17725290</v>
      </c>
      <c r="W108" s="9">
        <v>8304130</v>
      </c>
      <c r="X108" s="9">
        <v>44580</v>
      </c>
      <c r="Y108" s="9">
        <v>543071</v>
      </c>
      <c r="Z108" s="9">
        <v>25263537.016260002</v>
      </c>
      <c r="AA108" s="9">
        <v>18503444</v>
      </c>
      <c r="AB108" s="9">
        <v>8348710</v>
      </c>
      <c r="AC108" s="9">
        <v>25735907.438639998</v>
      </c>
      <c r="AD108" s="9">
        <v>19355356</v>
      </c>
      <c r="AE108" s="9">
        <v>8460190</v>
      </c>
      <c r="AF108" s="9">
        <v>26223593.931839999</v>
      </c>
      <c r="AG108" s="9">
        <v>20174842</v>
      </c>
      <c r="AH108" s="9">
        <v>8529165</v>
      </c>
      <c r="AI108" s="9">
        <v>26242664.986009996</v>
      </c>
      <c r="AJ108" s="9">
        <v>20657534</v>
      </c>
      <c r="AK108" s="28">
        <v>8597390</v>
      </c>
      <c r="AL108" s="9">
        <v>26484573.869379997</v>
      </c>
      <c r="AM108" s="9">
        <v>21281099</v>
      </c>
      <c r="AN108" s="28">
        <v>8664640</v>
      </c>
      <c r="AO108" s="9">
        <v>26222277.008499999</v>
      </c>
      <c r="AP108" s="9">
        <v>21252070</v>
      </c>
      <c r="AQ108" s="28">
        <v>8810280</v>
      </c>
      <c r="AR108" s="9">
        <v>26331117.517189495</v>
      </c>
      <c r="AS108" s="9">
        <v>21807366</v>
      </c>
      <c r="AT108" s="28">
        <v>8888190</v>
      </c>
      <c r="AU108" s="9">
        <v>27859184.160679996</v>
      </c>
      <c r="AV108" s="9">
        <v>22576625</v>
      </c>
      <c r="AW108" s="9">
        <v>8967870</v>
      </c>
      <c r="AX108" s="9">
        <v>28934003.214451049</v>
      </c>
      <c r="AY108" s="9">
        <v>23797381</v>
      </c>
      <c r="AZ108" s="28">
        <v>9046950</v>
      </c>
      <c r="BA108" s="9">
        <v>29781054.52984</v>
      </c>
      <c r="BB108" s="9">
        <v>24569370</v>
      </c>
      <c r="BC108" s="9">
        <v>9046950</v>
      </c>
      <c r="BD108" s="9">
        <v>29685008.984399997</v>
      </c>
      <c r="BE108" s="9">
        <v>24490132</v>
      </c>
      <c r="BF108" s="9">
        <v>9123240</v>
      </c>
      <c r="BG108" s="9">
        <v>32116850.096899997</v>
      </c>
      <c r="BH108" s="9">
        <v>25779824</v>
      </c>
      <c r="BI108" s="9">
        <v>9275820</v>
      </c>
      <c r="BJ108" s="9">
        <v>34005786.001159996</v>
      </c>
      <c r="BK108" s="9">
        <v>27296530</v>
      </c>
      <c r="BL108" s="9">
        <v>9428040</v>
      </c>
      <c r="BM108" s="9"/>
      <c r="BN108" s="9"/>
      <c r="BO108" s="9"/>
      <c r="BP108" s="9"/>
      <c r="BQ108" s="9"/>
      <c r="BR108" s="9"/>
      <c r="BS108" s="9"/>
      <c r="BT108" s="9"/>
      <c r="BU108" s="9"/>
    </row>
    <row r="109" spans="1:73">
      <c r="A109" s="6">
        <v>100</v>
      </c>
      <c r="B109" s="6" t="s">
        <v>1219</v>
      </c>
      <c r="C109" s="421">
        <v>48.46</v>
      </c>
      <c r="D109" s="9">
        <v>63860283</v>
      </c>
      <c r="E109" s="33">
        <v>61259855</v>
      </c>
      <c r="F109" s="9">
        <v>8530320.4000000004</v>
      </c>
      <c r="G109" s="9">
        <v>69363562.731240004</v>
      </c>
      <c r="H109" s="9">
        <v>61627654</v>
      </c>
      <c r="I109" s="9">
        <v>10628154.4</v>
      </c>
      <c r="J109" s="9">
        <v>71074303.101445913</v>
      </c>
      <c r="K109" s="9">
        <v>60232844</v>
      </c>
      <c r="L109" s="9">
        <v>13996312.4</v>
      </c>
      <c r="M109" s="9">
        <v>75064337.095980003</v>
      </c>
      <c r="N109" s="9">
        <v>59230314</v>
      </c>
      <c r="O109" s="9">
        <v>15333796.399999999</v>
      </c>
      <c r="P109" s="9">
        <v>1802082</v>
      </c>
      <c r="Q109" s="9">
        <v>78471847.638417289</v>
      </c>
      <c r="R109" s="9">
        <v>59169653</v>
      </c>
      <c r="S109" s="9">
        <v>16793161</v>
      </c>
      <c r="T109" s="9">
        <v>2509034</v>
      </c>
      <c r="U109" s="9">
        <v>77781484.489536598</v>
      </c>
      <c r="V109" s="9">
        <v>57763279</v>
      </c>
      <c r="W109" s="9">
        <v>19634107</v>
      </c>
      <c r="X109" s="9">
        <v>105405</v>
      </c>
      <c r="Y109" s="9">
        <v>278693</v>
      </c>
      <c r="Z109" s="9">
        <v>79535372.041889995</v>
      </c>
      <c r="AA109" s="9">
        <v>57510511</v>
      </c>
      <c r="AB109" s="9">
        <v>22024861</v>
      </c>
      <c r="AC109" s="9">
        <v>84912568.179920003</v>
      </c>
      <c r="AD109" s="9">
        <v>58401638</v>
      </c>
      <c r="AE109" s="9">
        <v>28083628.771975774</v>
      </c>
      <c r="AF109" s="9">
        <v>89880263.175519973</v>
      </c>
      <c r="AG109" s="9">
        <v>59388693</v>
      </c>
      <c r="AH109" s="9">
        <v>31805022.666226074</v>
      </c>
      <c r="AI109" s="9">
        <v>91598610.68881999</v>
      </c>
      <c r="AJ109" s="9">
        <v>58137448</v>
      </c>
      <c r="AK109" s="28">
        <v>33596454.666226074</v>
      </c>
      <c r="AL109" s="9">
        <v>95619668.628199995</v>
      </c>
      <c r="AM109" s="9">
        <v>57889811</v>
      </c>
      <c r="AN109" s="28">
        <f>37729858+1000000</f>
        <v>38729858</v>
      </c>
      <c r="AO109" s="9">
        <v>97409677.469920009</v>
      </c>
      <c r="AP109" s="9">
        <v>56417775</v>
      </c>
      <c r="AQ109" s="28">
        <v>42091391</v>
      </c>
      <c r="AR109" s="9">
        <v>100719920.94220732</v>
      </c>
      <c r="AS109" s="9">
        <v>59331897</v>
      </c>
      <c r="AT109" s="28">
        <v>42363221</v>
      </c>
      <c r="AU109" s="9">
        <v>108226362.06195001</v>
      </c>
      <c r="AV109" s="9">
        <v>60883909</v>
      </c>
      <c r="AW109" s="9">
        <v>47636211.300379075</v>
      </c>
      <c r="AX109" s="9">
        <v>114246010.44154748</v>
      </c>
      <c r="AY109" s="9">
        <v>63283830</v>
      </c>
      <c r="AZ109" s="28">
        <v>50962180</v>
      </c>
      <c r="BA109" s="9">
        <v>121857618.34246999</v>
      </c>
      <c r="BB109" s="9">
        <v>65102393</v>
      </c>
      <c r="BC109" s="9">
        <v>56755225</v>
      </c>
      <c r="BD109" s="9">
        <v>124104569.45571999</v>
      </c>
      <c r="BE109" s="9">
        <v>67201559</v>
      </c>
      <c r="BF109" s="9">
        <v>57034315</v>
      </c>
      <c r="BG109" s="9">
        <v>139318256.59154996</v>
      </c>
      <c r="BH109" s="9">
        <v>70464780</v>
      </c>
      <c r="BI109" s="9">
        <v>68853477</v>
      </c>
      <c r="BJ109" s="9">
        <v>159351946.7809</v>
      </c>
      <c r="BK109" s="9">
        <v>74355413</v>
      </c>
      <c r="BL109" s="9">
        <v>84996534</v>
      </c>
      <c r="BM109" s="9"/>
      <c r="BN109" s="9"/>
      <c r="BO109" s="9"/>
      <c r="BP109" s="9"/>
      <c r="BQ109" s="9"/>
      <c r="BR109" s="9"/>
      <c r="BS109" s="9"/>
      <c r="BT109" s="9"/>
      <c r="BU109" s="9"/>
    </row>
    <row r="110" spans="1:73">
      <c r="A110" s="6">
        <v>101</v>
      </c>
      <c r="B110" s="6" t="s">
        <v>1220</v>
      </c>
      <c r="C110" s="421">
        <v>22.27</v>
      </c>
      <c r="D110" s="9">
        <v>44517161</v>
      </c>
      <c r="E110" s="33">
        <v>21157822</v>
      </c>
      <c r="F110" s="9">
        <v>23359339</v>
      </c>
      <c r="G110" s="9">
        <v>48378503.32774999</v>
      </c>
      <c r="H110" s="9">
        <v>22883906</v>
      </c>
      <c r="I110" s="9">
        <v>25494597</v>
      </c>
      <c r="J110" s="9">
        <v>50651137.614666902</v>
      </c>
      <c r="K110" s="9">
        <v>24244322</v>
      </c>
      <c r="L110" s="9">
        <v>26478420</v>
      </c>
      <c r="M110" s="9">
        <v>54191343.764519997</v>
      </c>
      <c r="N110" s="9">
        <v>25464638</v>
      </c>
      <c r="O110" s="9">
        <v>25705683</v>
      </c>
      <c r="P110" s="9">
        <v>3021023</v>
      </c>
      <c r="Q110" s="9">
        <v>56699650.475846313</v>
      </c>
      <c r="R110" s="9">
        <v>28327955</v>
      </c>
      <c r="S110" s="9">
        <v>28152172</v>
      </c>
      <c r="T110" s="9">
        <v>219523</v>
      </c>
      <c r="U110" s="9">
        <v>54564219.318353519</v>
      </c>
      <c r="V110" s="9">
        <v>28507883</v>
      </c>
      <c r="W110" s="9">
        <v>26714222</v>
      </c>
      <c r="X110" s="9">
        <v>143414</v>
      </c>
      <c r="Y110" s="9">
        <v>1674609</v>
      </c>
      <c r="Z110" s="9">
        <v>55195445.872189999</v>
      </c>
      <c r="AA110" s="9">
        <v>29273443</v>
      </c>
      <c r="AB110" s="9">
        <v>26857636</v>
      </c>
      <c r="AC110" s="9">
        <v>57091389.563199997</v>
      </c>
      <c r="AD110" s="9">
        <v>30265045</v>
      </c>
      <c r="AE110" s="9">
        <v>27111396</v>
      </c>
      <c r="AF110" s="9">
        <v>57706781.893489994</v>
      </c>
      <c r="AG110" s="9">
        <v>31221709</v>
      </c>
      <c r="AH110" s="9">
        <v>27268946</v>
      </c>
      <c r="AI110" s="9">
        <v>57559562.145959996</v>
      </c>
      <c r="AJ110" s="9">
        <v>32626068</v>
      </c>
      <c r="AK110" s="28">
        <v>27423796</v>
      </c>
      <c r="AL110" s="9">
        <v>57388919.031509995</v>
      </c>
      <c r="AM110" s="9">
        <v>34322367</v>
      </c>
      <c r="AN110" s="28">
        <v>27575946</v>
      </c>
      <c r="AO110" s="9">
        <v>56727033.490920007</v>
      </c>
      <c r="AP110" s="9">
        <v>35443923</v>
      </c>
      <c r="AQ110" s="28">
        <v>27903911</v>
      </c>
      <c r="AR110" s="9">
        <v>57148940.326983534</v>
      </c>
      <c r="AS110" s="9">
        <v>36769474</v>
      </c>
      <c r="AT110" s="28">
        <v>28078451</v>
      </c>
      <c r="AU110" s="9">
        <v>57909532.281709999</v>
      </c>
      <c r="AV110" s="9">
        <v>38481997</v>
      </c>
      <c r="AW110" s="9">
        <v>28248881</v>
      </c>
      <c r="AX110" s="9">
        <v>59674983.513386771</v>
      </c>
      <c r="AY110" s="9">
        <v>40088811</v>
      </c>
      <c r="AZ110" s="28">
        <v>28416161</v>
      </c>
      <c r="BA110" s="9">
        <v>60169866.394320011</v>
      </c>
      <c r="BB110" s="9">
        <v>41152523</v>
      </c>
      <c r="BC110" s="9">
        <v>28416161</v>
      </c>
      <c r="BD110" s="9">
        <v>59769256.119000003</v>
      </c>
      <c r="BE110" s="9">
        <v>42443297</v>
      </c>
      <c r="BF110" s="9">
        <v>28574921</v>
      </c>
      <c r="BG110" s="9">
        <v>62458712.611599997</v>
      </c>
      <c r="BH110" s="9">
        <v>44800360</v>
      </c>
      <c r="BI110" s="9">
        <v>28885721</v>
      </c>
      <c r="BJ110" s="9">
        <v>65275976.234380007</v>
      </c>
      <c r="BK110" s="9">
        <v>47235495</v>
      </c>
      <c r="BL110" s="9">
        <v>29191961</v>
      </c>
      <c r="BM110" s="9"/>
      <c r="BN110" s="9"/>
      <c r="BO110" s="9"/>
      <c r="BP110" s="9"/>
      <c r="BQ110" s="9"/>
      <c r="BR110" s="9"/>
      <c r="BS110" s="9"/>
      <c r="BT110" s="9"/>
      <c r="BU110" s="9"/>
    </row>
    <row r="111" spans="1:73">
      <c r="A111" s="6">
        <v>102</v>
      </c>
      <c r="B111" s="6" t="s">
        <v>1221</v>
      </c>
      <c r="C111" s="421">
        <v>25.91</v>
      </c>
      <c r="D111" s="9">
        <v>4190819</v>
      </c>
      <c r="E111" s="33">
        <v>3370570</v>
      </c>
      <c r="F111" s="9">
        <v>920190</v>
      </c>
      <c r="G111" s="9">
        <v>4507080.37</v>
      </c>
      <c r="H111" s="9">
        <v>3270816</v>
      </c>
      <c r="I111" s="9">
        <v>1236264</v>
      </c>
      <c r="J111" s="9">
        <v>4667891.46</v>
      </c>
      <c r="K111" s="9">
        <v>3208836</v>
      </c>
      <c r="L111" s="9">
        <v>1459055</v>
      </c>
      <c r="M111" s="9">
        <v>4729864.9000000004</v>
      </c>
      <c r="N111" s="9">
        <v>3182970</v>
      </c>
      <c r="O111" s="9">
        <v>1384217</v>
      </c>
      <c r="P111" s="9">
        <v>162678</v>
      </c>
      <c r="Q111" s="9">
        <v>4714528.3669741629</v>
      </c>
      <c r="R111" s="9">
        <v>3198884</v>
      </c>
      <c r="S111" s="9">
        <v>1515957</v>
      </c>
      <c r="T111" s="9">
        <v>0</v>
      </c>
      <c r="U111" s="9">
        <v>1175619</v>
      </c>
      <c r="V111" s="9">
        <v>817563.31469409086</v>
      </c>
      <c r="W111" s="9">
        <v>351185</v>
      </c>
      <c r="X111" s="9">
        <v>1885</v>
      </c>
      <c r="Y111" s="9">
        <v>11299</v>
      </c>
      <c r="Z111" s="9">
        <v>1172043.8400000001</v>
      </c>
      <c r="AA111" s="9">
        <v>834757</v>
      </c>
      <c r="AB111" s="9">
        <v>353070</v>
      </c>
      <c r="AC111" s="9">
        <v>1240218.98</v>
      </c>
      <c r="AD111" s="9">
        <v>861891</v>
      </c>
      <c r="AE111" s="9">
        <v>378328</v>
      </c>
      <c r="AF111" s="9">
        <v>1272336.7400000002</v>
      </c>
      <c r="AG111" s="9">
        <v>903996</v>
      </c>
      <c r="AH111" s="9">
        <v>378328</v>
      </c>
      <c r="AI111" s="9">
        <v>1283278.0999999999</v>
      </c>
      <c r="AJ111" s="9">
        <v>908860</v>
      </c>
      <c r="AK111" s="28">
        <v>388787</v>
      </c>
      <c r="AL111" s="9">
        <v>1342125.9200000004</v>
      </c>
      <c r="AM111" s="9">
        <v>945781</v>
      </c>
      <c r="AN111" s="28">
        <v>396345</v>
      </c>
      <c r="AO111" s="9">
        <v>1326002.28</v>
      </c>
      <c r="AP111" s="9">
        <v>873318</v>
      </c>
      <c r="AQ111" s="28">
        <v>452684</v>
      </c>
      <c r="AR111" s="9">
        <v>1336875.3977878354</v>
      </c>
      <c r="AS111" s="9">
        <v>897676</v>
      </c>
      <c r="AT111" s="28">
        <v>452684</v>
      </c>
      <c r="AU111" s="9">
        <v>1281376.3199999998</v>
      </c>
      <c r="AV111" s="9">
        <v>845733</v>
      </c>
      <c r="AW111" s="9">
        <v>452684</v>
      </c>
      <c r="AX111" s="9">
        <v>1402131.3215247765</v>
      </c>
      <c r="AY111" s="9">
        <v>943415</v>
      </c>
      <c r="AZ111" s="28">
        <v>459454</v>
      </c>
      <c r="BA111" s="9">
        <v>1444691.88</v>
      </c>
      <c r="BB111" s="9">
        <v>998607</v>
      </c>
      <c r="BC111" s="9">
        <v>459454</v>
      </c>
      <c r="BD111" s="9">
        <v>1116188.82</v>
      </c>
      <c r="BE111" s="9">
        <v>798958</v>
      </c>
      <c r="BF111" s="9">
        <v>461524</v>
      </c>
      <c r="BG111" s="9">
        <v>1030120.6499999999</v>
      </c>
      <c r="BH111" s="9">
        <v>716199</v>
      </c>
      <c r="BI111" s="9">
        <v>461524</v>
      </c>
      <c r="BJ111" s="9">
        <v>966323.64</v>
      </c>
      <c r="BK111" s="9">
        <v>674176</v>
      </c>
      <c r="BL111" s="9">
        <v>461524</v>
      </c>
      <c r="BM111" s="9"/>
      <c r="BN111" s="9"/>
      <c r="BO111" s="9"/>
      <c r="BP111" s="9"/>
      <c r="BQ111" s="9"/>
      <c r="BR111" s="9"/>
      <c r="BS111" s="9"/>
      <c r="BT111" s="9"/>
      <c r="BU111" s="9"/>
    </row>
    <row r="112" spans="1:73">
      <c r="A112" s="6">
        <v>103</v>
      </c>
      <c r="B112" s="6" t="s">
        <v>1222</v>
      </c>
      <c r="C112" s="421">
        <v>66.989999999999995</v>
      </c>
      <c r="D112" s="9">
        <v>23488604</v>
      </c>
      <c r="E112" s="33">
        <v>5365218</v>
      </c>
      <c r="F112" s="9">
        <v>18123386</v>
      </c>
      <c r="G112" s="9">
        <v>24280379.689999998</v>
      </c>
      <c r="H112" s="9">
        <v>5820028</v>
      </c>
      <c r="I112" s="9">
        <v>18638594</v>
      </c>
      <c r="J112" s="9">
        <v>24266064.215644144</v>
      </c>
      <c r="K112" s="9">
        <v>6154419</v>
      </c>
      <c r="L112" s="9">
        <v>18778744</v>
      </c>
      <c r="M112" s="9">
        <v>24824626.379999999</v>
      </c>
      <c r="N112" s="9">
        <v>6443188</v>
      </c>
      <c r="O112" s="9">
        <v>17123527</v>
      </c>
      <c r="P112" s="9">
        <v>2012418</v>
      </c>
      <c r="Q112" s="9">
        <v>25171808.228991386</v>
      </c>
      <c r="R112" s="9">
        <v>6290979</v>
      </c>
      <c r="S112" s="9">
        <v>18753226</v>
      </c>
      <c r="T112" s="9">
        <v>127603</v>
      </c>
      <c r="U112" s="9">
        <v>24334327.323839996</v>
      </c>
      <c r="V112" s="9">
        <v>6408008</v>
      </c>
      <c r="W112" s="9">
        <v>17777812</v>
      </c>
      <c r="X112" s="9">
        <v>95439</v>
      </c>
      <c r="Y112" s="9">
        <v>1071628</v>
      </c>
      <c r="Z112" s="9">
        <v>24492666.370000005</v>
      </c>
      <c r="AA112" s="9">
        <v>6454822</v>
      </c>
      <c r="AB112" s="9">
        <v>18037844</v>
      </c>
      <c r="AC112" s="9">
        <v>25131322.549999997</v>
      </c>
      <c r="AD112" s="9">
        <v>6708647</v>
      </c>
      <c r="AE112" s="9">
        <v>18422676</v>
      </c>
      <c r="AF112" s="9">
        <v>26124799.240000002</v>
      </c>
      <c r="AG112" s="9">
        <v>7163394</v>
      </c>
      <c r="AH112" s="9">
        <v>18961405</v>
      </c>
      <c r="AI112" s="9">
        <v>26236297.479999997</v>
      </c>
      <c r="AJ112" s="9">
        <v>7521101</v>
      </c>
      <c r="AK112" s="28">
        <v>19023155</v>
      </c>
      <c r="AL112" s="9">
        <v>27133681.380000003</v>
      </c>
      <c r="AM112" s="9">
        <v>8111579</v>
      </c>
      <c r="AN112" s="28">
        <v>19085780</v>
      </c>
      <c r="AO112" s="9">
        <v>27651776.550000001</v>
      </c>
      <c r="AP112" s="9">
        <v>8469172</v>
      </c>
      <c r="AQ112" s="28">
        <v>19225095</v>
      </c>
      <c r="AR112" s="9">
        <v>28300931.482949637</v>
      </c>
      <c r="AS112" s="9">
        <v>8779067</v>
      </c>
      <c r="AT112" s="28">
        <v>19521864</v>
      </c>
      <c r="AU112" s="9">
        <v>28813726.650000002</v>
      </c>
      <c r="AV112" s="9">
        <v>9088523</v>
      </c>
      <c r="AW112" s="9">
        <v>19725204</v>
      </c>
      <c r="AX112" s="9">
        <v>30422248.530316565</v>
      </c>
      <c r="AY112" s="9">
        <v>9418789</v>
      </c>
      <c r="AZ112" s="28">
        <v>21003460</v>
      </c>
      <c r="BA112" s="9">
        <v>30692122.609999999</v>
      </c>
      <c r="BB112" s="9">
        <v>9927325</v>
      </c>
      <c r="BC112" s="9">
        <v>21003460</v>
      </c>
      <c r="BD112" s="9">
        <v>30713287.02</v>
      </c>
      <c r="BE112" s="9">
        <v>10332365</v>
      </c>
      <c r="BF112" s="9">
        <v>21072010</v>
      </c>
      <c r="BG112" s="9">
        <v>34029130.219999999</v>
      </c>
      <c r="BH112" s="9">
        <v>10721731</v>
      </c>
      <c r="BI112" s="9">
        <v>23307399</v>
      </c>
      <c r="BJ112" s="9">
        <v>38690363.829999998</v>
      </c>
      <c r="BK112" s="9">
        <v>11262118</v>
      </c>
      <c r="BL112" s="9">
        <v>27428246</v>
      </c>
      <c r="BM112" s="9"/>
      <c r="BN112" s="9"/>
      <c r="BO112" s="9"/>
      <c r="BP112" s="9"/>
      <c r="BQ112" s="9"/>
      <c r="BR112" s="9"/>
      <c r="BS112" s="9"/>
      <c r="BT112" s="9"/>
      <c r="BU112" s="9"/>
    </row>
    <row r="113" spans="1:73">
      <c r="A113" s="6">
        <v>104</v>
      </c>
      <c r="B113" s="6" t="s">
        <v>785</v>
      </c>
      <c r="C113" s="421">
        <v>17.5</v>
      </c>
      <c r="D113" s="9">
        <v>0</v>
      </c>
      <c r="E113" s="33">
        <v>0</v>
      </c>
      <c r="F113" s="9">
        <v>0</v>
      </c>
      <c r="G113" s="9">
        <v>0</v>
      </c>
      <c r="H113" s="9">
        <v>0</v>
      </c>
      <c r="I113" s="9">
        <v>0</v>
      </c>
      <c r="J113" s="9">
        <v>0</v>
      </c>
      <c r="K113" s="9">
        <v>0</v>
      </c>
      <c r="L113" s="9">
        <v>0</v>
      </c>
      <c r="M113" s="9">
        <v>0</v>
      </c>
      <c r="N113" s="9">
        <v>0</v>
      </c>
      <c r="O113" s="9">
        <v>0</v>
      </c>
      <c r="P113" s="9">
        <v>0</v>
      </c>
      <c r="Q113" s="9">
        <v>0</v>
      </c>
      <c r="R113" s="9">
        <v>0</v>
      </c>
      <c r="S113" s="9">
        <v>0</v>
      </c>
      <c r="T113" s="9">
        <v>0</v>
      </c>
      <c r="U113" s="9">
        <v>0</v>
      </c>
      <c r="V113" s="9">
        <v>0</v>
      </c>
      <c r="W113" s="9">
        <v>0</v>
      </c>
      <c r="X113" s="9">
        <v>0</v>
      </c>
      <c r="Y113" s="9">
        <v>0</v>
      </c>
      <c r="Z113" s="9">
        <v>0</v>
      </c>
      <c r="AA113" s="9">
        <v>0</v>
      </c>
      <c r="AB113" s="9">
        <v>0</v>
      </c>
      <c r="AC113" s="9">
        <v>0</v>
      </c>
      <c r="AD113" s="9">
        <v>0</v>
      </c>
      <c r="AE113" s="9">
        <v>0</v>
      </c>
      <c r="AF113" s="9">
        <v>0</v>
      </c>
      <c r="AG113" s="9">
        <v>0</v>
      </c>
      <c r="AH113" s="9">
        <v>0</v>
      </c>
      <c r="AI113" s="9">
        <v>0</v>
      </c>
      <c r="AJ113" s="9">
        <v>0</v>
      </c>
      <c r="AK113" s="28">
        <v>0</v>
      </c>
      <c r="AL113" s="9">
        <v>0</v>
      </c>
      <c r="AM113" s="9">
        <v>0</v>
      </c>
      <c r="AN113" s="28">
        <v>0</v>
      </c>
      <c r="AO113" s="9">
        <v>0</v>
      </c>
      <c r="AP113" s="9">
        <v>0</v>
      </c>
      <c r="AQ113" s="28">
        <v>0</v>
      </c>
      <c r="AR113" s="9">
        <v>0</v>
      </c>
      <c r="AS113" s="9">
        <v>0</v>
      </c>
      <c r="AT113" s="28">
        <v>0</v>
      </c>
      <c r="AU113" s="9">
        <v>0</v>
      </c>
      <c r="AV113" s="9">
        <v>0</v>
      </c>
      <c r="AW113" s="9">
        <v>0</v>
      </c>
      <c r="AX113" s="9">
        <v>0</v>
      </c>
      <c r="AY113" s="9">
        <v>0</v>
      </c>
      <c r="AZ113" s="28">
        <v>0</v>
      </c>
      <c r="BA113" s="9">
        <v>0</v>
      </c>
      <c r="BB113" s="9">
        <v>0</v>
      </c>
      <c r="BC113" s="9">
        <v>0</v>
      </c>
      <c r="BD113" s="9">
        <v>0</v>
      </c>
      <c r="BE113" s="9">
        <v>0</v>
      </c>
      <c r="BF113" s="9">
        <v>0</v>
      </c>
      <c r="BG113" s="9">
        <v>0</v>
      </c>
      <c r="BH113" s="9">
        <v>0</v>
      </c>
      <c r="BI113" s="9">
        <v>0</v>
      </c>
      <c r="BJ113" s="9">
        <v>0</v>
      </c>
      <c r="BK113" s="9">
        <v>0</v>
      </c>
      <c r="BL113" s="9">
        <v>0</v>
      </c>
      <c r="BM113" s="9"/>
      <c r="BN113" s="9"/>
      <c r="BO113" s="9"/>
      <c r="BP113" s="9"/>
      <c r="BQ113" s="9"/>
      <c r="BR113" s="9"/>
      <c r="BS113" s="9"/>
      <c r="BT113" s="9"/>
      <c r="BU113" s="9"/>
    </row>
    <row r="114" spans="1:73">
      <c r="A114" s="6">
        <v>105</v>
      </c>
      <c r="B114" s="6" t="s">
        <v>1223</v>
      </c>
      <c r="C114" s="421">
        <v>17.77</v>
      </c>
      <c r="D114" s="9">
        <v>9890177</v>
      </c>
      <c r="E114" s="33">
        <v>6461877</v>
      </c>
      <c r="F114" s="9">
        <v>3428300</v>
      </c>
      <c r="G114" s="9">
        <v>11110810.230000002</v>
      </c>
      <c r="H114" s="9">
        <v>7042873</v>
      </c>
      <c r="I114" s="9">
        <v>4067937</v>
      </c>
      <c r="J114" s="9">
        <v>11765704.999744495</v>
      </c>
      <c r="K114" s="9">
        <v>7509511</v>
      </c>
      <c r="L114" s="9">
        <v>4294072</v>
      </c>
      <c r="M114" s="9">
        <v>12224355.249999996</v>
      </c>
      <c r="N114" s="9">
        <v>7808142</v>
      </c>
      <c r="O114" s="9">
        <v>3977475</v>
      </c>
      <c r="P114" s="9">
        <v>467447</v>
      </c>
      <c r="Q114" s="9">
        <v>13336299.693443066</v>
      </c>
      <c r="R114" s="9">
        <v>7954056</v>
      </c>
      <c r="S114" s="9">
        <v>4356024</v>
      </c>
      <c r="T114" s="9">
        <v>1026220</v>
      </c>
      <c r="U114" s="9">
        <v>12957759.106319999</v>
      </c>
      <c r="V114" s="9">
        <v>8151601</v>
      </c>
      <c r="W114" s="9">
        <v>5067813</v>
      </c>
      <c r="X114" s="9">
        <v>27206</v>
      </c>
      <c r="Y114" s="9">
        <v>326500</v>
      </c>
      <c r="Z114" s="9">
        <v>13112600.769999998</v>
      </c>
      <c r="AA114" s="9">
        <v>8111641</v>
      </c>
      <c r="AB114" s="9">
        <v>5095019</v>
      </c>
      <c r="AC114" s="9">
        <v>13510524.82</v>
      </c>
      <c r="AD114" s="9">
        <v>8329567</v>
      </c>
      <c r="AE114" s="9">
        <v>5180958</v>
      </c>
      <c r="AF114" s="9">
        <v>13168838.209999999</v>
      </c>
      <c r="AG114" s="9">
        <v>8562303</v>
      </c>
      <c r="AH114" s="9">
        <f>5218183+42110</f>
        <v>5260293</v>
      </c>
      <c r="AI114" s="9">
        <v>13311710.359999999</v>
      </c>
      <c r="AJ114" s="9">
        <v>8894215</v>
      </c>
      <c r="AK114" s="28">
        <v>5297543</v>
      </c>
      <c r="AL114" s="9">
        <v>12726852.809999999</v>
      </c>
      <c r="AM114" s="9">
        <v>9153957</v>
      </c>
      <c r="AN114" s="28">
        <v>5332268</v>
      </c>
      <c r="AO114" s="9">
        <v>12709129.820000002</v>
      </c>
      <c r="AP114" s="9">
        <v>9404745</v>
      </c>
      <c r="AQ114" s="28">
        <v>5407948</v>
      </c>
      <c r="AR114" s="9">
        <v>12771696.514767833</v>
      </c>
      <c r="AS114" s="9">
        <v>9356963</v>
      </c>
      <c r="AT114" s="28">
        <v>5448358</v>
      </c>
      <c r="AU114" s="9">
        <v>13014006.640000001</v>
      </c>
      <c r="AV114" s="9">
        <v>9674567</v>
      </c>
      <c r="AW114" s="9">
        <v>5488348</v>
      </c>
      <c r="AX114" s="9">
        <v>13380030.102942491</v>
      </c>
      <c r="AY114" s="9">
        <v>10305171</v>
      </c>
      <c r="AZ114" s="28">
        <v>5527768</v>
      </c>
      <c r="BA114" s="9">
        <v>13521537.540000001</v>
      </c>
      <c r="BB114" s="9">
        <v>10617926</v>
      </c>
      <c r="BC114" s="9">
        <v>5527768</v>
      </c>
      <c r="BD114" s="9">
        <v>13268519.02</v>
      </c>
      <c r="BE114" s="9">
        <v>10680486</v>
      </c>
      <c r="BF114" s="9">
        <v>5564938</v>
      </c>
      <c r="BG114" s="9">
        <v>14264533.799999997</v>
      </c>
      <c r="BH114" s="9">
        <v>11007817</v>
      </c>
      <c r="BI114" s="9">
        <v>5639758</v>
      </c>
      <c r="BJ114" s="9">
        <v>15011687.49</v>
      </c>
      <c r="BK114" s="9">
        <v>11377637</v>
      </c>
      <c r="BL114" s="9">
        <v>5713498</v>
      </c>
      <c r="BM114" s="9"/>
      <c r="BN114" s="9"/>
      <c r="BO114" s="9"/>
      <c r="BP114" s="9"/>
      <c r="BQ114" s="9"/>
      <c r="BR114" s="9"/>
      <c r="BS114" s="9"/>
      <c r="BT114" s="9"/>
      <c r="BU114" s="9"/>
    </row>
    <row r="115" spans="1:73">
      <c r="A115" s="6">
        <v>106</v>
      </c>
      <c r="B115" s="6" t="s">
        <v>1224</v>
      </c>
      <c r="C115" s="421">
        <v>35.03</v>
      </c>
      <c r="D115" s="9">
        <v>0</v>
      </c>
      <c r="E115" s="33">
        <v>0</v>
      </c>
      <c r="F115" s="9">
        <v>0</v>
      </c>
      <c r="G115" s="9">
        <v>0</v>
      </c>
      <c r="H115" s="9">
        <v>0</v>
      </c>
      <c r="I115" s="9">
        <v>0</v>
      </c>
      <c r="J115" s="9">
        <v>0</v>
      </c>
      <c r="K115" s="9">
        <v>0</v>
      </c>
      <c r="L115" s="9">
        <v>0</v>
      </c>
      <c r="M115" s="9">
        <v>0</v>
      </c>
      <c r="N115" s="9">
        <v>0</v>
      </c>
      <c r="O115" s="9">
        <v>0</v>
      </c>
      <c r="P115" s="9">
        <v>0</v>
      </c>
      <c r="Q115" s="9">
        <v>0</v>
      </c>
      <c r="R115" s="9">
        <v>0</v>
      </c>
      <c r="S115" s="9">
        <v>0</v>
      </c>
      <c r="T115" s="9">
        <v>0</v>
      </c>
      <c r="U115" s="9">
        <v>0</v>
      </c>
      <c r="V115" s="9">
        <v>0</v>
      </c>
      <c r="W115" s="9">
        <v>0</v>
      </c>
      <c r="X115" s="9">
        <v>0</v>
      </c>
      <c r="Y115" s="9">
        <v>0</v>
      </c>
      <c r="Z115" s="9">
        <v>0</v>
      </c>
      <c r="AA115" s="9">
        <v>0</v>
      </c>
      <c r="AB115" s="9">
        <v>0</v>
      </c>
      <c r="AC115" s="9">
        <v>0</v>
      </c>
      <c r="AD115" s="9">
        <v>0</v>
      </c>
      <c r="AE115" s="9">
        <v>0</v>
      </c>
      <c r="AF115" s="9">
        <v>0</v>
      </c>
      <c r="AG115" s="9">
        <v>0</v>
      </c>
      <c r="AH115" s="9">
        <v>0</v>
      </c>
      <c r="AI115" s="9">
        <v>0</v>
      </c>
      <c r="AJ115" s="9">
        <v>0</v>
      </c>
      <c r="AK115" s="28">
        <v>0</v>
      </c>
      <c r="AL115" s="9">
        <v>0</v>
      </c>
      <c r="AM115" s="9">
        <v>0</v>
      </c>
      <c r="AN115" s="28">
        <v>0</v>
      </c>
      <c r="AO115" s="9">
        <v>0</v>
      </c>
      <c r="AP115" s="9">
        <v>0</v>
      </c>
      <c r="AQ115" s="28">
        <v>0</v>
      </c>
      <c r="AR115" s="9">
        <v>0</v>
      </c>
      <c r="AS115" s="9">
        <v>0</v>
      </c>
      <c r="AT115" s="28">
        <v>0</v>
      </c>
      <c r="AU115" s="9">
        <v>0</v>
      </c>
      <c r="AV115" s="9">
        <v>0</v>
      </c>
      <c r="AW115" s="9">
        <v>0</v>
      </c>
      <c r="AX115" s="9">
        <v>0</v>
      </c>
      <c r="AY115" s="9">
        <v>0</v>
      </c>
      <c r="AZ115" s="28">
        <v>0</v>
      </c>
      <c r="BA115" s="9">
        <v>0</v>
      </c>
      <c r="BB115" s="9">
        <v>0</v>
      </c>
      <c r="BC115" s="9">
        <v>0</v>
      </c>
      <c r="BD115" s="9">
        <v>0</v>
      </c>
      <c r="BE115" s="9">
        <v>0</v>
      </c>
      <c r="BF115" s="9">
        <v>0</v>
      </c>
      <c r="BG115" s="9">
        <v>0</v>
      </c>
      <c r="BH115" s="9">
        <v>0</v>
      </c>
      <c r="BI115" s="9">
        <v>0</v>
      </c>
      <c r="BJ115" s="9">
        <v>0</v>
      </c>
      <c r="BK115" s="9">
        <v>0</v>
      </c>
      <c r="BL115" s="9">
        <v>0</v>
      </c>
      <c r="BM115" s="9"/>
      <c r="BN115" s="9"/>
      <c r="BO115" s="9"/>
      <c r="BP115" s="9"/>
      <c r="BQ115" s="9"/>
      <c r="BR115" s="9"/>
      <c r="BS115" s="9"/>
      <c r="BT115" s="9"/>
      <c r="BU115" s="9"/>
    </row>
    <row r="116" spans="1:73">
      <c r="A116" s="6">
        <v>107</v>
      </c>
      <c r="B116" s="6" t="s">
        <v>1225</v>
      </c>
      <c r="C116" s="421">
        <v>17.5</v>
      </c>
      <c r="D116" s="9">
        <v>31232007</v>
      </c>
      <c r="E116" s="33">
        <v>26625347</v>
      </c>
      <c r="F116" s="9">
        <v>5446301.5999999996</v>
      </c>
      <c r="G116" s="9">
        <v>32559971.797839999</v>
      </c>
      <c r="H116" s="9">
        <v>27559732</v>
      </c>
      <c r="I116" s="9">
        <v>5678695.5999999996</v>
      </c>
      <c r="J116" s="9">
        <v>34505025.028608091</v>
      </c>
      <c r="K116" s="9">
        <v>28613858</v>
      </c>
      <c r="L116" s="9">
        <v>6019080</v>
      </c>
      <c r="M116" s="9">
        <v>34138942.174929991</v>
      </c>
      <c r="N116" s="9">
        <v>29038790</v>
      </c>
      <c r="O116" s="9">
        <v>5551677</v>
      </c>
      <c r="P116" s="9">
        <v>652453</v>
      </c>
      <c r="Q116" s="9">
        <v>34553577.53120216</v>
      </c>
      <c r="R116" s="9">
        <v>28958748</v>
      </c>
      <c r="S116" s="9">
        <v>6080047</v>
      </c>
      <c r="T116" s="9">
        <v>0</v>
      </c>
      <c r="U116" s="9">
        <v>33723505.701047271</v>
      </c>
      <c r="V116" s="9">
        <v>29373670</v>
      </c>
      <c r="W116" s="9">
        <v>5724851</v>
      </c>
      <c r="X116" s="9">
        <v>30734</v>
      </c>
      <c r="Y116" s="9">
        <v>413662</v>
      </c>
      <c r="Z116" s="9">
        <v>33676197.520679988</v>
      </c>
      <c r="AA116" s="9">
        <v>29773120</v>
      </c>
      <c r="AB116" s="9">
        <v>5755585</v>
      </c>
      <c r="AC116" s="9">
        <v>35226845.308150001</v>
      </c>
      <c r="AD116" s="9">
        <v>30509144</v>
      </c>
      <c r="AE116" s="9">
        <v>5893705</v>
      </c>
      <c r="AF116" s="9">
        <v>35681068.365740001</v>
      </c>
      <c r="AG116" s="9">
        <v>31184657</v>
      </c>
      <c r="AH116" s="9">
        <f>5981325.49100113+92942</f>
        <v>6074267.4910011301</v>
      </c>
      <c r="AI116" s="9">
        <v>35333205.213599995</v>
      </c>
      <c r="AJ116" s="9">
        <v>30916076</v>
      </c>
      <c r="AK116" s="28">
        <v>6157967.4910011301</v>
      </c>
      <c r="AL116" s="9">
        <v>34881817.403679989</v>
      </c>
      <c r="AM116" s="9">
        <v>30325627</v>
      </c>
      <c r="AN116" s="28">
        <v>6238892.4910011301</v>
      </c>
      <c r="AO116" s="9">
        <v>34761401.33839</v>
      </c>
      <c r="AP116" s="9">
        <v>29058004</v>
      </c>
      <c r="AQ116" s="28">
        <v>6413737.4910011301</v>
      </c>
      <c r="AR116" s="9">
        <v>35423863.383190274</v>
      </c>
      <c r="AS116" s="9">
        <v>29347381</v>
      </c>
      <c r="AT116" s="28">
        <v>6509407.4910011301</v>
      </c>
      <c r="AU116" s="9">
        <v>36267476.233949997</v>
      </c>
      <c r="AV116" s="9">
        <v>29920668</v>
      </c>
      <c r="AW116" s="9">
        <v>6605077.4910011301</v>
      </c>
      <c r="AX116" s="9">
        <v>37845891.761949673</v>
      </c>
      <c r="AY116" s="9">
        <v>31169618</v>
      </c>
      <c r="AZ116" s="28">
        <v>6699157</v>
      </c>
      <c r="BA116" s="9">
        <v>38460242.64918001</v>
      </c>
      <c r="BB116" s="9">
        <v>31729700</v>
      </c>
      <c r="BC116" s="9">
        <v>6730543</v>
      </c>
      <c r="BD116" s="9">
        <v>39342679.288419999</v>
      </c>
      <c r="BE116" s="9">
        <v>32457710</v>
      </c>
      <c r="BF116" s="9">
        <v>6884969</v>
      </c>
      <c r="BG116" s="9">
        <v>43648880.139679991</v>
      </c>
      <c r="BH116" s="9">
        <v>33989778</v>
      </c>
      <c r="BI116" s="9">
        <v>9659102</v>
      </c>
      <c r="BJ116" s="9">
        <v>47045109.888499998</v>
      </c>
      <c r="BK116" s="9">
        <v>35714197</v>
      </c>
      <c r="BL116" s="9">
        <v>11330913</v>
      </c>
      <c r="BM116" s="9"/>
      <c r="BN116" s="9"/>
      <c r="BO116" s="9"/>
      <c r="BP116" s="9"/>
      <c r="BQ116" s="9"/>
      <c r="BR116" s="9"/>
      <c r="BS116" s="9"/>
      <c r="BT116" s="9"/>
      <c r="BU116" s="9"/>
    </row>
    <row r="117" spans="1:73">
      <c r="A117" s="6">
        <v>108</v>
      </c>
      <c r="B117" s="6" t="s">
        <v>1226</v>
      </c>
      <c r="C117" s="421">
        <v>38.159999999999997</v>
      </c>
      <c r="D117" s="9">
        <v>127431</v>
      </c>
      <c r="E117" s="33">
        <v>75115</v>
      </c>
      <c r="F117" s="9">
        <v>71846.8</v>
      </c>
      <c r="G117" s="9">
        <v>97646.94</v>
      </c>
      <c r="H117" s="9">
        <v>63992</v>
      </c>
      <c r="I117" s="9">
        <v>72296.800000000003</v>
      </c>
      <c r="J117" s="9">
        <v>113552.7</v>
      </c>
      <c r="K117" s="9">
        <v>67109</v>
      </c>
      <c r="L117" s="9">
        <v>80208.800000000003</v>
      </c>
      <c r="M117" s="9">
        <v>154299.47</v>
      </c>
      <c r="N117" s="9">
        <v>77762</v>
      </c>
      <c r="O117" s="9">
        <v>102158.8</v>
      </c>
      <c r="P117" s="9">
        <v>0</v>
      </c>
      <c r="Q117" s="9">
        <v>158990.21712535885</v>
      </c>
      <c r="R117" s="9">
        <v>82506</v>
      </c>
      <c r="S117" s="9">
        <v>100116</v>
      </c>
      <c r="T117" s="9">
        <v>0</v>
      </c>
      <c r="U117" s="9">
        <v>167528.0748</v>
      </c>
      <c r="V117" s="9">
        <v>89091</v>
      </c>
      <c r="W117" s="9">
        <v>96111</v>
      </c>
      <c r="X117" s="9">
        <v>0</v>
      </c>
      <c r="Y117" s="9">
        <v>0</v>
      </c>
      <c r="Z117" s="9">
        <v>110250.63</v>
      </c>
      <c r="AA117" s="9">
        <v>62127</v>
      </c>
      <c r="AB117" s="9">
        <v>96111</v>
      </c>
      <c r="AC117" s="9">
        <v>189431.25</v>
      </c>
      <c r="AD117" s="9">
        <v>104098</v>
      </c>
      <c r="AE117" s="9">
        <v>96111</v>
      </c>
      <c r="AF117" s="9">
        <v>192367.49000000002</v>
      </c>
      <c r="AG117" s="9">
        <v>104174</v>
      </c>
      <c r="AH117" s="9">
        <v>96111</v>
      </c>
      <c r="AI117" s="9">
        <v>168011.94999999998</v>
      </c>
      <c r="AJ117" s="9">
        <v>107732</v>
      </c>
      <c r="AK117" s="28">
        <v>96111</v>
      </c>
      <c r="AL117" s="9">
        <v>105599.68000000001</v>
      </c>
      <c r="AM117" s="9">
        <v>71097</v>
      </c>
      <c r="AN117" s="28">
        <v>96111</v>
      </c>
      <c r="AO117" s="9">
        <v>105367.36000000002</v>
      </c>
      <c r="AP117" s="9">
        <v>68309</v>
      </c>
      <c r="AQ117" s="28">
        <v>96111</v>
      </c>
      <c r="AR117" s="9">
        <v>107334.66674871638</v>
      </c>
      <c r="AS117" s="9">
        <v>72157</v>
      </c>
      <c r="AT117" s="28">
        <v>96111</v>
      </c>
      <c r="AU117" s="9">
        <v>138371.6</v>
      </c>
      <c r="AV117" s="9">
        <v>82071</v>
      </c>
      <c r="AW117" s="9">
        <v>96111</v>
      </c>
      <c r="AX117" s="9">
        <v>143717.97255353359</v>
      </c>
      <c r="AY117" s="9">
        <v>88003</v>
      </c>
      <c r="AZ117" s="28">
        <v>96111</v>
      </c>
      <c r="BA117" s="9">
        <v>146578.00000000003</v>
      </c>
      <c r="BB117" s="9">
        <v>88586</v>
      </c>
      <c r="BC117" s="9">
        <v>96111</v>
      </c>
      <c r="BD117" s="9">
        <v>134575.02000000002</v>
      </c>
      <c r="BE117" s="9">
        <v>87682</v>
      </c>
      <c r="BF117" s="9">
        <v>96381</v>
      </c>
      <c r="BG117" s="9">
        <v>125581.68000000001</v>
      </c>
      <c r="BH117" s="9">
        <v>71786</v>
      </c>
      <c r="BI117" s="9">
        <v>96381</v>
      </c>
      <c r="BJ117" s="9">
        <v>148416.84</v>
      </c>
      <c r="BK117" s="9">
        <v>89000</v>
      </c>
      <c r="BL117" s="9">
        <v>96381</v>
      </c>
      <c r="BM117" s="9"/>
      <c r="BN117" s="9"/>
      <c r="BO117" s="9"/>
      <c r="BP117" s="9"/>
      <c r="BQ117" s="9"/>
      <c r="BR117" s="9"/>
      <c r="BS117" s="9"/>
      <c r="BT117" s="9"/>
      <c r="BU117" s="9"/>
    </row>
    <row r="118" spans="1:73">
      <c r="A118" s="6">
        <v>109</v>
      </c>
      <c r="B118" s="6" t="s">
        <v>1227</v>
      </c>
      <c r="C118" s="421">
        <v>100</v>
      </c>
      <c r="D118" s="9">
        <v>41274</v>
      </c>
      <c r="E118" s="33">
        <v>33796</v>
      </c>
      <c r="F118" s="9">
        <v>8396.4</v>
      </c>
      <c r="G118" s="9">
        <v>51911.4</v>
      </c>
      <c r="H118" s="9">
        <v>35263</v>
      </c>
      <c r="I118" s="9">
        <v>16648</v>
      </c>
      <c r="J118" s="9">
        <v>54330.509943651086</v>
      </c>
      <c r="K118" s="9">
        <v>37234</v>
      </c>
      <c r="L118" s="9">
        <v>17097</v>
      </c>
      <c r="M118" s="9">
        <v>50519.31</v>
      </c>
      <c r="N118" s="9">
        <v>38690</v>
      </c>
      <c r="O118" s="9">
        <v>17447</v>
      </c>
      <c r="P118" s="9">
        <v>0</v>
      </c>
      <c r="Q118" s="9">
        <v>38313.742821052641</v>
      </c>
      <c r="R118" s="9">
        <v>38151</v>
      </c>
      <c r="S118" s="9">
        <v>17098</v>
      </c>
      <c r="T118" s="9">
        <v>0</v>
      </c>
      <c r="U118" s="9">
        <v>28361.246939999997</v>
      </c>
      <c r="V118" s="9">
        <v>34636</v>
      </c>
      <c r="W118" s="9">
        <v>16414</v>
      </c>
      <c r="X118" s="9">
        <v>0</v>
      </c>
      <c r="Y118" s="9">
        <v>0</v>
      </c>
      <c r="Z118" s="9">
        <v>39039.35</v>
      </c>
      <c r="AA118" s="9">
        <v>35217</v>
      </c>
      <c r="AB118" s="9">
        <v>16414</v>
      </c>
      <c r="AC118" s="9">
        <v>35111.69</v>
      </c>
      <c r="AD118" s="9">
        <v>34852</v>
      </c>
      <c r="AE118" s="9">
        <v>16414</v>
      </c>
      <c r="AF118" s="9">
        <v>31217.899999999998</v>
      </c>
      <c r="AG118" s="9">
        <v>31218</v>
      </c>
      <c r="AH118" s="9">
        <v>16414</v>
      </c>
      <c r="AI118" s="9">
        <v>22957.61</v>
      </c>
      <c r="AJ118" s="9">
        <v>20662</v>
      </c>
      <c r="AK118" s="28">
        <v>16414</v>
      </c>
      <c r="AL118" s="9">
        <v>31484.75</v>
      </c>
      <c r="AM118" s="9">
        <v>22007</v>
      </c>
      <c r="AN118" s="28">
        <v>16414</v>
      </c>
      <c r="AO118" s="9">
        <v>21496.61</v>
      </c>
      <c r="AP118" s="9">
        <v>18430</v>
      </c>
      <c r="AQ118" s="28">
        <v>16414</v>
      </c>
      <c r="AR118" s="9">
        <v>21755.78608038156</v>
      </c>
      <c r="AS118" s="9">
        <v>18105</v>
      </c>
      <c r="AT118" s="28">
        <v>16414</v>
      </c>
      <c r="AU118" s="9">
        <v>22611</v>
      </c>
      <c r="AV118" s="9">
        <v>18574</v>
      </c>
      <c r="AW118" s="9">
        <v>16414</v>
      </c>
      <c r="AX118" s="9">
        <v>28232.853971617853</v>
      </c>
      <c r="AY118" s="9">
        <v>23292</v>
      </c>
      <c r="AZ118" s="28">
        <v>16414</v>
      </c>
      <c r="BA118" s="9">
        <v>8254.48</v>
      </c>
      <c r="BB118" s="9">
        <v>6810</v>
      </c>
      <c r="BC118" s="9">
        <v>8254.48</v>
      </c>
      <c r="BD118" s="9">
        <v>41750.770000000004</v>
      </c>
      <c r="BE118" s="9">
        <v>34444</v>
      </c>
      <c r="BF118" s="9">
        <v>8404.48</v>
      </c>
      <c r="BG118" s="9">
        <v>8618.84</v>
      </c>
      <c r="BH118" s="9">
        <v>7111</v>
      </c>
      <c r="BI118" s="9">
        <v>8404.48</v>
      </c>
      <c r="BJ118" s="9">
        <v>0</v>
      </c>
      <c r="BK118" s="9">
        <v>0</v>
      </c>
      <c r="BL118" s="9">
        <v>0</v>
      </c>
      <c r="BM118" s="9"/>
      <c r="BN118" s="9"/>
      <c r="BO118" s="9"/>
      <c r="BP118" s="9"/>
      <c r="BQ118" s="9"/>
      <c r="BR118" s="9"/>
      <c r="BS118" s="9"/>
      <c r="BT118" s="9"/>
      <c r="BU118" s="9"/>
    </row>
    <row r="119" spans="1:73">
      <c r="A119" s="6">
        <v>110</v>
      </c>
      <c r="B119" s="6" t="s">
        <v>1228</v>
      </c>
      <c r="C119" s="421">
        <v>27.46</v>
      </c>
      <c r="D119" s="9">
        <v>17156243</v>
      </c>
      <c r="E119" s="33">
        <v>11239997</v>
      </c>
      <c r="F119" s="9">
        <v>5916246</v>
      </c>
      <c r="G119" s="9">
        <v>18952992.459999997</v>
      </c>
      <c r="H119" s="9">
        <v>12369492</v>
      </c>
      <c r="I119" s="9">
        <v>6583500</v>
      </c>
      <c r="J119" s="9">
        <v>21091974.376996525</v>
      </c>
      <c r="K119" s="9">
        <v>13330299</v>
      </c>
      <c r="L119" s="9">
        <v>7761675</v>
      </c>
      <c r="M119" s="9">
        <v>22437094.370000001</v>
      </c>
      <c r="N119" s="9">
        <v>14299322</v>
      </c>
      <c r="O119" s="9">
        <v>7320485</v>
      </c>
      <c r="P119" s="9">
        <v>860329</v>
      </c>
      <c r="Q119" s="9">
        <v>23677504.63712154</v>
      </c>
      <c r="R119" s="9">
        <v>14635325</v>
      </c>
      <c r="S119" s="9">
        <v>8017198</v>
      </c>
      <c r="T119" s="9">
        <v>1024982</v>
      </c>
      <c r="U119" s="9">
        <v>23187153.685799997</v>
      </c>
      <c r="V119" s="9">
        <v>15109681</v>
      </c>
      <c r="W119" s="9">
        <v>8513937</v>
      </c>
      <c r="X119" s="9">
        <v>45707</v>
      </c>
      <c r="Y119" s="9">
        <v>552411</v>
      </c>
      <c r="Z119" s="9">
        <v>23744711.860000003</v>
      </c>
      <c r="AA119" s="9">
        <v>15535022</v>
      </c>
      <c r="AB119" s="9">
        <v>8559644</v>
      </c>
      <c r="AC119" s="9">
        <v>25114629.089999996</v>
      </c>
      <c r="AD119" s="9">
        <v>16118863</v>
      </c>
      <c r="AE119" s="9">
        <v>8995766</v>
      </c>
      <c r="AF119" s="9">
        <v>27387656.219999999</v>
      </c>
      <c r="AG119" s="9">
        <v>16893716</v>
      </c>
      <c r="AH119" s="9">
        <v>10493940</v>
      </c>
      <c r="AI119" s="9">
        <v>28066998.630000003</v>
      </c>
      <c r="AJ119" s="9">
        <v>17847710</v>
      </c>
      <c r="AK119" s="28">
        <v>10571515</v>
      </c>
      <c r="AL119" s="9">
        <v>29002097.030000001</v>
      </c>
      <c r="AM119" s="9">
        <v>18689770</v>
      </c>
      <c r="AN119" s="28">
        <v>10650490</v>
      </c>
      <c r="AO119" s="9">
        <v>29937376.269999996</v>
      </c>
      <c r="AP119" s="9">
        <v>19574310</v>
      </c>
      <c r="AQ119" s="28">
        <v>10827425</v>
      </c>
      <c r="AR119" s="9">
        <v>30005660.380291101</v>
      </c>
      <c r="AS119" s="9">
        <v>19822623</v>
      </c>
      <c r="AT119" s="28">
        <v>10921955</v>
      </c>
      <c r="AU119" s="9">
        <v>30766240.780000001</v>
      </c>
      <c r="AV119" s="9">
        <v>20470454</v>
      </c>
      <c r="AW119" s="9">
        <v>11015375</v>
      </c>
      <c r="AX119" s="9">
        <v>32167051.495621532</v>
      </c>
      <c r="AY119" s="9">
        <v>21474332</v>
      </c>
      <c r="AZ119" s="28">
        <v>11108735</v>
      </c>
      <c r="BA119" s="9">
        <v>32659858.43</v>
      </c>
      <c r="BB119" s="9">
        <v>22211911</v>
      </c>
      <c r="BC119" s="9">
        <v>11108735</v>
      </c>
      <c r="BD119" s="9">
        <v>33113667.029999997</v>
      </c>
      <c r="BE119" s="9">
        <v>22380816</v>
      </c>
      <c r="BF119" s="9">
        <v>11350399</v>
      </c>
      <c r="BG119" s="9">
        <v>36001737.560000002</v>
      </c>
      <c r="BH119" s="9">
        <v>23384218</v>
      </c>
      <c r="BI119" s="9">
        <v>12617520</v>
      </c>
      <c r="BJ119" s="9">
        <v>36858149.159999996</v>
      </c>
      <c r="BK119" s="9">
        <v>24436656</v>
      </c>
      <c r="BL119" s="9">
        <v>12794520</v>
      </c>
      <c r="BM119" s="9"/>
      <c r="BN119" s="9"/>
      <c r="BO119" s="9"/>
      <c r="BP119" s="9"/>
      <c r="BQ119" s="9"/>
      <c r="BR119" s="9"/>
      <c r="BS119" s="9"/>
      <c r="BT119" s="9"/>
      <c r="BU119" s="9"/>
    </row>
    <row r="120" spans="1:73">
      <c r="A120" s="6">
        <v>111</v>
      </c>
      <c r="B120" s="6" t="s">
        <v>1229</v>
      </c>
      <c r="C120" s="421">
        <v>35.14</v>
      </c>
      <c r="D120" s="9">
        <v>7544687</v>
      </c>
      <c r="E120" s="33">
        <v>4071482</v>
      </c>
      <c r="F120" s="9">
        <v>3480552</v>
      </c>
      <c r="G120" s="9">
        <v>8086549.8600000003</v>
      </c>
      <c r="H120" s="9">
        <v>4268438</v>
      </c>
      <c r="I120" s="9">
        <v>3818112</v>
      </c>
      <c r="J120" s="9">
        <v>8451939.3722802009</v>
      </c>
      <c r="K120" s="9">
        <v>4295869</v>
      </c>
      <c r="L120" s="9">
        <v>4156070</v>
      </c>
      <c r="M120" s="9">
        <v>9035827.3699999992</v>
      </c>
      <c r="N120" s="9">
        <v>4303354</v>
      </c>
      <c r="O120" s="9">
        <v>4234786</v>
      </c>
      <c r="P120" s="9">
        <v>497687</v>
      </c>
      <c r="Q120" s="9">
        <v>9050222.3941818178</v>
      </c>
      <c r="R120" s="9">
        <v>4343476</v>
      </c>
      <c r="S120" s="9">
        <v>4637824</v>
      </c>
      <c r="T120" s="9">
        <v>68922</v>
      </c>
      <c r="U120" s="9">
        <v>8636188.0120199993</v>
      </c>
      <c r="V120" s="9">
        <v>4357208</v>
      </c>
      <c r="W120" s="9">
        <v>4431778</v>
      </c>
      <c r="X120" s="9">
        <v>23792</v>
      </c>
      <c r="Y120" s="9">
        <v>276151</v>
      </c>
      <c r="Z120" s="9">
        <v>8744249.379999999</v>
      </c>
      <c r="AA120" s="9">
        <v>4488653</v>
      </c>
      <c r="AB120" s="9">
        <v>4455570</v>
      </c>
      <c r="AC120" s="9">
        <v>8663530.7500000019</v>
      </c>
      <c r="AD120" s="9">
        <v>4623232</v>
      </c>
      <c r="AE120" s="9">
        <v>4493290</v>
      </c>
      <c r="AF120" s="9">
        <v>8574245.4499999993</v>
      </c>
      <c r="AG120" s="9">
        <v>4727723</v>
      </c>
      <c r="AH120" s="9">
        <v>4516215</v>
      </c>
      <c r="AI120" s="9">
        <v>8273052.5900000017</v>
      </c>
      <c r="AJ120" s="9">
        <v>4695999</v>
      </c>
      <c r="AK120" s="28">
        <v>4537515</v>
      </c>
      <c r="AL120" s="9">
        <v>7978374.4699999979</v>
      </c>
      <c r="AM120" s="9">
        <v>4781695</v>
      </c>
      <c r="AN120" s="28">
        <v>4557815</v>
      </c>
      <c r="AO120" s="9">
        <v>7719354.0099999998</v>
      </c>
      <c r="AP120" s="9">
        <v>4716269</v>
      </c>
      <c r="AQ120" s="28">
        <v>4600550</v>
      </c>
      <c r="AR120" s="9">
        <v>7516650.875846277</v>
      </c>
      <c r="AS120" s="9">
        <v>4649745</v>
      </c>
      <c r="AT120" s="28">
        <v>4622810</v>
      </c>
      <c r="AU120" s="9">
        <v>7333030.3400000008</v>
      </c>
      <c r="AV120" s="9">
        <v>4806929</v>
      </c>
      <c r="AW120" s="9">
        <v>4643750</v>
      </c>
      <c r="AX120" s="9">
        <v>7816401.3026422542</v>
      </c>
      <c r="AY120" s="9">
        <v>4990654</v>
      </c>
      <c r="AZ120" s="28">
        <v>4664780</v>
      </c>
      <c r="BA120" s="9">
        <v>8181734.8699999992</v>
      </c>
      <c r="BB120" s="9">
        <v>5150983</v>
      </c>
      <c r="BC120" s="9">
        <v>4664780</v>
      </c>
      <c r="BD120" s="9">
        <v>8293230.8600000022</v>
      </c>
      <c r="BE120" s="9">
        <v>5148277</v>
      </c>
      <c r="BF120" s="9">
        <v>4685330</v>
      </c>
      <c r="BG120" s="9">
        <v>8631463.3900000025</v>
      </c>
      <c r="BH120" s="9">
        <v>5431578</v>
      </c>
      <c r="BI120" s="9">
        <v>4725110</v>
      </c>
      <c r="BJ120" s="9">
        <v>9588488.8899999987</v>
      </c>
      <c r="BK120" s="9">
        <v>5667319</v>
      </c>
      <c r="BL120" s="9">
        <v>4765430</v>
      </c>
      <c r="BM120" s="9"/>
      <c r="BN120" s="9"/>
      <c r="BO120" s="9"/>
      <c r="BP120" s="9"/>
      <c r="BQ120" s="9"/>
      <c r="BR120" s="9"/>
      <c r="BS120" s="9"/>
      <c r="BT120" s="9"/>
      <c r="BU120" s="9"/>
    </row>
    <row r="121" spans="1:73">
      <c r="A121" s="6">
        <v>112</v>
      </c>
      <c r="B121" s="6" t="s">
        <v>1230</v>
      </c>
      <c r="C121" s="421">
        <v>25.23</v>
      </c>
      <c r="D121" s="9">
        <v>2157167</v>
      </c>
      <c r="E121" s="33">
        <v>1168273</v>
      </c>
      <c r="F121" s="9">
        <v>1194161</v>
      </c>
      <c r="G121" s="9">
        <v>2358065.48</v>
      </c>
      <c r="H121" s="9">
        <v>1185776</v>
      </c>
      <c r="I121" s="9">
        <v>1307669</v>
      </c>
      <c r="J121" s="9">
        <v>2400533.1579714394</v>
      </c>
      <c r="K121" s="9">
        <v>1206660</v>
      </c>
      <c r="L121" s="9">
        <v>1331035</v>
      </c>
      <c r="M121" s="9">
        <v>2341550.79</v>
      </c>
      <c r="N121" s="9">
        <v>1228016</v>
      </c>
      <c r="O121" s="9">
        <v>1203272</v>
      </c>
      <c r="P121" s="9">
        <v>141413</v>
      </c>
      <c r="Q121" s="9">
        <v>2240177.4551578951</v>
      </c>
      <c r="R121" s="9">
        <v>1250541</v>
      </c>
      <c r="S121" s="9">
        <v>1317791</v>
      </c>
      <c r="T121" s="9">
        <v>0</v>
      </c>
      <c r="U121" s="9">
        <v>2244631.2231000001</v>
      </c>
      <c r="V121" s="9">
        <v>1266515</v>
      </c>
      <c r="W121" s="9">
        <v>1240805</v>
      </c>
      <c r="X121" s="9">
        <v>6661</v>
      </c>
      <c r="Y121" s="9">
        <v>76800</v>
      </c>
      <c r="Z121" s="9">
        <v>0</v>
      </c>
      <c r="AA121" s="9">
        <v>0</v>
      </c>
      <c r="AB121" s="9">
        <v>0</v>
      </c>
      <c r="AC121" s="9">
        <v>0</v>
      </c>
      <c r="AD121" s="9">
        <v>0</v>
      </c>
      <c r="AE121" s="9">
        <v>0</v>
      </c>
      <c r="AF121" s="9">
        <v>0</v>
      </c>
      <c r="AG121" s="9">
        <v>0</v>
      </c>
      <c r="AH121" s="9">
        <v>0</v>
      </c>
      <c r="AI121" s="9">
        <v>0</v>
      </c>
      <c r="AJ121" s="9">
        <v>0</v>
      </c>
      <c r="AK121" s="28">
        <v>0</v>
      </c>
      <c r="AL121" s="9">
        <v>0</v>
      </c>
      <c r="AM121" s="9">
        <v>0</v>
      </c>
      <c r="AN121" s="28">
        <v>0</v>
      </c>
      <c r="AO121" s="9">
        <v>0</v>
      </c>
      <c r="AP121" s="9">
        <v>0</v>
      </c>
      <c r="AQ121" s="28">
        <v>0</v>
      </c>
      <c r="AR121" s="9">
        <v>0</v>
      </c>
      <c r="AS121" s="9">
        <v>0</v>
      </c>
      <c r="AT121" s="28">
        <v>0</v>
      </c>
      <c r="AU121" s="9">
        <v>0</v>
      </c>
      <c r="AV121" s="9">
        <v>0</v>
      </c>
      <c r="AW121" s="9">
        <v>0</v>
      </c>
      <c r="AX121" s="9">
        <v>0</v>
      </c>
      <c r="AY121" s="9">
        <v>0</v>
      </c>
      <c r="AZ121" s="28">
        <v>0</v>
      </c>
      <c r="BA121" s="9">
        <v>0</v>
      </c>
      <c r="BB121" s="9">
        <v>0</v>
      </c>
      <c r="BC121" s="9">
        <v>0</v>
      </c>
      <c r="BD121" s="9">
        <v>0</v>
      </c>
      <c r="BE121" s="9">
        <v>0</v>
      </c>
      <c r="BF121" s="9">
        <v>0</v>
      </c>
      <c r="BG121" s="9">
        <v>0</v>
      </c>
      <c r="BH121" s="9">
        <v>0</v>
      </c>
      <c r="BI121" s="9">
        <v>0</v>
      </c>
      <c r="BJ121" s="9">
        <v>0</v>
      </c>
      <c r="BK121" s="9">
        <v>0</v>
      </c>
      <c r="BL121" s="9">
        <v>0</v>
      </c>
      <c r="BM121" s="9"/>
      <c r="BN121" s="9"/>
      <c r="BO121" s="9"/>
      <c r="BP121" s="9"/>
      <c r="BQ121" s="9"/>
      <c r="BR121" s="9"/>
      <c r="BS121" s="9"/>
      <c r="BT121" s="9"/>
      <c r="BU121" s="9"/>
    </row>
    <row r="122" spans="1:73">
      <c r="A122" s="6">
        <v>113</v>
      </c>
      <c r="B122" s="6" t="s">
        <v>1231</v>
      </c>
      <c r="C122" s="421">
        <v>17.5</v>
      </c>
      <c r="D122" s="9">
        <v>0</v>
      </c>
      <c r="E122" s="33">
        <v>0</v>
      </c>
      <c r="F122" s="9">
        <v>0</v>
      </c>
      <c r="G122" s="9">
        <v>0</v>
      </c>
      <c r="H122" s="9">
        <v>0</v>
      </c>
      <c r="I122" s="9">
        <v>0</v>
      </c>
      <c r="J122" s="9">
        <v>0</v>
      </c>
      <c r="K122" s="9">
        <v>0</v>
      </c>
      <c r="L122" s="9">
        <v>0</v>
      </c>
      <c r="M122" s="9">
        <v>0</v>
      </c>
      <c r="N122" s="9">
        <v>0</v>
      </c>
      <c r="O122" s="9">
        <v>0</v>
      </c>
      <c r="P122" s="9">
        <v>0</v>
      </c>
      <c r="Q122" s="9">
        <v>0</v>
      </c>
      <c r="R122" s="9">
        <v>0</v>
      </c>
      <c r="S122" s="9">
        <v>0</v>
      </c>
      <c r="T122" s="9">
        <v>0</v>
      </c>
      <c r="U122" s="9">
        <v>0</v>
      </c>
      <c r="V122" s="9">
        <v>0</v>
      </c>
      <c r="W122" s="9">
        <v>0</v>
      </c>
      <c r="X122" s="9">
        <v>0</v>
      </c>
      <c r="Y122" s="9">
        <v>0</v>
      </c>
      <c r="Z122" s="9">
        <v>0</v>
      </c>
      <c r="AA122" s="9">
        <v>0</v>
      </c>
      <c r="AB122" s="9">
        <v>0</v>
      </c>
      <c r="AC122" s="9">
        <v>0</v>
      </c>
      <c r="AD122" s="9">
        <v>0</v>
      </c>
      <c r="AE122" s="9">
        <v>0</v>
      </c>
      <c r="AF122" s="9">
        <v>0</v>
      </c>
      <c r="AG122" s="9">
        <v>0</v>
      </c>
      <c r="AH122" s="9">
        <v>0</v>
      </c>
      <c r="AI122" s="9">
        <v>0</v>
      </c>
      <c r="AJ122" s="9">
        <v>0</v>
      </c>
      <c r="AK122" s="28">
        <v>0</v>
      </c>
      <c r="AL122" s="9">
        <v>0</v>
      </c>
      <c r="AM122" s="9">
        <v>0</v>
      </c>
      <c r="AN122" s="28">
        <v>0</v>
      </c>
      <c r="AO122" s="9">
        <v>0</v>
      </c>
      <c r="AP122" s="9">
        <v>0</v>
      </c>
      <c r="AQ122" s="28">
        <v>0</v>
      </c>
      <c r="AR122" s="9">
        <v>0</v>
      </c>
      <c r="AS122" s="9">
        <v>0</v>
      </c>
      <c r="AT122" s="28">
        <v>0</v>
      </c>
      <c r="AU122" s="9">
        <v>0</v>
      </c>
      <c r="AV122" s="9">
        <v>0</v>
      </c>
      <c r="AW122" s="9">
        <v>0</v>
      </c>
      <c r="AX122" s="9">
        <v>0</v>
      </c>
      <c r="AY122" s="9">
        <v>0</v>
      </c>
      <c r="AZ122" s="28">
        <v>0</v>
      </c>
      <c r="BA122" s="9">
        <v>0</v>
      </c>
      <c r="BB122" s="9">
        <v>0</v>
      </c>
      <c r="BC122" s="9">
        <v>0</v>
      </c>
      <c r="BD122" s="9">
        <v>0</v>
      </c>
      <c r="BE122" s="9">
        <v>0</v>
      </c>
      <c r="BF122" s="9">
        <v>0</v>
      </c>
      <c r="BG122" s="9">
        <v>0</v>
      </c>
      <c r="BH122" s="9">
        <v>0</v>
      </c>
      <c r="BI122" s="9">
        <v>0</v>
      </c>
      <c r="BJ122" s="9">
        <v>0</v>
      </c>
      <c r="BK122" s="9">
        <v>0</v>
      </c>
      <c r="BL122" s="9">
        <v>0</v>
      </c>
      <c r="BM122" s="9"/>
      <c r="BN122" s="9"/>
      <c r="BO122" s="9"/>
      <c r="BP122" s="9"/>
      <c r="BQ122" s="9"/>
      <c r="BR122" s="9"/>
      <c r="BS122" s="9"/>
      <c r="BT122" s="9"/>
      <c r="BU122" s="9"/>
    </row>
    <row r="123" spans="1:73">
      <c r="A123" s="6">
        <v>114</v>
      </c>
      <c r="B123" s="6" t="s">
        <v>1232</v>
      </c>
      <c r="C123" s="421">
        <v>56.63</v>
      </c>
      <c r="D123" s="9">
        <v>17313166</v>
      </c>
      <c r="E123" s="33">
        <v>9111371</v>
      </c>
      <c r="F123" s="9">
        <v>8732668</v>
      </c>
      <c r="G123" s="9">
        <v>17803363.970000003</v>
      </c>
      <c r="H123" s="9">
        <v>9283824</v>
      </c>
      <c r="I123" s="9">
        <v>9054173</v>
      </c>
      <c r="J123" s="9">
        <v>18475981.23195523</v>
      </c>
      <c r="K123" s="9">
        <v>9232071</v>
      </c>
      <c r="L123" s="9">
        <v>9486783</v>
      </c>
      <c r="M123" s="9">
        <v>18457057.809999999</v>
      </c>
      <c r="N123" s="9">
        <v>9067762</v>
      </c>
      <c r="O123" s="9">
        <v>8710983</v>
      </c>
      <c r="P123" s="9">
        <v>1023745</v>
      </c>
      <c r="Q123" s="9">
        <v>18757500.666304301</v>
      </c>
      <c r="R123" s="9">
        <v>8914962</v>
      </c>
      <c r="S123" s="9">
        <v>9540033</v>
      </c>
      <c r="T123" s="9">
        <v>302506</v>
      </c>
      <c r="U123" s="9">
        <v>18168641.884320002</v>
      </c>
      <c r="V123" s="9">
        <v>8874442</v>
      </c>
      <c r="W123" s="9">
        <v>9267538</v>
      </c>
      <c r="X123" s="9">
        <v>49752</v>
      </c>
      <c r="Y123" s="9">
        <v>572724</v>
      </c>
      <c r="Z123" s="9">
        <v>19123336.359999999</v>
      </c>
      <c r="AA123" s="9">
        <v>9165933</v>
      </c>
      <c r="AB123" s="9">
        <v>9957403</v>
      </c>
      <c r="AC123" s="9">
        <v>19845137.929999996</v>
      </c>
      <c r="AD123" s="9">
        <v>9446211</v>
      </c>
      <c r="AE123" s="9">
        <v>10481761.769687749</v>
      </c>
      <c r="AF123" s="9">
        <v>21688417.030000001</v>
      </c>
      <c r="AG123" s="9">
        <v>9832399</v>
      </c>
      <c r="AH123" s="9">
        <v>11932187.357180249</v>
      </c>
      <c r="AI123" s="9">
        <v>21246903.91</v>
      </c>
      <c r="AJ123" s="9">
        <v>9761739</v>
      </c>
      <c r="AK123" s="28">
        <v>11983812.357180249</v>
      </c>
      <c r="AL123" s="9">
        <v>21378359.310000002</v>
      </c>
      <c r="AM123" s="9">
        <v>9879409</v>
      </c>
      <c r="AN123" s="28">
        <v>12035012.357180249</v>
      </c>
      <c r="AO123" s="9">
        <v>20360058.930000003</v>
      </c>
      <c r="AP123" s="9">
        <v>9575385</v>
      </c>
      <c r="AQ123" s="28">
        <v>12140007.357180249</v>
      </c>
      <c r="AR123" s="9">
        <v>20807903.147397026</v>
      </c>
      <c r="AS123" s="9">
        <v>9604767</v>
      </c>
      <c r="AT123" s="28">
        <v>12197397.357180249</v>
      </c>
      <c r="AU123" s="9">
        <v>22188290.889999997</v>
      </c>
      <c r="AV123" s="9">
        <v>9949462</v>
      </c>
      <c r="AW123" s="9">
        <v>12256917.357180249</v>
      </c>
      <c r="AX123" s="9">
        <v>23758804.479078908</v>
      </c>
      <c r="AY123" s="9">
        <v>10147449</v>
      </c>
      <c r="AZ123" s="28">
        <v>13611355</v>
      </c>
      <c r="BA123" s="9">
        <v>24159291.550000001</v>
      </c>
      <c r="BB123" s="9">
        <v>10256971</v>
      </c>
      <c r="BC123" s="9">
        <v>13902321</v>
      </c>
      <c r="BD123" s="9">
        <v>23851070.390000001</v>
      </c>
      <c r="BE123" s="9">
        <v>10181012</v>
      </c>
      <c r="BF123" s="9">
        <v>13958091</v>
      </c>
      <c r="BG123" s="9">
        <v>26326536.470000003</v>
      </c>
      <c r="BH123" s="9">
        <v>10621969</v>
      </c>
      <c r="BI123" s="9">
        <v>15704567</v>
      </c>
      <c r="BJ123" s="9">
        <v>27294290.690000001</v>
      </c>
      <c r="BK123" s="9">
        <v>11091044</v>
      </c>
      <c r="BL123" s="9">
        <v>16203247</v>
      </c>
      <c r="BM123" s="9"/>
      <c r="BN123" s="9"/>
      <c r="BO123" s="9"/>
      <c r="BP123" s="9"/>
      <c r="BQ123" s="9"/>
      <c r="BR123" s="9"/>
      <c r="BS123" s="9"/>
      <c r="BT123" s="9"/>
      <c r="BU123" s="9"/>
    </row>
    <row r="124" spans="1:73">
      <c r="A124" s="6">
        <v>115</v>
      </c>
      <c r="B124" s="6" t="s">
        <v>1233</v>
      </c>
      <c r="C124" s="421">
        <v>17.5</v>
      </c>
      <c r="D124" s="9">
        <v>0</v>
      </c>
      <c r="E124" s="33">
        <v>0</v>
      </c>
      <c r="F124" s="9">
        <v>0</v>
      </c>
      <c r="G124" s="9">
        <v>0</v>
      </c>
      <c r="H124" s="9">
        <v>0</v>
      </c>
      <c r="I124" s="9">
        <v>0</v>
      </c>
      <c r="J124" s="9">
        <v>0</v>
      </c>
      <c r="K124" s="9">
        <v>0</v>
      </c>
      <c r="L124" s="9">
        <v>0</v>
      </c>
      <c r="M124" s="9">
        <v>0</v>
      </c>
      <c r="N124" s="9">
        <v>0</v>
      </c>
      <c r="O124" s="9">
        <v>0</v>
      </c>
      <c r="P124" s="9">
        <v>0</v>
      </c>
      <c r="Q124" s="9">
        <v>0</v>
      </c>
      <c r="R124" s="9">
        <v>0</v>
      </c>
      <c r="S124" s="9">
        <v>0</v>
      </c>
      <c r="T124" s="9">
        <v>0</v>
      </c>
      <c r="U124" s="9">
        <v>12362.3995134</v>
      </c>
      <c r="V124" s="9">
        <v>9161</v>
      </c>
      <c r="W124" s="9">
        <v>3201</v>
      </c>
      <c r="X124" s="9">
        <v>0</v>
      </c>
      <c r="Y124" s="9">
        <v>0</v>
      </c>
      <c r="Z124" s="9">
        <v>12532.104200000002</v>
      </c>
      <c r="AA124" s="9">
        <v>9543</v>
      </c>
      <c r="AB124" s="9">
        <v>3201</v>
      </c>
      <c r="AC124" s="9">
        <v>13020.859919999999</v>
      </c>
      <c r="AD124" s="9">
        <v>10245</v>
      </c>
      <c r="AE124" s="9">
        <v>3201</v>
      </c>
      <c r="AF124" s="9">
        <v>0</v>
      </c>
      <c r="AG124" s="9">
        <v>0</v>
      </c>
      <c r="AH124" s="9">
        <v>0</v>
      </c>
      <c r="AI124" s="9">
        <v>0</v>
      </c>
      <c r="AJ124" s="9">
        <v>0</v>
      </c>
      <c r="AK124" s="28">
        <v>0</v>
      </c>
      <c r="AL124" s="9">
        <v>0</v>
      </c>
      <c r="AM124" s="9">
        <v>0</v>
      </c>
      <c r="AN124" s="28">
        <v>0</v>
      </c>
      <c r="AO124" s="9">
        <v>0</v>
      </c>
      <c r="AP124" s="9">
        <v>0</v>
      </c>
      <c r="AQ124" s="28">
        <v>0</v>
      </c>
      <c r="AR124" s="9">
        <v>0</v>
      </c>
      <c r="AS124" s="9">
        <v>0</v>
      </c>
      <c r="AT124" s="28">
        <v>0</v>
      </c>
      <c r="AU124" s="9">
        <v>0</v>
      </c>
      <c r="AV124" s="9">
        <v>0</v>
      </c>
      <c r="AW124" s="9">
        <v>0</v>
      </c>
      <c r="AX124" s="9">
        <v>0</v>
      </c>
      <c r="AY124" s="9">
        <v>0</v>
      </c>
      <c r="AZ124" s="28">
        <v>0</v>
      </c>
      <c r="BA124" s="9">
        <v>0</v>
      </c>
      <c r="BB124" s="9">
        <v>0</v>
      </c>
      <c r="BC124" s="9">
        <v>0</v>
      </c>
      <c r="BD124" s="9">
        <v>0</v>
      </c>
      <c r="BE124" s="9">
        <v>0</v>
      </c>
      <c r="BF124" s="9">
        <v>0</v>
      </c>
      <c r="BG124" s="9">
        <v>0</v>
      </c>
      <c r="BH124" s="9">
        <v>0</v>
      </c>
      <c r="BI124" s="9">
        <v>0</v>
      </c>
      <c r="BJ124" s="9">
        <v>0</v>
      </c>
      <c r="BK124" s="9">
        <v>0</v>
      </c>
      <c r="BL124" s="9">
        <v>0</v>
      </c>
      <c r="BM124" s="9"/>
      <c r="BN124" s="9"/>
      <c r="BO124" s="9"/>
      <c r="BP124" s="9"/>
      <c r="BQ124" s="9"/>
      <c r="BR124" s="9"/>
      <c r="BS124" s="9"/>
      <c r="BT124" s="9"/>
      <c r="BU124" s="9"/>
    </row>
    <row r="125" spans="1:73">
      <c r="A125" s="6">
        <v>116</v>
      </c>
      <c r="B125" s="6" t="s">
        <v>1234</v>
      </c>
      <c r="C125" s="421">
        <v>21.87</v>
      </c>
      <c r="D125" s="9">
        <v>0</v>
      </c>
      <c r="E125" s="33">
        <v>0</v>
      </c>
      <c r="F125" s="9">
        <v>0</v>
      </c>
      <c r="G125" s="9">
        <v>0</v>
      </c>
      <c r="H125" s="9">
        <v>0</v>
      </c>
      <c r="I125" s="9">
        <v>0</v>
      </c>
      <c r="J125" s="9">
        <v>0</v>
      </c>
      <c r="K125" s="9">
        <v>0</v>
      </c>
      <c r="L125" s="9">
        <v>0</v>
      </c>
      <c r="M125" s="9">
        <v>0</v>
      </c>
      <c r="N125" s="9">
        <v>0</v>
      </c>
      <c r="O125" s="9">
        <v>0</v>
      </c>
      <c r="P125" s="9">
        <v>0</v>
      </c>
      <c r="Q125" s="9">
        <v>0</v>
      </c>
      <c r="R125" s="9">
        <v>0</v>
      </c>
      <c r="S125" s="9">
        <v>0</v>
      </c>
      <c r="T125" s="9">
        <v>0</v>
      </c>
      <c r="U125" s="9">
        <v>0</v>
      </c>
      <c r="V125" s="9">
        <v>0</v>
      </c>
      <c r="W125" s="9">
        <v>0</v>
      </c>
      <c r="X125" s="9">
        <v>0</v>
      </c>
      <c r="Y125" s="9">
        <v>0</v>
      </c>
      <c r="Z125" s="9">
        <v>0</v>
      </c>
      <c r="AA125" s="9">
        <v>0</v>
      </c>
      <c r="AB125" s="9">
        <v>0</v>
      </c>
      <c r="AC125" s="9">
        <v>0</v>
      </c>
      <c r="AD125" s="9">
        <v>0</v>
      </c>
      <c r="AE125" s="9">
        <v>0</v>
      </c>
      <c r="AF125" s="9">
        <v>0</v>
      </c>
      <c r="AG125" s="9">
        <v>0</v>
      </c>
      <c r="AH125" s="9">
        <f>0+42110</f>
        <v>42110</v>
      </c>
      <c r="AI125" s="9">
        <v>65024.500000000007</v>
      </c>
      <c r="AJ125" s="9">
        <v>41295</v>
      </c>
      <c r="AK125" s="28">
        <v>42110</v>
      </c>
      <c r="AL125" s="9">
        <v>79199.760000000009</v>
      </c>
      <c r="AM125" s="9">
        <v>51428</v>
      </c>
      <c r="AN125" s="28">
        <v>42110</v>
      </c>
      <c r="AO125" s="9">
        <v>118538.28</v>
      </c>
      <c r="AP125" s="9">
        <v>77239</v>
      </c>
      <c r="AQ125" s="28">
        <v>42110</v>
      </c>
      <c r="AR125" s="9">
        <v>134168.3334358955</v>
      </c>
      <c r="AS125" s="9">
        <v>90748</v>
      </c>
      <c r="AT125" s="28">
        <v>43420</v>
      </c>
      <c r="AU125" s="9">
        <v>206187.50999999995</v>
      </c>
      <c r="AV125" s="9">
        <v>141367</v>
      </c>
      <c r="AW125" s="9">
        <v>65200</v>
      </c>
      <c r="AX125" s="9">
        <v>185257.16194463047</v>
      </c>
      <c r="AY125" s="9">
        <v>131944</v>
      </c>
      <c r="AZ125" s="28">
        <v>65200</v>
      </c>
      <c r="BA125" s="9">
        <v>117262.39999999999</v>
      </c>
      <c r="BB125" s="9">
        <v>84803</v>
      </c>
      <c r="BC125" s="9">
        <v>65200</v>
      </c>
      <c r="BD125" s="9">
        <v>134575.02000000002</v>
      </c>
      <c r="BE125" s="9">
        <v>100582</v>
      </c>
      <c r="BF125" s="9">
        <v>65470</v>
      </c>
      <c r="BG125" s="9">
        <v>125581.68000000001</v>
      </c>
      <c r="BH125" s="9">
        <v>92564</v>
      </c>
      <c r="BI125" s="9">
        <v>65470</v>
      </c>
      <c r="BJ125" s="9">
        <v>148416.84</v>
      </c>
      <c r="BK125" s="9">
        <v>106462</v>
      </c>
      <c r="BL125" s="9">
        <v>65470</v>
      </c>
      <c r="BM125" s="9"/>
      <c r="BN125" s="9"/>
      <c r="BO125" s="9"/>
      <c r="BP125" s="9"/>
      <c r="BQ125" s="9"/>
      <c r="BR125" s="9"/>
      <c r="BS125" s="9"/>
      <c r="BT125" s="9"/>
      <c r="BU125" s="9"/>
    </row>
    <row r="126" spans="1:73">
      <c r="A126" s="6">
        <v>117</v>
      </c>
      <c r="B126" s="6" t="s">
        <v>1235</v>
      </c>
      <c r="C126" s="421">
        <v>17.5</v>
      </c>
      <c r="D126" s="9">
        <v>4520668</v>
      </c>
      <c r="E126" s="33">
        <v>5166154</v>
      </c>
      <c r="F126" s="9">
        <v>625061.19999999995</v>
      </c>
      <c r="G126" s="9">
        <v>4764269</v>
      </c>
      <c r="H126" s="9">
        <v>5245116</v>
      </c>
      <c r="I126" s="9">
        <v>667691.19999999995</v>
      </c>
      <c r="J126" s="9">
        <v>5019642.6810837509</v>
      </c>
      <c r="K126" s="9">
        <v>5189433</v>
      </c>
      <c r="L126" s="9">
        <v>730915.2</v>
      </c>
      <c r="M126" s="9">
        <v>5205800.76</v>
      </c>
      <c r="N126" s="9">
        <v>5053095</v>
      </c>
      <c r="O126" s="9">
        <v>707232.2</v>
      </c>
      <c r="P126" s="9">
        <v>83116</v>
      </c>
      <c r="Q126" s="9">
        <v>5406525.5920688985</v>
      </c>
      <c r="R126" s="9">
        <v>4995543</v>
      </c>
      <c r="S126" s="9">
        <v>774541</v>
      </c>
      <c r="T126" s="9">
        <v>0</v>
      </c>
      <c r="U126" s="9">
        <v>5658505.69092</v>
      </c>
      <c r="V126" s="9">
        <v>4937924</v>
      </c>
      <c r="W126" s="9">
        <v>729292</v>
      </c>
      <c r="X126" s="9">
        <v>3915</v>
      </c>
      <c r="Y126" s="9">
        <v>57584</v>
      </c>
      <c r="Z126" s="9">
        <v>5783756.2999999998</v>
      </c>
      <c r="AA126" s="9">
        <v>5102966</v>
      </c>
      <c r="AB126" s="9">
        <v>733207</v>
      </c>
      <c r="AC126" s="9">
        <v>6074126.3499999996</v>
      </c>
      <c r="AD126" s="9">
        <v>5356386</v>
      </c>
      <c r="AE126" s="9">
        <v>815648.27781250002</v>
      </c>
      <c r="AF126" s="9">
        <v>6128452.2700000014</v>
      </c>
      <c r="AG126" s="9">
        <v>5607720</v>
      </c>
      <c r="AH126" s="9">
        <v>879855.99517187499</v>
      </c>
      <c r="AI126" s="9">
        <v>5981187.5199999996</v>
      </c>
      <c r="AJ126" s="9">
        <v>5351851</v>
      </c>
      <c r="AK126" s="28">
        <v>938253.99517187499</v>
      </c>
      <c r="AL126" s="9">
        <v>5986156.3800000008</v>
      </c>
      <c r="AM126" s="9">
        <v>5261618</v>
      </c>
      <c r="AN126" s="28">
        <v>953528.99517187499</v>
      </c>
      <c r="AO126" s="9">
        <v>5790379.5499999998</v>
      </c>
      <c r="AP126" s="9">
        <v>4888340</v>
      </c>
      <c r="AQ126" s="28">
        <v>985813.99517187499</v>
      </c>
      <c r="AR126" s="9">
        <v>5654945.3746561082</v>
      </c>
      <c r="AS126" s="9">
        <v>4724445</v>
      </c>
      <c r="AT126" s="28">
        <v>1002763.995171875</v>
      </c>
      <c r="AU126" s="9">
        <v>5888757.8200000003</v>
      </c>
      <c r="AV126" s="9">
        <v>4858225</v>
      </c>
      <c r="AW126" s="9">
        <v>1030533</v>
      </c>
      <c r="AX126" s="9">
        <v>6230653.9028760213</v>
      </c>
      <c r="AY126" s="9">
        <v>4968021</v>
      </c>
      <c r="AZ126" s="28">
        <v>1279420</v>
      </c>
      <c r="BA126" s="9">
        <v>5921818.3199999994</v>
      </c>
      <c r="BB126" s="9">
        <v>4885500</v>
      </c>
      <c r="BC126" s="9">
        <v>1279420</v>
      </c>
      <c r="BD126" s="9">
        <v>5857373.9399999985</v>
      </c>
      <c r="BE126" s="9">
        <v>4832334</v>
      </c>
      <c r="BF126" s="9">
        <v>1294360</v>
      </c>
      <c r="BG126" s="9">
        <v>6025430.8700000001</v>
      </c>
      <c r="BH126" s="9">
        <v>4970980</v>
      </c>
      <c r="BI126" s="9">
        <v>1322740</v>
      </c>
      <c r="BJ126" s="9">
        <v>6277106.5899999999</v>
      </c>
      <c r="BK126" s="9">
        <v>5178613</v>
      </c>
      <c r="BL126" s="9">
        <v>1350100</v>
      </c>
      <c r="BM126" s="9"/>
      <c r="BN126" s="9"/>
      <c r="BO126" s="9"/>
      <c r="BP126" s="9"/>
      <c r="BQ126" s="9"/>
      <c r="BR126" s="9"/>
      <c r="BS126" s="9"/>
      <c r="BT126" s="9"/>
      <c r="BU126" s="9"/>
    </row>
    <row r="127" spans="1:73">
      <c r="A127" s="6">
        <v>118</v>
      </c>
      <c r="B127" s="6" t="s">
        <v>1236</v>
      </c>
      <c r="C127" s="421">
        <v>40.67</v>
      </c>
      <c r="D127" s="9">
        <v>4947085</v>
      </c>
      <c r="E127" s="33">
        <v>2594870</v>
      </c>
      <c r="F127" s="9">
        <v>2352215</v>
      </c>
      <c r="G127" s="9">
        <v>5102050.8600000003</v>
      </c>
      <c r="H127" s="9">
        <v>2752876</v>
      </c>
      <c r="I127" s="9">
        <v>2423716</v>
      </c>
      <c r="J127" s="9">
        <v>5360750.4569571586</v>
      </c>
      <c r="K127" s="9">
        <v>2911501</v>
      </c>
      <c r="L127" s="9">
        <v>2541088</v>
      </c>
      <c r="M127" s="9">
        <v>5579019.2300000014</v>
      </c>
      <c r="N127" s="9">
        <v>2979985</v>
      </c>
      <c r="O127" s="9">
        <v>2365166</v>
      </c>
      <c r="P127" s="9">
        <v>277963</v>
      </c>
      <c r="Q127" s="9">
        <v>5830872.9364822973</v>
      </c>
      <c r="R127" s="9">
        <v>3036721</v>
      </c>
      <c r="S127" s="9">
        <v>2590266</v>
      </c>
      <c r="T127" s="9">
        <v>203886</v>
      </c>
      <c r="U127" s="9">
        <v>5481069.2047199989</v>
      </c>
      <c r="V127" s="9">
        <v>3009340</v>
      </c>
      <c r="W127" s="9">
        <v>2630918</v>
      </c>
      <c r="X127" s="9">
        <v>14124</v>
      </c>
      <c r="Y127" s="9">
        <v>166110</v>
      </c>
      <c r="Z127" s="9">
        <v>5309028.63</v>
      </c>
      <c r="AA127" s="9">
        <v>2928688</v>
      </c>
      <c r="AB127" s="9">
        <v>2645042</v>
      </c>
      <c r="AC127" s="9">
        <v>5256094.54</v>
      </c>
      <c r="AD127" s="9">
        <v>2947000</v>
      </c>
      <c r="AE127" s="9">
        <v>2669842</v>
      </c>
      <c r="AF127" s="9">
        <v>5316163.6799999988</v>
      </c>
      <c r="AG127" s="9">
        <v>2900902</v>
      </c>
      <c r="AH127" s="9">
        <v>2684967</v>
      </c>
      <c r="AI127" s="9">
        <v>5366429.71</v>
      </c>
      <c r="AJ127" s="9">
        <v>2903829</v>
      </c>
      <c r="AK127" s="28">
        <v>2699817</v>
      </c>
      <c r="AL127" s="9">
        <v>5540979.4299999988</v>
      </c>
      <c r="AM127" s="9">
        <v>2982219</v>
      </c>
      <c r="AN127" s="28">
        <v>2714617</v>
      </c>
      <c r="AO127" s="9">
        <v>5481688.6299299989</v>
      </c>
      <c r="AP127" s="9">
        <v>2891843</v>
      </c>
      <c r="AQ127" s="28">
        <v>2746462</v>
      </c>
      <c r="AR127" s="9">
        <v>6142874.2903718846</v>
      </c>
      <c r="AS127" s="9">
        <v>3223996</v>
      </c>
      <c r="AT127" s="28">
        <f>2923648-4770</f>
        <v>2918878</v>
      </c>
      <c r="AU127" s="9">
        <v>6353417.4649799988</v>
      </c>
      <c r="AV127" s="9">
        <v>3373628</v>
      </c>
      <c r="AW127" s="9">
        <v>2989257</v>
      </c>
      <c r="AX127" s="9">
        <v>6718564.0537173413</v>
      </c>
      <c r="AY127" s="9">
        <v>3664674</v>
      </c>
      <c r="AZ127" s="28">
        <v>3063392</v>
      </c>
      <c r="BA127" s="9">
        <v>6764091.2584799994</v>
      </c>
      <c r="BB127" s="9">
        <v>3795461</v>
      </c>
      <c r="BC127" s="9">
        <v>3063392</v>
      </c>
      <c r="BD127" s="9">
        <v>6881455.87414</v>
      </c>
      <c r="BE127" s="9">
        <v>3833817</v>
      </c>
      <c r="BF127" s="9">
        <v>3081842</v>
      </c>
      <c r="BG127" s="9">
        <v>7179616.2489300007</v>
      </c>
      <c r="BH127" s="9">
        <v>4006503</v>
      </c>
      <c r="BI127" s="9">
        <v>3173113</v>
      </c>
      <c r="BJ127" s="9">
        <v>7849455.0234599989</v>
      </c>
      <c r="BK127" s="9">
        <v>4340378</v>
      </c>
      <c r="BL127" s="9">
        <v>3509077</v>
      </c>
      <c r="BM127" s="9"/>
      <c r="BN127" s="9"/>
      <c r="BO127" s="9"/>
      <c r="BP127" s="9"/>
      <c r="BQ127" s="9"/>
      <c r="BR127" s="9"/>
      <c r="BS127" s="9"/>
      <c r="BT127" s="9"/>
      <c r="BU127" s="9"/>
    </row>
    <row r="128" spans="1:73">
      <c r="A128" s="6">
        <v>119</v>
      </c>
      <c r="B128" s="6" t="s">
        <v>1237</v>
      </c>
      <c r="C128" s="421">
        <v>17.5</v>
      </c>
      <c r="D128" s="9">
        <v>0</v>
      </c>
      <c r="E128" s="33">
        <v>0</v>
      </c>
      <c r="F128" s="9">
        <v>0</v>
      </c>
      <c r="G128" s="9">
        <v>0</v>
      </c>
      <c r="H128" s="9">
        <v>0</v>
      </c>
      <c r="I128" s="9">
        <v>0</v>
      </c>
      <c r="J128" s="9">
        <v>0</v>
      </c>
      <c r="K128" s="9">
        <v>0</v>
      </c>
      <c r="L128" s="9">
        <v>0</v>
      </c>
      <c r="M128" s="9">
        <v>0</v>
      </c>
      <c r="N128" s="9">
        <v>0</v>
      </c>
      <c r="O128" s="9">
        <v>0</v>
      </c>
      <c r="P128" s="9">
        <v>0</v>
      </c>
      <c r="Q128" s="9">
        <v>0</v>
      </c>
      <c r="R128" s="9">
        <v>0</v>
      </c>
      <c r="S128" s="9">
        <v>0</v>
      </c>
      <c r="T128" s="9">
        <v>0</v>
      </c>
      <c r="U128" s="9">
        <v>0</v>
      </c>
      <c r="V128" s="9">
        <v>0</v>
      </c>
      <c r="W128" s="9">
        <v>0</v>
      </c>
      <c r="X128" s="9">
        <v>0</v>
      </c>
      <c r="Y128" s="9">
        <v>0</v>
      </c>
      <c r="Z128" s="9">
        <v>0</v>
      </c>
      <c r="AA128" s="9">
        <v>0</v>
      </c>
      <c r="AB128" s="9">
        <v>0</v>
      </c>
      <c r="AC128" s="9">
        <v>0</v>
      </c>
      <c r="AD128" s="9">
        <v>0</v>
      </c>
      <c r="AE128" s="9">
        <v>0</v>
      </c>
      <c r="AF128" s="9">
        <v>0</v>
      </c>
      <c r="AG128" s="9">
        <v>0</v>
      </c>
      <c r="AH128" s="9">
        <f>0+16844</f>
        <v>16844</v>
      </c>
      <c r="AI128" s="9">
        <v>39912.938879999994</v>
      </c>
      <c r="AJ128" s="9">
        <v>35608</v>
      </c>
      <c r="AK128" s="28">
        <v>16844</v>
      </c>
      <c r="AL128" s="9">
        <v>0</v>
      </c>
      <c r="AM128" s="9">
        <v>0</v>
      </c>
      <c r="AN128" s="28">
        <v>0</v>
      </c>
      <c r="AO128" s="9">
        <v>0</v>
      </c>
      <c r="AP128" s="9">
        <v>0</v>
      </c>
      <c r="AQ128" s="28">
        <v>0</v>
      </c>
      <c r="AR128" s="9">
        <v>0</v>
      </c>
      <c r="AS128" s="9">
        <v>0</v>
      </c>
      <c r="AT128" s="28">
        <v>0</v>
      </c>
      <c r="AU128" s="9">
        <v>0</v>
      </c>
      <c r="AV128" s="9">
        <v>0</v>
      </c>
      <c r="AW128" s="9">
        <v>0</v>
      </c>
      <c r="AX128" s="9">
        <v>0</v>
      </c>
      <c r="AY128" s="9">
        <v>0</v>
      </c>
      <c r="AZ128" s="28">
        <v>0</v>
      </c>
      <c r="BA128" s="9">
        <v>0</v>
      </c>
      <c r="BB128" s="9">
        <v>0</v>
      </c>
      <c r="BC128" s="9">
        <v>0</v>
      </c>
      <c r="BD128" s="9">
        <v>0</v>
      </c>
      <c r="BE128" s="9">
        <v>0</v>
      </c>
      <c r="BF128" s="9">
        <v>0</v>
      </c>
      <c r="BG128" s="9">
        <v>0</v>
      </c>
      <c r="BH128" s="9">
        <v>0</v>
      </c>
      <c r="BI128" s="9">
        <v>0</v>
      </c>
      <c r="BJ128" s="9">
        <v>0</v>
      </c>
      <c r="BK128" s="9">
        <v>0</v>
      </c>
      <c r="BL128" s="9">
        <v>0</v>
      </c>
      <c r="BM128" s="9"/>
      <c r="BN128" s="9"/>
      <c r="BO128" s="9"/>
      <c r="BP128" s="9"/>
      <c r="BQ128" s="9"/>
      <c r="BR128" s="9"/>
      <c r="BS128" s="9"/>
      <c r="BT128" s="9"/>
      <c r="BU128" s="9"/>
    </row>
    <row r="129" spans="1:73">
      <c r="A129" s="6">
        <v>120</v>
      </c>
      <c r="B129" s="6" t="s">
        <v>1238</v>
      </c>
      <c r="C129" s="421">
        <v>17.5</v>
      </c>
      <c r="D129" s="9">
        <v>0</v>
      </c>
      <c r="E129" s="33">
        <v>0</v>
      </c>
      <c r="F129" s="9">
        <v>0</v>
      </c>
      <c r="G129" s="9">
        <v>0</v>
      </c>
      <c r="H129" s="9">
        <v>0</v>
      </c>
      <c r="I129" s="9">
        <v>0</v>
      </c>
      <c r="J129" s="9">
        <v>0</v>
      </c>
      <c r="K129" s="9">
        <v>0</v>
      </c>
      <c r="L129" s="9">
        <v>0</v>
      </c>
      <c r="M129" s="9">
        <v>0</v>
      </c>
      <c r="N129" s="9">
        <v>0</v>
      </c>
      <c r="O129" s="9">
        <v>0</v>
      </c>
      <c r="P129" s="9">
        <v>0</v>
      </c>
      <c r="Q129" s="9">
        <v>0</v>
      </c>
      <c r="R129" s="9">
        <v>0</v>
      </c>
      <c r="S129" s="9">
        <v>0</v>
      </c>
      <c r="T129" s="9">
        <v>0</v>
      </c>
      <c r="U129" s="9">
        <v>0</v>
      </c>
      <c r="V129" s="9">
        <v>0</v>
      </c>
      <c r="W129" s="9">
        <v>0</v>
      </c>
      <c r="X129" s="9">
        <v>0</v>
      </c>
      <c r="Y129" s="9">
        <v>0</v>
      </c>
      <c r="Z129" s="9">
        <v>0</v>
      </c>
      <c r="AA129" s="9">
        <v>0</v>
      </c>
      <c r="AB129" s="9">
        <v>0</v>
      </c>
      <c r="AC129" s="9">
        <v>0</v>
      </c>
      <c r="AD129" s="9">
        <v>0</v>
      </c>
      <c r="AE129" s="9">
        <v>0</v>
      </c>
      <c r="AF129" s="9">
        <v>0</v>
      </c>
      <c r="AG129" s="9">
        <v>0</v>
      </c>
      <c r="AH129" s="9">
        <v>0</v>
      </c>
      <c r="AI129" s="9">
        <v>0</v>
      </c>
      <c r="AJ129" s="9">
        <v>0</v>
      </c>
      <c r="AK129" s="28">
        <v>0</v>
      </c>
      <c r="AL129" s="9">
        <v>0</v>
      </c>
      <c r="AM129" s="9">
        <v>0</v>
      </c>
      <c r="AN129" s="28">
        <v>0</v>
      </c>
      <c r="AO129" s="9">
        <v>0</v>
      </c>
      <c r="AP129" s="9">
        <v>0</v>
      </c>
      <c r="AQ129" s="28">
        <v>0</v>
      </c>
      <c r="AR129" s="9">
        <v>0</v>
      </c>
      <c r="AS129" s="9">
        <v>0</v>
      </c>
      <c r="AT129" s="28">
        <v>0</v>
      </c>
      <c r="AU129" s="9">
        <v>0</v>
      </c>
      <c r="AV129" s="9">
        <v>0</v>
      </c>
      <c r="AW129" s="9">
        <v>0</v>
      </c>
      <c r="AX129" s="9">
        <v>0</v>
      </c>
      <c r="AY129" s="9">
        <v>0</v>
      </c>
      <c r="AZ129" s="28">
        <v>0</v>
      </c>
      <c r="BA129" s="9">
        <v>0</v>
      </c>
      <c r="BB129" s="9">
        <v>0</v>
      </c>
      <c r="BC129" s="9">
        <v>0</v>
      </c>
      <c r="BD129" s="9">
        <v>0</v>
      </c>
      <c r="BE129" s="9">
        <v>0</v>
      </c>
      <c r="BF129" s="9">
        <v>0</v>
      </c>
      <c r="BG129" s="9">
        <v>0</v>
      </c>
      <c r="BH129" s="9">
        <v>0</v>
      </c>
      <c r="BI129" s="9">
        <v>0</v>
      </c>
      <c r="BJ129" s="9">
        <v>0</v>
      </c>
      <c r="BK129" s="9">
        <v>0</v>
      </c>
      <c r="BL129" s="9">
        <v>0</v>
      </c>
      <c r="BM129" s="9"/>
      <c r="BN129" s="9"/>
      <c r="BO129" s="9"/>
      <c r="BP129" s="9"/>
      <c r="BQ129" s="9"/>
      <c r="BR129" s="9"/>
      <c r="BS129" s="9"/>
      <c r="BT129" s="9"/>
      <c r="BU129" s="9"/>
    </row>
    <row r="130" spans="1:73">
      <c r="A130" s="6">
        <v>121</v>
      </c>
      <c r="B130" s="6" t="s">
        <v>1239</v>
      </c>
      <c r="C130" s="421">
        <v>17.5</v>
      </c>
      <c r="D130" s="9">
        <v>853878</v>
      </c>
      <c r="E130" s="33">
        <v>675229</v>
      </c>
      <c r="F130" s="9">
        <v>178649</v>
      </c>
      <c r="G130" s="9">
        <v>880073.22</v>
      </c>
      <c r="H130" s="9">
        <v>741790</v>
      </c>
      <c r="I130" s="9">
        <v>184299</v>
      </c>
      <c r="J130" s="9">
        <v>762441.64943651087</v>
      </c>
      <c r="K130" s="9">
        <v>762443</v>
      </c>
      <c r="L130" s="9">
        <v>188899</v>
      </c>
      <c r="M130" s="9">
        <v>856176.18</v>
      </c>
      <c r="N130" s="9">
        <v>765743</v>
      </c>
      <c r="O130" s="9">
        <v>183712</v>
      </c>
      <c r="P130" s="9">
        <v>21591</v>
      </c>
      <c r="Q130" s="9">
        <v>853326.37133779912</v>
      </c>
      <c r="R130" s="9">
        <v>779131</v>
      </c>
      <c r="S130" s="9">
        <v>201197</v>
      </c>
      <c r="T130" s="9">
        <v>0</v>
      </c>
      <c r="U130" s="9">
        <v>790173.65255999996</v>
      </c>
      <c r="V130" s="9">
        <v>768393</v>
      </c>
      <c r="W130" s="9">
        <v>189443</v>
      </c>
      <c r="X130" s="9">
        <v>1017</v>
      </c>
      <c r="Y130" s="9">
        <v>13112</v>
      </c>
      <c r="Z130" s="9">
        <v>776252.26</v>
      </c>
      <c r="AA130" s="9">
        <v>758287</v>
      </c>
      <c r="AB130" s="9">
        <v>190460</v>
      </c>
      <c r="AC130" s="9">
        <v>853060.55999999982</v>
      </c>
      <c r="AD130" s="9">
        <v>775699</v>
      </c>
      <c r="AE130" s="9">
        <v>194340</v>
      </c>
      <c r="AF130" s="9">
        <v>908416.76</v>
      </c>
      <c r="AG130" s="9">
        <v>820354</v>
      </c>
      <c r="AH130" s="9">
        <v>196865</v>
      </c>
      <c r="AI130" s="9">
        <v>806235.6399999999</v>
      </c>
      <c r="AJ130" s="9">
        <v>725612</v>
      </c>
      <c r="AK130" s="28">
        <v>199115</v>
      </c>
      <c r="AL130" s="9">
        <v>700017.85</v>
      </c>
      <c r="AM130" s="9">
        <v>630016</v>
      </c>
      <c r="AN130" s="28">
        <v>200990</v>
      </c>
      <c r="AO130" s="9">
        <v>719680.2</v>
      </c>
      <c r="AP130" s="9">
        <v>604602</v>
      </c>
      <c r="AQ130" s="28">
        <v>205060</v>
      </c>
      <c r="AR130" s="9">
        <v>672606.53356161958</v>
      </c>
      <c r="AS130" s="9">
        <v>562854</v>
      </c>
      <c r="AT130" s="28">
        <v>207160</v>
      </c>
      <c r="AU130" s="9">
        <v>715919.97</v>
      </c>
      <c r="AV130" s="9">
        <v>571860</v>
      </c>
      <c r="AW130" s="9">
        <v>209260</v>
      </c>
      <c r="AX130" s="9">
        <v>800339.26922275487</v>
      </c>
      <c r="AY130" s="9">
        <v>609145</v>
      </c>
      <c r="AZ130" s="28">
        <v>211450</v>
      </c>
      <c r="BA130" s="9">
        <v>883632.04</v>
      </c>
      <c r="BB130" s="9">
        <v>673593</v>
      </c>
      <c r="BC130" s="9">
        <v>211450</v>
      </c>
      <c r="BD130" s="9">
        <v>936904.25999999989</v>
      </c>
      <c r="BE130" s="9">
        <v>689423</v>
      </c>
      <c r="BF130" s="9">
        <v>247481</v>
      </c>
      <c r="BG130" s="9">
        <v>1024022.3699999999</v>
      </c>
      <c r="BH130" s="9">
        <v>729685</v>
      </c>
      <c r="BI130" s="9">
        <v>294337</v>
      </c>
      <c r="BJ130" s="9">
        <v>1216494.7500000002</v>
      </c>
      <c r="BK130" s="9">
        <v>780690</v>
      </c>
      <c r="BL130" s="9">
        <v>435805</v>
      </c>
      <c r="BM130" s="9"/>
      <c r="BN130" s="9"/>
      <c r="BO130" s="9"/>
      <c r="BP130" s="9"/>
      <c r="BQ130" s="9"/>
      <c r="BR130" s="9"/>
      <c r="BS130" s="9"/>
      <c r="BT130" s="9"/>
      <c r="BU130" s="9"/>
    </row>
    <row r="131" spans="1:73">
      <c r="A131" s="6">
        <v>122</v>
      </c>
      <c r="B131" s="6" t="s">
        <v>1240</v>
      </c>
      <c r="C131" s="421">
        <v>18.329999999999998</v>
      </c>
      <c r="D131" s="9">
        <v>18966432</v>
      </c>
      <c r="E131" s="33">
        <v>14270699</v>
      </c>
      <c r="F131" s="9">
        <v>4695733</v>
      </c>
      <c r="G131" s="9">
        <v>20142433.842250001</v>
      </c>
      <c r="H131" s="9">
        <v>14796651</v>
      </c>
      <c r="I131" s="9">
        <v>5345783</v>
      </c>
      <c r="J131" s="9">
        <v>21096225.834211223</v>
      </c>
      <c r="K131" s="9">
        <v>15271206</v>
      </c>
      <c r="L131" s="9">
        <v>5825020</v>
      </c>
      <c r="M131" s="9">
        <v>21748945.017949998</v>
      </c>
      <c r="N131" s="9">
        <v>15848159</v>
      </c>
      <c r="O131" s="9">
        <v>5373174</v>
      </c>
      <c r="P131" s="9">
        <v>631474</v>
      </c>
      <c r="Q131" s="9">
        <v>22213294.657841306</v>
      </c>
      <c r="R131" s="9">
        <v>15909369</v>
      </c>
      <c r="S131" s="9">
        <v>5884555</v>
      </c>
      <c r="T131" s="9">
        <v>419371</v>
      </c>
      <c r="U131" s="9">
        <v>21774380.339327995</v>
      </c>
      <c r="V131" s="9">
        <v>16297523</v>
      </c>
      <c r="W131" s="9">
        <v>5935651</v>
      </c>
      <c r="X131" s="9">
        <v>31865</v>
      </c>
      <c r="Y131" s="9">
        <v>401910</v>
      </c>
      <c r="Z131" s="9">
        <v>22331596.871920001</v>
      </c>
      <c r="AA131" s="9">
        <v>16434712</v>
      </c>
      <c r="AB131" s="9">
        <v>5967516</v>
      </c>
      <c r="AC131" s="9">
        <v>23401737.684919998</v>
      </c>
      <c r="AD131" s="9">
        <v>16986703</v>
      </c>
      <c r="AE131" s="9">
        <v>6460513.713344737</v>
      </c>
      <c r="AF131" s="9">
        <v>23673254.269769996</v>
      </c>
      <c r="AG131" s="9">
        <v>17673274</v>
      </c>
      <c r="AH131" s="9">
        <v>6526113.713344737</v>
      </c>
      <c r="AI131" s="9">
        <v>23675035.831840001</v>
      </c>
      <c r="AJ131" s="9">
        <v>17821949</v>
      </c>
      <c r="AK131" s="28">
        <v>6590763.713344737</v>
      </c>
      <c r="AL131" s="9">
        <v>24041587.167499997</v>
      </c>
      <c r="AM131" s="9">
        <v>18466336</v>
      </c>
      <c r="AN131" s="28">
        <v>6654913.713344737</v>
      </c>
      <c r="AO131" s="9">
        <v>23962139.080309998</v>
      </c>
      <c r="AP131" s="9">
        <v>18266304</v>
      </c>
      <c r="AQ131" s="28">
        <v>6795548.713344737</v>
      </c>
      <c r="AR131" s="9">
        <v>24249684.484178498</v>
      </c>
      <c r="AS131" s="9">
        <v>19005451</v>
      </c>
      <c r="AT131" s="28">
        <v>6871448.713344737</v>
      </c>
      <c r="AU131" s="9">
        <v>25234803.157349996</v>
      </c>
      <c r="AV131" s="9">
        <v>19689734</v>
      </c>
      <c r="AW131" s="9">
        <v>6947439</v>
      </c>
      <c r="AX131" s="9">
        <v>26655202.675033823</v>
      </c>
      <c r="AY131" s="9">
        <v>20506773</v>
      </c>
      <c r="AZ131" s="28">
        <v>7023879</v>
      </c>
      <c r="BA131" s="9">
        <v>27226298.169830002</v>
      </c>
      <c r="BB131" s="9">
        <v>21124278</v>
      </c>
      <c r="BC131" s="9">
        <v>7023879</v>
      </c>
      <c r="BD131" s="9">
        <v>27986422.446649998</v>
      </c>
      <c r="BE131" s="9">
        <v>21593458</v>
      </c>
      <c r="BF131" s="9">
        <v>7100319</v>
      </c>
      <c r="BG131" s="9">
        <v>29637166.854109999</v>
      </c>
      <c r="BH131" s="9">
        <v>22439160</v>
      </c>
      <c r="BI131" s="9">
        <v>7309583</v>
      </c>
      <c r="BJ131" s="9">
        <v>30800181.273539998</v>
      </c>
      <c r="BK131" s="9">
        <v>23372172</v>
      </c>
      <c r="BL131" s="9">
        <v>7458443</v>
      </c>
      <c r="BM131" s="9"/>
      <c r="BN131" s="9"/>
      <c r="BO131" s="9"/>
      <c r="BP131" s="9"/>
      <c r="BQ131" s="9"/>
      <c r="BR131" s="9"/>
      <c r="BS131" s="9"/>
      <c r="BT131" s="9"/>
      <c r="BU131" s="9"/>
    </row>
    <row r="132" spans="1:73">
      <c r="A132" s="6">
        <v>123</v>
      </c>
      <c r="B132" s="6" t="s">
        <v>1241</v>
      </c>
      <c r="C132" s="421">
        <v>36.76</v>
      </c>
      <c r="D132" s="9">
        <v>29389</v>
      </c>
      <c r="E132" s="33">
        <v>7918</v>
      </c>
      <c r="F132" s="9">
        <v>28480</v>
      </c>
      <c r="G132" s="9">
        <v>32548.98</v>
      </c>
      <c r="H132" s="9">
        <v>8976</v>
      </c>
      <c r="I132" s="9">
        <v>30063</v>
      </c>
      <c r="J132" s="9">
        <v>22710.54</v>
      </c>
      <c r="K132" s="9">
        <v>6659</v>
      </c>
      <c r="L132" s="9">
        <v>22710.54</v>
      </c>
      <c r="M132" s="9">
        <v>11943.49</v>
      </c>
      <c r="N132" s="9">
        <v>3468</v>
      </c>
      <c r="O132" s="9">
        <v>11943.49</v>
      </c>
      <c r="P132" s="9">
        <v>0</v>
      </c>
      <c r="Q132" s="9">
        <v>36919.725014354073</v>
      </c>
      <c r="R132" s="9">
        <v>12160</v>
      </c>
      <c r="S132" s="9">
        <v>11705</v>
      </c>
      <c r="T132" s="9">
        <v>13055</v>
      </c>
      <c r="U132" s="9">
        <v>48143.262719999999</v>
      </c>
      <c r="V132" s="9">
        <v>16555</v>
      </c>
      <c r="W132" s="9">
        <v>31588</v>
      </c>
      <c r="X132" s="9">
        <v>0</v>
      </c>
      <c r="Y132" s="9">
        <v>0</v>
      </c>
      <c r="Z132" s="9">
        <v>36750.21</v>
      </c>
      <c r="AA132" s="9">
        <v>13241</v>
      </c>
      <c r="AB132" s="9">
        <v>31588</v>
      </c>
      <c r="AC132" s="9">
        <v>63486.049999999996</v>
      </c>
      <c r="AD132" s="9">
        <v>23471</v>
      </c>
      <c r="AE132" s="9">
        <v>40015</v>
      </c>
      <c r="AF132" s="9">
        <v>64470.1</v>
      </c>
      <c r="AG132" s="9">
        <v>24990</v>
      </c>
      <c r="AH132" s="9">
        <v>40015</v>
      </c>
      <c r="AI132" s="9">
        <v>91034.3</v>
      </c>
      <c r="AJ132" s="9">
        <v>38572</v>
      </c>
      <c r="AK132" s="28">
        <v>52462</v>
      </c>
      <c r="AL132" s="9">
        <v>105599.68000000001</v>
      </c>
      <c r="AM132" s="9">
        <v>47255</v>
      </c>
      <c r="AN132" s="28">
        <v>58345</v>
      </c>
      <c r="AO132" s="9">
        <v>105367.36000000002</v>
      </c>
      <c r="AP132" s="9">
        <v>49870</v>
      </c>
      <c r="AQ132" s="28">
        <v>58345</v>
      </c>
      <c r="AR132" s="9">
        <v>120751.50009230593</v>
      </c>
      <c r="AS132" s="9">
        <v>61304</v>
      </c>
      <c r="AT132" s="28">
        <v>59448</v>
      </c>
      <c r="AU132" s="9">
        <v>83022.959999999992</v>
      </c>
      <c r="AV132" s="9">
        <v>44311</v>
      </c>
      <c r="AW132" s="9">
        <v>59448</v>
      </c>
      <c r="AX132" s="9">
        <v>43115.391766060078</v>
      </c>
      <c r="AY132" s="9">
        <v>23914</v>
      </c>
      <c r="AZ132" s="28">
        <v>43148</v>
      </c>
      <c r="BA132" s="9">
        <v>14657.8</v>
      </c>
      <c r="BB132" s="9">
        <v>8507</v>
      </c>
      <c r="BC132" s="9">
        <v>14657.8</v>
      </c>
      <c r="BD132" s="9">
        <v>14952.78</v>
      </c>
      <c r="BE132" s="9">
        <v>9162</v>
      </c>
      <c r="BF132" s="9">
        <v>14688</v>
      </c>
      <c r="BG132" s="9">
        <v>47093.130000000005</v>
      </c>
      <c r="BH132" s="9">
        <v>28410</v>
      </c>
      <c r="BI132" s="9">
        <v>18683</v>
      </c>
      <c r="BJ132" s="9">
        <v>82453.8</v>
      </c>
      <c r="BK132" s="9">
        <v>47057</v>
      </c>
      <c r="BL132" s="9">
        <v>35397</v>
      </c>
      <c r="BM132" s="9"/>
      <c r="BN132" s="9"/>
      <c r="BO132" s="9"/>
      <c r="BP132" s="9"/>
      <c r="BQ132" s="9"/>
      <c r="BR132" s="9"/>
      <c r="BS132" s="9"/>
      <c r="BT132" s="9"/>
      <c r="BU132" s="9"/>
    </row>
    <row r="133" spans="1:73">
      <c r="A133" s="6">
        <v>124</v>
      </c>
      <c r="B133" s="6" t="s">
        <v>1242</v>
      </c>
      <c r="C133" s="421">
        <v>53.71</v>
      </c>
      <c r="D133" s="9">
        <v>0</v>
      </c>
      <c r="E133" s="33">
        <v>0</v>
      </c>
      <c r="F133" s="9">
        <v>0</v>
      </c>
      <c r="G133" s="9">
        <v>10849.66</v>
      </c>
      <c r="H133" s="9">
        <v>2254</v>
      </c>
      <c r="I133" s="9">
        <v>8596</v>
      </c>
      <c r="J133" s="9">
        <v>0</v>
      </c>
      <c r="K133" s="9">
        <v>0</v>
      </c>
      <c r="L133" s="9">
        <v>0</v>
      </c>
      <c r="M133" s="9">
        <v>0</v>
      </c>
      <c r="N133" s="9">
        <v>0</v>
      </c>
      <c r="O133" s="9">
        <v>0</v>
      </c>
      <c r="P133" s="9">
        <v>0</v>
      </c>
      <c r="Q133" s="9">
        <v>0</v>
      </c>
      <c r="R133" s="9">
        <v>0</v>
      </c>
      <c r="S133" s="9">
        <v>0</v>
      </c>
      <c r="T133" s="9">
        <v>0</v>
      </c>
      <c r="U133" s="9">
        <v>0</v>
      </c>
      <c r="V133" s="9">
        <v>0</v>
      </c>
      <c r="W133" s="9">
        <v>0</v>
      </c>
      <c r="X133" s="9">
        <v>0</v>
      </c>
      <c r="Y133" s="9">
        <v>0</v>
      </c>
      <c r="Z133" s="9">
        <v>0</v>
      </c>
      <c r="AA133" s="9">
        <v>0</v>
      </c>
      <c r="AB133" s="9">
        <v>0</v>
      </c>
      <c r="AC133" s="9">
        <v>0</v>
      </c>
      <c r="AD133" s="9">
        <v>0</v>
      </c>
      <c r="AE133" s="9">
        <v>0</v>
      </c>
      <c r="AF133" s="9">
        <v>0</v>
      </c>
      <c r="AG133" s="9">
        <v>0</v>
      </c>
      <c r="AH133" s="9">
        <v>0</v>
      </c>
      <c r="AI133" s="9">
        <v>13004.9</v>
      </c>
      <c r="AJ133" s="9">
        <v>5113</v>
      </c>
      <c r="AK133" s="28">
        <v>7892</v>
      </c>
      <c r="AL133" s="9">
        <v>13199.960000000001</v>
      </c>
      <c r="AM133" s="9">
        <v>4892</v>
      </c>
      <c r="AN133" s="28">
        <v>8308</v>
      </c>
      <c r="AO133" s="9">
        <v>13170.920000000002</v>
      </c>
      <c r="AP133" s="9">
        <v>4778</v>
      </c>
      <c r="AQ133" s="28">
        <v>8393</v>
      </c>
      <c r="AR133" s="9">
        <v>0</v>
      </c>
      <c r="AS133" s="9">
        <v>0</v>
      </c>
      <c r="AT133" s="28">
        <v>0</v>
      </c>
      <c r="AU133" s="9">
        <v>13837.16</v>
      </c>
      <c r="AV133" s="9">
        <v>5264</v>
      </c>
      <c r="AW133" s="9">
        <v>8588</v>
      </c>
      <c r="AX133" s="9">
        <v>14371.797255353356</v>
      </c>
      <c r="AY133" s="9">
        <v>5991</v>
      </c>
      <c r="AZ133" s="28">
        <v>8588</v>
      </c>
      <c r="BA133" s="9">
        <v>29315.599999999999</v>
      </c>
      <c r="BB133" s="9">
        <v>11840</v>
      </c>
      <c r="BC133" s="9">
        <v>17476</v>
      </c>
      <c r="BD133" s="9">
        <v>44858.340000000004</v>
      </c>
      <c r="BE133" s="9">
        <v>16753</v>
      </c>
      <c r="BF133" s="9">
        <v>28114</v>
      </c>
      <c r="BG133" s="9">
        <v>31395.420000000002</v>
      </c>
      <c r="BH133" s="9">
        <v>11967</v>
      </c>
      <c r="BI133" s="9">
        <v>28114</v>
      </c>
      <c r="BJ133" s="9">
        <v>0</v>
      </c>
      <c r="BK133" s="9">
        <v>0</v>
      </c>
      <c r="BL133" s="9">
        <v>0</v>
      </c>
      <c r="BM133" s="9"/>
      <c r="BN133" s="9"/>
      <c r="BO133" s="9"/>
      <c r="BP133" s="9"/>
      <c r="BQ133" s="9"/>
      <c r="BR133" s="9"/>
      <c r="BS133" s="9"/>
      <c r="BT133" s="9"/>
      <c r="BU133" s="9"/>
    </row>
    <row r="134" spans="1:73">
      <c r="A134" s="6">
        <v>125</v>
      </c>
      <c r="B134" s="6" t="s">
        <v>1243</v>
      </c>
      <c r="C134" s="421">
        <v>17.5</v>
      </c>
      <c r="D134" s="9">
        <v>8751097</v>
      </c>
      <c r="E134" s="33">
        <v>7733519</v>
      </c>
      <c r="F134" s="9">
        <v>1207690</v>
      </c>
      <c r="G134" s="9">
        <v>9436456.4439200014</v>
      </c>
      <c r="H134" s="9">
        <v>8041734</v>
      </c>
      <c r="I134" s="9">
        <v>1394722</v>
      </c>
      <c r="J134" s="9">
        <v>9734129.4134850893</v>
      </c>
      <c r="K134" s="9">
        <v>8255080</v>
      </c>
      <c r="L134" s="9">
        <v>1487347</v>
      </c>
      <c r="M134" s="9">
        <v>10286417.543199999</v>
      </c>
      <c r="N134" s="9">
        <v>8498460</v>
      </c>
      <c r="O134" s="9">
        <v>1599929</v>
      </c>
      <c r="P134" s="9">
        <v>188029</v>
      </c>
      <c r="Q134" s="9">
        <v>10374344.582891179</v>
      </c>
      <c r="R134" s="9">
        <v>8558834</v>
      </c>
      <c r="S134" s="9">
        <v>1752199</v>
      </c>
      <c r="T134" s="9">
        <v>63312</v>
      </c>
      <c r="U134" s="9">
        <v>9724196.0291673597</v>
      </c>
      <c r="V134" s="9">
        <v>8552465</v>
      </c>
      <c r="W134" s="9">
        <v>1709449</v>
      </c>
      <c r="X134" s="9">
        <v>9177</v>
      </c>
      <c r="Y134" s="9">
        <v>125810</v>
      </c>
      <c r="Z134" s="9">
        <v>9832645.2214000002</v>
      </c>
      <c r="AA134" s="9">
        <v>8627525</v>
      </c>
      <c r="AB134" s="9">
        <v>1718626</v>
      </c>
      <c r="AC134" s="9">
        <v>10074274.181770001</v>
      </c>
      <c r="AD134" s="9">
        <v>8807063</v>
      </c>
      <c r="AE134" s="9">
        <v>1763706</v>
      </c>
      <c r="AF134" s="9">
        <v>9949641.3842999991</v>
      </c>
      <c r="AG134" s="9">
        <v>8901871</v>
      </c>
      <c r="AH134" s="9">
        <v>1790806</v>
      </c>
      <c r="AI134" s="9">
        <v>9617698.6389000006</v>
      </c>
      <c r="AJ134" s="9">
        <v>8555966</v>
      </c>
      <c r="AK134" s="28">
        <v>1816706</v>
      </c>
      <c r="AL134" s="9">
        <v>9693663.2637600005</v>
      </c>
      <c r="AM134" s="9">
        <v>8402066</v>
      </c>
      <c r="AN134" s="28">
        <v>1842181</v>
      </c>
      <c r="AO134" s="9">
        <v>9175786.1101999991</v>
      </c>
      <c r="AP134" s="9">
        <v>7758081</v>
      </c>
      <c r="AQ134" s="28">
        <v>1896961</v>
      </c>
      <c r="AR134" s="9">
        <v>9274857.1529690847</v>
      </c>
      <c r="AS134" s="9">
        <v>7706220</v>
      </c>
      <c r="AT134" s="28">
        <v>1926361</v>
      </c>
      <c r="AU134" s="9">
        <v>9216263.0621200018</v>
      </c>
      <c r="AV134" s="9">
        <v>7603417</v>
      </c>
      <c r="AW134" s="9">
        <v>1954741</v>
      </c>
      <c r="AX134" s="9">
        <v>9480813.6788152698</v>
      </c>
      <c r="AY134" s="9">
        <v>7821672</v>
      </c>
      <c r="AZ134" s="28">
        <v>1982671</v>
      </c>
      <c r="BA134" s="9">
        <v>9458347.1900000013</v>
      </c>
      <c r="BB134" s="9">
        <v>7803137</v>
      </c>
      <c r="BC134" s="9">
        <v>1982671</v>
      </c>
      <c r="BD134" s="9">
        <v>9395298.2599999998</v>
      </c>
      <c r="BE134" s="9">
        <v>7751121</v>
      </c>
      <c r="BF134" s="9">
        <v>2008951</v>
      </c>
      <c r="BG134" s="9">
        <v>9947885.4299999997</v>
      </c>
      <c r="BH134" s="9">
        <v>8018632</v>
      </c>
      <c r="BI134" s="9">
        <v>2061331</v>
      </c>
      <c r="BJ134" s="9">
        <v>10576374.949999999</v>
      </c>
      <c r="BK134" s="9">
        <v>8379508</v>
      </c>
      <c r="BL134" s="9">
        <v>2196867</v>
      </c>
      <c r="BM134" s="9"/>
      <c r="BN134" s="9"/>
      <c r="BO134" s="9"/>
      <c r="BP134" s="9"/>
      <c r="BQ134" s="9"/>
      <c r="BR134" s="9"/>
      <c r="BS134" s="9"/>
      <c r="BT134" s="9"/>
      <c r="BU134" s="9"/>
    </row>
    <row r="135" spans="1:73">
      <c r="A135" s="6">
        <v>126</v>
      </c>
      <c r="B135" s="6" t="s">
        <v>1244</v>
      </c>
      <c r="C135" s="421">
        <v>17.5</v>
      </c>
      <c r="D135" s="9">
        <v>11161455</v>
      </c>
      <c r="E135" s="33">
        <v>11250796</v>
      </c>
      <c r="F135" s="9">
        <v>1441301.6</v>
      </c>
      <c r="G135" s="9">
        <v>11707485.16</v>
      </c>
      <c r="H135" s="9">
        <v>11494628</v>
      </c>
      <c r="I135" s="9">
        <v>1562803.6</v>
      </c>
      <c r="J135" s="9">
        <v>12038269.950589731</v>
      </c>
      <c r="K135" s="9">
        <v>11546692</v>
      </c>
      <c r="L135" s="9">
        <v>1725971.6</v>
      </c>
      <c r="M135" s="9">
        <v>12378598.029999999</v>
      </c>
      <c r="N135" s="9">
        <v>11167921</v>
      </c>
      <c r="O135" s="9">
        <v>1674475.6</v>
      </c>
      <c r="P135" s="9">
        <v>196790</v>
      </c>
      <c r="Q135" s="9">
        <v>12611946.734974166</v>
      </c>
      <c r="R135" s="9">
        <v>11483505</v>
      </c>
      <c r="S135" s="9">
        <v>1833840</v>
      </c>
      <c r="T135" s="9">
        <v>0</v>
      </c>
      <c r="U135" s="9">
        <v>12195817.037459999</v>
      </c>
      <c r="V135" s="9">
        <v>11202192</v>
      </c>
      <c r="W135" s="9">
        <v>1726707</v>
      </c>
      <c r="X135" s="9">
        <v>9270</v>
      </c>
      <c r="Y135" s="9">
        <v>133013</v>
      </c>
      <c r="Z135" s="9">
        <v>0</v>
      </c>
      <c r="AA135" s="9">
        <v>0</v>
      </c>
      <c r="AB135" s="9">
        <v>0</v>
      </c>
      <c r="AC135" s="9">
        <v>0</v>
      </c>
      <c r="AD135" s="9">
        <v>0</v>
      </c>
      <c r="AE135" s="9">
        <v>0</v>
      </c>
      <c r="AF135" s="9">
        <v>0</v>
      </c>
      <c r="AG135" s="9">
        <v>0</v>
      </c>
      <c r="AH135" s="9">
        <v>0</v>
      </c>
      <c r="AI135" s="9">
        <v>0</v>
      </c>
      <c r="AJ135" s="9">
        <v>0</v>
      </c>
      <c r="AK135" s="28">
        <v>0</v>
      </c>
      <c r="AL135" s="9">
        <v>0</v>
      </c>
      <c r="AM135" s="9">
        <v>0</v>
      </c>
      <c r="AN135" s="28">
        <v>0</v>
      </c>
      <c r="AO135" s="9">
        <v>0</v>
      </c>
      <c r="AP135" s="9">
        <v>0</v>
      </c>
      <c r="AQ135" s="28">
        <v>0</v>
      </c>
      <c r="AR135" s="9">
        <v>0</v>
      </c>
      <c r="AS135" s="9">
        <v>0</v>
      </c>
      <c r="AT135" s="28">
        <v>0</v>
      </c>
      <c r="AU135" s="9">
        <v>0</v>
      </c>
      <c r="AV135" s="9">
        <v>0</v>
      </c>
      <c r="AW135" s="9">
        <v>0</v>
      </c>
      <c r="AX135" s="9">
        <v>0</v>
      </c>
      <c r="AY135" s="9">
        <v>0</v>
      </c>
      <c r="AZ135" s="28">
        <v>0</v>
      </c>
      <c r="BA135" s="9">
        <v>0</v>
      </c>
      <c r="BB135" s="9">
        <v>0</v>
      </c>
      <c r="BC135" s="9">
        <v>0</v>
      </c>
      <c r="BD135" s="9">
        <v>0</v>
      </c>
      <c r="BE135" s="9">
        <v>0</v>
      </c>
      <c r="BF135" s="9">
        <v>0</v>
      </c>
      <c r="BG135" s="9">
        <v>0</v>
      </c>
      <c r="BH135" s="9">
        <v>0</v>
      </c>
      <c r="BI135" s="9">
        <v>0</v>
      </c>
      <c r="BJ135" s="9">
        <v>0</v>
      </c>
      <c r="BK135" s="9">
        <v>0</v>
      </c>
      <c r="BL135" s="9">
        <v>0</v>
      </c>
      <c r="BM135" s="9"/>
      <c r="BN135" s="9"/>
      <c r="BO135" s="9"/>
      <c r="BP135" s="9"/>
      <c r="BQ135" s="9"/>
      <c r="BR135" s="9"/>
      <c r="BS135" s="9"/>
      <c r="BT135" s="9"/>
      <c r="BU135" s="9"/>
    </row>
    <row r="136" spans="1:73">
      <c r="A136" s="6">
        <v>127</v>
      </c>
      <c r="B136" s="6" t="s">
        <v>1245</v>
      </c>
      <c r="C136" s="421">
        <v>17.5</v>
      </c>
      <c r="D136" s="9">
        <v>3541366</v>
      </c>
      <c r="E136" s="33">
        <v>2921690</v>
      </c>
      <c r="F136" s="9">
        <v>619676</v>
      </c>
      <c r="G136" s="9">
        <v>3642953.19</v>
      </c>
      <c r="H136" s="9">
        <v>2938353</v>
      </c>
      <c r="I136" s="9">
        <v>707251</v>
      </c>
      <c r="J136" s="9">
        <v>3688012.9120416823</v>
      </c>
      <c r="K136" s="9">
        <v>2957523</v>
      </c>
      <c r="L136" s="9">
        <v>790818</v>
      </c>
      <c r="M136" s="9">
        <v>3648857.07</v>
      </c>
      <c r="N136" s="9">
        <v>2998072</v>
      </c>
      <c r="O136" s="9">
        <v>726623</v>
      </c>
      <c r="P136" s="9">
        <v>85395</v>
      </c>
      <c r="Q136" s="9">
        <v>3508714.1457454548</v>
      </c>
      <c r="R136" s="9">
        <v>3029964</v>
      </c>
      <c r="S136" s="9">
        <v>795778</v>
      </c>
      <c r="T136" s="9">
        <v>0</v>
      </c>
      <c r="U136" s="9">
        <v>3258631.5302400002</v>
      </c>
      <c r="V136" s="9">
        <v>3006599</v>
      </c>
      <c r="W136" s="9">
        <v>749289</v>
      </c>
      <c r="X136" s="9">
        <v>4022</v>
      </c>
      <c r="Y136" s="9">
        <v>51717</v>
      </c>
      <c r="Z136" s="9">
        <v>3188704</v>
      </c>
      <c r="AA136" s="9">
        <v>2995877</v>
      </c>
      <c r="AB136" s="9">
        <v>753311</v>
      </c>
      <c r="AC136" s="9">
        <v>3317758.7599999988</v>
      </c>
      <c r="AD136" s="9">
        <v>3073443</v>
      </c>
      <c r="AE136" s="9">
        <v>767671</v>
      </c>
      <c r="AF136" s="9">
        <v>3450986.7199999997</v>
      </c>
      <c r="AG136" s="9">
        <v>3186043</v>
      </c>
      <c r="AH136" s="9">
        <v>776846</v>
      </c>
      <c r="AI136" s="9">
        <v>3505759.1100000003</v>
      </c>
      <c r="AJ136" s="9">
        <v>3095381</v>
      </c>
      <c r="AK136" s="28">
        <v>786221</v>
      </c>
      <c r="AL136" s="9">
        <v>3617908.4000000004</v>
      </c>
      <c r="AM136" s="9">
        <v>3106474</v>
      </c>
      <c r="AN136" s="28">
        <v>795746</v>
      </c>
      <c r="AO136" s="9">
        <v>3350319.81</v>
      </c>
      <c r="AP136" s="9">
        <v>2835513</v>
      </c>
      <c r="AQ136" s="28">
        <v>814996</v>
      </c>
      <c r="AR136" s="9">
        <v>3456804.2799801859</v>
      </c>
      <c r="AS136" s="9">
        <v>2864170</v>
      </c>
      <c r="AT136" s="28">
        <v>825616</v>
      </c>
      <c r="AU136" s="9">
        <v>3557025.64</v>
      </c>
      <c r="AV136" s="9">
        <v>2934546</v>
      </c>
      <c r="AW136" s="9">
        <v>835846</v>
      </c>
      <c r="AX136" s="9">
        <v>3779440.8478222261</v>
      </c>
      <c r="AY136" s="9">
        <v>3053395</v>
      </c>
      <c r="AZ136" s="28">
        <v>846256</v>
      </c>
      <c r="BA136" s="9">
        <v>3943217.63</v>
      </c>
      <c r="BB136" s="9">
        <v>3167592</v>
      </c>
      <c r="BC136" s="9">
        <v>846256</v>
      </c>
      <c r="BD136" s="9">
        <v>3877179.38</v>
      </c>
      <c r="BE136" s="9">
        <v>3198673</v>
      </c>
      <c r="BF136" s="9">
        <v>856276</v>
      </c>
      <c r="BG136" s="9">
        <v>4125023.4699999997</v>
      </c>
      <c r="BH136" s="9">
        <v>3287596</v>
      </c>
      <c r="BI136" s="9">
        <v>876136</v>
      </c>
      <c r="BJ136" s="9">
        <v>4215602.3500000006</v>
      </c>
      <c r="BK136" s="9">
        <v>3472030</v>
      </c>
      <c r="BL136" s="9">
        <v>895156</v>
      </c>
      <c r="BM136" s="9"/>
      <c r="BN136" s="9"/>
      <c r="BO136" s="9"/>
      <c r="BP136" s="9"/>
      <c r="BQ136" s="9"/>
      <c r="BR136" s="9"/>
      <c r="BS136" s="9"/>
      <c r="BT136" s="9"/>
      <c r="BU136" s="9"/>
    </row>
    <row r="137" spans="1:73">
      <c r="A137" s="6">
        <v>128</v>
      </c>
      <c r="B137" s="6" t="s">
        <v>1246</v>
      </c>
      <c r="C137" s="421">
        <v>57.07</v>
      </c>
      <c r="D137" s="9">
        <v>59731907</v>
      </c>
      <c r="E137" s="33">
        <v>29319627</v>
      </c>
      <c r="F137" s="9">
        <v>31984671</v>
      </c>
      <c r="G137" s="9">
        <v>61978683.149999999</v>
      </c>
      <c r="H137" s="9">
        <v>32052321</v>
      </c>
      <c r="I137" s="9">
        <v>33057731</v>
      </c>
      <c r="J137" s="9">
        <v>65881401.521652639</v>
      </c>
      <c r="K137" s="9">
        <v>33678683</v>
      </c>
      <c r="L137" s="9">
        <v>34988016</v>
      </c>
      <c r="M137" s="9">
        <v>68099107.280000016</v>
      </c>
      <c r="N137" s="9">
        <v>34744794</v>
      </c>
      <c r="O137" s="9">
        <v>33819377</v>
      </c>
      <c r="P137" s="9">
        <v>2258641</v>
      </c>
      <c r="Q137" s="9">
        <v>71235841.205159843</v>
      </c>
      <c r="R137" s="9">
        <v>34829065</v>
      </c>
      <c r="S137" s="9">
        <v>35356458</v>
      </c>
      <c r="T137" s="9">
        <v>1050318</v>
      </c>
      <c r="U137" s="9">
        <v>70567491.926159993</v>
      </c>
      <c r="V137" s="9">
        <v>35268131</v>
      </c>
      <c r="W137" s="9">
        <v>34622057</v>
      </c>
      <c r="X137" s="9">
        <v>185867</v>
      </c>
      <c r="Y137" s="9">
        <v>1787452</v>
      </c>
      <c r="Z137" s="9">
        <v>71678180.060000002</v>
      </c>
      <c r="AA137" s="9">
        <v>35711436</v>
      </c>
      <c r="AB137" s="9">
        <v>35966744</v>
      </c>
      <c r="AC137" s="9">
        <v>77249638.609999985</v>
      </c>
      <c r="AD137" s="9">
        <v>36816955</v>
      </c>
      <c r="AE137" s="9">
        <v>40527259.019415751</v>
      </c>
      <c r="AF137" s="9">
        <v>81685330.230000004</v>
      </c>
      <c r="AG137" s="9">
        <v>37879800</v>
      </c>
      <c r="AH137" s="9">
        <f>44126723.07174+387413</f>
        <v>44514136.071740001</v>
      </c>
      <c r="AI137" s="9">
        <v>83661746.030000001</v>
      </c>
      <c r="AJ137" s="9">
        <v>38734196</v>
      </c>
      <c r="AK137" s="28">
        <v>45091781.071740001</v>
      </c>
      <c r="AL137" s="9">
        <v>85387258.689999998</v>
      </c>
      <c r="AM137" s="9">
        <v>38924761</v>
      </c>
      <c r="AN137" s="28">
        <v>46462498</v>
      </c>
      <c r="AO137" s="9">
        <v>87808524.019999996</v>
      </c>
      <c r="AP137" s="9">
        <v>38182889</v>
      </c>
      <c r="AQ137" s="28">
        <v>49625635</v>
      </c>
      <c r="AR137" s="9">
        <v>91533733.132029355</v>
      </c>
      <c r="AS137" s="9">
        <v>39059148</v>
      </c>
      <c r="AT137" s="28">
        <v>52474585</v>
      </c>
      <c r="AU137" s="9">
        <v>95275049.070000008</v>
      </c>
      <c r="AV137" s="9">
        <v>40630210</v>
      </c>
      <c r="AW137" s="9">
        <v>54644839</v>
      </c>
      <c r="AX137" s="9">
        <v>100463268.08911894</v>
      </c>
      <c r="AY137" s="9">
        <v>42109344</v>
      </c>
      <c r="AZ137" s="28">
        <v>58353924</v>
      </c>
      <c r="BA137" s="9">
        <v>107173075.29000002</v>
      </c>
      <c r="BB137" s="9">
        <v>43835110</v>
      </c>
      <c r="BC137" s="9">
        <v>63349956</v>
      </c>
      <c r="BD137" s="9">
        <v>109839437.75000001</v>
      </c>
      <c r="BE137" s="9">
        <v>44857002</v>
      </c>
      <c r="BF137" s="9">
        <v>64982436</v>
      </c>
      <c r="BG137" s="9">
        <v>121331843.41000001</v>
      </c>
      <c r="BH137" s="9">
        <v>47425533</v>
      </c>
      <c r="BI137" s="9">
        <v>73906310</v>
      </c>
      <c r="BJ137" s="9">
        <v>132551888.25</v>
      </c>
      <c r="BK137" s="9">
        <v>49918077</v>
      </c>
      <c r="BL137" s="9">
        <v>82633811</v>
      </c>
      <c r="BM137" s="9"/>
      <c r="BN137" s="9"/>
      <c r="BO137" s="9"/>
      <c r="BP137" s="9"/>
      <c r="BQ137" s="9"/>
      <c r="BR137" s="9"/>
      <c r="BS137" s="9"/>
      <c r="BT137" s="9"/>
      <c r="BU137" s="9"/>
    </row>
    <row r="138" spans="1:73">
      <c r="A138" s="6">
        <v>129</v>
      </c>
      <c r="B138" s="6" t="s">
        <v>1247</v>
      </c>
      <c r="C138" s="421">
        <v>17.5</v>
      </c>
      <c r="D138" s="9">
        <v>48982</v>
      </c>
      <c r="E138" s="33">
        <v>21657</v>
      </c>
      <c r="F138" s="9">
        <v>27325</v>
      </c>
      <c r="G138" s="9">
        <v>32548.98</v>
      </c>
      <c r="H138" s="9">
        <v>22929</v>
      </c>
      <c r="I138" s="9">
        <v>27475</v>
      </c>
      <c r="J138" s="9">
        <v>11355.27</v>
      </c>
      <c r="K138" s="9">
        <v>7744</v>
      </c>
      <c r="L138" s="9">
        <v>11355.27</v>
      </c>
      <c r="M138" s="9">
        <v>11943.49</v>
      </c>
      <c r="N138" s="9">
        <v>6852</v>
      </c>
      <c r="O138" s="9">
        <v>11668.27</v>
      </c>
      <c r="P138" s="9">
        <v>0</v>
      </c>
      <c r="Q138" s="9">
        <v>49226.300019138762</v>
      </c>
      <c r="R138" s="9">
        <v>29178</v>
      </c>
      <c r="S138" s="9">
        <v>11435</v>
      </c>
      <c r="T138" s="9">
        <v>8613</v>
      </c>
      <c r="U138" s="9">
        <v>60179.078399999999</v>
      </c>
      <c r="V138" s="9">
        <v>31929</v>
      </c>
      <c r="W138" s="9">
        <v>28250</v>
      </c>
      <c r="X138" s="9">
        <v>0</v>
      </c>
      <c r="Y138" s="9">
        <v>0</v>
      </c>
      <c r="Z138" s="9">
        <v>49000.28</v>
      </c>
      <c r="AA138" s="9">
        <v>31936</v>
      </c>
      <c r="AB138" s="9">
        <v>28250</v>
      </c>
      <c r="AC138" s="9">
        <v>76183.260000000009</v>
      </c>
      <c r="AD138" s="9">
        <v>40981</v>
      </c>
      <c r="AE138" s="9">
        <v>35202</v>
      </c>
      <c r="AF138" s="9">
        <v>38682.05999999999</v>
      </c>
      <c r="AG138" s="9">
        <v>25218</v>
      </c>
      <c r="AH138" s="9">
        <v>35202</v>
      </c>
      <c r="AI138" s="9">
        <v>39014.69999999999</v>
      </c>
      <c r="AJ138" s="9">
        <v>24838</v>
      </c>
      <c r="AK138" s="28">
        <v>35202</v>
      </c>
      <c r="AL138" s="9">
        <v>65999.8</v>
      </c>
      <c r="AM138" s="9">
        <v>34098</v>
      </c>
      <c r="AN138" s="28">
        <v>35202</v>
      </c>
      <c r="AO138" s="9">
        <v>39512.76</v>
      </c>
      <c r="AP138" s="9">
        <v>25830</v>
      </c>
      <c r="AQ138" s="28">
        <v>35202</v>
      </c>
      <c r="AR138" s="9">
        <v>26833.666687179095</v>
      </c>
      <c r="AS138" s="9">
        <v>20424</v>
      </c>
      <c r="AT138" s="28">
        <v>26833.666687179095</v>
      </c>
      <c r="AU138" s="9">
        <v>13837.16</v>
      </c>
      <c r="AV138" s="9">
        <v>9530</v>
      </c>
      <c r="AW138" s="9">
        <v>13837.16</v>
      </c>
      <c r="AX138" s="9">
        <v>0</v>
      </c>
      <c r="AY138" s="9">
        <v>0</v>
      </c>
      <c r="AZ138" s="28">
        <v>0</v>
      </c>
      <c r="BA138" s="9">
        <v>14657.8</v>
      </c>
      <c r="BB138" s="9">
        <v>8781</v>
      </c>
      <c r="BC138" s="9">
        <v>5877</v>
      </c>
      <c r="BD138" s="9">
        <v>59811.12</v>
      </c>
      <c r="BE138" s="9">
        <v>46542</v>
      </c>
      <c r="BF138" s="9">
        <v>13300</v>
      </c>
      <c r="BG138" s="9">
        <v>62790.840000000004</v>
      </c>
      <c r="BH138" s="9">
        <v>51375</v>
      </c>
      <c r="BI138" s="9">
        <v>13300</v>
      </c>
      <c r="BJ138" s="9">
        <v>65963.040000000008</v>
      </c>
      <c r="BK138" s="9">
        <v>54419</v>
      </c>
      <c r="BL138" s="9">
        <v>13300</v>
      </c>
      <c r="BM138" s="9"/>
      <c r="BN138" s="9"/>
      <c r="BO138" s="9"/>
      <c r="BP138" s="9"/>
      <c r="BQ138" s="9"/>
      <c r="BR138" s="9"/>
      <c r="BS138" s="9"/>
      <c r="BT138" s="9"/>
      <c r="BU138" s="9"/>
    </row>
    <row r="139" spans="1:73">
      <c r="A139" s="6">
        <v>130</v>
      </c>
      <c r="B139" s="6" t="s">
        <v>1248</v>
      </c>
      <c r="C139" s="421">
        <v>58.31</v>
      </c>
      <c r="D139" s="9">
        <v>0</v>
      </c>
      <c r="E139" s="33">
        <v>0</v>
      </c>
      <c r="F139" s="9">
        <v>0</v>
      </c>
      <c r="G139" s="9">
        <v>0</v>
      </c>
      <c r="H139" s="9">
        <v>0</v>
      </c>
      <c r="I139" s="9">
        <v>0</v>
      </c>
      <c r="J139" s="9">
        <v>0</v>
      </c>
      <c r="K139" s="9">
        <v>0</v>
      </c>
      <c r="L139" s="9">
        <v>0</v>
      </c>
      <c r="M139" s="9">
        <v>0</v>
      </c>
      <c r="N139" s="9">
        <v>0</v>
      </c>
      <c r="O139" s="9">
        <v>0</v>
      </c>
      <c r="P139" s="9">
        <v>0</v>
      </c>
      <c r="Q139" s="9">
        <v>0</v>
      </c>
      <c r="R139" s="9">
        <v>0</v>
      </c>
      <c r="S139" s="9">
        <v>0</v>
      </c>
      <c r="T139" s="9">
        <v>0</v>
      </c>
      <c r="U139" s="9">
        <v>0</v>
      </c>
      <c r="V139" s="9">
        <v>0</v>
      </c>
      <c r="W139" s="9">
        <v>0</v>
      </c>
      <c r="X139" s="9">
        <v>0</v>
      </c>
      <c r="Y139" s="9">
        <v>0</v>
      </c>
      <c r="Z139" s="9">
        <v>0</v>
      </c>
      <c r="AA139" s="9">
        <v>0</v>
      </c>
      <c r="AB139" s="9">
        <v>0</v>
      </c>
      <c r="AC139" s="9">
        <v>0</v>
      </c>
      <c r="AD139" s="9">
        <v>0</v>
      </c>
      <c r="AE139" s="9">
        <v>0</v>
      </c>
      <c r="AF139" s="9">
        <v>0</v>
      </c>
      <c r="AG139" s="9">
        <v>0</v>
      </c>
      <c r="AH139" s="9">
        <v>0</v>
      </c>
      <c r="AI139" s="9">
        <v>0</v>
      </c>
      <c r="AJ139" s="9">
        <v>0</v>
      </c>
      <c r="AK139" s="28">
        <v>0</v>
      </c>
      <c r="AL139" s="9">
        <v>0</v>
      </c>
      <c r="AM139" s="9">
        <v>0</v>
      </c>
      <c r="AN139" s="28">
        <v>0</v>
      </c>
      <c r="AO139" s="9">
        <v>0</v>
      </c>
      <c r="AP139" s="9">
        <v>0</v>
      </c>
      <c r="AQ139" s="28">
        <v>0</v>
      </c>
      <c r="AR139" s="9">
        <v>0</v>
      </c>
      <c r="AS139" s="9">
        <v>0</v>
      </c>
      <c r="AT139" s="28">
        <v>0</v>
      </c>
      <c r="AU139" s="9">
        <v>0</v>
      </c>
      <c r="AV139" s="9">
        <v>0</v>
      </c>
      <c r="AW139" s="9">
        <v>0</v>
      </c>
      <c r="AX139" s="9">
        <v>0</v>
      </c>
      <c r="AY139" s="9">
        <v>0</v>
      </c>
      <c r="AZ139" s="28">
        <v>0</v>
      </c>
      <c r="BA139" s="9">
        <v>0</v>
      </c>
      <c r="BB139" s="9">
        <v>0</v>
      </c>
      <c r="BC139" s="9">
        <v>0</v>
      </c>
      <c r="BD139" s="9">
        <v>0</v>
      </c>
      <c r="BE139" s="9">
        <v>0</v>
      </c>
      <c r="BF139" s="9">
        <v>0</v>
      </c>
      <c r="BG139" s="9">
        <v>0</v>
      </c>
      <c r="BH139" s="9">
        <v>0</v>
      </c>
      <c r="BI139" s="9">
        <v>0</v>
      </c>
      <c r="BJ139" s="9">
        <v>0</v>
      </c>
      <c r="BK139" s="9">
        <v>0</v>
      </c>
      <c r="BL139" s="9">
        <v>0</v>
      </c>
      <c r="BM139" s="9"/>
      <c r="BN139" s="9"/>
      <c r="BO139" s="9"/>
      <c r="BP139" s="9"/>
      <c r="BQ139" s="9"/>
      <c r="BR139" s="9"/>
      <c r="BS139" s="9"/>
      <c r="BT139" s="9"/>
      <c r="BU139" s="9"/>
    </row>
    <row r="140" spans="1:73">
      <c r="A140" s="6">
        <v>131</v>
      </c>
      <c r="B140" s="6" t="s">
        <v>1249</v>
      </c>
      <c r="C140" s="421">
        <v>17.5</v>
      </c>
      <c r="D140" s="9">
        <v>25403781</v>
      </c>
      <c r="E140" s="33">
        <v>22762272</v>
      </c>
      <c r="F140" s="9">
        <v>3340480.4</v>
      </c>
      <c r="G140" s="9">
        <v>27560964.819960002</v>
      </c>
      <c r="H140" s="9">
        <v>23564072</v>
      </c>
      <c r="I140" s="9">
        <v>3996893</v>
      </c>
      <c r="J140" s="9">
        <v>29139913.603763632</v>
      </c>
      <c r="K140" s="9">
        <v>24642808</v>
      </c>
      <c r="L140" s="9">
        <v>4497106</v>
      </c>
      <c r="M140" s="9">
        <v>31044967.342000008</v>
      </c>
      <c r="N140" s="9">
        <v>26194370</v>
      </c>
      <c r="O140" s="9">
        <v>4340488</v>
      </c>
      <c r="P140" s="9">
        <v>510109</v>
      </c>
      <c r="Q140" s="9">
        <v>32711413.88404119</v>
      </c>
      <c r="R140" s="9">
        <v>26992341</v>
      </c>
      <c r="S140" s="9">
        <v>4753585</v>
      </c>
      <c r="T140" s="9">
        <v>965488</v>
      </c>
      <c r="U140" s="9">
        <v>32995448.474696219</v>
      </c>
      <c r="V140" s="9">
        <v>27678867</v>
      </c>
      <c r="W140" s="9">
        <v>5384965</v>
      </c>
      <c r="X140" s="9">
        <v>28909</v>
      </c>
      <c r="Y140" s="9">
        <v>403099</v>
      </c>
      <c r="Z140" s="9">
        <v>34007006.427199997</v>
      </c>
      <c r="AA140" s="9">
        <v>28453971</v>
      </c>
      <c r="AB140" s="9">
        <v>5553035</v>
      </c>
      <c r="AC140" s="9">
        <v>35828380.478589997</v>
      </c>
      <c r="AD140" s="9">
        <v>29594328</v>
      </c>
      <c r="AE140" s="9">
        <v>6234052</v>
      </c>
      <c r="AF140" s="9">
        <v>37036862.488399997</v>
      </c>
      <c r="AG140" s="9">
        <v>30669232</v>
      </c>
      <c r="AH140" s="9">
        <v>6396085.2338675</v>
      </c>
      <c r="AI140" s="9">
        <v>37371415.691150002</v>
      </c>
      <c r="AJ140" s="9">
        <v>31288570</v>
      </c>
      <c r="AK140" s="28">
        <v>6499060.2338675</v>
      </c>
      <c r="AL140" s="9">
        <v>39001020.533249997</v>
      </c>
      <c r="AM140" s="9">
        <v>32512856</v>
      </c>
      <c r="AN140" s="28">
        <v>6603785.2338675</v>
      </c>
      <c r="AO140" s="9">
        <v>40329887.992679983</v>
      </c>
      <c r="AP140" s="9">
        <v>33379675</v>
      </c>
      <c r="AQ140" s="28">
        <v>6950213</v>
      </c>
      <c r="AR140" s="9">
        <v>41440808.001251943</v>
      </c>
      <c r="AS140" s="9">
        <v>34293632</v>
      </c>
      <c r="AT140" s="28">
        <v>7147176</v>
      </c>
      <c r="AU140" s="9">
        <v>42815000.845129997</v>
      </c>
      <c r="AV140" s="9">
        <v>35322376</v>
      </c>
      <c r="AW140" s="9">
        <v>7492625</v>
      </c>
      <c r="AX140" s="9">
        <v>43961797.366181195</v>
      </c>
      <c r="AY140" s="9">
        <v>36268483</v>
      </c>
      <c r="AZ140" s="28">
        <v>7695110</v>
      </c>
      <c r="BA140" s="9">
        <v>45460703.839160003</v>
      </c>
      <c r="BB140" s="9">
        <v>37505081</v>
      </c>
      <c r="BC140" s="9">
        <v>7955623</v>
      </c>
      <c r="BD140" s="9">
        <v>43233894.313900001</v>
      </c>
      <c r="BE140" s="9">
        <v>35667963</v>
      </c>
      <c r="BF140" s="9">
        <v>8074033</v>
      </c>
      <c r="BG140" s="9">
        <v>45163141.519900002</v>
      </c>
      <c r="BH140" s="9">
        <v>37259592</v>
      </c>
      <c r="BI140" s="9">
        <v>8306773</v>
      </c>
      <c r="BJ140" s="9">
        <v>47057670.467040002</v>
      </c>
      <c r="BK140" s="9">
        <v>38822578</v>
      </c>
      <c r="BL140" s="9">
        <v>8535193</v>
      </c>
      <c r="BM140" s="9"/>
      <c r="BN140" s="9"/>
      <c r="BO140" s="9"/>
      <c r="BP140" s="9"/>
      <c r="BQ140" s="9"/>
      <c r="BR140" s="9"/>
      <c r="BS140" s="9"/>
      <c r="BT140" s="9"/>
      <c r="BU140" s="9"/>
    </row>
    <row r="141" spans="1:73">
      <c r="A141" s="6">
        <v>132</v>
      </c>
      <c r="B141" s="6" t="s">
        <v>1250</v>
      </c>
      <c r="C141" s="421">
        <v>17.5</v>
      </c>
      <c r="D141" s="9">
        <v>88168</v>
      </c>
      <c r="E141" s="33">
        <v>40638</v>
      </c>
      <c r="F141" s="9">
        <v>75997</v>
      </c>
      <c r="G141" s="9">
        <v>97646.94</v>
      </c>
      <c r="H141" s="9">
        <v>51939</v>
      </c>
      <c r="I141" s="9">
        <v>80464</v>
      </c>
      <c r="J141" s="9">
        <v>158055.47</v>
      </c>
      <c r="K141" s="9">
        <v>85670</v>
      </c>
      <c r="L141" s="9">
        <v>107527</v>
      </c>
      <c r="M141" s="9">
        <v>166242.96</v>
      </c>
      <c r="N141" s="9">
        <v>90274</v>
      </c>
      <c r="O141" s="9">
        <v>111270</v>
      </c>
      <c r="P141" s="9">
        <v>0</v>
      </c>
      <c r="Q141" s="9">
        <v>123065.7500478469</v>
      </c>
      <c r="R141" s="9">
        <v>72206</v>
      </c>
      <c r="S141" s="9">
        <v>109045</v>
      </c>
      <c r="T141" s="9">
        <v>0</v>
      </c>
      <c r="U141" s="9">
        <v>179563.89048</v>
      </c>
      <c r="V141" s="9">
        <v>109118</v>
      </c>
      <c r="W141" s="9">
        <v>104683</v>
      </c>
      <c r="X141" s="9">
        <v>0</v>
      </c>
      <c r="Y141" s="9">
        <v>0</v>
      </c>
      <c r="Z141" s="9">
        <v>231760.61</v>
      </c>
      <c r="AA141" s="9">
        <v>138940</v>
      </c>
      <c r="AB141" s="9">
        <v>104683</v>
      </c>
      <c r="AC141" s="9">
        <v>176734.04000000004</v>
      </c>
      <c r="AD141" s="9">
        <v>114460</v>
      </c>
      <c r="AE141" s="9">
        <v>104683</v>
      </c>
      <c r="AF141" s="9">
        <v>218155.53</v>
      </c>
      <c r="AG141" s="9">
        <v>163644</v>
      </c>
      <c r="AH141" s="9">
        <v>104683</v>
      </c>
      <c r="AI141" s="9">
        <v>259046.25</v>
      </c>
      <c r="AJ141" s="9">
        <v>194505</v>
      </c>
      <c r="AK141" s="28">
        <v>104683</v>
      </c>
      <c r="AL141" s="9">
        <v>210131.86</v>
      </c>
      <c r="AM141" s="9">
        <v>161349</v>
      </c>
      <c r="AN141" s="28">
        <v>104683</v>
      </c>
      <c r="AO141" s="9">
        <v>222840.48</v>
      </c>
      <c r="AP141" s="9">
        <v>184676</v>
      </c>
      <c r="AQ141" s="28">
        <v>104683</v>
      </c>
      <c r="AR141" s="9">
        <v>226884.18269824251</v>
      </c>
      <c r="AS141" s="9">
        <v>188237</v>
      </c>
      <c r="AT141" s="28">
        <v>104683</v>
      </c>
      <c r="AU141" s="9">
        <v>124534.43999999997</v>
      </c>
      <c r="AV141" s="9">
        <v>102741</v>
      </c>
      <c r="AW141" s="9">
        <v>104683</v>
      </c>
      <c r="AX141" s="9">
        <v>214000.75645533722</v>
      </c>
      <c r="AY141" s="9">
        <v>176551</v>
      </c>
      <c r="AZ141" s="28">
        <v>104683</v>
      </c>
      <c r="BA141" s="9">
        <v>117262.39999999999</v>
      </c>
      <c r="BB141" s="9">
        <v>96741</v>
      </c>
      <c r="BC141" s="9">
        <v>104683</v>
      </c>
      <c r="BD141" s="9">
        <v>119622.24</v>
      </c>
      <c r="BE141" s="9">
        <v>96740</v>
      </c>
      <c r="BF141" s="9">
        <v>104923</v>
      </c>
      <c r="BG141" s="9">
        <v>109883.97</v>
      </c>
      <c r="BH141" s="9">
        <v>85327</v>
      </c>
      <c r="BI141" s="9">
        <v>104923</v>
      </c>
      <c r="BJ141" s="9">
        <v>131926.08000000002</v>
      </c>
      <c r="BK141" s="9">
        <v>99112</v>
      </c>
      <c r="BL141" s="9">
        <v>104923</v>
      </c>
      <c r="BM141" s="9"/>
      <c r="BN141" s="9"/>
      <c r="BO141" s="9"/>
      <c r="BP141" s="9"/>
      <c r="BQ141" s="9"/>
      <c r="BR141" s="9"/>
      <c r="BS141" s="9"/>
      <c r="BT141" s="9"/>
      <c r="BU141" s="9"/>
    </row>
    <row r="142" spans="1:73">
      <c r="A142" s="6">
        <v>133</v>
      </c>
      <c r="B142" s="6" t="s">
        <v>1251</v>
      </c>
      <c r="C142" s="421">
        <v>47.33</v>
      </c>
      <c r="D142" s="9">
        <v>10315927</v>
      </c>
      <c r="E142" s="33">
        <v>6313474</v>
      </c>
      <c r="F142" s="9">
        <v>4191804</v>
      </c>
      <c r="G142" s="9">
        <v>11106581.581619998</v>
      </c>
      <c r="H142" s="9">
        <v>6669358</v>
      </c>
      <c r="I142" s="9">
        <v>4533288</v>
      </c>
      <c r="J142" s="9">
        <v>11701251.39486149</v>
      </c>
      <c r="K142" s="9">
        <v>6808999</v>
      </c>
      <c r="L142" s="9">
        <v>4892252</v>
      </c>
      <c r="M142" s="9">
        <v>11345667.9342</v>
      </c>
      <c r="N142" s="9">
        <v>6751013</v>
      </c>
      <c r="O142" s="9">
        <v>4434897</v>
      </c>
      <c r="P142" s="9">
        <v>521205</v>
      </c>
      <c r="Q142" s="9">
        <v>11124134.858732402</v>
      </c>
      <c r="R142" s="9">
        <v>6628581</v>
      </c>
      <c r="S142" s="9">
        <v>4856980</v>
      </c>
      <c r="T142" s="9">
        <v>0</v>
      </c>
      <c r="U142" s="9">
        <v>10564226.240915999</v>
      </c>
      <c r="V142" s="9">
        <v>6698225</v>
      </c>
      <c r="W142" s="9">
        <v>4573236</v>
      </c>
      <c r="X142" s="9">
        <v>24551</v>
      </c>
      <c r="Y142" s="9">
        <v>288168</v>
      </c>
      <c r="Z142" s="9">
        <v>11116936.478390001</v>
      </c>
      <c r="AA142" s="9">
        <v>6800968</v>
      </c>
      <c r="AB142" s="9">
        <v>4597787</v>
      </c>
      <c r="AC142" s="9">
        <v>11381036.588100001</v>
      </c>
      <c r="AD142" s="9">
        <v>6914226</v>
      </c>
      <c r="AE142" s="9">
        <v>4644027</v>
      </c>
      <c r="AF142" s="9">
        <v>11961763.44396</v>
      </c>
      <c r="AG142" s="9">
        <v>7174489</v>
      </c>
      <c r="AH142" s="9">
        <v>4881727.8637754824</v>
      </c>
      <c r="AI142" s="9">
        <v>12460674.085960001</v>
      </c>
      <c r="AJ142" s="9">
        <v>7150740</v>
      </c>
      <c r="AK142" s="28">
        <v>5309934</v>
      </c>
      <c r="AL142" s="9">
        <v>12443297.537840001</v>
      </c>
      <c r="AM142" s="9">
        <v>7047648</v>
      </c>
      <c r="AN142" s="28">
        <v>5395650</v>
      </c>
      <c r="AO142" s="9">
        <v>12499752.025560001</v>
      </c>
      <c r="AP142" s="9">
        <v>6931227</v>
      </c>
      <c r="AQ142" s="28">
        <v>5617684</v>
      </c>
      <c r="AR142" s="9">
        <v>12628237.26938205</v>
      </c>
      <c r="AS142" s="9">
        <v>7152474</v>
      </c>
      <c r="AT142" s="28">
        <v>5652634</v>
      </c>
      <c r="AU142" s="9">
        <v>13757037.007840002</v>
      </c>
      <c r="AV142" s="9">
        <v>7518971</v>
      </c>
      <c r="AW142" s="9">
        <v>6238066</v>
      </c>
      <c r="AX142" s="9">
        <v>15200054.581420457</v>
      </c>
      <c r="AY142" s="9">
        <v>7861744</v>
      </c>
      <c r="AZ142" s="28">
        <v>7338311</v>
      </c>
      <c r="BA142" s="9">
        <v>16096140.681580001</v>
      </c>
      <c r="BB142" s="9">
        <v>8273118</v>
      </c>
      <c r="BC142" s="9">
        <v>7826400</v>
      </c>
      <c r="BD142" s="9">
        <v>17262299.148400001</v>
      </c>
      <c r="BE142" s="9">
        <v>8486011</v>
      </c>
      <c r="BF142" s="9">
        <v>8776288</v>
      </c>
      <c r="BG142" s="9">
        <v>18684757.824399997</v>
      </c>
      <c r="BH142" s="9">
        <v>8938395</v>
      </c>
      <c r="BI142" s="9">
        <v>9746363</v>
      </c>
      <c r="BJ142" s="9">
        <v>20493828.679550003</v>
      </c>
      <c r="BK142" s="9">
        <v>9611922</v>
      </c>
      <c r="BL142" s="9">
        <v>10881907</v>
      </c>
      <c r="BM142" s="9"/>
      <c r="BN142" s="9"/>
      <c r="BO142" s="9"/>
      <c r="BP142" s="9"/>
      <c r="BQ142" s="9"/>
      <c r="BR142" s="9"/>
      <c r="BS142" s="9"/>
      <c r="BT142" s="9"/>
      <c r="BU142" s="9"/>
    </row>
    <row r="143" spans="1:73">
      <c r="A143" s="6">
        <v>134</v>
      </c>
      <c r="B143" s="6" t="s">
        <v>1252</v>
      </c>
      <c r="C143" s="421">
        <v>40.58</v>
      </c>
      <c r="D143" s="9">
        <v>0</v>
      </c>
      <c r="E143" s="33">
        <v>41626</v>
      </c>
      <c r="F143" s="9">
        <v>0</v>
      </c>
      <c r="G143" s="9">
        <v>0</v>
      </c>
      <c r="H143" s="9">
        <v>10840</v>
      </c>
      <c r="I143" s="9">
        <v>0</v>
      </c>
      <c r="J143" s="9">
        <v>11355.27</v>
      </c>
      <c r="K143" s="9">
        <v>8053</v>
      </c>
      <c r="L143" s="9">
        <v>4441</v>
      </c>
      <c r="M143" s="9">
        <v>0</v>
      </c>
      <c r="N143" s="9">
        <v>0</v>
      </c>
      <c r="O143" s="9">
        <v>0</v>
      </c>
      <c r="P143" s="9">
        <v>0</v>
      </c>
      <c r="Q143" s="9">
        <v>0</v>
      </c>
      <c r="R143" s="9">
        <v>0</v>
      </c>
      <c r="S143" s="9">
        <v>0</v>
      </c>
      <c r="T143" s="9">
        <v>0</v>
      </c>
      <c r="U143" s="9">
        <v>0</v>
      </c>
      <c r="V143" s="9">
        <v>0</v>
      </c>
      <c r="W143" s="9">
        <v>0</v>
      </c>
      <c r="X143" s="9">
        <v>0</v>
      </c>
      <c r="Y143" s="9">
        <v>0</v>
      </c>
      <c r="Z143" s="9">
        <v>0</v>
      </c>
      <c r="AA143" s="9">
        <v>0</v>
      </c>
      <c r="AB143" s="9">
        <v>0</v>
      </c>
      <c r="AC143" s="9">
        <v>0</v>
      </c>
      <c r="AD143" s="9">
        <v>0</v>
      </c>
      <c r="AE143" s="9">
        <v>0</v>
      </c>
      <c r="AF143" s="9">
        <v>0</v>
      </c>
      <c r="AG143" s="9">
        <v>0</v>
      </c>
      <c r="AH143" s="9">
        <v>0</v>
      </c>
      <c r="AI143" s="9">
        <v>0</v>
      </c>
      <c r="AJ143" s="9">
        <v>0</v>
      </c>
      <c r="AK143" s="28">
        <v>0</v>
      </c>
      <c r="AL143" s="9">
        <v>13199.960000000001</v>
      </c>
      <c r="AM143" s="9">
        <v>7925</v>
      </c>
      <c r="AN143" s="28">
        <v>5275</v>
      </c>
      <c r="AO143" s="9">
        <v>13170.920000000002</v>
      </c>
      <c r="AP143" s="9">
        <v>7908</v>
      </c>
      <c r="AQ143" s="28">
        <v>5318</v>
      </c>
      <c r="AR143" s="9">
        <v>13416.833343589547</v>
      </c>
      <c r="AS143" s="9">
        <v>7918</v>
      </c>
      <c r="AT143" s="28">
        <v>5499</v>
      </c>
      <c r="AU143" s="9">
        <v>13837.16</v>
      </c>
      <c r="AV143" s="9">
        <v>8242</v>
      </c>
      <c r="AW143" s="9">
        <v>5619</v>
      </c>
      <c r="AX143" s="9">
        <v>0</v>
      </c>
      <c r="AY143" s="9">
        <v>0</v>
      </c>
      <c r="AZ143" s="28">
        <v>0</v>
      </c>
      <c r="BA143" s="9">
        <v>0</v>
      </c>
      <c r="BB143" s="9">
        <v>0</v>
      </c>
      <c r="BC143" s="9">
        <v>0</v>
      </c>
      <c r="BD143" s="9">
        <v>14952.78</v>
      </c>
      <c r="BE143" s="9">
        <v>8857</v>
      </c>
      <c r="BF143" s="9">
        <v>6363</v>
      </c>
      <c r="BG143" s="9">
        <v>15697.710000000001</v>
      </c>
      <c r="BH143" s="9">
        <v>8905</v>
      </c>
      <c r="BI143" s="9">
        <v>6793</v>
      </c>
      <c r="BJ143" s="9">
        <v>16490.760000000002</v>
      </c>
      <c r="BK143" s="9">
        <v>9127</v>
      </c>
      <c r="BL143" s="9">
        <v>7364</v>
      </c>
      <c r="BM143" s="9"/>
      <c r="BN143" s="9"/>
      <c r="BO143" s="9"/>
      <c r="BP143" s="9"/>
      <c r="BQ143" s="9"/>
      <c r="BR143" s="9"/>
      <c r="BS143" s="9"/>
      <c r="BT143" s="9"/>
      <c r="BU143" s="9"/>
    </row>
    <row r="144" spans="1:73">
      <c r="A144" s="6">
        <v>135</v>
      </c>
      <c r="B144" s="6" t="s">
        <v>1253</v>
      </c>
      <c r="C144" s="421">
        <v>35.01</v>
      </c>
      <c r="D144" s="9">
        <v>1359210</v>
      </c>
      <c r="E144" s="33">
        <v>887960</v>
      </c>
      <c r="F144" s="9">
        <v>664264.4</v>
      </c>
      <c r="G144" s="9">
        <v>1587801.09</v>
      </c>
      <c r="H144" s="9">
        <v>867451</v>
      </c>
      <c r="I144" s="9">
        <v>792435</v>
      </c>
      <c r="J144" s="9">
        <v>1588437.3443519876</v>
      </c>
      <c r="K144" s="9">
        <v>838841</v>
      </c>
      <c r="L144" s="9">
        <v>802385</v>
      </c>
      <c r="M144" s="9">
        <v>1766981.09</v>
      </c>
      <c r="N144" s="9">
        <v>954681</v>
      </c>
      <c r="O144" s="9">
        <v>795938</v>
      </c>
      <c r="P144" s="9">
        <v>93541</v>
      </c>
      <c r="Q144" s="9">
        <v>1972860.5563712921</v>
      </c>
      <c r="R144" s="9">
        <v>1032537</v>
      </c>
      <c r="S144" s="9">
        <v>871689</v>
      </c>
      <c r="T144" s="9">
        <v>68635</v>
      </c>
      <c r="U144" s="9">
        <v>1871122.0890599999</v>
      </c>
      <c r="V144" s="9">
        <v>1073712</v>
      </c>
      <c r="W144" s="9">
        <v>885390</v>
      </c>
      <c r="X144" s="9">
        <v>4753</v>
      </c>
      <c r="Y144" s="9">
        <v>55456</v>
      </c>
      <c r="Z144" s="9">
        <v>1879808.57</v>
      </c>
      <c r="AA144" s="9">
        <v>1112638</v>
      </c>
      <c r="AB144" s="9">
        <v>890143</v>
      </c>
      <c r="AC144" s="9">
        <v>1763923.64</v>
      </c>
      <c r="AD144" s="9">
        <v>1024852</v>
      </c>
      <c r="AE144" s="9">
        <v>897623</v>
      </c>
      <c r="AF144" s="9">
        <v>1787430.03</v>
      </c>
      <c r="AG144" s="9">
        <v>1049519</v>
      </c>
      <c r="AH144" s="9">
        <v>902423</v>
      </c>
      <c r="AI144" s="9">
        <v>1736861.59</v>
      </c>
      <c r="AJ144" s="9">
        <v>1013330</v>
      </c>
      <c r="AK144" s="28">
        <v>907048</v>
      </c>
      <c r="AL144" s="9">
        <v>1599126.75</v>
      </c>
      <c r="AM144" s="9">
        <v>961437</v>
      </c>
      <c r="AN144" s="28">
        <v>911123</v>
      </c>
      <c r="AO144" s="9">
        <v>1464807.0700000003</v>
      </c>
      <c r="AP144" s="9">
        <v>854286</v>
      </c>
      <c r="AQ144" s="28">
        <v>919098</v>
      </c>
      <c r="AR144" s="9">
        <v>1612152.0989724461</v>
      </c>
      <c r="AS144" s="9">
        <v>930261</v>
      </c>
      <c r="AT144" s="28">
        <v>923658</v>
      </c>
      <c r="AU144" s="9">
        <v>1748738.7699999998</v>
      </c>
      <c r="AV144" s="9">
        <v>1013627</v>
      </c>
      <c r="AW144" s="9">
        <v>928518</v>
      </c>
      <c r="AX144" s="9">
        <v>1957811.3888900897</v>
      </c>
      <c r="AY144" s="9">
        <v>1087826</v>
      </c>
      <c r="AZ144" s="28">
        <v>933678</v>
      </c>
      <c r="BA144" s="9">
        <v>1899540.24</v>
      </c>
      <c r="BB144" s="9">
        <v>1117998</v>
      </c>
      <c r="BC144" s="9">
        <v>933678</v>
      </c>
      <c r="BD144" s="9">
        <v>1813558.83</v>
      </c>
      <c r="BE144" s="9">
        <v>1163643</v>
      </c>
      <c r="BF144" s="9">
        <v>938238</v>
      </c>
      <c r="BG144" s="9">
        <v>2386918.7400000002</v>
      </c>
      <c r="BH144" s="9">
        <v>1401973</v>
      </c>
      <c r="BI144" s="9">
        <v>984946</v>
      </c>
      <c r="BJ144" s="9">
        <v>2529520.8899999997</v>
      </c>
      <c r="BK144" s="9">
        <v>1516165</v>
      </c>
      <c r="BL144" s="9">
        <v>1013356</v>
      </c>
      <c r="BM144" s="9"/>
      <c r="BN144" s="9"/>
      <c r="BO144" s="9"/>
      <c r="BP144" s="9"/>
      <c r="BQ144" s="9"/>
      <c r="BR144" s="9"/>
      <c r="BS144" s="9"/>
      <c r="BT144" s="9"/>
      <c r="BU144" s="9"/>
    </row>
    <row r="145" spans="1:73">
      <c r="A145" s="6">
        <v>136</v>
      </c>
      <c r="B145" s="6" t="s">
        <v>1254</v>
      </c>
      <c r="C145" s="421">
        <v>23.45</v>
      </c>
      <c r="D145" s="9">
        <v>20308343</v>
      </c>
      <c r="E145" s="33">
        <v>15968390</v>
      </c>
      <c r="F145" s="9">
        <v>5943728.7999999998</v>
      </c>
      <c r="G145" s="9">
        <v>21289179.32736</v>
      </c>
      <c r="H145" s="9">
        <v>16431845</v>
      </c>
      <c r="I145" s="9">
        <v>6258871.7999999998</v>
      </c>
      <c r="J145" s="9">
        <v>21897651.375525266</v>
      </c>
      <c r="K145" s="9">
        <v>16494287</v>
      </c>
      <c r="L145" s="9">
        <v>6476815.7999999998</v>
      </c>
      <c r="M145" s="9">
        <v>23131552.826769996</v>
      </c>
      <c r="N145" s="9">
        <v>16702590</v>
      </c>
      <c r="O145" s="9">
        <v>6156408.7999999998</v>
      </c>
      <c r="P145" s="9">
        <v>723523</v>
      </c>
      <c r="Q145" s="9">
        <v>23686855.094075777</v>
      </c>
      <c r="R145" s="9">
        <v>16771102</v>
      </c>
      <c r="S145" s="9">
        <v>6742333</v>
      </c>
      <c r="T145" s="9">
        <v>173420</v>
      </c>
      <c r="U145" s="9">
        <v>22575963.196708795</v>
      </c>
      <c r="V145" s="9">
        <v>16700563</v>
      </c>
      <c r="W145" s="9">
        <v>6511735</v>
      </c>
      <c r="X145" s="9">
        <v>34958</v>
      </c>
      <c r="Y145" s="9">
        <v>435435</v>
      </c>
      <c r="Z145" s="9">
        <v>23040981.368379999</v>
      </c>
      <c r="AA145" s="9">
        <v>16787957</v>
      </c>
      <c r="AB145" s="9">
        <v>6546693</v>
      </c>
      <c r="AC145" s="9">
        <v>23796222.088170003</v>
      </c>
      <c r="AD145" s="9">
        <v>17016065</v>
      </c>
      <c r="AE145" s="9">
        <v>7025699.6612902638</v>
      </c>
      <c r="AF145" s="9">
        <v>24224596.215680003</v>
      </c>
      <c r="AG145" s="9">
        <v>17524292</v>
      </c>
      <c r="AH145" s="9">
        <v>7091024.6612902638</v>
      </c>
      <c r="AI145" s="9">
        <v>24025115.2018</v>
      </c>
      <c r="AJ145" s="9">
        <v>17695327</v>
      </c>
      <c r="AK145" s="28">
        <v>7155224.6612902638</v>
      </c>
      <c r="AL145" s="9">
        <v>24361946.347450003</v>
      </c>
      <c r="AM145" s="9">
        <v>17968840</v>
      </c>
      <c r="AN145" s="28">
        <v>7219349.6612902638</v>
      </c>
      <c r="AO145" s="9">
        <v>24902897.913260002</v>
      </c>
      <c r="AP145" s="9">
        <v>17988443</v>
      </c>
      <c r="AQ145" s="28">
        <v>7363119.6612902638</v>
      </c>
      <c r="AR145" s="9">
        <v>25340457.438654266</v>
      </c>
      <c r="AS145" s="9">
        <v>18649605</v>
      </c>
      <c r="AT145" s="28">
        <v>7441479.6612902638</v>
      </c>
      <c r="AU145" s="9">
        <v>26788678.931649998</v>
      </c>
      <c r="AV145" s="9">
        <v>19393070</v>
      </c>
      <c r="AW145" s="9">
        <v>7521070</v>
      </c>
      <c r="AX145" s="9">
        <v>27996289.160540704</v>
      </c>
      <c r="AY145" s="9">
        <v>20267619</v>
      </c>
      <c r="AZ145" s="28">
        <v>7936216</v>
      </c>
      <c r="BA145" s="9">
        <v>28673820.518239997</v>
      </c>
      <c r="BB145" s="9">
        <v>21202129</v>
      </c>
      <c r="BC145" s="9">
        <v>7936216</v>
      </c>
      <c r="BD145" s="9">
        <v>28327730.336479999</v>
      </c>
      <c r="BE145" s="9">
        <v>21443054</v>
      </c>
      <c r="BF145" s="9">
        <v>8014336</v>
      </c>
      <c r="BG145" s="9">
        <v>31404798.240489997</v>
      </c>
      <c r="BH145" s="9">
        <v>22733659</v>
      </c>
      <c r="BI145" s="9">
        <v>8671139</v>
      </c>
      <c r="BJ145" s="9">
        <v>32828254.537319999</v>
      </c>
      <c r="BK145" s="9">
        <v>23937028</v>
      </c>
      <c r="BL145" s="9">
        <v>8912782</v>
      </c>
      <c r="BM145" s="9"/>
      <c r="BN145" s="9"/>
      <c r="BO145" s="9"/>
      <c r="BP145" s="9"/>
      <c r="BQ145" s="9"/>
      <c r="BR145" s="9"/>
      <c r="BS145" s="9"/>
      <c r="BT145" s="9"/>
      <c r="BU145" s="9"/>
    </row>
    <row r="146" spans="1:73">
      <c r="A146" s="6">
        <v>137</v>
      </c>
      <c r="B146" s="6" t="s">
        <v>1255</v>
      </c>
      <c r="C146" s="421">
        <v>80.42</v>
      </c>
      <c r="D146" s="9">
        <v>67827362</v>
      </c>
      <c r="E146" s="33">
        <v>6811798</v>
      </c>
      <c r="F146" s="9">
        <v>61015564</v>
      </c>
      <c r="G146" s="9">
        <v>72388532.229999989</v>
      </c>
      <c r="H146" s="9">
        <v>7289305</v>
      </c>
      <c r="I146" s="9">
        <v>65099227</v>
      </c>
      <c r="J146" s="9">
        <v>73576060.433260515</v>
      </c>
      <c r="K146" s="9">
        <v>7637734</v>
      </c>
      <c r="L146" s="9">
        <v>66054475</v>
      </c>
      <c r="M146" s="9">
        <v>75721641.38000001</v>
      </c>
      <c r="N146" s="9">
        <v>7973794</v>
      </c>
      <c r="O146" s="9">
        <v>60651347</v>
      </c>
      <c r="P146" s="9">
        <v>7127961</v>
      </c>
      <c r="Q146" s="9">
        <v>76657779.796516746</v>
      </c>
      <c r="R146" s="9">
        <v>8297090</v>
      </c>
      <c r="S146" s="9">
        <v>66423722</v>
      </c>
      <c r="T146" s="9">
        <v>1936968</v>
      </c>
      <c r="U146" s="9">
        <v>73138531.001340002</v>
      </c>
      <c r="V146" s="9">
        <v>8592467</v>
      </c>
      <c r="W146" s="9">
        <v>64367063</v>
      </c>
      <c r="X146" s="9">
        <v>345551</v>
      </c>
      <c r="Y146" s="9">
        <v>3815151</v>
      </c>
      <c r="Z146" s="9">
        <v>76399996.650000006</v>
      </c>
      <c r="AA146" s="9">
        <v>8863130</v>
      </c>
      <c r="AB146" s="9">
        <v>67536867</v>
      </c>
      <c r="AC146" s="9">
        <v>78653933.859999999</v>
      </c>
      <c r="AD146" s="9">
        <v>9198156</v>
      </c>
      <c r="AE146" s="9">
        <v>69455778</v>
      </c>
      <c r="AF146" s="9">
        <v>78916203.399999991</v>
      </c>
      <c r="AG146" s="9">
        <v>9463063</v>
      </c>
      <c r="AH146" s="9">
        <v>69621603</v>
      </c>
      <c r="AI146" s="9">
        <v>78698902.669999987</v>
      </c>
      <c r="AJ146" s="9">
        <v>9692069</v>
      </c>
      <c r="AK146" s="28">
        <v>69785403</v>
      </c>
      <c r="AL146" s="9">
        <v>80596955.480000004</v>
      </c>
      <c r="AM146" s="9">
        <v>10055521</v>
      </c>
      <c r="AN146" s="28">
        <v>70541434</v>
      </c>
      <c r="AO146" s="9">
        <v>80344375.670000002</v>
      </c>
      <c r="AP146" s="9">
        <v>10380314</v>
      </c>
      <c r="AQ146" s="28">
        <v>70897779</v>
      </c>
      <c r="AR146" s="9">
        <v>81981180.868534818</v>
      </c>
      <c r="AS146" s="9">
        <v>10580654</v>
      </c>
      <c r="AT146" s="28">
        <v>71400527</v>
      </c>
      <c r="AU146" s="9">
        <v>82326983.739999995</v>
      </c>
      <c r="AV146" s="9">
        <v>10886435</v>
      </c>
      <c r="AW146" s="9">
        <v>71590427</v>
      </c>
      <c r="AX146" s="9">
        <v>88111145.825201109</v>
      </c>
      <c r="AY146" s="9">
        <v>11074770</v>
      </c>
      <c r="AZ146" s="28">
        <v>77036376</v>
      </c>
      <c r="BA146" s="9">
        <v>90161028.659999996</v>
      </c>
      <c r="BB146" s="9">
        <v>11207668</v>
      </c>
      <c r="BC146" s="9">
        <v>78953361</v>
      </c>
      <c r="BD146" s="9">
        <v>94346220.059999973</v>
      </c>
      <c r="BE146" s="9">
        <v>11493463</v>
      </c>
      <c r="BF146" s="9">
        <v>82853878</v>
      </c>
      <c r="BG146" s="9">
        <v>101613348.83999999</v>
      </c>
      <c r="BH146" s="9">
        <v>11842864</v>
      </c>
      <c r="BI146" s="9">
        <v>89770485</v>
      </c>
      <c r="BJ146" s="9">
        <v>109412142.28999999</v>
      </c>
      <c r="BK146" s="9">
        <v>12452771</v>
      </c>
      <c r="BL146" s="9">
        <v>96959371</v>
      </c>
      <c r="BM146" s="9"/>
      <c r="BN146" s="9"/>
      <c r="BO146" s="9"/>
      <c r="BP146" s="9"/>
      <c r="BQ146" s="9"/>
      <c r="BR146" s="9"/>
      <c r="BS146" s="9"/>
      <c r="BT146" s="9"/>
      <c r="BU146" s="9"/>
    </row>
    <row r="147" spans="1:73">
      <c r="A147" s="6">
        <v>138</v>
      </c>
      <c r="B147" s="6" t="s">
        <v>1256</v>
      </c>
      <c r="C147" s="421">
        <v>40.909999999999997</v>
      </c>
      <c r="D147" s="9">
        <v>7472867</v>
      </c>
      <c r="E147" s="33">
        <v>2486366</v>
      </c>
      <c r="F147" s="9">
        <v>5057500</v>
      </c>
      <c r="G147" s="9">
        <v>8292536.7375000007</v>
      </c>
      <c r="H147" s="9">
        <v>2670563</v>
      </c>
      <c r="I147" s="9">
        <v>5621974</v>
      </c>
      <c r="J147" s="9">
        <v>8815309.2047224138</v>
      </c>
      <c r="K147" s="9">
        <v>2839812</v>
      </c>
      <c r="L147" s="9">
        <v>5975497</v>
      </c>
      <c r="M147" s="9">
        <v>9235166.8740800004</v>
      </c>
      <c r="N147" s="9">
        <v>2966673</v>
      </c>
      <c r="O147" s="9">
        <v>5609272</v>
      </c>
      <c r="P147" s="9">
        <v>659222</v>
      </c>
      <c r="Q147" s="9">
        <v>9728111.1448041964</v>
      </c>
      <c r="R147" s="9">
        <v>4701926</v>
      </c>
      <c r="S147" s="9">
        <v>6143124</v>
      </c>
      <c r="T147" s="9">
        <v>0</v>
      </c>
      <c r="U147" s="9">
        <v>9332695.0668703802</v>
      </c>
      <c r="V147" s="9">
        <v>4752702</v>
      </c>
      <c r="W147" s="9">
        <v>5784243</v>
      </c>
      <c r="X147" s="9">
        <v>31052</v>
      </c>
      <c r="Y147" s="9">
        <v>355029</v>
      </c>
      <c r="Z147" s="9">
        <v>9580765.2985399999</v>
      </c>
      <c r="AA147" s="9">
        <v>4942015</v>
      </c>
      <c r="AB147" s="9">
        <v>5815295</v>
      </c>
      <c r="AC147" s="9">
        <v>10187944.10832</v>
      </c>
      <c r="AD147" s="9">
        <v>5093347</v>
      </c>
      <c r="AE147" s="9">
        <v>5859695</v>
      </c>
      <c r="AF147" s="9">
        <v>10400760.003870001</v>
      </c>
      <c r="AG147" s="9">
        <v>5244027</v>
      </c>
      <c r="AH147" s="9">
        <v>5887320</v>
      </c>
      <c r="AI147" s="9">
        <v>10475107.010799998</v>
      </c>
      <c r="AJ147" s="9">
        <v>5458850</v>
      </c>
      <c r="AK147" s="28">
        <v>5914920</v>
      </c>
      <c r="AL147" s="9">
        <v>10396781.262500001</v>
      </c>
      <c r="AM147" s="9">
        <v>5558390</v>
      </c>
      <c r="AN147" s="28">
        <v>5941845</v>
      </c>
      <c r="AO147" s="9">
        <v>10041924.281359999</v>
      </c>
      <c r="AP147" s="9">
        <v>5468971</v>
      </c>
      <c r="AQ147" s="28">
        <v>5999100</v>
      </c>
      <c r="AR147" s="9">
        <v>9875547.1322113276</v>
      </c>
      <c r="AS147" s="9">
        <v>5451538</v>
      </c>
      <c r="AT147" s="28">
        <v>6029670</v>
      </c>
      <c r="AU147" s="9">
        <v>10063593.190549999</v>
      </c>
      <c r="AV147" s="9">
        <v>5625392</v>
      </c>
      <c r="AW147" s="9">
        <v>6059280</v>
      </c>
      <c r="AX147" s="9">
        <v>9935233.2153440155</v>
      </c>
      <c r="AY147" s="9">
        <v>5786456</v>
      </c>
      <c r="AZ147" s="28">
        <v>6087390</v>
      </c>
      <c r="BA147" s="9">
        <v>9927021.4951400012</v>
      </c>
      <c r="BB147" s="9">
        <v>5864081</v>
      </c>
      <c r="BC147" s="9">
        <v>6087390</v>
      </c>
      <c r="BD147" s="9">
        <v>10312156.29149</v>
      </c>
      <c r="BE147" s="9">
        <v>6099344</v>
      </c>
      <c r="BF147" s="9">
        <v>6114810</v>
      </c>
      <c r="BG147" s="9">
        <v>11008174.74</v>
      </c>
      <c r="BH147" s="9">
        <v>6377665</v>
      </c>
      <c r="BI147" s="9">
        <v>6168750</v>
      </c>
      <c r="BJ147" s="9">
        <v>11489500.85</v>
      </c>
      <c r="BK147" s="9">
        <v>6489561</v>
      </c>
      <c r="BL147" s="9">
        <v>6221250</v>
      </c>
      <c r="BM147" s="9"/>
      <c r="BN147" s="9"/>
      <c r="BO147" s="9"/>
      <c r="BP147" s="9"/>
      <c r="BQ147" s="9"/>
      <c r="BR147" s="9"/>
      <c r="BS147" s="9"/>
      <c r="BT147" s="9"/>
      <c r="BU147" s="9"/>
    </row>
    <row r="148" spans="1:73">
      <c r="A148" s="6">
        <v>139</v>
      </c>
      <c r="B148" s="6" t="s">
        <v>1257</v>
      </c>
      <c r="C148" s="421">
        <v>17.5</v>
      </c>
      <c r="D148" s="9">
        <v>24098111</v>
      </c>
      <c r="E148" s="33">
        <v>19256994</v>
      </c>
      <c r="F148" s="9">
        <v>4841117</v>
      </c>
      <c r="G148" s="9">
        <v>25867183.04544</v>
      </c>
      <c r="H148" s="9">
        <v>20502679</v>
      </c>
      <c r="I148" s="9">
        <v>5364504</v>
      </c>
      <c r="J148" s="9">
        <v>26814198.336775228</v>
      </c>
      <c r="K148" s="9">
        <v>21690292</v>
      </c>
      <c r="L148" s="9">
        <v>5538660</v>
      </c>
      <c r="M148" s="9">
        <v>28242723.701650001</v>
      </c>
      <c r="N148" s="9">
        <v>22606527</v>
      </c>
      <c r="O148" s="9">
        <v>5179893</v>
      </c>
      <c r="P148" s="9">
        <v>608759</v>
      </c>
      <c r="Q148" s="9">
        <v>29889258.479898021</v>
      </c>
      <c r="R148" s="9">
        <v>24108745</v>
      </c>
      <c r="S148" s="9">
        <v>5672879</v>
      </c>
      <c r="T148" s="9">
        <v>107634</v>
      </c>
      <c r="U148" s="9">
        <v>29092218.3157188</v>
      </c>
      <c r="V148" s="9">
        <v>24749829</v>
      </c>
      <c r="W148" s="9">
        <v>5442815</v>
      </c>
      <c r="X148" s="9">
        <v>29220</v>
      </c>
      <c r="Y148" s="9">
        <v>392928</v>
      </c>
      <c r="Z148" s="9">
        <v>29701471.955480002</v>
      </c>
      <c r="AA148" s="9">
        <v>25246689</v>
      </c>
      <c r="AB148" s="9">
        <v>5472035</v>
      </c>
      <c r="AC148" s="9">
        <v>31278850.639399998</v>
      </c>
      <c r="AD148" s="9">
        <v>26008119</v>
      </c>
      <c r="AE148" s="9">
        <v>5705503.4027372804</v>
      </c>
      <c r="AF148" s="9">
        <v>32117617.453449998</v>
      </c>
      <c r="AG148" s="9">
        <v>26860574</v>
      </c>
      <c r="AH148" s="9">
        <v>5789203.4027372804</v>
      </c>
      <c r="AI148" s="9">
        <v>32526014.474999998</v>
      </c>
      <c r="AJ148" s="9">
        <v>27549192</v>
      </c>
      <c r="AK148" s="28">
        <v>5873878.4027372804</v>
      </c>
      <c r="AL148" s="9">
        <v>33687637.267440006</v>
      </c>
      <c r="AM148" s="9">
        <v>28536777</v>
      </c>
      <c r="AN148" s="28">
        <v>5961103.4027372804</v>
      </c>
      <c r="AO148" s="9">
        <v>33817637.171700001</v>
      </c>
      <c r="AP148" s="9">
        <v>28266492</v>
      </c>
      <c r="AQ148" s="28">
        <v>6152833.4027372804</v>
      </c>
      <c r="AR148" s="9">
        <v>34051687.916279338</v>
      </c>
      <c r="AS148" s="9">
        <v>28376314</v>
      </c>
      <c r="AT148" s="28">
        <v>6256963.4027372804</v>
      </c>
      <c r="AU148" s="9">
        <v>37266306.274479993</v>
      </c>
      <c r="AV148" s="9">
        <v>30427150</v>
      </c>
      <c r="AW148" s="9">
        <v>6839156</v>
      </c>
      <c r="AX148" s="9">
        <v>39305559.544661731</v>
      </c>
      <c r="AY148" s="9">
        <v>32314609</v>
      </c>
      <c r="AZ148" s="28">
        <v>7021215</v>
      </c>
      <c r="BA148" s="9">
        <v>41585309.188900001</v>
      </c>
      <c r="BB148" s="9">
        <v>34279876</v>
      </c>
      <c r="BC148" s="9">
        <v>7305433</v>
      </c>
      <c r="BD148" s="9">
        <v>43582814.802780002</v>
      </c>
      <c r="BE148" s="9">
        <v>35955822</v>
      </c>
      <c r="BF148" s="9">
        <v>8050421</v>
      </c>
      <c r="BG148" s="9">
        <v>46722628.012559995</v>
      </c>
      <c r="BH148" s="9">
        <v>37984044</v>
      </c>
      <c r="BI148" s="9">
        <v>8738584</v>
      </c>
      <c r="BJ148" s="9">
        <v>50873294.826880008</v>
      </c>
      <c r="BK148" s="9">
        <v>41073636</v>
      </c>
      <c r="BL148" s="9">
        <v>9799659</v>
      </c>
      <c r="BM148" s="9"/>
      <c r="BN148" s="9"/>
      <c r="BO148" s="9"/>
      <c r="BP148" s="9"/>
      <c r="BQ148" s="9"/>
      <c r="BR148" s="9"/>
      <c r="BS148" s="9"/>
      <c r="BT148" s="9"/>
      <c r="BU148" s="9"/>
    </row>
    <row r="149" spans="1:73">
      <c r="A149" s="6">
        <v>140</v>
      </c>
      <c r="B149" s="6" t="s">
        <v>1258</v>
      </c>
      <c r="C149" s="421">
        <v>41.87</v>
      </c>
      <c r="D149" s="9">
        <v>9796</v>
      </c>
      <c r="E149" s="33">
        <v>1348</v>
      </c>
      <c r="F149" s="9">
        <v>8448</v>
      </c>
      <c r="G149" s="9">
        <v>0</v>
      </c>
      <c r="H149" s="9">
        <v>362</v>
      </c>
      <c r="I149" s="9">
        <v>0</v>
      </c>
      <c r="J149" s="9">
        <v>11355.27</v>
      </c>
      <c r="K149" s="9">
        <v>3159</v>
      </c>
      <c r="L149" s="9">
        <v>8196</v>
      </c>
      <c r="M149" s="9">
        <v>11943.49</v>
      </c>
      <c r="N149" s="9">
        <v>3356</v>
      </c>
      <c r="O149" s="9">
        <v>8587</v>
      </c>
      <c r="P149" s="9">
        <v>0</v>
      </c>
      <c r="Q149" s="9">
        <v>12306.57500478469</v>
      </c>
      <c r="R149" s="9">
        <v>4308</v>
      </c>
      <c r="S149" s="9">
        <v>8415</v>
      </c>
      <c r="T149" s="9">
        <v>0</v>
      </c>
      <c r="U149" s="9">
        <v>0</v>
      </c>
      <c r="V149" s="9">
        <v>0</v>
      </c>
      <c r="W149" s="9">
        <v>0</v>
      </c>
      <c r="X149" s="9">
        <v>0</v>
      </c>
      <c r="Y149" s="9">
        <v>0</v>
      </c>
      <c r="Z149" s="9">
        <v>24500.14</v>
      </c>
      <c r="AA149" s="9">
        <v>9683</v>
      </c>
      <c r="AB149" s="9">
        <v>14817</v>
      </c>
      <c r="AC149" s="9">
        <v>0</v>
      </c>
      <c r="AD149" s="9">
        <v>0</v>
      </c>
      <c r="AE149" s="9">
        <v>0</v>
      </c>
      <c r="AF149" s="9">
        <v>0</v>
      </c>
      <c r="AG149" s="9">
        <v>0</v>
      </c>
      <c r="AH149" s="9">
        <v>0</v>
      </c>
      <c r="AI149" s="9">
        <v>0</v>
      </c>
      <c r="AJ149" s="9">
        <v>0</v>
      </c>
      <c r="AK149" s="28">
        <v>0</v>
      </c>
      <c r="AL149" s="9">
        <v>0</v>
      </c>
      <c r="AM149" s="9">
        <v>0</v>
      </c>
      <c r="AN149" s="28">
        <v>0</v>
      </c>
      <c r="AO149" s="9">
        <v>0</v>
      </c>
      <c r="AP149" s="9">
        <v>0</v>
      </c>
      <c r="AQ149" s="28">
        <v>0</v>
      </c>
      <c r="AR149" s="9">
        <v>0</v>
      </c>
      <c r="AS149" s="9">
        <v>0</v>
      </c>
      <c r="AT149" s="28">
        <v>0</v>
      </c>
      <c r="AU149" s="9">
        <v>0</v>
      </c>
      <c r="AV149" s="9">
        <v>0</v>
      </c>
      <c r="AW149" s="9">
        <v>0</v>
      </c>
      <c r="AX149" s="9">
        <v>0</v>
      </c>
      <c r="AY149" s="9">
        <v>0</v>
      </c>
      <c r="AZ149" s="28">
        <v>0</v>
      </c>
      <c r="BA149" s="9">
        <v>0</v>
      </c>
      <c r="BB149" s="9">
        <v>0</v>
      </c>
      <c r="BC149" s="9">
        <v>0</v>
      </c>
      <c r="BD149" s="9">
        <v>0</v>
      </c>
      <c r="BE149" s="9">
        <v>0</v>
      </c>
      <c r="BF149" s="9">
        <v>0</v>
      </c>
      <c r="BG149" s="9">
        <v>0</v>
      </c>
      <c r="BH149" s="9">
        <v>0</v>
      </c>
      <c r="BI149" s="9">
        <v>0</v>
      </c>
      <c r="BJ149" s="9">
        <v>0</v>
      </c>
      <c r="BK149" s="9">
        <v>0</v>
      </c>
      <c r="BL149" s="9">
        <v>0</v>
      </c>
      <c r="BM149" s="9"/>
      <c r="BN149" s="9"/>
      <c r="BO149" s="9"/>
      <c r="BP149" s="9"/>
      <c r="BQ149" s="9"/>
      <c r="BR149" s="9"/>
      <c r="BS149" s="9"/>
      <c r="BT149" s="9"/>
      <c r="BU149" s="9"/>
    </row>
    <row r="150" spans="1:73">
      <c r="A150" s="6">
        <v>141</v>
      </c>
      <c r="B150" s="6" t="s">
        <v>1259</v>
      </c>
      <c r="C150" s="421">
        <v>33.14</v>
      </c>
      <c r="D150" s="9">
        <v>19050737</v>
      </c>
      <c r="E150" s="33">
        <v>14410446</v>
      </c>
      <c r="F150" s="9">
        <v>5370695</v>
      </c>
      <c r="G150" s="9">
        <v>20737185.89144</v>
      </c>
      <c r="H150" s="9">
        <v>14946735</v>
      </c>
      <c r="I150" s="9">
        <v>5923344</v>
      </c>
      <c r="J150" s="9">
        <v>22500615.0596264</v>
      </c>
      <c r="K150" s="9">
        <v>15356761</v>
      </c>
      <c r="L150" s="9">
        <v>7143854</v>
      </c>
      <c r="M150" s="9">
        <v>23936352.536320001</v>
      </c>
      <c r="N150" s="9">
        <v>15521036</v>
      </c>
      <c r="O150" s="9">
        <v>7530326</v>
      </c>
      <c r="P150" s="9">
        <v>884991</v>
      </c>
      <c r="Q150" s="9">
        <v>25532071.962211221</v>
      </c>
      <c r="R150" s="9">
        <v>16165733</v>
      </c>
      <c r="S150" s="9">
        <v>8247011</v>
      </c>
      <c r="T150" s="9">
        <v>1119328</v>
      </c>
      <c r="U150" s="9">
        <v>25192997.510822278</v>
      </c>
      <c r="V150" s="9">
        <v>16204219</v>
      </c>
      <c r="W150" s="9">
        <v>8819158</v>
      </c>
      <c r="X150" s="9">
        <v>47345</v>
      </c>
      <c r="Y150" s="9">
        <v>569311</v>
      </c>
      <c r="Z150" s="9">
        <v>25384240.533760004</v>
      </c>
      <c r="AA150" s="9">
        <v>16175387</v>
      </c>
      <c r="AB150" s="9">
        <v>9208854</v>
      </c>
      <c r="AC150" s="9">
        <v>26736601.318939991</v>
      </c>
      <c r="AD150" s="9">
        <v>16738223</v>
      </c>
      <c r="AE150" s="9">
        <v>10247974.530620005</v>
      </c>
      <c r="AF150" s="9">
        <v>26971069.026599996</v>
      </c>
      <c r="AG150" s="9">
        <v>17041341</v>
      </c>
      <c r="AH150" s="9">
        <v>10495017.737085393</v>
      </c>
      <c r="AI150" s="9">
        <v>27792860.269480001</v>
      </c>
      <c r="AJ150" s="9">
        <v>16943537</v>
      </c>
      <c r="AK150" s="28">
        <v>10859646.737085393</v>
      </c>
      <c r="AL150" s="9">
        <v>28189612.605080001</v>
      </c>
      <c r="AM150" s="9">
        <v>16846912</v>
      </c>
      <c r="AN150" s="28">
        <v>11342701</v>
      </c>
      <c r="AO150" s="9">
        <v>27512651.906879999</v>
      </c>
      <c r="AP150" s="9">
        <v>16516841</v>
      </c>
      <c r="AQ150" s="28">
        <v>11490541</v>
      </c>
      <c r="AR150" s="9">
        <v>28097682.163007021</v>
      </c>
      <c r="AS150" s="9">
        <v>16800420</v>
      </c>
      <c r="AT150" s="28">
        <v>11571901</v>
      </c>
      <c r="AU150" s="9">
        <v>29167889.792099994</v>
      </c>
      <c r="AV150" s="9">
        <v>17227184</v>
      </c>
      <c r="AW150" s="9">
        <v>11940706</v>
      </c>
      <c r="AX150" s="9">
        <v>29439397.279731382</v>
      </c>
      <c r="AY150" s="9">
        <v>17734729</v>
      </c>
      <c r="AZ150" s="28">
        <v>12020446</v>
      </c>
      <c r="BA150" s="9">
        <v>30603552.288509995</v>
      </c>
      <c r="BB150" s="9">
        <v>18666759</v>
      </c>
      <c r="BC150" s="9">
        <v>12020446</v>
      </c>
      <c r="BD150" s="9">
        <v>30183664.778300002</v>
      </c>
      <c r="BE150" s="9">
        <v>18931449</v>
      </c>
      <c r="BF150" s="9">
        <v>12095806</v>
      </c>
      <c r="BG150" s="9">
        <v>31921911.970039997</v>
      </c>
      <c r="BH150" s="9">
        <v>20140158</v>
      </c>
      <c r="BI150" s="9">
        <v>12241726</v>
      </c>
      <c r="BJ150" s="9">
        <v>34207457.530000001</v>
      </c>
      <c r="BK150" s="9">
        <v>21209511</v>
      </c>
      <c r="BL150" s="9">
        <v>12997947</v>
      </c>
      <c r="BM150" s="9"/>
      <c r="BN150" s="9"/>
      <c r="BO150" s="9"/>
      <c r="BP150" s="9"/>
      <c r="BQ150" s="9"/>
      <c r="BR150" s="9"/>
      <c r="BS150" s="9"/>
      <c r="BT150" s="9"/>
      <c r="BU150" s="9"/>
    </row>
    <row r="151" spans="1:73">
      <c r="A151" s="6">
        <v>142</v>
      </c>
      <c r="B151" s="6" t="s">
        <v>1260</v>
      </c>
      <c r="C151" s="421">
        <v>17.5</v>
      </c>
      <c r="D151" s="9">
        <v>11353848</v>
      </c>
      <c r="E151" s="33">
        <v>8981808</v>
      </c>
      <c r="F151" s="9">
        <v>3687093.2</v>
      </c>
      <c r="G151" s="9">
        <v>11214367.350959999</v>
      </c>
      <c r="H151" s="9">
        <v>9384311</v>
      </c>
      <c r="I151" s="9">
        <v>3756143.2</v>
      </c>
      <c r="J151" s="9">
        <v>11280495.442531671</v>
      </c>
      <c r="K151" s="9">
        <v>9618212</v>
      </c>
      <c r="L151" s="9">
        <v>3823493.2</v>
      </c>
      <c r="M151" s="9">
        <v>11671069.35836</v>
      </c>
      <c r="N151" s="9">
        <v>9831732</v>
      </c>
      <c r="O151" s="9">
        <v>3482560.2</v>
      </c>
      <c r="P151" s="9">
        <v>409283</v>
      </c>
      <c r="Q151" s="9">
        <v>11794688.48922978</v>
      </c>
      <c r="R151" s="9">
        <v>9783137</v>
      </c>
      <c r="S151" s="9">
        <v>3814006</v>
      </c>
      <c r="T151" s="9">
        <v>0</v>
      </c>
      <c r="U151" s="9">
        <v>11155892.276219161</v>
      </c>
      <c r="V151" s="9">
        <v>9798290</v>
      </c>
      <c r="W151" s="9">
        <v>3591192</v>
      </c>
      <c r="X151" s="9">
        <v>19279</v>
      </c>
      <c r="Y151" s="9">
        <v>234235</v>
      </c>
      <c r="Z151" s="9">
        <v>10984440.041849999</v>
      </c>
      <c r="AA151" s="9">
        <v>9799215</v>
      </c>
      <c r="AB151" s="9">
        <v>3610471</v>
      </c>
      <c r="AC151" s="9">
        <v>10867343.796599999</v>
      </c>
      <c r="AD151" s="9">
        <v>9900725</v>
      </c>
      <c r="AE151" s="9">
        <v>3654871</v>
      </c>
      <c r="AF151" s="9">
        <v>10592145.907740001</v>
      </c>
      <c r="AG151" s="9">
        <v>9917428</v>
      </c>
      <c r="AH151" s="9">
        <v>3681846</v>
      </c>
      <c r="AI151" s="9">
        <v>10591221.700679999</v>
      </c>
      <c r="AJ151" s="9">
        <v>9492718</v>
      </c>
      <c r="AK151" s="28">
        <v>3708196</v>
      </c>
      <c r="AL151" s="9">
        <v>10627740.812809998</v>
      </c>
      <c r="AM151" s="9">
        <v>9322055</v>
      </c>
      <c r="AN151" s="28">
        <v>3734246</v>
      </c>
      <c r="AO151" s="9">
        <v>10359200.878399998</v>
      </c>
      <c r="AP151" s="9">
        <v>8708283</v>
      </c>
      <c r="AQ151" s="28">
        <v>3789356</v>
      </c>
      <c r="AR151" s="9">
        <v>10207764.981851343</v>
      </c>
      <c r="AS151" s="9">
        <v>8510548</v>
      </c>
      <c r="AT151" s="28">
        <v>3818486</v>
      </c>
      <c r="AU151" s="9">
        <v>10202468.317680001</v>
      </c>
      <c r="AV151" s="9">
        <v>8417036</v>
      </c>
      <c r="AW151" s="9">
        <v>3846626</v>
      </c>
      <c r="AX151" s="9">
        <v>10718331.726392865</v>
      </c>
      <c r="AY151" s="9">
        <v>8741934</v>
      </c>
      <c r="AZ151" s="28">
        <v>3874466</v>
      </c>
      <c r="BA151" s="9">
        <v>10567859.950760001</v>
      </c>
      <c r="BB151" s="9">
        <v>8718484</v>
      </c>
      <c r="BC151" s="9">
        <v>3874466</v>
      </c>
      <c r="BD151" s="9">
        <v>10312532.869039997</v>
      </c>
      <c r="BE151" s="9">
        <v>8507840</v>
      </c>
      <c r="BF151" s="9">
        <v>3899576</v>
      </c>
      <c r="BG151" s="9">
        <v>10651125.811000003</v>
      </c>
      <c r="BH151" s="9">
        <v>8780091</v>
      </c>
      <c r="BI151" s="9">
        <v>3948836</v>
      </c>
      <c r="BJ151" s="9">
        <v>10986735.571280001</v>
      </c>
      <c r="BK151" s="9">
        <v>9052274</v>
      </c>
      <c r="BL151" s="9">
        <v>3996296</v>
      </c>
      <c r="BM151" s="9"/>
      <c r="BN151" s="9"/>
      <c r="BO151" s="9"/>
      <c r="BP151" s="9"/>
      <c r="BQ151" s="9"/>
      <c r="BR151" s="9"/>
      <c r="BS151" s="9"/>
      <c r="BT151" s="9"/>
      <c r="BU151" s="9"/>
    </row>
    <row r="152" spans="1:73">
      <c r="A152" s="6">
        <v>143</v>
      </c>
      <c r="B152" s="6" t="s">
        <v>1261</v>
      </c>
      <c r="C152" s="421">
        <v>55.52</v>
      </c>
      <c r="D152" s="9">
        <v>127431</v>
      </c>
      <c r="E152" s="33">
        <v>66133</v>
      </c>
      <c r="F152" s="9">
        <v>89877</v>
      </c>
      <c r="G152" s="9">
        <v>216115.81</v>
      </c>
      <c r="H152" s="9">
        <v>74385</v>
      </c>
      <c r="I152" s="9">
        <v>144631</v>
      </c>
      <c r="J152" s="9">
        <v>248897.63</v>
      </c>
      <c r="K152" s="9">
        <v>92185</v>
      </c>
      <c r="L152" s="9">
        <v>163818</v>
      </c>
      <c r="M152" s="9">
        <v>345395.31</v>
      </c>
      <c r="N152" s="9">
        <v>131667</v>
      </c>
      <c r="O152" s="9">
        <v>218880</v>
      </c>
      <c r="P152" s="9">
        <v>0</v>
      </c>
      <c r="Q152" s="9">
        <v>380508.56721148331</v>
      </c>
      <c r="R152" s="9">
        <v>174361</v>
      </c>
      <c r="S152" s="9">
        <v>214502</v>
      </c>
      <c r="T152" s="9">
        <v>0</v>
      </c>
      <c r="U152" s="9">
        <v>360101.12568</v>
      </c>
      <c r="V152" s="9">
        <v>174095</v>
      </c>
      <c r="W152" s="9">
        <v>205922</v>
      </c>
      <c r="X152" s="9">
        <v>0</v>
      </c>
      <c r="Y152" s="9">
        <v>0</v>
      </c>
      <c r="Z152" s="9">
        <v>403261.59</v>
      </c>
      <c r="AA152" s="9">
        <v>188394</v>
      </c>
      <c r="AB152" s="9">
        <v>214868</v>
      </c>
      <c r="AC152" s="9">
        <v>493137.38999999996</v>
      </c>
      <c r="AD152" s="9">
        <v>235451</v>
      </c>
      <c r="AE152" s="9">
        <v>257686</v>
      </c>
      <c r="AF152" s="9">
        <v>474993.12</v>
      </c>
      <c r="AG152" s="9">
        <v>238640</v>
      </c>
      <c r="AH152" s="9">
        <v>257686</v>
      </c>
      <c r="AI152" s="9">
        <v>466072.9</v>
      </c>
      <c r="AJ152" s="9">
        <v>251663</v>
      </c>
      <c r="AK152" s="28">
        <v>257686</v>
      </c>
      <c r="AL152" s="9">
        <v>328931.5</v>
      </c>
      <c r="AM152" s="9">
        <v>187234</v>
      </c>
      <c r="AN152" s="28">
        <v>257686</v>
      </c>
      <c r="AO152" s="9">
        <v>328207.83999999997</v>
      </c>
      <c r="AP152" s="9">
        <v>191008</v>
      </c>
      <c r="AQ152" s="28">
        <v>257686</v>
      </c>
      <c r="AR152" s="9">
        <v>361052.51613413799</v>
      </c>
      <c r="AS152" s="9">
        <v>191170</v>
      </c>
      <c r="AT152" s="28">
        <v>257686</v>
      </c>
      <c r="AU152" s="9">
        <v>372233.43000000005</v>
      </c>
      <c r="AV152" s="9">
        <v>195413</v>
      </c>
      <c r="AW152" s="9">
        <v>257686</v>
      </c>
      <c r="AX152" s="9">
        <v>372090.52626422414</v>
      </c>
      <c r="AY152" s="9">
        <v>177377</v>
      </c>
      <c r="AZ152" s="28">
        <v>257686</v>
      </c>
      <c r="BA152" s="9">
        <v>423468.62</v>
      </c>
      <c r="BB152" s="9">
        <v>191404</v>
      </c>
      <c r="BC152" s="9">
        <v>257686</v>
      </c>
      <c r="BD152" s="9">
        <v>431874.06000000006</v>
      </c>
      <c r="BE152" s="9">
        <v>198796</v>
      </c>
      <c r="BF152" s="9">
        <v>258496</v>
      </c>
      <c r="BG152" s="9">
        <v>437559.81000000006</v>
      </c>
      <c r="BH152" s="9">
        <v>185653</v>
      </c>
      <c r="BI152" s="9">
        <v>258496</v>
      </c>
      <c r="BJ152" s="9">
        <v>572755.80000000005</v>
      </c>
      <c r="BK152" s="9">
        <v>217988</v>
      </c>
      <c r="BL152" s="9">
        <v>354768</v>
      </c>
      <c r="BM152" s="9"/>
      <c r="BN152" s="9"/>
      <c r="BO152" s="9"/>
      <c r="BP152" s="9"/>
      <c r="BQ152" s="9"/>
      <c r="BR152" s="9"/>
      <c r="BS152" s="9"/>
      <c r="BT152" s="9"/>
      <c r="BU152" s="9"/>
    </row>
    <row r="153" spans="1:73">
      <c r="A153" s="6">
        <v>144</v>
      </c>
      <c r="B153" s="6" t="s">
        <v>1262</v>
      </c>
      <c r="C153" s="421">
        <v>17.5</v>
      </c>
      <c r="D153" s="9">
        <v>14041498</v>
      </c>
      <c r="E153" s="33">
        <v>12710447</v>
      </c>
      <c r="F153" s="9">
        <v>2066540</v>
      </c>
      <c r="G153" s="9">
        <v>14992137.828520002</v>
      </c>
      <c r="H153" s="9">
        <v>13156596</v>
      </c>
      <c r="I153" s="9">
        <v>2232902</v>
      </c>
      <c r="J153" s="9">
        <v>15825233.977843994</v>
      </c>
      <c r="K153" s="9">
        <v>13644898</v>
      </c>
      <c r="L153" s="9">
        <v>2393856</v>
      </c>
      <c r="M153" s="9">
        <v>16400242.809939997</v>
      </c>
      <c r="N153" s="9">
        <v>14112689</v>
      </c>
      <c r="O153" s="9">
        <v>2282723</v>
      </c>
      <c r="P153" s="9">
        <v>268274</v>
      </c>
      <c r="Q153" s="9">
        <v>16957084.776921969</v>
      </c>
      <c r="R153" s="9">
        <v>14253296</v>
      </c>
      <c r="S153" s="9">
        <v>2499977</v>
      </c>
      <c r="T153" s="9">
        <v>203812</v>
      </c>
      <c r="U153" s="9">
        <v>16906352.002642978</v>
      </c>
      <c r="V153" s="9">
        <v>14393705</v>
      </c>
      <c r="W153" s="9">
        <v>2545833</v>
      </c>
      <c r="X153" s="9">
        <v>13667</v>
      </c>
      <c r="Y153" s="9">
        <v>193189</v>
      </c>
      <c r="Z153" s="9">
        <v>17102812.789599996</v>
      </c>
      <c r="AA153" s="9">
        <v>14677975</v>
      </c>
      <c r="AB153" s="9">
        <v>2559500</v>
      </c>
      <c r="AC153" s="9">
        <v>17797548.09409</v>
      </c>
      <c r="AD153" s="9">
        <v>15205869</v>
      </c>
      <c r="AE153" s="9">
        <v>2722401.9791164375</v>
      </c>
      <c r="AF153" s="9">
        <v>18113898.173040003</v>
      </c>
      <c r="AG153" s="9">
        <v>15501270</v>
      </c>
      <c r="AH153" s="9">
        <f>2834284.52940783+109486</f>
        <v>2943770.52940783</v>
      </c>
      <c r="AI153" s="9">
        <v>18277939.337160002</v>
      </c>
      <c r="AJ153" s="9">
        <v>15616820</v>
      </c>
      <c r="AK153" s="28">
        <v>3032974.52940783</v>
      </c>
      <c r="AL153" s="9">
        <v>18118176.856480002</v>
      </c>
      <c r="AM153" s="9">
        <v>15505476</v>
      </c>
      <c r="AN153" s="28">
        <v>3079599.52940783</v>
      </c>
      <c r="AO153" s="9">
        <v>17848954.323200006</v>
      </c>
      <c r="AP153" s="9">
        <v>14939873</v>
      </c>
      <c r="AQ153" s="28">
        <v>3178709.52940783</v>
      </c>
      <c r="AR153" s="9">
        <v>17585142.68474175</v>
      </c>
      <c r="AS153" s="9">
        <v>14661641</v>
      </c>
      <c r="AT153" s="28">
        <v>3231029.52940783</v>
      </c>
      <c r="AU153" s="9">
        <v>17790224.73598</v>
      </c>
      <c r="AV153" s="9">
        <v>14676936</v>
      </c>
      <c r="AW153" s="9">
        <v>3282240</v>
      </c>
      <c r="AX153" s="9">
        <v>18376694.040241551</v>
      </c>
      <c r="AY153" s="9">
        <v>15160772</v>
      </c>
      <c r="AZ153" s="28">
        <v>3332340</v>
      </c>
      <c r="BA153" s="9">
        <v>18495911.746960003</v>
      </c>
      <c r="BB153" s="9">
        <v>15259127</v>
      </c>
      <c r="BC153" s="9">
        <v>3332340</v>
      </c>
      <c r="BD153" s="9">
        <v>18360232.905999996</v>
      </c>
      <c r="BE153" s="9">
        <v>15147192</v>
      </c>
      <c r="BF153" s="9">
        <v>3379890</v>
      </c>
      <c r="BG153" s="9">
        <v>19884295.035099998</v>
      </c>
      <c r="BH153" s="9">
        <v>15849509</v>
      </c>
      <c r="BI153" s="9">
        <v>4034786</v>
      </c>
      <c r="BJ153" s="9">
        <v>20567036.155019999</v>
      </c>
      <c r="BK153" s="9">
        <v>16419694</v>
      </c>
      <c r="BL153" s="9">
        <v>4147342</v>
      </c>
      <c r="BM153" s="9"/>
      <c r="BN153" s="9"/>
      <c r="BO153" s="9"/>
      <c r="BP153" s="9"/>
      <c r="BQ153" s="9"/>
      <c r="BR153" s="9"/>
      <c r="BS153" s="9"/>
      <c r="BT153" s="9"/>
      <c r="BU153" s="9"/>
    </row>
    <row r="154" spans="1:73">
      <c r="A154" s="6">
        <v>145</v>
      </c>
      <c r="B154" s="6" t="s">
        <v>1263</v>
      </c>
      <c r="C154" s="421">
        <v>31.96</v>
      </c>
      <c r="D154" s="9">
        <v>7998550</v>
      </c>
      <c r="E154" s="33">
        <v>4971749</v>
      </c>
      <c r="F154" s="9">
        <v>3291409</v>
      </c>
      <c r="G154" s="9">
        <v>8273057.0684000002</v>
      </c>
      <c r="H154" s="9">
        <v>5048628</v>
      </c>
      <c r="I154" s="9">
        <v>3382518</v>
      </c>
      <c r="J154" s="9">
        <v>8552328.663848212</v>
      </c>
      <c r="K154" s="9">
        <v>5164589</v>
      </c>
      <c r="L154" s="9">
        <v>3471243</v>
      </c>
      <c r="M154" s="9">
        <v>9261013.0245499983</v>
      </c>
      <c r="N154" s="9">
        <v>5370868</v>
      </c>
      <c r="O154" s="9">
        <v>3481041</v>
      </c>
      <c r="P154" s="9">
        <v>409104</v>
      </c>
      <c r="Q154" s="9">
        <v>10163781.091275636</v>
      </c>
      <c r="R154" s="9">
        <v>6164282</v>
      </c>
      <c r="S154" s="9">
        <v>3812342</v>
      </c>
      <c r="T154" s="9">
        <v>187157</v>
      </c>
      <c r="U154" s="9">
        <v>9993589.1704833005</v>
      </c>
      <c r="V154" s="9">
        <v>6118107</v>
      </c>
      <c r="W154" s="9">
        <v>3801121</v>
      </c>
      <c r="X154" s="9">
        <v>20406</v>
      </c>
      <c r="Y154" s="9">
        <v>208222</v>
      </c>
      <c r="Z154" s="9">
        <v>10250129.685999997</v>
      </c>
      <c r="AA154" s="9">
        <v>6235286</v>
      </c>
      <c r="AB154" s="9">
        <v>4014844</v>
      </c>
      <c r="AC154" s="9">
        <v>10455362.598579997</v>
      </c>
      <c r="AD154" s="9">
        <v>6361939</v>
      </c>
      <c r="AE154" s="9">
        <v>4130764.5356259407</v>
      </c>
      <c r="AF154" s="9">
        <v>10405973.177240001</v>
      </c>
      <c r="AG154" s="9">
        <v>6503570</v>
      </c>
      <c r="AH154" s="9">
        <v>4159864.5356259407</v>
      </c>
      <c r="AI154" s="9">
        <v>10520096.445809999</v>
      </c>
      <c r="AJ154" s="9">
        <v>6787210</v>
      </c>
      <c r="AK154" s="28">
        <v>4188864.5356259407</v>
      </c>
      <c r="AL154" s="9">
        <v>10093730.667000001</v>
      </c>
      <c r="AM154" s="9">
        <v>6547555</v>
      </c>
      <c r="AN154" s="28">
        <v>4216164.5356259402</v>
      </c>
      <c r="AO154" s="9">
        <v>10429935.11328</v>
      </c>
      <c r="AP154" s="9">
        <v>6471707</v>
      </c>
      <c r="AQ154" s="28">
        <v>4276884.5356259402</v>
      </c>
      <c r="AR154" s="9">
        <v>10083448.835693419</v>
      </c>
      <c r="AS154" s="9">
        <v>6275524</v>
      </c>
      <c r="AT154" s="28">
        <v>4308264.5356259402</v>
      </c>
      <c r="AU154" s="9">
        <v>10631780.77052</v>
      </c>
      <c r="AV154" s="9">
        <v>6659009</v>
      </c>
      <c r="AW154" s="9">
        <v>4340125</v>
      </c>
      <c r="AX154" s="9">
        <v>11332153.547165975</v>
      </c>
      <c r="AY154" s="9">
        <v>7314667</v>
      </c>
      <c r="AZ154" s="28">
        <v>4372585</v>
      </c>
      <c r="BA154" s="9">
        <v>11789935.42196</v>
      </c>
      <c r="BB154" s="9">
        <v>7692593</v>
      </c>
      <c r="BC154" s="9">
        <v>4372585</v>
      </c>
      <c r="BD154" s="9">
        <v>11891965.326339999</v>
      </c>
      <c r="BE154" s="9">
        <v>7846238</v>
      </c>
      <c r="BF154" s="9">
        <v>4404865</v>
      </c>
      <c r="BG154" s="9">
        <v>13087068.680339999</v>
      </c>
      <c r="BH154" s="9">
        <v>8280400</v>
      </c>
      <c r="BI154" s="9">
        <v>4806669</v>
      </c>
      <c r="BJ154" s="9">
        <v>14371240.407579998</v>
      </c>
      <c r="BK154" s="9">
        <v>8940323</v>
      </c>
      <c r="BL154" s="9">
        <v>5430917</v>
      </c>
      <c r="BM154" s="9"/>
      <c r="BN154" s="9"/>
      <c r="BO154" s="9"/>
      <c r="BP154" s="9"/>
      <c r="BQ154" s="9"/>
      <c r="BR154" s="9"/>
      <c r="BS154" s="9"/>
      <c r="BT154" s="9"/>
      <c r="BU154" s="9"/>
    </row>
    <row r="155" spans="1:73">
      <c r="A155" s="6">
        <v>146</v>
      </c>
      <c r="B155" s="6" t="s">
        <v>1264</v>
      </c>
      <c r="C155" s="421">
        <v>27.8</v>
      </c>
      <c r="D155" s="9">
        <v>4799043</v>
      </c>
      <c r="E155" s="33">
        <v>2658720</v>
      </c>
      <c r="F155" s="9">
        <v>2146114</v>
      </c>
      <c r="G155" s="9">
        <v>5190670.9800000004</v>
      </c>
      <c r="H155" s="9">
        <v>2889584</v>
      </c>
      <c r="I155" s="9">
        <v>2301087</v>
      </c>
      <c r="J155" s="9">
        <v>5317162.33</v>
      </c>
      <c r="K155" s="9">
        <v>3023826</v>
      </c>
      <c r="L155" s="9">
        <v>2348711</v>
      </c>
      <c r="M155" s="9">
        <v>5543481.6000000006</v>
      </c>
      <c r="N155" s="9">
        <v>3105681</v>
      </c>
      <c r="O155" s="9">
        <v>2181431</v>
      </c>
      <c r="P155" s="9">
        <v>256370</v>
      </c>
      <c r="Q155" s="9">
        <v>5602857.9883483276</v>
      </c>
      <c r="R155" s="9">
        <v>3253249</v>
      </c>
      <c r="S155" s="9">
        <v>2389045</v>
      </c>
      <c r="T155" s="9">
        <v>0</v>
      </c>
      <c r="U155" s="9">
        <v>120358</v>
      </c>
      <c r="V155" s="9">
        <v>71289.72480853874</v>
      </c>
      <c r="W155" s="9">
        <v>48927</v>
      </c>
      <c r="X155" s="9">
        <v>263</v>
      </c>
      <c r="Y155" s="9">
        <v>3142</v>
      </c>
      <c r="Z155" s="9">
        <v>122500.7</v>
      </c>
      <c r="AA155" s="9">
        <v>75884</v>
      </c>
      <c r="AB155" s="9">
        <v>49190</v>
      </c>
      <c r="AC155" s="9">
        <v>189431.25</v>
      </c>
      <c r="AD155" s="9">
        <v>117945</v>
      </c>
      <c r="AE155" s="9">
        <v>71486</v>
      </c>
      <c r="AF155" s="9">
        <v>192367.49000000002</v>
      </c>
      <c r="AG155" s="9">
        <v>118421</v>
      </c>
      <c r="AH155" s="9">
        <v>73946</v>
      </c>
      <c r="AI155" s="9">
        <v>130049.00000000001</v>
      </c>
      <c r="AJ155" s="9">
        <v>82782</v>
      </c>
      <c r="AK155" s="28">
        <v>73946</v>
      </c>
      <c r="AL155" s="9">
        <v>196931.90000000002</v>
      </c>
      <c r="AM155" s="9">
        <v>131323</v>
      </c>
      <c r="AN155" s="28">
        <v>73946</v>
      </c>
      <c r="AO155" s="9">
        <v>105367.36000000002</v>
      </c>
      <c r="AP155" s="9">
        <v>69257</v>
      </c>
      <c r="AQ155" s="28">
        <v>73946</v>
      </c>
      <c r="AR155" s="9">
        <v>107334.66674871638</v>
      </c>
      <c r="AS155" s="9">
        <v>71015</v>
      </c>
      <c r="AT155" s="28">
        <v>73946</v>
      </c>
      <c r="AU155" s="9">
        <v>192350.35000000003</v>
      </c>
      <c r="AV155" s="9">
        <v>123826</v>
      </c>
      <c r="AW155" s="9">
        <v>73946</v>
      </c>
      <c r="AX155" s="9">
        <v>242744.35096604392</v>
      </c>
      <c r="AY155" s="9">
        <v>156739</v>
      </c>
      <c r="AZ155" s="28">
        <v>86148</v>
      </c>
      <c r="BA155" s="9">
        <v>203601.62000000002</v>
      </c>
      <c r="BB155" s="9">
        <v>133221</v>
      </c>
      <c r="BC155" s="9">
        <v>86148</v>
      </c>
      <c r="BD155" s="9">
        <v>134575.02000000002</v>
      </c>
      <c r="BE155" s="9">
        <v>93268</v>
      </c>
      <c r="BF155" s="9">
        <v>86418</v>
      </c>
      <c r="BG155" s="9">
        <v>202094.16</v>
      </c>
      <c r="BH155" s="9">
        <v>132585</v>
      </c>
      <c r="BI155" s="9">
        <v>86418</v>
      </c>
      <c r="BJ155" s="9">
        <v>212169.47999999998</v>
      </c>
      <c r="BK155" s="9">
        <v>138249</v>
      </c>
      <c r="BL155" s="9">
        <v>86418</v>
      </c>
      <c r="BM155" s="9"/>
      <c r="BN155" s="9"/>
      <c r="BO155" s="9"/>
      <c r="BP155" s="9"/>
      <c r="BQ155" s="9"/>
      <c r="BR155" s="9"/>
      <c r="BS155" s="9"/>
      <c r="BT155" s="9"/>
      <c r="BU155" s="9"/>
    </row>
    <row r="156" spans="1:73">
      <c r="A156" s="6">
        <v>147</v>
      </c>
      <c r="B156" s="6" t="s">
        <v>1265</v>
      </c>
      <c r="C156" s="421">
        <v>32.46</v>
      </c>
      <c r="D156" s="9">
        <v>0</v>
      </c>
      <c r="E156" s="33">
        <v>0</v>
      </c>
      <c r="F156" s="9">
        <v>0</v>
      </c>
      <c r="G156" s="9">
        <v>0</v>
      </c>
      <c r="H156" s="9">
        <v>0</v>
      </c>
      <c r="I156" s="9">
        <v>0</v>
      </c>
      <c r="J156" s="9">
        <v>0</v>
      </c>
      <c r="K156" s="9">
        <v>0</v>
      </c>
      <c r="L156" s="9">
        <v>0</v>
      </c>
      <c r="M156" s="9">
        <v>0</v>
      </c>
      <c r="N156" s="9">
        <v>0</v>
      </c>
      <c r="O156" s="9">
        <v>0</v>
      </c>
      <c r="P156" s="9">
        <v>0</v>
      </c>
      <c r="Q156" s="9">
        <v>0</v>
      </c>
      <c r="R156" s="9">
        <v>0</v>
      </c>
      <c r="S156" s="9">
        <v>0</v>
      </c>
      <c r="T156" s="9">
        <v>0</v>
      </c>
      <c r="U156" s="9">
        <v>0</v>
      </c>
      <c r="V156" s="9">
        <v>0</v>
      </c>
      <c r="W156" s="9">
        <v>0</v>
      </c>
      <c r="X156" s="9">
        <v>0</v>
      </c>
      <c r="Y156" s="9">
        <v>0</v>
      </c>
      <c r="Z156" s="9">
        <v>0</v>
      </c>
      <c r="AA156" s="9">
        <v>0</v>
      </c>
      <c r="AB156" s="9">
        <v>0</v>
      </c>
      <c r="AC156" s="9">
        <v>0</v>
      </c>
      <c r="AD156" s="9">
        <v>0</v>
      </c>
      <c r="AE156" s="9">
        <v>0</v>
      </c>
      <c r="AF156" s="9">
        <v>12894.02</v>
      </c>
      <c r="AG156" s="9">
        <v>9530</v>
      </c>
      <c r="AH156" s="9">
        <v>3364</v>
      </c>
      <c r="AI156" s="9">
        <v>13004.9</v>
      </c>
      <c r="AJ156" s="9">
        <v>9489</v>
      </c>
      <c r="AK156" s="28">
        <v>3597</v>
      </c>
      <c r="AL156" s="9">
        <v>26399.920000000002</v>
      </c>
      <c r="AM156" s="9">
        <v>18957</v>
      </c>
      <c r="AN156" s="28">
        <v>7443</v>
      </c>
      <c r="AO156" s="9">
        <v>26341.840000000004</v>
      </c>
      <c r="AP156" s="9">
        <v>17904</v>
      </c>
      <c r="AQ156" s="28">
        <v>8468</v>
      </c>
      <c r="AR156" s="9">
        <v>13416.833343589547</v>
      </c>
      <c r="AS156" s="9">
        <v>9288</v>
      </c>
      <c r="AT156" s="28">
        <v>8468</v>
      </c>
      <c r="AU156" s="9">
        <v>13837.16</v>
      </c>
      <c r="AV156" s="9">
        <v>9663</v>
      </c>
      <c r="AW156" s="9">
        <v>8468</v>
      </c>
      <c r="AX156" s="9">
        <v>0</v>
      </c>
      <c r="AY156" s="9">
        <v>0</v>
      </c>
      <c r="AZ156" s="28">
        <v>0</v>
      </c>
      <c r="BA156" s="9">
        <v>0</v>
      </c>
      <c r="BB156" s="9">
        <v>0</v>
      </c>
      <c r="BC156" s="9">
        <v>0</v>
      </c>
      <c r="BD156" s="9">
        <v>14952.78</v>
      </c>
      <c r="BE156" s="9">
        <v>10266</v>
      </c>
      <c r="BF156" s="9">
        <v>4694</v>
      </c>
      <c r="BG156" s="9">
        <v>31395.420000000002</v>
      </c>
      <c r="BH156" s="9">
        <v>21168</v>
      </c>
      <c r="BI156" s="9">
        <v>10227</v>
      </c>
      <c r="BJ156" s="9">
        <v>32981.520000000004</v>
      </c>
      <c r="BK156" s="9">
        <v>21289</v>
      </c>
      <c r="BL156" s="9">
        <v>11693</v>
      </c>
      <c r="BM156" s="9"/>
      <c r="BN156" s="9"/>
      <c r="BO156" s="9"/>
      <c r="BP156" s="9"/>
      <c r="BQ156" s="9"/>
      <c r="BR156" s="9"/>
      <c r="BS156" s="9"/>
      <c r="BT156" s="9"/>
      <c r="BU156" s="9"/>
    </row>
    <row r="157" spans="1:73">
      <c r="A157" s="6">
        <v>148</v>
      </c>
      <c r="B157" s="6" t="s">
        <v>1266</v>
      </c>
      <c r="C157" s="421">
        <v>43.04</v>
      </c>
      <c r="D157" s="9">
        <v>1916314</v>
      </c>
      <c r="E157" s="33">
        <v>1602997</v>
      </c>
      <c r="F157" s="9">
        <v>511327.6</v>
      </c>
      <c r="G157" s="9">
        <v>2000612.16</v>
      </c>
      <c r="H157" s="9">
        <v>1636328</v>
      </c>
      <c r="I157" s="9">
        <v>598919.6</v>
      </c>
      <c r="J157" s="9">
        <v>2254707.4840702428</v>
      </c>
      <c r="K157" s="9">
        <v>1643144</v>
      </c>
      <c r="L157" s="9">
        <v>740945.6</v>
      </c>
      <c r="M157" s="9">
        <v>2340403.35</v>
      </c>
      <c r="N157" s="9">
        <v>1550747</v>
      </c>
      <c r="O157" s="9">
        <v>771260.6</v>
      </c>
      <c r="P157" s="9">
        <v>90641</v>
      </c>
      <c r="Q157" s="9">
        <v>2211537.9160803831</v>
      </c>
      <c r="R157" s="9">
        <v>1508600</v>
      </c>
      <c r="S157" s="9">
        <v>844664</v>
      </c>
      <c r="T157" s="9">
        <v>0</v>
      </c>
      <c r="U157" s="9">
        <v>2101664.4740400002</v>
      </c>
      <c r="V157" s="9">
        <v>1386013</v>
      </c>
      <c r="W157" s="9">
        <v>795318</v>
      </c>
      <c r="X157" s="9">
        <v>4270</v>
      </c>
      <c r="Y157" s="9">
        <v>51076</v>
      </c>
      <c r="Z157" s="9">
        <v>2085248.98</v>
      </c>
      <c r="AA157" s="9">
        <v>1418502</v>
      </c>
      <c r="AB157" s="9">
        <v>799588</v>
      </c>
      <c r="AC157" s="9">
        <v>2003814</v>
      </c>
      <c r="AD157" s="9">
        <v>1493112</v>
      </c>
      <c r="AE157" s="9">
        <v>737198</v>
      </c>
      <c r="AF157" s="9">
        <v>1859232.2499999993</v>
      </c>
      <c r="AG157" s="9">
        <v>1282510</v>
      </c>
      <c r="AH157" s="9">
        <v>742373</v>
      </c>
      <c r="AI157" s="9">
        <v>1841661.51</v>
      </c>
      <c r="AJ157" s="9">
        <v>1232284</v>
      </c>
      <c r="AK157" s="28">
        <v>747323</v>
      </c>
      <c r="AL157" s="9">
        <v>1924866.88</v>
      </c>
      <c r="AM157" s="9">
        <v>1307443</v>
      </c>
      <c r="AN157" s="28">
        <v>752323</v>
      </c>
      <c r="AO157" s="9">
        <v>1846691.1099999999</v>
      </c>
      <c r="AP157" s="9">
        <v>1231226</v>
      </c>
      <c r="AQ157" s="28">
        <v>762663</v>
      </c>
      <c r="AR157" s="9">
        <v>1897447.2242952588</v>
      </c>
      <c r="AS157" s="9">
        <v>1143811</v>
      </c>
      <c r="AT157" s="28">
        <f>768543-768543</f>
        <v>0</v>
      </c>
      <c r="AU157" s="9">
        <v>0</v>
      </c>
      <c r="AV157" s="9">
        <v>0</v>
      </c>
      <c r="AW157" s="9">
        <v>0</v>
      </c>
      <c r="AX157" s="9">
        <v>0</v>
      </c>
      <c r="AY157" s="9">
        <v>0</v>
      </c>
      <c r="AZ157" s="28">
        <v>0</v>
      </c>
      <c r="BA157" s="9">
        <v>29315.599999999999</v>
      </c>
      <c r="BB157" s="9">
        <v>18020</v>
      </c>
      <c r="BC157" s="9">
        <v>11311</v>
      </c>
      <c r="BD157" s="9">
        <v>14952.78</v>
      </c>
      <c r="BE157" s="9">
        <v>8521</v>
      </c>
      <c r="BF157" s="9">
        <v>11341</v>
      </c>
      <c r="BG157" s="9">
        <v>0</v>
      </c>
      <c r="BH157" s="9">
        <v>0</v>
      </c>
      <c r="BI157" s="9">
        <v>0</v>
      </c>
      <c r="BJ157" s="9">
        <v>0</v>
      </c>
      <c r="BK157" s="9">
        <v>0</v>
      </c>
      <c r="BL157" s="9">
        <v>0</v>
      </c>
      <c r="BM157" s="9"/>
      <c r="BN157" s="9"/>
      <c r="BO157" s="9"/>
      <c r="BP157" s="9"/>
      <c r="BQ157" s="9"/>
      <c r="BR157" s="9"/>
      <c r="BS157" s="9"/>
      <c r="BT157" s="9"/>
      <c r="BU157" s="9"/>
    </row>
    <row r="158" spans="1:73">
      <c r="A158" s="6">
        <v>149</v>
      </c>
      <c r="B158" s="6" t="s">
        <v>1267</v>
      </c>
      <c r="C158" s="421">
        <v>83.85</v>
      </c>
      <c r="D158" s="9">
        <v>120547909</v>
      </c>
      <c r="E158" s="33">
        <v>3240618</v>
      </c>
      <c r="F158" s="9">
        <v>117307291</v>
      </c>
      <c r="G158" s="9">
        <v>127369323.28</v>
      </c>
      <c r="H158" s="9">
        <v>4587152</v>
      </c>
      <c r="I158" s="9">
        <v>123087075</v>
      </c>
      <c r="J158" s="9">
        <v>133779067.90829407</v>
      </c>
      <c r="K158" s="9">
        <v>5310337</v>
      </c>
      <c r="L158" s="9">
        <v>128507796</v>
      </c>
      <c r="M158" s="9">
        <v>141941371.93000001</v>
      </c>
      <c r="N158" s="9">
        <v>5886137</v>
      </c>
      <c r="O158" s="9">
        <v>121747087</v>
      </c>
      <c r="P158" s="9">
        <v>14308148</v>
      </c>
      <c r="Q158" s="9">
        <v>146793573.0315024</v>
      </c>
      <c r="R158" s="9">
        <v>5813067</v>
      </c>
      <c r="S158" s="9">
        <v>133334130</v>
      </c>
      <c r="T158" s="9">
        <v>7646376</v>
      </c>
      <c r="U158" s="9">
        <v>144327894.38892001</v>
      </c>
      <c r="V158" s="9">
        <v>6144533</v>
      </c>
      <c r="W158" s="9">
        <v>135531978</v>
      </c>
      <c r="X158" s="9">
        <v>727596</v>
      </c>
      <c r="Y158" s="9">
        <v>5051357</v>
      </c>
      <c r="Z158" s="9">
        <v>152346056.93000001</v>
      </c>
      <c r="AA158" s="9">
        <v>6462722</v>
      </c>
      <c r="AB158" s="9">
        <v>145883335</v>
      </c>
      <c r="AC158" s="9">
        <v>158948561.05000004</v>
      </c>
      <c r="AD158" s="9">
        <v>6790964</v>
      </c>
      <c r="AE158" s="9">
        <v>152157597</v>
      </c>
      <c r="AF158" s="9">
        <v>166158253.06999999</v>
      </c>
      <c r="AG158" s="9">
        <v>7071945</v>
      </c>
      <c r="AH158" s="9">
        <f>159086308+320037</f>
        <v>159406345</v>
      </c>
      <c r="AI158" s="9">
        <v>177176380.49999997</v>
      </c>
      <c r="AJ158" s="9">
        <v>8004505</v>
      </c>
      <c r="AK158" s="28">
        <v>169171876</v>
      </c>
      <c r="AL158" s="9">
        <v>186136094.67000002</v>
      </c>
      <c r="AM158" s="9">
        <v>8507699</v>
      </c>
      <c r="AN158" s="28">
        <v>177628396</v>
      </c>
      <c r="AO158" s="9">
        <v>185788081.69999999</v>
      </c>
      <c r="AP158" s="9">
        <v>8809108</v>
      </c>
      <c r="AQ158" s="28">
        <v>178458236</v>
      </c>
      <c r="AR158" s="9">
        <v>189722671.68810713</v>
      </c>
      <c r="AS158" s="9">
        <v>9390191</v>
      </c>
      <c r="AT158" s="28">
        <f>180602480-269999</f>
        <v>180332481</v>
      </c>
      <c r="AU158" s="9">
        <v>196866060.98999995</v>
      </c>
      <c r="AV158" s="9">
        <v>10121526</v>
      </c>
      <c r="AW158" s="9">
        <v>188612758.94704434</v>
      </c>
      <c r="AX158" s="9">
        <v>210870986.66280565</v>
      </c>
      <c r="AY158" s="9">
        <v>10875618</v>
      </c>
      <c r="AZ158" s="28">
        <v>199995369</v>
      </c>
      <c r="BA158" s="9">
        <v>218786376.44</v>
      </c>
      <c r="BB158" s="9">
        <v>11530073</v>
      </c>
      <c r="BC158" s="9">
        <v>207256303</v>
      </c>
      <c r="BD158" s="9">
        <v>234592260.91</v>
      </c>
      <c r="BE158" s="9">
        <v>12048747</v>
      </c>
      <c r="BF158" s="9">
        <v>222543514</v>
      </c>
      <c r="BG158" s="9">
        <v>253714474.64999995</v>
      </c>
      <c r="BH158" s="9">
        <v>13007684</v>
      </c>
      <c r="BI158" s="9">
        <v>240706791</v>
      </c>
      <c r="BJ158" s="9">
        <v>279873222.13999999</v>
      </c>
      <c r="BK158" s="9">
        <v>13728391</v>
      </c>
      <c r="BL158" s="9">
        <v>266144831</v>
      </c>
      <c r="BM158" s="9"/>
      <c r="BN158" s="9"/>
      <c r="BO158" s="9"/>
      <c r="BP158" s="9"/>
      <c r="BQ158" s="9"/>
      <c r="BR158" s="9"/>
      <c r="BS158" s="9"/>
      <c r="BT158" s="9"/>
      <c r="BU158" s="9"/>
    </row>
    <row r="159" spans="1:73">
      <c r="A159" s="6">
        <v>150</v>
      </c>
      <c r="B159" s="6" t="s">
        <v>1268</v>
      </c>
      <c r="C159" s="421">
        <v>17.5</v>
      </c>
      <c r="D159" s="9">
        <v>5823545</v>
      </c>
      <c r="E159" s="33">
        <v>5026681</v>
      </c>
      <c r="F159" s="9">
        <v>1520616</v>
      </c>
      <c r="G159" s="9">
        <v>6350292.3199999994</v>
      </c>
      <c r="H159" s="9">
        <v>5174125</v>
      </c>
      <c r="I159" s="9">
        <v>1676639</v>
      </c>
      <c r="J159" s="9">
        <v>6681418.6652666908</v>
      </c>
      <c r="K159" s="9">
        <v>5156036</v>
      </c>
      <c r="L159" s="9">
        <v>1878003</v>
      </c>
      <c r="M159" s="9">
        <v>7031845.7699999986</v>
      </c>
      <c r="N159" s="9">
        <v>5144595</v>
      </c>
      <c r="O159" s="9">
        <v>1850212</v>
      </c>
      <c r="P159" s="9">
        <v>217444</v>
      </c>
      <c r="Q159" s="9">
        <v>6993248.0376650728</v>
      </c>
      <c r="R159" s="9">
        <v>5210177</v>
      </c>
      <c r="S159" s="9">
        <v>2026303</v>
      </c>
      <c r="T159" s="9">
        <v>0</v>
      </c>
      <c r="U159" s="9">
        <v>6834255.432719999</v>
      </c>
      <c r="V159" s="9">
        <v>5256806</v>
      </c>
      <c r="W159" s="9">
        <v>1907927</v>
      </c>
      <c r="X159" s="9">
        <v>10242</v>
      </c>
      <c r="Y159" s="9">
        <v>126584</v>
      </c>
      <c r="Z159" s="9">
        <v>6866001.4999999991</v>
      </c>
      <c r="AA159" s="9">
        <v>5431263</v>
      </c>
      <c r="AB159" s="9">
        <v>1918169</v>
      </c>
      <c r="AC159" s="9">
        <v>7058725.3000000007</v>
      </c>
      <c r="AD159" s="9">
        <v>5598309</v>
      </c>
      <c r="AE159" s="9">
        <v>1947049</v>
      </c>
      <c r="AF159" s="9">
        <v>6795658.4500000011</v>
      </c>
      <c r="AG159" s="9">
        <v>5748371</v>
      </c>
      <c r="AH159" s="9">
        <v>1964149</v>
      </c>
      <c r="AI159" s="9">
        <v>6714728.879999999</v>
      </c>
      <c r="AJ159" s="9">
        <v>5764466</v>
      </c>
      <c r="AK159" s="28">
        <v>1980674</v>
      </c>
      <c r="AL159" s="9">
        <v>6274000.4799999986</v>
      </c>
      <c r="AM159" s="9">
        <v>5563066</v>
      </c>
      <c r="AN159" s="28">
        <v>1995699</v>
      </c>
      <c r="AO159" s="9">
        <v>6504171.9400000004</v>
      </c>
      <c r="AP159" s="9">
        <v>5425885</v>
      </c>
      <c r="AQ159" s="28">
        <v>2029359</v>
      </c>
      <c r="AR159" s="9">
        <v>6757761.9564577993</v>
      </c>
      <c r="AS159" s="9">
        <v>5587191</v>
      </c>
      <c r="AT159" s="28">
        <v>2047989</v>
      </c>
      <c r="AU159" s="9">
        <v>7003346.3699999992</v>
      </c>
      <c r="AV159" s="9">
        <v>5777761</v>
      </c>
      <c r="AW159" s="9">
        <v>2066619</v>
      </c>
      <c r="AX159" s="9">
        <v>7374237.8470487166</v>
      </c>
      <c r="AY159" s="9">
        <v>5858890</v>
      </c>
      <c r="AZ159" s="28">
        <v>2085069</v>
      </c>
      <c r="BA159" s="9">
        <v>7515008.5899999989</v>
      </c>
      <c r="BB159" s="9">
        <v>6036549</v>
      </c>
      <c r="BC159" s="9">
        <v>2085069</v>
      </c>
      <c r="BD159" s="9">
        <v>7363633.6299999999</v>
      </c>
      <c r="BE159" s="9">
        <v>6074998</v>
      </c>
      <c r="BF159" s="9">
        <v>2102439</v>
      </c>
      <c r="BG159" s="9">
        <v>7917418.4799999995</v>
      </c>
      <c r="BH159" s="9">
        <v>6383000</v>
      </c>
      <c r="BI159" s="9">
        <v>2136039</v>
      </c>
      <c r="BJ159" s="9">
        <v>8739704.6600000001</v>
      </c>
      <c r="BK159" s="9">
        <v>6760874</v>
      </c>
      <c r="BL159" s="9">
        <v>2170239</v>
      </c>
      <c r="BM159" s="9"/>
      <c r="BN159" s="9"/>
      <c r="BO159" s="9"/>
      <c r="BP159" s="9"/>
      <c r="BQ159" s="9"/>
      <c r="BR159" s="9"/>
      <c r="BS159" s="9"/>
      <c r="BT159" s="9"/>
      <c r="BU159" s="9"/>
    </row>
    <row r="160" spans="1:73">
      <c r="A160" s="6">
        <v>151</v>
      </c>
      <c r="B160" s="6" t="s">
        <v>1269</v>
      </c>
      <c r="C160" s="421">
        <v>48.73</v>
      </c>
      <c r="D160" s="9">
        <v>13764844</v>
      </c>
      <c r="E160" s="33">
        <v>5533064</v>
      </c>
      <c r="F160" s="9">
        <v>8584389</v>
      </c>
      <c r="G160" s="9">
        <v>14951710.08</v>
      </c>
      <c r="H160" s="9">
        <v>6005588</v>
      </c>
      <c r="I160" s="9">
        <v>9273246</v>
      </c>
      <c r="J160" s="9">
        <v>15396418.602011576</v>
      </c>
      <c r="K160" s="9">
        <v>6321482</v>
      </c>
      <c r="L160" s="9">
        <v>9525396</v>
      </c>
      <c r="M160" s="9">
        <v>16077270.590000004</v>
      </c>
      <c r="N160" s="9">
        <v>6607213</v>
      </c>
      <c r="O160" s="9">
        <v>8869110</v>
      </c>
      <c r="P160" s="9">
        <v>1042329</v>
      </c>
      <c r="Q160" s="9">
        <v>16403919.290181819</v>
      </c>
      <c r="R160" s="9">
        <v>7103381</v>
      </c>
      <c r="S160" s="9">
        <v>9713210</v>
      </c>
      <c r="T160" s="9">
        <v>0</v>
      </c>
      <c r="U160" s="9">
        <v>16141548.42372</v>
      </c>
      <c r="V160" s="9">
        <v>7199987</v>
      </c>
      <c r="W160" s="9">
        <v>9145765</v>
      </c>
      <c r="X160" s="9">
        <v>49099</v>
      </c>
      <c r="Y160" s="9">
        <v>563921</v>
      </c>
      <c r="Z160" s="9">
        <v>16759773.840000002</v>
      </c>
      <c r="AA160" s="9">
        <v>7378547</v>
      </c>
      <c r="AB160" s="9">
        <v>9381227</v>
      </c>
      <c r="AC160" s="9">
        <v>16738311.800000001</v>
      </c>
      <c r="AD160" s="9">
        <v>7574816</v>
      </c>
      <c r="AE160" s="9">
        <v>9450987</v>
      </c>
      <c r="AF160" s="9">
        <v>16586640.989999998</v>
      </c>
      <c r="AG160" s="9">
        <v>7776403</v>
      </c>
      <c r="AH160" s="9">
        <v>9493437</v>
      </c>
      <c r="AI160" s="9">
        <v>16135346.720000001</v>
      </c>
      <c r="AJ160" s="9">
        <v>7906856</v>
      </c>
      <c r="AK160" s="28">
        <v>9534162</v>
      </c>
      <c r="AL160" s="9">
        <v>16315414.450000001</v>
      </c>
      <c r="AM160" s="9">
        <v>8170911</v>
      </c>
      <c r="AN160" s="28">
        <v>9574112</v>
      </c>
      <c r="AO160" s="9">
        <v>15935660.719999999</v>
      </c>
      <c r="AP160" s="9">
        <v>7913187</v>
      </c>
      <c r="AQ160" s="28">
        <v>9661287</v>
      </c>
      <c r="AR160" s="9">
        <v>16281458.222080152</v>
      </c>
      <c r="AS160" s="9">
        <v>7799077</v>
      </c>
      <c r="AT160" s="28">
        <v>9708447</v>
      </c>
      <c r="AU160" s="9">
        <v>17044107.479999997</v>
      </c>
      <c r="AV160" s="9">
        <v>8057611</v>
      </c>
      <c r="AW160" s="9">
        <v>9755847</v>
      </c>
      <c r="AX160" s="9">
        <v>17701915.196191557</v>
      </c>
      <c r="AY160" s="9">
        <v>8369468</v>
      </c>
      <c r="AZ160" s="28">
        <v>9802497</v>
      </c>
      <c r="BA160" s="9">
        <v>18032789.120000001</v>
      </c>
      <c r="BB160" s="9">
        <v>8592877</v>
      </c>
      <c r="BC160" s="9">
        <v>9802497</v>
      </c>
      <c r="BD160" s="9">
        <v>17918102.010000005</v>
      </c>
      <c r="BE160" s="9">
        <v>8874997</v>
      </c>
      <c r="BF160" s="9">
        <v>9846237</v>
      </c>
      <c r="BG160" s="9">
        <v>19402050.66</v>
      </c>
      <c r="BH160" s="9">
        <v>9299222</v>
      </c>
      <c r="BI160" s="9">
        <v>10102829</v>
      </c>
      <c r="BJ160" s="9">
        <v>20759208.559999999</v>
      </c>
      <c r="BK160" s="9">
        <v>9660962</v>
      </c>
      <c r="BL160" s="9">
        <v>11098247</v>
      </c>
      <c r="BM160" s="9"/>
      <c r="BN160" s="9"/>
      <c r="BO160" s="9"/>
      <c r="BP160" s="9"/>
      <c r="BQ160" s="9"/>
      <c r="BR160" s="9"/>
      <c r="BS160" s="9"/>
      <c r="BT160" s="9"/>
      <c r="BU160" s="9"/>
    </row>
    <row r="161" spans="1:73">
      <c r="A161" s="6">
        <v>152</v>
      </c>
      <c r="B161" s="6" t="s">
        <v>1270</v>
      </c>
      <c r="C161" s="421">
        <v>17.5</v>
      </c>
      <c r="D161" s="9">
        <v>5379558</v>
      </c>
      <c r="E161" s="33">
        <v>5779799</v>
      </c>
      <c r="F161" s="9">
        <v>1111972.8</v>
      </c>
      <c r="G161" s="9">
        <v>5557057.9500000002</v>
      </c>
      <c r="H161" s="9">
        <v>5755763</v>
      </c>
      <c r="I161" s="9">
        <v>1149222.8</v>
      </c>
      <c r="J161" s="9">
        <v>5681111.1449849457</v>
      </c>
      <c r="K161" s="9">
        <v>5626258</v>
      </c>
      <c r="L161" s="9">
        <v>1185272.8</v>
      </c>
      <c r="M161" s="9">
        <v>5690851.3399999999</v>
      </c>
      <c r="N161" s="9">
        <v>5524370</v>
      </c>
      <c r="O161" s="9">
        <v>1091138.8</v>
      </c>
      <c r="P161" s="9">
        <v>128234</v>
      </c>
      <c r="Q161" s="9">
        <v>5746214.0793875596</v>
      </c>
      <c r="R161" s="9">
        <v>5564115</v>
      </c>
      <c r="S161" s="9">
        <v>1194985</v>
      </c>
      <c r="T161" s="9">
        <v>0</v>
      </c>
      <c r="U161" s="9">
        <v>5692629.6463799989</v>
      </c>
      <c r="V161" s="9">
        <v>5437790</v>
      </c>
      <c r="W161" s="9">
        <v>1125174</v>
      </c>
      <c r="X161" s="9">
        <v>6041</v>
      </c>
      <c r="Y161" s="9">
        <v>80270</v>
      </c>
      <c r="Z161" s="9">
        <v>5550215.3299999982</v>
      </c>
      <c r="AA161" s="9">
        <v>5659278</v>
      </c>
      <c r="AB161" s="9">
        <v>1131215</v>
      </c>
      <c r="AC161" s="9">
        <v>5797767.8000000007</v>
      </c>
      <c r="AD161" s="9">
        <v>5640423</v>
      </c>
      <c r="AE161" s="9">
        <v>1156055</v>
      </c>
      <c r="AF161" s="9">
        <v>5519096.620000001</v>
      </c>
      <c r="AG161" s="9">
        <v>5519097</v>
      </c>
      <c r="AH161" s="9">
        <v>1170680</v>
      </c>
      <c r="AI161" s="9">
        <v>5600729.1799999997</v>
      </c>
      <c r="AJ161" s="9">
        <v>5040656</v>
      </c>
      <c r="AK161" s="28">
        <v>1185105</v>
      </c>
      <c r="AL161" s="9">
        <v>5259228.0599999996</v>
      </c>
      <c r="AM161" s="9">
        <v>4733305</v>
      </c>
      <c r="AN161" s="28">
        <v>1198130</v>
      </c>
      <c r="AO161" s="9">
        <v>5241794.76</v>
      </c>
      <c r="AP161" s="9">
        <v>4408169</v>
      </c>
      <c r="AQ161" s="28">
        <v>1226895</v>
      </c>
      <c r="AR161" s="9">
        <v>5339115.7336442946</v>
      </c>
      <c r="AS161" s="9">
        <v>4429745</v>
      </c>
      <c r="AT161" s="28">
        <v>1242525</v>
      </c>
      <c r="AU161" s="9">
        <v>5362646.540000001</v>
      </c>
      <c r="AV161" s="9">
        <v>4424183</v>
      </c>
      <c r="AW161" s="9">
        <v>1257705</v>
      </c>
      <c r="AX161" s="9">
        <v>5511981.8499129619</v>
      </c>
      <c r="AY161" s="9">
        <v>4547385</v>
      </c>
      <c r="AZ161" s="28">
        <v>1272525</v>
      </c>
      <c r="BA161" s="9">
        <v>5736170.5799999991</v>
      </c>
      <c r="BB161" s="9">
        <v>4728371</v>
      </c>
      <c r="BC161" s="9">
        <v>1272525</v>
      </c>
      <c r="BD161" s="9">
        <v>5879254.1000000006</v>
      </c>
      <c r="BE161" s="9">
        <v>4784639</v>
      </c>
      <c r="BF161" s="9">
        <v>1287405</v>
      </c>
      <c r="BG161" s="9">
        <v>6111653.4900000002</v>
      </c>
      <c r="BH161" s="9">
        <v>5042114</v>
      </c>
      <c r="BI161" s="9">
        <v>1315905</v>
      </c>
      <c r="BJ161" s="9">
        <v>6717817.4100000001</v>
      </c>
      <c r="BK161" s="9">
        <v>5422289</v>
      </c>
      <c r="BL161" s="9">
        <v>1345245</v>
      </c>
      <c r="BM161" s="9"/>
      <c r="BN161" s="9"/>
      <c r="BO161" s="9"/>
      <c r="BP161" s="9"/>
      <c r="BQ161" s="9"/>
      <c r="BR161" s="9"/>
      <c r="BS161" s="9"/>
      <c r="BT161" s="9"/>
      <c r="BU161" s="9"/>
    </row>
    <row r="162" spans="1:73">
      <c r="A162" s="6">
        <v>153</v>
      </c>
      <c r="B162" s="6" t="s">
        <v>1271</v>
      </c>
      <c r="C162" s="421">
        <v>59.77</v>
      </c>
      <c r="D162" s="9">
        <v>50087399</v>
      </c>
      <c r="E162" s="33">
        <v>17364613</v>
      </c>
      <c r="F162" s="9">
        <v>32722786</v>
      </c>
      <c r="G162" s="9">
        <v>52403637.229999997</v>
      </c>
      <c r="H162" s="9">
        <v>18470739</v>
      </c>
      <c r="I162" s="9">
        <v>33951319</v>
      </c>
      <c r="J162" s="9">
        <v>55214981.567387104</v>
      </c>
      <c r="K162" s="9">
        <v>19608537</v>
      </c>
      <c r="L162" s="9">
        <v>35606445</v>
      </c>
      <c r="M162" s="9">
        <v>61199688.75</v>
      </c>
      <c r="N162" s="9">
        <v>20722302</v>
      </c>
      <c r="O162" s="9">
        <v>36220613</v>
      </c>
      <c r="P162" s="9">
        <v>4256774</v>
      </c>
      <c r="Q162" s="9">
        <v>63052401.664000005</v>
      </c>
      <c r="R162" s="9">
        <v>21186482</v>
      </c>
      <c r="S162" s="9">
        <v>39667839</v>
      </c>
      <c r="T162" s="9">
        <v>2198081</v>
      </c>
      <c r="U162" s="9">
        <v>61830792.262439989</v>
      </c>
      <c r="V162" s="9">
        <v>21870806</v>
      </c>
      <c r="W162" s="9">
        <v>39420116</v>
      </c>
      <c r="X162" s="9">
        <v>211625</v>
      </c>
      <c r="Y162" s="9">
        <v>2394129</v>
      </c>
      <c r="Z162" s="9">
        <v>64079292.579999998</v>
      </c>
      <c r="AA162" s="9">
        <v>22623162</v>
      </c>
      <c r="AB162" s="9">
        <v>41456131</v>
      </c>
      <c r="AC162" s="9">
        <v>66413236.799999997</v>
      </c>
      <c r="AD162" s="9">
        <v>23577860</v>
      </c>
      <c r="AE162" s="9">
        <v>42835377</v>
      </c>
      <c r="AF162" s="9">
        <v>67647235.61999999</v>
      </c>
      <c r="AG162" s="9">
        <v>24414874</v>
      </c>
      <c r="AH162" s="9">
        <v>43232362</v>
      </c>
      <c r="AI162" s="9">
        <v>68009798.659999996</v>
      </c>
      <c r="AJ162" s="9">
        <v>25511102</v>
      </c>
      <c r="AK162" s="28">
        <v>43390737</v>
      </c>
      <c r="AL162" s="9">
        <v>68789894.089999989</v>
      </c>
      <c r="AM162" s="9">
        <v>26480524</v>
      </c>
      <c r="AN162" s="28">
        <v>43547587</v>
      </c>
      <c r="AO162" s="9">
        <v>69488787.129999995</v>
      </c>
      <c r="AP162" s="9">
        <v>27478840</v>
      </c>
      <c r="AQ162" s="28">
        <v>43889797</v>
      </c>
      <c r="AR162" s="9">
        <v>69633698.04886961</v>
      </c>
      <c r="AS162" s="9">
        <v>27880085</v>
      </c>
      <c r="AT162" s="28">
        <v>44073487</v>
      </c>
      <c r="AU162" s="9">
        <v>72123478.449999988</v>
      </c>
      <c r="AV162" s="9">
        <v>28957291</v>
      </c>
      <c r="AW162" s="9">
        <v>44256877</v>
      </c>
      <c r="AX162" s="9">
        <v>77172702.956447005</v>
      </c>
      <c r="AY162" s="9">
        <v>30127166</v>
      </c>
      <c r="AZ162" s="28">
        <v>47045537</v>
      </c>
      <c r="BA162" s="9">
        <v>79655609.189999998</v>
      </c>
      <c r="BB162" s="9">
        <v>30886014</v>
      </c>
      <c r="BC162" s="9">
        <v>48769595</v>
      </c>
      <c r="BD162" s="9">
        <v>81402160.149999991</v>
      </c>
      <c r="BE162" s="9">
        <v>32019531</v>
      </c>
      <c r="BF162" s="9">
        <v>49388806</v>
      </c>
      <c r="BG162" s="9">
        <v>91159936.339999989</v>
      </c>
      <c r="BH162" s="9">
        <v>33607699</v>
      </c>
      <c r="BI162" s="9">
        <v>57552237</v>
      </c>
      <c r="BJ162" s="9">
        <v>99599000.579999998</v>
      </c>
      <c r="BK162" s="9">
        <v>35204065</v>
      </c>
      <c r="BL162" s="9">
        <v>64394936</v>
      </c>
      <c r="BM162" s="9"/>
      <c r="BN162" s="9"/>
      <c r="BO162" s="9"/>
      <c r="BP162" s="9"/>
      <c r="BQ162" s="9"/>
      <c r="BR162" s="9"/>
      <c r="BS162" s="9"/>
      <c r="BT162" s="9"/>
      <c r="BU162" s="9"/>
    </row>
    <row r="163" spans="1:73">
      <c r="A163" s="6">
        <v>154</v>
      </c>
      <c r="B163" s="6" t="s">
        <v>1272</v>
      </c>
      <c r="C163" s="421">
        <v>17.5</v>
      </c>
      <c r="D163" s="9">
        <v>803815</v>
      </c>
      <c r="E163" s="33">
        <v>973857</v>
      </c>
      <c r="F163" s="9">
        <v>223181.2</v>
      </c>
      <c r="G163" s="9">
        <v>852583.6</v>
      </c>
      <c r="H163" s="9">
        <v>827268</v>
      </c>
      <c r="I163" s="9">
        <v>239065.2</v>
      </c>
      <c r="J163" s="9">
        <v>947175.22926746425</v>
      </c>
      <c r="K163" s="9">
        <v>853066</v>
      </c>
      <c r="L163" s="9">
        <v>261625.2</v>
      </c>
      <c r="M163" s="9">
        <v>1053847.72</v>
      </c>
      <c r="N163" s="9">
        <v>849640</v>
      </c>
      <c r="O163" s="9">
        <v>257545.2</v>
      </c>
      <c r="P163" s="9">
        <v>30268</v>
      </c>
      <c r="Q163" s="9">
        <v>1038637.2936880384</v>
      </c>
      <c r="R163" s="9">
        <v>875032</v>
      </c>
      <c r="S163" s="9">
        <v>282057</v>
      </c>
      <c r="T163" s="9">
        <v>0</v>
      </c>
      <c r="U163" s="9">
        <v>1122116.9748600002</v>
      </c>
      <c r="V163" s="9">
        <v>937904</v>
      </c>
      <c r="W163" s="9">
        <v>265580</v>
      </c>
      <c r="X163" s="9">
        <v>1426</v>
      </c>
      <c r="Y163" s="9">
        <v>18126</v>
      </c>
      <c r="Z163" s="9">
        <v>1105463.82</v>
      </c>
      <c r="AA163" s="9">
        <v>928988</v>
      </c>
      <c r="AB163" s="9">
        <v>267006</v>
      </c>
      <c r="AC163" s="9">
        <v>1073636.7000000002</v>
      </c>
      <c r="AD163" s="9">
        <v>916296</v>
      </c>
      <c r="AE163" s="9">
        <v>271766</v>
      </c>
      <c r="AF163" s="9">
        <v>1092855.1200000001</v>
      </c>
      <c r="AG163" s="9">
        <v>934972</v>
      </c>
      <c r="AH163" s="9">
        <v>274716</v>
      </c>
      <c r="AI163" s="9">
        <v>934315.57</v>
      </c>
      <c r="AJ163" s="9">
        <v>840884</v>
      </c>
      <c r="AK163" s="28">
        <v>277216</v>
      </c>
      <c r="AL163" s="9">
        <v>982131.53</v>
      </c>
      <c r="AM163" s="9">
        <v>843668</v>
      </c>
      <c r="AN163" s="28">
        <v>279816</v>
      </c>
      <c r="AO163" s="9">
        <v>997887.19000000006</v>
      </c>
      <c r="AP163" s="9">
        <v>837493</v>
      </c>
      <c r="AQ163" s="28">
        <v>285371</v>
      </c>
      <c r="AR163" s="9">
        <v>1195068.007035923</v>
      </c>
      <c r="AS163" s="9">
        <v>990119</v>
      </c>
      <c r="AT163" s="28">
        <v>289061</v>
      </c>
      <c r="AU163" s="9">
        <v>1040580.59</v>
      </c>
      <c r="AV163" s="9">
        <v>858479</v>
      </c>
      <c r="AW163" s="9">
        <v>292151</v>
      </c>
      <c r="AX163" s="9">
        <v>1166005.2401467538</v>
      </c>
      <c r="AY163" s="9">
        <v>885170</v>
      </c>
      <c r="AZ163" s="28">
        <v>295511</v>
      </c>
      <c r="BA163" s="9">
        <v>1203602.1499999999</v>
      </c>
      <c r="BB163" s="9">
        <v>992972</v>
      </c>
      <c r="BC163" s="9">
        <v>295511</v>
      </c>
      <c r="BD163" s="9">
        <v>1142444.52</v>
      </c>
      <c r="BE163" s="9">
        <v>942517</v>
      </c>
      <c r="BF163" s="9">
        <v>298661</v>
      </c>
      <c r="BG163" s="9">
        <v>1361700.11</v>
      </c>
      <c r="BH163" s="9">
        <v>970792</v>
      </c>
      <c r="BI163" s="9">
        <v>390908</v>
      </c>
      <c r="BJ163" s="9">
        <v>1255147.3</v>
      </c>
      <c r="BK163" s="9">
        <v>954740</v>
      </c>
      <c r="BL163" s="9">
        <v>396968</v>
      </c>
      <c r="BM163" s="9"/>
      <c r="BN163" s="9"/>
      <c r="BO163" s="9"/>
      <c r="BP163" s="9"/>
      <c r="BQ163" s="9"/>
      <c r="BR163" s="9"/>
      <c r="BS163" s="9"/>
      <c r="BT163" s="9"/>
      <c r="BU163" s="9"/>
    </row>
    <row r="164" spans="1:73">
      <c r="A164" s="6">
        <v>155</v>
      </c>
      <c r="B164" s="6" t="s">
        <v>1273</v>
      </c>
      <c r="C164" s="421">
        <v>17.5</v>
      </c>
      <c r="D164" s="9">
        <v>44428216</v>
      </c>
      <c r="E164" s="33">
        <v>48013339</v>
      </c>
      <c r="F164" s="9">
        <v>5197253.5999999996</v>
      </c>
      <c r="G164" s="9">
        <v>48149485.159400001</v>
      </c>
      <c r="H164" s="9">
        <v>48176671</v>
      </c>
      <c r="I164" s="9">
        <v>5848475.5999999996</v>
      </c>
      <c r="J164" s="9">
        <v>50405171.392957248</v>
      </c>
      <c r="K164" s="9">
        <v>48167038</v>
      </c>
      <c r="L164" s="9">
        <v>6740204.5999999996</v>
      </c>
      <c r="M164" s="9">
        <v>53421979.384980008</v>
      </c>
      <c r="N164" s="9">
        <v>48294113</v>
      </c>
      <c r="O164" s="9">
        <v>6801697.5999999996</v>
      </c>
      <c r="P164" s="9">
        <v>799359</v>
      </c>
      <c r="Q164" s="9">
        <v>55137317.164318644</v>
      </c>
      <c r="R164" s="9">
        <v>49717650</v>
      </c>
      <c r="S164" s="9">
        <v>7449035</v>
      </c>
      <c r="T164" s="9">
        <v>0</v>
      </c>
      <c r="U164" s="9">
        <v>53464106.958999999</v>
      </c>
      <c r="V164" s="9">
        <v>49818987</v>
      </c>
      <c r="W164" s="9">
        <v>7013863</v>
      </c>
      <c r="X164" s="9">
        <v>37654</v>
      </c>
      <c r="Y164" s="9">
        <v>548918</v>
      </c>
      <c r="Z164" s="9">
        <v>56211262.726240009</v>
      </c>
      <c r="AA164" s="9">
        <v>51205216</v>
      </c>
      <c r="AB164" s="9">
        <v>7051517</v>
      </c>
      <c r="AC164" s="9">
        <v>59157960.380999997</v>
      </c>
      <c r="AD164" s="9">
        <v>52989430</v>
      </c>
      <c r="AE164" s="9">
        <v>7876798.51666875</v>
      </c>
      <c r="AF164" s="9">
        <v>62856513.067499988</v>
      </c>
      <c r="AG164" s="9">
        <v>55493228</v>
      </c>
      <c r="AH164" s="9">
        <f>8657571.33420469+8422</f>
        <v>8665993.3342046905</v>
      </c>
      <c r="AI164" s="9">
        <v>64514813.130400017</v>
      </c>
      <c r="AJ164" s="9">
        <v>56156903</v>
      </c>
      <c r="AK164" s="28">
        <v>9584428.3342046905</v>
      </c>
      <c r="AL164" s="9">
        <v>67063773.197500005</v>
      </c>
      <c r="AM164" s="9">
        <v>57095237</v>
      </c>
      <c r="AN164" s="28">
        <v>9968536</v>
      </c>
      <c r="AO164" s="9">
        <v>69116723.419239998</v>
      </c>
      <c r="AP164" s="9">
        <v>57485649</v>
      </c>
      <c r="AQ164" s="28">
        <v>11631074</v>
      </c>
      <c r="AR164" s="9">
        <v>74054892.120399058</v>
      </c>
      <c r="AS164" s="9">
        <v>60055998</v>
      </c>
      <c r="AT164" s="28">
        <v>13998894</v>
      </c>
      <c r="AU164" s="9">
        <v>76234730.040079996</v>
      </c>
      <c r="AV164" s="9">
        <v>62875494</v>
      </c>
      <c r="AW164" s="9">
        <v>14217984</v>
      </c>
      <c r="AX164" s="9">
        <v>80260931.779566333</v>
      </c>
      <c r="AY164" s="9">
        <v>66088777</v>
      </c>
      <c r="AZ164" s="28">
        <v>14438034</v>
      </c>
      <c r="BA164" s="9">
        <v>81400953.564800009</v>
      </c>
      <c r="BB164" s="9">
        <v>67155786</v>
      </c>
      <c r="BC164" s="9">
        <v>14438034</v>
      </c>
      <c r="BD164" s="9">
        <v>80618068.692389995</v>
      </c>
      <c r="BE164" s="9">
        <v>66509907</v>
      </c>
      <c r="BF164" s="9">
        <v>14647494</v>
      </c>
      <c r="BG164" s="9">
        <v>84119411.739810005</v>
      </c>
      <c r="BH164" s="9">
        <v>69398514</v>
      </c>
      <c r="BI164" s="9">
        <v>15058494</v>
      </c>
      <c r="BJ164" s="9">
        <v>90646899.40639998</v>
      </c>
      <c r="BK164" s="9">
        <v>73037768</v>
      </c>
      <c r="BL164" s="9">
        <v>17609131</v>
      </c>
      <c r="BM164" s="9"/>
      <c r="BN164" s="9"/>
      <c r="BO164" s="9"/>
      <c r="BP164" s="9"/>
      <c r="BQ164" s="9"/>
      <c r="BR164" s="9"/>
      <c r="BS164" s="9"/>
      <c r="BT164" s="9"/>
      <c r="BU164" s="9"/>
    </row>
    <row r="165" spans="1:73">
      <c r="A165" s="6">
        <v>156</v>
      </c>
      <c r="B165" s="6" t="s">
        <v>1274</v>
      </c>
      <c r="C165" s="421">
        <v>17.5</v>
      </c>
      <c r="D165" s="9">
        <v>0</v>
      </c>
      <c r="E165" s="33">
        <v>0</v>
      </c>
      <c r="F165" s="9">
        <v>0</v>
      </c>
      <c r="G165" s="9">
        <v>0</v>
      </c>
      <c r="H165" s="9">
        <v>0</v>
      </c>
      <c r="I165" s="9">
        <v>0</v>
      </c>
      <c r="J165" s="9">
        <v>0</v>
      </c>
      <c r="K165" s="9">
        <v>0</v>
      </c>
      <c r="L165" s="9">
        <v>0</v>
      </c>
      <c r="M165" s="9">
        <v>0</v>
      </c>
      <c r="N165" s="9">
        <v>0</v>
      </c>
      <c r="O165" s="9">
        <v>0</v>
      </c>
      <c r="P165" s="9">
        <v>0</v>
      </c>
      <c r="Q165" s="9">
        <v>0</v>
      </c>
      <c r="R165" s="9">
        <v>0</v>
      </c>
      <c r="S165" s="9">
        <v>0</v>
      </c>
      <c r="T165" s="9">
        <v>0</v>
      </c>
      <c r="U165" s="9">
        <v>0</v>
      </c>
      <c r="V165" s="9">
        <v>0</v>
      </c>
      <c r="W165" s="9">
        <v>0</v>
      </c>
      <c r="X165" s="9">
        <v>0</v>
      </c>
      <c r="Y165" s="9">
        <v>0</v>
      </c>
      <c r="Z165" s="9">
        <v>0</v>
      </c>
      <c r="AA165" s="9">
        <v>0</v>
      </c>
      <c r="AB165" s="9">
        <v>0</v>
      </c>
      <c r="AC165" s="9">
        <v>0</v>
      </c>
      <c r="AD165" s="9">
        <v>0</v>
      </c>
      <c r="AE165" s="9">
        <v>0</v>
      </c>
      <c r="AF165" s="9">
        <v>0</v>
      </c>
      <c r="AG165" s="9">
        <v>0</v>
      </c>
      <c r="AH165" s="9">
        <v>0</v>
      </c>
      <c r="AI165" s="9">
        <v>0</v>
      </c>
      <c r="AJ165" s="9">
        <v>0</v>
      </c>
      <c r="AK165" s="28">
        <v>0</v>
      </c>
      <c r="AL165" s="9">
        <v>0</v>
      </c>
      <c r="AM165" s="9">
        <v>0</v>
      </c>
      <c r="AN165" s="28">
        <v>0</v>
      </c>
      <c r="AO165" s="9">
        <v>0</v>
      </c>
      <c r="AP165" s="9">
        <v>0</v>
      </c>
      <c r="AQ165" s="28">
        <v>0</v>
      </c>
      <c r="AR165" s="9">
        <v>0</v>
      </c>
      <c r="AS165" s="9">
        <v>0</v>
      </c>
      <c r="AT165" s="28">
        <v>0</v>
      </c>
      <c r="AU165" s="9">
        <v>0</v>
      </c>
      <c r="AV165" s="9">
        <v>0</v>
      </c>
      <c r="AW165" s="9">
        <v>0</v>
      </c>
      <c r="AX165" s="9">
        <v>0</v>
      </c>
      <c r="AY165" s="9">
        <v>0</v>
      </c>
      <c r="AZ165" s="28">
        <v>0</v>
      </c>
      <c r="BA165" s="9">
        <v>0</v>
      </c>
      <c r="BB165" s="9">
        <v>0</v>
      </c>
      <c r="BC165" s="9">
        <v>0</v>
      </c>
      <c r="BD165" s="9">
        <v>0</v>
      </c>
      <c r="BE165" s="9">
        <v>0</v>
      </c>
      <c r="BF165" s="9">
        <v>0</v>
      </c>
      <c r="BG165" s="9">
        <v>0</v>
      </c>
      <c r="BH165" s="9">
        <v>0</v>
      </c>
      <c r="BI165" s="9">
        <v>0</v>
      </c>
      <c r="BJ165" s="9">
        <v>0</v>
      </c>
      <c r="BK165" s="9">
        <v>0</v>
      </c>
      <c r="BL165" s="9">
        <v>0</v>
      </c>
      <c r="BM165" s="9"/>
      <c r="BN165" s="9"/>
      <c r="BO165" s="9"/>
      <c r="BP165" s="9"/>
      <c r="BQ165" s="9"/>
      <c r="BR165" s="9"/>
      <c r="BS165" s="9"/>
      <c r="BT165" s="9"/>
      <c r="BU165" s="9"/>
    </row>
    <row r="166" spans="1:73">
      <c r="A166" s="6">
        <v>157</v>
      </c>
      <c r="B166" s="6" t="s">
        <v>1275</v>
      </c>
      <c r="C166" s="421">
        <v>17.5</v>
      </c>
      <c r="D166" s="9">
        <v>5018892</v>
      </c>
      <c r="E166" s="33">
        <v>5683798</v>
      </c>
      <c r="F166" s="9">
        <v>493536.8</v>
      </c>
      <c r="G166" s="9">
        <v>5151111.5048699994</v>
      </c>
      <c r="H166" s="9">
        <v>5403675</v>
      </c>
      <c r="I166" s="9">
        <v>575118.80000000005</v>
      </c>
      <c r="J166" s="9">
        <v>5228858.1013507508</v>
      </c>
      <c r="K166" s="9">
        <v>5190002</v>
      </c>
      <c r="L166" s="9">
        <v>677097.8</v>
      </c>
      <c r="M166" s="9">
        <v>5555855.546620002</v>
      </c>
      <c r="N166" s="9">
        <v>5184708</v>
      </c>
      <c r="O166" s="9">
        <v>693055.8</v>
      </c>
      <c r="P166" s="9">
        <v>81450</v>
      </c>
      <c r="Q166" s="9">
        <v>5820338.6126000388</v>
      </c>
      <c r="R166" s="9">
        <v>5207737</v>
      </c>
      <c r="S166" s="9">
        <v>759016</v>
      </c>
      <c r="T166" s="9">
        <v>0</v>
      </c>
      <c r="U166" s="9">
        <v>5740716.07941732</v>
      </c>
      <c r="V166" s="9">
        <v>5163138</v>
      </c>
      <c r="W166" s="9">
        <v>714674</v>
      </c>
      <c r="X166" s="9">
        <v>3837</v>
      </c>
      <c r="Y166" s="9">
        <v>57830</v>
      </c>
      <c r="Z166" s="9">
        <v>5352912.2345500002</v>
      </c>
      <c r="AA166" s="9">
        <v>5178637</v>
      </c>
      <c r="AB166" s="9">
        <v>718511</v>
      </c>
      <c r="AC166" s="9">
        <v>5424170.2317799991</v>
      </c>
      <c r="AD166" s="9">
        <v>5128408</v>
      </c>
      <c r="AE166" s="9">
        <v>743071</v>
      </c>
      <c r="AF166" s="9">
        <v>5868235.8212800017</v>
      </c>
      <c r="AG166" s="9">
        <v>5381474</v>
      </c>
      <c r="AH166" s="9">
        <v>759321</v>
      </c>
      <c r="AI166" s="9">
        <v>5682114.4160699993</v>
      </c>
      <c r="AJ166" s="9">
        <v>5004725</v>
      </c>
      <c r="AK166" s="28">
        <v>841588</v>
      </c>
      <c r="AL166" s="9">
        <v>5601678.0140399989</v>
      </c>
      <c r="AM166" s="9">
        <v>4808245</v>
      </c>
      <c r="AN166" s="28">
        <v>857038</v>
      </c>
      <c r="AO166" s="9">
        <v>6043300.8275599992</v>
      </c>
      <c r="AP166" s="9">
        <v>5030628</v>
      </c>
      <c r="AQ166" s="28">
        <f>1012673+19818</f>
        <v>1032491</v>
      </c>
      <c r="AR166" s="9">
        <v>6203608.5789318336</v>
      </c>
      <c r="AS166" s="9">
        <v>5157876</v>
      </c>
      <c r="AT166" s="28">
        <v>1052081</v>
      </c>
      <c r="AU166" s="9">
        <v>6185737.5497599998</v>
      </c>
      <c r="AV166" s="9">
        <v>5103233</v>
      </c>
      <c r="AW166" s="9">
        <v>1082505</v>
      </c>
      <c r="AX166" s="9">
        <v>6701030.6023767004</v>
      </c>
      <c r="AY166" s="9">
        <v>5528351</v>
      </c>
      <c r="AZ166" s="28">
        <v>1174169</v>
      </c>
      <c r="BA166" s="9">
        <v>6274212.1128000012</v>
      </c>
      <c r="BB166" s="9">
        <v>5176225</v>
      </c>
      <c r="BC166" s="9">
        <v>1174169</v>
      </c>
      <c r="BD166" s="9">
        <v>6357796.1330000004</v>
      </c>
      <c r="BE166" s="9">
        <v>5245182</v>
      </c>
      <c r="BF166" s="9">
        <v>1191509</v>
      </c>
      <c r="BG166" s="9">
        <v>7110979.0267200004</v>
      </c>
      <c r="BH166" s="9">
        <v>5866558</v>
      </c>
      <c r="BI166" s="9">
        <v>1244421</v>
      </c>
      <c r="BJ166" s="9">
        <v>7355301.9672800004</v>
      </c>
      <c r="BK166" s="9">
        <v>6068124</v>
      </c>
      <c r="BL166" s="9">
        <v>1287178</v>
      </c>
      <c r="BM166" s="9"/>
      <c r="BN166" s="9"/>
      <c r="BO166" s="9"/>
      <c r="BP166" s="9"/>
      <c r="BQ166" s="9"/>
      <c r="BR166" s="9"/>
      <c r="BS166" s="9"/>
      <c r="BT166" s="9"/>
      <c r="BU166" s="9"/>
    </row>
    <row r="167" spans="1:73">
      <c r="A167" s="6">
        <v>158</v>
      </c>
      <c r="B167" s="6" t="s">
        <v>1276</v>
      </c>
      <c r="C167" s="421">
        <v>17.5</v>
      </c>
      <c r="D167" s="9">
        <v>11139291</v>
      </c>
      <c r="E167" s="33">
        <v>10499232</v>
      </c>
      <c r="F167" s="9">
        <v>1464107.2</v>
      </c>
      <c r="G167" s="9">
        <v>12115413.634199999</v>
      </c>
      <c r="H167" s="9">
        <v>10452829</v>
      </c>
      <c r="I167" s="9">
        <v>1818491.2</v>
      </c>
      <c r="J167" s="9">
        <v>12477893.258578453</v>
      </c>
      <c r="K167" s="9">
        <v>10490580</v>
      </c>
      <c r="L167" s="9">
        <v>2325579.2000000002</v>
      </c>
      <c r="M167" s="9">
        <v>13440913.22665</v>
      </c>
      <c r="N167" s="9">
        <v>10423513</v>
      </c>
      <c r="O167" s="9">
        <v>2700077</v>
      </c>
      <c r="P167" s="9">
        <v>317323</v>
      </c>
      <c r="Q167" s="9">
        <v>14231659.398570258</v>
      </c>
      <c r="R167" s="9">
        <v>10530521</v>
      </c>
      <c r="S167" s="9">
        <v>2957052</v>
      </c>
      <c r="T167" s="9">
        <v>744086</v>
      </c>
      <c r="U167" s="9">
        <v>13640184.029312642</v>
      </c>
      <c r="V167" s="9">
        <v>10374233</v>
      </c>
      <c r="W167" s="9">
        <v>3484917</v>
      </c>
      <c r="X167" s="9">
        <v>18709</v>
      </c>
      <c r="Y167" s="9">
        <v>237937</v>
      </c>
      <c r="Z167" s="9">
        <v>13593606.621599995</v>
      </c>
      <c r="AA167" s="9">
        <v>10469428</v>
      </c>
      <c r="AB167" s="9">
        <v>3503626</v>
      </c>
      <c r="AC167" s="9">
        <v>14276865.484880002</v>
      </c>
      <c r="AD167" s="9">
        <v>10931785</v>
      </c>
      <c r="AE167" s="9">
        <v>3693487.508446292</v>
      </c>
      <c r="AF167" s="9">
        <v>14181867.184600001</v>
      </c>
      <c r="AG167" s="9">
        <v>11325231</v>
      </c>
      <c r="AH167" s="9">
        <v>3731912.508446292</v>
      </c>
      <c r="AI167" s="9">
        <v>14701467.741599999</v>
      </c>
      <c r="AJ167" s="9">
        <v>11519536</v>
      </c>
      <c r="AK167" s="28">
        <v>3770462.508446292</v>
      </c>
      <c r="AL167" s="9">
        <v>15178691.897499997</v>
      </c>
      <c r="AM167" s="9">
        <v>11837909</v>
      </c>
      <c r="AN167" s="28">
        <v>3809412.508446292</v>
      </c>
      <c r="AO167" s="9">
        <v>14722352.576169997</v>
      </c>
      <c r="AP167" s="9">
        <v>11622810</v>
      </c>
      <c r="AQ167" s="28">
        <v>3895817.508446292</v>
      </c>
      <c r="AR167" s="9">
        <v>15312226.682937402</v>
      </c>
      <c r="AS167" s="9">
        <v>12240112</v>
      </c>
      <c r="AT167" s="28">
        <v>3943487.508446292</v>
      </c>
      <c r="AU167" s="9">
        <v>15912198.077959999</v>
      </c>
      <c r="AV167" s="9">
        <v>12532062</v>
      </c>
      <c r="AW167" s="9">
        <v>3991548</v>
      </c>
      <c r="AX167" s="9">
        <v>16632291.76270235</v>
      </c>
      <c r="AY167" s="9">
        <v>13448982</v>
      </c>
      <c r="AZ167" s="28">
        <v>4039908</v>
      </c>
      <c r="BA167" s="9">
        <v>16791308.800700001</v>
      </c>
      <c r="BB167" s="9">
        <v>13852830</v>
      </c>
      <c r="BC167" s="9">
        <v>4039908</v>
      </c>
      <c r="BD167" s="9">
        <v>16227167.91492</v>
      </c>
      <c r="BE167" s="9">
        <v>13387414</v>
      </c>
      <c r="BF167" s="9">
        <v>4085358</v>
      </c>
      <c r="BG167" s="9">
        <v>18465845.970000003</v>
      </c>
      <c r="BH167" s="9">
        <v>14142192</v>
      </c>
      <c r="BI167" s="9">
        <v>4323654</v>
      </c>
      <c r="BJ167" s="9">
        <v>20056951.579999998</v>
      </c>
      <c r="BK167" s="9">
        <v>15207996</v>
      </c>
      <c r="BL167" s="9">
        <v>4848956</v>
      </c>
      <c r="BM167" s="9"/>
      <c r="BN167" s="9"/>
      <c r="BO167" s="9"/>
      <c r="BP167" s="9"/>
      <c r="BQ167" s="9"/>
      <c r="BR167" s="9"/>
      <c r="BS167" s="9"/>
      <c r="BT167" s="9"/>
      <c r="BU167" s="9"/>
    </row>
    <row r="168" spans="1:73">
      <c r="A168" s="6">
        <v>159</v>
      </c>
      <c r="B168" s="6" t="s">
        <v>1277</v>
      </c>
      <c r="C168" s="421">
        <v>17.5</v>
      </c>
      <c r="D168" s="9">
        <v>22710932</v>
      </c>
      <c r="E168" s="33">
        <v>20812705</v>
      </c>
      <c r="F168" s="9">
        <v>3547400</v>
      </c>
      <c r="G168" s="9">
        <v>23361827.510000005</v>
      </c>
      <c r="H168" s="9">
        <v>21048279</v>
      </c>
      <c r="I168" s="9">
        <v>3906490</v>
      </c>
      <c r="J168" s="9">
        <v>23686877.90819297</v>
      </c>
      <c r="K168" s="9">
        <v>21094587</v>
      </c>
      <c r="L168" s="9">
        <v>4239607</v>
      </c>
      <c r="M168" s="9">
        <v>24733177.429999996</v>
      </c>
      <c r="N168" s="9">
        <v>21260686</v>
      </c>
      <c r="O168" s="9">
        <v>3963684</v>
      </c>
      <c r="P168" s="9">
        <v>465826</v>
      </c>
      <c r="Q168" s="9">
        <v>25548586.481975123</v>
      </c>
      <c r="R168" s="9">
        <v>21378942</v>
      </c>
      <c r="S168" s="9">
        <v>4340920</v>
      </c>
      <c r="T168" s="9">
        <v>0</v>
      </c>
      <c r="U168" s="9">
        <v>24685139.268599994</v>
      </c>
      <c r="V168" s="9">
        <v>21321759</v>
      </c>
      <c r="W168" s="9">
        <v>4087324</v>
      </c>
      <c r="X168" s="9">
        <v>21942</v>
      </c>
      <c r="Y168" s="9">
        <v>306429</v>
      </c>
      <c r="Z168" s="9">
        <v>24642877.109999999</v>
      </c>
      <c r="AA168" s="9">
        <v>21481517</v>
      </c>
      <c r="AB168" s="9">
        <v>4109266</v>
      </c>
      <c r="AC168" s="9">
        <v>25335232.990000002</v>
      </c>
      <c r="AD168" s="9">
        <v>21911262</v>
      </c>
      <c r="AE168" s="9">
        <v>4224986</v>
      </c>
      <c r="AF168" s="9">
        <v>24962248.150000006</v>
      </c>
      <c r="AG168" s="9">
        <v>22263076</v>
      </c>
      <c r="AH168" s="9">
        <v>4294961</v>
      </c>
      <c r="AI168" s="9">
        <v>24849640.570000004</v>
      </c>
      <c r="AJ168" s="9">
        <v>21747129</v>
      </c>
      <c r="AK168" s="28">
        <v>4363911</v>
      </c>
      <c r="AL168" s="9">
        <v>25612986.450000003</v>
      </c>
      <c r="AM168" s="9">
        <v>21804274</v>
      </c>
      <c r="AN168" s="28">
        <v>4434186</v>
      </c>
      <c r="AO168" s="9">
        <v>25829656.509999998</v>
      </c>
      <c r="AP168" s="9">
        <v>21477556</v>
      </c>
      <c r="AQ168" s="28">
        <v>4587691</v>
      </c>
      <c r="AR168" s="9">
        <v>26663231.188728545</v>
      </c>
      <c r="AS168" s="9">
        <v>22022317</v>
      </c>
      <c r="AT168" s="28">
        <v>4672411</v>
      </c>
      <c r="AU168" s="9">
        <v>27927235.790000003</v>
      </c>
      <c r="AV168" s="9">
        <v>22667571</v>
      </c>
      <c r="AW168" s="9">
        <v>5259665</v>
      </c>
      <c r="AX168" s="9">
        <v>29113308.339486767</v>
      </c>
      <c r="AY168" s="9">
        <v>23465469</v>
      </c>
      <c r="AZ168" s="28">
        <v>5669282</v>
      </c>
      <c r="BA168" s="9">
        <v>29237892.870000001</v>
      </c>
      <c r="BB168" s="9">
        <v>24121262</v>
      </c>
      <c r="BC168" s="9">
        <v>5669282</v>
      </c>
      <c r="BD168" s="9">
        <v>29129978.330000002</v>
      </c>
      <c r="BE168" s="9">
        <v>24032232</v>
      </c>
      <c r="BF168" s="9">
        <v>5750432</v>
      </c>
      <c r="BG168" s="9">
        <v>31528951.400000002</v>
      </c>
      <c r="BH168" s="9">
        <v>25041585</v>
      </c>
      <c r="BI168" s="9">
        <v>6487366</v>
      </c>
      <c r="BJ168" s="9">
        <v>33192700.990000002</v>
      </c>
      <c r="BK168" s="9">
        <v>26093332</v>
      </c>
      <c r="BL168" s="9">
        <v>7099369</v>
      </c>
      <c r="BM168" s="9"/>
      <c r="BN168" s="9"/>
      <c r="BO168" s="9"/>
      <c r="BP168" s="9"/>
      <c r="BQ168" s="9"/>
      <c r="BR168" s="9"/>
      <c r="BS168" s="9"/>
      <c r="BT168" s="9"/>
      <c r="BU168" s="9"/>
    </row>
    <row r="169" spans="1:73">
      <c r="A169" s="6">
        <v>160</v>
      </c>
      <c r="B169" s="6" t="s">
        <v>1278</v>
      </c>
      <c r="C169" s="421">
        <v>74.16</v>
      </c>
      <c r="D169" s="9">
        <v>134573109</v>
      </c>
      <c r="E169" s="33">
        <v>29664794</v>
      </c>
      <c r="F169" s="9">
        <v>108399118</v>
      </c>
      <c r="G169" s="9">
        <v>139116837.98003998</v>
      </c>
      <c r="H169" s="9">
        <v>31162657</v>
      </c>
      <c r="I169" s="9">
        <v>111660607</v>
      </c>
      <c r="J169" s="9">
        <v>147723629.79585069</v>
      </c>
      <c r="K169" s="9">
        <v>32819557</v>
      </c>
      <c r="L169" s="9">
        <v>117869547</v>
      </c>
      <c r="M169" s="9">
        <v>150534733.39768001</v>
      </c>
      <c r="N169" s="9">
        <v>34088424</v>
      </c>
      <c r="O169" s="9">
        <v>107274461</v>
      </c>
      <c r="P169" s="9">
        <v>12607274</v>
      </c>
      <c r="Q169" s="9">
        <v>154968734.65788475</v>
      </c>
      <c r="R169" s="9">
        <v>33789587</v>
      </c>
      <c r="S169" s="9">
        <v>117484100</v>
      </c>
      <c r="T169" s="9">
        <v>3695048</v>
      </c>
      <c r="U169" s="9">
        <v>151465731.89643282</v>
      </c>
      <c r="V169" s="9">
        <v>34730786</v>
      </c>
      <c r="W169" s="9">
        <v>114495103</v>
      </c>
      <c r="X169" s="9">
        <v>614660</v>
      </c>
      <c r="Y169" s="9">
        <v>6425960</v>
      </c>
      <c r="Z169" s="9">
        <v>157898864.58336002</v>
      </c>
      <c r="AA169" s="9">
        <v>36240147</v>
      </c>
      <c r="AB169" s="9">
        <v>121658718</v>
      </c>
      <c r="AC169" s="9">
        <v>163641193.22828004</v>
      </c>
      <c r="AD169" s="9">
        <v>37162840</v>
      </c>
      <c r="AE169" s="9">
        <v>126478353</v>
      </c>
      <c r="AF169" s="9">
        <v>168760616.72439998</v>
      </c>
      <c r="AG169" s="9">
        <v>38859325</v>
      </c>
      <c r="AH169" s="9">
        <f>129901292+25266</f>
        <v>129926558</v>
      </c>
      <c r="AI169" s="9">
        <v>176078571.80969998</v>
      </c>
      <c r="AJ169" s="9">
        <v>40949807</v>
      </c>
      <c r="AK169" s="28">
        <v>135128765</v>
      </c>
      <c r="AL169" s="9">
        <v>177537953.73000002</v>
      </c>
      <c r="AM169" s="9">
        <v>43089941</v>
      </c>
      <c r="AN169" s="28">
        <v>135511265</v>
      </c>
      <c r="AO169" s="9">
        <v>183238361.64999998</v>
      </c>
      <c r="AP169" s="9">
        <v>44649981</v>
      </c>
      <c r="AQ169" s="28">
        <v>138588381</v>
      </c>
      <c r="AR169" s="9">
        <v>189897176.96033403</v>
      </c>
      <c r="AS169" s="9">
        <v>45829544</v>
      </c>
      <c r="AT169" s="28">
        <v>144067633</v>
      </c>
      <c r="AU169" s="9">
        <v>198336328.19000003</v>
      </c>
      <c r="AV169" s="9">
        <v>47400845</v>
      </c>
      <c r="AW169" s="9">
        <v>150935483</v>
      </c>
      <c r="AX169" s="9">
        <v>212748263.5454053</v>
      </c>
      <c r="AY169" s="9">
        <v>49724317</v>
      </c>
      <c r="AZ169" s="28">
        <v>163023947</v>
      </c>
      <c r="BA169" s="9">
        <v>218744159.73000002</v>
      </c>
      <c r="BB169" s="9">
        <v>51808768</v>
      </c>
      <c r="BC169" s="9">
        <v>166954483</v>
      </c>
      <c r="BD169" s="9">
        <v>232660515.38</v>
      </c>
      <c r="BE169" s="9">
        <v>54112190</v>
      </c>
      <c r="BF169" s="9">
        <v>178553488</v>
      </c>
      <c r="BG169" s="9">
        <v>257876444.75999999</v>
      </c>
      <c r="BH169" s="9">
        <v>56906426</v>
      </c>
      <c r="BI169" s="9">
        <v>200970019</v>
      </c>
      <c r="BJ169" s="9">
        <v>288791629.52999997</v>
      </c>
      <c r="BK169" s="9">
        <v>60097975</v>
      </c>
      <c r="BL169" s="9">
        <v>229138873</v>
      </c>
      <c r="BM169" s="9"/>
      <c r="BN169" s="9"/>
      <c r="BO169" s="9"/>
      <c r="BP169" s="9"/>
      <c r="BQ169" s="9"/>
      <c r="BR169" s="9"/>
      <c r="BS169" s="9"/>
      <c r="BT169" s="9"/>
      <c r="BU169" s="9"/>
    </row>
    <row r="170" spans="1:73">
      <c r="A170" s="6">
        <v>161</v>
      </c>
      <c r="B170" s="6" t="s">
        <v>1279</v>
      </c>
      <c r="C170" s="421">
        <v>41.03</v>
      </c>
      <c r="D170" s="9">
        <v>22679461</v>
      </c>
      <c r="E170" s="33">
        <v>13063961</v>
      </c>
      <c r="F170" s="9">
        <v>9615500</v>
      </c>
      <c r="G170" s="9">
        <v>24089447.75</v>
      </c>
      <c r="H170" s="9">
        <v>13513577</v>
      </c>
      <c r="I170" s="9">
        <v>10575871</v>
      </c>
      <c r="J170" s="9">
        <v>25130130.610954065</v>
      </c>
      <c r="K170" s="9">
        <v>13594068</v>
      </c>
      <c r="L170" s="9">
        <v>11536063</v>
      </c>
      <c r="M170" s="9">
        <v>26252078.679999992</v>
      </c>
      <c r="N170" s="9">
        <v>13563370</v>
      </c>
      <c r="O170" s="9">
        <v>11354310</v>
      </c>
      <c r="P170" s="9">
        <v>1334399</v>
      </c>
      <c r="Q170" s="9">
        <v>27121644.13746221</v>
      </c>
      <c r="R170" s="9">
        <v>13598080</v>
      </c>
      <c r="S170" s="9">
        <v>12434935</v>
      </c>
      <c r="T170" s="9">
        <v>1088629</v>
      </c>
      <c r="U170" s="9">
        <v>26588449.146960001</v>
      </c>
      <c r="V170" s="9">
        <v>13600623</v>
      </c>
      <c r="W170" s="9">
        <v>12738623</v>
      </c>
      <c r="X170" s="9">
        <v>68387</v>
      </c>
      <c r="Y170" s="9">
        <v>790929</v>
      </c>
      <c r="Z170" s="9">
        <v>26899330.039999999</v>
      </c>
      <c r="AA170" s="9">
        <v>13801952</v>
      </c>
      <c r="AB170" s="9">
        <v>13097378</v>
      </c>
      <c r="AC170" s="9">
        <v>27321398.960000005</v>
      </c>
      <c r="AD170" s="9">
        <v>14243896</v>
      </c>
      <c r="AE170" s="9">
        <v>13211578</v>
      </c>
      <c r="AF170" s="9">
        <v>27755975.950000003</v>
      </c>
      <c r="AG170" s="9">
        <v>14764702</v>
      </c>
      <c r="AH170" s="9">
        <v>13282703</v>
      </c>
      <c r="AI170" s="9">
        <v>27236633.910000004</v>
      </c>
      <c r="AJ170" s="9">
        <v>14951306</v>
      </c>
      <c r="AK170" s="28">
        <v>13351728</v>
      </c>
      <c r="AL170" s="9">
        <v>27187438.540000007</v>
      </c>
      <c r="AM170" s="9">
        <v>15433886</v>
      </c>
      <c r="AN170" s="28">
        <v>13418728</v>
      </c>
      <c r="AO170" s="9">
        <v>27123791.77</v>
      </c>
      <c r="AP170" s="9">
        <v>15449969</v>
      </c>
      <c r="AQ170" s="28">
        <v>13564533</v>
      </c>
      <c r="AR170" s="9">
        <v>27107617.460779078</v>
      </c>
      <c r="AS170" s="9">
        <v>15438923</v>
      </c>
      <c r="AT170" s="28">
        <v>13642593</v>
      </c>
      <c r="AU170" s="9">
        <v>27633670.819999997</v>
      </c>
      <c r="AV170" s="9">
        <v>15760434</v>
      </c>
      <c r="AW170" s="9">
        <v>13719693</v>
      </c>
      <c r="AX170" s="9">
        <v>29028174.444039177</v>
      </c>
      <c r="AY170" s="9">
        <v>16193284</v>
      </c>
      <c r="AZ170" s="28">
        <v>13795983</v>
      </c>
      <c r="BA170" s="9">
        <v>29294399.16</v>
      </c>
      <c r="BB170" s="9">
        <v>16443714</v>
      </c>
      <c r="BC170" s="9">
        <v>13795983</v>
      </c>
      <c r="BD170" s="9">
        <v>28842661.469999999</v>
      </c>
      <c r="BE170" s="9">
        <v>16677575</v>
      </c>
      <c r="BF170" s="9">
        <v>13867413</v>
      </c>
      <c r="BG170" s="9">
        <v>30691074.190000001</v>
      </c>
      <c r="BH170" s="9">
        <v>17421395</v>
      </c>
      <c r="BI170" s="9">
        <v>14006073</v>
      </c>
      <c r="BJ170" s="9">
        <v>32627792.160000004</v>
      </c>
      <c r="BK170" s="9">
        <v>18168773</v>
      </c>
      <c r="BL170" s="9">
        <v>14459019</v>
      </c>
      <c r="BM170" s="9"/>
      <c r="BN170" s="9"/>
      <c r="BO170" s="9"/>
      <c r="BP170" s="9"/>
      <c r="BQ170" s="9"/>
      <c r="BR170" s="9"/>
      <c r="BS170" s="9"/>
      <c r="BT170" s="9"/>
      <c r="BU170" s="9"/>
    </row>
    <row r="171" spans="1:73">
      <c r="A171" s="6">
        <v>162</v>
      </c>
      <c r="B171" s="6" t="s">
        <v>1280</v>
      </c>
      <c r="C171" s="421">
        <v>35.72</v>
      </c>
      <c r="D171" s="9">
        <v>11716392</v>
      </c>
      <c r="E171" s="33">
        <v>8601526</v>
      </c>
      <c r="F171" s="9">
        <v>3708907</v>
      </c>
      <c r="G171" s="9">
        <v>12276374.15</v>
      </c>
      <c r="H171" s="9">
        <v>8871625</v>
      </c>
      <c r="I171" s="9">
        <v>3921700</v>
      </c>
      <c r="J171" s="9">
        <v>13121501.42336395</v>
      </c>
      <c r="K171" s="9">
        <v>8885020</v>
      </c>
      <c r="L171" s="9">
        <v>4314259</v>
      </c>
      <c r="M171" s="9">
        <v>13675383.389999999</v>
      </c>
      <c r="N171" s="9">
        <v>9084809</v>
      </c>
      <c r="O171" s="9">
        <v>4134848</v>
      </c>
      <c r="P171" s="9">
        <v>485942</v>
      </c>
      <c r="Q171" s="9">
        <v>13799998.378687082</v>
      </c>
      <c r="R171" s="9">
        <v>9022501</v>
      </c>
      <c r="S171" s="9">
        <v>4528374</v>
      </c>
      <c r="T171" s="9">
        <v>249123</v>
      </c>
      <c r="U171" s="9">
        <v>13414483.32636</v>
      </c>
      <c r="V171" s="9">
        <v>8836567</v>
      </c>
      <c r="W171" s="9">
        <v>4498396</v>
      </c>
      <c r="X171" s="9">
        <v>24149</v>
      </c>
      <c r="Y171" s="9">
        <v>295077</v>
      </c>
      <c r="Z171" s="9">
        <v>13457816.690000003</v>
      </c>
      <c r="AA171" s="9">
        <v>8981951</v>
      </c>
      <c r="AB171" s="9">
        <v>4522545</v>
      </c>
      <c r="AC171" s="9">
        <v>14298145.129999995</v>
      </c>
      <c r="AD171" s="9">
        <v>9188886</v>
      </c>
      <c r="AE171" s="9">
        <v>5219936.6884947494</v>
      </c>
      <c r="AF171" s="9">
        <v>14546535.939999999</v>
      </c>
      <c r="AG171" s="9">
        <v>9433283</v>
      </c>
      <c r="AH171" s="9">
        <v>5354695.9110325621</v>
      </c>
      <c r="AI171" s="9">
        <v>14945462.859999999</v>
      </c>
      <c r="AJ171" s="9">
        <v>9374156</v>
      </c>
      <c r="AK171" s="28">
        <v>5605871.9110325621</v>
      </c>
      <c r="AL171" s="9">
        <v>15341249.750000002</v>
      </c>
      <c r="AM171" s="9">
        <v>9506767</v>
      </c>
      <c r="AN171" s="28">
        <v>5834483</v>
      </c>
      <c r="AO171" s="9">
        <v>15538424.619999999</v>
      </c>
      <c r="AP171" s="9">
        <v>9187168</v>
      </c>
      <c r="AQ171" s="28">
        <v>6351257</v>
      </c>
      <c r="AR171" s="9">
        <v>16554528.397230644</v>
      </c>
      <c r="AS171" s="9">
        <v>9282023</v>
      </c>
      <c r="AT171" s="28">
        <v>7272505</v>
      </c>
      <c r="AU171" s="9">
        <v>17203377.800000001</v>
      </c>
      <c r="AV171" s="9">
        <v>9678671</v>
      </c>
      <c r="AW171" s="9">
        <v>7538072</v>
      </c>
      <c r="AX171" s="9">
        <v>17948505.284198701</v>
      </c>
      <c r="AY171" s="9">
        <v>10176765</v>
      </c>
      <c r="AZ171" s="28">
        <v>7771740</v>
      </c>
      <c r="BA171" s="9">
        <v>18301715.41</v>
      </c>
      <c r="BB171" s="9">
        <v>10527777</v>
      </c>
      <c r="BC171" s="9">
        <v>7773938</v>
      </c>
      <c r="BD171" s="9">
        <v>18408485.399999999</v>
      </c>
      <c r="BE171" s="9">
        <v>10908378</v>
      </c>
      <c r="BF171" s="9">
        <v>7823618</v>
      </c>
      <c r="BG171" s="9">
        <v>20056630.419999998</v>
      </c>
      <c r="BH171" s="9">
        <v>11334402</v>
      </c>
      <c r="BI171" s="9">
        <v>8722228</v>
      </c>
      <c r="BJ171" s="9">
        <v>20659694.909999996</v>
      </c>
      <c r="BK171" s="9">
        <v>11910986</v>
      </c>
      <c r="BL171" s="9">
        <v>8819128</v>
      </c>
      <c r="BM171" s="9"/>
      <c r="BN171" s="9"/>
      <c r="BO171" s="9"/>
      <c r="BP171" s="9"/>
      <c r="BQ171" s="9"/>
      <c r="BR171" s="9"/>
      <c r="BS171" s="9"/>
      <c r="BT171" s="9"/>
      <c r="BU171" s="9"/>
    </row>
    <row r="172" spans="1:73">
      <c r="A172" s="6">
        <v>163</v>
      </c>
      <c r="B172" s="6" t="s">
        <v>1281</v>
      </c>
      <c r="C172" s="421">
        <v>76.12</v>
      </c>
      <c r="D172" s="9">
        <v>129974090</v>
      </c>
      <c r="E172" s="33">
        <v>29799249</v>
      </c>
      <c r="F172" s="9">
        <v>100174841</v>
      </c>
      <c r="G172" s="9">
        <v>135144695.81999999</v>
      </c>
      <c r="H172" s="9">
        <v>31653289</v>
      </c>
      <c r="I172" s="9">
        <v>103751349</v>
      </c>
      <c r="J172" s="9">
        <v>144686831.68873173</v>
      </c>
      <c r="K172" s="9">
        <v>33225614</v>
      </c>
      <c r="L172" s="9">
        <v>111461218</v>
      </c>
      <c r="M172" s="9">
        <v>152073058.32999998</v>
      </c>
      <c r="N172" s="9">
        <v>34465340</v>
      </c>
      <c r="O172" s="9">
        <v>105239589</v>
      </c>
      <c r="P172" s="9">
        <v>12368129</v>
      </c>
      <c r="Q172" s="9">
        <v>155276011.32322299</v>
      </c>
      <c r="R172" s="9">
        <v>36436147</v>
      </c>
      <c r="S172" s="9">
        <v>115255564</v>
      </c>
      <c r="T172" s="9">
        <v>3584300</v>
      </c>
      <c r="U172" s="9">
        <v>152859294.83544001</v>
      </c>
      <c r="V172" s="9">
        <v>37505365</v>
      </c>
      <c r="W172" s="9">
        <v>113140585</v>
      </c>
      <c r="X172" s="9">
        <v>607389</v>
      </c>
      <c r="Y172" s="9">
        <v>5439440</v>
      </c>
      <c r="Z172" s="9">
        <v>156427178.34000003</v>
      </c>
      <c r="AA172" s="9">
        <v>38215898</v>
      </c>
      <c r="AB172" s="9">
        <v>118211280</v>
      </c>
      <c r="AC172" s="9">
        <v>165697522.48000002</v>
      </c>
      <c r="AD172" s="9">
        <v>39600037</v>
      </c>
      <c r="AE172" s="9">
        <v>126107787</v>
      </c>
      <c r="AF172" s="9">
        <v>173772185.64999998</v>
      </c>
      <c r="AG172" s="9">
        <v>40871553</v>
      </c>
      <c r="AH172" s="9">
        <f>132900633+471634</f>
        <v>133372267</v>
      </c>
      <c r="AI172" s="9">
        <v>181764114.65000001</v>
      </c>
      <c r="AJ172" s="9">
        <v>43133574</v>
      </c>
      <c r="AK172" s="28">
        <v>138630541</v>
      </c>
      <c r="AL172" s="9">
        <v>191949856.55000001</v>
      </c>
      <c r="AM172" s="9">
        <v>44587175</v>
      </c>
      <c r="AN172" s="28">
        <v>147362682</v>
      </c>
      <c r="AO172" s="9">
        <v>192172422.52999997</v>
      </c>
      <c r="AP172" s="9">
        <v>46018423</v>
      </c>
      <c r="AQ172" s="28">
        <v>151448721</v>
      </c>
      <c r="AR172" s="9">
        <v>201554686.66682765</v>
      </c>
      <c r="AS172" s="9">
        <v>48112261</v>
      </c>
      <c r="AT172" s="28">
        <f>157028802-3586376</f>
        <v>153442426</v>
      </c>
      <c r="AU172" s="9">
        <v>217113702.87999997</v>
      </c>
      <c r="AV172" s="9">
        <v>50739190</v>
      </c>
      <c r="AW172" s="9">
        <v>167691187.76438755</v>
      </c>
      <c r="AX172" s="9">
        <v>238010020.23206508</v>
      </c>
      <c r="AY172" s="9">
        <v>52164961</v>
      </c>
      <c r="AZ172" s="28">
        <v>185845059</v>
      </c>
      <c r="BA172" s="9">
        <v>252551048.48000005</v>
      </c>
      <c r="BB172" s="9">
        <v>53396054</v>
      </c>
      <c r="BC172" s="9">
        <v>199154994</v>
      </c>
      <c r="BD172" s="9">
        <v>268344427.44</v>
      </c>
      <c r="BE172" s="9">
        <v>55110068</v>
      </c>
      <c r="BF172" s="9">
        <v>213234359</v>
      </c>
      <c r="BG172" s="9">
        <v>299740597.38000005</v>
      </c>
      <c r="BH172" s="9">
        <v>57821484</v>
      </c>
      <c r="BI172" s="9">
        <v>241919113</v>
      </c>
      <c r="BJ172" s="9">
        <v>329943497.06999999</v>
      </c>
      <c r="BK172" s="9">
        <v>60851330</v>
      </c>
      <c r="BL172" s="9">
        <v>269092167</v>
      </c>
      <c r="BM172" s="9"/>
      <c r="BN172" s="9"/>
      <c r="BO172" s="9"/>
      <c r="BP172" s="9"/>
      <c r="BQ172" s="9"/>
      <c r="BR172" s="9"/>
      <c r="BS172" s="9"/>
      <c r="BT172" s="9"/>
      <c r="BU172" s="9"/>
    </row>
    <row r="173" spans="1:73">
      <c r="A173" s="6">
        <v>164</v>
      </c>
      <c r="B173" s="6" t="s">
        <v>1282</v>
      </c>
      <c r="C173" s="421">
        <v>17.5</v>
      </c>
      <c r="D173" s="9">
        <v>14215391</v>
      </c>
      <c r="E173" s="33">
        <v>13251512</v>
      </c>
      <c r="F173" s="9">
        <v>1760537.6000000001</v>
      </c>
      <c r="G173" s="9">
        <v>15771023.292079998</v>
      </c>
      <c r="H173" s="9">
        <v>13495114</v>
      </c>
      <c r="I173" s="9">
        <v>2275909</v>
      </c>
      <c r="J173" s="9">
        <v>17356642.058858942</v>
      </c>
      <c r="K173" s="9">
        <v>13944761</v>
      </c>
      <c r="L173" s="9">
        <v>3411881</v>
      </c>
      <c r="M173" s="9">
        <v>18585463.714159999</v>
      </c>
      <c r="N173" s="9">
        <v>14489660</v>
      </c>
      <c r="O173" s="9">
        <v>3665072</v>
      </c>
      <c r="P173" s="9">
        <v>430732</v>
      </c>
      <c r="Q173" s="9">
        <v>19408007.987414353</v>
      </c>
      <c r="R173" s="9">
        <v>16010874</v>
      </c>
      <c r="S173" s="9">
        <v>4013888</v>
      </c>
      <c r="T173" s="9">
        <v>0</v>
      </c>
      <c r="U173" s="9">
        <v>19103918.4621954</v>
      </c>
      <c r="V173" s="9">
        <v>16284477</v>
      </c>
      <c r="W173" s="9">
        <v>3779396</v>
      </c>
      <c r="X173" s="9">
        <v>20290</v>
      </c>
      <c r="Y173" s="9">
        <v>270977</v>
      </c>
      <c r="Z173" s="9">
        <v>19086223.734719999</v>
      </c>
      <c r="AA173" s="9">
        <v>16630403</v>
      </c>
      <c r="AB173" s="9">
        <v>3799686</v>
      </c>
      <c r="AC173" s="9">
        <v>19513606.067749999</v>
      </c>
      <c r="AD173" s="9">
        <v>17151894</v>
      </c>
      <c r="AE173" s="9">
        <v>3887366</v>
      </c>
      <c r="AF173" s="9">
        <v>19765823.121270001</v>
      </c>
      <c r="AG173" s="9">
        <v>17368045</v>
      </c>
      <c r="AH173" s="9">
        <f>3941766+42110</f>
        <v>3983876</v>
      </c>
      <c r="AI173" s="9">
        <v>19490234.623029999</v>
      </c>
      <c r="AJ173" s="9">
        <v>17091539</v>
      </c>
      <c r="AK173" s="28">
        <v>4036801</v>
      </c>
      <c r="AL173" s="9">
        <v>19743094.595660001</v>
      </c>
      <c r="AM173" s="9">
        <v>17067615</v>
      </c>
      <c r="AN173" s="28">
        <v>4089401</v>
      </c>
      <c r="AO173" s="9">
        <v>20021615.672320001</v>
      </c>
      <c r="AP173" s="9">
        <v>16786039</v>
      </c>
      <c r="AQ173" s="28">
        <v>4206331</v>
      </c>
      <c r="AR173" s="9">
        <v>21073446.154188275</v>
      </c>
      <c r="AS173" s="9">
        <v>17422551</v>
      </c>
      <c r="AT173" s="28">
        <v>4272061</v>
      </c>
      <c r="AU173" s="9">
        <v>22155796.556120005</v>
      </c>
      <c r="AV173" s="9">
        <v>18211808</v>
      </c>
      <c r="AW173" s="9">
        <v>4338661</v>
      </c>
      <c r="AX173" s="9">
        <v>23010166.94368434</v>
      </c>
      <c r="AY173" s="9">
        <v>18762401</v>
      </c>
      <c r="AZ173" s="28">
        <v>4404631</v>
      </c>
      <c r="BA173" s="9">
        <v>23513323.468790006</v>
      </c>
      <c r="BB173" s="9">
        <v>19317442</v>
      </c>
      <c r="BC173" s="9">
        <v>4404631</v>
      </c>
      <c r="BD173" s="9">
        <v>23928671.94923</v>
      </c>
      <c r="BE173" s="9">
        <v>19741154</v>
      </c>
      <c r="BF173" s="9">
        <v>4469881</v>
      </c>
      <c r="BG173" s="9">
        <v>25488528.222080003</v>
      </c>
      <c r="BH173" s="9">
        <v>20492517</v>
      </c>
      <c r="BI173" s="9">
        <v>4996011</v>
      </c>
      <c r="BJ173" s="9">
        <v>27452371.780520003</v>
      </c>
      <c r="BK173" s="9">
        <v>21507362</v>
      </c>
      <c r="BL173" s="9">
        <v>5945010</v>
      </c>
      <c r="BM173" s="9"/>
      <c r="BN173" s="9"/>
      <c r="BO173" s="9"/>
      <c r="BP173" s="9"/>
      <c r="BQ173" s="9"/>
      <c r="BR173" s="9"/>
      <c r="BS173" s="9"/>
      <c r="BT173" s="9"/>
      <c r="BU173" s="9"/>
    </row>
    <row r="174" spans="1:73">
      <c r="A174" s="6">
        <v>165</v>
      </c>
      <c r="B174" s="6" t="s">
        <v>1283</v>
      </c>
      <c r="C174" s="421">
        <v>44.25</v>
      </c>
      <c r="D174" s="9">
        <v>54185598</v>
      </c>
      <c r="E174" s="33">
        <v>21722732</v>
      </c>
      <c r="F174" s="9">
        <v>32462866</v>
      </c>
      <c r="G174" s="9">
        <v>58405248.022889994</v>
      </c>
      <c r="H174" s="9">
        <v>23530624</v>
      </c>
      <c r="I174" s="9">
        <v>34874624</v>
      </c>
      <c r="J174" s="9">
        <v>62297084.542392798</v>
      </c>
      <c r="K174" s="9">
        <v>24505538</v>
      </c>
      <c r="L174" s="9">
        <v>37791547</v>
      </c>
      <c r="M174" s="9">
        <v>66974103.664699994</v>
      </c>
      <c r="N174" s="9">
        <v>25736533</v>
      </c>
      <c r="O174" s="9">
        <v>36900852</v>
      </c>
      <c r="P174" s="9">
        <v>4336719</v>
      </c>
      <c r="Q174" s="9">
        <v>70256109.620756119</v>
      </c>
      <c r="R174" s="9">
        <v>28341018</v>
      </c>
      <c r="S174" s="9">
        <v>40412820</v>
      </c>
      <c r="T174" s="9">
        <v>1502272</v>
      </c>
      <c r="U174" s="9">
        <v>69445049.599893317</v>
      </c>
      <c r="V174" s="9">
        <v>29256886</v>
      </c>
      <c r="W174" s="9">
        <v>39466415</v>
      </c>
      <c r="X174" s="9">
        <v>211873</v>
      </c>
      <c r="Y174" s="9">
        <v>2408479</v>
      </c>
      <c r="Z174" s="9">
        <v>74002031.259239987</v>
      </c>
      <c r="AA174" s="9">
        <v>29910919</v>
      </c>
      <c r="AB174" s="9">
        <v>44091112</v>
      </c>
      <c r="AC174" s="9">
        <v>78173570.110089988</v>
      </c>
      <c r="AD174" s="9">
        <v>31406125</v>
      </c>
      <c r="AE174" s="9">
        <v>46767445</v>
      </c>
      <c r="AF174" s="9">
        <v>79552182.518289998</v>
      </c>
      <c r="AG174" s="9">
        <v>32589651</v>
      </c>
      <c r="AH174" s="9">
        <f>46962532+101064</f>
        <v>47063596</v>
      </c>
      <c r="AI174" s="9">
        <v>80737953.747600004</v>
      </c>
      <c r="AJ174" s="9">
        <v>34410984</v>
      </c>
      <c r="AK174" s="28">
        <v>47246321</v>
      </c>
      <c r="AL174" s="9">
        <v>84059175.637440011</v>
      </c>
      <c r="AM174" s="9">
        <v>35620417</v>
      </c>
      <c r="AN174" s="28">
        <v>48438759</v>
      </c>
      <c r="AO174" s="9">
        <v>84148786.035580009</v>
      </c>
      <c r="AP174" s="9">
        <v>37450081</v>
      </c>
      <c r="AQ174" s="28">
        <v>48846419</v>
      </c>
      <c r="AR174" s="9">
        <v>87320752.243724763</v>
      </c>
      <c r="AS174" s="9">
        <v>38872647</v>
      </c>
      <c r="AT174" s="28">
        <v>49072289</v>
      </c>
      <c r="AU174" s="9">
        <v>90460805.376449972</v>
      </c>
      <c r="AV174" s="9">
        <v>41267281</v>
      </c>
      <c r="AW174" s="9">
        <v>49297769</v>
      </c>
      <c r="AX174" s="9">
        <v>95060966.502866924</v>
      </c>
      <c r="AY174" s="9">
        <v>43854744</v>
      </c>
      <c r="AZ174" s="28">
        <v>51206223</v>
      </c>
      <c r="BA174" s="9">
        <v>94879629.913439989</v>
      </c>
      <c r="BB174" s="9">
        <v>45560692</v>
      </c>
      <c r="BC174" s="9">
        <v>51206223</v>
      </c>
      <c r="BD174" s="9">
        <v>97816216.363690004</v>
      </c>
      <c r="BE174" s="9">
        <v>47782256</v>
      </c>
      <c r="BF174" s="9">
        <v>51413853</v>
      </c>
      <c r="BG174" s="9">
        <v>105452144.24998</v>
      </c>
      <c r="BH174" s="9">
        <v>51377517</v>
      </c>
      <c r="BI174" s="9">
        <v>54074627</v>
      </c>
      <c r="BJ174" s="9">
        <v>117616659.13781999</v>
      </c>
      <c r="BK174" s="9">
        <v>54419682</v>
      </c>
      <c r="BL174" s="9">
        <v>63196977</v>
      </c>
      <c r="BM174" s="9"/>
      <c r="BN174" s="9"/>
      <c r="BO174" s="9"/>
      <c r="BP174" s="9"/>
      <c r="BQ174" s="9"/>
      <c r="BR174" s="9"/>
      <c r="BS174" s="9"/>
      <c r="BT174" s="9"/>
      <c r="BU174" s="9"/>
    </row>
    <row r="175" spans="1:73">
      <c r="A175" s="6">
        <v>166</v>
      </c>
      <c r="B175" s="6" t="s">
        <v>1284</v>
      </c>
      <c r="C175" s="421">
        <v>17.5</v>
      </c>
      <c r="D175" s="9">
        <v>0</v>
      </c>
      <c r="E175" s="33">
        <v>0</v>
      </c>
      <c r="F175" s="9">
        <v>0</v>
      </c>
      <c r="G175" s="9">
        <v>0</v>
      </c>
      <c r="H175" s="9">
        <v>0</v>
      </c>
      <c r="I175" s="9">
        <v>0</v>
      </c>
      <c r="J175" s="9">
        <v>0</v>
      </c>
      <c r="K175" s="9">
        <v>0</v>
      </c>
      <c r="L175" s="9">
        <v>0</v>
      </c>
      <c r="M175" s="9">
        <v>0</v>
      </c>
      <c r="N175" s="9">
        <v>0</v>
      </c>
      <c r="O175" s="9">
        <v>0</v>
      </c>
      <c r="P175" s="9">
        <v>0</v>
      </c>
      <c r="Q175" s="9">
        <v>0</v>
      </c>
      <c r="R175" s="9">
        <v>0</v>
      </c>
      <c r="S175" s="9">
        <v>0</v>
      </c>
      <c r="T175" s="9">
        <v>0</v>
      </c>
      <c r="U175" s="9">
        <v>0</v>
      </c>
      <c r="V175" s="9">
        <v>0</v>
      </c>
      <c r="W175" s="9">
        <v>0</v>
      </c>
      <c r="X175" s="9">
        <v>0</v>
      </c>
      <c r="Y175" s="9">
        <v>0</v>
      </c>
      <c r="Z175" s="9">
        <v>0</v>
      </c>
      <c r="AA175" s="9">
        <v>0</v>
      </c>
      <c r="AB175" s="9">
        <v>0</v>
      </c>
      <c r="AC175" s="9">
        <v>0</v>
      </c>
      <c r="AD175" s="9">
        <v>0</v>
      </c>
      <c r="AE175" s="9">
        <v>0</v>
      </c>
      <c r="AF175" s="9">
        <v>0</v>
      </c>
      <c r="AG175" s="9">
        <v>0</v>
      </c>
      <c r="AH175" s="9">
        <v>0</v>
      </c>
      <c r="AI175" s="9">
        <v>0</v>
      </c>
      <c r="AJ175" s="9">
        <v>0</v>
      </c>
      <c r="AK175" s="28">
        <v>0</v>
      </c>
      <c r="AL175" s="9">
        <v>0</v>
      </c>
      <c r="AM175" s="9">
        <v>0</v>
      </c>
      <c r="AN175" s="28">
        <v>0</v>
      </c>
      <c r="AO175" s="9">
        <v>0</v>
      </c>
      <c r="AP175" s="9">
        <v>0</v>
      </c>
      <c r="AQ175" s="28">
        <v>0</v>
      </c>
      <c r="AR175" s="9">
        <v>0</v>
      </c>
      <c r="AS175" s="9">
        <v>0</v>
      </c>
      <c r="AT175" s="28">
        <v>0</v>
      </c>
      <c r="AU175" s="9">
        <v>0</v>
      </c>
      <c r="AV175" s="9">
        <v>0</v>
      </c>
      <c r="AW175" s="9">
        <v>0</v>
      </c>
      <c r="AX175" s="9">
        <v>0</v>
      </c>
      <c r="AY175" s="9">
        <v>0</v>
      </c>
      <c r="AZ175" s="28">
        <v>0</v>
      </c>
      <c r="BA175" s="9">
        <v>0</v>
      </c>
      <c r="BB175" s="9">
        <v>0</v>
      </c>
      <c r="BC175" s="9">
        <v>0</v>
      </c>
      <c r="BD175" s="9">
        <v>0</v>
      </c>
      <c r="BE175" s="9">
        <v>0</v>
      </c>
      <c r="BF175" s="9">
        <v>0</v>
      </c>
      <c r="BG175" s="9">
        <v>0</v>
      </c>
      <c r="BH175" s="9">
        <v>0</v>
      </c>
      <c r="BI175" s="9">
        <v>0</v>
      </c>
      <c r="BJ175" s="9">
        <v>0</v>
      </c>
      <c r="BK175" s="9">
        <v>0</v>
      </c>
      <c r="BL175" s="9">
        <v>0</v>
      </c>
      <c r="BM175" s="9"/>
      <c r="BN175" s="9"/>
      <c r="BO175" s="9"/>
      <c r="BP175" s="9"/>
      <c r="BQ175" s="9"/>
      <c r="BR175" s="9"/>
      <c r="BS175" s="9"/>
      <c r="BT175" s="9"/>
      <c r="BU175" s="9"/>
    </row>
    <row r="176" spans="1:73">
      <c r="A176" s="6">
        <v>167</v>
      </c>
      <c r="B176" s="6" t="s">
        <v>1285</v>
      </c>
      <c r="C176" s="421">
        <v>22.6</v>
      </c>
      <c r="D176" s="9">
        <v>34070637</v>
      </c>
      <c r="E176" s="33">
        <v>22637801</v>
      </c>
      <c r="F176" s="9">
        <v>11432836</v>
      </c>
      <c r="G176" s="9">
        <v>37066064.086240001</v>
      </c>
      <c r="H176" s="9">
        <v>23186796</v>
      </c>
      <c r="I176" s="9">
        <v>13879268</v>
      </c>
      <c r="J176" s="9">
        <v>38933172.153506003</v>
      </c>
      <c r="K176" s="9">
        <v>23627132</v>
      </c>
      <c r="L176" s="9">
        <v>15306040</v>
      </c>
      <c r="M176" s="9">
        <v>41292178.534949996</v>
      </c>
      <c r="N176" s="9">
        <v>24028768</v>
      </c>
      <c r="O176" s="9">
        <v>15447917</v>
      </c>
      <c r="P176" s="9">
        <v>1815494</v>
      </c>
      <c r="Q176" s="9">
        <v>43173220.767601192</v>
      </c>
      <c r="R176" s="9">
        <v>24399237</v>
      </c>
      <c r="S176" s="9">
        <v>16918143</v>
      </c>
      <c r="T176" s="9">
        <v>1855841</v>
      </c>
      <c r="U176" s="9">
        <v>42531299.518475883</v>
      </c>
      <c r="V176" s="9">
        <v>24405336</v>
      </c>
      <c r="W176" s="9">
        <v>17778173</v>
      </c>
      <c r="X176" s="9">
        <v>95441</v>
      </c>
      <c r="Y176" s="9">
        <v>1022220</v>
      </c>
      <c r="Z176" s="9">
        <v>42752257.461410008</v>
      </c>
      <c r="AA176" s="9">
        <v>25008185</v>
      </c>
      <c r="AB176" s="9">
        <v>17873614</v>
      </c>
      <c r="AC176" s="9">
        <v>43053921.076990001</v>
      </c>
      <c r="AD176" s="9">
        <v>25772728</v>
      </c>
      <c r="AE176" s="9">
        <v>18060214</v>
      </c>
      <c r="AF176" s="9">
        <v>43496373.837260008</v>
      </c>
      <c r="AG176" s="9">
        <v>26613090</v>
      </c>
      <c r="AH176" s="9">
        <v>18175039</v>
      </c>
      <c r="AI176" s="9">
        <v>41985292.046640001</v>
      </c>
      <c r="AJ176" s="9">
        <v>26566576</v>
      </c>
      <c r="AK176" s="28">
        <v>18283964</v>
      </c>
      <c r="AL176" s="9">
        <v>40931631.918399997</v>
      </c>
      <c r="AM176" s="9">
        <v>26810067</v>
      </c>
      <c r="AN176" s="28">
        <v>18388239</v>
      </c>
      <c r="AO176" s="9">
        <v>40048769.469539993</v>
      </c>
      <c r="AP176" s="9">
        <v>26489859</v>
      </c>
      <c r="AQ176" s="28">
        <v>18610109</v>
      </c>
      <c r="AR176" s="9">
        <v>40453621.247440323</v>
      </c>
      <c r="AS176" s="9">
        <v>27314680</v>
      </c>
      <c r="AT176" s="28">
        <v>18728069</v>
      </c>
      <c r="AU176" s="9">
        <v>41538657.52544</v>
      </c>
      <c r="AV176" s="9">
        <v>27745189</v>
      </c>
      <c r="AW176" s="9">
        <v>18846329</v>
      </c>
      <c r="AX176" s="9">
        <v>42363212.754154898</v>
      </c>
      <c r="AY176" s="9">
        <v>28659688</v>
      </c>
      <c r="AZ176" s="28">
        <v>18962339</v>
      </c>
      <c r="BA176" s="9">
        <v>41671720.92024</v>
      </c>
      <c r="BB176" s="9">
        <v>29709526</v>
      </c>
      <c r="BC176" s="9">
        <v>18962339</v>
      </c>
      <c r="BD176" s="9">
        <v>41585191.998259999</v>
      </c>
      <c r="BE176" s="9">
        <v>29922569</v>
      </c>
      <c r="BF176" s="9">
        <v>19070309</v>
      </c>
      <c r="BG176" s="9">
        <v>43764978.669519998</v>
      </c>
      <c r="BH176" s="9">
        <v>31365406</v>
      </c>
      <c r="BI176" s="9">
        <v>19282049</v>
      </c>
      <c r="BJ176" s="9">
        <v>46129087.005899996</v>
      </c>
      <c r="BK176" s="9">
        <v>32585038</v>
      </c>
      <c r="BL176" s="9">
        <v>19491149</v>
      </c>
      <c r="BM176" s="9"/>
      <c r="BN176" s="9"/>
      <c r="BO176" s="9"/>
      <c r="BP176" s="9"/>
      <c r="BQ176" s="9"/>
      <c r="BR176" s="9"/>
      <c r="BS176" s="9"/>
      <c r="BT176" s="9"/>
      <c r="BU176" s="9"/>
    </row>
    <row r="177" spans="1:73">
      <c r="A177" s="6">
        <v>168</v>
      </c>
      <c r="B177" s="6" t="s">
        <v>1286</v>
      </c>
      <c r="C177" s="421">
        <v>17.5</v>
      </c>
      <c r="D177" s="9">
        <v>22442162</v>
      </c>
      <c r="E177" s="33">
        <v>18815418</v>
      </c>
      <c r="F177" s="9">
        <v>3626744</v>
      </c>
      <c r="G177" s="9">
        <v>23820222.600000001</v>
      </c>
      <c r="H177" s="9">
        <v>19829287</v>
      </c>
      <c r="I177" s="9">
        <v>3990936</v>
      </c>
      <c r="J177" s="9">
        <v>24883005.764629867</v>
      </c>
      <c r="K177" s="9">
        <v>20408599</v>
      </c>
      <c r="L177" s="9">
        <v>4474407</v>
      </c>
      <c r="M177" s="9">
        <v>26084987.150000002</v>
      </c>
      <c r="N177" s="9">
        <v>21181516</v>
      </c>
      <c r="O177" s="9">
        <v>4387801</v>
      </c>
      <c r="P177" s="9">
        <v>515670</v>
      </c>
      <c r="Q177" s="9">
        <v>27241689.681577034</v>
      </c>
      <c r="R177" s="9">
        <v>22473658</v>
      </c>
      <c r="S177" s="9">
        <v>4805402</v>
      </c>
      <c r="T177" s="9">
        <v>0</v>
      </c>
      <c r="U177" s="9">
        <v>26691563.970600002</v>
      </c>
      <c r="V177" s="9">
        <v>22521401</v>
      </c>
      <c r="W177" s="9">
        <v>4524671</v>
      </c>
      <c r="X177" s="9">
        <v>24290</v>
      </c>
      <c r="Y177" s="9">
        <v>337066</v>
      </c>
      <c r="Z177" s="9">
        <v>27367247.329999998</v>
      </c>
      <c r="AA177" s="9">
        <v>23246510</v>
      </c>
      <c r="AB177" s="9">
        <v>4548961</v>
      </c>
      <c r="AC177" s="9">
        <v>28162380.189999998</v>
      </c>
      <c r="AD177" s="9">
        <v>24103028</v>
      </c>
      <c r="AE177" s="9">
        <v>4677641</v>
      </c>
      <c r="AF177" s="9">
        <v>29501925.989999995</v>
      </c>
      <c r="AG177" s="9">
        <v>24213134</v>
      </c>
      <c r="AH177" s="9">
        <f>5288792+8422</f>
        <v>5297214</v>
      </c>
      <c r="AI177" s="9">
        <v>30687140.549999997</v>
      </c>
      <c r="AJ177" s="9">
        <v>25404870</v>
      </c>
      <c r="AK177" s="28">
        <v>5381364</v>
      </c>
      <c r="AL177" s="9">
        <v>30592758.849999998</v>
      </c>
      <c r="AM177" s="9">
        <v>25878831</v>
      </c>
      <c r="AN177" s="28">
        <v>5464064</v>
      </c>
      <c r="AO177" s="9">
        <v>30713624.370000001</v>
      </c>
      <c r="AP177" s="9">
        <v>25564980</v>
      </c>
      <c r="AQ177" s="28">
        <v>5644629</v>
      </c>
      <c r="AR177" s="9">
        <v>30825074.044045713</v>
      </c>
      <c r="AS177" s="9">
        <v>25552661</v>
      </c>
      <c r="AT177" s="28">
        <v>5741619</v>
      </c>
      <c r="AU177" s="9">
        <v>31517682.5</v>
      </c>
      <c r="AV177" s="9">
        <v>26002088</v>
      </c>
      <c r="AW177" s="9">
        <v>5837259</v>
      </c>
      <c r="AX177" s="9">
        <v>32505638.687593605</v>
      </c>
      <c r="AY177" s="9">
        <v>26599814</v>
      </c>
      <c r="AZ177" s="28">
        <v>5952147</v>
      </c>
      <c r="BA177" s="9">
        <v>31915735.240000002</v>
      </c>
      <c r="BB177" s="9">
        <v>26330482</v>
      </c>
      <c r="BC177" s="9">
        <v>5952147</v>
      </c>
      <c r="BD177" s="9">
        <v>30235711.089999996</v>
      </c>
      <c r="BE177" s="9">
        <v>24944462</v>
      </c>
      <c r="BF177" s="9">
        <v>6035307</v>
      </c>
      <c r="BG177" s="9">
        <v>30912361.050000004</v>
      </c>
      <c r="BH177" s="9">
        <v>25502698</v>
      </c>
      <c r="BI177" s="9">
        <v>6194847</v>
      </c>
      <c r="BJ177" s="9">
        <v>32681938.290000007</v>
      </c>
      <c r="BK177" s="9">
        <v>26962599</v>
      </c>
      <c r="BL177" s="9">
        <v>6354327</v>
      </c>
      <c r="BM177" s="9"/>
      <c r="BN177" s="9"/>
      <c r="BO177" s="9"/>
      <c r="BP177" s="9"/>
      <c r="BQ177" s="9"/>
      <c r="BR177" s="9"/>
      <c r="BS177" s="9"/>
      <c r="BT177" s="9"/>
      <c r="BU177" s="9"/>
    </row>
    <row r="178" spans="1:73">
      <c r="A178" s="6">
        <v>169</v>
      </c>
      <c r="B178" s="6" t="s">
        <v>1287</v>
      </c>
      <c r="C178" s="421">
        <v>17.5</v>
      </c>
      <c r="D178" s="9">
        <v>2842071</v>
      </c>
      <c r="E178" s="33">
        <v>3116566</v>
      </c>
      <c r="F178" s="9">
        <v>338668.4</v>
      </c>
      <c r="G178" s="9">
        <v>2997167.17</v>
      </c>
      <c r="H178" s="9">
        <v>2911376</v>
      </c>
      <c r="I178" s="9">
        <v>375835.4</v>
      </c>
      <c r="J178" s="9">
        <v>3025165.423394056</v>
      </c>
      <c r="K178" s="9">
        <v>2851568</v>
      </c>
      <c r="L178" s="9">
        <v>421906.4</v>
      </c>
      <c r="M178" s="9">
        <v>3162483.16</v>
      </c>
      <c r="N178" s="9">
        <v>2895625</v>
      </c>
      <c r="O178" s="9">
        <v>416376.4</v>
      </c>
      <c r="P178" s="9">
        <v>48934</v>
      </c>
      <c r="Q178" s="9">
        <v>3266374.1133779911</v>
      </c>
      <c r="R178" s="9">
        <v>3033215</v>
      </c>
      <c r="S178" s="9">
        <v>456004</v>
      </c>
      <c r="T178" s="9">
        <v>0</v>
      </c>
      <c r="U178" s="9">
        <v>3153015.2271000003</v>
      </c>
      <c r="V178" s="9">
        <v>2931584</v>
      </c>
      <c r="W178" s="9">
        <v>429364</v>
      </c>
      <c r="X178" s="9">
        <v>2305</v>
      </c>
      <c r="Y178" s="9">
        <v>34185</v>
      </c>
      <c r="Z178" s="9">
        <v>3339019.88</v>
      </c>
      <c r="AA178" s="9">
        <v>3088812</v>
      </c>
      <c r="AB178" s="9">
        <v>431669</v>
      </c>
      <c r="AC178" s="9">
        <v>3695947.6200000006</v>
      </c>
      <c r="AD178" s="9">
        <v>3317639</v>
      </c>
      <c r="AE178" s="9">
        <v>449149</v>
      </c>
      <c r="AF178" s="9">
        <v>3724025.8699999996</v>
      </c>
      <c r="AG178" s="9">
        <v>3296965</v>
      </c>
      <c r="AH178" s="9">
        <v>459899</v>
      </c>
      <c r="AI178" s="9">
        <v>3955020.5</v>
      </c>
      <c r="AJ178" s="9">
        <v>3359179</v>
      </c>
      <c r="AK178" s="28">
        <v>595842</v>
      </c>
      <c r="AL178" s="9">
        <v>4014302.5699999994</v>
      </c>
      <c r="AM178" s="9">
        <v>3344045</v>
      </c>
      <c r="AN178" s="28">
        <v>670258</v>
      </c>
      <c r="AO178" s="9">
        <v>4098862.3900000006</v>
      </c>
      <c r="AP178" s="9">
        <v>3406086</v>
      </c>
      <c r="AQ178" s="28">
        <v>694733</v>
      </c>
      <c r="AR178" s="9">
        <v>4343663.5149533721</v>
      </c>
      <c r="AS178" s="9">
        <v>3510380</v>
      </c>
      <c r="AT178" s="28">
        <v>833284</v>
      </c>
      <c r="AU178" s="9">
        <v>4470718.4500000011</v>
      </c>
      <c r="AV178" s="9">
        <v>3641644</v>
      </c>
      <c r="AW178" s="9">
        <v>846844</v>
      </c>
      <c r="AX178" s="9">
        <v>4612923.7963335682</v>
      </c>
      <c r="AY178" s="9">
        <v>3799640</v>
      </c>
      <c r="AZ178" s="28">
        <v>860344</v>
      </c>
      <c r="BA178" s="9">
        <v>4522671.7799999993</v>
      </c>
      <c r="BB178" s="9">
        <v>3731204</v>
      </c>
      <c r="BC178" s="9">
        <v>860344</v>
      </c>
      <c r="BD178" s="9">
        <v>4374312.4499999993</v>
      </c>
      <c r="BE178" s="9">
        <v>3608808</v>
      </c>
      <c r="BF178" s="9">
        <v>872434</v>
      </c>
      <c r="BG178" s="9">
        <v>4816493.6300000008</v>
      </c>
      <c r="BH178" s="9">
        <v>3774727</v>
      </c>
      <c r="BI178" s="9">
        <v>1041767</v>
      </c>
      <c r="BJ178" s="9">
        <v>5068217.2599999988</v>
      </c>
      <c r="BK178" s="9">
        <v>3913467</v>
      </c>
      <c r="BL178" s="9">
        <v>1154750</v>
      </c>
      <c r="BM178" s="9"/>
      <c r="BN178" s="9"/>
      <c r="BO178" s="9"/>
      <c r="BP178" s="9"/>
      <c r="BQ178" s="9"/>
      <c r="BR178" s="9"/>
      <c r="BS178" s="9"/>
      <c r="BT178" s="9"/>
      <c r="BU178" s="9"/>
    </row>
    <row r="179" spans="1:73">
      <c r="A179" s="6">
        <v>170</v>
      </c>
      <c r="B179" s="6" t="s">
        <v>1288</v>
      </c>
      <c r="C179" s="421">
        <v>47.49</v>
      </c>
      <c r="D179" s="9">
        <v>37010306</v>
      </c>
      <c r="E179" s="33">
        <v>32604757</v>
      </c>
      <c r="F179" s="9">
        <v>6151638.0000000028</v>
      </c>
      <c r="G179" s="9">
        <v>39489888.753479995</v>
      </c>
      <c r="H179" s="9">
        <v>33387418</v>
      </c>
      <c r="I179" s="9">
        <v>7207775.0000000028</v>
      </c>
      <c r="J179" s="9">
        <v>41647924.173341915</v>
      </c>
      <c r="K179" s="9">
        <v>33111874</v>
      </c>
      <c r="L179" s="9">
        <v>9149845.0000000037</v>
      </c>
      <c r="M179" s="9">
        <v>44383211.209059998</v>
      </c>
      <c r="N179" s="9">
        <v>32757172</v>
      </c>
      <c r="O179" s="9">
        <v>10403395</v>
      </c>
      <c r="P179" s="9">
        <v>1222644</v>
      </c>
      <c r="Q179" s="9">
        <v>46013474.233912654</v>
      </c>
      <c r="R179" s="9">
        <v>32958768</v>
      </c>
      <c r="S179" s="9">
        <v>11393518</v>
      </c>
      <c r="T179" s="9">
        <v>1661188</v>
      </c>
      <c r="U179" s="9">
        <v>46421470.443365268</v>
      </c>
      <c r="V179" s="9">
        <v>33104620</v>
      </c>
      <c r="W179" s="9">
        <v>13061334</v>
      </c>
      <c r="X179" s="9">
        <v>70119</v>
      </c>
      <c r="Y179" s="9">
        <v>185397</v>
      </c>
      <c r="Z179" s="9">
        <v>47531356.683839999</v>
      </c>
      <c r="AA179" s="9">
        <v>33125854</v>
      </c>
      <c r="AB179" s="9">
        <v>14405503</v>
      </c>
      <c r="AC179" s="9">
        <v>50561006.405809999</v>
      </c>
      <c r="AD179" s="9">
        <v>33652670</v>
      </c>
      <c r="AE179" s="9">
        <v>17545220.816238921</v>
      </c>
      <c r="AF179" s="9">
        <v>51938566.105600007</v>
      </c>
      <c r="AG179" s="9">
        <v>33591541</v>
      </c>
      <c r="AH179" s="9">
        <v>18678850.960200321</v>
      </c>
      <c r="AI179" s="9">
        <v>52135804.352599993</v>
      </c>
      <c r="AJ179" s="9">
        <v>32592161</v>
      </c>
      <c r="AK179" s="28">
        <v>19543643</v>
      </c>
      <c r="AL179" s="9">
        <v>55409404.919719994</v>
      </c>
      <c r="AM179" s="9">
        <v>32493304</v>
      </c>
      <c r="AN179" s="28">
        <v>22916101</v>
      </c>
      <c r="AO179" s="9">
        <v>54854523.918049991</v>
      </c>
      <c r="AP179" s="9">
        <v>31931943</v>
      </c>
      <c r="AQ179" s="28">
        <v>24140701</v>
      </c>
      <c r="AR179" s="9">
        <v>56761909.559497736</v>
      </c>
      <c r="AS179" s="9">
        <v>32073087</v>
      </c>
      <c r="AT179" s="28">
        <f>24972052-283229</f>
        <v>24688823</v>
      </c>
      <c r="AU179" s="9">
        <v>60815717.02979999</v>
      </c>
      <c r="AV179" s="9">
        <v>33579775</v>
      </c>
      <c r="AW179" s="9">
        <v>27459350.453954868</v>
      </c>
      <c r="AX179" s="9">
        <v>64168256.450577833</v>
      </c>
      <c r="AY179" s="9">
        <v>35637847</v>
      </c>
      <c r="AZ179" s="28">
        <v>28530409</v>
      </c>
      <c r="BA179" s="9">
        <v>67959735.832000002</v>
      </c>
      <c r="BB179" s="9">
        <v>36937156</v>
      </c>
      <c r="BC179" s="9">
        <v>31032674</v>
      </c>
      <c r="BD179" s="9">
        <v>68784010.9164</v>
      </c>
      <c r="BE179" s="9">
        <v>38142644</v>
      </c>
      <c r="BF179" s="9">
        <v>31188884</v>
      </c>
      <c r="BG179" s="9">
        <v>77315386.541280001</v>
      </c>
      <c r="BH179" s="9">
        <v>39639041</v>
      </c>
      <c r="BI179" s="9">
        <v>37676346</v>
      </c>
      <c r="BJ179" s="9">
        <v>87221684.996450007</v>
      </c>
      <c r="BK179" s="9">
        <v>41360456</v>
      </c>
      <c r="BL179" s="9">
        <v>45861229</v>
      </c>
      <c r="BM179" s="9"/>
      <c r="BN179" s="9"/>
      <c r="BO179" s="9"/>
      <c r="BP179" s="9"/>
      <c r="BQ179" s="9"/>
      <c r="BR179" s="9"/>
      <c r="BS179" s="9"/>
      <c r="BT179" s="9"/>
      <c r="BU179" s="9"/>
    </row>
    <row r="180" spans="1:73">
      <c r="A180" s="6">
        <v>171</v>
      </c>
      <c r="B180" s="6" t="s">
        <v>1289</v>
      </c>
      <c r="C180" s="421">
        <v>17.5</v>
      </c>
      <c r="D180" s="9">
        <v>32271473</v>
      </c>
      <c r="E180" s="33">
        <v>20214215</v>
      </c>
      <c r="F180" s="9">
        <v>12057258</v>
      </c>
      <c r="G180" s="9">
        <v>34872556.111840002</v>
      </c>
      <c r="H180" s="9">
        <v>21245140</v>
      </c>
      <c r="I180" s="9">
        <v>13627416</v>
      </c>
      <c r="J180" s="9">
        <v>36714948.679464169</v>
      </c>
      <c r="K180" s="9">
        <v>22881016</v>
      </c>
      <c r="L180" s="9">
        <v>14129652</v>
      </c>
      <c r="M180" s="9">
        <v>38563639.171119995</v>
      </c>
      <c r="N180" s="9">
        <v>24240148</v>
      </c>
      <c r="O180" s="9">
        <v>13086402</v>
      </c>
      <c r="P180" s="9">
        <v>1537960</v>
      </c>
      <c r="Q180" s="9">
        <v>40253567.818422206</v>
      </c>
      <c r="R180" s="9">
        <v>26140832</v>
      </c>
      <c r="S180" s="9">
        <v>14331875</v>
      </c>
      <c r="T180" s="9">
        <v>0</v>
      </c>
      <c r="U180" s="9">
        <v>39637274.173409283</v>
      </c>
      <c r="V180" s="9">
        <v>27040077</v>
      </c>
      <c r="W180" s="9">
        <v>13494608</v>
      </c>
      <c r="X180" s="9">
        <v>72445</v>
      </c>
      <c r="Y180" s="9">
        <v>878947</v>
      </c>
      <c r="Z180" s="9">
        <v>39583756.739600003</v>
      </c>
      <c r="AA180" s="9">
        <v>27951328</v>
      </c>
      <c r="AB180" s="9">
        <v>13567053</v>
      </c>
      <c r="AC180" s="9">
        <v>41137358.67464</v>
      </c>
      <c r="AD180" s="9">
        <v>28739555</v>
      </c>
      <c r="AE180" s="9">
        <v>13747293</v>
      </c>
      <c r="AF180" s="9">
        <v>40558278.62376</v>
      </c>
      <c r="AG180" s="9">
        <v>29710952</v>
      </c>
      <c r="AH180" s="9">
        <v>13855893</v>
      </c>
      <c r="AI180" s="9">
        <v>40490934.449160002</v>
      </c>
      <c r="AJ180" s="9">
        <v>31137078</v>
      </c>
      <c r="AK180" s="28">
        <v>13963368</v>
      </c>
      <c r="AL180" s="9">
        <v>40254049.280549996</v>
      </c>
      <c r="AM180" s="9">
        <v>32113539</v>
      </c>
      <c r="AN180" s="28">
        <v>14068193</v>
      </c>
      <c r="AO180" s="9">
        <v>40243211.142080009</v>
      </c>
      <c r="AP180" s="9">
        <v>32421451</v>
      </c>
      <c r="AQ180" s="28">
        <v>14297323</v>
      </c>
      <c r="AR180" s="9">
        <v>41036767.216783047</v>
      </c>
      <c r="AS180" s="9">
        <v>33760457</v>
      </c>
      <c r="AT180" s="28">
        <v>14421163</v>
      </c>
      <c r="AU180" s="9">
        <v>41808529.701789998</v>
      </c>
      <c r="AV180" s="9">
        <v>34492037</v>
      </c>
      <c r="AW180" s="9">
        <v>14543473</v>
      </c>
      <c r="AX180" s="9">
        <v>43523657.528021462</v>
      </c>
      <c r="AY180" s="9">
        <v>35619824</v>
      </c>
      <c r="AZ180" s="28">
        <v>14664853</v>
      </c>
      <c r="BA180" s="9">
        <v>43514601.597520001</v>
      </c>
      <c r="BB180" s="9">
        <v>35899546</v>
      </c>
      <c r="BC180" s="9">
        <v>14664853</v>
      </c>
      <c r="BD180" s="9">
        <v>43275872.179899998</v>
      </c>
      <c r="BE180" s="9">
        <v>35702595</v>
      </c>
      <c r="BF180" s="9">
        <v>14778583</v>
      </c>
      <c r="BG180" s="9">
        <v>47025005.911919996</v>
      </c>
      <c r="BH180" s="9">
        <v>37291361</v>
      </c>
      <c r="BI180" s="9">
        <v>15006223</v>
      </c>
      <c r="BJ180" s="9">
        <v>49950295.557299994</v>
      </c>
      <c r="BK180" s="9">
        <v>39070159</v>
      </c>
      <c r="BL180" s="9">
        <v>15233203</v>
      </c>
      <c r="BM180" s="9"/>
      <c r="BN180" s="9"/>
      <c r="BO180" s="9"/>
      <c r="BP180" s="9"/>
      <c r="BQ180" s="9"/>
      <c r="BR180" s="9"/>
      <c r="BS180" s="9"/>
      <c r="BT180" s="9"/>
      <c r="BU180" s="9"/>
    </row>
    <row r="181" spans="1:73">
      <c r="A181" s="6">
        <v>172</v>
      </c>
      <c r="B181" s="6" t="s">
        <v>1290</v>
      </c>
      <c r="C181" s="421">
        <v>17.5</v>
      </c>
      <c r="D181" s="9">
        <v>15407543</v>
      </c>
      <c r="E181" s="33">
        <v>12020189</v>
      </c>
      <c r="F181" s="9">
        <v>4044754</v>
      </c>
      <c r="G181" s="9">
        <v>15474024.460000001</v>
      </c>
      <c r="H181" s="9">
        <v>12882004</v>
      </c>
      <c r="I181" s="9">
        <v>4145104</v>
      </c>
      <c r="J181" s="9">
        <v>17073801.756701652</v>
      </c>
      <c r="K181" s="9">
        <v>13860224</v>
      </c>
      <c r="L181" s="9">
        <v>4425065</v>
      </c>
      <c r="M181" s="9">
        <v>17636286.130000006</v>
      </c>
      <c r="N181" s="9">
        <v>14142204</v>
      </c>
      <c r="O181" s="9">
        <v>4051695</v>
      </c>
      <c r="P181" s="9">
        <v>476170</v>
      </c>
      <c r="Q181" s="9">
        <v>16283467.18671005</v>
      </c>
      <c r="R181" s="9">
        <v>14193190</v>
      </c>
      <c r="S181" s="9">
        <v>4437308</v>
      </c>
      <c r="T181" s="9">
        <v>0</v>
      </c>
      <c r="U181" s="9">
        <v>16336474.718640003</v>
      </c>
      <c r="V181" s="9">
        <v>14184603</v>
      </c>
      <c r="W181" s="9">
        <v>4178081</v>
      </c>
      <c r="X181" s="9">
        <v>22430</v>
      </c>
      <c r="Y181" s="9">
        <v>283872</v>
      </c>
      <c r="Z181" s="9">
        <v>16170543.359999999</v>
      </c>
      <c r="AA181" s="9">
        <v>14364504</v>
      </c>
      <c r="AB181" s="9">
        <v>4200511</v>
      </c>
      <c r="AC181" s="9">
        <v>16786403.150000002</v>
      </c>
      <c r="AD181" s="9">
        <v>14863230</v>
      </c>
      <c r="AE181" s="9">
        <v>4271711</v>
      </c>
      <c r="AF181" s="9">
        <v>17312286.150000002</v>
      </c>
      <c r="AG181" s="9">
        <v>15116709</v>
      </c>
      <c r="AH181" s="9">
        <v>4316511</v>
      </c>
      <c r="AI181" s="9">
        <v>16847491.769999996</v>
      </c>
      <c r="AJ181" s="9">
        <v>14820989</v>
      </c>
      <c r="AK181" s="28">
        <v>4359861</v>
      </c>
      <c r="AL181" s="9">
        <v>16578175.300000003</v>
      </c>
      <c r="AM181" s="9">
        <v>14402235</v>
      </c>
      <c r="AN181" s="28">
        <v>4402061</v>
      </c>
      <c r="AO181" s="9">
        <v>16891753.790000003</v>
      </c>
      <c r="AP181" s="9">
        <v>14087772</v>
      </c>
      <c r="AQ181" s="28">
        <v>4493526</v>
      </c>
      <c r="AR181" s="9">
        <v>16431104.565356754</v>
      </c>
      <c r="AS181" s="9">
        <v>13722805</v>
      </c>
      <c r="AT181" s="28">
        <v>4541226</v>
      </c>
      <c r="AU181" s="9">
        <v>17705538.060000002</v>
      </c>
      <c r="AV181" s="9">
        <v>14379434</v>
      </c>
      <c r="AW181" s="9">
        <v>4590756</v>
      </c>
      <c r="AX181" s="9">
        <v>18627382.034490988</v>
      </c>
      <c r="AY181" s="9">
        <v>15124670</v>
      </c>
      <c r="AZ181" s="28">
        <v>4640166</v>
      </c>
      <c r="BA181" s="9">
        <v>18424932.769999996</v>
      </c>
      <c r="BB181" s="9">
        <v>15200570</v>
      </c>
      <c r="BC181" s="9">
        <v>4640166</v>
      </c>
      <c r="BD181" s="9">
        <v>18231111.670000002</v>
      </c>
      <c r="BE181" s="9">
        <v>15040667</v>
      </c>
      <c r="BF181" s="9">
        <v>4685466</v>
      </c>
      <c r="BG181" s="9">
        <v>19613343.369999997</v>
      </c>
      <c r="BH181" s="9">
        <v>15743229</v>
      </c>
      <c r="BI181" s="9">
        <v>4772946</v>
      </c>
      <c r="BJ181" s="9">
        <v>20496134.48</v>
      </c>
      <c r="BK181" s="9">
        <v>16524355</v>
      </c>
      <c r="BL181" s="9">
        <v>4858266</v>
      </c>
      <c r="BM181" s="9"/>
      <c r="BN181" s="9"/>
      <c r="BO181" s="9"/>
      <c r="BP181" s="9"/>
      <c r="BQ181" s="9"/>
      <c r="BR181" s="9"/>
      <c r="BS181" s="9"/>
      <c r="BT181" s="9"/>
      <c r="BU181" s="9"/>
    </row>
    <row r="182" spans="1:73">
      <c r="A182" s="6">
        <v>173</v>
      </c>
      <c r="B182" s="6" t="s">
        <v>1291</v>
      </c>
      <c r="C182" s="421">
        <v>17.5</v>
      </c>
      <c r="D182" s="9">
        <v>3297524</v>
      </c>
      <c r="E182" s="33">
        <v>3310959</v>
      </c>
      <c r="F182" s="9">
        <v>473897.6</v>
      </c>
      <c r="G182" s="9">
        <v>3387984.92</v>
      </c>
      <c r="H182" s="9">
        <v>3308386</v>
      </c>
      <c r="I182" s="9">
        <v>497697.6</v>
      </c>
      <c r="J182" s="9">
        <v>3488042.5977460435</v>
      </c>
      <c r="K182" s="9">
        <v>3193722</v>
      </c>
      <c r="L182" s="9">
        <v>531510.6</v>
      </c>
      <c r="M182" s="9">
        <v>3669467.71</v>
      </c>
      <c r="N182" s="9">
        <v>3252117</v>
      </c>
      <c r="O182" s="9">
        <v>508287.6</v>
      </c>
      <c r="P182" s="9">
        <v>59736</v>
      </c>
      <c r="Q182" s="9">
        <v>3955927.7226870819</v>
      </c>
      <c r="R182" s="9">
        <v>3490891</v>
      </c>
      <c r="S182" s="9">
        <v>556663</v>
      </c>
      <c r="T182" s="9">
        <v>0</v>
      </c>
      <c r="U182" s="9">
        <v>3799146.5653200001</v>
      </c>
      <c r="V182" s="9">
        <v>3492437</v>
      </c>
      <c r="W182" s="9">
        <v>524142</v>
      </c>
      <c r="X182" s="9">
        <v>2814</v>
      </c>
      <c r="Y182" s="9">
        <v>41557</v>
      </c>
      <c r="Z182" s="9">
        <v>3951256.51</v>
      </c>
      <c r="AA182" s="9">
        <v>3548014</v>
      </c>
      <c r="AB182" s="9">
        <v>526956</v>
      </c>
      <c r="AC182" s="9">
        <v>4131578.0200000009</v>
      </c>
      <c r="AD182" s="9">
        <v>3667812</v>
      </c>
      <c r="AE182" s="9">
        <v>546236</v>
      </c>
      <c r="AF182" s="9">
        <v>4068140.6800000006</v>
      </c>
      <c r="AG182" s="9">
        <v>3673844</v>
      </c>
      <c r="AH182" s="9">
        <v>587658.15474999999</v>
      </c>
      <c r="AI182" s="9">
        <v>4564402.3699999992</v>
      </c>
      <c r="AJ182" s="9">
        <v>3935161</v>
      </c>
      <c r="AK182" s="28">
        <v>661547.15474999999</v>
      </c>
      <c r="AL182" s="9">
        <v>4686148.55</v>
      </c>
      <c r="AM182" s="9">
        <v>3913634</v>
      </c>
      <c r="AN182" s="28">
        <v>772515</v>
      </c>
      <c r="AO182" s="9">
        <v>4517988.9499999983</v>
      </c>
      <c r="AP182" s="9">
        <v>3760023</v>
      </c>
      <c r="AQ182" s="28">
        <v>799465</v>
      </c>
      <c r="AR182" s="9">
        <v>4222689.9150018794</v>
      </c>
      <c r="AS182" s="9">
        <v>3517981</v>
      </c>
      <c r="AT182" s="28">
        <v>812995</v>
      </c>
      <c r="AU182" s="9">
        <v>4347489.0200000014</v>
      </c>
      <c r="AV182" s="9">
        <v>3586679</v>
      </c>
      <c r="AW182" s="9">
        <v>826405</v>
      </c>
      <c r="AX182" s="9">
        <v>4426546.9809879502</v>
      </c>
      <c r="AY182" s="9">
        <v>3651901</v>
      </c>
      <c r="AZ182" s="28">
        <v>839485</v>
      </c>
      <c r="BA182" s="9">
        <v>4546818.59</v>
      </c>
      <c r="BB182" s="9">
        <v>3751126</v>
      </c>
      <c r="BC182" s="9">
        <v>839485</v>
      </c>
      <c r="BD182" s="9">
        <v>4252682.29</v>
      </c>
      <c r="BE182" s="9">
        <v>3508463</v>
      </c>
      <c r="BF182" s="9">
        <v>851365</v>
      </c>
      <c r="BG182" s="9">
        <v>4913934.4400000004</v>
      </c>
      <c r="BH182" s="9">
        <v>3933553</v>
      </c>
      <c r="BI182" s="9">
        <v>980381</v>
      </c>
      <c r="BJ182" s="9">
        <v>5079932.7300000004</v>
      </c>
      <c r="BK182" s="9">
        <v>4120905</v>
      </c>
      <c r="BL182" s="9">
        <v>1005221</v>
      </c>
      <c r="BM182" s="9"/>
      <c r="BN182" s="9"/>
      <c r="BO182" s="9"/>
      <c r="BP182" s="9"/>
      <c r="BQ182" s="9"/>
      <c r="BR182" s="9"/>
      <c r="BS182" s="9"/>
      <c r="BT182" s="9"/>
      <c r="BU182" s="9"/>
    </row>
    <row r="183" spans="1:73">
      <c r="A183" s="6">
        <v>174</v>
      </c>
      <c r="B183" s="6" t="s">
        <v>1292</v>
      </c>
      <c r="C183" s="421">
        <v>26.74</v>
      </c>
      <c r="D183" s="9">
        <v>10044441</v>
      </c>
      <c r="E183" s="33">
        <v>8591307</v>
      </c>
      <c r="F183" s="9">
        <v>2211508</v>
      </c>
      <c r="G183" s="9">
        <v>10644015.071359999</v>
      </c>
      <c r="H183" s="9">
        <v>8569489</v>
      </c>
      <c r="I183" s="9">
        <v>2382686</v>
      </c>
      <c r="J183" s="9">
        <v>11391224.980435096</v>
      </c>
      <c r="K183" s="9">
        <v>8539540</v>
      </c>
      <c r="L183" s="9">
        <v>2851685</v>
      </c>
      <c r="M183" s="9">
        <v>11937003.731199998</v>
      </c>
      <c r="N183" s="9">
        <v>8673841</v>
      </c>
      <c r="O183" s="9">
        <v>2919995</v>
      </c>
      <c r="P183" s="9">
        <v>343168</v>
      </c>
      <c r="Q183" s="9">
        <v>12185553.479722442</v>
      </c>
      <c r="R183" s="9">
        <v>8524586</v>
      </c>
      <c r="S183" s="9">
        <v>3197900</v>
      </c>
      <c r="T183" s="9">
        <v>463067</v>
      </c>
      <c r="U183" s="9">
        <v>12064502.865547679</v>
      </c>
      <c r="V183" s="9">
        <v>8480324</v>
      </c>
      <c r="W183" s="9">
        <v>3515408</v>
      </c>
      <c r="X183" s="9">
        <v>18872</v>
      </c>
      <c r="Y183" s="9">
        <v>160487</v>
      </c>
      <c r="Z183" s="9">
        <v>12168260.781569999</v>
      </c>
      <c r="AA183" s="9">
        <v>8664177</v>
      </c>
      <c r="AB183" s="9">
        <v>3534280</v>
      </c>
      <c r="AC183" s="9">
        <v>12727909.260160001</v>
      </c>
      <c r="AD183" s="9">
        <v>8836949</v>
      </c>
      <c r="AE183" s="9">
        <v>3990864.5528999842</v>
      </c>
      <c r="AF183" s="9">
        <v>12848218.426860001</v>
      </c>
      <c r="AG183" s="9">
        <v>9277415</v>
      </c>
      <c r="AH183" s="9">
        <v>4024014.5528999842</v>
      </c>
      <c r="AI183" s="9">
        <v>13617361.215549998</v>
      </c>
      <c r="AJ183" s="9">
        <v>9450152</v>
      </c>
      <c r="AK183" s="28">
        <v>4180312.5528999842</v>
      </c>
      <c r="AL183" s="9">
        <v>13850824.283779997</v>
      </c>
      <c r="AM183" s="9">
        <v>9411919</v>
      </c>
      <c r="AN183" s="28">
        <v>4438905</v>
      </c>
      <c r="AO183" s="9">
        <v>14059518.789270002</v>
      </c>
      <c r="AP183" s="9">
        <v>9349998</v>
      </c>
      <c r="AQ183" s="28">
        <v>4733058</v>
      </c>
      <c r="AR183" s="9">
        <v>14745073.193424072</v>
      </c>
      <c r="AS183" s="9">
        <v>9744969</v>
      </c>
      <c r="AT183" s="28">
        <v>5000104</v>
      </c>
      <c r="AU183" s="9">
        <v>15215994.512989998</v>
      </c>
      <c r="AV183" s="9">
        <v>9813974</v>
      </c>
      <c r="AW183" s="9">
        <v>5402021</v>
      </c>
      <c r="AX183" s="9">
        <v>15291603.711841691</v>
      </c>
      <c r="AY183" s="9">
        <v>10005157</v>
      </c>
      <c r="AZ183" s="28">
        <v>5442941</v>
      </c>
      <c r="BA183" s="9">
        <v>14950228.72524</v>
      </c>
      <c r="BB183" s="9">
        <v>10176959</v>
      </c>
      <c r="BC183" s="9">
        <v>5442941</v>
      </c>
      <c r="BD183" s="9">
        <v>14868952.430520002</v>
      </c>
      <c r="BE183" s="9">
        <v>10603032</v>
      </c>
      <c r="BF183" s="9">
        <v>5480621</v>
      </c>
      <c r="BG183" s="9">
        <v>16124411.021999998</v>
      </c>
      <c r="BH183" s="9">
        <v>11396750</v>
      </c>
      <c r="BI183" s="9">
        <v>5554961</v>
      </c>
      <c r="BJ183" s="9">
        <v>17768872.032999996</v>
      </c>
      <c r="BK183" s="9">
        <v>12105654</v>
      </c>
      <c r="BL183" s="9">
        <v>5663218</v>
      </c>
      <c r="BM183" s="9"/>
      <c r="BN183" s="9"/>
      <c r="BO183" s="9"/>
      <c r="BP183" s="9"/>
      <c r="BQ183" s="9"/>
      <c r="BR183" s="9"/>
      <c r="BS183" s="9"/>
      <c r="BT183" s="9"/>
      <c r="BU183" s="9"/>
    </row>
    <row r="184" spans="1:73">
      <c r="A184" s="6">
        <v>175</v>
      </c>
      <c r="B184" s="6" t="s">
        <v>1293</v>
      </c>
      <c r="C184" s="421">
        <v>17.5</v>
      </c>
      <c r="D184" s="9">
        <v>21083357</v>
      </c>
      <c r="E184" s="33">
        <v>16366654</v>
      </c>
      <c r="F184" s="9">
        <v>4716703</v>
      </c>
      <c r="G184" s="9">
        <v>22222544.690400001</v>
      </c>
      <c r="H184" s="9">
        <v>17108794</v>
      </c>
      <c r="I184" s="9">
        <v>5113751</v>
      </c>
      <c r="J184" s="9">
        <v>23437455.400163922</v>
      </c>
      <c r="K184" s="9">
        <v>17719122</v>
      </c>
      <c r="L184" s="9">
        <v>5718333</v>
      </c>
      <c r="M184" s="9">
        <v>24405492.276769999</v>
      </c>
      <c r="N184" s="9">
        <v>18347283</v>
      </c>
      <c r="O184" s="9">
        <v>5421102</v>
      </c>
      <c r="P184" s="9">
        <v>637107</v>
      </c>
      <c r="Q184" s="9">
        <v>24887881.817815583</v>
      </c>
      <c r="R184" s="9">
        <v>19908771</v>
      </c>
      <c r="S184" s="9">
        <v>5937045</v>
      </c>
      <c r="T184" s="9">
        <v>0</v>
      </c>
      <c r="U184" s="9">
        <v>24403976.669405282</v>
      </c>
      <c r="V184" s="9">
        <v>20304518</v>
      </c>
      <c r="W184" s="9">
        <v>5590203</v>
      </c>
      <c r="X184" s="9">
        <v>30011</v>
      </c>
      <c r="Y184" s="9">
        <v>389731</v>
      </c>
      <c r="Z184" s="9">
        <v>24263807.570240002</v>
      </c>
      <c r="AA184" s="9">
        <v>20679989</v>
      </c>
      <c r="AB184" s="9">
        <v>5620214</v>
      </c>
      <c r="AC184" s="9">
        <v>24324022.98694</v>
      </c>
      <c r="AD184" s="9">
        <v>21208313</v>
      </c>
      <c r="AE184" s="9">
        <v>5730534</v>
      </c>
      <c r="AF184" s="9">
        <v>24155267.42306</v>
      </c>
      <c r="AG184" s="9">
        <v>21603285</v>
      </c>
      <c r="AH184" s="9">
        <v>5797959</v>
      </c>
      <c r="AI184" s="9">
        <v>23366471.620039996</v>
      </c>
      <c r="AJ184" s="9">
        <v>20811592</v>
      </c>
      <c r="AK184" s="28">
        <v>5862409</v>
      </c>
      <c r="AL184" s="9">
        <v>23395043.4848</v>
      </c>
      <c r="AM184" s="9">
        <v>20516702</v>
      </c>
      <c r="AN184" s="28">
        <v>5925859</v>
      </c>
      <c r="AO184" s="9">
        <v>23253777.20984</v>
      </c>
      <c r="AP184" s="9">
        <v>19507465</v>
      </c>
      <c r="AQ184" s="28">
        <v>6063084</v>
      </c>
      <c r="AR184" s="9">
        <v>23865982.219953917</v>
      </c>
      <c r="AS184" s="9">
        <v>19763909</v>
      </c>
      <c r="AT184" s="28">
        <v>6137784</v>
      </c>
      <c r="AU184" s="9">
        <v>24827316.099710003</v>
      </c>
      <c r="AV184" s="9">
        <v>20482536</v>
      </c>
      <c r="AW184" s="9">
        <v>6213144</v>
      </c>
      <c r="AX184" s="9">
        <v>26032948.58113708</v>
      </c>
      <c r="AY184" s="9">
        <v>21176396</v>
      </c>
      <c r="AZ184" s="28">
        <v>6288744</v>
      </c>
      <c r="BA184" s="9">
        <v>26552098.786160003</v>
      </c>
      <c r="BB184" s="9">
        <v>21905481</v>
      </c>
      <c r="BC184" s="9">
        <v>6288744</v>
      </c>
      <c r="BD184" s="9">
        <v>26424181.490199994</v>
      </c>
      <c r="BE184" s="9">
        <v>21799950</v>
      </c>
      <c r="BF184" s="9">
        <v>6361734</v>
      </c>
      <c r="BG184" s="9">
        <v>28101468.769180004</v>
      </c>
      <c r="BH184" s="9">
        <v>22588503</v>
      </c>
      <c r="BI184" s="9">
        <v>6507474</v>
      </c>
      <c r="BJ184" s="9">
        <v>29777088.9976</v>
      </c>
      <c r="BK184" s="9">
        <v>23849002</v>
      </c>
      <c r="BL184" s="9">
        <v>6653094</v>
      </c>
      <c r="BM184" s="9"/>
      <c r="BN184" s="9"/>
      <c r="BO184" s="9"/>
      <c r="BP184" s="9"/>
      <c r="BQ184" s="9"/>
      <c r="BR184" s="9"/>
      <c r="BS184" s="9"/>
      <c r="BT184" s="9"/>
      <c r="BU184" s="9"/>
    </row>
    <row r="185" spans="1:73">
      <c r="A185" s="6">
        <v>176</v>
      </c>
      <c r="B185" s="6" t="s">
        <v>1294</v>
      </c>
      <c r="C185" s="421">
        <v>17.5</v>
      </c>
      <c r="D185" s="9">
        <v>40248747</v>
      </c>
      <c r="E185" s="33">
        <v>32874703</v>
      </c>
      <c r="F185" s="9">
        <v>10251400.4</v>
      </c>
      <c r="G185" s="9">
        <v>43002389.842659995</v>
      </c>
      <c r="H185" s="9">
        <v>34340915</v>
      </c>
      <c r="I185" s="9">
        <v>10733287.4</v>
      </c>
      <c r="J185" s="9">
        <v>46366010.244539626</v>
      </c>
      <c r="K185" s="9">
        <v>35851875</v>
      </c>
      <c r="L185" s="9">
        <v>11321921.4</v>
      </c>
      <c r="M185" s="9">
        <v>48419758.008079998</v>
      </c>
      <c r="N185" s="9">
        <v>37389566</v>
      </c>
      <c r="O185" s="9">
        <v>10452869.4</v>
      </c>
      <c r="P185" s="9">
        <v>1228458</v>
      </c>
      <c r="Q185" s="9">
        <v>50459876.273372002</v>
      </c>
      <c r="R185" s="9">
        <v>41624962</v>
      </c>
      <c r="S185" s="9">
        <v>11447701</v>
      </c>
      <c r="T185" s="9">
        <v>0</v>
      </c>
      <c r="U185" s="9">
        <v>49632982.275670551</v>
      </c>
      <c r="V185" s="9">
        <v>42205952</v>
      </c>
      <c r="W185" s="9">
        <v>10778927</v>
      </c>
      <c r="X185" s="9">
        <v>57866</v>
      </c>
      <c r="Y185" s="9">
        <v>741233</v>
      </c>
      <c r="Z185" s="9">
        <v>51296237.986520007</v>
      </c>
      <c r="AA185" s="9">
        <v>42820019</v>
      </c>
      <c r="AB185" s="9">
        <v>10836793</v>
      </c>
      <c r="AC185" s="9">
        <v>53745484.954950012</v>
      </c>
      <c r="AD185" s="9">
        <v>44080589</v>
      </c>
      <c r="AE185" s="9">
        <v>11047553</v>
      </c>
      <c r="AF185" s="9">
        <v>52242342.704740003</v>
      </c>
      <c r="AG185" s="9">
        <v>45112884</v>
      </c>
      <c r="AH185" s="9">
        <f>11173603+33688</f>
        <v>11207291</v>
      </c>
      <c r="AI185" s="9">
        <v>52268719.305079997</v>
      </c>
      <c r="AJ185" s="9">
        <v>45014043</v>
      </c>
      <c r="AK185" s="28">
        <v>11332041</v>
      </c>
      <c r="AL185" s="9">
        <v>52826959.864799984</v>
      </c>
      <c r="AM185" s="9">
        <v>45090390</v>
      </c>
      <c r="AN185" s="28">
        <v>11454441</v>
      </c>
      <c r="AO185" s="9">
        <v>53575422.423319995</v>
      </c>
      <c r="AP185" s="9">
        <v>44545699</v>
      </c>
      <c r="AQ185" s="28">
        <v>11719376</v>
      </c>
      <c r="AR185" s="9">
        <v>54710623.722724512</v>
      </c>
      <c r="AS185" s="9">
        <v>45337673</v>
      </c>
      <c r="AT185" s="28">
        <v>11864786</v>
      </c>
      <c r="AU185" s="9">
        <v>55510529.107759997</v>
      </c>
      <c r="AV185" s="9">
        <v>45796187</v>
      </c>
      <c r="AW185" s="9">
        <v>12004766</v>
      </c>
      <c r="AX185" s="9">
        <v>58384769.501052216</v>
      </c>
      <c r="AY185" s="9">
        <v>48076837</v>
      </c>
      <c r="AZ185" s="28">
        <v>12143306</v>
      </c>
      <c r="BA185" s="9">
        <v>59524340.664400004</v>
      </c>
      <c r="BB185" s="9">
        <v>49107581</v>
      </c>
      <c r="BC185" s="9">
        <v>12143306</v>
      </c>
      <c r="BD185" s="9">
        <v>59164566.017499991</v>
      </c>
      <c r="BE185" s="9">
        <v>48810767</v>
      </c>
      <c r="BF185" s="9">
        <v>12275726</v>
      </c>
      <c r="BG185" s="9">
        <v>64950374.201000012</v>
      </c>
      <c r="BH185" s="9">
        <v>51012133</v>
      </c>
      <c r="BI185" s="9">
        <v>13938241</v>
      </c>
      <c r="BJ185" s="9">
        <v>71888258.341159999</v>
      </c>
      <c r="BK185" s="9">
        <v>54480958</v>
      </c>
      <c r="BL185" s="9">
        <v>17407300</v>
      </c>
      <c r="BM185" s="9"/>
      <c r="BN185" s="9"/>
      <c r="BO185" s="9"/>
      <c r="BP185" s="9"/>
      <c r="BQ185" s="9"/>
      <c r="BR185" s="9"/>
      <c r="BS185" s="9"/>
      <c r="BT185" s="9"/>
      <c r="BU185" s="9"/>
    </row>
    <row r="186" spans="1:73">
      <c r="A186" s="6">
        <v>177</v>
      </c>
      <c r="B186" s="6" t="s">
        <v>1295</v>
      </c>
      <c r="C186" s="421">
        <v>19.899999999999999</v>
      </c>
      <c r="D186" s="9">
        <v>19580722</v>
      </c>
      <c r="E186" s="33">
        <v>13433801</v>
      </c>
      <c r="F186" s="9">
        <v>6292863</v>
      </c>
      <c r="G186" s="9">
        <v>20747660.14057</v>
      </c>
      <c r="H186" s="9">
        <v>13372805</v>
      </c>
      <c r="I186" s="9">
        <v>7374855</v>
      </c>
      <c r="J186" s="9">
        <v>21605016.00124561</v>
      </c>
      <c r="K186" s="9">
        <v>13383579</v>
      </c>
      <c r="L186" s="9">
        <v>8221437</v>
      </c>
      <c r="M186" s="9">
        <v>22347779.065000005</v>
      </c>
      <c r="N186" s="9">
        <v>13117342</v>
      </c>
      <c r="O186" s="9">
        <v>8860400</v>
      </c>
      <c r="P186" s="9">
        <v>370037</v>
      </c>
      <c r="Q186" s="9">
        <v>23324796.46238941</v>
      </c>
      <c r="R186" s="9">
        <v>12868279</v>
      </c>
      <c r="S186" s="9">
        <v>9045828</v>
      </c>
      <c r="T186" s="9">
        <v>1410689</v>
      </c>
      <c r="U186" s="9">
        <v>22310016.342912722</v>
      </c>
      <c r="V186" s="9">
        <v>12851891</v>
      </c>
      <c r="W186" s="9">
        <v>9845648</v>
      </c>
      <c r="X186" s="9">
        <v>52856</v>
      </c>
      <c r="Y186" s="9">
        <v>624313</v>
      </c>
      <c r="Z186" s="9">
        <v>22260938.035379998</v>
      </c>
      <c r="AA186" s="9">
        <v>13120301</v>
      </c>
      <c r="AB186" s="9">
        <v>9898504</v>
      </c>
      <c r="AC186" s="9">
        <v>22211260.904100001</v>
      </c>
      <c r="AD186" s="9">
        <v>13680191</v>
      </c>
      <c r="AE186" s="9">
        <v>9997944</v>
      </c>
      <c r="AF186" s="9">
        <v>22149987.50784</v>
      </c>
      <c r="AG186" s="9">
        <v>14085853</v>
      </c>
      <c r="AH186" s="9">
        <v>10058469</v>
      </c>
      <c r="AI186" s="9">
        <v>21554025.020479999</v>
      </c>
      <c r="AJ186" s="9">
        <v>14114067</v>
      </c>
      <c r="AK186" s="28">
        <v>10117244</v>
      </c>
      <c r="AL186" s="9">
        <v>21958660.335269995</v>
      </c>
      <c r="AM186" s="9">
        <v>14480057</v>
      </c>
      <c r="AN186" s="28">
        <v>10175519</v>
      </c>
      <c r="AO186" s="9">
        <v>21801549.408149999</v>
      </c>
      <c r="AP186" s="9">
        <v>14412519</v>
      </c>
      <c r="AQ186" s="28">
        <v>10301469</v>
      </c>
      <c r="AR186" s="9">
        <v>22011641.938089047</v>
      </c>
      <c r="AS186" s="9">
        <v>14975709</v>
      </c>
      <c r="AT186" s="28">
        <v>10368909</v>
      </c>
      <c r="AU186" s="9">
        <v>22271105.480700001</v>
      </c>
      <c r="AV186" s="9">
        <v>15492710</v>
      </c>
      <c r="AW186" s="9">
        <v>10434849</v>
      </c>
      <c r="AX186" s="9">
        <v>23515724.418579098</v>
      </c>
      <c r="AY186" s="9">
        <v>16195477</v>
      </c>
      <c r="AZ186" s="28">
        <v>10501419</v>
      </c>
      <c r="BA186" s="9">
        <v>23623580.679760002</v>
      </c>
      <c r="BB186" s="9">
        <v>16885292</v>
      </c>
      <c r="BC186" s="9">
        <v>10501419</v>
      </c>
      <c r="BD186" s="9">
        <v>23134189.308129996</v>
      </c>
      <c r="BE186" s="9">
        <v>17421552</v>
      </c>
      <c r="BF186" s="9">
        <v>10564089</v>
      </c>
      <c r="BG186" s="9">
        <v>25231553.767439991</v>
      </c>
      <c r="BH186" s="9">
        <v>18439545</v>
      </c>
      <c r="BI186" s="9">
        <v>10691349</v>
      </c>
      <c r="BJ186" s="9">
        <v>26890897.844290003</v>
      </c>
      <c r="BK186" s="9">
        <v>19298650</v>
      </c>
      <c r="BL186" s="9">
        <v>10818549</v>
      </c>
      <c r="BM186" s="9"/>
      <c r="BN186" s="9"/>
      <c r="BO186" s="9"/>
      <c r="BP186" s="9"/>
      <c r="BQ186" s="9"/>
      <c r="BR186" s="9"/>
      <c r="BS186" s="9"/>
      <c r="BT186" s="9"/>
      <c r="BU186" s="9"/>
    </row>
    <row r="187" spans="1:73">
      <c r="A187" s="6">
        <v>178</v>
      </c>
      <c r="B187" s="6" t="s">
        <v>1296</v>
      </c>
      <c r="C187" s="421">
        <v>17.5</v>
      </c>
      <c r="D187" s="9">
        <v>24907341</v>
      </c>
      <c r="E187" s="33">
        <v>20737665</v>
      </c>
      <c r="F187" s="9">
        <v>5187289.5999999996</v>
      </c>
      <c r="G187" s="9">
        <v>26011915.689749997</v>
      </c>
      <c r="H187" s="9">
        <v>21369417</v>
      </c>
      <c r="I187" s="9">
        <v>5380590.5999999996</v>
      </c>
      <c r="J187" s="9">
        <v>27602185.703187775</v>
      </c>
      <c r="K187" s="9">
        <v>21907581</v>
      </c>
      <c r="L187" s="9">
        <v>5694605</v>
      </c>
      <c r="M187" s="9">
        <v>30260569.438900001</v>
      </c>
      <c r="N187" s="9">
        <v>22718830</v>
      </c>
      <c r="O187" s="9">
        <v>6748618</v>
      </c>
      <c r="P187" s="9">
        <v>793121</v>
      </c>
      <c r="Q187" s="9">
        <v>32562555.060026802</v>
      </c>
      <c r="R187" s="9">
        <v>24854305</v>
      </c>
      <c r="S187" s="9">
        <v>7390904</v>
      </c>
      <c r="T187" s="9">
        <v>317346</v>
      </c>
      <c r="U187" s="9">
        <v>32186376.980879758</v>
      </c>
      <c r="V187" s="9">
        <v>25348596</v>
      </c>
      <c r="W187" s="9">
        <v>7257935</v>
      </c>
      <c r="X187" s="9">
        <v>38964</v>
      </c>
      <c r="Y187" s="9">
        <v>504526</v>
      </c>
      <c r="Z187" s="9">
        <v>33172689.346400008</v>
      </c>
      <c r="AA187" s="9">
        <v>25849124</v>
      </c>
      <c r="AB187" s="9">
        <v>7323565</v>
      </c>
      <c r="AC187" s="9">
        <v>34237368.45262</v>
      </c>
      <c r="AD187" s="9">
        <v>26657847</v>
      </c>
      <c r="AE187" s="9">
        <v>7672924</v>
      </c>
      <c r="AF187" s="9">
        <v>34787745.958120003</v>
      </c>
      <c r="AG187" s="9">
        <v>27402853</v>
      </c>
      <c r="AH187" s="9">
        <f>7765699+8422</f>
        <v>7774121</v>
      </c>
      <c r="AI187" s="9">
        <v>35264711.847039998</v>
      </c>
      <c r="AJ187" s="9">
        <v>28117748</v>
      </c>
      <c r="AK187" s="28">
        <v>7867296</v>
      </c>
      <c r="AL187" s="9">
        <v>36086251.428580001</v>
      </c>
      <c r="AM187" s="9">
        <v>29102972</v>
      </c>
      <c r="AN187" s="28">
        <v>7960596</v>
      </c>
      <c r="AO187" s="9">
        <v>36017412.116479993</v>
      </c>
      <c r="AP187" s="9">
        <v>29811821</v>
      </c>
      <c r="AQ187" s="28">
        <v>8166076</v>
      </c>
      <c r="AR187" s="9">
        <v>37544107.266331017</v>
      </c>
      <c r="AS187" s="9">
        <v>31014280</v>
      </c>
      <c r="AT187" s="28">
        <v>8280046</v>
      </c>
      <c r="AU187" s="9">
        <v>39714034.698880002</v>
      </c>
      <c r="AV187" s="9">
        <v>32332045</v>
      </c>
      <c r="AW187" s="9">
        <v>8396206</v>
      </c>
      <c r="AX187" s="9">
        <v>42022188.056045689</v>
      </c>
      <c r="AY187" s="9">
        <v>33686027</v>
      </c>
      <c r="AZ187" s="28">
        <v>8514496</v>
      </c>
      <c r="BA187" s="9">
        <v>43519030.447039999</v>
      </c>
      <c r="BB187" s="9">
        <v>35108451</v>
      </c>
      <c r="BC187" s="9">
        <v>8514496</v>
      </c>
      <c r="BD187" s="9">
        <v>44344391.455760002</v>
      </c>
      <c r="BE187" s="9">
        <v>36147679</v>
      </c>
      <c r="BF187" s="9">
        <v>8631916</v>
      </c>
      <c r="BG187" s="9">
        <v>47377571.272</v>
      </c>
      <c r="BH187" s="9">
        <v>37697349</v>
      </c>
      <c r="BI187" s="9">
        <v>9680222</v>
      </c>
      <c r="BJ187" s="9">
        <v>51330398.765020005</v>
      </c>
      <c r="BK187" s="9">
        <v>39070041</v>
      </c>
      <c r="BL187" s="9">
        <v>12260358</v>
      </c>
      <c r="BM187" s="9"/>
      <c r="BN187" s="9"/>
      <c r="BO187" s="9"/>
      <c r="BP187" s="9"/>
      <c r="BQ187" s="9"/>
      <c r="BR187" s="9"/>
      <c r="BS187" s="9"/>
      <c r="BT187" s="9"/>
      <c r="BU187" s="9"/>
    </row>
    <row r="188" spans="1:73">
      <c r="A188" s="6">
        <v>179</v>
      </c>
      <c r="B188" s="6" t="s">
        <v>1297</v>
      </c>
      <c r="C188" s="421">
        <v>17.5</v>
      </c>
      <c r="D188" s="9">
        <v>0</v>
      </c>
      <c r="E188" s="33">
        <v>4125</v>
      </c>
      <c r="F188" s="9">
        <v>0</v>
      </c>
      <c r="G188" s="9">
        <v>11108.373639999998</v>
      </c>
      <c r="H188" s="9">
        <v>4683</v>
      </c>
      <c r="I188" s="9">
        <v>6425</v>
      </c>
      <c r="J188" s="9">
        <v>23065.342200000003</v>
      </c>
      <c r="K188" s="9">
        <v>9814</v>
      </c>
      <c r="L188" s="9">
        <v>13251</v>
      </c>
      <c r="M188" s="9">
        <v>48402.476480000005</v>
      </c>
      <c r="N188" s="9">
        <v>20739</v>
      </c>
      <c r="O188" s="9">
        <v>27663</v>
      </c>
      <c r="P188" s="9">
        <v>0</v>
      </c>
      <c r="Q188" s="9">
        <v>49954.876631578947</v>
      </c>
      <c r="R188" s="9">
        <v>22735</v>
      </c>
      <c r="S188" s="9">
        <v>27110</v>
      </c>
      <c r="T188" s="9">
        <v>110</v>
      </c>
      <c r="U188" s="9">
        <v>36523.099191600006</v>
      </c>
      <c r="V188" s="9">
        <v>17440</v>
      </c>
      <c r="W188" s="9">
        <v>26131</v>
      </c>
      <c r="X188" s="9">
        <v>0</v>
      </c>
      <c r="Y188" s="9">
        <v>0</v>
      </c>
      <c r="Z188" s="9">
        <v>24882.900699999998</v>
      </c>
      <c r="AA188" s="9">
        <v>12459</v>
      </c>
      <c r="AB188" s="9">
        <v>24882.900699999998</v>
      </c>
      <c r="AC188" s="9">
        <v>0</v>
      </c>
      <c r="AD188" s="9">
        <v>0</v>
      </c>
      <c r="AE188" s="9">
        <v>0</v>
      </c>
      <c r="AF188" s="9">
        <v>26487.781899999998</v>
      </c>
      <c r="AG188" s="9">
        <v>14438</v>
      </c>
      <c r="AH188" s="9">
        <v>12050</v>
      </c>
      <c r="AI188" s="9">
        <v>26544.465999999997</v>
      </c>
      <c r="AJ188" s="9">
        <v>15491</v>
      </c>
      <c r="AK188" s="28">
        <v>12050</v>
      </c>
      <c r="AL188" s="9">
        <v>26877.483239999998</v>
      </c>
      <c r="AM188" s="9">
        <v>16445</v>
      </c>
      <c r="AN188" s="28">
        <v>12050</v>
      </c>
      <c r="AO188" s="9">
        <v>53506.747079999994</v>
      </c>
      <c r="AP188" s="9">
        <v>35758</v>
      </c>
      <c r="AQ188" s="28">
        <v>17749</v>
      </c>
      <c r="AR188" s="9">
        <v>94454.384875126823</v>
      </c>
      <c r="AS188" s="9">
        <v>67071</v>
      </c>
      <c r="AT188" s="28">
        <v>27383</v>
      </c>
      <c r="AU188" s="9">
        <v>125950.56911999999</v>
      </c>
      <c r="AV188" s="9">
        <v>90115</v>
      </c>
      <c r="AW188" s="9">
        <v>35836</v>
      </c>
      <c r="AX188" s="9">
        <v>114974.37804282685</v>
      </c>
      <c r="AY188" s="9">
        <v>83426</v>
      </c>
      <c r="AZ188" s="28">
        <v>35836</v>
      </c>
      <c r="BA188" s="9">
        <v>102604.6</v>
      </c>
      <c r="BB188" s="9">
        <v>77719</v>
      </c>
      <c r="BC188" s="9">
        <v>35836</v>
      </c>
      <c r="BD188" s="9">
        <v>89716.680000000008</v>
      </c>
      <c r="BE188" s="9">
        <v>68581</v>
      </c>
      <c r="BF188" s="9">
        <v>36016</v>
      </c>
      <c r="BG188" s="9">
        <v>109883.97</v>
      </c>
      <c r="BH188" s="9">
        <v>82330</v>
      </c>
      <c r="BI188" s="9">
        <v>36016</v>
      </c>
      <c r="BJ188" s="9">
        <v>164907.6</v>
      </c>
      <c r="BK188" s="9">
        <v>126856</v>
      </c>
      <c r="BL188" s="9">
        <v>38052</v>
      </c>
      <c r="BM188" s="9"/>
      <c r="BN188" s="9"/>
      <c r="BO188" s="9"/>
      <c r="BP188" s="9"/>
      <c r="BQ188" s="9"/>
      <c r="BR188" s="9"/>
      <c r="BS188" s="9"/>
      <c r="BT188" s="9"/>
      <c r="BU188" s="9"/>
    </row>
    <row r="189" spans="1:73">
      <c r="A189" s="6">
        <v>180</v>
      </c>
      <c r="B189" s="6" t="s">
        <v>1298</v>
      </c>
      <c r="C189" s="421">
        <v>24.34</v>
      </c>
      <c r="D189" s="9">
        <v>0</v>
      </c>
      <c r="E189" s="33">
        <v>0</v>
      </c>
      <c r="F189" s="9">
        <v>0</v>
      </c>
      <c r="G189" s="9">
        <v>0</v>
      </c>
      <c r="H189" s="9">
        <v>0</v>
      </c>
      <c r="I189" s="9">
        <v>0</v>
      </c>
      <c r="J189" s="9">
        <v>0</v>
      </c>
      <c r="K189" s="9">
        <v>0</v>
      </c>
      <c r="L189" s="9">
        <v>0</v>
      </c>
      <c r="M189" s="9">
        <v>0</v>
      </c>
      <c r="N189" s="9">
        <v>0</v>
      </c>
      <c r="O189" s="9">
        <v>0</v>
      </c>
      <c r="P189" s="9">
        <v>0</v>
      </c>
      <c r="Q189" s="9">
        <v>0</v>
      </c>
      <c r="R189" s="9">
        <v>0</v>
      </c>
      <c r="S189" s="9">
        <v>0</v>
      </c>
      <c r="T189" s="9">
        <v>0</v>
      </c>
      <c r="U189" s="9">
        <v>0</v>
      </c>
      <c r="V189" s="9">
        <v>0</v>
      </c>
      <c r="W189" s="9">
        <v>0</v>
      </c>
      <c r="X189" s="9">
        <v>0</v>
      </c>
      <c r="Y189" s="9">
        <v>0</v>
      </c>
      <c r="Z189" s="9">
        <v>0</v>
      </c>
      <c r="AA189" s="9">
        <v>0</v>
      </c>
      <c r="AB189" s="9">
        <v>0</v>
      </c>
      <c r="AC189" s="9">
        <v>0</v>
      </c>
      <c r="AD189" s="9">
        <v>0</v>
      </c>
      <c r="AE189" s="9">
        <v>0</v>
      </c>
      <c r="AF189" s="9">
        <v>0</v>
      </c>
      <c r="AG189" s="9">
        <v>0</v>
      </c>
      <c r="AH189" s="9">
        <f>0+50532</f>
        <v>50532</v>
      </c>
      <c r="AI189" s="9">
        <v>39014.69999999999</v>
      </c>
      <c r="AJ189" s="9">
        <v>23081</v>
      </c>
      <c r="AK189" s="28">
        <v>39014.69999999999</v>
      </c>
      <c r="AL189" s="9">
        <v>39599.880000000005</v>
      </c>
      <c r="AM189" s="9">
        <v>24335</v>
      </c>
      <c r="AN189" s="28">
        <v>39014.69999999999</v>
      </c>
      <c r="AO189" s="9">
        <v>52683.680000000008</v>
      </c>
      <c r="AP189" s="9">
        <v>33389</v>
      </c>
      <c r="AQ189" s="28">
        <v>39014.69999999999</v>
      </c>
      <c r="AR189" s="9">
        <v>80501.000061537285</v>
      </c>
      <c r="AS189" s="9">
        <v>51057</v>
      </c>
      <c r="AT189" s="28">
        <v>39014.69999999999</v>
      </c>
      <c r="AU189" s="9">
        <v>96860.12</v>
      </c>
      <c r="AV189" s="9">
        <v>61806</v>
      </c>
      <c r="AW189" s="9">
        <v>39015</v>
      </c>
      <c r="AX189" s="9">
        <v>114974.37804282685</v>
      </c>
      <c r="AY189" s="9">
        <v>73617</v>
      </c>
      <c r="AZ189" s="28">
        <v>41368</v>
      </c>
      <c r="BA189" s="9">
        <v>146578.00000000003</v>
      </c>
      <c r="BB189" s="9">
        <v>99096</v>
      </c>
      <c r="BC189" s="9">
        <v>47504</v>
      </c>
      <c r="BD189" s="9">
        <v>134575.02000000002</v>
      </c>
      <c r="BE189" s="9">
        <v>96496</v>
      </c>
      <c r="BF189" s="9">
        <v>47774</v>
      </c>
      <c r="BG189" s="9">
        <v>202094.16</v>
      </c>
      <c r="BH189" s="9">
        <v>145289</v>
      </c>
      <c r="BI189" s="9">
        <v>56805</v>
      </c>
      <c r="BJ189" s="9">
        <v>164907.6</v>
      </c>
      <c r="BK189" s="9">
        <v>115885</v>
      </c>
      <c r="BL189" s="9">
        <v>56805</v>
      </c>
      <c r="BM189" s="9"/>
      <c r="BN189" s="9"/>
      <c r="BO189" s="9"/>
      <c r="BP189" s="9"/>
      <c r="BQ189" s="9"/>
      <c r="BR189" s="9"/>
      <c r="BS189" s="9"/>
      <c r="BT189" s="9"/>
      <c r="BU189" s="9"/>
    </row>
    <row r="190" spans="1:73">
      <c r="A190" s="6">
        <v>181</v>
      </c>
      <c r="B190" s="6" t="s">
        <v>1299</v>
      </c>
      <c r="C190" s="421">
        <v>54.06</v>
      </c>
      <c r="D190" s="9">
        <v>56448568</v>
      </c>
      <c r="E190" s="33">
        <v>25976682</v>
      </c>
      <c r="F190" s="9">
        <v>30471886</v>
      </c>
      <c r="G190" s="9">
        <v>60543616.070000008</v>
      </c>
      <c r="H190" s="9">
        <v>27289639</v>
      </c>
      <c r="I190" s="9">
        <v>33253977</v>
      </c>
      <c r="J190" s="9">
        <v>64593404.869511366</v>
      </c>
      <c r="K190" s="9">
        <v>28479615</v>
      </c>
      <c r="L190" s="9">
        <v>36113790</v>
      </c>
      <c r="M190" s="9">
        <v>66932258.720000006</v>
      </c>
      <c r="N190" s="9">
        <v>29640305</v>
      </c>
      <c r="O190" s="9">
        <v>33440001</v>
      </c>
      <c r="P190" s="9">
        <v>3929987</v>
      </c>
      <c r="Q190" s="9">
        <v>70754596.227797136</v>
      </c>
      <c r="R190" s="9">
        <v>29742140</v>
      </c>
      <c r="S190" s="9">
        <v>36622588</v>
      </c>
      <c r="T190" s="9">
        <v>4389868</v>
      </c>
      <c r="U190" s="9">
        <v>67174266.656939983</v>
      </c>
      <c r="V190" s="9">
        <v>30293532</v>
      </c>
      <c r="W190" s="9">
        <v>38616511</v>
      </c>
      <c r="X190" s="9">
        <v>207311</v>
      </c>
      <c r="Y190" s="9">
        <v>2370809</v>
      </c>
      <c r="Z190" s="9">
        <v>66167336.409999996</v>
      </c>
      <c r="AA190" s="9">
        <v>30557302</v>
      </c>
      <c r="AB190" s="9">
        <v>38823822</v>
      </c>
      <c r="AC190" s="9">
        <v>68082307.960000008</v>
      </c>
      <c r="AD190" s="9">
        <v>31301841</v>
      </c>
      <c r="AE190" s="9">
        <v>39110902</v>
      </c>
      <c r="AF190" s="9">
        <v>72821269.290000007</v>
      </c>
      <c r="AG190" s="9">
        <v>32658088</v>
      </c>
      <c r="AH190" s="9">
        <f>40240901.1178455+421101</f>
        <v>40662002.117845498</v>
      </c>
      <c r="AI190" s="9">
        <v>73674473.939999998</v>
      </c>
      <c r="AJ190" s="9">
        <v>33532493</v>
      </c>
      <c r="AK190" s="28">
        <v>40839452.117845498</v>
      </c>
      <c r="AL190" s="9">
        <v>75476679.289999992</v>
      </c>
      <c r="AM190" s="9">
        <v>34357316</v>
      </c>
      <c r="AN190" s="28">
        <v>41119363</v>
      </c>
      <c r="AO190" s="9">
        <v>76096298.539999992</v>
      </c>
      <c r="AP190" s="9">
        <v>34166160</v>
      </c>
      <c r="AQ190" s="28">
        <v>42147523</v>
      </c>
      <c r="AR190" s="9">
        <v>76802334.286958128</v>
      </c>
      <c r="AS190" s="9">
        <v>35661626</v>
      </c>
      <c r="AT190" s="28">
        <v>42360163</v>
      </c>
      <c r="AU190" s="9">
        <v>81561883.420000002</v>
      </c>
      <c r="AV190" s="9">
        <v>37125698</v>
      </c>
      <c r="AW190" s="9">
        <v>44704725.328574821</v>
      </c>
      <c r="AX190" s="9">
        <v>86487500.831909508</v>
      </c>
      <c r="AY190" s="9">
        <v>38919879</v>
      </c>
      <c r="AZ190" s="28">
        <v>47567622</v>
      </c>
      <c r="BA190" s="9">
        <v>88769466.079999998</v>
      </c>
      <c r="BB190" s="9">
        <v>40325303</v>
      </c>
      <c r="BC190" s="9">
        <v>48444163</v>
      </c>
      <c r="BD190" s="9">
        <v>89379134.690000013</v>
      </c>
      <c r="BE190" s="9">
        <v>40893031</v>
      </c>
      <c r="BF190" s="9">
        <v>48647173</v>
      </c>
      <c r="BG190" s="9">
        <v>99305681.999999985</v>
      </c>
      <c r="BH190" s="9">
        <v>42704657</v>
      </c>
      <c r="BI190" s="9">
        <v>56601025</v>
      </c>
      <c r="BJ190" s="9">
        <v>109298849.82999998</v>
      </c>
      <c r="BK190" s="9">
        <v>44617436</v>
      </c>
      <c r="BL190" s="9">
        <v>64681414</v>
      </c>
      <c r="BM190" s="9"/>
      <c r="BN190" s="9"/>
      <c r="BO190" s="9"/>
      <c r="BP190" s="9"/>
      <c r="BQ190" s="9"/>
      <c r="BR190" s="9"/>
      <c r="BS190" s="9"/>
      <c r="BT190" s="9"/>
      <c r="BU190" s="9"/>
    </row>
    <row r="191" spans="1:73">
      <c r="A191" s="6">
        <v>182</v>
      </c>
      <c r="B191" s="6" t="s">
        <v>1300</v>
      </c>
      <c r="C191" s="421">
        <v>46.02</v>
      </c>
      <c r="D191" s="9">
        <v>26467283</v>
      </c>
      <c r="E191" s="33">
        <v>12717234</v>
      </c>
      <c r="F191" s="9">
        <v>15072339.000000002</v>
      </c>
      <c r="G191" s="9">
        <v>28711248.540000003</v>
      </c>
      <c r="H191" s="9">
        <v>13593641</v>
      </c>
      <c r="I191" s="9">
        <v>16271963.000000002</v>
      </c>
      <c r="J191" s="9">
        <v>29349175.555037435</v>
      </c>
      <c r="K191" s="9">
        <v>13995503</v>
      </c>
      <c r="L191" s="9">
        <v>16591501.000000002</v>
      </c>
      <c r="M191" s="9">
        <v>30535052.200000003</v>
      </c>
      <c r="N191" s="9">
        <v>14305024</v>
      </c>
      <c r="O191" s="9">
        <v>15378099</v>
      </c>
      <c r="P191" s="9">
        <v>1807289</v>
      </c>
      <c r="Q191" s="9">
        <v>32049946.575188514</v>
      </c>
      <c r="R191" s="9">
        <v>14608790</v>
      </c>
      <c r="S191" s="9">
        <v>16841680</v>
      </c>
      <c r="T191" s="9">
        <v>599477</v>
      </c>
      <c r="U191" s="9">
        <v>31398532.903860003</v>
      </c>
      <c r="V191" s="9">
        <v>14805660</v>
      </c>
      <c r="W191" s="9">
        <v>16422246</v>
      </c>
      <c r="X191" s="9">
        <v>88162</v>
      </c>
      <c r="Y191" s="9">
        <v>1020099</v>
      </c>
      <c r="Z191" s="9">
        <v>32141290.059999999</v>
      </c>
      <c r="AA191" s="9">
        <v>15132961</v>
      </c>
      <c r="AB191" s="9">
        <v>17008329</v>
      </c>
      <c r="AC191" s="9">
        <v>32752133.430000003</v>
      </c>
      <c r="AD191" s="9">
        <v>15459649</v>
      </c>
      <c r="AE191" s="9">
        <v>17292484</v>
      </c>
      <c r="AF191" s="9">
        <v>32588658.5</v>
      </c>
      <c r="AG191" s="9">
        <v>15715800</v>
      </c>
      <c r="AH191" s="9">
        <v>17376809</v>
      </c>
      <c r="AI191" s="9">
        <v>32073963.209999997</v>
      </c>
      <c r="AJ191" s="9">
        <v>15945136</v>
      </c>
      <c r="AK191" s="28">
        <v>17459284</v>
      </c>
      <c r="AL191" s="9">
        <v>32000342.629999999</v>
      </c>
      <c r="AM191" s="9">
        <v>16053881</v>
      </c>
      <c r="AN191" s="28">
        <v>17539709</v>
      </c>
      <c r="AO191" s="9">
        <v>31055481.599999998</v>
      </c>
      <c r="AP191" s="9">
        <v>15735683</v>
      </c>
      <c r="AQ191" s="28">
        <v>17709989</v>
      </c>
      <c r="AR191" s="9">
        <v>29289460.260108851</v>
      </c>
      <c r="AS191" s="9">
        <v>15577573</v>
      </c>
      <c r="AT191" s="28">
        <v>17796089</v>
      </c>
      <c r="AU191" s="9">
        <v>32018438.089999996</v>
      </c>
      <c r="AV191" s="9">
        <v>16144274</v>
      </c>
      <c r="AW191" s="9">
        <v>17887019</v>
      </c>
      <c r="AX191" s="9">
        <v>34113306.289279848</v>
      </c>
      <c r="AY191" s="9">
        <v>16968154</v>
      </c>
      <c r="AZ191" s="28">
        <v>17978609</v>
      </c>
      <c r="BA191" s="9">
        <v>35057530.5</v>
      </c>
      <c r="BB191" s="9">
        <v>18220402</v>
      </c>
      <c r="BC191" s="9">
        <v>17978609</v>
      </c>
      <c r="BD191" s="9">
        <v>35767383</v>
      </c>
      <c r="BE191" s="9">
        <v>19089621</v>
      </c>
      <c r="BF191" s="9">
        <v>18069239</v>
      </c>
      <c r="BG191" s="9">
        <v>40901731.939999998</v>
      </c>
      <c r="BH191" s="9">
        <v>20691229</v>
      </c>
      <c r="BI191" s="9">
        <v>20210503</v>
      </c>
      <c r="BJ191" s="9">
        <v>44333813.130000003</v>
      </c>
      <c r="BK191" s="9">
        <v>22002952</v>
      </c>
      <c r="BL191" s="9">
        <v>22330861</v>
      </c>
      <c r="BM191" s="9"/>
      <c r="BN191" s="9"/>
      <c r="BO191" s="9"/>
      <c r="BP191" s="9"/>
      <c r="BQ191" s="9"/>
      <c r="BR191" s="9"/>
      <c r="BS191" s="9"/>
      <c r="BT191" s="9"/>
      <c r="BU191" s="9"/>
    </row>
    <row r="192" spans="1:73">
      <c r="A192" s="6">
        <v>183</v>
      </c>
      <c r="B192" s="6" t="s">
        <v>1301</v>
      </c>
      <c r="C192" s="421">
        <v>17.5</v>
      </c>
      <c r="D192" s="9">
        <v>0</v>
      </c>
      <c r="E192" s="33">
        <v>2821</v>
      </c>
      <c r="F192" s="9">
        <v>0</v>
      </c>
      <c r="G192" s="9">
        <v>0</v>
      </c>
      <c r="H192" s="9">
        <v>746</v>
      </c>
      <c r="I192" s="9">
        <v>0</v>
      </c>
      <c r="J192" s="9">
        <v>0</v>
      </c>
      <c r="K192" s="9">
        <v>0</v>
      </c>
      <c r="L192" s="9">
        <v>0</v>
      </c>
      <c r="M192" s="9">
        <v>35830.47</v>
      </c>
      <c r="N192" s="9">
        <v>21223</v>
      </c>
      <c r="O192" s="9">
        <v>17650</v>
      </c>
      <c r="P192" s="9">
        <v>0</v>
      </c>
      <c r="Q192" s="9">
        <v>36919.725014354073</v>
      </c>
      <c r="R192" s="9">
        <v>21121</v>
      </c>
      <c r="S192" s="9">
        <v>17297</v>
      </c>
      <c r="T192" s="9">
        <v>0</v>
      </c>
      <c r="U192" s="9">
        <v>36107.447039999999</v>
      </c>
      <c r="V192" s="9">
        <v>18057</v>
      </c>
      <c r="W192" s="9">
        <v>18050</v>
      </c>
      <c r="X192" s="9">
        <v>0</v>
      </c>
      <c r="Y192" s="9">
        <v>0</v>
      </c>
      <c r="Z192" s="9">
        <v>36750.21</v>
      </c>
      <c r="AA192" s="9">
        <v>21942</v>
      </c>
      <c r="AB192" s="9">
        <v>18050</v>
      </c>
      <c r="AC192" s="9">
        <v>38091.630000000005</v>
      </c>
      <c r="AD192" s="9">
        <v>24466</v>
      </c>
      <c r="AE192" s="9">
        <v>18050</v>
      </c>
      <c r="AF192" s="9">
        <v>51576.08</v>
      </c>
      <c r="AG192" s="9">
        <v>33824</v>
      </c>
      <c r="AH192" s="9">
        <v>18050</v>
      </c>
      <c r="AI192" s="9">
        <v>52019.6</v>
      </c>
      <c r="AJ192" s="9">
        <v>39422</v>
      </c>
      <c r="AK192" s="28">
        <v>18050</v>
      </c>
      <c r="AL192" s="9">
        <v>13199.960000000001</v>
      </c>
      <c r="AM192" s="9">
        <v>11856</v>
      </c>
      <c r="AN192" s="28">
        <v>13199.960000000001</v>
      </c>
      <c r="AO192" s="9">
        <v>26341.840000000004</v>
      </c>
      <c r="AP192" s="9">
        <v>21863</v>
      </c>
      <c r="AQ192" s="28">
        <v>13199.960000000001</v>
      </c>
      <c r="AR192" s="9">
        <v>53667.33337435819</v>
      </c>
      <c r="AS192" s="9">
        <v>44587</v>
      </c>
      <c r="AT192" s="28">
        <v>13199.960000000001</v>
      </c>
      <c r="AU192" s="9">
        <v>55348.639999999999</v>
      </c>
      <c r="AV192" s="9">
        <v>44006</v>
      </c>
      <c r="AW192" s="9">
        <v>13200</v>
      </c>
      <c r="AX192" s="9">
        <v>43115.391766060078</v>
      </c>
      <c r="AY192" s="9">
        <v>34267</v>
      </c>
      <c r="AZ192" s="28">
        <v>13200</v>
      </c>
      <c r="BA192" s="9">
        <v>43973.400000000009</v>
      </c>
      <c r="BB192" s="9">
        <v>36278</v>
      </c>
      <c r="BC192" s="9">
        <v>13200</v>
      </c>
      <c r="BD192" s="9">
        <v>44858.340000000004</v>
      </c>
      <c r="BE192" s="9">
        <v>37008</v>
      </c>
      <c r="BF192" s="9">
        <v>13290</v>
      </c>
      <c r="BG192" s="9">
        <v>47093.130000000005</v>
      </c>
      <c r="BH192" s="9">
        <v>38852</v>
      </c>
      <c r="BI192" s="9">
        <v>13290</v>
      </c>
      <c r="BJ192" s="9">
        <v>49472.28</v>
      </c>
      <c r="BK192" s="9">
        <v>40815</v>
      </c>
      <c r="BL192" s="9">
        <v>13290</v>
      </c>
      <c r="BM192" s="9"/>
      <c r="BN192" s="9"/>
      <c r="BO192" s="9"/>
      <c r="BP192" s="9"/>
      <c r="BQ192" s="9"/>
      <c r="BR192" s="9"/>
      <c r="BS192" s="9"/>
      <c r="BT192" s="9"/>
      <c r="BU192" s="9"/>
    </row>
    <row r="193" spans="1:73">
      <c r="A193" s="6">
        <v>184</v>
      </c>
      <c r="B193" s="6" t="s">
        <v>1302</v>
      </c>
      <c r="C193" s="421">
        <v>17.5</v>
      </c>
      <c r="D193" s="9">
        <v>5089625</v>
      </c>
      <c r="E193" s="33">
        <v>4017323</v>
      </c>
      <c r="F193" s="9">
        <v>1072302</v>
      </c>
      <c r="G193" s="9">
        <v>5471810.5766400006</v>
      </c>
      <c r="H193" s="9">
        <v>4145862</v>
      </c>
      <c r="I193" s="9">
        <v>1325949</v>
      </c>
      <c r="J193" s="9">
        <v>5832959.1376389088</v>
      </c>
      <c r="K193" s="9">
        <v>4345126</v>
      </c>
      <c r="L193" s="9">
        <v>1487833</v>
      </c>
      <c r="M193" s="9">
        <v>6321846.7792799994</v>
      </c>
      <c r="N193" s="9">
        <v>4793498</v>
      </c>
      <c r="O193" s="9">
        <v>1430804</v>
      </c>
      <c r="P193" s="9">
        <v>168153</v>
      </c>
      <c r="Q193" s="9">
        <v>6442872.8063946106</v>
      </c>
      <c r="R193" s="9">
        <v>5100614</v>
      </c>
      <c r="S193" s="9">
        <v>1566978</v>
      </c>
      <c r="T193" s="9">
        <v>0</v>
      </c>
      <c r="U193" s="9">
        <v>6158787.1565006413</v>
      </c>
      <c r="V193" s="9">
        <v>5254874</v>
      </c>
      <c r="W193" s="9">
        <v>1475435</v>
      </c>
      <c r="X193" s="9">
        <v>7921</v>
      </c>
      <c r="Y193" s="9">
        <v>102722</v>
      </c>
      <c r="Z193" s="9">
        <v>6001241.5991799999</v>
      </c>
      <c r="AA193" s="9">
        <v>5162532</v>
      </c>
      <c r="AB193" s="9">
        <v>1483356</v>
      </c>
      <c r="AC193" s="9">
        <v>6436171.7904999992</v>
      </c>
      <c r="AD193" s="9">
        <v>5445815</v>
      </c>
      <c r="AE193" s="9">
        <v>1513276</v>
      </c>
      <c r="AF193" s="9">
        <v>6537210.6908500008</v>
      </c>
      <c r="AG193" s="9">
        <v>5536081</v>
      </c>
      <c r="AH193" s="9">
        <v>1531951</v>
      </c>
      <c r="AI193" s="9">
        <v>6500381.7589600012</v>
      </c>
      <c r="AJ193" s="9">
        <v>5534548</v>
      </c>
      <c r="AK193" s="28">
        <v>1550526</v>
      </c>
      <c r="AL193" s="9">
        <v>6509297.9842300005</v>
      </c>
      <c r="AM193" s="9">
        <v>5617606</v>
      </c>
      <c r="AN193" s="28">
        <v>1568751</v>
      </c>
      <c r="AO193" s="9">
        <v>6306838.4600999998</v>
      </c>
      <c r="AP193" s="9">
        <v>5269521</v>
      </c>
      <c r="AQ193" s="28">
        <v>1606481</v>
      </c>
      <c r="AR193" s="9">
        <v>6172360.6719304342</v>
      </c>
      <c r="AS193" s="9">
        <v>5171627</v>
      </c>
      <c r="AT193" s="28">
        <v>1626461</v>
      </c>
      <c r="AU193" s="9">
        <v>6287830.7335999999</v>
      </c>
      <c r="AV193" s="9">
        <v>5187460</v>
      </c>
      <c r="AW193" s="9">
        <v>1646051</v>
      </c>
      <c r="AX193" s="9">
        <v>6689182.2107968954</v>
      </c>
      <c r="AY193" s="9">
        <v>5513538</v>
      </c>
      <c r="AZ193" s="28">
        <v>1666151</v>
      </c>
      <c r="BA193" s="9">
        <v>7013290.1260299999</v>
      </c>
      <c r="BB193" s="9">
        <v>5785964</v>
      </c>
      <c r="BC193" s="9">
        <v>1666151</v>
      </c>
      <c r="BD193" s="9">
        <v>6927207.1538000004</v>
      </c>
      <c r="BE193" s="9">
        <v>5714946</v>
      </c>
      <c r="BF193" s="9">
        <v>1685891</v>
      </c>
      <c r="BG193" s="9">
        <v>7809075.6739000008</v>
      </c>
      <c r="BH193" s="9">
        <v>6381487</v>
      </c>
      <c r="BI193" s="9">
        <v>1726991</v>
      </c>
      <c r="BJ193" s="9">
        <v>8542770.1967999991</v>
      </c>
      <c r="BK193" s="9">
        <v>6914393</v>
      </c>
      <c r="BL193" s="9">
        <v>1769171</v>
      </c>
      <c r="BM193" s="9"/>
      <c r="BN193" s="9"/>
      <c r="BO193" s="9"/>
      <c r="BP193" s="9"/>
      <c r="BQ193" s="9"/>
      <c r="BR193" s="9"/>
      <c r="BS193" s="9"/>
      <c r="BT193" s="9"/>
      <c r="BU193" s="9"/>
    </row>
    <row r="194" spans="1:73">
      <c r="A194" s="6">
        <v>185</v>
      </c>
      <c r="B194" s="6" t="s">
        <v>1303</v>
      </c>
      <c r="C194" s="421">
        <v>58.1</v>
      </c>
      <c r="D194" s="9">
        <v>30216135</v>
      </c>
      <c r="E194" s="33">
        <v>22301521</v>
      </c>
      <c r="F194" s="9">
        <v>9514224.4000000004</v>
      </c>
      <c r="G194" s="9">
        <v>33490000.671320003</v>
      </c>
      <c r="H194" s="9">
        <v>22721351</v>
      </c>
      <c r="I194" s="9">
        <v>10882700</v>
      </c>
      <c r="J194" s="9">
        <v>34771548.012968563</v>
      </c>
      <c r="K194" s="9">
        <v>22716028</v>
      </c>
      <c r="L194" s="9">
        <v>12145146</v>
      </c>
      <c r="M194" s="9">
        <v>36857352.51055</v>
      </c>
      <c r="N194" s="9">
        <v>22611874</v>
      </c>
      <c r="O194" s="9">
        <v>12747364</v>
      </c>
      <c r="P194" s="9">
        <v>1498115</v>
      </c>
      <c r="Q194" s="9">
        <v>38573246.502751864</v>
      </c>
      <c r="R194" s="9">
        <v>22694316</v>
      </c>
      <c r="S194" s="9">
        <v>13960569</v>
      </c>
      <c r="T194" s="9">
        <v>1918362</v>
      </c>
      <c r="U194" s="9">
        <v>37839983.058274925</v>
      </c>
      <c r="V194" s="9">
        <v>22556065</v>
      </c>
      <c r="W194" s="9">
        <v>14990659</v>
      </c>
      <c r="X194" s="9">
        <v>80476</v>
      </c>
      <c r="Y194" s="9">
        <v>910271</v>
      </c>
      <c r="Z194" s="9">
        <v>39488612.219000004</v>
      </c>
      <c r="AA194" s="9">
        <v>22785673</v>
      </c>
      <c r="AB194" s="9">
        <v>16702939</v>
      </c>
      <c r="AC194" s="9">
        <v>41626385.357300006</v>
      </c>
      <c r="AD194" s="9">
        <v>23315453</v>
      </c>
      <c r="AE194" s="9">
        <v>18734609.200679597</v>
      </c>
      <c r="AF194" s="9">
        <v>42774603.567850001</v>
      </c>
      <c r="AG194" s="9">
        <v>23819112</v>
      </c>
      <c r="AH194" s="9">
        <v>19457577.302150823</v>
      </c>
      <c r="AI194" s="9">
        <v>43366941.909150004</v>
      </c>
      <c r="AJ194" s="9">
        <v>23509175</v>
      </c>
      <c r="AK194" s="28">
        <v>20022624.302150823</v>
      </c>
      <c r="AL194" s="9">
        <v>44418717.093200006</v>
      </c>
      <c r="AM194" s="9">
        <v>23574280</v>
      </c>
      <c r="AN194" s="28">
        <v>20844437</v>
      </c>
      <c r="AO194" s="9">
        <v>45013216.029600002</v>
      </c>
      <c r="AP194" s="9">
        <v>22766643</v>
      </c>
      <c r="AQ194" s="28">
        <v>22246573</v>
      </c>
      <c r="AR194" s="9">
        <v>46388900.526972406</v>
      </c>
      <c r="AS194" s="9">
        <v>23243232</v>
      </c>
      <c r="AT194" s="28">
        <v>23145669</v>
      </c>
      <c r="AU194" s="9">
        <v>48944312.482440002</v>
      </c>
      <c r="AV194" s="9">
        <v>24011188</v>
      </c>
      <c r="AW194" s="9">
        <v>24933124</v>
      </c>
      <c r="AX194" s="9">
        <v>52148898.387319937</v>
      </c>
      <c r="AY194" s="9">
        <v>24846959</v>
      </c>
      <c r="AZ194" s="28">
        <v>27301939</v>
      </c>
      <c r="BA194" s="9">
        <v>56604613.875760004</v>
      </c>
      <c r="BB194" s="9">
        <v>25435714</v>
      </c>
      <c r="BC194" s="9">
        <v>31168900</v>
      </c>
      <c r="BD194" s="9">
        <v>58526188.083009996</v>
      </c>
      <c r="BE194" s="9">
        <v>26079517</v>
      </c>
      <c r="BF194" s="9">
        <v>32446671</v>
      </c>
      <c r="BG194" s="9">
        <v>66524190.045280002</v>
      </c>
      <c r="BH194" s="9">
        <v>27110718</v>
      </c>
      <c r="BI194" s="9">
        <v>39413472</v>
      </c>
      <c r="BJ194" s="9">
        <v>75437511.279999986</v>
      </c>
      <c r="BK194" s="9">
        <v>28632172</v>
      </c>
      <c r="BL194" s="9">
        <v>46805339</v>
      </c>
      <c r="BM194" s="9"/>
      <c r="BN194" s="9"/>
      <c r="BO194" s="9"/>
      <c r="BP194" s="9"/>
      <c r="BQ194" s="9"/>
      <c r="BR194" s="9"/>
      <c r="BS194" s="9"/>
      <c r="BT194" s="9"/>
      <c r="BU194" s="9"/>
    </row>
    <row r="195" spans="1:73">
      <c r="A195" s="6">
        <v>186</v>
      </c>
      <c r="B195" s="6" t="s">
        <v>1304</v>
      </c>
      <c r="C195" s="421">
        <v>34.130000000000003</v>
      </c>
      <c r="D195" s="9">
        <v>14287540</v>
      </c>
      <c r="E195" s="33">
        <v>8778478</v>
      </c>
      <c r="F195" s="9">
        <v>5889114</v>
      </c>
      <c r="G195" s="9">
        <v>15323374.32</v>
      </c>
      <c r="H195" s="9">
        <v>9000628</v>
      </c>
      <c r="I195" s="9">
        <v>6392219</v>
      </c>
      <c r="J195" s="9">
        <v>15891803.931504436</v>
      </c>
      <c r="K195" s="9">
        <v>9533703</v>
      </c>
      <c r="L195" s="9">
        <v>6643067</v>
      </c>
      <c r="M195" s="9">
        <v>16607443.680000002</v>
      </c>
      <c r="N195" s="9">
        <v>9835784</v>
      </c>
      <c r="O195" s="9">
        <v>6225068</v>
      </c>
      <c r="P195" s="9">
        <v>731592</v>
      </c>
      <c r="Q195" s="9">
        <v>17069156.465240195</v>
      </c>
      <c r="R195" s="9">
        <v>10132004</v>
      </c>
      <c r="S195" s="9">
        <v>6817527</v>
      </c>
      <c r="T195" s="9">
        <v>119625</v>
      </c>
      <c r="U195" s="9">
        <v>16354315.981439997</v>
      </c>
      <c r="V195" s="9">
        <v>10084315</v>
      </c>
      <c r="W195" s="9">
        <v>6531884</v>
      </c>
      <c r="X195" s="9">
        <v>35066</v>
      </c>
      <c r="Y195" s="9">
        <v>416852</v>
      </c>
      <c r="Z195" s="9">
        <v>16266575.289999999</v>
      </c>
      <c r="AA195" s="9">
        <v>10291233</v>
      </c>
      <c r="AB195" s="9">
        <v>6566950</v>
      </c>
      <c r="AC195" s="9">
        <v>16716297.900000002</v>
      </c>
      <c r="AD195" s="9">
        <v>10391532</v>
      </c>
      <c r="AE195" s="9">
        <v>6638870</v>
      </c>
      <c r="AF195" s="9">
        <v>16935435.850000001</v>
      </c>
      <c r="AG195" s="9">
        <v>10537672</v>
      </c>
      <c r="AH195" s="9">
        <v>6745941.8450512495</v>
      </c>
      <c r="AI195" s="9">
        <v>17048501.060000002</v>
      </c>
      <c r="AJ195" s="9">
        <v>10443623</v>
      </c>
      <c r="AK195" s="28">
        <v>6879057.8450512495</v>
      </c>
      <c r="AL195" s="9">
        <v>17130949.16</v>
      </c>
      <c r="AM195" s="9">
        <v>10531645</v>
      </c>
      <c r="AN195" s="28">
        <v>6922982.8450512495</v>
      </c>
      <c r="AO195" s="9">
        <v>17429845.489999998</v>
      </c>
      <c r="AP195" s="9">
        <v>10473626</v>
      </c>
      <c r="AQ195" s="28">
        <v>7019397.8450512495</v>
      </c>
      <c r="AR195" s="9">
        <v>17780962.153000448</v>
      </c>
      <c r="AS195" s="9">
        <v>10630390</v>
      </c>
      <c r="AT195" s="28">
        <v>7150572</v>
      </c>
      <c r="AU195" s="9">
        <v>18494289.77</v>
      </c>
      <c r="AV195" s="9">
        <v>11140779</v>
      </c>
      <c r="AW195" s="9">
        <v>7371495</v>
      </c>
      <c r="AX195" s="9">
        <v>19134294.708830908</v>
      </c>
      <c r="AY195" s="9">
        <v>11458671</v>
      </c>
      <c r="AZ195" s="28">
        <v>7675624</v>
      </c>
      <c r="BA195" s="9">
        <v>19675592.059999999</v>
      </c>
      <c r="BB195" s="9">
        <v>11797270</v>
      </c>
      <c r="BC195" s="9">
        <v>7878322</v>
      </c>
      <c r="BD195" s="9">
        <v>19104092.829999998</v>
      </c>
      <c r="BE195" s="9">
        <v>12049555</v>
      </c>
      <c r="BF195" s="9">
        <v>7927312</v>
      </c>
      <c r="BG195" s="9">
        <v>20670955.990000002</v>
      </c>
      <c r="BH195" s="9">
        <v>12891181</v>
      </c>
      <c r="BI195" s="9">
        <v>8024392</v>
      </c>
      <c r="BJ195" s="9">
        <v>22434599.240000002</v>
      </c>
      <c r="BK195" s="9">
        <v>13581840</v>
      </c>
      <c r="BL195" s="9">
        <v>8852759</v>
      </c>
      <c r="BM195" s="9"/>
      <c r="BN195" s="9"/>
      <c r="BO195" s="9"/>
      <c r="BP195" s="9"/>
      <c r="BQ195" s="9"/>
      <c r="BR195" s="9"/>
      <c r="BS195" s="9"/>
      <c r="BT195" s="9"/>
      <c r="BU195" s="9"/>
    </row>
    <row r="196" spans="1:73">
      <c r="A196" s="6">
        <v>187</v>
      </c>
      <c r="B196" s="6" t="s">
        <v>1305</v>
      </c>
      <c r="C196" s="421">
        <v>17.5</v>
      </c>
      <c r="D196" s="9">
        <v>9097512</v>
      </c>
      <c r="E196" s="33">
        <v>7264775</v>
      </c>
      <c r="F196" s="9">
        <v>1884585.6</v>
      </c>
      <c r="G196" s="9">
        <v>9483891.5441799983</v>
      </c>
      <c r="H196" s="9">
        <v>7426472</v>
      </c>
      <c r="I196" s="9">
        <v>2102687.6</v>
      </c>
      <c r="J196" s="9">
        <v>10117122.766417645</v>
      </c>
      <c r="K196" s="9">
        <v>7330284</v>
      </c>
      <c r="L196" s="9">
        <v>2786839</v>
      </c>
      <c r="M196" s="9">
        <v>11000973.682880001</v>
      </c>
      <c r="N196" s="9">
        <v>7435813</v>
      </c>
      <c r="O196" s="9">
        <v>3190233</v>
      </c>
      <c r="P196" s="9">
        <v>374928</v>
      </c>
      <c r="Q196" s="9">
        <v>11653273.708027104</v>
      </c>
      <c r="R196" s="9">
        <v>7440876</v>
      </c>
      <c r="S196" s="9">
        <v>3493858</v>
      </c>
      <c r="T196" s="9">
        <v>718540</v>
      </c>
      <c r="U196" s="9">
        <v>11328953.966638198</v>
      </c>
      <c r="V196" s="9">
        <v>7432660</v>
      </c>
      <c r="W196" s="9">
        <v>3966310</v>
      </c>
      <c r="X196" s="9">
        <v>21293</v>
      </c>
      <c r="Y196" s="9">
        <v>257445</v>
      </c>
      <c r="Z196" s="9">
        <v>11812388.784249999</v>
      </c>
      <c r="AA196" s="9">
        <v>7564328</v>
      </c>
      <c r="AB196" s="9">
        <v>4248061</v>
      </c>
      <c r="AC196" s="9">
        <v>12313171.274950001</v>
      </c>
      <c r="AD196" s="9">
        <v>7862256</v>
      </c>
      <c r="AE196" s="9">
        <v>4534410.8393613929</v>
      </c>
      <c r="AF196" s="9">
        <v>12451955.106319999</v>
      </c>
      <c r="AG196" s="9">
        <v>8164569</v>
      </c>
      <c r="AH196" s="9">
        <v>4592771.5320735266</v>
      </c>
      <c r="AI196" s="9">
        <v>12356473.845559999</v>
      </c>
      <c r="AJ196" s="9">
        <v>8219727</v>
      </c>
      <c r="AK196" s="28">
        <v>4625471.5320735266</v>
      </c>
      <c r="AL196" s="9">
        <v>12205625.68949</v>
      </c>
      <c r="AM196" s="9">
        <v>8273796</v>
      </c>
      <c r="AN196" s="28">
        <v>4657396.5320735266</v>
      </c>
      <c r="AO196" s="9">
        <v>11856222.087119998</v>
      </c>
      <c r="AP196" s="9">
        <v>8128057</v>
      </c>
      <c r="AQ196" s="28">
        <v>4725651.5320735266</v>
      </c>
      <c r="AR196" s="9">
        <v>11737004.51467457</v>
      </c>
      <c r="AS196" s="9">
        <v>8397650</v>
      </c>
      <c r="AT196" s="28">
        <v>4761621.5320735266</v>
      </c>
      <c r="AU196" s="9">
        <v>11946580.289849997</v>
      </c>
      <c r="AV196" s="9">
        <v>8451032</v>
      </c>
      <c r="AW196" s="9">
        <v>4796932</v>
      </c>
      <c r="AX196" s="9">
        <v>12179710.209867777</v>
      </c>
      <c r="AY196" s="9">
        <v>8612588</v>
      </c>
      <c r="AZ196" s="28">
        <v>4831312</v>
      </c>
      <c r="BA196" s="9">
        <v>11739340.2481</v>
      </c>
      <c r="BB196" s="9">
        <v>8676571</v>
      </c>
      <c r="BC196" s="9">
        <v>4831312</v>
      </c>
      <c r="BD196" s="9">
        <v>11844886.359460002</v>
      </c>
      <c r="BE196" s="9">
        <v>9095464</v>
      </c>
      <c r="BF196" s="9">
        <v>4862842</v>
      </c>
      <c r="BG196" s="9">
        <v>12954292.108449999</v>
      </c>
      <c r="BH196" s="9">
        <v>9957083</v>
      </c>
      <c r="BI196" s="9">
        <v>4926682</v>
      </c>
      <c r="BJ196" s="9">
        <v>14054851.192480003</v>
      </c>
      <c r="BK196" s="9">
        <v>11047181</v>
      </c>
      <c r="BL196" s="9">
        <v>4992022</v>
      </c>
      <c r="BM196" s="9"/>
      <c r="BN196" s="9"/>
      <c r="BO196" s="9"/>
      <c r="BP196" s="9"/>
      <c r="BQ196" s="9"/>
      <c r="BR196" s="9"/>
      <c r="BS196" s="9"/>
      <c r="BT196" s="9"/>
      <c r="BU196" s="9"/>
    </row>
    <row r="197" spans="1:73">
      <c r="A197" s="6">
        <v>188</v>
      </c>
      <c r="B197" s="6" t="s">
        <v>1306</v>
      </c>
      <c r="C197" s="421">
        <v>47.36</v>
      </c>
      <c r="D197" s="9">
        <v>0</v>
      </c>
      <c r="E197" s="33">
        <v>3591</v>
      </c>
      <c r="F197" s="9">
        <v>0</v>
      </c>
      <c r="G197" s="9">
        <v>10849.66</v>
      </c>
      <c r="H197" s="9">
        <v>3214</v>
      </c>
      <c r="I197" s="9">
        <v>7636</v>
      </c>
      <c r="J197" s="9">
        <v>22710.54</v>
      </c>
      <c r="K197" s="9">
        <v>6563</v>
      </c>
      <c r="L197" s="9">
        <v>16148</v>
      </c>
      <c r="M197" s="9">
        <v>59717.45</v>
      </c>
      <c r="N197" s="9">
        <v>16523</v>
      </c>
      <c r="O197" s="9">
        <v>43194</v>
      </c>
      <c r="P197" s="9">
        <v>0</v>
      </c>
      <c r="Q197" s="9">
        <v>49226.300019138762</v>
      </c>
      <c r="R197" s="9">
        <v>15127</v>
      </c>
      <c r="S197" s="9">
        <v>42330</v>
      </c>
      <c r="T197" s="9">
        <v>0</v>
      </c>
      <c r="U197" s="9">
        <v>60179.078399999999</v>
      </c>
      <c r="V197" s="9">
        <v>19123</v>
      </c>
      <c r="W197" s="9">
        <v>41056</v>
      </c>
      <c r="X197" s="9">
        <v>0</v>
      </c>
      <c r="Y197" s="9">
        <v>0</v>
      </c>
      <c r="Z197" s="9">
        <v>85750.49</v>
      </c>
      <c r="AA197" s="9">
        <v>27251</v>
      </c>
      <c r="AB197" s="9">
        <v>58499</v>
      </c>
      <c r="AC197" s="9">
        <v>50788.840000000004</v>
      </c>
      <c r="AD197" s="9">
        <v>16406</v>
      </c>
      <c r="AE197" s="9">
        <v>50788.840000000004</v>
      </c>
      <c r="AF197" s="9">
        <v>77364.119999999981</v>
      </c>
      <c r="AG197" s="9">
        <v>26377</v>
      </c>
      <c r="AH197" s="9">
        <v>50987</v>
      </c>
      <c r="AI197" s="9">
        <v>26009.8</v>
      </c>
      <c r="AJ197" s="9">
        <v>9583</v>
      </c>
      <c r="AK197" s="28">
        <v>26009.8</v>
      </c>
      <c r="AL197" s="9">
        <v>79199.760000000009</v>
      </c>
      <c r="AM197" s="9">
        <v>30473</v>
      </c>
      <c r="AN197" s="28">
        <v>48727</v>
      </c>
      <c r="AO197" s="9">
        <v>118538.28</v>
      </c>
      <c r="AP197" s="9">
        <v>48101</v>
      </c>
      <c r="AQ197" s="28">
        <v>70899</v>
      </c>
      <c r="AR197" s="9">
        <v>93917.833405126818</v>
      </c>
      <c r="AS197" s="9">
        <v>39748</v>
      </c>
      <c r="AT197" s="28">
        <v>70899</v>
      </c>
      <c r="AU197" s="9">
        <v>124534.43999999997</v>
      </c>
      <c r="AV197" s="9">
        <v>52967</v>
      </c>
      <c r="AW197" s="9">
        <v>71567</v>
      </c>
      <c r="AX197" s="9">
        <v>114974.37804282685</v>
      </c>
      <c r="AY197" s="9">
        <v>48557</v>
      </c>
      <c r="AZ197" s="28">
        <v>71567</v>
      </c>
      <c r="BA197" s="9">
        <v>73289.000000000015</v>
      </c>
      <c r="BB197" s="9">
        <v>33038</v>
      </c>
      <c r="BC197" s="9">
        <v>71567</v>
      </c>
      <c r="BD197" s="9">
        <v>119622.24</v>
      </c>
      <c r="BE197" s="9">
        <v>56307</v>
      </c>
      <c r="BF197" s="9">
        <v>71807</v>
      </c>
      <c r="BG197" s="9">
        <v>141279.39000000001</v>
      </c>
      <c r="BH197" s="9">
        <v>67617</v>
      </c>
      <c r="BI197" s="9">
        <v>73662</v>
      </c>
      <c r="BJ197" s="9">
        <v>98944.56</v>
      </c>
      <c r="BK197" s="9">
        <v>47019</v>
      </c>
      <c r="BL197" s="9">
        <v>73662</v>
      </c>
      <c r="BM197" s="9"/>
      <c r="BN197" s="9"/>
      <c r="BO197" s="9"/>
      <c r="BP197" s="9"/>
      <c r="BQ197" s="9"/>
      <c r="BR197" s="9"/>
      <c r="BS197" s="9"/>
      <c r="BT197" s="9"/>
      <c r="BU197" s="9"/>
    </row>
    <row r="198" spans="1:73">
      <c r="A198" s="6">
        <v>189</v>
      </c>
      <c r="B198" s="6" t="s">
        <v>1307</v>
      </c>
      <c r="C198" s="421">
        <v>17.5</v>
      </c>
      <c r="D198" s="9">
        <v>25151267</v>
      </c>
      <c r="E198" s="33">
        <v>24801774</v>
      </c>
      <c r="F198" s="9">
        <v>3395206.4</v>
      </c>
      <c r="G198" s="9">
        <v>27293508.643200006</v>
      </c>
      <c r="H198" s="9">
        <v>25682096</v>
      </c>
      <c r="I198" s="9">
        <v>3770098.4</v>
      </c>
      <c r="J198" s="9">
        <v>29370007.727681536</v>
      </c>
      <c r="K198" s="9">
        <v>26209746</v>
      </c>
      <c r="L198" s="9">
        <v>4180994.4</v>
      </c>
      <c r="M198" s="9">
        <v>31229186.953800008</v>
      </c>
      <c r="N198" s="9">
        <v>26442315</v>
      </c>
      <c r="O198" s="9">
        <v>4283464</v>
      </c>
      <c r="P198" s="9">
        <v>503408</v>
      </c>
      <c r="Q198" s="9">
        <v>33226179.825447932</v>
      </c>
      <c r="R198" s="9">
        <v>27411598</v>
      </c>
      <c r="S198" s="9">
        <v>4691135</v>
      </c>
      <c r="T198" s="9">
        <v>1123447</v>
      </c>
      <c r="U198" s="9">
        <v>33177677.717974804</v>
      </c>
      <c r="V198" s="9">
        <v>27962065</v>
      </c>
      <c r="W198" s="9">
        <v>5474895</v>
      </c>
      <c r="X198" s="9">
        <v>29392</v>
      </c>
      <c r="Y198" s="9">
        <v>405395</v>
      </c>
      <c r="Z198" s="9">
        <v>33445350.979459997</v>
      </c>
      <c r="AA198" s="9">
        <v>28316699</v>
      </c>
      <c r="AB198" s="9">
        <v>5504287</v>
      </c>
      <c r="AC198" s="9">
        <v>34576600.406800002</v>
      </c>
      <c r="AD198" s="9">
        <v>28905665</v>
      </c>
      <c r="AE198" s="9">
        <v>5765927.5177974999</v>
      </c>
      <c r="AF198" s="9">
        <v>35318011.521599993</v>
      </c>
      <c r="AG198" s="9">
        <v>29777694</v>
      </c>
      <c r="AH198" s="9">
        <v>5869608.6424181247</v>
      </c>
      <c r="AI198" s="9">
        <v>35082060.980719998</v>
      </c>
      <c r="AJ198" s="9">
        <v>29715046</v>
      </c>
      <c r="AK198" s="28">
        <v>5964021.6424181247</v>
      </c>
      <c r="AL198" s="9">
        <v>36501504.885839999</v>
      </c>
      <c r="AM198" s="9">
        <v>30504862</v>
      </c>
      <c r="AN198" s="28">
        <v>6060521.6424181247</v>
      </c>
      <c r="AO198" s="9">
        <v>37238061.294160001</v>
      </c>
      <c r="AP198" s="9">
        <v>30828228</v>
      </c>
      <c r="AQ198" s="28">
        <v>6409833</v>
      </c>
      <c r="AR198" s="9">
        <v>39699383.469837926</v>
      </c>
      <c r="AS198" s="9">
        <v>32142381</v>
      </c>
      <c r="AT198" s="28">
        <v>7557002</v>
      </c>
      <c r="AU198" s="9">
        <v>41890853.241980009</v>
      </c>
      <c r="AV198" s="9">
        <v>33540779</v>
      </c>
      <c r="AW198" s="9">
        <v>8350074</v>
      </c>
      <c r="AX198" s="9">
        <v>44445617.572931923</v>
      </c>
      <c r="AY198" s="9">
        <v>35446365</v>
      </c>
      <c r="AZ198" s="28">
        <v>9033561</v>
      </c>
      <c r="BA198" s="9">
        <v>46912230.011340007</v>
      </c>
      <c r="BB198" s="9">
        <v>37346878</v>
      </c>
      <c r="BC198" s="9">
        <v>9567275</v>
      </c>
      <c r="BD198" s="9">
        <v>48097215.820799999</v>
      </c>
      <c r="BE198" s="9">
        <v>38757408</v>
      </c>
      <c r="BF198" s="9">
        <v>9697475</v>
      </c>
      <c r="BG198" s="9">
        <v>51259127.086869985</v>
      </c>
      <c r="BH198" s="9">
        <v>40535520</v>
      </c>
      <c r="BI198" s="9">
        <v>10723607</v>
      </c>
      <c r="BJ198" s="9">
        <v>53957475.515560001</v>
      </c>
      <c r="BK198" s="9">
        <v>42281594</v>
      </c>
      <c r="BL198" s="9">
        <v>11675882</v>
      </c>
      <c r="BM198" s="9"/>
      <c r="BN198" s="9"/>
      <c r="BO198" s="9"/>
      <c r="BP198" s="9"/>
      <c r="BQ198" s="9"/>
      <c r="BR198" s="9"/>
      <c r="BS198" s="9"/>
      <c r="BT198" s="9"/>
      <c r="BU198" s="9"/>
    </row>
    <row r="199" spans="1:73">
      <c r="A199" s="6">
        <v>190</v>
      </c>
      <c r="B199" s="6" t="s">
        <v>1308</v>
      </c>
      <c r="C199" s="421">
        <v>60.27</v>
      </c>
      <c r="D199" s="9">
        <v>156484</v>
      </c>
      <c r="E199" s="33">
        <v>91583</v>
      </c>
      <c r="F199" s="9">
        <v>84030</v>
      </c>
      <c r="G199" s="9">
        <v>67149.83</v>
      </c>
      <c r="H199" s="9">
        <v>77281</v>
      </c>
      <c r="I199" s="9">
        <v>67149.83</v>
      </c>
      <c r="J199" s="9">
        <v>56859.984915476627</v>
      </c>
      <c r="K199" s="9">
        <v>50042</v>
      </c>
      <c r="L199" s="9">
        <v>56859.984915476627</v>
      </c>
      <c r="M199" s="9">
        <v>117805.94</v>
      </c>
      <c r="N199" s="9">
        <v>70637</v>
      </c>
      <c r="O199" s="9">
        <v>89563.984915476627</v>
      </c>
      <c r="P199" s="9">
        <v>0</v>
      </c>
      <c r="Q199" s="9">
        <v>128295.88296267943</v>
      </c>
      <c r="R199" s="9">
        <v>75685</v>
      </c>
      <c r="S199" s="9">
        <v>87773</v>
      </c>
      <c r="T199" s="9">
        <v>0</v>
      </c>
      <c r="U199" s="9">
        <v>87282.108779999995</v>
      </c>
      <c r="V199" s="9">
        <v>71027</v>
      </c>
      <c r="W199" s="9">
        <v>84262</v>
      </c>
      <c r="X199" s="9">
        <v>0</v>
      </c>
      <c r="Y199" s="9">
        <v>0</v>
      </c>
      <c r="Z199" s="9">
        <v>79783.97</v>
      </c>
      <c r="AA199" s="9">
        <v>68985</v>
      </c>
      <c r="AB199" s="9">
        <v>79783.97</v>
      </c>
      <c r="AC199" s="9">
        <v>75976.200000000012</v>
      </c>
      <c r="AD199" s="9">
        <v>45544</v>
      </c>
      <c r="AE199" s="9">
        <v>75976.200000000012</v>
      </c>
      <c r="AF199" s="9">
        <v>84306.74</v>
      </c>
      <c r="AG199" s="9">
        <v>69217</v>
      </c>
      <c r="AH199" s="9">
        <v>75976.200000000012</v>
      </c>
      <c r="AI199" s="9">
        <v>49377.140000000007</v>
      </c>
      <c r="AJ199" s="9">
        <v>41572</v>
      </c>
      <c r="AK199" s="28">
        <v>49377.140000000007</v>
      </c>
      <c r="AL199" s="9">
        <v>57396.78</v>
      </c>
      <c r="AM199" s="9">
        <v>39279</v>
      </c>
      <c r="AN199" s="28">
        <v>49377.140000000007</v>
      </c>
      <c r="AO199" s="9">
        <v>64197.68</v>
      </c>
      <c r="AP199" s="9">
        <v>43424</v>
      </c>
      <c r="AQ199" s="28">
        <v>49377.140000000007</v>
      </c>
      <c r="AR199" s="9">
        <v>70057.67309236154</v>
      </c>
      <c r="AS199" s="9">
        <v>39434</v>
      </c>
      <c r="AT199" s="28">
        <v>49377.140000000007</v>
      </c>
      <c r="AU199" s="9">
        <v>85324.37</v>
      </c>
      <c r="AV199" s="9">
        <v>62999</v>
      </c>
      <c r="AW199" s="9">
        <v>49377.140000000007</v>
      </c>
      <c r="AX199" s="9">
        <v>101469.77918132796</v>
      </c>
      <c r="AY199" s="9">
        <v>74699</v>
      </c>
      <c r="AZ199" s="28">
        <v>49377</v>
      </c>
      <c r="BA199" s="9">
        <v>149215.03999999998</v>
      </c>
      <c r="BB199" s="9">
        <v>79783</v>
      </c>
      <c r="BC199" s="9">
        <v>69432</v>
      </c>
      <c r="BD199" s="9">
        <v>147610.14000000001</v>
      </c>
      <c r="BE199" s="9">
        <v>75426</v>
      </c>
      <c r="BF199" s="9">
        <v>75502</v>
      </c>
      <c r="BG199" s="9">
        <v>226091.72999999998</v>
      </c>
      <c r="BH199" s="9">
        <v>85510</v>
      </c>
      <c r="BI199" s="9">
        <v>140582</v>
      </c>
      <c r="BJ199" s="9">
        <v>203019.31000000003</v>
      </c>
      <c r="BK199" s="9">
        <v>74223</v>
      </c>
      <c r="BL199" s="9">
        <v>140582</v>
      </c>
      <c r="BM199" s="9"/>
      <c r="BN199" s="9"/>
      <c r="BO199" s="9"/>
      <c r="BP199" s="9"/>
      <c r="BQ199" s="9"/>
      <c r="BR199" s="9"/>
      <c r="BS199" s="9"/>
      <c r="BT199" s="9"/>
      <c r="BU199" s="9"/>
    </row>
    <row r="200" spans="1:73">
      <c r="A200" s="6">
        <v>191</v>
      </c>
      <c r="B200" s="6" t="s">
        <v>1309</v>
      </c>
      <c r="C200" s="421">
        <v>41.18</v>
      </c>
      <c r="D200" s="9">
        <v>11167185</v>
      </c>
      <c r="E200" s="33">
        <v>4551198</v>
      </c>
      <c r="F200" s="9">
        <v>6615987</v>
      </c>
      <c r="G200" s="9">
        <v>11949570.529999999</v>
      </c>
      <c r="H200" s="9">
        <v>4838959</v>
      </c>
      <c r="I200" s="9">
        <v>7111941</v>
      </c>
      <c r="J200" s="9">
        <v>12159308.518842915</v>
      </c>
      <c r="K200" s="9">
        <v>4984969</v>
      </c>
      <c r="L200" s="9">
        <v>7241370</v>
      </c>
      <c r="M200" s="9">
        <v>12797798</v>
      </c>
      <c r="N200" s="9">
        <v>5089158</v>
      </c>
      <c r="O200" s="9">
        <v>6897967</v>
      </c>
      <c r="P200" s="9">
        <v>810673</v>
      </c>
      <c r="Q200" s="9">
        <v>12822835.034947371</v>
      </c>
      <c r="R200" s="9">
        <v>5153721</v>
      </c>
      <c r="S200" s="9">
        <v>7554467</v>
      </c>
      <c r="T200" s="9">
        <v>114647</v>
      </c>
      <c r="U200" s="9">
        <v>12214501.473179998</v>
      </c>
      <c r="V200" s="9">
        <v>5102395</v>
      </c>
      <c r="W200" s="9">
        <v>7221084</v>
      </c>
      <c r="X200" s="9">
        <v>38766</v>
      </c>
      <c r="Y200" s="9">
        <v>444464</v>
      </c>
      <c r="Z200" s="9">
        <v>12125247.350000001</v>
      </c>
      <c r="AA200" s="9">
        <v>5200769</v>
      </c>
      <c r="AB200" s="9">
        <v>7259850</v>
      </c>
      <c r="AC200" s="9">
        <v>12141055.580000002</v>
      </c>
      <c r="AD200" s="9">
        <v>5290215</v>
      </c>
      <c r="AE200" s="9">
        <v>7312050</v>
      </c>
      <c r="AF200" s="9">
        <v>11640741.35</v>
      </c>
      <c r="AG200" s="9">
        <v>5397705</v>
      </c>
      <c r="AH200" s="9">
        <v>7342725</v>
      </c>
      <c r="AI200" s="9">
        <v>11227559.509999998</v>
      </c>
      <c r="AJ200" s="9">
        <v>5516259</v>
      </c>
      <c r="AK200" s="28">
        <v>7372025</v>
      </c>
      <c r="AL200" s="9">
        <v>10642912.68</v>
      </c>
      <c r="AM200" s="9">
        <v>5415578</v>
      </c>
      <c r="AN200" s="28">
        <v>7399425</v>
      </c>
      <c r="AO200" s="9">
        <v>10115062.609999999</v>
      </c>
      <c r="AP200" s="9">
        <v>5426446</v>
      </c>
      <c r="AQ200" s="28">
        <v>7455965</v>
      </c>
      <c r="AR200" s="9">
        <v>9765311.1307165027</v>
      </c>
      <c r="AS200" s="9">
        <v>5261486</v>
      </c>
      <c r="AT200" s="28">
        <v>7484975</v>
      </c>
      <c r="AU200" s="9">
        <v>9770916.2999999989</v>
      </c>
      <c r="AV200" s="9">
        <v>5525534</v>
      </c>
      <c r="AW200" s="9">
        <v>7512995</v>
      </c>
      <c r="AX200" s="9">
        <v>10353119.728939803</v>
      </c>
      <c r="AY200" s="9">
        <v>5746939</v>
      </c>
      <c r="AZ200" s="28">
        <v>7541075</v>
      </c>
      <c r="BA200" s="9">
        <v>10603017.180000002</v>
      </c>
      <c r="BB200" s="9">
        <v>5893568</v>
      </c>
      <c r="BC200" s="9">
        <v>7541075</v>
      </c>
      <c r="BD200" s="9">
        <v>10403183.449999999</v>
      </c>
      <c r="BE200" s="9">
        <v>6007448</v>
      </c>
      <c r="BF200" s="9">
        <v>7567565</v>
      </c>
      <c r="BG200" s="9">
        <v>11078294.98</v>
      </c>
      <c r="BH200" s="9">
        <v>6264895</v>
      </c>
      <c r="BI200" s="9">
        <v>7618685</v>
      </c>
      <c r="BJ200" s="9">
        <v>11361547.17</v>
      </c>
      <c r="BK200" s="9">
        <v>6395027</v>
      </c>
      <c r="BL200" s="9">
        <v>7667285</v>
      </c>
      <c r="BM200" s="9"/>
      <c r="BN200" s="9"/>
      <c r="BO200" s="9"/>
      <c r="BP200" s="9"/>
      <c r="BQ200" s="9"/>
      <c r="BR200" s="9"/>
      <c r="BS200" s="9"/>
      <c r="BT200" s="9"/>
      <c r="BU200" s="9"/>
    </row>
    <row r="201" spans="1:73">
      <c r="A201" s="6">
        <v>192</v>
      </c>
      <c r="B201" s="6" t="s">
        <v>1310</v>
      </c>
      <c r="C201" s="421">
        <v>52.61</v>
      </c>
      <c r="D201" s="9">
        <v>0</v>
      </c>
      <c r="E201" s="33">
        <v>4422</v>
      </c>
      <c r="F201" s="9">
        <v>0</v>
      </c>
      <c r="G201" s="9">
        <v>0</v>
      </c>
      <c r="H201" s="9">
        <v>1165</v>
      </c>
      <c r="I201" s="9">
        <v>0</v>
      </c>
      <c r="J201" s="9">
        <v>0</v>
      </c>
      <c r="K201" s="9">
        <v>0</v>
      </c>
      <c r="L201" s="9">
        <v>0</v>
      </c>
      <c r="M201" s="9">
        <v>11943.49</v>
      </c>
      <c r="N201" s="9">
        <v>5779</v>
      </c>
      <c r="O201" s="9">
        <v>6507</v>
      </c>
      <c r="P201" s="9">
        <v>0</v>
      </c>
      <c r="Q201" s="9">
        <v>12306.57500478469</v>
      </c>
      <c r="R201" s="9">
        <v>5964</v>
      </c>
      <c r="S201" s="9">
        <v>6377</v>
      </c>
      <c r="T201" s="9">
        <v>0</v>
      </c>
      <c r="U201" s="9">
        <v>0</v>
      </c>
      <c r="V201" s="9">
        <v>0</v>
      </c>
      <c r="W201" s="9">
        <v>0</v>
      </c>
      <c r="X201" s="9">
        <v>0</v>
      </c>
      <c r="Y201" s="9">
        <v>0</v>
      </c>
      <c r="Z201" s="9">
        <v>0</v>
      </c>
      <c r="AA201" s="9">
        <v>0</v>
      </c>
      <c r="AB201" s="9">
        <v>0</v>
      </c>
      <c r="AC201" s="9">
        <v>0</v>
      </c>
      <c r="AD201" s="9">
        <v>0</v>
      </c>
      <c r="AE201" s="9">
        <v>0</v>
      </c>
      <c r="AF201" s="9">
        <v>0</v>
      </c>
      <c r="AG201" s="9">
        <v>0</v>
      </c>
      <c r="AH201" s="9">
        <v>0</v>
      </c>
      <c r="AI201" s="9">
        <v>0</v>
      </c>
      <c r="AJ201" s="9">
        <v>0</v>
      </c>
      <c r="AK201" s="28">
        <v>0</v>
      </c>
      <c r="AL201" s="9">
        <v>0</v>
      </c>
      <c r="AM201" s="9">
        <v>0</v>
      </c>
      <c r="AN201" s="28">
        <v>0</v>
      </c>
      <c r="AO201" s="9">
        <v>0</v>
      </c>
      <c r="AP201" s="9">
        <v>0</v>
      </c>
      <c r="AQ201" s="28">
        <v>0</v>
      </c>
      <c r="AR201" s="9">
        <v>0</v>
      </c>
      <c r="AS201" s="9">
        <v>0</v>
      </c>
      <c r="AT201" s="28">
        <v>0</v>
      </c>
      <c r="AU201" s="9">
        <v>0</v>
      </c>
      <c r="AV201" s="9">
        <v>0</v>
      </c>
      <c r="AW201" s="9">
        <v>0</v>
      </c>
      <c r="AX201" s="9">
        <v>0</v>
      </c>
      <c r="AY201" s="9">
        <v>0</v>
      </c>
      <c r="AZ201" s="28">
        <v>0</v>
      </c>
      <c r="BA201" s="9">
        <v>0</v>
      </c>
      <c r="BB201" s="9">
        <v>0</v>
      </c>
      <c r="BC201" s="9">
        <v>0</v>
      </c>
      <c r="BD201" s="9">
        <v>0</v>
      </c>
      <c r="BE201" s="9">
        <v>0</v>
      </c>
      <c r="BF201" s="9">
        <v>0</v>
      </c>
      <c r="BG201" s="9">
        <v>0</v>
      </c>
      <c r="BH201" s="9">
        <v>0</v>
      </c>
      <c r="BI201" s="9">
        <v>0</v>
      </c>
      <c r="BJ201" s="9">
        <v>16490.760000000002</v>
      </c>
      <c r="BK201" s="9">
        <v>7445</v>
      </c>
      <c r="BL201" s="9">
        <v>9046</v>
      </c>
      <c r="BM201" s="9"/>
      <c r="BN201" s="9"/>
      <c r="BO201" s="9"/>
      <c r="BP201" s="9"/>
      <c r="BQ201" s="9"/>
      <c r="BR201" s="9"/>
      <c r="BS201" s="9"/>
      <c r="BT201" s="9"/>
      <c r="BU201" s="9"/>
    </row>
    <row r="202" spans="1:73">
      <c r="A202" s="6">
        <v>193</v>
      </c>
      <c r="B202" s="6" t="s">
        <v>1311</v>
      </c>
      <c r="C202" s="421">
        <v>17.5</v>
      </c>
      <c r="D202" s="9">
        <v>0</v>
      </c>
      <c r="E202" s="33">
        <v>0</v>
      </c>
      <c r="F202" s="9">
        <v>0</v>
      </c>
      <c r="G202" s="9">
        <v>0</v>
      </c>
      <c r="H202" s="9">
        <v>0</v>
      </c>
      <c r="I202" s="9">
        <v>0</v>
      </c>
      <c r="J202" s="9">
        <v>0</v>
      </c>
      <c r="K202" s="9">
        <v>0</v>
      </c>
      <c r="L202" s="9">
        <v>0</v>
      </c>
      <c r="M202" s="9">
        <v>0</v>
      </c>
      <c r="N202" s="9">
        <v>0</v>
      </c>
      <c r="O202" s="9">
        <v>0</v>
      </c>
      <c r="P202" s="9">
        <v>0</v>
      </c>
      <c r="Q202" s="9">
        <v>0</v>
      </c>
      <c r="R202" s="9">
        <v>0</v>
      </c>
      <c r="S202" s="9">
        <v>0</v>
      </c>
      <c r="T202" s="9">
        <v>0</v>
      </c>
      <c r="U202" s="9">
        <v>0</v>
      </c>
      <c r="V202" s="9">
        <v>0</v>
      </c>
      <c r="W202" s="9">
        <v>0</v>
      </c>
      <c r="X202" s="9">
        <v>0</v>
      </c>
      <c r="Y202" s="9">
        <v>0</v>
      </c>
      <c r="Z202" s="9">
        <v>0</v>
      </c>
      <c r="AA202" s="9">
        <v>0</v>
      </c>
      <c r="AB202" s="9">
        <v>0</v>
      </c>
      <c r="AC202" s="9">
        <v>0</v>
      </c>
      <c r="AD202" s="9">
        <v>0</v>
      </c>
      <c r="AE202" s="9">
        <v>0</v>
      </c>
      <c r="AF202" s="9">
        <v>0</v>
      </c>
      <c r="AG202" s="9">
        <v>0</v>
      </c>
      <c r="AH202" s="9">
        <v>0</v>
      </c>
      <c r="AI202" s="9">
        <v>0</v>
      </c>
      <c r="AJ202" s="9">
        <v>0</v>
      </c>
      <c r="AK202" s="28">
        <v>0</v>
      </c>
      <c r="AL202" s="9">
        <v>0</v>
      </c>
      <c r="AM202" s="9">
        <v>0</v>
      </c>
      <c r="AN202" s="28">
        <v>0</v>
      </c>
      <c r="AO202" s="9">
        <v>0</v>
      </c>
      <c r="AP202" s="9">
        <v>0</v>
      </c>
      <c r="AQ202" s="28">
        <v>0</v>
      </c>
      <c r="AR202" s="9">
        <v>0</v>
      </c>
      <c r="AS202" s="9">
        <v>0</v>
      </c>
      <c r="AT202" s="28">
        <v>0</v>
      </c>
      <c r="AU202" s="9">
        <v>0</v>
      </c>
      <c r="AV202" s="9">
        <v>0</v>
      </c>
      <c r="AW202" s="9">
        <v>0</v>
      </c>
      <c r="AX202" s="9">
        <v>0</v>
      </c>
      <c r="AY202" s="9">
        <v>0</v>
      </c>
      <c r="AZ202" s="28">
        <v>0</v>
      </c>
      <c r="BA202" s="9">
        <v>0</v>
      </c>
      <c r="BB202" s="9">
        <v>0</v>
      </c>
      <c r="BC202" s="9">
        <v>0</v>
      </c>
      <c r="BD202" s="9">
        <v>0</v>
      </c>
      <c r="BE202" s="9">
        <v>0</v>
      </c>
      <c r="BF202" s="9">
        <v>0</v>
      </c>
      <c r="BG202" s="9">
        <v>0</v>
      </c>
      <c r="BH202" s="9">
        <v>0</v>
      </c>
      <c r="BI202" s="9">
        <v>0</v>
      </c>
      <c r="BJ202" s="9">
        <v>0</v>
      </c>
      <c r="BK202" s="9">
        <v>0</v>
      </c>
      <c r="BL202" s="9">
        <v>0</v>
      </c>
      <c r="BM202" s="9"/>
      <c r="BN202" s="9"/>
      <c r="BO202" s="9"/>
      <c r="BP202" s="9"/>
      <c r="BQ202" s="9"/>
      <c r="BR202" s="9"/>
      <c r="BS202" s="9"/>
      <c r="BT202" s="9"/>
      <c r="BU202" s="9"/>
    </row>
    <row r="203" spans="1:73">
      <c r="A203" s="6">
        <v>194</v>
      </c>
      <c r="B203" s="6" t="s">
        <v>1312</v>
      </c>
      <c r="C203" s="421">
        <v>17.5</v>
      </c>
      <c r="D203" s="9">
        <v>39186</v>
      </c>
      <c r="E203" s="33">
        <v>23670</v>
      </c>
      <c r="F203" s="9">
        <v>15516</v>
      </c>
      <c r="G203" s="9">
        <v>32548.98</v>
      </c>
      <c r="H203" s="9">
        <v>24028</v>
      </c>
      <c r="I203" s="9">
        <v>15666</v>
      </c>
      <c r="J203" s="9">
        <v>45421.08</v>
      </c>
      <c r="K203" s="9">
        <v>32646</v>
      </c>
      <c r="L203" s="9">
        <v>19296</v>
      </c>
      <c r="M203" s="9">
        <v>35830.47</v>
      </c>
      <c r="N203" s="9">
        <v>26083</v>
      </c>
      <c r="O203" s="9">
        <v>19446</v>
      </c>
      <c r="P203" s="9">
        <v>0</v>
      </c>
      <c r="Q203" s="9">
        <v>61532.87502392345</v>
      </c>
      <c r="R203" s="9">
        <v>39614</v>
      </c>
      <c r="S203" s="9">
        <v>19057</v>
      </c>
      <c r="T203" s="9">
        <v>2862</v>
      </c>
      <c r="U203" s="9">
        <v>36107.447039999999</v>
      </c>
      <c r="V203" s="9">
        <v>25001</v>
      </c>
      <c r="W203" s="9">
        <v>21042</v>
      </c>
      <c r="X203" s="9">
        <v>0</v>
      </c>
      <c r="Y203" s="9">
        <v>0</v>
      </c>
      <c r="Z203" s="9">
        <v>36750.21</v>
      </c>
      <c r="AA203" s="9">
        <v>25778</v>
      </c>
      <c r="AB203" s="9">
        <v>21042</v>
      </c>
      <c r="AC203" s="9">
        <v>25394.420000000002</v>
      </c>
      <c r="AD203" s="9">
        <v>18584</v>
      </c>
      <c r="AE203" s="9">
        <v>21042</v>
      </c>
      <c r="AF203" s="9">
        <v>25788.04</v>
      </c>
      <c r="AG203" s="9">
        <v>20780</v>
      </c>
      <c r="AH203" s="9">
        <v>21042</v>
      </c>
      <c r="AI203" s="9">
        <v>26009.8</v>
      </c>
      <c r="AJ203" s="9">
        <v>21585</v>
      </c>
      <c r="AK203" s="28">
        <v>21042</v>
      </c>
      <c r="AL203" s="9">
        <v>39599.880000000005</v>
      </c>
      <c r="AM203" s="9">
        <v>35467</v>
      </c>
      <c r="AN203" s="28">
        <v>21042</v>
      </c>
      <c r="AO203" s="9">
        <v>65854.600000000006</v>
      </c>
      <c r="AP203" s="9">
        <v>55442</v>
      </c>
      <c r="AQ203" s="28">
        <v>21042</v>
      </c>
      <c r="AR203" s="9">
        <v>80501.000061537285</v>
      </c>
      <c r="AS203" s="9">
        <v>67534</v>
      </c>
      <c r="AT203" s="28">
        <v>21042</v>
      </c>
      <c r="AU203" s="9">
        <v>83022.959999999992</v>
      </c>
      <c r="AV203" s="9">
        <v>68494</v>
      </c>
      <c r="AW203" s="9">
        <v>21042</v>
      </c>
      <c r="AX203" s="9">
        <v>114974.37804282685</v>
      </c>
      <c r="AY203" s="9">
        <v>94854</v>
      </c>
      <c r="AZ203" s="28">
        <v>21042</v>
      </c>
      <c r="BA203" s="9">
        <v>87946.800000000017</v>
      </c>
      <c r="BB203" s="9">
        <v>68444</v>
      </c>
      <c r="BC203" s="9">
        <v>21042</v>
      </c>
      <c r="BD203" s="9">
        <v>59811.12</v>
      </c>
      <c r="BE203" s="9">
        <v>49337</v>
      </c>
      <c r="BF203" s="9">
        <v>21162</v>
      </c>
      <c r="BG203" s="9">
        <v>47093.130000000005</v>
      </c>
      <c r="BH203" s="9">
        <v>38310</v>
      </c>
      <c r="BI203" s="9">
        <v>21162</v>
      </c>
      <c r="BJ203" s="9">
        <v>49472.28</v>
      </c>
      <c r="BK203" s="9">
        <v>37079</v>
      </c>
      <c r="BL203" s="9">
        <v>21162</v>
      </c>
      <c r="BM203" s="9"/>
      <c r="BN203" s="9"/>
      <c r="BO203" s="9"/>
      <c r="BP203" s="9"/>
      <c r="BQ203" s="9"/>
      <c r="BR203" s="9"/>
      <c r="BS203" s="9"/>
      <c r="BT203" s="9"/>
      <c r="BU203" s="9"/>
    </row>
    <row r="204" spans="1:73">
      <c r="A204" s="6">
        <v>195</v>
      </c>
      <c r="B204" s="6" t="s">
        <v>1313</v>
      </c>
      <c r="C204" s="421">
        <v>17.5</v>
      </c>
      <c r="D204" s="9">
        <v>107132</v>
      </c>
      <c r="E204" s="33">
        <v>88820</v>
      </c>
      <c r="F204" s="9">
        <v>19858</v>
      </c>
      <c r="G204" s="9">
        <v>144190.37</v>
      </c>
      <c r="H204" s="9">
        <v>111238</v>
      </c>
      <c r="I204" s="9">
        <v>32952</v>
      </c>
      <c r="J204" s="9">
        <v>126517.21994365109</v>
      </c>
      <c r="K204" s="9">
        <v>115279</v>
      </c>
      <c r="L204" s="9">
        <v>33752</v>
      </c>
      <c r="M204" s="9">
        <v>132726.99</v>
      </c>
      <c r="N204" s="9">
        <v>118261</v>
      </c>
      <c r="O204" s="9">
        <v>34839</v>
      </c>
      <c r="P204" s="9">
        <v>0</v>
      </c>
      <c r="Q204" s="9">
        <v>129580.38256076556</v>
      </c>
      <c r="R204" s="9">
        <v>116497</v>
      </c>
      <c r="S204" s="9">
        <v>34142</v>
      </c>
      <c r="T204" s="9">
        <v>0</v>
      </c>
      <c r="U204" s="9">
        <v>126342.90066</v>
      </c>
      <c r="V204" s="9">
        <v>112337</v>
      </c>
      <c r="W204" s="9">
        <v>32776</v>
      </c>
      <c r="X204" s="9">
        <v>0</v>
      </c>
      <c r="Y204" s="9">
        <v>0</v>
      </c>
      <c r="Z204" s="9">
        <v>120558.2</v>
      </c>
      <c r="AA204" s="9">
        <v>108747</v>
      </c>
      <c r="AB204" s="9">
        <v>32776</v>
      </c>
      <c r="AC204" s="9">
        <v>128118.72</v>
      </c>
      <c r="AD204" s="9">
        <v>110906</v>
      </c>
      <c r="AE204" s="9">
        <v>32776</v>
      </c>
      <c r="AF204" s="9">
        <v>91796.300000000017</v>
      </c>
      <c r="AG204" s="9">
        <v>91796</v>
      </c>
      <c r="AH204" s="9">
        <v>32776</v>
      </c>
      <c r="AI204" s="9">
        <v>92960.28</v>
      </c>
      <c r="AJ204" s="9">
        <v>83664</v>
      </c>
      <c r="AK204" s="28">
        <v>32776</v>
      </c>
      <c r="AL204" s="9">
        <v>89843.44</v>
      </c>
      <c r="AM204" s="9">
        <v>79980</v>
      </c>
      <c r="AN204" s="28">
        <v>32776</v>
      </c>
      <c r="AO204" s="9">
        <v>57421.64</v>
      </c>
      <c r="AP204" s="9">
        <v>51679</v>
      </c>
      <c r="AQ204" s="28">
        <v>32776</v>
      </c>
      <c r="AR204" s="9">
        <v>32643.359126604621</v>
      </c>
      <c r="AS204" s="9">
        <v>29379</v>
      </c>
      <c r="AT204" s="28">
        <v>32643.359126604621</v>
      </c>
      <c r="AU204" s="9">
        <v>25705.73</v>
      </c>
      <c r="AV204" s="9">
        <v>21207</v>
      </c>
      <c r="AW204" s="9">
        <v>25706</v>
      </c>
      <c r="AX204" s="9">
        <v>7755.8152895000003</v>
      </c>
      <c r="AY204" s="9">
        <v>6399</v>
      </c>
      <c r="AZ204" s="28">
        <v>7771</v>
      </c>
      <c r="BA204" s="9">
        <v>17625.62</v>
      </c>
      <c r="BB204" s="9">
        <v>14541</v>
      </c>
      <c r="BC204" s="9">
        <v>7771</v>
      </c>
      <c r="BD204" s="9">
        <v>43505.390000000007</v>
      </c>
      <c r="BE204" s="9">
        <v>35892</v>
      </c>
      <c r="BF204" s="9">
        <v>7921</v>
      </c>
      <c r="BG204" s="9">
        <v>47889.06</v>
      </c>
      <c r="BH204" s="9">
        <v>39508</v>
      </c>
      <c r="BI204" s="9">
        <v>8381</v>
      </c>
      <c r="BJ204" s="9">
        <v>78957.830000000016</v>
      </c>
      <c r="BK204" s="9">
        <v>65140</v>
      </c>
      <c r="BL204" s="9">
        <v>13818</v>
      </c>
      <c r="BM204" s="9"/>
      <c r="BN204" s="9"/>
      <c r="BO204" s="9"/>
      <c r="BP204" s="9"/>
      <c r="BQ204" s="9"/>
      <c r="BR204" s="9"/>
      <c r="BS204" s="9"/>
      <c r="BT204" s="9"/>
      <c r="BU204" s="9"/>
    </row>
    <row r="205" spans="1:73">
      <c r="A205" s="6">
        <v>196</v>
      </c>
      <c r="B205" s="6" t="s">
        <v>1314</v>
      </c>
      <c r="C205" s="421">
        <v>17.5</v>
      </c>
      <c r="D205" s="9">
        <v>2818535</v>
      </c>
      <c r="E205" s="33">
        <v>2890705</v>
      </c>
      <c r="F205" s="9">
        <v>384990</v>
      </c>
      <c r="G205" s="9">
        <v>2885508.92</v>
      </c>
      <c r="H205" s="9">
        <v>2876891</v>
      </c>
      <c r="I205" s="9">
        <v>408985</v>
      </c>
      <c r="J205" s="9">
        <v>2958071.3727178685</v>
      </c>
      <c r="K205" s="9">
        <v>2848361</v>
      </c>
      <c r="L205" s="9">
        <v>441588</v>
      </c>
      <c r="M205" s="9">
        <v>3103459.42</v>
      </c>
      <c r="N205" s="9">
        <v>2795562</v>
      </c>
      <c r="O205" s="9">
        <v>425127</v>
      </c>
      <c r="P205" s="9">
        <v>49962</v>
      </c>
      <c r="Q205" s="9">
        <v>3140215.3490373208</v>
      </c>
      <c r="R205" s="9">
        <v>2769683</v>
      </c>
      <c r="S205" s="9">
        <v>465587</v>
      </c>
      <c r="T205" s="9">
        <v>0</v>
      </c>
      <c r="U205" s="9">
        <v>3009436.1228999998</v>
      </c>
      <c r="V205" s="9">
        <v>2673399</v>
      </c>
      <c r="W205" s="9">
        <v>438388</v>
      </c>
      <c r="X205" s="9">
        <v>2353</v>
      </c>
      <c r="Y205" s="9">
        <v>34021</v>
      </c>
      <c r="Z205" s="9">
        <v>2959458.31</v>
      </c>
      <c r="AA205" s="9">
        <v>2711123</v>
      </c>
      <c r="AB205" s="9">
        <v>440741</v>
      </c>
      <c r="AC205" s="9">
        <v>2836358.0599999996</v>
      </c>
      <c r="AD205" s="9">
        <v>2696296</v>
      </c>
      <c r="AE205" s="9">
        <v>454021</v>
      </c>
      <c r="AF205" s="9">
        <v>2809900.4000000004</v>
      </c>
      <c r="AG205" s="9">
        <v>2700890</v>
      </c>
      <c r="AH205" s="9">
        <f>462021+8422</f>
        <v>470443</v>
      </c>
      <c r="AI205" s="9">
        <v>2670798.36</v>
      </c>
      <c r="AJ205" s="9">
        <v>2403719</v>
      </c>
      <c r="AK205" s="28">
        <v>477893</v>
      </c>
      <c r="AL205" s="9">
        <v>2552657.5399999991</v>
      </c>
      <c r="AM205" s="9">
        <v>2291916</v>
      </c>
      <c r="AN205" s="28">
        <v>484943</v>
      </c>
      <c r="AO205" s="9">
        <v>2541982.4700000002</v>
      </c>
      <c r="AP205" s="9">
        <v>2138805</v>
      </c>
      <c r="AQ205" s="28">
        <v>499903</v>
      </c>
      <c r="AR205" s="9">
        <v>2576635.3961993451</v>
      </c>
      <c r="AS205" s="9">
        <v>2132494</v>
      </c>
      <c r="AT205" s="28">
        <v>508003</v>
      </c>
      <c r="AU205" s="9">
        <v>2540955.2600000002</v>
      </c>
      <c r="AV205" s="9">
        <v>2096288</v>
      </c>
      <c r="AW205" s="9">
        <v>515803</v>
      </c>
      <c r="AX205" s="9">
        <v>2602347.1905727275</v>
      </c>
      <c r="AY205" s="9">
        <v>2146936</v>
      </c>
      <c r="AZ205" s="28">
        <v>523513</v>
      </c>
      <c r="BA205" s="9">
        <v>2739284.95</v>
      </c>
      <c r="BB205" s="9">
        <v>2259910</v>
      </c>
      <c r="BC205" s="9">
        <v>523513</v>
      </c>
      <c r="BD205" s="9">
        <v>2845521.7600000002</v>
      </c>
      <c r="BE205" s="9">
        <v>2347555</v>
      </c>
      <c r="BF205" s="9">
        <v>531403</v>
      </c>
      <c r="BG205" s="9">
        <v>2856293.17</v>
      </c>
      <c r="BH205" s="9">
        <v>2356441</v>
      </c>
      <c r="BI205" s="9">
        <v>546523</v>
      </c>
      <c r="BJ205" s="9">
        <v>2954392.4200000004</v>
      </c>
      <c r="BK205" s="9">
        <v>2437374</v>
      </c>
      <c r="BL205" s="9">
        <v>561403</v>
      </c>
      <c r="BM205" s="9"/>
      <c r="BN205" s="9"/>
      <c r="BO205" s="9"/>
      <c r="BP205" s="9"/>
      <c r="BQ205" s="9"/>
      <c r="BR205" s="9"/>
      <c r="BS205" s="9"/>
      <c r="BT205" s="9"/>
      <c r="BU205" s="9"/>
    </row>
    <row r="206" spans="1:73">
      <c r="A206" s="6">
        <v>197</v>
      </c>
      <c r="B206" s="6" t="s">
        <v>1315</v>
      </c>
      <c r="C206" s="421">
        <v>17.5</v>
      </c>
      <c r="D206" s="9">
        <v>8624608</v>
      </c>
      <c r="E206" s="33">
        <v>13225325</v>
      </c>
      <c r="F206" s="9">
        <v>835167.6</v>
      </c>
      <c r="G206" s="9">
        <v>9230081.2999999989</v>
      </c>
      <c r="H206" s="9">
        <v>12823739</v>
      </c>
      <c r="I206" s="9">
        <v>991186.6</v>
      </c>
      <c r="J206" s="9">
        <v>10186787.557364723</v>
      </c>
      <c r="K206" s="9">
        <v>12276662</v>
      </c>
      <c r="L206" s="9">
        <v>1228636.6000000001</v>
      </c>
      <c r="M206" s="9">
        <v>10648679.940000001</v>
      </c>
      <c r="N206" s="9">
        <v>11576039</v>
      </c>
      <c r="O206" s="9">
        <v>1286905.6000000001</v>
      </c>
      <c r="P206" s="9">
        <v>151242</v>
      </c>
      <c r="Q206" s="9">
        <v>10683423.649684211</v>
      </c>
      <c r="R206" s="9">
        <v>11534629</v>
      </c>
      <c r="S206" s="9">
        <v>1409385</v>
      </c>
      <c r="T206" s="9">
        <v>0</v>
      </c>
      <c r="U206" s="9">
        <v>10295374.04874</v>
      </c>
      <c r="V206" s="9">
        <v>10871032</v>
      </c>
      <c r="W206" s="9">
        <v>1327049</v>
      </c>
      <c r="X206" s="9">
        <v>7124</v>
      </c>
      <c r="Y206" s="9">
        <v>105962</v>
      </c>
      <c r="Z206" s="9">
        <v>11144212.01</v>
      </c>
      <c r="AA206" s="9">
        <v>10901757</v>
      </c>
      <c r="AB206" s="9">
        <v>1334173</v>
      </c>
      <c r="AC206" s="9">
        <v>11866373.959999999</v>
      </c>
      <c r="AD206" s="9">
        <v>11286314</v>
      </c>
      <c r="AE206" s="9">
        <v>1387053</v>
      </c>
      <c r="AF206" s="9">
        <v>12800411.420000002</v>
      </c>
      <c r="AG206" s="9">
        <v>11568827</v>
      </c>
      <c r="AH206" s="9">
        <v>1421503</v>
      </c>
      <c r="AI206" s="9">
        <v>13869821.479999997</v>
      </c>
      <c r="AJ206" s="9">
        <v>11742876</v>
      </c>
      <c r="AK206" s="28">
        <v>2126945</v>
      </c>
      <c r="AL206" s="9">
        <v>15206451.73</v>
      </c>
      <c r="AM206" s="9">
        <v>12225508</v>
      </c>
      <c r="AN206" s="28">
        <v>2980944</v>
      </c>
      <c r="AO206" s="9">
        <v>15743715.589999998</v>
      </c>
      <c r="AP206" s="9">
        <v>12702303</v>
      </c>
      <c r="AQ206" s="28">
        <v>3067074</v>
      </c>
      <c r="AR206" s="9">
        <v>16351990.158213655</v>
      </c>
      <c r="AS206" s="9">
        <v>13342499</v>
      </c>
      <c r="AT206" s="28">
        <v>3114564</v>
      </c>
      <c r="AU206" s="9">
        <v>17684068.190000005</v>
      </c>
      <c r="AV206" s="9">
        <v>14133709</v>
      </c>
      <c r="AW206" s="9">
        <v>3550359</v>
      </c>
      <c r="AX206" s="9">
        <v>19008236.734527193</v>
      </c>
      <c r="AY206" s="9">
        <v>15681795</v>
      </c>
      <c r="AZ206" s="28">
        <v>3600249</v>
      </c>
      <c r="BA206" s="9">
        <v>19472349.760000002</v>
      </c>
      <c r="BB206" s="9">
        <v>16064689</v>
      </c>
      <c r="BC206" s="9">
        <v>3600249</v>
      </c>
      <c r="BD206" s="9">
        <v>20100924.599999998</v>
      </c>
      <c r="BE206" s="9">
        <v>16583263</v>
      </c>
      <c r="BF206" s="9">
        <v>3650139</v>
      </c>
      <c r="BG206" s="9">
        <v>22613557.840000004</v>
      </c>
      <c r="BH206" s="9">
        <v>18656185</v>
      </c>
      <c r="BI206" s="9">
        <v>3957373</v>
      </c>
      <c r="BJ206" s="9">
        <v>25201462.489999998</v>
      </c>
      <c r="BK206" s="9">
        <v>20791207</v>
      </c>
      <c r="BL206" s="9">
        <v>4410255</v>
      </c>
      <c r="BM206" s="9"/>
      <c r="BN206" s="9"/>
      <c r="BO206" s="9"/>
      <c r="BP206" s="9"/>
      <c r="BQ206" s="9"/>
      <c r="BR206" s="9"/>
      <c r="BS206" s="9"/>
      <c r="BT206" s="9"/>
      <c r="BU206" s="9"/>
    </row>
    <row r="207" spans="1:73">
      <c r="A207" s="6">
        <v>198</v>
      </c>
      <c r="B207" s="6" t="s">
        <v>1316</v>
      </c>
      <c r="C207" s="421">
        <v>17.5</v>
      </c>
      <c r="D207" s="9">
        <v>33697813</v>
      </c>
      <c r="E207" s="33">
        <v>33961720</v>
      </c>
      <c r="F207" s="9">
        <v>4176645.6</v>
      </c>
      <c r="G207" s="9">
        <v>36447202.92904</v>
      </c>
      <c r="H207" s="9">
        <v>34581099</v>
      </c>
      <c r="I207" s="9">
        <v>4657788.5999999996</v>
      </c>
      <c r="J207" s="9">
        <v>37564403.525144182</v>
      </c>
      <c r="K207" s="9">
        <v>34454333</v>
      </c>
      <c r="L207" s="9">
        <v>5232583.5999999996</v>
      </c>
      <c r="M207" s="9">
        <v>40487600.791560009</v>
      </c>
      <c r="N207" s="9">
        <v>35263961</v>
      </c>
      <c r="O207" s="9">
        <v>5229410.5999999996</v>
      </c>
      <c r="P207" s="9">
        <v>614579</v>
      </c>
      <c r="Q207" s="9">
        <v>42629277.234462015</v>
      </c>
      <c r="R207" s="9">
        <v>35169154</v>
      </c>
      <c r="S207" s="9">
        <v>5727110</v>
      </c>
      <c r="T207" s="9">
        <v>1733013</v>
      </c>
      <c r="U207" s="9">
        <v>41207446.519019037</v>
      </c>
      <c r="V207" s="9">
        <v>35490451</v>
      </c>
      <c r="W207" s="9">
        <v>7024303</v>
      </c>
      <c r="X207" s="9">
        <v>37710</v>
      </c>
      <c r="Y207" s="9">
        <v>518585</v>
      </c>
      <c r="Z207" s="9">
        <v>43072103.861760005</v>
      </c>
      <c r="AA207" s="9">
        <v>36948274</v>
      </c>
      <c r="AB207" s="9">
        <v>7062013</v>
      </c>
      <c r="AC207" s="9">
        <v>45906950.422800004</v>
      </c>
      <c r="AD207" s="9">
        <v>38397808</v>
      </c>
      <c r="AE207" s="9">
        <v>7640285.5809975006</v>
      </c>
      <c r="AF207" s="9">
        <v>47764102.86208</v>
      </c>
      <c r="AG207" s="9">
        <v>39466673</v>
      </c>
      <c r="AH207" s="9">
        <v>8312752.0002159998</v>
      </c>
      <c r="AI207" s="9">
        <v>49956678.079499997</v>
      </c>
      <c r="AJ207" s="9">
        <v>41275438</v>
      </c>
      <c r="AK207" s="28">
        <v>8681240</v>
      </c>
      <c r="AL207" s="9">
        <v>51546022.215100005</v>
      </c>
      <c r="AM207" s="9">
        <v>42809644</v>
      </c>
      <c r="AN207" s="28">
        <v>8816665</v>
      </c>
      <c r="AO207" s="9">
        <v>52558195.004939988</v>
      </c>
      <c r="AP207" s="9">
        <v>43516697</v>
      </c>
      <c r="AQ207" s="28">
        <v>9117845</v>
      </c>
      <c r="AR207" s="9">
        <v>53048542.559902228</v>
      </c>
      <c r="AS207" s="9">
        <v>43988233</v>
      </c>
      <c r="AT207" s="28">
        <v>9281825</v>
      </c>
      <c r="AU207" s="9">
        <v>55788455.043029986</v>
      </c>
      <c r="AV207" s="9">
        <v>46025476</v>
      </c>
      <c r="AW207" s="9">
        <v>9762979</v>
      </c>
      <c r="AX207" s="9">
        <v>57774437.098210081</v>
      </c>
      <c r="AY207" s="9">
        <v>47663911</v>
      </c>
      <c r="AZ207" s="28">
        <v>10120767</v>
      </c>
      <c r="BA207" s="9">
        <v>58312471.325909987</v>
      </c>
      <c r="BB207" s="9">
        <v>48107789</v>
      </c>
      <c r="BC207" s="9">
        <v>10204682</v>
      </c>
      <c r="BD207" s="9">
        <v>57529966.215679981</v>
      </c>
      <c r="BE207" s="9">
        <v>47462222</v>
      </c>
      <c r="BF207" s="9">
        <v>10362782</v>
      </c>
      <c r="BG207" s="9">
        <v>61356636.239639997</v>
      </c>
      <c r="BH207" s="9">
        <v>49137791</v>
      </c>
      <c r="BI207" s="9">
        <v>12218845</v>
      </c>
      <c r="BJ207" s="9">
        <v>65231071.033819996</v>
      </c>
      <c r="BK207" s="9">
        <v>52065336</v>
      </c>
      <c r="BL207" s="9">
        <v>13165735</v>
      </c>
      <c r="BM207" s="9"/>
      <c r="BN207" s="9"/>
      <c r="BO207" s="9"/>
      <c r="BP207" s="9"/>
      <c r="BQ207" s="9"/>
      <c r="BR207" s="9"/>
      <c r="BS207" s="9"/>
      <c r="BT207" s="9"/>
      <c r="BU207" s="9"/>
    </row>
    <row r="208" spans="1:73">
      <c r="A208" s="6">
        <v>199</v>
      </c>
      <c r="B208" s="6" t="s">
        <v>1317</v>
      </c>
      <c r="C208" s="421">
        <v>17.5</v>
      </c>
      <c r="D208" s="9">
        <v>34180438</v>
      </c>
      <c r="E208" s="33">
        <v>33290098</v>
      </c>
      <c r="F208" s="9">
        <v>3838947.6</v>
      </c>
      <c r="G208" s="9">
        <v>37003280.957180008</v>
      </c>
      <c r="H208" s="9">
        <v>33919990</v>
      </c>
      <c r="I208" s="9">
        <v>4366272.5999999996</v>
      </c>
      <c r="J208" s="9">
        <v>39386972.010866001</v>
      </c>
      <c r="K208" s="9">
        <v>34874779</v>
      </c>
      <c r="L208" s="9">
        <v>5124206.5999999996</v>
      </c>
      <c r="M208" s="9">
        <v>42028556.259200007</v>
      </c>
      <c r="N208" s="9">
        <v>35909710</v>
      </c>
      <c r="O208" s="9">
        <v>5475362</v>
      </c>
      <c r="P208" s="9">
        <v>643484</v>
      </c>
      <c r="Q208" s="9">
        <v>43829318.414363444</v>
      </c>
      <c r="R208" s="9">
        <v>36829428</v>
      </c>
      <c r="S208" s="9">
        <v>5996469</v>
      </c>
      <c r="T208" s="9">
        <v>1003421</v>
      </c>
      <c r="U208" s="9">
        <v>44582496.208305366</v>
      </c>
      <c r="V208" s="9">
        <v>37987380</v>
      </c>
      <c r="W208" s="9">
        <v>6590957</v>
      </c>
      <c r="X208" s="9">
        <v>35383</v>
      </c>
      <c r="Y208" s="9">
        <v>500900</v>
      </c>
      <c r="Z208" s="9">
        <v>46025845.81216</v>
      </c>
      <c r="AA208" s="9">
        <v>39034126</v>
      </c>
      <c r="AB208" s="9">
        <v>6991720</v>
      </c>
      <c r="AC208" s="9">
        <v>48336042.998220004</v>
      </c>
      <c r="AD208" s="9">
        <v>40702053</v>
      </c>
      <c r="AE208" s="9">
        <v>7633990</v>
      </c>
      <c r="AF208" s="9">
        <v>49744211.758409992</v>
      </c>
      <c r="AG208" s="9">
        <v>42426414</v>
      </c>
      <c r="AH208" s="9">
        <v>7901801.7644304372</v>
      </c>
      <c r="AI208" s="9">
        <v>50670510.318260007</v>
      </c>
      <c r="AJ208" s="9">
        <v>43099948</v>
      </c>
      <c r="AK208" s="28">
        <v>8239739.7644304372</v>
      </c>
      <c r="AL208" s="9">
        <v>51969545.140780009</v>
      </c>
      <c r="AM208" s="9">
        <v>44250723</v>
      </c>
      <c r="AN208" s="28">
        <v>8373789.7644304372</v>
      </c>
      <c r="AO208" s="9">
        <v>52228570.584080003</v>
      </c>
      <c r="AP208" s="9">
        <v>43661684</v>
      </c>
      <c r="AQ208" s="28">
        <v>8671394.7644304372</v>
      </c>
      <c r="AR208" s="9">
        <v>54000176.557778552</v>
      </c>
      <c r="AS208" s="9">
        <v>44833817</v>
      </c>
      <c r="AT208" s="28">
        <v>9166360</v>
      </c>
      <c r="AU208" s="9">
        <v>56435153.947120003</v>
      </c>
      <c r="AV208" s="9">
        <v>46559002</v>
      </c>
      <c r="AW208" s="9">
        <v>9876152</v>
      </c>
      <c r="AX208" s="9">
        <v>59693731.68588265</v>
      </c>
      <c r="AY208" s="9">
        <v>49247329</v>
      </c>
      <c r="AZ208" s="28">
        <v>10451715</v>
      </c>
      <c r="BA208" s="9">
        <v>63004475.701059997</v>
      </c>
      <c r="BB208" s="9">
        <v>51978693</v>
      </c>
      <c r="BC208" s="9">
        <v>11025783</v>
      </c>
      <c r="BD208" s="9">
        <v>62757965.939740002</v>
      </c>
      <c r="BE208" s="9">
        <v>51775322</v>
      </c>
      <c r="BF208" s="9">
        <v>11192613</v>
      </c>
      <c r="BG208" s="9">
        <v>66681599.624000005</v>
      </c>
      <c r="BH208" s="9">
        <v>54310286</v>
      </c>
      <c r="BI208" s="9">
        <v>12371314</v>
      </c>
      <c r="BJ208" s="9">
        <v>70773642.887999997</v>
      </c>
      <c r="BK208" s="9">
        <v>57461187</v>
      </c>
      <c r="BL208" s="9">
        <v>13312456</v>
      </c>
      <c r="BM208" s="9"/>
      <c r="BN208" s="9"/>
      <c r="BO208" s="9"/>
      <c r="BP208" s="9"/>
      <c r="BQ208" s="9"/>
      <c r="BR208" s="9"/>
      <c r="BS208" s="9"/>
      <c r="BT208" s="9"/>
      <c r="BU208" s="9"/>
    </row>
    <row r="209" spans="1:73">
      <c r="A209" s="6">
        <v>200</v>
      </c>
      <c r="B209" s="6" t="s">
        <v>1318</v>
      </c>
      <c r="C209" s="421">
        <v>17.5</v>
      </c>
      <c r="D209" s="9">
        <v>314618</v>
      </c>
      <c r="E209" s="33">
        <v>165062</v>
      </c>
      <c r="F209" s="9">
        <v>149556</v>
      </c>
      <c r="G209" s="9">
        <v>313210.37</v>
      </c>
      <c r="H209" s="9">
        <v>163541</v>
      </c>
      <c r="I209" s="9">
        <v>154825</v>
      </c>
      <c r="J209" s="9">
        <v>331313.9947464299</v>
      </c>
      <c r="K209" s="9">
        <v>168568</v>
      </c>
      <c r="L209" s="9">
        <v>163915</v>
      </c>
      <c r="M209" s="9">
        <v>321985.11</v>
      </c>
      <c r="N209" s="9">
        <v>171991</v>
      </c>
      <c r="O209" s="9">
        <v>166015</v>
      </c>
      <c r="P209" s="9">
        <v>0</v>
      </c>
      <c r="Q209" s="9">
        <v>311594.91233684216</v>
      </c>
      <c r="R209" s="9">
        <v>178509</v>
      </c>
      <c r="S209" s="9">
        <v>162695</v>
      </c>
      <c r="T209" s="9">
        <v>0</v>
      </c>
      <c r="U209" s="9">
        <v>360381.76277999999</v>
      </c>
      <c r="V209" s="9">
        <v>180785</v>
      </c>
      <c r="W209" s="9">
        <v>179597</v>
      </c>
      <c r="X209" s="9">
        <v>0</v>
      </c>
      <c r="Y209" s="9">
        <v>0</v>
      </c>
      <c r="Z209" s="9">
        <v>334159.74</v>
      </c>
      <c r="AA209" s="9">
        <v>188252</v>
      </c>
      <c r="AB209" s="9">
        <v>179597</v>
      </c>
      <c r="AC209" s="9">
        <v>346722.85000000003</v>
      </c>
      <c r="AD209" s="9">
        <v>196667</v>
      </c>
      <c r="AE209" s="9">
        <v>179597</v>
      </c>
      <c r="AF209" s="9">
        <v>273043.12</v>
      </c>
      <c r="AG209" s="9">
        <v>204082</v>
      </c>
      <c r="AH209" s="9">
        <v>179597</v>
      </c>
      <c r="AI209" s="9">
        <v>266775.95</v>
      </c>
      <c r="AJ209" s="9">
        <v>209694</v>
      </c>
      <c r="AK209" s="28">
        <v>179597</v>
      </c>
      <c r="AL209" s="9">
        <v>217953.86999999997</v>
      </c>
      <c r="AM209" s="9">
        <v>196158</v>
      </c>
      <c r="AN209" s="28">
        <v>179597</v>
      </c>
      <c r="AO209" s="9">
        <v>232405.55000000002</v>
      </c>
      <c r="AP209" s="9">
        <v>193546</v>
      </c>
      <c r="AQ209" s="28">
        <v>179597</v>
      </c>
      <c r="AR209" s="9">
        <v>288557.29529165302</v>
      </c>
      <c r="AS209" s="9">
        <v>204578</v>
      </c>
      <c r="AT209" s="28">
        <v>179597</v>
      </c>
      <c r="AU209" s="9">
        <v>269904.96999999997</v>
      </c>
      <c r="AV209" s="9">
        <v>214173</v>
      </c>
      <c r="AW209" s="9">
        <v>179597</v>
      </c>
      <c r="AX209" s="9">
        <v>289597.24013319105</v>
      </c>
      <c r="AY209" s="9">
        <v>220898</v>
      </c>
      <c r="AZ209" s="28">
        <v>179597</v>
      </c>
      <c r="BA209" s="9">
        <v>278897.32</v>
      </c>
      <c r="BB209" s="9">
        <v>226155</v>
      </c>
      <c r="BC209" s="9">
        <v>179597</v>
      </c>
      <c r="BD209" s="9">
        <v>234545.27</v>
      </c>
      <c r="BE209" s="9">
        <v>193500</v>
      </c>
      <c r="BF209" s="9">
        <v>180257</v>
      </c>
      <c r="BG209" s="9">
        <v>236678.27999999997</v>
      </c>
      <c r="BH209" s="9">
        <v>195260</v>
      </c>
      <c r="BI209" s="9">
        <v>180257</v>
      </c>
      <c r="BJ209" s="9">
        <v>223427.56</v>
      </c>
      <c r="BK209" s="9">
        <v>184328</v>
      </c>
      <c r="BL209" s="9">
        <v>180257</v>
      </c>
      <c r="BM209" s="9"/>
      <c r="BN209" s="9"/>
      <c r="BO209" s="9"/>
      <c r="BP209" s="9"/>
      <c r="BQ209" s="9"/>
      <c r="BR209" s="9"/>
      <c r="BS209" s="9"/>
      <c r="BT209" s="9"/>
      <c r="BU209" s="9"/>
    </row>
    <row r="210" spans="1:73">
      <c r="A210" s="6">
        <v>201</v>
      </c>
      <c r="B210" s="6" t="s">
        <v>1319</v>
      </c>
      <c r="C210" s="421">
        <v>79.459999999999994</v>
      </c>
      <c r="D210" s="9">
        <v>119985462</v>
      </c>
      <c r="E210" s="33">
        <v>15908482</v>
      </c>
      <c r="F210" s="9">
        <v>104076980</v>
      </c>
      <c r="G210" s="9">
        <v>120904310.03999999</v>
      </c>
      <c r="H210" s="9">
        <v>17009241</v>
      </c>
      <c r="I210" s="9">
        <v>104762165</v>
      </c>
      <c r="J210" s="9">
        <v>124529300.86950365</v>
      </c>
      <c r="K210" s="9">
        <v>17999927</v>
      </c>
      <c r="L210" s="9">
        <v>107414208</v>
      </c>
      <c r="M210" s="9">
        <v>129350707.3</v>
      </c>
      <c r="N210" s="9">
        <v>18772687</v>
      </c>
      <c r="O210" s="9">
        <v>99286975</v>
      </c>
      <c r="P210" s="9">
        <v>11668556</v>
      </c>
      <c r="Q210" s="9">
        <v>131101527.27395219</v>
      </c>
      <c r="R210" s="9">
        <v>18393495</v>
      </c>
      <c r="S210" s="9">
        <v>108736420</v>
      </c>
      <c r="T210" s="9">
        <v>3971612</v>
      </c>
      <c r="U210" s="9">
        <v>126977747.19852</v>
      </c>
      <c r="V210" s="9">
        <v>18868260</v>
      </c>
      <c r="W210" s="9">
        <v>106123637</v>
      </c>
      <c r="X210" s="9">
        <v>569719</v>
      </c>
      <c r="Y210" s="9">
        <v>6333076</v>
      </c>
      <c r="Z210" s="9">
        <v>131413254.92999999</v>
      </c>
      <c r="AA210" s="9">
        <v>19608717</v>
      </c>
      <c r="AB210" s="9">
        <v>111804538</v>
      </c>
      <c r="AC210" s="9">
        <v>134200121.78</v>
      </c>
      <c r="AD210" s="9">
        <v>20555694</v>
      </c>
      <c r="AE210" s="9">
        <f>113644428+2452653</f>
        <v>116097081</v>
      </c>
      <c r="AF210" s="9">
        <v>141486159.03000003</v>
      </c>
      <c r="AG210" s="9">
        <v>21429480</v>
      </c>
      <c r="AH210" s="9">
        <v>120056679</v>
      </c>
      <c r="AI210" s="9">
        <v>146174509.68000001</v>
      </c>
      <c r="AJ210" s="9">
        <v>22672562</v>
      </c>
      <c r="AK210" s="28">
        <v>123501948</v>
      </c>
      <c r="AL210" s="9">
        <v>149495329.88</v>
      </c>
      <c r="AM210" s="9">
        <v>24366967</v>
      </c>
      <c r="AN210" s="28">
        <v>125128363</v>
      </c>
      <c r="AO210" s="9">
        <v>157744521.90000004</v>
      </c>
      <c r="AP210" s="9">
        <v>25358897</v>
      </c>
      <c r="AQ210" s="28">
        <v>132385625</v>
      </c>
      <c r="AR210" s="9">
        <v>165003222.23219585</v>
      </c>
      <c r="AS210" s="9">
        <v>27078190</v>
      </c>
      <c r="AT210" s="28">
        <v>137925032</v>
      </c>
      <c r="AU210" s="9">
        <v>173832434.18000001</v>
      </c>
      <c r="AV210" s="9">
        <v>28522973</v>
      </c>
      <c r="AW210" s="9">
        <v>145309461</v>
      </c>
      <c r="AX210" s="9">
        <v>189742059.78296334</v>
      </c>
      <c r="AY210" s="9">
        <v>29911096</v>
      </c>
      <c r="AZ210" s="28">
        <v>159830964</v>
      </c>
      <c r="BA210" s="9">
        <v>197388756.04999998</v>
      </c>
      <c r="BB210" s="9">
        <v>31307615</v>
      </c>
      <c r="BC210" s="9">
        <v>166091904</v>
      </c>
      <c r="BD210" s="9">
        <v>206188927.62000003</v>
      </c>
      <c r="BE210" s="9">
        <v>32442344</v>
      </c>
      <c r="BF210" s="9">
        <v>173746584</v>
      </c>
      <c r="BG210" s="9">
        <v>233389315.13999999</v>
      </c>
      <c r="BH210" s="9">
        <v>34303277</v>
      </c>
      <c r="BI210" s="9">
        <v>199086038</v>
      </c>
      <c r="BJ210" s="9">
        <v>259908138.25999999</v>
      </c>
      <c r="BK210" s="9">
        <v>35809016</v>
      </c>
      <c r="BL210" s="9">
        <v>224099122</v>
      </c>
      <c r="BM210" s="9"/>
      <c r="BN210" s="9"/>
      <c r="BO210" s="9"/>
      <c r="BP210" s="9"/>
      <c r="BQ210" s="9"/>
      <c r="BR210" s="9"/>
      <c r="BS210" s="9"/>
      <c r="BT210" s="9"/>
      <c r="BU210" s="9"/>
    </row>
    <row r="211" spans="1:73">
      <c r="A211" s="6">
        <v>202</v>
      </c>
      <c r="B211" s="6" t="s">
        <v>1320</v>
      </c>
      <c r="C211" s="421">
        <v>38.799999999999997</v>
      </c>
      <c r="D211" s="9">
        <v>0</v>
      </c>
      <c r="E211" s="33">
        <v>0</v>
      </c>
      <c r="F211" s="9">
        <v>0</v>
      </c>
      <c r="G211" s="9">
        <v>0</v>
      </c>
      <c r="H211" s="9">
        <v>0</v>
      </c>
      <c r="I211" s="9">
        <v>0</v>
      </c>
      <c r="J211" s="9">
        <v>0</v>
      </c>
      <c r="K211" s="9">
        <v>0</v>
      </c>
      <c r="L211" s="9">
        <v>0</v>
      </c>
      <c r="M211" s="9">
        <v>0</v>
      </c>
      <c r="N211" s="9">
        <v>0</v>
      </c>
      <c r="O211" s="9">
        <v>0</v>
      </c>
      <c r="P211" s="9">
        <v>0</v>
      </c>
      <c r="Q211" s="9">
        <v>0</v>
      </c>
      <c r="R211" s="9">
        <v>0</v>
      </c>
      <c r="S211" s="9">
        <v>0</v>
      </c>
      <c r="T211" s="9">
        <v>0</v>
      </c>
      <c r="U211" s="9">
        <v>0</v>
      </c>
      <c r="V211" s="9">
        <v>0</v>
      </c>
      <c r="W211" s="9">
        <v>0</v>
      </c>
      <c r="X211" s="9">
        <v>0</v>
      </c>
      <c r="Y211" s="9">
        <v>0</v>
      </c>
      <c r="Z211" s="9">
        <v>0</v>
      </c>
      <c r="AA211" s="9">
        <v>0</v>
      </c>
      <c r="AB211" s="9">
        <v>0</v>
      </c>
      <c r="AC211" s="9">
        <v>0</v>
      </c>
      <c r="AD211" s="9">
        <v>0</v>
      </c>
      <c r="AE211" s="9">
        <v>0</v>
      </c>
      <c r="AF211" s="9">
        <v>0</v>
      </c>
      <c r="AG211" s="9">
        <v>0</v>
      </c>
      <c r="AH211" s="9">
        <v>0</v>
      </c>
      <c r="AI211" s="9">
        <v>13004.9</v>
      </c>
      <c r="AJ211" s="9">
        <v>7410</v>
      </c>
      <c r="AK211" s="28">
        <v>5595</v>
      </c>
      <c r="AL211" s="9">
        <v>13199.960000000001</v>
      </c>
      <c r="AM211" s="9">
        <v>7496</v>
      </c>
      <c r="AN211" s="28">
        <v>5704</v>
      </c>
      <c r="AO211" s="9">
        <v>0</v>
      </c>
      <c r="AP211" s="9">
        <v>0</v>
      </c>
      <c r="AQ211" s="28">
        <v>0</v>
      </c>
      <c r="AR211" s="9">
        <v>0</v>
      </c>
      <c r="AS211" s="9">
        <v>0</v>
      </c>
      <c r="AT211" s="28">
        <v>0</v>
      </c>
      <c r="AU211" s="9">
        <v>27674.32</v>
      </c>
      <c r="AV211" s="9">
        <v>14896</v>
      </c>
      <c r="AW211" s="9">
        <v>12778</v>
      </c>
      <c r="AX211" s="9">
        <v>28743.594510706713</v>
      </c>
      <c r="AY211" s="9">
        <v>16002</v>
      </c>
      <c r="AZ211" s="28">
        <v>12778</v>
      </c>
      <c r="BA211" s="9">
        <v>43973.400000000009</v>
      </c>
      <c r="BB211" s="9">
        <v>26677</v>
      </c>
      <c r="BC211" s="9">
        <v>17296</v>
      </c>
      <c r="BD211" s="9">
        <v>44858.340000000004</v>
      </c>
      <c r="BE211" s="9">
        <v>28827</v>
      </c>
      <c r="BF211" s="9">
        <v>17386</v>
      </c>
      <c r="BG211" s="9">
        <v>31395.420000000002</v>
      </c>
      <c r="BH211" s="9">
        <v>18664</v>
      </c>
      <c r="BI211" s="9">
        <v>17386</v>
      </c>
      <c r="BJ211" s="9">
        <v>32981.520000000004</v>
      </c>
      <c r="BK211" s="9">
        <v>19885</v>
      </c>
      <c r="BL211" s="9">
        <v>17386</v>
      </c>
      <c r="BM211" s="9"/>
      <c r="BN211" s="9"/>
      <c r="BO211" s="9"/>
      <c r="BP211" s="9"/>
      <c r="BQ211" s="9"/>
      <c r="BR211" s="9"/>
      <c r="BS211" s="9"/>
      <c r="BT211" s="9"/>
      <c r="BU211" s="9"/>
    </row>
    <row r="212" spans="1:73">
      <c r="A212" s="6">
        <v>203</v>
      </c>
      <c r="B212" s="6" t="s">
        <v>1321</v>
      </c>
      <c r="C212" s="421">
        <v>17.5</v>
      </c>
      <c r="D212" s="9">
        <v>0</v>
      </c>
      <c r="E212" s="33">
        <v>0</v>
      </c>
      <c r="F212" s="9">
        <v>0</v>
      </c>
      <c r="G212" s="9">
        <v>0</v>
      </c>
      <c r="H212" s="9">
        <v>0</v>
      </c>
      <c r="I212" s="9">
        <v>0</v>
      </c>
      <c r="J212" s="9">
        <v>0</v>
      </c>
      <c r="K212" s="9">
        <v>0</v>
      </c>
      <c r="L212" s="9">
        <v>0</v>
      </c>
      <c r="M212" s="9">
        <v>0</v>
      </c>
      <c r="N212" s="9">
        <v>0</v>
      </c>
      <c r="O212" s="9">
        <v>0</v>
      </c>
      <c r="P212" s="9">
        <v>0</v>
      </c>
      <c r="Q212" s="9">
        <v>0</v>
      </c>
      <c r="R212" s="9">
        <v>0</v>
      </c>
      <c r="S212" s="9">
        <v>0</v>
      </c>
      <c r="T212" s="9">
        <v>0</v>
      </c>
      <c r="U212" s="9">
        <v>0</v>
      </c>
      <c r="V212" s="9">
        <v>0</v>
      </c>
      <c r="W212" s="9">
        <v>0</v>
      </c>
      <c r="X212" s="9">
        <v>0</v>
      </c>
      <c r="Y212" s="9">
        <v>0</v>
      </c>
      <c r="Z212" s="9">
        <v>0</v>
      </c>
      <c r="AA212" s="9">
        <v>0</v>
      </c>
      <c r="AB212" s="9">
        <v>0</v>
      </c>
      <c r="AC212" s="9">
        <v>0</v>
      </c>
      <c r="AD212" s="9">
        <v>0</v>
      </c>
      <c r="AE212" s="9">
        <v>0</v>
      </c>
      <c r="AF212" s="9">
        <v>0</v>
      </c>
      <c r="AG212" s="9">
        <v>0</v>
      </c>
      <c r="AH212" s="9">
        <f>0+16844</f>
        <v>16844</v>
      </c>
      <c r="AI212" s="9">
        <v>39848.778960000003</v>
      </c>
      <c r="AJ212" s="9">
        <v>35337</v>
      </c>
      <c r="AK212" s="28">
        <v>16844</v>
      </c>
      <c r="AL212" s="9">
        <v>26986.020340000003</v>
      </c>
      <c r="AM212" s="9">
        <v>23796</v>
      </c>
      <c r="AN212" s="28">
        <v>16844</v>
      </c>
      <c r="AO212" s="9">
        <v>53983.259600000005</v>
      </c>
      <c r="AP212" s="9">
        <v>45708</v>
      </c>
      <c r="AQ212" s="28">
        <v>16844</v>
      </c>
      <c r="AR212" s="9">
        <v>82603.405821537279</v>
      </c>
      <c r="AS212" s="9">
        <v>69230</v>
      </c>
      <c r="AT212" s="28">
        <v>16844</v>
      </c>
      <c r="AU212" s="9">
        <v>70871.668000000005</v>
      </c>
      <c r="AV212" s="9">
        <v>58469</v>
      </c>
      <c r="AW212" s="9">
        <v>16844</v>
      </c>
      <c r="AX212" s="9">
        <v>88469.616812120148</v>
      </c>
      <c r="AY212" s="9">
        <v>72987</v>
      </c>
      <c r="AZ212" s="28">
        <v>16844</v>
      </c>
      <c r="BA212" s="9">
        <v>45293.483039999999</v>
      </c>
      <c r="BB212" s="9">
        <v>37367</v>
      </c>
      <c r="BC212" s="9">
        <v>16844</v>
      </c>
      <c r="BD212" s="9">
        <v>46160.855639999994</v>
      </c>
      <c r="BE212" s="9">
        <v>38083</v>
      </c>
      <c r="BF212" s="9">
        <v>16934</v>
      </c>
      <c r="BG212" s="9">
        <v>32378.457899999998</v>
      </c>
      <c r="BH212" s="9">
        <v>24501</v>
      </c>
      <c r="BI212" s="9">
        <v>16934</v>
      </c>
      <c r="BJ212" s="9">
        <v>17004.397409999998</v>
      </c>
      <c r="BK212" s="9">
        <v>12936</v>
      </c>
      <c r="BL212" s="9">
        <v>16934</v>
      </c>
      <c r="BM212" s="9"/>
      <c r="BN212" s="9"/>
      <c r="BO212" s="9"/>
      <c r="BP212" s="9"/>
      <c r="BQ212" s="9"/>
      <c r="BR212" s="9"/>
      <c r="BS212" s="9"/>
      <c r="BT212" s="9"/>
      <c r="BU212" s="9"/>
    </row>
    <row r="213" spans="1:73">
      <c r="A213" s="6">
        <v>204</v>
      </c>
      <c r="B213" s="6" t="s">
        <v>1322</v>
      </c>
      <c r="C213" s="421">
        <v>17.5</v>
      </c>
      <c r="D213" s="9">
        <v>16302852</v>
      </c>
      <c r="E213" s="33">
        <v>18514828</v>
      </c>
      <c r="F213" s="9">
        <v>2908020</v>
      </c>
      <c r="G213" s="9">
        <v>17369387.83083</v>
      </c>
      <c r="H213" s="9">
        <v>18382676</v>
      </c>
      <c r="I213" s="9">
        <v>3094664</v>
      </c>
      <c r="J213" s="9">
        <v>18138185.240466557</v>
      </c>
      <c r="K213" s="9">
        <v>18210192</v>
      </c>
      <c r="L213" s="9">
        <v>3229204</v>
      </c>
      <c r="M213" s="9">
        <v>19046240.388799995</v>
      </c>
      <c r="N213" s="9">
        <v>17810116</v>
      </c>
      <c r="O213" s="9">
        <v>3031805</v>
      </c>
      <c r="P213" s="9">
        <v>356309</v>
      </c>
      <c r="Q213" s="9">
        <v>19278084.056310378</v>
      </c>
      <c r="R213" s="9">
        <v>17751548</v>
      </c>
      <c r="S213" s="9">
        <v>3320352</v>
      </c>
      <c r="T213" s="9">
        <v>0</v>
      </c>
      <c r="U213" s="9">
        <v>18957046.974179041</v>
      </c>
      <c r="V213" s="9">
        <v>17434050</v>
      </c>
      <c r="W213" s="9">
        <v>3126377</v>
      </c>
      <c r="X213" s="9">
        <v>16784</v>
      </c>
      <c r="Y213" s="9">
        <v>232641</v>
      </c>
      <c r="Z213" s="9">
        <v>19604538.718400002</v>
      </c>
      <c r="AA213" s="9">
        <v>17669920</v>
      </c>
      <c r="AB213" s="9">
        <v>3143161</v>
      </c>
      <c r="AC213" s="9">
        <v>20981094.095319998</v>
      </c>
      <c r="AD213" s="9">
        <v>18161476</v>
      </c>
      <c r="AE213" s="9">
        <v>3236321</v>
      </c>
      <c r="AF213" s="9">
        <v>22075535.224889997</v>
      </c>
      <c r="AG213" s="9">
        <v>18717331</v>
      </c>
      <c r="AH213" s="9">
        <f>3484457.66608894+42110</f>
        <v>3526567.6660889401</v>
      </c>
      <c r="AI213" s="9">
        <v>22313844.746979997</v>
      </c>
      <c r="AJ213" s="9">
        <v>18921662</v>
      </c>
      <c r="AK213" s="28">
        <v>3658991.6660889401</v>
      </c>
      <c r="AL213" s="9">
        <v>22958152.764539998</v>
      </c>
      <c r="AM213" s="9">
        <v>19326232</v>
      </c>
      <c r="AN213" s="28">
        <v>3720116.6660889401</v>
      </c>
      <c r="AO213" s="9">
        <v>22075387.820000004</v>
      </c>
      <c r="AP213" s="9">
        <v>18475881</v>
      </c>
      <c r="AQ213" s="28">
        <v>3851291.6660889401</v>
      </c>
      <c r="AR213" s="9">
        <v>22572192.428649735</v>
      </c>
      <c r="AS213" s="9">
        <v>18688498</v>
      </c>
      <c r="AT213" s="28">
        <v>3923141.6660889401</v>
      </c>
      <c r="AU213" s="9">
        <v>23394062.990000002</v>
      </c>
      <c r="AV213" s="9">
        <v>19300102</v>
      </c>
      <c r="AW213" s="9">
        <v>4093961</v>
      </c>
      <c r="AX213" s="9">
        <v>23879060.905683298</v>
      </c>
      <c r="AY213" s="9">
        <v>19700226</v>
      </c>
      <c r="AZ213" s="28">
        <v>4182944</v>
      </c>
      <c r="BA213" s="9">
        <v>24204978.57</v>
      </c>
      <c r="BB213" s="9">
        <v>19969107</v>
      </c>
      <c r="BC213" s="9">
        <v>4235872</v>
      </c>
      <c r="BD213" s="9">
        <v>24047193.300000001</v>
      </c>
      <c r="BE213" s="9">
        <v>19838934</v>
      </c>
      <c r="BF213" s="9">
        <v>4302202</v>
      </c>
      <c r="BG213" s="9">
        <v>25407534.990000002</v>
      </c>
      <c r="BH213" s="9">
        <v>20726102</v>
      </c>
      <c r="BI213" s="9">
        <v>4681433</v>
      </c>
      <c r="BJ213" s="9">
        <v>27448207.989999998</v>
      </c>
      <c r="BK213" s="9">
        <v>21788063</v>
      </c>
      <c r="BL213" s="9">
        <v>5660145</v>
      </c>
      <c r="BM213" s="9"/>
      <c r="BN213" s="9"/>
      <c r="BO213" s="9"/>
      <c r="BP213" s="9"/>
      <c r="BQ213" s="9"/>
      <c r="BR213" s="9"/>
      <c r="BS213" s="9"/>
      <c r="BT213" s="9"/>
      <c r="BU213" s="9"/>
    </row>
    <row r="214" spans="1:73">
      <c r="A214" s="6">
        <v>205</v>
      </c>
      <c r="B214" s="6" t="s">
        <v>1323</v>
      </c>
      <c r="C214" s="421">
        <v>17.5</v>
      </c>
      <c r="D214" s="9">
        <v>0</v>
      </c>
      <c r="E214" s="33">
        <v>0</v>
      </c>
      <c r="F214" s="9">
        <v>0</v>
      </c>
      <c r="G214" s="9">
        <v>0</v>
      </c>
      <c r="H214" s="9">
        <v>0</v>
      </c>
      <c r="I214" s="9">
        <v>0</v>
      </c>
      <c r="J214" s="9">
        <v>0</v>
      </c>
      <c r="K214" s="9">
        <v>0</v>
      </c>
      <c r="L214" s="9">
        <v>0</v>
      </c>
      <c r="M214" s="9">
        <v>0</v>
      </c>
      <c r="N214" s="9">
        <v>0</v>
      </c>
      <c r="O214" s="9">
        <v>0</v>
      </c>
      <c r="P214" s="9">
        <v>0</v>
      </c>
      <c r="Q214" s="9">
        <v>0</v>
      </c>
      <c r="R214" s="9">
        <v>0</v>
      </c>
      <c r="S214" s="9">
        <v>0</v>
      </c>
      <c r="T214" s="9">
        <v>0</v>
      </c>
      <c r="U214" s="9">
        <v>0</v>
      </c>
      <c r="V214" s="9">
        <v>0</v>
      </c>
      <c r="W214" s="9">
        <v>0</v>
      </c>
      <c r="X214" s="9">
        <v>0</v>
      </c>
      <c r="Y214" s="9">
        <v>0</v>
      </c>
      <c r="Z214" s="9">
        <v>0</v>
      </c>
      <c r="AA214" s="9">
        <v>0</v>
      </c>
      <c r="AB214" s="9">
        <v>0</v>
      </c>
      <c r="AC214" s="9">
        <v>0</v>
      </c>
      <c r="AD214" s="9">
        <v>0</v>
      </c>
      <c r="AE214" s="9">
        <v>0</v>
      </c>
      <c r="AF214" s="9">
        <v>0</v>
      </c>
      <c r="AG214" s="9">
        <v>0</v>
      </c>
      <c r="AH214" s="9">
        <v>0</v>
      </c>
      <c r="AI214" s="9">
        <v>0</v>
      </c>
      <c r="AJ214" s="9">
        <v>0</v>
      </c>
      <c r="AK214" s="28">
        <v>0</v>
      </c>
      <c r="AL214" s="9">
        <v>0</v>
      </c>
      <c r="AM214" s="9">
        <v>0</v>
      </c>
      <c r="AN214" s="28">
        <v>0</v>
      </c>
      <c r="AO214" s="9">
        <v>13170.920000000002</v>
      </c>
      <c r="AP214" s="9">
        <v>10884</v>
      </c>
      <c r="AQ214" s="28">
        <v>2287</v>
      </c>
      <c r="AR214" s="9">
        <v>0</v>
      </c>
      <c r="AS214" s="9">
        <v>0</v>
      </c>
      <c r="AT214" s="28">
        <v>0</v>
      </c>
      <c r="AU214" s="9">
        <v>0</v>
      </c>
      <c r="AV214" s="9">
        <v>0</v>
      </c>
      <c r="AW214" s="9">
        <v>0</v>
      </c>
      <c r="AX214" s="9">
        <v>0</v>
      </c>
      <c r="AY214" s="9">
        <v>0</v>
      </c>
      <c r="AZ214" s="28">
        <v>0</v>
      </c>
      <c r="BA214" s="9">
        <v>0</v>
      </c>
      <c r="BB214" s="9">
        <v>0</v>
      </c>
      <c r="BC214" s="9">
        <v>0</v>
      </c>
      <c r="BD214" s="9">
        <v>0</v>
      </c>
      <c r="BE214" s="9">
        <v>0</v>
      </c>
      <c r="BF214" s="9">
        <v>0</v>
      </c>
      <c r="BG214" s="9">
        <v>0</v>
      </c>
      <c r="BH214" s="9">
        <v>0</v>
      </c>
      <c r="BI214" s="9">
        <v>0</v>
      </c>
      <c r="BJ214" s="9">
        <v>0</v>
      </c>
      <c r="BK214" s="9">
        <v>0</v>
      </c>
      <c r="BL214" s="9">
        <v>0</v>
      </c>
      <c r="BM214" s="9"/>
      <c r="BN214" s="9"/>
      <c r="BO214" s="9"/>
      <c r="BP214" s="9"/>
      <c r="BQ214" s="9"/>
      <c r="BR214" s="9"/>
      <c r="BS214" s="9"/>
      <c r="BT214" s="9"/>
      <c r="BU214" s="9"/>
    </row>
    <row r="215" spans="1:73">
      <c r="A215" s="6">
        <v>206</v>
      </c>
      <c r="B215" s="6" t="s">
        <v>1324</v>
      </c>
      <c r="C215" s="421">
        <v>35.299999999999997</v>
      </c>
      <c r="D215" s="9">
        <v>0</v>
      </c>
      <c r="E215" s="33">
        <v>0</v>
      </c>
      <c r="F215" s="9">
        <v>0</v>
      </c>
      <c r="G215" s="9">
        <v>0</v>
      </c>
      <c r="H215" s="9">
        <v>0</v>
      </c>
      <c r="I215" s="9">
        <v>0</v>
      </c>
      <c r="J215" s="9">
        <v>0</v>
      </c>
      <c r="K215" s="9">
        <v>0</v>
      </c>
      <c r="L215" s="9">
        <v>0</v>
      </c>
      <c r="M215" s="9">
        <v>0</v>
      </c>
      <c r="N215" s="9">
        <v>0</v>
      </c>
      <c r="O215" s="9">
        <v>0</v>
      </c>
      <c r="P215" s="9">
        <v>0</v>
      </c>
      <c r="Q215" s="9">
        <v>0</v>
      </c>
      <c r="R215" s="9">
        <v>0</v>
      </c>
      <c r="S215" s="9">
        <v>0</v>
      </c>
      <c r="T215" s="9">
        <v>0</v>
      </c>
      <c r="U215" s="9">
        <v>0</v>
      </c>
      <c r="V215" s="9">
        <v>0</v>
      </c>
      <c r="W215" s="9">
        <v>0</v>
      </c>
      <c r="X215" s="9">
        <v>0</v>
      </c>
      <c r="Y215" s="9">
        <v>0</v>
      </c>
      <c r="Z215" s="9">
        <v>0</v>
      </c>
      <c r="AA215" s="9">
        <v>0</v>
      </c>
      <c r="AB215" s="9">
        <v>0</v>
      </c>
      <c r="AC215" s="9">
        <v>0</v>
      </c>
      <c r="AD215" s="9">
        <v>0</v>
      </c>
      <c r="AE215" s="9">
        <v>0</v>
      </c>
      <c r="AF215" s="9">
        <v>0</v>
      </c>
      <c r="AG215" s="9">
        <v>0</v>
      </c>
      <c r="AH215" s="9">
        <v>0</v>
      </c>
      <c r="AI215" s="9">
        <v>0</v>
      </c>
      <c r="AJ215" s="9">
        <v>0</v>
      </c>
      <c r="AK215" s="28">
        <v>0</v>
      </c>
      <c r="AL215" s="9">
        <v>0</v>
      </c>
      <c r="AM215" s="9">
        <v>0</v>
      </c>
      <c r="AN215" s="28">
        <v>0</v>
      </c>
      <c r="AO215" s="9">
        <v>0</v>
      </c>
      <c r="AP215" s="9">
        <v>0</v>
      </c>
      <c r="AQ215" s="28">
        <v>0</v>
      </c>
      <c r="AR215" s="9">
        <v>13416.833343589547</v>
      </c>
      <c r="AS215" s="9">
        <v>7366</v>
      </c>
      <c r="AT215" s="28">
        <v>6051</v>
      </c>
      <c r="AU215" s="9">
        <v>13837.16</v>
      </c>
      <c r="AV215" s="9">
        <v>7670</v>
      </c>
      <c r="AW215" s="9">
        <v>6167</v>
      </c>
      <c r="AX215" s="9">
        <v>0</v>
      </c>
      <c r="AY215" s="9">
        <v>0</v>
      </c>
      <c r="AZ215" s="28">
        <v>0</v>
      </c>
      <c r="BA215" s="9">
        <v>0</v>
      </c>
      <c r="BB215" s="9">
        <v>0</v>
      </c>
      <c r="BC215" s="9">
        <v>0</v>
      </c>
      <c r="BD215" s="9">
        <v>0</v>
      </c>
      <c r="BE215" s="9">
        <v>0</v>
      </c>
      <c r="BF215" s="9">
        <v>0</v>
      </c>
      <c r="BG215" s="9">
        <v>0</v>
      </c>
      <c r="BH215" s="9">
        <v>0</v>
      </c>
      <c r="BI215" s="9">
        <v>0</v>
      </c>
      <c r="BJ215" s="9">
        <v>0</v>
      </c>
      <c r="BK215" s="9">
        <v>0</v>
      </c>
      <c r="BL215" s="9">
        <v>0</v>
      </c>
      <c r="BM215" s="9"/>
      <c r="BN215" s="9"/>
      <c r="BO215" s="9"/>
      <c r="BP215" s="9"/>
      <c r="BQ215" s="9"/>
      <c r="BR215" s="9"/>
      <c r="BS215" s="9"/>
      <c r="BT215" s="9"/>
      <c r="BU215" s="9"/>
    </row>
    <row r="216" spans="1:73">
      <c r="A216" s="6">
        <v>207</v>
      </c>
      <c r="B216" s="6" t="s">
        <v>1325</v>
      </c>
      <c r="C216" s="421">
        <v>17.5</v>
      </c>
      <c r="D216" s="9">
        <v>84474234</v>
      </c>
      <c r="E216" s="33">
        <v>95571853</v>
      </c>
      <c r="F216" s="9">
        <v>9687799.5999999996</v>
      </c>
      <c r="G216" s="9">
        <v>91783004.913320005</v>
      </c>
      <c r="H216" s="9">
        <v>95493364</v>
      </c>
      <c r="I216" s="9">
        <v>10966834.6</v>
      </c>
      <c r="J216" s="9">
        <v>96710790.081070766</v>
      </c>
      <c r="K216" s="9">
        <v>94016028</v>
      </c>
      <c r="L216" s="9">
        <v>12754100.6</v>
      </c>
      <c r="M216" s="9">
        <v>102430485.62952003</v>
      </c>
      <c r="N216" s="9">
        <v>93680526</v>
      </c>
      <c r="O216" s="9">
        <v>12939868.6</v>
      </c>
      <c r="P216" s="9">
        <v>1520739</v>
      </c>
      <c r="Q216" s="9">
        <v>106034164.82356572</v>
      </c>
      <c r="R216" s="9">
        <v>94358670</v>
      </c>
      <c r="S216" s="9">
        <v>14171395</v>
      </c>
      <c r="T216" s="9">
        <v>0</v>
      </c>
      <c r="U216" s="9">
        <v>105360168.87611745</v>
      </c>
      <c r="V216" s="9">
        <v>93963930</v>
      </c>
      <c r="W216" s="9">
        <v>13343503</v>
      </c>
      <c r="X216" s="9">
        <v>71634</v>
      </c>
      <c r="Y216" s="9">
        <v>1051383</v>
      </c>
      <c r="Z216" s="9">
        <v>109411944.70578998</v>
      </c>
      <c r="AA216" s="9">
        <v>95907724</v>
      </c>
      <c r="AB216" s="9">
        <v>13504221</v>
      </c>
      <c r="AC216" s="9">
        <v>114655007.73854002</v>
      </c>
      <c r="AD216" s="9">
        <v>98481856</v>
      </c>
      <c r="AE216" s="9">
        <v>16173152</v>
      </c>
      <c r="AF216" s="9">
        <v>119052135.41824004</v>
      </c>
      <c r="AG216" s="9">
        <v>101648356</v>
      </c>
      <c r="AH216" s="9">
        <v>17403779</v>
      </c>
      <c r="AI216" s="9">
        <v>123275321.48661001</v>
      </c>
      <c r="AJ216" s="9">
        <v>103657391</v>
      </c>
      <c r="AK216" s="28">
        <v>19617930</v>
      </c>
      <c r="AL216" s="9">
        <v>126316298.67331998</v>
      </c>
      <c r="AM216" s="9">
        <v>106090242</v>
      </c>
      <c r="AN216" s="28">
        <v>20226057</v>
      </c>
      <c r="AO216" s="9">
        <v>126430397.79993999</v>
      </c>
      <c r="AP216" s="9">
        <v>105306467</v>
      </c>
      <c r="AQ216" s="28">
        <v>21180365</v>
      </c>
      <c r="AR216" s="9">
        <v>131452274.44548996</v>
      </c>
      <c r="AS216" s="9">
        <v>108662422</v>
      </c>
      <c r="AT216" s="28">
        <v>22789852</v>
      </c>
      <c r="AU216" s="9">
        <v>137300637.26189998</v>
      </c>
      <c r="AV216" s="9">
        <v>113273026</v>
      </c>
      <c r="AW216" s="9">
        <v>24027611</v>
      </c>
      <c r="AX216" s="9">
        <v>141578979.06415501</v>
      </c>
      <c r="AY216" s="9">
        <v>116802658</v>
      </c>
      <c r="AZ216" s="28">
        <v>24814496</v>
      </c>
      <c r="BA216" s="9">
        <v>143592665.22735</v>
      </c>
      <c r="BB216" s="9">
        <v>118463949</v>
      </c>
      <c r="BC216" s="9">
        <v>25128716</v>
      </c>
      <c r="BD216" s="9">
        <v>140792530.04910001</v>
      </c>
      <c r="BE216" s="9">
        <v>116153837</v>
      </c>
      <c r="BF216" s="9">
        <v>25492106</v>
      </c>
      <c r="BG216" s="9">
        <v>148413207.17159998</v>
      </c>
      <c r="BH216" s="9">
        <v>122440896</v>
      </c>
      <c r="BI216" s="9">
        <v>26212526</v>
      </c>
      <c r="BJ216" s="9">
        <v>156764603.61603001</v>
      </c>
      <c r="BK216" s="9">
        <v>129330798</v>
      </c>
      <c r="BL216" s="9">
        <v>27433806</v>
      </c>
      <c r="BM216" s="9"/>
      <c r="BN216" s="9"/>
      <c r="BO216" s="9"/>
      <c r="BP216" s="9"/>
      <c r="BQ216" s="9"/>
      <c r="BR216" s="9"/>
      <c r="BS216" s="9"/>
      <c r="BT216" s="9"/>
      <c r="BU216" s="9"/>
    </row>
    <row r="217" spans="1:73">
      <c r="A217" s="6">
        <v>208</v>
      </c>
      <c r="B217" s="6" t="s">
        <v>1326</v>
      </c>
      <c r="C217" s="421">
        <v>17.5</v>
      </c>
      <c r="D217" s="9">
        <v>7375598</v>
      </c>
      <c r="E217" s="33">
        <v>4537885</v>
      </c>
      <c r="F217" s="9">
        <v>3290521</v>
      </c>
      <c r="G217" s="9">
        <v>7514189.6858999999</v>
      </c>
      <c r="H217" s="9">
        <v>4696531</v>
      </c>
      <c r="I217" s="9">
        <v>3342421</v>
      </c>
      <c r="J217" s="9">
        <v>7568629.1283759158</v>
      </c>
      <c r="K217" s="9">
        <v>4835814</v>
      </c>
      <c r="L217" s="9">
        <v>3392371</v>
      </c>
      <c r="M217" s="9">
        <v>7931793.3029600009</v>
      </c>
      <c r="N217" s="9">
        <v>5010638</v>
      </c>
      <c r="O217" s="9">
        <v>3120270</v>
      </c>
      <c r="P217" s="9">
        <v>366705</v>
      </c>
      <c r="Q217" s="9">
        <v>8090406.3416947154</v>
      </c>
      <c r="R217" s="9">
        <v>5856554</v>
      </c>
      <c r="S217" s="9">
        <v>3417236</v>
      </c>
      <c r="T217" s="9">
        <v>0</v>
      </c>
      <c r="U217" s="9">
        <v>7969864.5064924797</v>
      </c>
      <c r="V217" s="9">
        <v>6096820</v>
      </c>
      <c r="W217" s="9">
        <v>3217602</v>
      </c>
      <c r="X217" s="9">
        <v>17273</v>
      </c>
      <c r="Y217" s="9">
        <v>206986</v>
      </c>
      <c r="Z217" s="9">
        <v>7607426.2368400004</v>
      </c>
      <c r="AA217" s="9">
        <v>5982259</v>
      </c>
      <c r="AB217" s="9">
        <v>3234875</v>
      </c>
      <c r="AC217" s="9">
        <v>7567557.911940001</v>
      </c>
      <c r="AD217" s="9">
        <v>6205265</v>
      </c>
      <c r="AE217" s="9">
        <v>3270355</v>
      </c>
      <c r="AF217" s="9">
        <v>7354058.3719600011</v>
      </c>
      <c r="AG217" s="9">
        <v>6196881</v>
      </c>
      <c r="AH217" s="9">
        <v>3291530</v>
      </c>
      <c r="AI217" s="9">
        <v>7315213.0608799998</v>
      </c>
      <c r="AJ217" s="9">
        <v>6240752</v>
      </c>
      <c r="AK217" s="28">
        <v>3312405</v>
      </c>
      <c r="AL217" s="9">
        <v>7167206.0455</v>
      </c>
      <c r="AM217" s="9">
        <v>6157870</v>
      </c>
      <c r="AN217" s="28">
        <v>3332480</v>
      </c>
      <c r="AO217" s="9">
        <v>7797859.3176300004</v>
      </c>
      <c r="AP217" s="9">
        <v>6475611</v>
      </c>
      <c r="AQ217" s="28">
        <v>3380055</v>
      </c>
      <c r="AR217" s="9">
        <v>8254868.1418577991</v>
      </c>
      <c r="AS217" s="9">
        <v>6844844</v>
      </c>
      <c r="AT217" s="28">
        <v>3406815</v>
      </c>
      <c r="AU217" s="9">
        <v>8641112.9091999996</v>
      </c>
      <c r="AV217" s="9">
        <v>7128918</v>
      </c>
      <c r="AW217" s="9">
        <v>3433905</v>
      </c>
      <c r="AX217" s="9">
        <v>9114958.3381727356</v>
      </c>
      <c r="AY217" s="9">
        <v>7519840</v>
      </c>
      <c r="AZ217" s="28">
        <v>3461385</v>
      </c>
      <c r="BA217" s="9">
        <v>9555961.1148400009</v>
      </c>
      <c r="BB217" s="9">
        <v>7883668</v>
      </c>
      <c r="BC217" s="9">
        <v>3461385</v>
      </c>
      <c r="BD217" s="9">
        <v>10190816.706399998</v>
      </c>
      <c r="BE217" s="9">
        <v>8337473</v>
      </c>
      <c r="BF217" s="9">
        <v>3490425</v>
      </c>
      <c r="BG217" s="9">
        <v>11453635.647089999</v>
      </c>
      <c r="BH217" s="9">
        <v>9052188</v>
      </c>
      <c r="BI217" s="9">
        <v>3551805</v>
      </c>
      <c r="BJ217" s="9">
        <v>11993145.444000002</v>
      </c>
      <c r="BK217" s="9">
        <v>9300692</v>
      </c>
      <c r="BL217" s="9">
        <v>3612405</v>
      </c>
      <c r="BM217" s="9"/>
      <c r="BN217" s="9"/>
      <c r="BO217" s="9"/>
      <c r="BP217" s="9"/>
      <c r="BQ217" s="9"/>
      <c r="BR217" s="9"/>
      <c r="BS217" s="9"/>
      <c r="BT217" s="9"/>
      <c r="BU217" s="9"/>
    </row>
    <row r="218" spans="1:73">
      <c r="A218" s="6">
        <v>209</v>
      </c>
      <c r="B218" s="6" t="s">
        <v>1327</v>
      </c>
      <c r="C218" s="421">
        <v>72.510000000000005</v>
      </c>
      <c r="D218" s="9">
        <v>15707349</v>
      </c>
      <c r="E218" s="33">
        <v>2559119</v>
      </c>
      <c r="F218" s="9">
        <v>13830276</v>
      </c>
      <c r="G218" s="9">
        <v>15487886.440000003</v>
      </c>
      <c r="H218" s="9">
        <v>2982732</v>
      </c>
      <c r="I218" s="9">
        <v>13921926</v>
      </c>
      <c r="J218" s="9">
        <v>16104425.472575067</v>
      </c>
      <c r="K218" s="9">
        <v>3199929</v>
      </c>
      <c r="L218" s="9">
        <v>14379275</v>
      </c>
      <c r="M218" s="9">
        <v>16069533.560000001</v>
      </c>
      <c r="N218" s="9">
        <v>3273841</v>
      </c>
      <c r="O218" s="9">
        <v>12943553</v>
      </c>
      <c r="P218" s="9">
        <v>1521172</v>
      </c>
      <c r="Q218" s="9">
        <v>15683925.830859331</v>
      </c>
      <c r="R218" s="9">
        <v>4425733</v>
      </c>
      <c r="S218" s="9">
        <v>14175431</v>
      </c>
      <c r="T218" s="9">
        <v>0</v>
      </c>
      <c r="U218" s="9">
        <v>15476062.162319999</v>
      </c>
      <c r="V218" s="9">
        <v>4393858</v>
      </c>
      <c r="W218" s="9">
        <v>13347304</v>
      </c>
      <c r="X218" s="9">
        <v>71654</v>
      </c>
      <c r="Y218" s="9">
        <v>795823</v>
      </c>
      <c r="Z218" s="9">
        <v>15392110.870000001</v>
      </c>
      <c r="AA218" s="9">
        <v>4489714</v>
      </c>
      <c r="AB218" s="9">
        <v>13418958</v>
      </c>
      <c r="AC218" s="9">
        <v>15076472.880000003</v>
      </c>
      <c r="AD218" s="9">
        <v>4662123</v>
      </c>
      <c r="AE218" s="9">
        <v>13480318</v>
      </c>
      <c r="AF218" s="9">
        <v>15891428.520000001</v>
      </c>
      <c r="AG218" s="9">
        <v>4776899</v>
      </c>
      <c r="AH218" s="9">
        <v>13517943</v>
      </c>
      <c r="AI218" s="9">
        <v>16417451.109999998</v>
      </c>
      <c r="AJ218" s="9">
        <v>4941966</v>
      </c>
      <c r="AK218" s="28">
        <v>13556793</v>
      </c>
      <c r="AL218" s="9">
        <v>16664714.390000004</v>
      </c>
      <c r="AM218" s="9">
        <v>5074150</v>
      </c>
      <c r="AN218" s="28">
        <v>13595418</v>
      </c>
      <c r="AO218" s="9">
        <v>16484834.819999997</v>
      </c>
      <c r="AP218" s="9">
        <v>5063315</v>
      </c>
      <c r="AQ218" s="28">
        <v>13676653</v>
      </c>
      <c r="AR218" s="9">
        <v>17145309.629568465</v>
      </c>
      <c r="AS218" s="9">
        <v>5100302</v>
      </c>
      <c r="AT218" s="28">
        <v>13721833</v>
      </c>
      <c r="AU218" s="9">
        <v>17356231.859999999</v>
      </c>
      <c r="AV218" s="9">
        <v>5097649</v>
      </c>
      <c r="AW218" s="9">
        <v>13766383</v>
      </c>
      <c r="AX218" s="9">
        <v>17859474.703748006</v>
      </c>
      <c r="AY218" s="9">
        <v>5053318</v>
      </c>
      <c r="AZ218" s="28">
        <v>13809703</v>
      </c>
      <c r="BA218" s="9">
        <v>18178355.150000002</v>
      </c>
      <c r="BB218" s="9">
        <v>5057245</v>
      </c>
      <c r="BC218" s="9">
        <v>13809703</v>
      </c>
      <c r="BD218" s="9">
        <v>17897202.07</v>
      </c>
      <c r="BE218" s="9">
        <v>5027520</v>
      </c>
      <c r="BF218" s="9">
        <v>13848943</v>
      </c>
      <c r="BG218" s="9">
        <v>20196370.640000001</v>
      </c>
      <c r="BH218" s="9">
        <v>5276853</v>
      </c>
      <c r="BI218" s="9">
        <v>14919518</v>
      </c>
      <c r="BJ218" s="9">
        <v>21755055.919999998</v>
      </c>
      <c r="BK218" s="9">
        <v>5538974</v>
      </c>
      <c r="BL218" s="9">
        <v>16216082</v>
      </c>
      <c r="BM218" s="9"/>
      <c r="BN218" s="9"/>
      <c r="BO218" s="9"/>
      <c r="BP218" s="9"/>
      <c r="BQ218" s="9"/>
      <c r="BR218" s="9"/>
      <c r="BS218" s="9"/>
      <c r="BT218" s="9"/>
      <c r="BU218" s="9"/>
    </row>
    <row r="219" spans="1:73">
      <c r="A219" s="6">
        <v>210</v>
      </c>
      <c r="B219" s="6" t="s">
        <v>1328</v>
      </c>
      <c r="C219" s="421">
        <v>17.5</v>
      </c>
      <c r="D219" s="9">
        <v>22339621</v>
      </c>
      <c r="E219" s="33">
        <v>16647759</v>
      </c>
      <c r="F219" s="9">
        <v>6574009.5999999996</v>
      </c>
      <c r="G219" s="9">
        <v>23515503.420000002</v>
      </c>
      <c r="H219" s="9">
        <v>17537821</v>
      </c>
      <c r="I219" s="9">
        <v>6925715.5999999996</v>
      </c>
      <c r="J219" s="9">
        <v>23897225.215249706</v>
      </c>
      <c r="K219" s="9">
        <v>17925565</v>
      </c>
      <c r="L219" s="9">
        <v>7068615.5999999996</v>
      </c>
      <c r="M219" s="9">
        <v>25081306.799999997</v>
      </c>
      <c r="N219" s="9">
        <v>18789705</v>
      </c>
      <c r="O219" s="9">
        <v>6600629.5999999996</v>
      </c>
      <c r="P219" s="9">
        <v>775729</v>
      </c>
      <c r="Q219" s="9">
        <v>25514471.712826792</v>
      </c>
      <c r="R219" s="9">
        <v>19225734</v>
      </c>
      <c r="S219" s="9">
        <v>7228831</v>
      </c>
      <c r="T219" s="9">
        <v>0</v>
      </c>
      <c r="U219" s="9">
        <v>24684605.485979997</v>
      </c>
      <c r="V219" s="9">
        <v>19535341</v>
      </c>
      <c r="W219" s="9">
        <v>6806523</v>
      </c>
      <c r="X219" s="9">
        <v>36541</v>
      </c>
      <c r="Y219" s="9">
        <v>454267</v>
      </c>
      <c r="Z219" s="9">
        <v>25014294.639999997</v>
      </c>
      <c r="AA219" s="9">
        <v>20035749</v>
      </c>
      <c r="AB219" s="9">
        <v>6843064</v>
      </c>
      <c r="AC219" s="9">
        <v>26386688.750000007</v>
      </c>
      <c r="AD219" s="9">
        <v>20803896</v>
      </c>
      <c r="AE219" s="9">
        <v>6954104</v>
      </c>
      <c r="AF219" s="9">
        <v>26834026.780000009</v>
      </c>
      <c r="AG219" s="9">
        <v>21624168</v>
      </c>
      <c r="AH219" s="9">
        <v>7023429</v>
      </c>
      <c r="AI219" s="9">
        <v>27395100.530000001</v>
      </c>
      <c r="AJ219" s="9">
        <v>22476877</v>
      </c>
      <c r="AK219" s="28">
        <v>7093554</v>
      </c>
      <c r="AL219" s="9">
        <v>27323757.340000004</v>
      </c>
      <c r="AM219" s="9">
        <v>22846792</v>
      </c>
      <c r="AN219" s="28">
        <v>7162729</v>
      </c>
      <c r="AO219" s="9">
        <v>27410585.139999997</v>
      </c>
      <c r="AP219" s="9">
        <v>22747409</v>
      </c>
      <c r="AQ219" s="28">
        <v>7313539</v>
      </c>
      <c r="AR219" s="9">
        <v>27919380.14575414</v>
      </c>
      <c r="AS219" s="9">
        <v>23143930</v>
      </c>
      <c r="AT219" s="28">
        <v>7395919</v>
      </c>
      <c r="AU219" s="9">
        <v>28576804.530000001</v>
      </c>
      <c r="AV219" s="9">
        <v>23575863</v>
      </c>
      <c r="AW219" s="9">
        <v>7477309</v>
      </c>
      <c r="AX219" s="9">
        <v>30030364.251233194</v>
      </c>
      <c r="AY219" s="9">
        <v>24547028</v>
      </c>
      <c r="AZ219" s="28">
        <v>7558369</v>
      </c>
      <c r="BA219" s="9">
        <v>31063338.950000003</v>
      </c>
      <c r="BB219" s="9">
        <v>25627255</v>
      </c>
      <c r="BC219" s="9">
        <v>7558369</v>
      </c>
      <c r="BD219" s="9">
        <v>30678559.000000004</v>
      </c>
      <c r="BE219" s="9">
        <v>25309811</v>
      </c>
      <c r="BF219" s="9">
        <v>7638049</v>
      </c>
      <c r="BG219" s="9">
        <v>33723796.18</v>
      </c>
      <c r="BH219" s="9">
        <v>26638955</v>
      </c>
      <c r="BI219" s="9">
        <v>7798609</v>
      </c>
      <c r="BJ219" s="9">
        <v>35618666.020000003</v>
      </c>
      <c r="BK219" s="9">
        <v>28077001</v>
      </c>
      <c r="BL219" s="9">
        <v>7958689</v>
      </c>
      <c r="BM219" s="9"/>
      <c r="BN219" s="9"/>
      <c r="BO219" s="9"/>
      <c r="BP219" s="9"/>
      <c r="BQ219" s="9"/>
      <c r="BR219" s="9"/>
      <c r="BS219" s="9"/>
      <c r="BT219" s="9"/>
      <c r="BU219" s="9"/>
    </row>
    <row r="220" spans="1:73">
      <c r="A220" s="6">
        <v>211</v>
      </c>
      <c r="B220" s="6" t="s">
        <v>1329</v>
      </c>
      <c r="C220" s="421">
        <v>17.5</v>
      </c>
      <c r="D220" s="9">
        <v>30541004</v>
      </c>
      <c r="E220" s="33">
        <v>28946886</v>
      </c>
      <c r="F220" s="9">
        <v>4129740</v>
      </c>
      <c r="G220" s="9">
        <v>33510013.210000001</v>
      </c>
      <c r="H220" s="9">
        <v>29846221</v>
      </c>
      <c r="I220" s="9">
        <v>4649317</v>
      </c>
      <c r="J220" s="9">
        <v>34908316.443979926</v>
      </c>
      <c r="K220" s="9">
        <v>30883606</v>
      </c>
      <c r="L220" s="9">
        <v>5087208</v>
      </c>
      <c r="M220" s="9">
        <v>37117714.300000004</v>
      </c>
      <c r="N220" s="9">
        <v>31904083</v>
      </c>
      <c r="O220" s="9">
        <v>4968107</v>
      </c>
      <c r="P220" s="9">
        <v>583870</v>
      </c>
      <c r="Q220" s="9">
        <v>38689087.713684224</v>
      </c>
      <c r="R220" s="9">
        <v>32219076</v>
      </c>
      <c r="S220" s="9">
        <v>5440937</v>
      </c>
      <c r="T220" s="9">
        <v>1029075</v>
      </c>
      <c r="U220" s="9">
        <v>37806576.337559998</v>
      </c>
      <c r="V220" s="9">
        <v>32564460</v>
      </c>
      <c r="W220" s="9">
        <v>6092035</v>
      </c>
      <c r="X220" s="9">
        <v>32705</v>
      </c>
      <c r="Y220" s="9">
        <v>458122</v>
      </c>
      <c r="Z220" s="9">
        <v>38936234</v>
      </c>
      <c r="AA220" s="9">
        <v>33092191</v>
      </c>
      <c r="AB220" s="9">
        <v>6124740</v>
      </c>
      <c r="AC220" s="9">
        <v>40712824.369999997</v>
      </c>
      <c r="AD220" s="9">
        <v>34010095</v>
      </c>
      <c r="AE220" s="9">
        <v>6808232.8161875</v>
      </c>
      <c r="AF220" s="9">
        <v>42340329.710000001</v>
      </c>
      <c r="AG220" s="9">
        <v>35385415</v>
      </c>
      <c r="AH220" s="9">
        <f>7068575.6748125+25266</f>
        <v>7093841.6748125004</v>
      </c>
      <c r="AI220" s="9">
        <v>43286349.479999997</v>
      </c>
      <c r="AJ220" s="9">
        <v>36224040</v>
      </c>
      <c r="AK220" s="28">
        <v>7262285.6748125004</v>
      </c>
      <c r="AL220" s="9">
        <v>45462873.919999987</v>
      </c>
      <c r="AM220" s="9">
        <v>37541377</v>
      </c>
      <c r="AN220" s="28">
        <v>7921497</v>
      </c>
      <c r="AO220" s="9">
        <v>44605186.620000005</v>
      </c>
      <c r="AP220" s="9">
        <v>37087784</v>
      </c>
      <c r="AQ220" s="28">
        <v>8181977</v>
      </c>
      <c r="AR220" s="9">
        <v>46314260.801910989</v>
      </c>
      <c r="AS220" s="9">
        <v>38259940</v>
      </c>
      <c r="AT220" s="28">
        <v>8326307</v>
      </c>
      <c r="AU220" s="9">
        <v>48675062.219999999</v>
      </c>
      <c r="AV220" s="9">
        <v>39658845</v>
      </c>
      <c r="AW220" s="9">
        <v>9016217</v>
      </c>
      <c r="AX220" s="9">
        <v>50326384.478882119</v>
      </c>
      <c r="AY220" s="9">
        <v>41262379</v>
      </c>
      <c r="AZ220" s="28">
        <v>9160097</v>
      </c>
      <c r="BA220" s="9">
        <v>50577443.990000002</v>
      </c>
      <c r="BB220" s="9">
        <v>41726391</v>
      </c>
      <c r="BC220" s="9">
        <v>9160097</v>
      </c>
      <c r="BD220" s="9">
        <v>51229167.579999998</v>
      </c>
      <c r="BE220" s="9">
        <v>42264063</v>
      </c>
      <c r="BF220" s="9">
        <v>9298097</v>
      </c>
      <c r="BG220" s="9">
        <v>54375769.079999991</v>
      </c>
      <c r="BH220" s="9">
        <v>43673850</v>
      </c>
      <c r="BI220" s="9">
        <v>10701919</v>
      </c>
      <c r="BJ220" s="9">
        <v>57569717.300000004</v>
      </c>
      <c r="BK220" s="9">
        <v>45627018</v>
      </c>
      <c r="BL220" s="9">
        <v>11942699</v>
      </c>
      <c r="BM220" s="9"/>
      <c r="BN220" s="9"/>
      <c r="BO220" s="9"/>
      <c r="BP220" s="9"/>
      <c r="BQ220" s="9"/>
      <c r="BR220" s="9"/>
      <c r="BS220" s="9"/>
      <c r="BT220" s="9"/>
      <c r="BU220" s="9"/>
    </row>
    <row r="221" spans="1:73">
      <c r="A221" s="6">
        <v>212</v>
      </c>
      <c r="B221" s="6" t="s">
        <v>1330</v>
      </c>
      <c r="C221" s="421">
        <v>31.96</v>
      </c>
      <c r="D221" s="9">
        <v>33128817</v>
      </c>
      <c r="E221" s="33">
        <v>14691852</v>
      </c>
      <c r="F221" s="9">
        <v>18436965</v>
      </c>
      <c r="G221" s="9">
        <v>34913727.249999993</v>
      </c>
      <c r="H221" s="9">
        <v>15594284</v>
      </c>
      <c r="I221" s="9">
        <v>19319443</v>
      </c>
      <c r="J221" s="9">
        <v>37024105.29144422</v>
      </c>
      <c r="K221" s="9">
        <v>16763755</v>
      </c>
      <c r="L221" s="9">
        <v>20260350</v>
      </c>
      <c r="M221" s="9">
        <v>38863802.869999997</v>
      </c>
      <c r="N221" s="9">
        <v>17813103</v>
      </c>
      <c r="O221" s="9">
        <v>18836919</v>
      </c>
      <c r="P221" s="9">
        <v>2213781</v>
      </c>
      <c r="Q221" s="9">
        <v>39803852.803245947</v>
      </c>
      <c r="R221" s="9">
        <v>20703716</v>
      </c>
      <c r="S221" s="9">
        <v>20629686</v>
      </c>
      <c r="T221" s="9">
        <v>0</v>
      </c>
      <c r="U221" s="9">
        <v>39026226.24995999</v>
      </c>
      <c r="V221" s="9">
        <v>21382362</v>
      </c>
      <c r="W221" s="9">
        <v>19424502</v>
      </c>
      <c r="X221" s="9">
        <v>104279</v>
      </c>
      <c r="Y221" s="9">
        <v>1217430</v>
      </c>
      <c r="Z221" s="9">
        <v>39843826.230000004</v>
      </c>
      <c r="AA221" s="9">
        <v>21810997</v>
      </c>
      <c r="AB221" s="9">
        <v>19528781</v>
      </c>
      <c r="AC221" s="9">
        <v>41161023.43</v>
      </c>
      <c r="AD221" s="9">
        <v>22566227</v>
      </c>
      <c r="AE221" s="9">
        <v>19712661</v>
      </c>
      <c r="AF221" s="9">
        <v>41797469</v>
      </c>
      <c r="AG221" s="9">
        <v>23207648</v>
      </c>
      <c r="AH221" s="9">
        <v>19827086</v>
      </c>
      <c r="AI221" s="9">
        <v>42114635.469999991</v>
      </c>
      <c r="AJ221" s="9">
        <v>24223806</v>
      </c>
      <c r="AK221" s="28">
        <v>19941736</v>
      </c>
      <c r="AL221" s="9">
        <v>42858323.110000007</v>
      </c>
      <c r="AM221" s="9">
        <v>25023400</v>
      </c>
      <c r="AN221" s="28">
        <v>20055686</v>
      </c>
      <c r="AO221" s="9">
        <v>41721975.079999998</v>
      </c>
      <c r="AP221" s="9">
        <v>25316072</v>
      </c>
      <c r="AQ221" s="28">
        <v>20297411</v>
      </c>
      <c r="AR221" s="9">
        <v>42205783.552439779</v>
      </c>
      <c r="AS221" s="9">
        <v>25945113</v>
      </c>
      <c r="AT221" s="28">
        <v>20427791</v>
      </c>
      <c r="AU221" s="9">
        <v>43299173.010000005</v>
      </c>
      <c r="AV221" s="9">
        <v>26709708</v>
      </c>
      <c r="AW221" s="9">
        <v>20556671</v>
      </c>
      <c r="AX221" s="9">
        <v>44126489.423501156</v>
      </c>
      <c r="AY221" s="9">
        <v>26972001</v>
      </c>
      <c r="AZ221" s="28">
        <v>20682041</v>
      </c>
      <c r="BA221" s="9">
        <v>45073173.739999995</v>
      </c>
      <c r="BB221" s="9">
        <v>28270188</v>
      </c>
      <c r="BC221" s="9">
        <v>20682041</v>
      </c>
      <c r="BD221" s="9">
        <v>45683012.360000007</v>
      </c>
      <c r="BE221" s="9">
        <v>29002278</v>
      </c>
      <c r="BF221" s="9">
        <v>20804831</v>
      </c>
      <c r="BG221" s="9">
        <v>49368540.359999999</v>
      </c>
      <c r="BH221" s="9">
        <v>30579150</v>
      </c>
      <c r="BI221" s="9">
        <v>21051671</v>
      </c>
      <c r="BJ221" s="9">
        <v>51608133.329999998</v>
      </c>
      <c r="BK221" s="9">
        <v>32183541</v>
      </c>
      <c r="BL221" s="9">
        <v>21293531</v>
      </c>
      <c r="BM221" s="9"/>
      <c r="BN221" s="9"/>
      <c r="BO221" s="9"/>
      <c r="BP221" s="9"/>
      <c r="BQ221" s="9"/>
      <c r="BR221" s="9"/>
      <c r="BS221" s="9"/>
      <c r="BT221" s="9"/>
      <c r="BU221" s="9"/>
    </row>
    <row r="222" spans="1:73">
      <c r="A222" s="6">
        <v>213</v>
      </c>
      <c r="B222" s="6" t="s">
        <v>1331</v>
      </c>
      <c r="C222" s="421">
        <v>17.5</v>
      </c>
      <c r="D222" s="9">
        <v>12830969</v>
      </c>
      <c r="E222" s="33">
        <v>10921083</v>
      </c>
      <c r="F222" s="9">
        <v>2584464.4</v>
      </c>
      <c r="G222" s="9">
        <v>13031020.219999999</v>
      </c>
      <c r="H222" s="9">
        <v>10898179</v>
      </c>
      <c r="I222" s="9">
        <v>2763949.4</v>
      </c>
      <c r="J222" s="9">
        <v>13379613.142081046</v>
      </c>
      <c r="K222" s="9">
        <v>10658966</v>
      </c>
      <c r="L222" s="9">
        <v>3082735.4</v>
      </c>
      <c r="M222" s="9">
        <v>13939628.030000001</v>
      </c>
      <c r="N222" s="9">
        <v>10678879</v>
      </c>
      <c r="O222" s="9">
        <v>2995439.4</v>
      </c>
      <c r="P222" s="9">
        <v>352035</v>
      </c>
      <c r="Q222" s="9">
        <v>14512145.583586603</v>
      </c>
      <c r="R222" s="9">
        <v>11014309</v>
      </c>
      <c r="S222" s="9">
        <v>3280525</v>
      </c>
      <c r="T222" s="9">
        <v>217312</v>
      </c>
      <c r="U222" s="9">
        <v>14386023.880859999</v>
      </c>
      <c r="V222" s="9">
        <v>11224364</v>
      </c>
      <c r="W222" s="9">
        <v>3293494</v>
      </c>
      <c r="X222" s="9">
        <v>17681</v>
      </c>
      <c r="Y222" s="9">
        <v>232062</v>
      </c>
      <c r="Z222" s="9">
        <v>14878106.429999998</v>
      </c>
      <c r="AA222" s="9">
        <v>11738874</v>
      </c>
      <c r="AB222" s="9">
        <v>3311175</v>
      </c>
      <c r="AC222" s="9">
        <v>15714470.859999999</v>
      </c>
      <c r="AD222" s="9">
        <v>12259650</v>
      </c>
      <c r="AE222" s="9">
        <v>3621985.0384160001</v>
      </c>
      <c r="AF222" s="9">
        <v>15886379.650000002</v>
      </c>
      <c r="AG222" s="9">
        <v>12722162</v>
      </c>
      <c r="AH222" s="9">
        <v>3668085.0384160001</v>
      </c>
      <c r="AI222" s="9">
        <v>15486011.710000001</v>
      </c>
      <c r="AJ222" s="9">
        <v>13010542</v>
      </c>
      <c r="AK222" s="28">
        <v>3712560.0384160001</v>
      </c>
      <c r="AL222" s="9">
        <v>15526446.370000001</v>
      </c>
      <c r="AM222" s="9">
        <v>13153691</v>
      </c>
      <c r="AN222" s="28">
        <v>3756435.0384160001</v>
      </c>
      <c r="AO222" s="9">
        <v>15196910.26</v>
      </c>
      <c r="AP222" s="9">
        <v>12701763</v>
      </c>
      <c r="AQ222" s="28">
        <v>3849770.0384160001</v>
      </c>
      <c r="AR222" s="9">
        <v>15015400.577264598</v>
      </c>
      <c r="AS222" s="9">
        <v>12501814</v>
      </c>
      <c r="AT222" s="28">
        <v>3899030.0384160001</v>
      </c>
      <c r="AU222" s="9">
        <v>15211638.35</v>
      </c>
      <c r="AV222" s="9">
        <v>12549602</v>
      </c>
      <c r="AW222" s="9">
        <v>3947270.0384160001</v>
      </c>
      <c r="AX222" s="9">
        <v>15348450.348561112</v>
      </c>
      <c r="AY222" s="9">
        <v>12662472</v>
      </c>
      <c r="AZ222" s="28">
        <v>3993500</v>
      </c>
      <c r="BA222" s="9">
        <v>15653167.560000001</v>
      </c>
      <c r="BB222" s="9">
        <v>12913864</v>
      </c>
      <c r="BC222" s="9">
        <v>3993500</v>
      </c>
      <c r="BD222" s="9">
        <v>16551243.649999999</v>
      </c>
      <c r="BE222" s="9">
        <v>13451109</v>
      </c>
      <c r="BF222" s="9">
        <v>4040510</v>
      </c>
      <c r="BG222" s="9">
        <v>18027328.710000005</v>
      </c>
      <c r="BH222" s="9">
        <v>14581324</v>
      </c>
      <c r="BI222" s="9">
        <v>4135910</v>
      </c>
      <c r="BJ222" s="9">
        <v>19538316.099999998</v>
      </c>
      <c r="BK222" s="9">
        <v>15713655</v>
      </c>
      <c r="BL222" s="9">
        <v>4232990</v>
      </c>
      <c r="BM222" s="9"/>
      <c r="BN222" s="9"/>
      <c r="BO222" s="9"/>
      <c r="BP222" s="9"/>
      <c r="BQ222" s="9"/>
      <c r="BR222" s="9"/>
      <c r="BS222" s="9"/>
      <c r="BT222" s="9"/>
      <c r="BU222" s="9"/>
    </row>
    <row r="223" spans="1:73">
      <c r="A223" s="6">
        <v>214</v>
      </c>
      <c r="B223" s="6" t="s">
        <v>1332</v>
      </c>
      <c r="C223" s="421">
        <v>40.15</v>
      </c>
      <c r="D223" s="9">
        <v>19224254</v>
      </c>
      <c r="E223" s="33">
        <v>6253429</v>
      </c>
      <c r="F223" s="9">
        <v>12970825</v>
      </c>
      <c r="G223" s="9">
        <v>19859815.41</v>
      </c>
      <c r="H223" s="9">
        <v>6987828</v>
      </c>
      <c r="I223" s="9">
        <v>13322608</v>
      </c>
      <c r="J223" s="9">
        <v>21326300.527729061</v>
      </c>
      <c r="K223" s="9">
        <v>7490514</v>
      </c>
      <c r="L223" s="9">
        <v>14114803</v>
      </c>
      <c r="M223" s="9">
        <v>21595688.16</v>
      </c>
      <c r="N223" s="9">
        <v>7937843</v>
      </c>
      <c r="O223" s="9">
        <v>12757564</v>
      </c>
      <c r="P223" s="9">
        <v>1499314</v>
      </c>
      <c r="Q223" s="9">
        <v>22343513.91142584</v>
      </c>
      <c r="R223" s="9">
        <v>8072415</v>
      </c>
      <c r="S223" s="9">
        <v>13971740</v>
      </c>
      <c r="T223" s="9">
        <v>299359</v>
      </c>
      <c r="U223" s="9">
        <v>22038684.843239997</v>
      </c>
      <c r="V223" s="9">
        <v>8329249</v>
      </c>
      <c r="W223" s="9">
        <v>13446387</v>
      </c>
      <c r="X223" s="9">
        <v>72186</v>
      </c>
      <c r="Y223" s="9">
        <v>815376</v>
      </c>
      <c r="Z223" s="9">
        <v>22423099.34</v>
      </c>
      <c r="AA223" s="9">
        <v>8388993</v>
      </c>
      <c r="AB223" s="9">
        <v>14034106</v>
      </c>
      <c r="AC223" s="9">
        <v>23980196.999999996</v>
      </c>
      <c r="AD223" s="9">
        <v>8893916</v>
      </c>
      <c r="AE223" s="9">
        <v>15086281</v>
      </c>
      <c r="AF223" s="9">
        <v>24363998.650000002</v>
      </c>
      <c r="AG223" s="9">
        <v>9349395</v>
      </c>
      <c r="AH223" s="9">
        <v>15150056</v>
      </c>
      <c r="AI223" s="9">
        <v>24874347.920000002</v>
      </c>
      <c r="AJ223" s="9">
        <v>9900452</v>
      </c>
      <c r="AK223" s="28">
        <v>15214206</v>
      </c>
      <c r="AL223" s="9">
        <v>24091597.779999997</v>
      </c>
      <c r="AM223" s="9">
        <v>10435707</v>
      </c>
      <c r="AN223" s="28">
        <v>15275081</v>
      </c>
      <c r="AO223" s="9">
        <v>23427188.930000003</v>
      </c>
      <c r="AP223" s="9">
        <v>10848805</v>
      </c>
      <c r="AQ223" s="28">
        <v>15403891</v>
      </c>
      <c r="AR223" s="9">
        <v>23615219.37740108</v>
      </c>
      <c r="AS223" s="9">
        <v>11369969</v>
      </c>
      <c r="AT223" s="28">
        <v>15473041</v>
      </c>
      <c r="AU223" s="9">
        <v>23583382.150000002</v>
      </c>
      <c r="AV223" s="9">
        <v>11810469</v>
      </c>
      <c r="AW223" s="9">
        <v>15539941</v>
      </c>
      <c r="AX223" s="9">
        <v>23912162.03207574</v>
      </c>
      <c r="AY223" s="9">
        <v>12120372</v>
      </c>
      <c r="AZ223" s="28">
        <v>15603931</v>
      </c>
      <c r="BA223" s="9">
        <v>23651358.309999999</v>
      </c>
      <c r="BB223" s="9">
        <v>12499433</v>
      </c>
      <c r="BC223" s="9">
        <v>15603931</v>
      </c>
      <c r="BD223" s="9">
        <v>24066339.760000002</v>
      </c>
      <c r="BE223" s="9">
        <v>12899827</v>
      </c>
      <c r="BF223" s="9">
        <v>15664621</v>
      </c>
      <c r="BG223" s="9">
        <v>26403426.609999999</v>
      </c>
      <c r="BH223" s="9">
        <v>13630647</v>
      </c>
      <c r="BI223" s="9">
        <v>15786061</v>
      </c>
      <c r="BJ223" s="9">
        <v>28109617.770000007</v>
      </c>
      <c r="BK223" s="9">
        <v>14472856</v>
      </c>
      <c r="BL223" s="9">
        <v>15905881</v>
      </c>
      <c r="BM223" s="9"/>
      <c r="BN223" s="9"/>
      <c r="BO223" s="9"/>
      <c r="BP223" s="9"/>
      <c r="BQ223" s="9"/>
      <c r="BR223" s="9"/>
      <c r="BS223" s="9"/>
      <c r="BT223" s="9"/>
      <c r="BU223" s="9"/>
    </row>
    <row r="224" spans="1:73">
      <c r="A224" s="6">
        <v>215</v>
      </c>
      <c r="B224" s="6" t="s">
        <v>1333</v>
      </c>
      <c r="C224" s="421">
        <v>53.59</v>
      </c>
      <c r="D224" s="9">
        <v>6615681</v>
      </c>
      <c r="E224" s="33">
        <v>2219735</v>
      </c>
      <c r="F224" s="9">
        <v>4285292.8970251717</v>
      </c>
      <c r="G224" s="9">
        <v>6571910.5099999998</v>
      </c>
      <c r="H224" s="9">
        <v>2316586</v>
      </c>
      <c r="I224" s="9">
        <v>4326992.8970251717</v>
      </c>
      <c r="J224" s="9">
        <v>6609236.9636889221</v>
      </c>
      <c r="K224" s="9">
        <v>2348384</v>
      </c>
      <c r="L224" s="9">
        <v>4367042.8970251717</v>
      </c>
      <c r="M224" s="9">
        <v>6747317.700000002</v>
      </c>
      <c r="N224" s="9">
        <v>2443115</v>
      </c>
      <c r="O224" s="9">
        <v>3983453.8970251717</v>
      </c>
      <c r="P224" s="9">
        <v>468150</v>
      </c>
      <c r="Q224" s="9">
        <v>6520066.3495043078</v>
      </c>
      <c r="R224" s="9">
        <v>2624892</v>
      </c>
      <c r="S224" s="9">
        <v>4362572</v>
      </c>
      <c r="T224" s="9">
        <v>0</v>
      </c>
      <c r="U224" s="9">
        <v>6139849.1636400009</v>
      </c>
      <c r="V224" s="9">
        <v>2611475</v>
      </c>
      <c r="W224" s="9">
        <v>4107711</v>
      </c>
      <c r="X224" s="9">
        <v>22052</v>
      </c>
      <c r="Y224" s="9">
        <v>250034</v>
      </c>
      <c r="Z224" s="9">
        <v>6001484.8899999997</v>
      </c>
      <c r="AA224" s="9">
        <v>2543410</v>
      </c>
      <c r="AB224" s="9">
        <v>4129763</v>
      </c>
      <c r="AC224" s="9">
        <v>6089693.8600000003</v>
      </c>
      <c r="AD224" s="9">
        <v>2658631</v>
      </c>
      <c r="AE224" s="9">
        <v>4155363</v>
      </c>
      <c r="AF224" s="9">
        <v>6187292.3999999994</v>
      </c>
      <c r="AG224" s="9">
        <v>2707976</v>
      </c>
      <c r="AH224" s="9">
        <v>4171238</v>
      </c>
      <c r="AI224" s="9">
        <v>6138607.5700000012</v>
      </c>
      <c r="AJ224" s="9">
        <v>2853212</v>
      </c>
      <c r="AK224" s="28">
        <v>4187213</v>
      </c>
      <c r="AL224" s="9">
        <v>6330664.1299999999</v>
      </c>
      <c r="AM224" s="9">
        <v>2902390</v>
      </c>
      <c r="AN224" s="28">
        <v>4203088</v>
      </c>
      <c r="AO224" s="9">
        <v>6192391.8499999996</v>
      </c>
      <c r="AP224" s="9">
        <v>2909397</v>
      </c>
      <c r="AQ224" s="28">
        <v>4236418</v>
      </c>
      <c r="AR224" s="9">
        <v>6199650.4699848695</v>
      </c>
      <c r="AS224" s="9">
        <v>2812304</v>
      </c>
      <c r="AT224" s="28">
        <v>4254298</v>
      </c>
      <c r="AU224" s="9">
        <v>6455723.8399999999</v>
      </c>
      <c r="AV224" s="9">
        <v>2876546</v>
      </c>
      <c r="AW224" s="9">
        <v>4272568</v>
      </c>
      <c r="AX224" s="9">
        <v>6861155.1426662346</v>
      </c>
      <c r="AY224" s="9">
        <v>2904011</v>
      </c>
      <c r="AZ224" s="28">
        <v>4290838</v>
      </c>
      <c r="BA224" s="9">
        <v>6921441.0200000014</v>
      </c>
      <c r="BB224" s="9">
        <v>2970928</v>
      </c>
      <c r="BC224" s="9">
        <v>4290838</v>
      </c>
      <c r="BD224" s="9">
        <v>6863578.7700000005</v>
      </c>
      <c r="BE224" s="9">
        <v>3115388</v>
      </c>
      <c r="BF224" s="9">
        <v>4308028</v>
      </c>
      <c r="BG224" s="9">
        <v>7789173.0300000003</v>
      </c>
      <c r="BH224" s="9">
        <v>3255249</v>
      </c>
      <c r="BI224" s="9">
        <v>4533924</v>
      </c>
      <c r="BJ224" s="9">
        <v>8281136.6699999999</v>
      </c>
      <c r="BK224" s="9">
        <v>3375581</v>
      </c>
      <c r="BL224" s="9">
        <v>4905556</v>
      </c>
      <c r="BM224" s="9"/>
      <c r="BN224" s="9"/>
      <c r="BO224" s="9"/>
      <c r="BP224" s="9"/>
      <c r="BQ224" s="9"/>
      <c r="BR224" s="9"/>
      <c r="BS224" s="9"/>
      <c r="BT224" s="9"/>
      <c r="BU224" s="9"/>
    </row>
    <row r="225" spans="1:73">
      <c r="A225" s="6">
        <v>216</v>
      </c>
      <c r="B225" s="6" t="s">
        <v>1334</v>
      </c>
      <c r="C225" s="421">
        <v>22.64</v>
      </c>
      <c r="D225" s="9">
        <v>0</v>
      </c>
      <c r="E225" s="33">
        <v>0</v>
      </c>
      <c r="F225" s="9">
        <v>0</v>
      </c>
      <c r="G225" s="9">
        <v>0</v>
      </c>
      <c r="H225" s="9">
        <v>0</v>
      </c>
      <c r="I225" s="9">
        <v>0</v>
      </c>
      <c r="J225" s="9">
        <v>0</v>
      </c>
      <c r="K225" s="9">
        <v>0</v>
      </c>
      <c r="L225" s="9">
        <v>0</v>
      </c>
      <c r="M225" s="9">
        <v>0</v>
      </c>
      <c r="N225" s="9">
        <v>0</v>
      </c>
      <c r="O225" s="9">
        <v>0</v>
      </c>
      <c r="P225" s="9">
        <v>0</v>
      </c>
      <c r="Q225" s="9">
        <v>0</v>
      </c>
      <c r="R225" s="9">
        <v>0</v>
      </c>
      <c r="S225" s="9">
        <v>0</v>
      </c>
      <c r="T225" s="9">
        <v>0</v>
      </c>
      <c r="U225" s="9">
        <v>0</v>
      </c>
      <c r="V225" s="9">
        <v>0</v>
      </c>
      <c r="W225" s="9">
        <v>0</v>
      </c>
      <c r="X225" s="9">
        <v>0</v>
      </c>
      <c r="Y225" s="9">
        <v>0</v>
      </c>
      <c r="Z225" s="9">
        <v>0</v>
      </c>
      <c r="AA225" s="9">
        <v>0</v>
      </c>
      <c r="AB225" s="9">
        <v>0</v>
      </c>
      <c r="AC225" s="9">
        <v>0</v>
      </c>
      <c r="AD225" s="9">
        <v>0</v>
      </c>
      <c r="AE225" s="9">
        <v>0</v>
      </c>
      <c r="AF225" s="9">
        <v>0</v>
      </c>
      <c r="AG225" s="9">
        <v>0</v>
      </c>
      <c r="AH225" s="9">
        <v>0</v>
      </c>
      <c r="AI225" s="9">
        <v>0</v>
      </c>
      <c r="AJ225" s="9">
        <v>0</v>
      </c>
      <c r="AK225" s="28">
        <v>0</v>
      </c>
      <c r="AL225" s="9">
        <v>26399.920000000002</v>
      </c>
      <c r="AM225" s="9">
        <v>17135</v>
      </c>
      <c r="AN225" s="28">
        <v>9265</v>
      </c>
      <c r="AO225" s="9">
        <v>13170.920000000002</v>
      </c>
      <c r="AP225" s="9">
        <v>9108</v>
      </c>
      <c r="AQ225" s="28">
        <v>9265</v>
      </c>
      <c r="AR225" s="9">
        <v>0</v>
      </c>
      <c r="AS225" s="9">
        <v>0</v>
      </c>
      <c r="AT225" s="28">
        <v>0</v>
      </c>
      <c r="AU225" s="9">
        <v>0</v>
      </c>
      <c r="AV225" s="9">
        <v>0</v>
      </c>
      <c r="AW225" s="9">
        <v>0</v>
      </c>
      <c r="AX225" s="9">
        <v>0</v>
      </c>
      <c r="AY225" s="9">
        <v>0</v>
      </c>
      <c r="AZ225" s="28">
        <v>0</v>
      </c>
      <c r="BA225" s="9">
        <v>14657.8</v>
      </c>
      <c r="BB225" s="9">
        <v>10697</v>
      </c>
      <c r="BC225" s="9">
        <v>3986</v>
      </c>
      <c r="BD225" s="9">
        <v>14952.78</v>
      </c>
      <c r="BE225" s="9">
        <v>11661</v>
      </c>
      <c r="BF225" s="9">
        <v>4016</v>
      </c>
      <c r="BG225" s="9">
        <v>15697.710000000001</v>
      </c>
      <c r="BH225" s="9">
        <v>11109</v>
      </c>
      <c r="BI225" s="9">
        <v>4589</v>
      </c>
      <c r="BJ225" s="9">
        <v>16490.760000000002</v>
      </c>
      <c r="BK225" s="9">
        <v>11472</v>
      </c>
      <c r="BL225" s="9">
        <v>5019</v>
      </c>
      <c r="BM225" s="9"/>
      <c r="BN225" s="9"/>
      <c r="BO225" s="9"/>
      <c r="BP225" s="9"/>
      <c r="BQ225" s="9"/>
      <c r="BR225" s="9"/>
      <c r="BS225" s="9"/>
      <c r="BT225" s="9"/>
      <c r="BU225" s="9"/>
    </row>
    <row r="226" spans="1:73">
      <c r="A226" s="6">
        <v>217</v>
      </c>
      <c r="B226" s="6" t="s">
        <v>1335</v>
      </c>
      <c r="C226" s="421">
        <v>17.5</v>
      </c>
      <c r="D226" s="9">
        <v>18601689</v>
      </c>
      <c r="E226" s="33">
        <v>14816885</v>
      </c>
      <c r="F226" s="9">
        <v>3784804</v>
      </c>
      <c r="G226" s="9">
        <v>20183617.97724</v>
      </c>
      <c r="H226" s="9">
        <v>15266492</v>
      </c>
      <c r="I226" s="9">
        <v>4917126</v>
      </c>
      <c r="J226" s="9">
        <v>21182764.789605197</v>
      </c>
      <c r="K226" s="9">
        <v>15869112</v>
      </c>
      <c r="L226" s="9">
        <v>5313653</v>
      </c>
      <c r="M226" s="9">
        <v>22674352.994799998</v>
      </c>
      <c r="N226" s="9">
        <v>16503487</v>
      </c>
      <c r="O226" s="9">
        <v>5521911</v>
      </c>
      <c r="P226" s="9">
        <v>648955</v>
      </c>
      <c r="Q226" s="9">
        <v>23612463.797106899</v>
      </c>
      <c r="R226" s="9">
        <v>16789073</v>
      </c>
      <c r="S226" s="9">
        <v>6047449</v>
      </c>
      <c r="T226" s="9">
        <v>775942</v>
      </c>
      <c r="U226" s="9">
        <v>22639942.1421276</v>
      </c>
      <c r="V226" s="9">
        <v>17274696</v>
      </c>
      <c r="W226" s="9">
        <v>6424769</v>
      </c>
      <c r="X226" s="9">
        <v>34491</v>
      </c>
      <c r="Y226" s="9">
        <v>430556</v>
      </c>
      <c r="Z226" s="9">
        <v>22670246.940660004</v>
      </c>
      <c r="AA226" s="9">
        <v>17894010</v>
      </c>
      <c r="AB226" s="9">
        <v>6459260</v>
      </c>
      <c r="AC226" s="9">
        <v>23098274.900569998</v>
      </c>
      <c r="AD226" s="9">
        <v>18576477</v>
      </c>
      <c r="AE226" s="9">
        <v>6562100</v>
      </c>
      <c r="AF226" s="9">
        <v>23398817.806239996</v>
      </c>
      <c r="AG226" s="9">
        <v>19321117</v>
      </c>
      <c r="AH226" s="9">
        <f>6625625+50532</f>
        <v>6676157</v>
      </c>
      <c r="AI226" s="9">
        <v>23706840.709970001</v>
      </c>
      <c r="AJ226" s="9">
        <v>19832830</v>
      </c>
      <c r="AK226" s="28">
        <v>6739782</v>
      </c>
      <c r="AL226" s="9">
        <v>23928340.855640002</v>
      </c>
      <c r="AM226" s="9">
        <v>20127141</v>
      </c>
      <c r="AN226" s="28">
        <v>6802307</v>
      </c>
      <c r="AO226" s="9">
        <v>23635143.14844</v>
      </c>
      <c r="AP226" s="9">
        <v>19692373</v>
      </c>
      <c r="AQ226" s="28">
        <v>6937937</v>
      </c>
      <c r="AR226" s="9">
        <v>23960205.841541711</v>
      </c>
      <c r="AS226" s="9">
        <v>19895201</v>
      </c>
      <c r="AT226" s="28">
        <v>7010717</v>
      </c>
      <c r="AU226" s="9">
        <v>24928075.440800004</v>
      </c>
      <c r="AV226" s="9">
        <v>20565663</v>
      </c>
      <c r="AW226" s="9">
        <v>7083527</v>
      </c>
      <c r="AX226" s="9">
        <v>25154643.367806662</v>
      </c>
      <c r="AY226" s="9">
        <v>20752580</v>
      </c>
      <c r="AZ226" s="28">
        <v>7153937</v>
      </c>
      <c r="BA226" s="9">
        <v>25345400.252699994</v>
      </c>
      <c r="BB226" s="9">
        <v>20909956</v>
      </c>
      <c r="BC226" s="9">
        <v>7153937</v>
      </c>
      <c r="BD226" s="9">
        <v>25122867.634200003</v>
      </c>
      <c r="BE226" s="9">
        <v>20726365</v>
      </c>
      <c r="BF226" s="9">
        <v>7221227</v>
      </c>
      <c r="BG226" s="9">
        <v>27056349.750239998</v>
      </c>
      <c r="BH226" s="9">
        <v>21810649</v>
      </c>
      <c r="BI226" s="9">
        <v>7356107</v>
      </c>
      <c r="BJ226" s="9">
        <v>29062440.792260002</v>
      </c>
      <c r="BK226" s="9">
        <v>23011257</v>
      </c>
      <c r="BL226" s="9">
        <v>7492247</v>
      </c>
      <c r="BM226" s="9"/>
      <c r="BN226" s="9"/>
      <c r="BO226" s="9"/>
      <c r="BP226" s="9"/>
      <c r="BQ226" s="9"/>
      <c r="BR226" s="9"/>
      <c r="BS226" s="9"/>
      <c r="BT226" s="9"/>
      <c r="BU226" s="9"/>
    </row>
    <row r="227" spans="1:73">
      <c r="A227" s="6">
        <v>218</v>
      </c>
      <c r="B227" s="6" t="s">
        <v>1336</v>
      </c>
      <c r="C227" s="421">
        <v>25.24</v>
      </c>
      <c r="D227" s="9">
        <v>22990850</v>
      </c>
      <c r="E227" s="33">
        <v>11013370</v>
      </c>
      <c r="F227" s="9">
        <v>11977480</v>
      </c>
      <c r="G227" s="9">
        <v>23419989.289999999</v>
      </c>
      <c r="H227" s="9">
        <v>11653397</v>
      </c>
      <c r="I227" s="9">
        <v>12175056</v>
      </c>
      <c r="J227" s="9">
        <v>24274093.506333459</v>
      </c>
      <c r="K227" s="9">
        <v>12205403</v>
      </c>
      <c r="L227" s="9">
        <v>12560940</v>
      </c>
      <c r="M227" s="9">
        <v>25467467.109999999</v>
      </c>
      <c r="N227" s="9">
        <v>12826588</v>
      </c>
      <c r="O227" s="9">
        <v>11717531</v>
      </c>
      <c r="P227" s="9">
        <v>1377086</v>
      </c>
      <c r="Q227" s="9">
        <v>25652702.988677517</v>
      </c>
      <c r="R227" s="9">
        <v>13933589</v>
      </c>
      <c r="S227" s="9">
        <v>12832725</v>
      </c>
      <c r="T227" s="9">
        <v>0</v>
      </c>
      <c r="U227" s="9">
        <v>24934930.297499999</v>
      </c>
      <c r="V227" s="9">
        <v>14175872</v>
      </c>
      <c r="W227" s="9">
        <v>12083038</v>
      </c>
      <c r="X227" s="9">
        <v>64867</v>
      </c>
      <c r="Y227" s="9">
        <v>758645</v>
      </c>
      <c r="Z227" s="9">
        <v>25121296.479999997</v>
      </c>
      <c r="AA227" s="9">
        <v>14682739</v>
      </c>
      <c r="AB227" s="9">
        <v>12147905</v>
      </c>
      <c r="AC227" s="9">
        <v>25245341.509999998</v>
      </c>
      <c r="AD227" s="9">
        <v>15231907</v>
      </c>
      <c r="AE227" s="9">
        <v>12260025</v>
      </c>
      <c r="AF227" s="9">
        <v>25252431.439999998</v>
      </c>
      <c r="AG227" s="9">
        <v>15724845</v>
      </c>
      <c r="AH227" s="9">
        <v>12328675</v>
      </c>
      <c r="AI227" s="9">
        <v>24839826.120000001</v>
      </c>
      <c r="AJ227" s="9">
        <v>15755447</v>
      </c>
      <c r="AK227" s="28">
        <v>12395800</v>
      </c>
      <c r="AL227" s="9">
        <v>24716889.330000006</v>
      </c>
      <c r="AM227" s="9">
        <v>15884891</v>
      </c>
      <c r="AN227" s="28">
        <v>12461075</v>
      </c>
      <c r="AO227" s="9">
        <v>24673640</v>
      </c>
      <c r="AP227" s="9">
        <v>15870288</v>
      </c>
      <c r="AQ227" s="28">
        <v>12603140</v>
      </c>
      <c r="AR227" s="9">
        <v>24605799.037226401</v>
      </c>
      <c r="AS227" s="9">
        <v>16138030</v>
      </c>
      <c r="AT227" s="28">
        <v>12678650</v>
      </c>
      <c r="AU227" s="9">
        <v>25627290.710000001</v>
      </c>
      <c r="AV227" s="9">
        <v>16534896</v>
      </c>
      <c r="AW227" s="9">
        <v>12754400</v>
      </c>
      <c r="AX227" s="9">
        <v>25977850.920649342</v>
      </c>
      <c r="AY227" s="9">
        <v>17399530</v>
      </c>
      <c r="AZ227" s="28">
        <v>12827390</v>
      </c>
      <c r="BA227" s="9">
        <v>26443914.049999997</v>
      </c>
      <c r="BB227" s="9">
        <v>18367335</v>
      </c>
      <c r="BC227" s="9">
        <v>12827390</v>
      </c>
      <c r="BD227" s="9">
        <v>26330388.290000003</v>
      </c>
      <c r="BE227" s="9">
        <v>18951479</v>
      </c>
      <c r="BF227" s="9">
        <v>12896420</v>
      </c>
      <c r="BG227" s="9">
        <v>27305331.41</v>
      </c>
      <c r="BH227" s="9">
        <v>19965440</v>
      </c>
      <c r="BI227" s="9">
        <v>13029200</v>
      </c>
      <c r="BJ227" s="9">
        <v>29128867.219999995</v>
      </c>
      <c r="BK227" s="9">
        <v>20948264</v>
      </c>
      <c r="BL227" s="9">
        <v>13160540</v>
      </c>
      <c r="BM227" s="9"/>
      <c r="BN227" s="9"/>
      <c r="BO227" s="9"/>
      <c r="BP227" s="9"/>
      <c r="BQ227" s="9"/>
      <c r="BR227" s="9"/>
      <c r="BS227" s="9"/>
      <c r="BT227" s="9"/>
      <c r="BU227" s="9"/>
    </row>
    <row r="228" spans="1:73">
      <c r="A228" s="6">
        <v>219</v>
      </c>
      <c r="B228" s="6" t="s">
        <v>1337</v>
      </c>
      <c r="C228" s="421">
        <v>17.5</v>
      </c>
      <c r="D228" s="9">
        <v>14440386</v>
      </c>
      <c r="E228" s="33">
        <v>14597702</v>
      </c>
      <c r="F228" s="9">
        <v>1917411.6</v>
      </c>
      <c r="G228" s="9">
        <v>16098434.99767</v>
      </c>
      <c r="H228" s="9">
        <v>14916801</v>
      </c>
      <c r="I228" s="9">
        <v>2207570.6</v>
      </c>
      <c r="J228" s="9">
        <v>17382511.444969099</v>
      </c>
      <c r="K228" s="9">
        <v>15372590</v>
      </c>
      <c r="L228" s="9">
        <v>2457881.6000000001</v>
      </c>
      <c r="M228" s="9">
        <v>18475933.129799999</v>
      </c>
      <c r="N228" s="9">
        <v>15697102</v>
      </c>
      <c r="O228" s="9">
        <v>2486597</v>
      </c>
      <c r="P228" s="9">
        <v>292234</v>
      </c>
      <c r="Q228" s="9">
        <v>19354658.580467265</v>
      </c>
      <c r="R228" s="9">
        <v>16176665</v>
      </c>
      <c r="S228" s="9">
        <v>2723254</v>
      </c>
      <c r="T228" s="9">
        <v>454740</v>
      </c>
      <c r="U228" s="9">
        <v>19154668.326163501</v>
      </c>
      <c r="V228" s="9">
        <v>16412838</v>
      </c>
      <c r="W228" s="9">
        <v>2992336</v>
      </c>
      <c r="X228" s="9">
        <v>16064</v>
      </c>
      <c r="Y228" s="9">
        <v>226269</v>
      </c>
      <c r="Z228" s="9">
        <v>19420562.385559998</v>
      </c>
      <c r="AA228" s="9">
        <v>16745375</v>
      </c>
      <c r="AB228" s="9">
        <v>3008400</v>
      </c>
      <c r="AC228" s="9">
        <v>20138619.813699998</v>
      </c>
      <c r="AD228" s="9">
        <v>17114763</v>
      </c>
      <c r="AE228" s="9">
        <v>3148957.366849375</v>
      </c>
      <c r="AF228" s="9">
        <v>20549300.995200001</v>
      </c>
      <c r="AG228" s="9">
        <v>17494372</v>
      </c>
      <c r="AH228" s="9">
        <v>3260749.9436770314</v>
      </c>
      <c r="AI228" s="9">
        <v>20295768.49016</v>
      </c>
      <c r="AJ228" s="9">
        <v>17370172</v>
      </c>
      <c r="AK228" s="28">
        <v>3362602.9436770314</v>
      </c>
      <c r="AL228" s="9">
        <v>20603272.396599997</v>
      </c>
      <c r="AM228" s="9">
        <v>17503826</v>
      </c>
      <c r="AN228" s="28">
        <v>3417652.9436770314</v>
      </c>
      <c r="AO228" s="9">
        <v>20258808.089429993</v>
      </c>
      <c r="AP228" s="9">
        <v>16921990</v>
      </c>
      <c r="AQ228" s="28">
        <v>3535957.9436770314</v>
      </c>
      <c r="AR228" s="9">
        <v>20701123.007093545</v>
      </c>
      <c r="AS228" s="9">
        <v>17167966</v>
      </c>
      <c r="AT228" s="28">
        <v>3600307.9436770314</v>
      </c>
      <c r="AU228" s="9">
        <v>21451763.513980005</v>
      </c>
      <c r="AV228" s="9">
        <v>17697705</v>
      </c>
      <c r="AW228" s="9">
        <v>3754059</v>
      </c>
      <c r="AX228" s="9">
        <v>22329816.442800608</v>
      </c>
      <c r="AY228" s="9">
        <v>18350859</v>
      </c>
      <c r="AZ228" s="28">
        <v>4011711</v>
      </c>
      <c r="BA228" s="9">
        <v>22887277.58972</v>
      </c>
      <c r="BB228" s="9">
        <v>18882004</v>
      </c>
      <c r="BC228" s="9">
        <v>4011711</v>
      </c>
      <c r="BD228" s="9">
        <v>23347458.345409997</v>
      </c>
      <c r="BE228" s="9">
        <v>19261653</v>
      </c>
      <c r="BF228" s="9">
        <v>4092385</v>
      </c>
      <c r="BG228" s="9">
        <v>24690512.978599999</v>
      </c>
      <c r="BH228" s="9">
        <v>19938599</v>
      </c>
      <c r="BI228" s="9">
        <v>4751914</v>
      </c>
      <c r="BJ228" s="9">
        <v>25956168.805050001</v>
      </c>
      <c r="BK228" s="9">
        <v>20944041</v>
      </c>
      <c r="BL228" s="9">
        <v>5012128</v>
      </c>
      <c r="BM228" s="9"/>
      <c r="BN228" s="9"/>
      <c r="BO228" s="9"/>
      <c r="BP228" s="9"/>
      <c r="BQ228" s="9"/>
      <c r="BR228" s="9"/>
      <c r="BS228" s="9"/>
      <c r="BT228" s="9"/>
      <c r="BU228" s="9"/>
    </row>
    <row r="229" spans="1:73">
      <c r="A229" s="6">
        <v>220</v>
      </c>
      <c r="B229" s="6" t="s">
        <v>1338</v>
      </c>
      <c r="C229" s="421">
        <v>17.5</v>
      </c>
      <c r="D229" s="9">
        <v>28041822</v>
      </c>
      <c r="E229" s="33">
        <v>27289969</v>
      </c>
      <c r="F229" s="9">
        <v>3544044</v>
      </c>
      <c r="G229" s="9">
        <v>29886710.074549999</v>
      </c>
      <c r="H229" s="9">
        <v>27700512</v>
      </c>
      <c r="I229" s="9">
        <v>3933871</v>
      </c>
      <c r="J229" s="9">
        <v>30207570.065640491</v>
      </c>
      <c r="K229" s="9">
        <v>28071619</v>
      </c>
      <c r="L229" s="9">
        <v>4534446</v>
      </c>
      <c r="M229" s="9">
        <v>31869888.767040003</v>
      </c>
      <c r="N229" s="9">
        <v>28472241</v>
      </c>
      <c r="O229" s="9">
        <v>4638435</v>
      </c>
      <c r="P229" s="9">
        <v>545125</v>
      </c>
      <c r="Q229" s="9">
        <v>32601763.614237398</v>
      </c>
      <c r="R229" s="9">
        <v>28057436</v>
      </c>
      <c r="S229" s="9">
        <v>5079889</v>
      </c>
      <c r="T229" s="9">
        <v>0</v>
      </c>
      <c r="U229" s="9">
        <v>31939204.05633672</v>
      </c>
      <c r="V229" s="9">
        <v>28648256</v>
      </c>
      <c r="W229" s="9">
        <v>4783122</v>
      </c>
      <c r="X229" s="9">
        <v>25678</v>
      </c>
      <c r="Y229" s="9">
        <v>357914</v>
      </c>
      <c r="Z229" s="9">
        <v>32665738.414279997</v>
      </c>
      <c r="AA229" s="9">
        <v>29934115</v>
      </c>
      <c r="AB229" s="9">
        <v>4808800</v>
      </c>
      <c r="AC229" s="9">
        <v>34403459.751600005</v>
      </c>
      <c r="AD229" s="9">
        <v>30967635</v>
      </c>
      <c r="AE229" s="9">
        <v>5111751.3641325003</v>
      </c>
      <c r="AF229" s="9">
        <v>35162876.923280001</v>
      </c>
      <c r="AG229" s="9">
        <v>32031042</v>
      </c>
      <c r="AH229" s="9">
        <v>5372189.3884928748</v>
      </c>
      <c r="AI229" s="9">
        <v>35458013.178439997</v>
      </c>
      <c r="AJ229" s="9">
        <v>31475235</v>
      </c>
      <c r="AK229" s="28">
        <v>5663726.3884928748</v>
      </c>
      <c r="AL229" s="9">
        <v>36030240.360470004</v>
      </c>
      <c r="AM229" s="9">
        <v>31220839</v>
      </c>
      <c r="AN229" s="28">
        <v>5751026.3884928748</v>
      </c>
      <c r="AO229" s="9">
        <v>36087087.065760002</v>
      </c>
      <c r="AP229" s="9">
        <v>30230754</v>
      </c>
      <c r="AQ229" s="28">
        <v>5941876.3884928748</v>
      </c>
      <c r="AR229" s="9">
        <v>36598980.152771384</v>
      </c>
      <c r="AS229" s="9">
        <v>30391526</v>
      </c>
      <c r="AT229" s="28">
        <v>6207454</v>
      </c>
      <c r="AU229" s="9">
        <v>38062700.293799996</v>
      </c>
      <c r="AV229" s="9">
        <v>31401727</v>
      </c>
      <c r="AW229" s="9">
        <v>6660973</v>
      </c>
      <c r="AX229" s="9">
        <v>40452845.134236395</v>
      </c>
      <c r="AY229" s="9">
        <v>32400134</v>
      </c>
      <c r="AZ229" s="28">
        <v>8052711</v>
      </c>
      <c r="BA229" s="9">
        <v>42697305.215410002</v>
      </c>
      <c r="BB229" s="9">
        <v>33534173</v>
      </c>
      <c r="BC229" s="9">
        <v>9166992</v>
      </c>
      <c r="BD229" s="9">
        <v>43678902.616409995</v>
      </c>
      <c r="BE229" s="9">
        <v>34547211</v>
      </c>
      <c r="BF229" s="9">
        <v>9271812</v>
      </c>
      <c r="BG229" s="9">
        <v>48677498.672449999</v>
      </c>
      <c r="BH229" s="9">
        <v>35990878</v>
      </c>
      <c r="BI229" s="9">
        <v>12686621</v>
      </c>
      <c r="BJ229" s="9">
        <v>53483623.868720002</v>
      </c>
      <c r="BK229" s="9">
        <v>37142187</v>
      </c>
      <c r="BL229" s="9">
        <v>16341437</v>
      </c>
      <c r="BM229" s="9"/>
      <c r="BN229" s="9"/>
      <c r="BO229" s="9"/>
      <c r="BP229" s="9"/>
      <c r="BQ229" s="9"/>
      <c r="BR229" s="9"/>
      <c r="BS229" s="9"/>
      <c r="BT229" s="9"/>
      <c r="BU229" s="9"/>
    </row>
    <row r="230" spans="1:73">
      <c r="A230" s="6">
        <v>221</v>
      </c>
      <c r="B230" s="6" t="s">
        <v>1339</v>
      </c>
      <c r="C230" s="421">
        <v>17.5</v>
      </c>
      <c r="D230" s="9">
        <v>3344833</v>
      </c>
      <c r="E230" s="33">
        <v>2798198</v>
      </c>
      <c r="F230" s="9">
        <v>546635</v>
      </c>
      <c r="G230" s="9">
        <v>3068927.37</v>
      </c>
      <c r="H230" s="9">
        <v>2724857</v>
      </c>
      <c r="I230" s="9">
        <v>567385</v>
      </c>
      <c r="J230" s="9">
        <v>3482507.5606329595</v>
      </c>
      <c r="K230" s="9">
        <v>2861389</v>
      </c>
      <c r="L230" s="9">
        <v>639762</v>
      </c>
      <c r="M230" s="9">
        <v>3500874.88</v>
      </c>
      <c r="N230" s="9">
        <v>2916146</v>
      </c>
      <c r="O230" s="9">
        <v>591900</v>
      </c>
      <c r="P230" s="9">
        <v>69562</v>
      </c>
      <c r="Q230" s="9">
        <v>3641145.0682794261</v>
      </c>
      <c r="R230" s="9">
        <v>3042048</v>
      </c>
      <c r="S230" s="9">
        <v>648233</v>
      </c>
      <c r="T230" s="9">
        <v>0</v>
      </c>
      <c r="U230" s="9">
        <v>3315880.6575599997</v>
      </c>
      <c r="V230" s="9">
        <v>2896108</v>
      </c>
      <c r="W230" s="9">
        <v>610364</v>
      </c>
      <c r="X230" s="9">
        <v>3277</v>
      </c>
      <c r="Y230" s="9">
        <v>44592</v>
      </c>
      <c r="Z230" s="9">
        <v>3397147.27</v>
      </c>
      <c r="AA230" s="9">
        <v>2962918</v>
      </c>
      <c r="AB230" s="9">
        <v>613641</v>
      </c>
      <c r="AC230" s="9">
        <v>3454522.33</v>
      </c>
      <c r="AD230" s="9">
        <v>3045879</v>
      </c>
      <c r="AE230" s="9">
        <v>629001</v>
      </c>
      <c r="AF230" s="9">
        <v>3719346.8900000006</v>
      </c>
      <c r="AG230" s="9">
        <v>3186194</v>
      </c>
      <c r="AH230" s="9">
        <v>639201</v>
      </c>
      <c r="AI230" s="9">
        <v>3839529.9800000004</v>
      </c>
      <c r="AJ230" s="9">
        <v>3213640</v>
      </c>
      <c r="AK230" s="28">
        <v>650652</v>
      </c>
      <c r="AL230" s="9">
        <v>4306524.25</v>
      </c>
      <c r="AM230" s="9">
        <v>3420717</v>
      </c>
      <c r="AN230" s="28">
        <v>885807</v>
      </c>
      <c r="AO230" s="9">
        <v>4345993.05</v>
      </c>
      <c r="AP230" s="9">
        <v>3494124</v>
      </c>
      <c r="AQ230" s="28">
        <v>910282</v>
      </c>
      <c r="AR230" s="9">
        <v>4614741.4748551529</v>
      </c>
      <c r="AS230" s="9">
        <v>3814150</v>
      </c>
      <c r="AT230" s="28">
        <v>924052</v>
      </c>
      <c r="AU230" s="9">
        <v>4566695.8900000006</v>
      </c>
      <c r="AV230" s="9">
        <v>3767524</v>
      </c>
      <c r="AW230" s="9">
        <v>936832</v>
      </c>
      <c r="AX230" s="9">
        <v>4939842.5494836336</v>
      </c>
      <c r="AY230" s="9">
        <v>3951377</v>
      </c>
      <c r="AZ230" s="28">
        <v>988466</v>
      </c>
      <c r="BA230" s="9">
        <v>5068644.3499999996</v>
      </c>
      <c r="BB230" s="9">
        <v>3984819</v>
      </c>
      <c r="BC230" s="9">
        <v>1083825</v>
      </c>
      <c r="BD230" s="9">
        <v>5250477.3999999994</v>
      </c>
      <c r="BE230" s="9">
        <v>4061903</v>
      </c>
      <c r="BF230" s="9">
        <v>1190134</v>
      </c>
      <c r="BG230" s="9">
        <v>6081567.2300000004</v>
      </c>
      <c r="BH230" s="9">
        <v>4486599</v>
      </c>
      <c r="BI230" s="9">
        <v>1594968</v>
      </c>
      <c r="BJ230" s="9">
        <v>6470637.9299999997</v>
      </c>
      <c r="BK230" s="9">
        <v>4519073</v>
      </c>
      <c r="BL230" s="9">
        <v>1951565</v>
      </c>
      <c r="BM230" s="9"/>
      <c r="BN230" s="9"/>
      <c r="BO230" s="9"/>
      <c r="BP230" s="9"/>
      <c r="BQ230" s="9"/>
      <c r="BR230" s="9"/>
      <c r="BS230" s="9"/>
      <c r="BT230" s="9"/>
      <c r="BU230" s="9"/>
    </row>
    <row r="231" spans="1:73">
      <c r="A231" s="6">
        <v>222</v>
      </c>
      <c r="B231" s="6" t="s">
        <v>1340</v>
      </c>
      <c r="C231" s="421">
        <v>43.63</v>
      </c>
      <c r="D231" s="9">
        <v>88168</v>
      </c>
      <c r="E231" s="33">
        <v>23979</v>
      </c>
      <c r="F231" s="9">
        <v>64189</v>
      </c>
      <c r="G231" s="9">
        <v>97646.94</v>
      </c>
      <c r="H231" s="9">
        <v>23754</v>
      </c>
      <c r="I231" s="9">
        <v>73893</v>
      </c>
      <c r="J231" s="9">
        <v>102197.43</v>
      </c>
      <c r="K231" s="9">
        <v>24731</v>
      </c>
      <c r="L231" s="9">
        <v>77466</v>
      </c>
      <c r="M231" s="9">
        <v>107491.41</v>
      </c>
      <c r="N231" s="9">
        <v>27810</v>
      </c>
      <c r="O231" s="9">
        <v>80415</v>
      </c>
      <c r="P231" s="9">
        <v>0</v>
      </c>
      <c r="Q231" s="9">
        <v>183603.36713492827</v>
      </c>
      <c r="R231" s="9">
        <v>66144</v>
      </c>
      <c r="S231" s="9">
        <v>78807</v>
      </c>
      <c r="T231" s="9">
        <v>38652</v>
      </c>
      <c r="U231" s="9">
        <v>0</v>
      </c>
      <c r="V231" s="9">
        <v>0</v>
      </c>
      <c r="W231" s="9">
        <v>0</v>
      </c>
      <c r="X231" s="9">
        <v>0</v>
      </c>
      <c r="Y231" s="9">
        <v>0</v>
      </c>
      <c r="Z231" s="9">
        <v>0</v>
      </c>
      <c r="AA231" s="9">
        <v>0</v>
      </c>
      <c r="AB231" s="9">
        <v>0</v>
      </c>
      <c r="AC231" s="9">
        <v>0</v>
      </c>
      <c r="AD231" s="9">
        <v>0</v>
      </c>
      <c r="AE231" s="9">
        <v>0</v>
      </c>
      <c r="AF231" s="9">
        <v>0</v>
      </c>
      <c r="AG231" s="9">
        <v>0</v>
      </c>
      <c r="AH231" s="9">
        <v>0</v>
      </c>
      <c r="AI231" s="9">
        <v>0</v>
      </c>
      <c r="AJ231" s="9">
        <v>0</v>
      </c>
      <c r="AK231" s="28">
        <v>0</v>
      </c>
      <c r="AL231" s="9">
        <v>13199.960000000001</v>
      </c>
      <c r="AM231" s="9">
        <v>7320</v>
      </c>
      <c r="AN231" s="28">
        <v>5880</v>
      </c>
      <c r="AO231" s="9">
        <v>13170.920000000002</v>
      </c>
      <c r="AP231" s="9">
        <v>7638</v>
      </c>
      <c r="AQ231" s="28">
        <v>5880</v>
      </c>
      <c r="AR231" s="9">
        <v>13416.833343589547</v>
      </c>
      <c r="AS231" s="9">
        <v>8143</v>
      </c>
      <c r="AT231" s="28">
        <v>5880</v>
      </c>
      <c r="AU231" s="9">
        <v>13837.16</v>
      </c>
      <c r="AV231" s="9">
        <v>7937</v>
      </c>
      <c r="AW231" s="9">
        <v>5900</v>
      </c>
      <c r="AX231" s="9">
        <v>14371.797255353356</v>
      </c>
      <c r="AY231" s="9">
        <v>8519</v>
      </c>
      <c r="AZ231" s="28">
        <v>5900</v>
      </c>
      <c r="BA231" s="9">
        <v>14657.8</v>
      </c>
      <c r="BB231" s="9">
        <v>8004</v>
      </c>
      <c r="BC231" s="9">
        <v>6654</v>
      </c>
      <c r="BD231" s="9">
        <v>44858.340000000004</v>
      </c>
      <c r="BE231" s="9">
        <v>24647</v>
      </c>
      <c r="BF231" s="9">
        <v>20299</v>
      </c>
      <c r="BG231" s="9">
        <v>0</v>
      </c>
      <c r="BH231" s="9">
        <v>0</v>
      </c>
      <c r="BI231" s="9">
        <v>0</v>
      </c>
      <c r="BJ231" s="9">
        <v>0</v>
      </c>
      <c r="BK231" s="9">
        <v>0</v>
      </c>
      <c r="BL231" s="9">
        <v>0</v>
      </c>
      <c r="BM231" s="9"/>
      <c r="BN231" s="9"/>
      <c r="BO231" s="9"/>
      <c r="BP231" s="9"/>
      <c r="BQ231" s="9"/>
      <c r="BR231" s="9"/>
      <c r="BS231" s="9"/>
      <c r="BT231" s="9"/>
      <c r="BU231" s="9"/>
    </row>
    <row r="232" spans="1:73">
      <c r="A232" s="6">
        <v>223</v>
      </c>
      <c r="B232" s="6" t="s">
        <v>1341</v>
      </c>
      <c r="C232" s="421">
        <v>71.52</v>
      </c>
      <c r="D232" s="9">
        <v>5726579</v>
      </c>
      <c r="E232" s="33">
        <v>1106334</v>
      </c>
      <c r="F232" s="9">
        <v>4911542</v>
      </c>
      <c r="G232" s="9">
        <v>5794416.4100000001</v>
      </c>
      <c r="H232" s="9">
        <v>1365123</v>
      </c>
      <c r="I232" s="9">
        <v>4961898</v>
      </c>
      <c r="J232" s="9">
        <v>5977476.5872389013</v>
      </c>
      <c r="K232" s="9">
        <v>1437195</v>
      </c>
      <c r="L232" s="9">
        <v>5097546</v>
      </c>
      <c r="M232" s="9">
        <v>6544119.3700000001</v>
      </c>
      <c r="N232" s="9">
        <v>1531082</v>
      </c>
      <c r="O232" s="9">
        <v>4936583</v>
      </c>
      <c r="P232" s="9">
        <v>580165</v>
      </c>
      <c r="Q232" s="9">
        <v>6699540.3565933015</v>
      </c>
      <c r="R232" s="9">
        <v>1785567</v>
      </c>
      <c r="S232" s="9">
        <v>5406413</v>
      </c>
      <c r="T232" s="9">
        <v>0</v>
      </c>
      <c r="U232" s="9">
        <v>6697536.4997399999</v>
      </c>
      <c r="V232" s="9">
        <v>1819535</v>
      </c>
      <c r="W232" s="9">
        <v>5090570</v>
      </c>
      <c r="X232" s="9">
        <v>27329</v>
      </c>
      <c r="Y232" s="9">
        <v>306189</v>
      </c>
      <c r="Z232" s="9">
        <v>6427741.0799999991</v>
      </c>
      <c r="AA232" s="9">
        <v>1820190</v>
      </c>
      <c r="AB232" s="9">
        <v>5117899</v>
      </c>
      <c r="AC232" s="9">
        <v>6143522.4500000002</v>
      </c>
      <c r="AD232" s="9">
        <v>1791132</v>
      </c>
      <c r="AE232" s="9">
        <v>5142779</v>
      </c>
      <c r="AF232" s="9">
        <v>6178576.1000000006</v>
      </c>
      <c r="AG232" s="9">
        <v>1796299</v>
      </c>
      <c r="AH232" s="9">
        <v>5158204</v>
      </c>
      <c r="AI232" s="9">
        <v>6225638.2200000016</v>
      </c>
      <c r="AJ232" s="9">
        <v>1814005</v>
      </c>
      <c r="AK232" s="28">
        <v>5173729</v>
      </c>
      <c r="AL232" s="9">
        <v>6497667.1399999978</v>
      </c>
      <c r="AM232" s="9">
        <v>1883340</v>
      </c>
      <c r="AN232" s="28">
        <v>5189379</v>
      </c>
      <c r="AO232" s="9">
        <v>6410831.3199999994</v>
      </c>
      <c r="AP232" s="9">
        <v>1858029</v>
      </c>
      <c r="AQ232" s="28">
        <v>5222159</v>
      </c>
      <c r="AR232" s="9">
        <v>6801556.0005172687</v>
      </c>
      <c r="AS232" s="9">
        <v>1896835</v>
      </c>
      <c r="AT232" s="28">
        <v>5240609</v>
      </c>
      <c r="AU232" s="9">
        <v>6913169.459999999</v>
      </c>
      <c r="AV232" s="9">
        <v>1888769</v>
      </c>
      <c r="AW232" s="9">
        <v>5259029</v>
      </c>
      <c r="AX232" s="9">
        <v>7421674.387598698</v>
      </c>
      <c r="AY232" s="9">
        <v>1989628</v>
      </c>
      <c r="AZ232" s="28">
        <v>5432046</v>
      </c>
      <c r="BA232" s="9">
        <v>7238630.1499999985</v>
      </c>
      <c r="BB232" s="9">
        <v>2020501</v>
      </c>
      <c r="BC232" s="9">
        <v>5432046</v>
      </c>
      <c r="BD232" s="9">
        <v>6806427.04</v>
      </c>
      <c r="BE232" s="9">
        <v>1964703</v>
      </c>
      <c r="BF232" s="9">
        <v>5448006</v>
      </c>
      <c r="BG232" s="9">
        <v>8547480.9700000007</v>
      </c>
      <c r="BH232" s="9">
        <v>2251919</v>
      </c>
      <c r="BI232" s="9">
        <v>6295562</v>
      </c>
      <c r="BJ232" s="9">
        <v>9212499.9199999981</v>
      </c>
      <c r="BK232" s="9">
        <v>2332598</v>
      </c>
      <c r="BL232" s="9">
        <v>6879902</v>
      </c>
      <c r="BM232" s="9"/>
      <c r="BN232" s="9"/>
      <c r="BO232" s="9"/>
      <c r="BP232" s="9"/>
      <c r="BQ232" s="9"/>
      <c r="BR232" s="9"/>
      <c r="BS232" s="9"/>
      <c r="BT232" s="9"/>
      <c r="BU232" s="9"/>
    </row>
    <row r="233" spans="1:73">
      <c r="A233" s="6">
        <v>224</v>
      </c>
      <c r="B233" s="6" t="s">
        <v>1342</v>
      </c>
      <c r="C233" s="421">
        <v>17.5</v>
      </c>
      <c r="D233" s="9">
        <v>1619773</v>
      </c>
      <c r="E233" s="33">
        <v>2314304</v>
      </c>
      <c r="F233" s="9">
        <v>225962.4</v>
      </c>
      <c r="G233" s="9">
        <v>1599992.33</v>
      </c>
      <c r="H233" s="9">
        <v>1928689</v>
      </c>
      <c r="I233" s="9">
        <v>236862.4</v>
      </c>
      <c r="J233" s="9">
        <v>1527004.24</v>
      </c>
      <c r="K233" s="9">
        <v>1747368</v>
      </c>
      <c r="L233" s="9">
        <v>246812.4</v>
      </c>
      <c r="M233" s="9">
        <v>1489750.36</v>
      </c>
      <c r="N233" s="9">
        <v>1601503</v>
      </c>
      <c r="O233" s="9">
        <v>229223.4</v>
      </c>
      <c r="P233" s="9">
        <v>26939</v>
      </c>
      <c r="Q233" s="9">
        <v>1586853.2817454548</v>
      </c>
      <c r="R233" s="9">
        <v>1643573</v>
      </c>
      <c r="S233" s="9">
        <v>251039</v>
      </c>
      <c r="T233" s="9">
        <v>0</v>
      </c>
      <c r="U233" s="9">
        <v>1471893.3349799998</v>
      </c>
      <c r="V233" s="9">
        <v>1497065</v>
      </c>
      <c r="W233" s="9">
        <v>236373</v>
      </c>
      <c r="X233" s="9">
        <v>1269</v>
      </c>
      <c r="Y233" s="9">
        <v>17747</v>
      </c>
      <c r="Z233" s="9">
        <v>1548813.24</v>
      </c>
      <c r="AA233" s="9">
        <v>1556406</v>
      </c>
      <c r="AB233" s="9">
        <v>237642</v>
      </c>
      <c r="AC233" s="9">
        <v>1684181.3199999998</v>
      </c>
      <c r="AD233" s="9">
        <v>1657933</v>
      </c>
      <c r="AE233" s="9">
        <v>245322</v>
      </c>
      <c r="AF233" s="9">
        <v>1746797.08</v>
      </c>
      <c r="AG233" s="9">
        <v>1713633</v>
      </c>
      <c r="AH233" s="9">
        <v>250272</v>
      </c>
      <c r="AI233" s="9">
        <v>1909216.98</v>
      </c>
      <c r="AJ233" s="9">
        <v>1715171</v>
      </c>
      <c r="AK233" s="28">
        <v>279616</v>
      </c>
      <c r="AL233" s="9">
        <v>2072439.67</v>
      </c>
      <c r="AM233" s="9">
        <v>1813057</v>
      </c>
      <c r="AN233" s="28">
        <v>285191</v>
      </c>
      <c r="AO233" s="9">
        <v>2091738.9399999997</v>
      </c>
      <c r="AP233" s="9">
        <v>1737899</v>
      </c>
      <c r="AQ233" s="28">
        <v>353840</v>
      </c>
      <c r="AR233" s="9">
        <v>2186402.5084648258</v>
      </c>
      <c r="AS233" s="9">
        <v>1814388</v>
      </c>
      <c r="AT233" s="28">
        <v>372015</v>
      </c>
      <c r="AU233" s="9">
        <v>2345513.3400000003</v>
      </c>
      <c r="AV233" s="9">
        <v>1934693</v>
      </c>
      <c r="AW233" s="9">
        <v>410820</v>
      </c>
      <c r="AX233" s="9">
        <v>2457051.7958840481</v>
      </c>
      <c r="AY233" s="9">
        <v>2027068</v>
      </c>
      <c r="AZ233" s="28">
        <v>429984</v>
      </c>
      <c r="BA233" s="9">
        <v>2333514.6599999997</v>
      </c>
      <c r="BB233" s="9">
        <v>1925150</v>
      </c>
      <c r="BC233" s="9">
        <v>429984</v>
      </c>
      <c r="BD233" s="9">
        <v>2121258.23</v>
      </c>
      <c r="BE233" s="9">
        <v>1750038</v>
      </c>
      <c r="BF233" s="9">
        <v>435474</v>
      </c>
      <c r="BG233" s="9">
        <v>2265527.7100000004</v>
      </c>
      <c r="BH233" s="9">
        <v>1869061</v>
      </c>
      <c r="BI233" s="9">
        <v>445614</v>
      </c>
      <c r="BJ233" s="9">
        <v>2114047.8800000004</v>
      </c>
      <c r="BK233" s="9">
        <v>1744090</v>
      </c>
      <c r="BL233" s="9">
        <v>454554</v>
      </c>
      <c r="BM233" s="9"/>
      <c r="BN233" s="9"/>
      <c r="BO233" s="9"/>
      <c r="BP233" s="9"/>
      <c r="BQ233" s="9"/>
      <c r="BR233" s="9"/>
      <c r="BS233" s="9"/>
      <c r="BT233" s="9"/>
      <c r="BU233" s="9"/>
    </row>
    <row r="234" spans="1:73">
      <c r="A234" s="6">
        <v>225</v>
      </c>
      <c r="B234" s="6" t="s">
        <v>1343</v>
      </c>
      <c r="C234" s="421">
        <v>17.5</v>
      </c>
      <c r="D234" s="9">
        <v>0</v>
      </c>
      <c r="E234" s="33">
        <v>4865</v>
      </c>
      <c r="F234" s="9">
        <v>0</v>
      </c>
      <c r="G234" s="9">
        <v>0</v>
      </c>
      <c r="H234" s="9">
        <v>1222</v>
      </c>
      <c r="I234" s="9">
        <v>0</v>
      </c>
      <c r="J234" s="9">
        <v>0</v>
      </c>
      <c r="K234" s="9">
        <v>0</v>
      </c>
      <c r="L234" s="9">
        <v>0</v>
      </c>
      <c r="M234" s="9">
        <v>0</v>
      </c>
      <c r="N234" s="9">
        <v>0</v>
      </c>
      <c r="O234" s="9">
        <v>0</v>
      </c>
      <c r="P234" s="9">
        <v>0</v>
      </c>
      <c r="Q234" s="9">
        <v>0</v>
      </c>
      <c r="R234" s="9">
        <v>0</v>
      </c>
      <c r="S234" s="9">
        <v>0</v>
      </c>
      <c r="T234" s="9">
        <v>0</v>
      </c>
      <c r="U234" s="9">
        <v>0</v>
      </c>
      <c r="V234" s="9">
        <v>0</v>
      </c>
      <c r="W234" s="9">
        <v>0</v>
      </c>
      <c r="X234" s="9">
        <v>0</v>
      </c>
      <c r="Y234" s="9">
        <v>0</v>
      </c>
      <c r="Z234" s="9">
        <v>0</v>
      </c>
      <c r="AA234" s="9">
        <v>0</v>
      </c>
      <c r="AB234" s="9">
        <v>0</v>
      </c>
      <c r="AC234" s="9">
        <v>0</v>
      </c>
      <c r="AD234" s="9">
        <v>0</v>
      </c>
      <c r="AE234" s="9">
        <v>0</v>
      </c>
      <c r="AF234" s="9">
        <v>0</v>
      </c>
      <c r="AG234" s="9">
        <v>0</v>
      </c>
      <c r="AH234" s="9">
        <v>0</v>
      </c>
      <c r="AI234" s="9">
        <v>0</v>
      </c>
      <c r="AJ234" s="9">
        <v>0</v>
      </c>
      <c r="AK234" s="28">
        <v>0</v>
      </c>
      <c r="AL234" s="9">
        <v>0</v>
      </c>
      <c r="AM234" s="9">
        <v>0</v>
      </c>
      <c r="AN234" s="28">
        <v>0</v>
      </c>
      <c r="AO234" s="9">
        <v>0</v>
      </c>
      <c r="AP234" s="9">
        <v>0</v>
      </c>
      <c r="AQ234" s="28">
        <v>0</v>
      </c>
      <c r="AR234" s="9">
        <v>0</v>
      </c>
      <c r="AS234" s="9">
        <v>0</v>
      </c>
      <c r="AT234" s="28">
        <v>0</v>
      </c>
      <c r="AU234" s="9">
        <v>0</v>
      </c>
      <c r="AV234" s="9">
        <v>0</v>
      </c>
      <c r="AW234" s="9">
        <v>0</v>
      </c>
      <c r="AX234" s="9">
        <v>0</v>
      </c>
      <c r="AY234" s="9">
        <v>0</v>
      </c>
      <c r="AZ234" s="28">
        <v>0</v>
      </c>
      <c r="BA234" s="9">
        <v>0</v>
      </c>
      <c r="BB234" s="9">
        <v>0</v>
      </c>
      <c r="BC234" s="9">
        <v>0</v>
      </c>
      <c r="BD234" s="9">
        <v>0</v>
      </c>
      <c r="BE234" s="9">
        <v>0</v>
      </c>
      <c r="BF234" s="9">
        <v>0</v>
      </c>
      <c r="BG234" s="9">
        <v>0</v>
      </c>
      <c r="BH234" s="9">
        <v>0</v>
      </c>
      <c r="BI234" s="9">
        <v>0</v>
      </c>
      <c r="BJ234" s="9">
        <v>0</v>
      </c>
      <c r="BK234" s="9">
        <v>0</v>
      </c>
      <c r="BL234" s="9">
        <v>0</v>
      </c>
      <c r="BM234" s="9"/>
      <c r="BN234" s="9"/>
      <c r="BO234" s="9"/>
      <c r="BP234" s="9"/>
      <c r="BQ234" s="9"/>
      <c r="BR234" s="9"/>
      <c r="BS234" s="9"/>
      <c r="BT234" s="9"/>
      <c r="BU234" s="9"/>
    </row>
    <row r="235" spans="1:73">
      <c r="A235" s="6">
        <v>226</v>
      </c>
      <c r="B235" s="6" t="s">
        <v>1344</v>
      </c>
      <c r="C235" s="421">
        <v>46.53</v>
      </c>
      <c r="D235" s="9">
        <v>15678123</v>
      </c>
      <c r="E235" s="33">
        <v>7200883</v>
      </c>
      <c r="F235" s="9">
        <v>8477240</v>
      </c>
      <c r="G235" s="9">
        <v>16425478.989999998</v>
      </c>
      <c r="H235" s="9">
        <v>7646890</v>
      </c>
      <c r="I235" s="9">
        <v>8877524</v>
      </c>
      <c r="J235" s="9">
        <v>17109033.364616748</v>
      </c>
      <c r="K235" s="9">
        <v>8150080</v>
      </c>
      <c r="L235" s="9">
        <v>9240150</v>
      </c>
      <c r="M235" s="9">
        <v>17439260.300000004</v>
      </c>
      <c r="N235" s="9">
        <v>8260539</v>
      </c>
      <c r="O235" s="9">
        <v>8426242</v>
      </c>
      <c r="P235" s="9">
        <v>990282</v>
      </c>
      <c r="Q235" s="9">
        <v>17832934.835016266</v>
      </c>
      <c r="R235" s="9">
        <v>8214327</v>
      </c>
      <c r="S235" s="9">
        <v>9228194</v>
      </c>
      <c r="T235" s="9">
        <v>390414</v>
      </c>
      <c r="U235" s="9">
        <v>17925538.693260003</v>
      </c>
      <c r="V235" s="9">
        <v>8351513</v>
      </c>
      <c r="W235" s="9">
        <v>9390325</v>
      </c>
      <c r="X235" s="9">
        <v>50411</v>
      </c>
      <c r="Y235" s="9">
        <v>228497</v>
      </c>
      <c r="Z235" s="9">
        <v>18299262.16</v>
      </c>
      <c r="AA235" s="9">
        <v>8535109</v>
      </c>
      <c r="AB235" s="9">
        <v>9764153</v>
      </c>
      <c r="AC235" s="9">
        <v>19039445.560000002</v>
      </c>
      <c r="AD235" s="9">
        <v>8878897</v>
      </c>
      <c r="AE235" s="9">
        <v>10160549</v>
      </c>
      <c r="AF235" s="9">
        <v>18857808.949999999</v>
      </c>
      <c r="AG235" s="9">
        <v>9147593</v>
      </c>
      <c r="AH235" s="9">
        <v>10209599</v>
      </c>
      <c r="AI235" s="9">
        <v>18717632.59</v>
      </c>
      <c r="AJ235" s="9">
        <v>9144757</v>
      </c>
      <c r="AK235" s="28">
        <v>10258149</v>
      </c>
      <c r="AL235" s="9">
        <v>19226330.559999999</v>
      </c>
      <c r="AM235" s="9">
        <v>9307209</v>
      </c>
      <c r="AN235" s="28">
        <v>10306499</v>
      </c>
      <c r="AO235" s="9">
        <v>18814492.639999997</v>
      </c>
      <c r="AP235" s="9">
        <v>9045951</v>
      </c>
      <c r="AQ235" s="28">
        <v>10408194</v>
      </c>
      <c r="AR235" s="9">
        <v>18658337.210024625</v>
      </c>
      <c r="AS235" s="9">
        <v>8970216</v>
      </c>
      <c r="AT235" s="28">
        <v>10461744</v>
      </c>
      <c r="AU235" s="9">
        <v>19085189.02</v>
      </c>
      <c r="AV235" s="9">
        <v>9428164</v>
      </c>
      <c r="AW235" s="9">
        <v>10514754</v>
      </c>
      <c r="AX235" s="9">
        <v>19698237.275810093</v>
      </c>
      <c r="AY235" s="9">
        <v>9622553</v>
      </c>
      <c r="AZ235" s="28">
        <v>10566894</v>
      </c>
      <c r="BA235" s="9">
        <v>19171590.48</v>
      </c>
      <c r="BB235" s="9">
        <v>9891135</v>
      </c>
      <c r="BC235" s="9">
        <v>10566894</v>
      </c>
      <c r="BD235" s="9">
        <v>18679880.199999996</v>
      </c>
      <c r="BE235" s="9">
        <v>10080418</v>
      </c>
      <c r="BF235" s="9">
        <v>10613784</v>
      </c>
      <c r="BG235" s="9">
        <v>21026624.100000001</v>
      </c>
      <c r="BH235" s="9">
        <v>10588629</v>
      </c>
      <c r="BI235" s="9">
        <v>10708044</v>
      </c>
      <c r="BJ235" s="9">
        <v>21950126.810000002</v>
      </c>
      <c r="BK235" s="9">
        <v>10995071</v>
      </c>
      <c r="BL235" s="9">
        <v>10955056</v>
      </c>
      <c r="BM235" s="9"/>
      <c r="BN235" s="9"/>
      <c r="BO235" s="9"/>
      <c r="BP235" s="9"/>
      <c r="BQ235" s="9"/>
      <c r="BR235" s="9"/>
      <c r="BS235" s="9"/>
      <c r="BT235" s="9"/>
      <c r="BU235" s="9"/>
    </row>
    <row r="236" spans="1:73">
      <c r="A236" s="6">
        <v>227</v>
      </c>
      <c r="B236" s="6" t="s">
        <v>1345</v>
      </c>
      <c r="C236" s="421">
        <v>58.81</v>
      </c>
      <c r="D236" s="9">
        <v>15382941</v>
      </c>
      <c r="E236" s="33">
        <v>5150016</v>
      </c>
      <c r="F236" s="9">
        <v>10232925</v>
      </c>
      <c r="G236" s="9">
        <v>16293473.060000004</v>
      </c>
      <c r="H236" s="9">
        <v>5491599</v>
      </c>
      <c r="I236" s="9">
        <v>10828140</v>
      </c>
      <c r="J236" s="9">
        <v>16630337.504335003</v>
      </c>
      <c r="K236" s="9">
        <v>5686758</v>
      </c>
      <c r="L236" s="9">
        <v>11045384</v>
      </c>
      <c r="M236" s="9">
        <v>16912374.970000003</v>
      </c>
      <c r="N236" s="9">
        <v>5850602</v>
      </c>
      <c r="O236" s="9">
        <v>10045276</v>
      </c>
      <c r="P236" s="9">
        <v>1180556</v>
      </c>
      <c r="Q236" s="9">
        <v>17367767.6769378</v>
      </c>
      <c r="R236" s="9">
        <v>6255521</v>
      </c>
      <c r="S236" s="9">
        <v>11001315</v>
      </c>
      <c r="T236" s="9">
        <v>110932</v>
      </c>
      <c r="U236" s="9">
        <v>16420213.2009</v>
      </c>
      <c r="V236" s="9">
        <v>6331779</v>
      </c>
      <c r="W236" s="9">
        <v>10463070</v>
      </c>
      <c r="X236" s="9">
        <v>56170</v>
      </c>
      <c r="Y236" s="9">
        <v>638157</v>
      </c>
      <c r="Z236" s="9">
        <v>15673257.680000003</v>
      </c>
      <c r="AA236" s="9">
        <v>6390223</v>
      </c>
      <c r="AB236" s="9">
        <v>10519240</v>
      </c>
      <c r="AC236" s="9">
        <v>16134047.02</v>
      </c>
      <c r="AD236" s="9">
        <v>6470869</v>
      </c>
      <c r="AE236" s="9">
        <v>10585480</v>
      </c>
      <c r="AF236" s="9">
        <v>16198575.519999998</v>
      </c>
      <c r="AG236" s="9">
        <v>6747578</v>
      </c>
      <c r="AH236" s="9">
        <v>10626130</v>
      </c>
      <c r="AI236" s="9">
        <v>15478309.109999996</v>
      </c>
      <c r="AJ236" s="9">
        <v>6819446</v>
      </c>
      <c r="AK236" s="28">
        <v>10664455</v>
      </c>
      <c r="AL236" s="9">
        <v>15466730.400000002</v>
      </c>
      <c r="AM236" s="9">
        <v>6815260</v>
      </c>
      <c r="AN236" s="28">
        <v>10701980</v>
      </c>
      <c r="AO236" s="9">
        <v>15564758.360000001</v>
      </c>
      <c r="AP236" s="9">
        <v>6592394</v>
      </c>
      <c r="AQ236" s="28">
        <v>10784150</v>
      </c>
      <c r="AR236" s="9">
        <v>15937384.115527295</v>
      </c>
      <c r="AS236" s="9">
        <v>6595198</v>
      </c>
      <c r="AT236" s="28">
        <v>10829000</v>
      </c>
      <c r="AU236" s="9">
        <v>16355731.319999998</v>
      </c>
      <c r="AV236" s="9">
        <v>6739159</v>
      </c>
      <c r="AW236" s="9">
        <v>10873130</v>
      </c>
      <c r="AX236" s="9">
        <v>16594239.756346451</v>
      </c>
      <c r="AY236" s="9">
        <v>6825833</v>
      </c>
      <c r="AZ236" s="28">
        <v>10915640</v>
      </c>
      <c r="BA236" s="9">
        <v>17071234.920000002</v>
      </c>
      <c r="BB236" s="9">
        <v>6857027</v>
      </c>
      <c r="BC236" s="9">
        <v>10915640</v>
      </c>
      <c r="BD236" s="9">
        <v>16709438.479999997</v>
      </c>
      <c r="BE236" s="9">
        <v>6791117</v>
      </c>
      <c r="BF236" s="9">
        <v>10955180</v>
      </c>
      <c r="BG236" s="9">
        <v>18251116.599999998</v>
      </c>
      <c r="BH236" s="9">
        <v>7077995</v>
      </c>
      <c r="BI236" s="9">
        <v>11173122</v>
      </c>
      <c r="BJ236" s="9">
        <v>19001379.489999998</v>
      </c>
      <c r="BK236" s="9">
        <v>7280709</v>
      </c>
      <c r="BL236" s="9">
        <v>11720670</v>
      </c>
      <c r="BM236" s="9"/>
      <c r="BN236" s="9"/>
      <c r="BO236" s="9"/>
      <c r="BP236" s="9"/>
      <c r="BQ236" s="9"/>
      <c r="BR236" s="9"/>
      <c r="BS236" s="9"/>
      <c r="BT236" s="9"/>
      <c r="BU236" s="9"/>
    </row>
    <row r="237" spans="1:73">
      <c r="A237" s="6">
        <v>228</v>
      </c>
      <c r="B237" s="6" t="s">
        <v>1346</v>
      </c>
      <c r="C237" s="421">
        <v>35.03</v>
      </c>
      <c r="D237" s="9">
        <v>196006</v>
      </c>
      <c r="E237" s="33">
        <v>125093</v>
      </c>
      <c r="F237" s="9">
        <v>0</v>
      </c>
      <c r="G237" s="9">
        <v>0</v>
      </c>
      <c r="H237" s="9">
        <v>0</v>
      </c>
      <c r="I237" s="9">
        <v>0</v>
      </c>
      <c r="J237" s="9">
        <v>0</v>
      </c>
      <c r="K237" s="9">
        <v>0</v>
      </c>
      <c r="L237" s="9">
        <v>0</v>
      </c>
      <c r="M237" s="9">
        <v>0</v>
      </c>
      <c r="N237" s="9">
        <v>0</v>
      </c>
      <c r="O237" s="9">
        <v>0</v>
      </c>
      <c r="P237" s="9">
        <v>0</v>
      </c>
      <c r="Q237" s="9">
        <v>0</v>
      </c>
      <c r="R237" s="9">
        <v>0</v>
      </c>
      <c r="S237" s="9">
        <v>0</v>
      </c>
      <c r="T237" s="9">
        <v>0</v>
      </c>
      <c r="U237" s="9">
        <v>0</v>
      </c>
      <c r="V237" s="9">
        <v>0</v>
      </c>
      <c r="W237" s="9">
        <v>0</v>
      </c>
      <c r="X237" s="9">
        <v>0</v>
      </c>
      <c r="Y237" s="9">
        <v>0</v>
      </c>
      <c r="Z237" s="9">
        <v>0</v>
      </c>
      <c r="AA237" s="9">
        <v>0</v>
      </c>
      <c r="AB237" s="9">
        <v>0</v>
      </c>
      <c r="AC237" s="9">
        <v>0</v>
      </c>
      <c r="AD237" s="9">
        <v>0</v>
      </c>
      <c r="AE237" s="9">
        <v>0</v>
      </c>
      <c r="AF237" s="9">
        <v>0</v>
      </c>
      <c r="AG237" s="9">
        <v>0</v>
      </c>
      <c r="AH237" s="9">
        <v>0</v>
      </c>
      <c r="AI237" s="9">
        <v>0</v>
      </c>
      <c r="AJ237" s="9">
        <v>0</v>
      </c>
      <c r="AK237" s="28">
        <v>0</v>
      </c>
      <c r="AL237" s="9">
        <v>0</v>
      </c>
      <c r="AM237" s="9">
        <v>0</v>
      </c>
      <c r="AN237" s="28">
        <v>0</v>
      </c>
      <c r="AO237" s="9">
        <v>0</v>
      </c>
      <c r="AP237" s="9">
        <v>0</v>
      </c>
      <c r="AQ237" s="28">
        <v>0</v>
      </c>
      <c r="AR237" s="9">
        <v>0</v>
      </c>
      <c r="AS237" s="9">
        <v>0</v>
      </c>
      <c r="AT237" s="28">
        <v>0</v>
      </c>
      <c r="AU237" s="9">
        <v>13837.16</v>
      </c>
      <c r="AV237" s="9">
        <v>8832</v>
      </c>
      <c r="AW237" s="9">
        <v>5026</v>
      </c>
      <c r="AX237" s="9">
        <v>14371.797255353356</v>
      </c>
      <c r="AY237" s="9">
        <v>9461</v>
      </c>
      <c r="AZ237" s="28">
        <v>5026</v>
      </c>
      <c r="BA237" s="9">
        <v>14657.8</v>
      </c>
      <c r="BB237" s="9">
        <v>9737</v>
      </c>
      <c r="BC237" s="9">
        <v>5026</v>
      </c>
      <c r="BD237" s="9">
        <v>0</v>
      </c>
      <c r="BE237" s="9">
        <v>0</v>
      </c>
      <c r="BF237" s="9">
        <v>0</v>
      </c>
      <c r="BG237" s="9">
        <v>0</v>
      </c>
      <c r="BH237" s="9">
        <v>0</v>
      </c>
      <c r="BI237" s="9">
        <v>0</v>
      </c>
      <c r="BJ237" s="9">
        <v>0</v>
      </c>
      <c r="BK237" s="9">
        <v>0</v>
      </c>
      <c r="BL237" s="9">
        <v>0</v>
      </c>
      <c r="BM237" s="9"/>
      <c r="BN237" s="9"/>
      <c r="BO237" s="9"/>
      <c r="BP237" s="9"/>
      <c r="BQ237" s="9"/>
      <c r="BR237" s="9"/>
      <c r="BS237" s="9"/>
      <c r="BT237" s="9"/>
      <c r="BU237" s="9"/>
    </row>
    <row r="238" spans="1:73">
      <c r="A238" s="6">
        <v>229</v>
      </c>
      <c r="B238" s="6" t="s">
        <v>1347</v>
      </c>
      <c r="C238" s="421">
        <v>32.25</v>
      </c>
      <c r="D238" s="9">
        <v>52895313</v>
      </c>
      <c r="E238" s="33">
        <v>34167033</v>
      </c>
      <c r="F238" s="9">
        <v>18728280</v>
      </c>
      <c r="G238" s="9">
        <v>54951902.25</v>
      </c>
      <c r="H238" s="9">
        <v>36075831</v>
      </c>
      <c r="I238" s="9">
        <v>19286644</v>
      </c>
      <c r="J238" s="9">
        <v>56602396.857231177</v>
      </c>
      <c r="K238" s="9">
        <v>38043319</v>
      </c>
      <c r="L238" s="9">
        <v>19741190</v>
      </c>
      <c r="M238" s="9">
        <v>58044809.350000001</v>
      </c>
      <c r="N238" s="9">
        <v>39953502</v>
      </c>
      <c r="O238" s="9">
        <v>18002388</v>
      </c>
      <c r="P238" s="9">
        <v>2115704</v>
      </c>
      <c r="Q238" s="9">
        <v>59750176.473661244</v>
      </c>
      <c r="R238" s="9">
        <v>40112796</v>
      </c>
      <c r="S238" s="9">
        <v>19715730</v>
      </c>
      <c r="T238" s="9">
        <v>0</v>
      </c>
      <c r="U238" s="9">
        <v>57582047.419799998</v>
      </c>
      <c r="V238" s="9">
        <v>41285234</v>
      </c>
      <c r="W238" s="9">
        <v>18563939</v>
      </c>
      <c r="X238" s="9">
        <v>99659</v>
      </c>
      <c r="Y238" s="9">
        <v>1206582</v>
      </c>
      <c r="Z238" s="9">
        <v>59014857.119999997</v>
      </c>
      <c r="AA238" s="9">
        <v>42743764</v>
      </c>
      <c r="AB238" s="9">
        <v>18663598</v>
      </c>
      <c r="AC238" s="9">
        <v>60749406.699999996</v>
      </c>
      <c r="AD238" s="9">
        <v>44345547</v>
      </c>
      <c r="AE238" s="9">
        <v>18906718</v>
      </c>
      <c r="AF238" s="9">
        <f>62298319.99-2406437</f>
        <v>59891882.990000002</v>
      </c>
      <c r="AG238" s="9">
        <f>45533417-1758848</f>
        <v>43774569</v>
      </c>
      <c r="AH238" s="9">
        <f>19059168-736211</f>
        <v>18322957</v>
      </c>
      <c r="AI238" s="9">
        <v>61102630.279999994</v>
      </c>
      <c r="AJ238" s="9">
        <v>44118255</v>
      </c>
      <c r="AK238" s="28">
        <f>18472707+125260</f>
        <v>18597967</v>
      </c>
      <c r="AL238" s="9">
        <v>62367587.499999993</v>
      </c>
      <c r="AM238" s="9">
        <v>45733796</v>
      </c>
      <c r="AN238" s="28">
        <v>18747217</v>
      </c>
      <c r="AO238" s="9">
        <v>62459203.560000002</v>
      </c>
      <c r="AP238" s="9">
        <v>44792470</v>
      </c>
      <c r="AQ238" s="28">
        <v>19070452</v>
      </c>
      <c r="AR238" s="9">
        <v>63749465.754188508</v>
      </c>
      <c r="AS238" s="9">
        <v>45449042</v>
      </c>
      <c r="AT238" s="28">
        <v>19247212</v>
      </c>
      <c r="AU238" s="9">
        <v>65184413.379999995</v>
      </c>
      <c r="AV238" s="9">
        <v>46771496</v>
      </c>
      <c r="AW238" s="9">
        <v>19423672</v>
      </c>
      <c r="AX238" s="9">
        <v>69609817.438056916</v>
      </c>
      <c r="AY238" s="9">
        <v>48453163</v>
      </c>
      <c r="AZ238" s="28">
        <v>21156654</v>
      </c>
      <c r="BA238" s="9">
        <v>72290192.479999989</v>
      </c>
      <c r="BB238" s="9">
        <v>50135481</v>
      </c>
      <c r="BC238" s="9">
        <v>22171771</v>
      </c>
      <c r="BD238" s="9">
        <v>74033830.659999996</v>
      </c>
      <c r="BE238" s="9">
        <v>50930549</v>
      </c>
      <c r="BF238" s="9">
        <v>23103282</v>
      </c>
      <c r="BG238" s="9">
        <v>83523634.23999998</v>
      </c>
      <c r="BH238" s="9">
        <v>52837629</v>
      </c>
      <c r="BI238" s="9">
        <v>30686005</v>
      </c>
      <c r="BJ238" s="9">
        <v>91177548.530000001</v>
      </c>
      <c r="BK238" s="9">
        <v>55819170</v>
      </c>
      <c r="BL238" s="9">
        <v>35358379</v>
      </c>
      <c r="BM238" s="9"/>
      <c r="BN238" s="9"/>
      <c r="BO238" s="9"/>
      <c r="BP238" s="9"/>
      <c r="BQ238" s="9"/>
      <c r="BR238" s="9"/>
      <c r="BS238" s="9"/>
      <c r="BT238" s="9"/>
      <c r="BU238" s="9"/>
    </row>
    <row r="239" spans="1:73">
      <c r="A239" s="6">
        <v>230</v>
      </c>
      <c r="B239" s="6" t="s">
        <v>1348</v>
      </c>
      <c r="C239" s="421">
        <v>17.71</v>
      </c>
      <c r="D239" s="9">
        <v>709807</v>
      </c>
      <c r="E239" s="33">
        <v>760482</v>
      </c>
      <c r="F239" s="9">
        <v>118052.8</v>
      </c>
      <c r="G239" s="9">
        <v>749939.66</v>
      </c>
      <c r="H239" s="9">
        <v>643809</v>
      </c>
      <c r="I239" s="9">
        <v>164606.79999999999</v>
      </c>
      <c r="J239" s="9">
        <v>733964.10943651071</v>
      </c>
      <c r="K239" s="9">
        <v>561236</v>
      </c>
      <c r="L239" s="9">
        <v>210786.8</v>
      </c>
      <c r="M239" s="9">
        <v>674439.18</v>
      </c>
      <c r="N239" s="9">
        <v>490547</v>
      </c>
      <c r="O239" s="9">
        <v>208647.8</v>
      </c>
      <c r="P239" s="9">
        <v>24521</v>
      </c>
      <c r="Q239" s="9">
        <v>670880.08917129191</v>
      </c>
      <c r="R239" s="9">
        <v>496664</v>
      </c>
      <c r="S239" s="9">
        <v>228505</v>
      </c>
      <c r="T239" s="9">
        <v>0</v>
      </c>
      <c r="U239" s="9">
        <v>663890.04804000002</v>
      </c>
      <c r="V239" s="9">
        <v>481763</v>
      </c>
      <c r="W239" s="9">
        <v>215156</v>
      </c>
      <c r="X239" s="9">
        <v>1155</v>
      </c>
      <c r="Y239" s="9">
        <v>14219</v>
      </c>
      <c r="Z239" s="9">
        <v>580669.32999999996</v>
      </c>
      <c r="AA239" s="9">
        <v>480192</v>
      </c>
      <c r="AB239" s="9">
        <v>216311</v>
      </c>
      <c r="AC239" s="9">
        <v>560019.19999999995</v>
      </c>
      <c r="AD239" s="9">
        <v>482745</v>
      </c>
      <c r="AE239" s="9">
        <v>218831</v>
      </c>
      <c r="AF239" s="9">
        <v>655277.24</v>
      </c>
      <c r="AG239" s="9">
        <v>566477</v>
      </c>
      <c r="AH239" s="9">
        <v>220506</v>
      </c>
      <c r="AI239" s="9">
        <v>689081.27</v>
      </c>
      <c r="AJ239" s="9">
        <v>620173</v>
      </c>
      <c r="AK239" s="28">
        <v>222256</v>
      </c>
      <c r="AL239" s="9">
        <v>696611.65</v>
      </c>
      <c r="AM239" s="9">
        <v>626950</v>
      </c>
      <c r="AN239" s="28">
        <v>224081</v>
      </c>
      <c r="AO239" s="9">
        <v>724220.01</v>
      </c>
      <c r="AP239" s="9">
        <v>609074</v>
      </c>
      <c r="AQ239" s="28">
        <v>228151</v>
      </c>
      <c r="AR239" s="9">
        <v>830020.58176676114</v>
      </c>
      <c r="AS239" s="9">
        <v>620333</v>
      </c>
      <c r="AT239" s="28">
        <v>230581</v>
      </c>
      <c r="AU239" s="9">
        <v>859407.46</v>
      </c>
      <c r="AV239" s="9">
        <v>668413</v>
      </c>
      <c r="AW239" s="9">
        <v>233071</v>
      </c>
      <c r="AX239" s="9">
        <v>905329.72853302001</v>
      </c>
      <c r="AY239" s="9">
        <v>687532</v>
      </c>
      <c r="AZ239" s="28">
        <v>235531</v>
      </c>
      <c r="BA239" s="9">
        <v>928975.21</v>
      </c>
      <c r="BB239" s="9">
        <v>690492</v>
      </c>
      <c r="BC239" s="9">
        <v>238483</v>
      </c>
      <c r="BD239" s="9">
        <v>782638.4700000002</v>
      </c>
      <c r="BE239" s="9">
        <v>645677</v>
      </c>
      <c r="BF239" s="9">
        <v>240583</v>
      </c>
      <c r="BG239" s="9">
        <v>789892.39999999991</v>
      </c>
      <c r="BH239" s="9">
        <v>635687</v>
      </c>
      <c r="BI239" s="9">
        <v>244483</v>
      </c>
      <c r="BJ239" s="9">
        <v>858482.55999999994</v>
      </c>
      <c r="BK239" s="9">
        <v>631932</v>
      </c>
      <c r="BL239" s="9">
        <v>248263</v>
      </c>
      <c r="BM239" s="9"/>
      <c r="BN239" s="9"/>
      <c r="BO239" s="9"/>
      <c r="BP239" s="9"/>
      <c r="BQ239" s="9"/>
      <c r="BR239" s="9"/>
      <c r="BS239" s="9"/>
      <c r="BT239" s="9"/>
      <c r="BU239" s="9"/>
    </row>
    <row r="240" spans="1:73">
      <c r="A240" s="6">
        <v>231</v>
      </c>
      <c r="B240" s="6" t="s">
        <v>1349</v>
      </c>
      <c r="C240" s="421">
        <v>24.84</v>
      </c>
      <c r="D240" s="9">
        <v>22515538</v>
      </c>
      <c r="E240" s="33">
        <v>14046314</v>
      </c>
      <c r="F240" s="9">
        <v>8469224</v>
      </c>
      <c r="G240" s="9">
        <v>24815140.279400006</v>
      </c>
      <c r="H240" s="9">
        <v>14742688</v>
      </c>
      <c r="I240" s="9">
        <v>10072452</v>
      </c>
      <c r="J240" s="9">
        <v>26921544.8071214</v>
      </c>
      <c r="K240" s="9">
        <v>15414393</v>
      </c>
      <c r="L240" s="9">
        <v>11507152</v>
      </c>
      <c r="M240" s="9">
        <v>28631944.000619993</v>
      </c>
      <c r="N240" s="9">
        <v>16182768</v>
      </c>
      <c r="O240" s="9">
        <v>11139968</v>
      </c>
      <c r="P240" s="9">
        <v>1309208</v>
      </c>
      <c r="Q240" s="9">
        <v>29986707.348423712</v>
      </c>
      <c r="R240" s="9">
        <v>16470418</v>
      </c>
      <c r="S240" s="9">
        <v>12200192</v>
      </c>
      <c r="T240" s="9">
        <v>1316097</v>
      </c>
      <c r="U240" s="9">
        <v>29225596.232482802</v>
      </c>
      <c r="V240" s="9">
        <v>16691260</v>
      </c>
      <c r="W240" s="9">
        <v>12726668</v>
      </c>
      <c r="X240" s="9">
        <v>68322</v>
      </c>
      <c r="Y240" s="9">
        <v>805499</v>
      </c>
      <c r="Z240" s="9">
        <v>29344771.673250001</v>
      </c>
      <c r="AA240" s="9">
        <v>17053741</v>
      </c>
      <c r="AB240" s="9">
        <v>12794990</v>
      </c>
      <c r="AC240" s="9">
        <v>30140603.210499994</v>
      </c>
      <c r="AD240" s="9">
        <v>17494279</v>
      </c>
      <c r="AE240" s="9">
        <v>12925750</v>
      </c>
      <c r="AF240" s="9">
        <v>30742484.871859998</v>
      </c>
      <c r="AG240" s="9">
        <v>17997108</v>
      </c>
      <c r="AH240" s="9">
        <v>13013732.304039083</v>
      </c>
      <c r="AI240" s="9">
        <v>30579313.617779996</v>
      </c>
      <c r="AJ240" s="9">
        <v>18171451</v>
      </c>
      <c r="AK240" s="28">
        <v>13095032.304039083</v>
      </c>
      <c r="AL240" s="9">
        <v>30953452.00279</v>
      </c>
      <c r="AM240" s="9">
        <v>18734967</v>
      </c>
      <c r="AN240" s="28">
        <v>13174507.304039083</v>
      </c>
      <c r="AO240" s="9">
        <v>30278155.873739995</v>
      </c>
      <c r="AP240" s="9">
        <v>18592537</v>
      </c>
      <c r="AQ240" s="28">
        <v>13344512.304039083</v>
      </c>
      <c r="AR240" s="9">
        <v>30076801.769575488</v>
      </c>
      <c r="AS240" s="9">
        <v>18988785</v>
      </c>
      <c r="AT240" s="28">
        <v>13434662.304039083</v>
      </c>
      <c r="AU240" s="9">
        <v>30098844.630960006</v>
      </c>
      <c r="AV240" s="9">
        <v>19889115</v>
      </c>
      <c r="AW240" s="9">
        <v>13521752</v>
      </c>
      <c r="AX240" s="9">
        <v>31408204.402095743</v>
      </c>
      <c r="AY240" s="9">
        <v>20722469</v>
      </c>
      <c r="AZ240" s="28">
        <v>13608752</v>
      </c>
      <c r="BA240" s="9">
        <v>31797805.646810003</v>
      </c>
      <c r="BB240" s="9">
        <v>21249366</v>
      </c>
      <c r="BC240" s="9">
        <v>13608752</v>
      </c>
      <c r="BD240" s="9">
        <v>31570380.367049992</v>
      </c>
      <c r="BE240" s="9">
        <v>21759351</v>
      </c>
      <c r="BF240" s="9">
        <v>13690952</v>
      </c>
      <c r="BG240" s="9">
        <v>33225728.808800004</v>
      </c>
      <c r="BH240" s="9">
        <v>22712411</v>
      </c>
      <c r="BI240" s="9">
        <v>13852952</v>
      </c>
      <c r="BJ240" s="9">
        <v>33926554.381990001</v>
      </c>
      <c r="BK240" s="9">
        <v>23884371</v>
      </c>
      <c r="BL240" s="9">
        <v>14008892</v>
      </c>
      <c r="BM240" s="9"/>
      <c r="BN240" s="9"/>
      <c r="BO240" s="9"/>
      <c r="BP240" s="9"/>
      <c r="BQ240" s="9"/>
      <c r="BR240" s="9"/>
      <c r="BS240" s="9"/>
      <c r="BT240" s="9"/>
      <c r="BU240" s="9"/>
    </row>
    <row r="241" spans="1:73">
      <c r="A241" s="6">
        <v>232</v>
      </c>
      <c r="B241" s="6" t="s">
        <v>1350</v>
      </c>
      <c r="C241" s="421">
        <v>38.159999999999997</v>
      </c>
      <c r="D241" s="9">
        <v>9796</v>
      </c>
      <c r="E241" s="33">
        <v>2034</v>
      </c>
      <c r="F241" s="9">
        <v>7762</v>
      </c>
      <c r="G241" s="9">
        <v>10849.66</v>
      </c>
      <c r="H241" s="9">
        <v>4054</v>
      </c>
      <c r="I241" s="9">
        <v>8308</v>
      </c>
      <c r="J241" s="9">
        <v>11355.27</v>
      </c>
      <c r="K241" s="9">
        <v>4893</v>
      </c>
      <c r="L241" s="9">
        <v>8571</v>
      </c>
      <c r="M241" s="9">
        <v>11943.49</v>
      </c>
      <c r="N241" s="9">
        <v>5146</v>
      </c>
      <c r="O241" s="9">
        <v>8877</v>
      </c>
      <c r="P241" s="9">
        <v>0</v>
      </c>
      <c r="Q241" s="9">
        <v>0</v>
      </c>
      <c r="R241" s="9">
        <v>0</v>
      </c>
      <c r="S241" s="9">
        <v>8699</v>
      </c>
      <c r="T241" s="9">
        <v>0</v>
      </c>
      <c r="U241" s="9">
        <v>0</v>
      </c>
      <c r="V241" s="9">
        <v>0</v>
      </c>
      <c r="W241" s="9">
        <v>0</v>
      </c>
      <c r="X241" s="9">
        <v>0</v>
      </c>
      <c r="Y241" s="9">
        <v>0</v>
      </c>
      <c r="Z241" s="9">
        <v>0</v>
      </c>
      <c r="AA241" s="9">
        <v>0</v>
      </c>
      <c r="AB241" s="9">
        <v>0</v>
      </c>
      <c r="AC241" s="9">
        <v>0</v>
      </c>
      <c r="AD241" s="9">
        <v>0</v>
      </c>
      <c r="AE241" s="9">
        <v>0</v>
      </c>
      <c r="AF241" s="9">
        <v>0</v>
      </c>
      <c r="AG241" s="9">
        <v>0</v>
      </c>
      <c r="AH241" s="9">
        <v>0</v>
      </c>
      <c r="AI241" s="9">
        <v>0</v>
      </c>
      <c r="AJ241" s="9">
        <v>0</v>
      </c>
      <c r="AK241" s="28">
        <v>0</v>
      </c>
      <c r="AL241" s="9">
        <v>0</v>
      </c>
      <c r="AM241" s="9">
        <v>0</v>
      </c>
      <c r="AN241" s="28">
        <v>0</v>
      </c>
      <c r="AO241" s="9">
        <v>0</v>
      </c>
      <c r="AP241" s="9">
        <v>0</v>
      </c>
      <c r="AQ241" s="28">
        <v>0</v>
      </c>
      <c r="AR241" s="9">
        <v>0</v>
      </c>
      <c r="AS241" s="9">
        <v>0</v>
      </c>
      <c r="AT241" s="28">
        <v>0</v>
      </c>
      <c r="AU241" s="9">
        <v>0</v>
      </c>
      <c r="AV241" s="9">
        <v>0</v>
      </c>
      <c r="AW241" s="9">
        <v>0</v>
      </c>
      <c r="AX241" s="9">
        <v>0</v>
      </c>
      <c r="AY241" s="9">
        <v>0</v>
      </c>
      <c r="AZ241" s="28">
        <v>0</v>
      </c>
      <c r="BA241" s="9">
        <v>0</v>
      </c>
      <c r="BB241" s="9">
        <v>0</v>
      </c>
      <c r="BC241" s="9">
        <v>0</v>
      </c>
      <c r="BD241" s="9">
        <v>0</v>
      </c>
      <c r="BE241" s="9">
        <v>0</v>
      </c>
      <c r="BF241" s="9">
        <v>0</v>
      </c>
      <c r="BG241" s="9">
        <v>0</v>
      </c>
      <c r="BH241" s="9">
        <v>0</v>
      </c>
      <c r="BI241" s="9">
        <v>0</v>
      </c>
      <c r="BJ241" s="9">
        <v>0</v>
      </c>
      <c r="BK241" s="9">
        <v>0</v>
      </c>
      <c r="BL241" s="9">
        <v>0</v>
      </c>
      <c r="BM241" s="9"/>
      <c r="BN241" s="9"/>
      <c r="BO241" s="9"/>
      <c r="BP241" s="9"/>
      <c r="BQ241" s="9"/>
      <c r="BR241" s="9"/>
      <c r="BS241" s="9"/>
      <c r="BT241" s="9"/>
      <c r="BU241" s="9"/>
    </row>
    <row r="242" spans="1:73">
      <c r="A242" s="6">
        <v>233</v>
      </c>
      <c r="B242" s="6" t="s">
        <v>1351</v>
      </c>
      <c r="C242" s="421">
        <v>44.97</v>
      </c>
      <c r="D242" s="9">
        <v>48982</v>
      </c>
      <c r="E242" s="33">
        <v>11961</v>
      </c>
      <c r="F242" s="9">
        <v>37021</v>
      </c>
      <c r="G242" s="9">
        <v>97646.94</v>
      </c>
      <c r="H242" s="9">
        <v>29593</v>
      </c>
      <c r="I242" s="9">
        <v>71992</v>
      </c>
      <c r="J242" s="9">
        <v>79486.89</v>
      </c>
      <c r="K242" s="9">
        <v>29514</v>
      </c>
      <c r="L242" s="9">
        <v>72342</v>
      </c>
      <c r="M242" s="9">
        <v>107491.41</v>
      </c>
      <c r="N242" s="9">
        <v>39254</v>
      </c>
      <c r="O242" s="9">
        <v>91528</v>
      </c>
      <c r="P242" s="9">
        <v>0</v>
      </c>
      <c r="Q242" s="9">
        <v>98452.600038277524</v>
      </c>
      <c r="R242" s="9">
        <v>35805</v>
      </c>
      <c r="S242" s="9">
        <v>89697</v>
      </c>
      <c r="T242" s="9">
        <v>0</v>
      </c>
      <c r="U242" s="9">
        <v>84250.709759999998</v>
      </c>
      <c r="V242" s="9">
        <v>35751</v>
      </c>
      <c r="W242" s="9">
        <v>84250.709759999998</v>
      </c>
      <c r="X242" s="9">
        <v>0</v>
      </c>
      <c r="Y242" s="9">
        <v>0</v>
      </c>
      <c r="Z242" s="9">
        <v>73500.42</v>
      </c>
      <c r="AA242" s="9">
        <v>33517</v>
      </c>
      <c r="AB242" s="9">
        <v>73500.42</v>
      </c>
      <c r="AC242" s="9">
        <v>76183.260000000009</v>
      </c>
      <c r="AD242" s="9">
        <v>35598</v>
      </c>
      <c r="AE242" s="9">
        <v>73500.42</v>
      </c>
      <c r="AF242" s="9">
        <v>103152.16</v>
      </c>
      <c r="AG242" s="9">
        <v>50799</v>
      </c>
      <c r="AH242" s="9">
        <v>73500.42</v>
      </c>
      <c r="AI242" s="9">
        <v>117044.1</v>
      </c>
      <c r="AJ242" s="9">
        <v>56662</v>
      </c>
      <c r="AK242" s="28">
        <v>73500.42</v>
      </c>
      <c r="AL242" s="9">
        <v>105599.68000000001</v>
      </c>
      <c r="AM242" s="9">
        <v>54600</v>
      </c>
      <c r="AN242" s="28">
        <v>73500.42</v>
      </c>
      <c r="AO242" s="9">
        <v>170156.80000000002</v>
      </c>
      <c r="AP242" s="9">
        <v>80315</v>
      </c>
      <c r="AQ242" s="28">
        <v>89842</v>
      </c>
      <c r="AR242" s="9">
        <v>107334.66674871638</v>
      </c>
      <c r="AS242" s="9">
        <v>47752</v>
      </c>
      <c r="AT242" s="28">
        <v>89842</v>
      </c>
      <c r="AU242" s="9">
        <v>110697.28</v>
      </c>
      <c r="AV242" s="9">
        <v>49777</v>
      </c>
      <c r="AW242" s="9">
        <v>89842</v>
      </c>
      <c r="AX242" s="9">
        <v>114974.37804282685</v>
      </c>
      <c r="AY242" s="9">
        <v>52709</v>
      </c>
      <c r="AZ242" s="28">
        <v>89842</v>
      </c>
      <c r="BA242" s="9">
        <v>117262.39999999999</v>
      </c>
      <c r="BB242" s="9">
        <v>58074</v>
      </c>
      <c r="BC242" s="9">
        <v>89842</v>
      </c>
      <c r="BD242" s="9">
        <v>134575.02000000002</v>
      </c>
      <c r="BE242" s="9">
        <v>64606</v>
      </c>
      <c r="BF242" s="9">
        <v>90112</v>
      </c>
      <c r="BG242" s="9">
        <v>156977.1</v>
      </c>
      <c r="BH242" s="9">
        <v>73240</v>
      </c>
      <c r="BI242" s="9">
        <v>90112</v>
      </c>
      <c r="BJ242" s="9">
        <v>164907.6</v>
      </c>
      <c r="BK242" s="9">
        <v>73878</v>
      </c>
      <c r="BL242" s="9">
        <v>91030</v>
      </c>
      <c r="BM242" s="9"/>
      <c r="BN242" s="9"/>
      <c r="BO242" s="9"/>
      <c r="BP242" s="9"/>
      <c r="BQ242" s="9"/>
      <c r="BR242" s="9"/>
      <c r="BS242" s="9"/>
      <c r="BT242" s="9"/>
      <c r="BU242" s="9"/>
    </row>
    <row r="243" spans="1:73">
      <c r="A243" s="6">
        <v>234</v>
      </c>
      <c r="B243" s="6" t="s">
        <v>1352</v>
      </c>
      <c r="C243" s="421">
        <v>36.76</v>
      </c>
      <c r="D243" s="9">
        <v>794648</v>
      </c>
      <c r="E243" s="33">
        <v>460434</v>
      </c>
      <c r="F243" s="9">
        <v>334214</v>
      </c>
      <c r="G243" s="9">
        <v>887913.94</v>
      </c>
      <c r="H243" s="9">
        <v>484109</v>
      </c>
      <c r="I243" s="9">
        <v>403805</v>
      </c>
      <c r="J243" s="9">
        <v>910107.84943651082</v>
      </c>
      <c r="K243" s="9">
        <v>464081</v>
      </c>
      <c r="L243" s="9">
        <v>446027</v>
      </c>
      <c r="M243" s="9">
        <v>884202.43</v>
      </c>
      <c r="N243" s="9">
        <v>440655</v>
      </c>
      <c r="O243" s="9">
        <v>403908</v>
      </c>
      <c r="P243" s="9">
        <v>47469</v>
      </c>
      <c r="Q243" s="9">
        <v>727844.57486698567</v>
      </c>
      <c r="R243" s="9">
        <v>387334</v>
      </c>
      <c r="S243" s="9">
        <v>442349</v>
      </c>
      <c r="T243" s="9">
        <v>0</v>
      </c>
      <c r="U243" s="9">
        <v>686761.92768000008</v>
      </c>
      <c r="V243" s="9">
        <v>379916</v>
      </c>
      <c r="W243" s="9">
        <v>416507</v>
      </c>
      <c r="X243" s="9">
        <v>2236</v>
      </c>
      <c r="Y243" s="9">
        <v>25481</v>
      </c>
      <c r="Z243" s="9">
        <v>656167.6</v>
      </c>
      <c r="AA243" s="9">
        <v>383839</v>
      </c>
      <c r="AB243" s="9">
        <v>418743</v>
      </c>
      <c r="AC243" s="9">
        <v>637666.18999999983</v>
      </c>
      <c r="AD243" s="9">
        <v>396428</v>
      </c>
      <c r="AE243" s="9">
        <v>421383</v>
      </c>
      <c r="AF243" s="9">
        <v>594228.81999999995</v>
      </c>
      <c r="AG243" s="9">
        <v>438845</v>
      </c>
      <c r="AH243" s="9">
        <v>422883</v>
      </c>
      <c r="AI243" s="9">
        <v>566086.55000000005</v>
      </c>
      <c r="AJ243" s="9">
        <v>454106</v>
      </c>
      <c r="AK243" s="28">
        <v>424308</v>
      </c>
      <c r="AL243" s="9">
        <v>611232.30999999994</v>
      </c>
      <c r="AM243" s="9">
        <v>479273</v>
      </c>
      <c r="AN243" s="28">
        <v>425758</v>
      </c>
      <c r="AO243" s="9">
        <v>627194.55000000005</v>
      </c>
      <c r="AP243" s="9">
        <v>512362</v>
      </c>
      <c r="AQ243" s="28">
        <v>429223</v>
      </c>
      <c r="AR243" s="9">
        <v>716629.18602344103</v>
      </c>
      <c r="AS243" s="9">
        <v>573272</v>
      </c>
      <c r="AT243" s="28">
        <v>431323</v>
      </c>
      <c r="AU243" s="9">
        <v>772220.59</v>
      </c>
      <c r="AV243" s="9">
        <v>581489</v>
      </c>
      <c r="AW243" s="9">
        <v>433423</v>
      </c>
      <c r="AX243" s="9">
        <v>825450.36454343062</v>
      </c>
      <c r="AY243" s="9">
        <v>571360</v>
      </c>
      <c r="AZ243" s="28">
        <v>435523</v>
      </c>
      <c r="BA243" s="9">
        <v>932984.68</v>
      </c>
      <c r="BB243" s="9">
        <v>640821</v>
      </c>
      <c r="BC243" s="9">
        <v>435523</v>
      </c>
      <c r="BD243" s="9">
        <v>859319.13</v>
      </c>
      <c r="BE243" s="9">
        <v>588398</v>
      </c>
      <c r="BF243" s="9">
        <v>437533</v>
      </c>
      <c r="BG243" s="9">
        <v>934128.69</v>
      </c>
      <c r="BH243" s="9">
        <v>553478</v>
      </c>
      <c r="BI243" s="9">
        <v>441433</v>
      </c>
      <c r="BJ243" s="9">
        <v>1133842.72</v>
      </c>
      <c r="BK243" s="9">
        <v>637636</v>
      </c>
      <c r="BL243" s="9">
        <v>496207</v>
      </c>
      <c r="BM243" s="9"/>
      <c r="BN243" s="9"/>
      <c r="BO243" s="9"/>
      <c r="BP243" s="9"/>
      <c r="BQ243" s="9"/>
      <c r="BR243" s="9"/>
      <c r="BS243" s="9"/>
      <c r="BT243" s="9"/>
      <c r="BU243" s="9"/>
    </row>
    <row r="244" spans="1:73">
      <c r="A244" s="6">
        <v>235</v>
      </c>
      <c r="B244" s="6" t="s">
        <v>1353</v>
      </c>
      <c r="C244" s="421">
        <v>42.86</v>
      </c>
      <c r="D244" s="9">
        <v>0</v>
      </c>
      <c r="E244" s="33">
        <v>0</v>
      </c>
      <c r="F244" s="9">
        <v>0</v>
      </c>
      <c r="G244" s="9">
        <v>0</v>
      </c>
      <c r="H244" s="9">
        <v>0</v>
      </c>
      <c r="I244" s="9">
        <v>0</v>
      </c>
      <c r="J244" s="9">
        <v>0</v>
      </c>
      <c r="K244" s="9">
        <v>0</v>
      </c>
      <c r="L244" s="9">
        <v>0</v>
      </c>
      <c r="M244" s="9">
        <v>0</v>
      </c>
      <c r="N244" s="9">
        <v>0</v>
      </c>
      <c r="O244" s="9">
        <v>0</v>
      </c>
      <c r="P244" s="9">
        <v>0</v>
      </c>
      <c r="Q244" s="9">
        <v>0</v>
      </c>
      <c r="R244" s="9">
        <v>0</v>
      </c>
      <c r="S244" s="9">
        <v>0</v>
      </c>
      <c r="T244" s="9">
        <v>0</v>
      </c>
      <c r="U244" s="9">
        <v>0</v>
      </c>
      <c r="V244" s="9">
        <v>0</v>
      </c>
      <c r="W244" s="9">
        <v>0</v>
      </c>
      <c r="X244" s="9">
        <v>0</v>
      </c>
      <c r="Y244" s="9">
        <v>0</v>
      </c>
      <c r="Z244" s="9">
        <v>0</v>
      </c>
      <c r="AA244" s="9">
        <v>0</v>
      </c>
      <c r="AB244" s="9">
        <v>0</v>
      </c>
      <c r="AC244" s="9">
        <v>0</v>
      </c>
      <c r="AD244" s="9">
        <v>0</v>
      </c>
      <c r="AE244" s="9">
        <v>0</v>
      </c>
      <c r="AF244" s="9">
        <v>0</v>
      </c>
      <c r="AG244" s="9">
        <v>0</v>
      </c>
      <c r="AH244" s="9">
        <v>0</v>
      </c>
      <c r="AI244" s="9">
        <v>0</v>
      </c>
      <c r="AJ244" s="9">
        <v>0</v>
      </c>
      <c r="AK244" s="28">
        <v>0</v>
      </c>
      <c r="AL244" s="9">
        <v>0</v>
      </c>
      <c r="AM244" s="9">
        <v>0</v>
      </c>
      <c r="AN244" s="28">
        <v>0</v>
      </c>
      <c r="AO244" s="9">
        <v>0</v>
      </c>
      <c r="AP244" s="9">
        <v>0</v>
      </c>
      <c r="AQ244" s="28">
        <v>0</v>
      </c>
      <c r="AR244" s="9">
        <v>0</v>
      </c>
      <c r="AS244" s="9">
        <v>0</v>
      </c>
      <c r="AT244" s="28">
        <v>0</v>
      </c>
      <c r="AU244" s="9">
        <v>0</v>
      </c>
      <c r="AV244" s="9">
        <v>0</v>
      </c>
      <c r="AW244" s="9">
        <v>0</v>
      </c>
      <c r="AX244" s="9">
        <v>0</v>
      </c>
      <c r="AY244" s="9">
        <v>0</v>
      </c>
      <c r="AZ244" s="28">
        <v>0</v>
      </c>
      <c r="BA244" s="9">
        <v>0</v>
      </c>
      <c r="BB244" s="9">
        <v>0</v>
      </c>
      <c r="BC244" s="9">
        <v>0</v>
      </c>
      <c r="BD244" s="9">
        <v>0</v>
      </c>
      <c r="BE244" s="9">
        <v>0</v>
      </c>
      <c r="BF244" s="9">
        <v>0</v>
      </c>
      <c r="BG244" s="9">
        <v>0</v>
      </c>
      <c r="BH244" s="9">
        <v>0</v>
      </c>
      <c r="BI244" s="9">
        <v>0</v>
      </c>
      <c r="BJ244" s="9">
        <v>0</v>
      </c>
      <c r="BK244" s="9">
        <v>0</v>
      </c>
      <c r="BL244" s="9">
        <v>0</v>
      </c>
      <c r="BM244" s="9"/>
      <c r="BN244" s="9"/>
      <c r="BO244" s="9"/>
      <c r="BP244" s="9"/>
      <c r="BQ244" s="9"/>
      <c r="BR244" s="9"/>
      <c r="BS244" s="9"/>
      <c r="BT244" s="9"/>
      <c r="BU244" s="9"/>
    </row>
    <row r="245" spans="1:73">
      <c r="A245" s="6">
        <v>236</v>
      </c>
      <c r="B245" s="6" t="s">
        <v>1354</v>
      </c>
      <c r="C245" s="421">
        <v>62.86</v>
      </c>
      <c r="D245" s="9">
        <v>52725657</v>
      </c>
      <c r="E245" s="33">
        <v>24611444</v>
      </c>
      <c r="F245" s="9">
        <v>28114213</v>
      </c>
      <c r="G245" s="9">
        <v>57082753.469999999</v>
      </c>
      <c r="H245" s="9">
        <v>25485280</v>
      </c>
      <c r="I245" s="9">
        <v>31597473</v>
      </c>
      <c r="J245" s="9">
        <v>59041738.979034342</v>
      </c>
      <c r="K245" s="9">
        <v>25796426</v>
      </c>
      <c r="L245" s="9">
        <v>33245313</v>
      </c>
      <c r="M245" s="9">
        <v>61752172.609999992</v>
      </c>
      <c r="N245" s="9">
        <v>25995833</v>
      </c>
      <c r="O245" s="9">
        <v>31996051</v>
      </c>
      <c r="P245" s="9">
        <v>3760289</v>
      </c>
      <c r="Q245" s="9">
        <v>63207565.231892832</v>
      </c>
      <c r="R245" s="9">
        <v>25852192</v>
      </c>
      <c r="S245" s="9">
        <v>35041213</v>
      </c>
      <c r="T245" s="9">
        <v>2314160</v>
      </c>
      <c r="U245" s="9">
        <v>62148014.552700013</v>
      </c>
      <c r="V245" s="9">
        <v>25940936</v>
      </c>
      <c r="W245" s="9">
        <v>35512358</v>
      </c>
      <c r="X245" s="9">
        <v>190646</v>
      </c>
      <c r="Y245" s="9">
        <v>1809494</v>
      </c>
      <c r="Z245" s="9">
        <v>63704268.780000001</v>
      </c>
      <c r="AA245" s="9">
        <v>26794850</v>
      </c>
      <c r="AB245" s="9">
        <v>36909419</v>
      </c>
      <c r="AC245" s="9">
        <v>65754169.920000002</v>
      </c>
      <c r="AD245" s="9">
        <v>27822547</v>
      </c>
      <c r="AE245" s="9">
        <v>38017592.827607997</v>
      </c>
      <c r="AF245" s="9">
        <v>67796003.910000011</v>
      </c>
      <c r="AG245" s="9">
        <v>28757787</v>
      </c>
      <c r="AH245" s="9">
        <v>39290437.62740925</v>
      </c>
      <c r="AI245" s="9">
        <v>67481752.38000001</v>
      </c>
      <c r="AJ245" s="9">
        <v>29005679</v>
      </c>
      <c r="AK245" s="28">
        <v>39447162.62740925</v>
      </c>
      <c r="AL245" s="9">
        <v>68905111.570000008</v>
      </c>
      <c r="AM245" s="9">
        <v>29086218</v>
      </c>
      <c r="AN245" s="28">
        <v>39818894</v>
      </c>
      <c r="AO245" s="9">
        <v>68494174.319999993</v>
      </c>
      <c r="AP245" s="9">
        <v>28442404</v>
      </c>
      <c r="AQ245" s="28">
        <v>40155219</v>
      </c>
      <c r="AR245" s="9">
        <v>68570957.773763955</v>
      </c>
      <c r="AS245" s="9">
        <v>28025316</v>
      </c>
      <c r="AT245" s="28">
        <v>40545642</v>
      </c>
      <c r="AU245" s="9">
        <v>70785982.700000003</v>
      </c>
      <c r="AV245" s="9">
        <v>28120602</v>
      </c>
      <c r="AW245" s="9">
        <v>42665381</v>
      </c>
      <c r="AX245" s="9">
        <v>75857280.533894911</v>
      </c>
      <c r="AY245" s="9">
        <v>28171219</v>
      </c>
      <c r="AZ245" s="28">
        <v>47686062</v>
      </c>
      <c r="BA245" s="9">
        <v>76463876.149999991</v>
      </c>
      <c r="BB245" s="9">
        <v>28300807</v>
      </c>
      <c r="BC245" s="9">
        <v>48163069</v>
      </c>
      <c r="BD245" s="9">
        <v>79110404.659999996</v>
      </c>
      <c r="BE245" s="9">
        <v>29449820</v>
      </c>
      <c r="BF245" s="9">
        <v>49660585</v>
      </c>
      <c r="BG245" s="9">
        <v>84729484.75</v>
      </c>
      <c r="BH245" s="9">
        <v>30474674</v>
      </c>
      <c r="BI245" s="9">
        <v>54254811</v>
      </c>
      <c r="BJ245" s="9">
        <v>92916030.260000005</v>
      </c>
      <c r="BK245" s="9">
        <v>32068500</v>
      </c>
      <c r="BL245" s="9">
        <v>60847530</v>
      </c>
      <c r="BM245" s="9"/>
      <c r="BN245" s="9"/>
      <c r="BO245" s="9"/>
      <c r="BP245" s="9"/>
      <c r="BQ245" s="9"/>
      <c r="BR245" s="9"/>
      <c r="BS245" s="9"/>
      <c r="BT245" s="9"/>
      <c r="BU245" s="9"/>
    </row>
    <row r="246" spans="1:73">
      <c r="A246" s="6">
        <v>237</v>
      </c>
      <c r="B246" s="6" t="s">
        <v>1355</v>
      </c>
      <c r="C246" s="421">
        <v>25.04</v>
      </c>
      <c r="D246" s="9">
        <v>19593</v>
      </c>
      <c r="E246" s="33">
        <v>16836</v>
      </c>
      <c r="F246" s="9">
        <v>18987</v>
      </c>
      <c r="G246" s="9">
        <v>43398.64</v>
      </c>
      <c r="H246" s="9">
        <v>22879</v>
      </c>
      <c r="I246" s="9">
        <v>30740</v>
      </c>
      <c r="J246" s="9">
        <v>68131.62</v>
      </c>
      <c r="K246" s="9">
        <v>37773</v>
      </c>
      <c r="L246" s="9">
        <v>41615</v>
      </c>
      <c r="M246" s="9">
        <v>95547.92</v>
      </c>
      <c r="N246" s="9">
        <v>47108</v>
      </c>
      <c r="O246" s="9">
        <v>54235</v>
      </c>
      <c r="P246" s="9">
        <v>0</v>
      </c>
      <c r="Q246" s="9">
        <v>98452.600038277524</v>
      </c>
      <c r="R246" s="9">
        <v>55480</v>
      </c>
      <c r="S246" s="9">
        <v>53150</v>
      </c>
      <c r="T246" s="9">
        <v>0</v>
      </c>
      <c r="U246" s="9">
        <v>96286.525439999998</v>
      </c>
      <c r="V246" s="9">
        <v>58428</v>
      </c>
      <c r="W246" s="9">
        <v>51024</v>
      </c>
      <c r="X246" s="9">
        <v>0</v>
      </c>
      <c r="Y246" s="9">
        <v>0</v>
      </c>
      <c r="Z246" s="9">
        <v>61250.35</v>
      </c>
      <c r="AA246" s="9">
        <v>41319</v>
      </c>
      <c r="AB246" s="9">
        <v>51024</v>
      </c>
      <c r="AC246" s="9">
        <v>63486.049999999996</v>
      </c>
      <c r="AD246" s="9">
        <v>42461</v>
      </c>
      <c r="AE246" s="9">
        <v>51024</v>
      </c>
      <c r="AF246" s="9">
        <v>51576.08</v>
      </c>
      <c r="AG246" s="9">
        <v>40855</v>
      </c>
      <c r="AH246" s="9">
        <v>51024</v>
      </c>
      <c r="AI246" s="9">
        <v>78029.39999999998</v>
      </c>
      <c r="AJ246" s="9">
        <v>64254</v>
      </c>
      <c r="AK246" s="28">
        <v>51024</v>
      </c>
      <c r="AL246" s="9">
        <v>39599.880000000005</v>
      </c>
      <c r="AM246" s="9">
        <v>32922</v>
      </c>
      <c r="AN246" s="28">
        <v>39599.880000000005</v>
      </c>
      <c r="AO246" s="9">
        <v>39512.76</v>
      </c>
      <c r="AP246" s="9">
        <v>29669</v>
      </c>
      <c r="AQ246" s="28">
        <v>39512.76</v>
      </c>
      <c r="AR246" s="9">
        <v>40250.500030768642</v>
      </c>
      <c r="AS246" s="9">
        <v>28875</v>
      </c>
      <c r="AT246" s="28">
        <v>39512.76</v>
      </c>
      <c r="AU246" s="9">
        <v>27674.32</v>
      </c>
      <c r="AV246" s="9">
        <v>19519</v>
      </c>
      <c r="AW246" s="9">
        <v>27674.32</v>
      </c>
      <c r="AX246" s="9">
        <v>28743.594510706713</v>
      </c>
      <c r="AY246" s="9">
        <v>19101</v>
      </c>
      <c r="AZ246" s="28">
        <v>27674</v>
      </c>
      <c r="BA246" s="9">
        <v>43973.400000000009</v>
      </c>
      <c r="BB246" s="9">
        <v>31321</v>
      </c>
      <c r="BC246" s="9">
        <v>27674</v>
      </c>
      <c r="BD246" s="9">
        <v>59811.12</v>
      </c>
      <c r="BE246" s="9">
        <v>47653</v>
      </c>
      <c r="BF246" s="9">
        <v>27794</v>
      </c>
      <c r="BG246" s="9">
        <v>78488.55</v>
      </c>
      <c r="BH246" s="9">
        <v>60901</v>
      </c>
      <c r="BI246" s="9">
        <v>27794</v>
      </c>
      <c r="BJ246" s="9">
        <v>65963.040000000008</v>
      </c>
      <c r="BK246" s="9">
        <v>46971</v>
      </c>
      <c r="BL246" s="9">
        <v>27794</v>
      </c>
      <c r="BM246" s="9"/>
      <c r="BN246" s="9"/>
      <c r="BO246" s="9"/>
      <c r="BP246" s="9"/>
      <c r="BQ246" s="9"/>
      <c r="BR246" s="9"/>
      <c r="BS246" s="9"/>
      <c r="BT246" s="9"/>
      <c r="BU246" s="9"/>
    </row>
    <row r="247" spans="1:73">
      <c r="A247" s="6">
        <v>238</v>
      </c>
      <c r="B247" s="6" t="s">
        <v>1356</v>
      </c>
      <c r="C247" s="421">
        <v>21.32</v>
      </c>
      <c r="D247" s="9">
        <v>5675056</v>
      </c>
      <c r="E247" s="33">
        <v>3322319</v>
      </c>
      <c r="F247" s="9">
        <v>2374850</v>
      </c>
      <c r="G247" s="9">
        <v>6041437.8299999991</v>
      </c>
      <c r="H247" s="9">
        <v>3487590</v>
      </c>
      <c r="I247" s="9">
        <v>2553848</v>
      </c>
      <c r="J247" s="9">
        <v>6193164.1266190642</v>
      </c>
      <c r="K247" s="9">
        <v>3616015</v>
      </c>
      <c r="L247" s="9">
        <v>2618681</v>
      </c>
      <c r="M247" s="9">
        <v>6360137.9900000002</v>
      </c>
      <c r="N247" s="9">
        <v>3728363</v>
      </c>
      <c r="O247" s="9">
        <v>2405042</v>
      </c>
      <c r="P247" s="9">
        <v>282649</v>
      </c>
      <c r="Q247" s="9">
        <v>6513212.2174468907</v>
      </c>
      <c r="R247" s="9">
        <v>3852023</v>
      </c>
      <c r="S247" s="9">
        <v>2633937</v>
      </c>
      <c r="T247" s="9">
        <v>27252</v>
      </c>
      <c r="U247" s="9">
        <v>6313858.9432200007</v>
      </c>
      <c r="V247" s="9">
        <v>3881974</v>
      </c>
      <c r="W247" s="9">
        <v>2505722</v>
      </c>
      <c r="X247" s="9">
        <v>13452</v>
      </c>
      <c r="Y247" s="9">
        <v>161615</v>
      </c>
      <c r="Z247" s="9">
        <v>6272346.2599999998</v>
      </c>
      <c r="AA247" s="9">
        <v>3923605</v>
      </c>
      <c r="AB247" s="9">
        <v>2519174</v>
      </c>
      <c r="AC247" s="9">
        <v>6913476.3999999994</v>
      </c>
      <c r="AD247" s="9">
        <v>4145967</v>
      </c>
      <c r="AE247" s="9">
        <v>2768880.59601</v>
      </c>
      <c r="AF247" s="9">
        <v>6826165.1400000006</v>
      </c>
      <c r="AG247" s="9">
        <v>4169061</v>
      </c>
      <c r="AH247" s="9">
        <v>2788255.59601</v>
      </c>
      <c r="AI247" s="9">
        <v>6579213.379999999</v>
      </c>
      <c r="AJ247" s="9">
        <v>4253996</v>
      </c>
      <c r="AK247" s="28">
        <v>2806755.59601</v>
      </c>
      <c r="AL247" s="9">
        <v>6450343.1600000001</v>
      </c>
      <c r="AM247" s="9">
        <v>4374579</v>
      </c>
      <c r="AN247" s="28">
        <v>2824580.59601</v>
      </c>
      <c r="AO247" s="9">
        <v>6794336.419999999</v>
      </c>
      <c r="AP247" s="9">
        <v>4700337</v>
      </c>
      <c r="AQ247" s="28">
        <v>2864950.59601</v>
      </c>
      <c r="AR247" s="9">
        <v>6634193.2430846673</v>
      </c>
      <c r="AS247" s="9">
        <v>4712959</v>
      </c>
      <c r="AT247" s="28">
        <v>2885980.59601</v>
      </c>
      <c r="AU247" s="9">
        <v>6762343.2399999993</v>
      </c>
      <c r="AV247" s="9">
        <v>4806288</v>
      </c>
      <c r="AW247" s="9">
        <v>2906741</v>
      </c>
      <c r="AX247" s="9">
        <v>7272815.8487452483</v>
      </c>
      <c r="AY247" s="9">
        <v>5127708</v>
      </c>
      <c r="AZ247" s="28">
        <v>2927801</v>
      </c>
      <c r="BA247" s="9">
        <v>7517996.1499999994</v>
      </c>
      <c r="BB247" s="9">
        <v>5427402</v>
      </c>
      <c r="BC247" s="9">
        <v>2927801</v>
      </c>
      <c r="BD247" s="9">
        <v>7127762.9100000001</v>
      </c>
      <c r="BE247" s="9">
        <v>5273871</v>
      </c>
      <c r="BF247" s="9">
        <v>2947541</v>
      </c>
      <c r="BG247" s="9">
        <v>8036459.790000001</v>
      </c>
      <c r="BH247" s="9">
        <v>5785122</v>
      </c>
      <c r="BI247" s="9">
        <v>2987741</v>
      </c>
      <c r="BJ247" s="9">
        <v>8340185.2700000005</v>
      </c>
      <c r="BK247" s="9">
        <v>6122586</v>
      </c>
      <c r="BL247" s="9">
        <v>3027041</v>
      </c>
      <c r="BM247" s="9"/>
      <c r="BN247" s="9"/>
      <c r="BO247" s="9"/>
      <c r="BP247" s="9"/>
      <c r="BQ247" s="9"/>
      <c r="BR247" s="9"/>
      <c r="BS247" s="9"/>
      <c r="BT247" s="9"/>
      <c r="BU247" s="9"/>
    </row>
    <row r="248" spans="1:73">
      <c r="A248" s="6">
        <v>239</v>
      </c>
      <c r="B248" s="6" t="s">
        <v>1357</v>
      </c>
      <c r="C248" s="421">
        <v>18.989999999999998</v>
      </c>
      <c r="D248" s="9">
        <v>65808603</v>
      </c>
      <c r="E248" s="33">
        <v>50709654</v>
      </c>
      <c r="F248" s="9">
        <v>16749442.999999998</v>
      </c>
      <c r="G248" s="9">
        <v>70785947.548399985</v>
      </c>
      <c r="H248" s="9">
        <v>52596289</v>
      </c>
      <c r="I248" s="9">
        <v>18464636</v>
      </c>
      <c r="J248" s="9">
        <v>72586825.799855381</v>
      </c>
      <c r="K248" s="9">
        <v>54446578</v>
      </c>
      <c r="L248" s="9">
        <v>19542986</v>
      </c>
      <c r="M248" s="9">
        <v>77105661.264829993</v>
      </c>
      <c r="N248" s="9">
        <v>55729593</v>
      </c>
      <c r="O248" s="9">
        <v>19128070</v>
      </c>
      <c r="P248" s="9">
        <v>2247998</v>
      </c>
      <c r="Q248" s="9">
        <v>79497521.622687668</v>
      </c>
      <c r="R248" s="9">
        <v>56638333</v>
      </c>
      <c r="S248" s="9">
        <v>20948547</v>
      </c>
      <c r="T248" s="9">
        <v>1910642</v>
      </c>
      <c r="U248" s="9">
        <v>78742171.183430165</v>
      </c>
      <c r="V248" s="9">
        <v>56893637</v>
      </c>
      <c r="W248" s="9">
        <v>21523756</v>
      </c>
      <c r="X248" s="9">
        <v>115549</v>
      </c>
      <c r="Y248" s="9">
        <v>1428409</v>
      </c>
      <c r="Z248" s="9">
        <v>79081949.172639996</v>
      </c>
      <c r="AA248" s="9">
        <v>57303942</v>
      </c>
      <c r="AB248" s="9">
        <v>21778007</v>
      </c>
      <c r="AC248" s="9">
        <v>80478825.04377</v>
      </c>
      <c r="AD248" s="9">
        <v>59037999</v>
      </c>
      <c r="AE248" s="9">
        <v>22208459.478195209</v>
      </c>
      <c r="AF248" s="9">
        <v>83431824.025150001</v>
      </c>
      <c r="AG248" s="9">
        <v>60777692</v>
      </c>
      <c r="AH248" s="9">
        <v>23291787.509499453</v>
      </c>
      <c r="AI248" s="9">
        <v>83619257.170059979</v>
      </c>
      <c r="AJ248" s="9">
        <v>61240645</v>
      </c>
      <c r="AK248" s="28">
        <v>23670916.509499453</v>
      </c>
      <c r="AL248" s="9">
        <v>84831859.535599992</v>
      </c>
      <c r="AM248" s="9">
        <v>62123870</v>
      </c>
      <c r="AN248" s="28">
        <v>23872516.509499453</v>
      </c>
      <c r="AO248" s="9">
        <v>84727196.122590005</v>
      </c>
      <c r="AP248" s="9">
        <v>61058495</v>
      </c>
      <c r="AQ248" s="28">
        <v>24315046.509499453</v>
      </c>
      <c r="AR248" s="9">
        <v>88349686.529343486</v>
      </c>
      <c r="AS248" s="9">
        <v>62464730</v>
      </c>
      <c r="AT248" s="28">
        <v>25884957</v>
      </c>
      <c r="AU248" s="9">
        <v>89987228.589259982</v>
      </c>
      <c r="AV248" s="9">
        <v>64955484</v>
      </c>
      <c r="AW248" s="9">
        <v>26128197</v>
      </c>
      <c r="AX248" s="9">
        <v>93345303.481633395</v>
      </c>
      <c r="AY248" s="9">
        <v>68683929</v>
      </c>
      <c r="AZ248" s="28">
        <v>26369547</v>
      </c>
      <c r="BA248" s="9">
        <v>94027629.56190002</v>
      </c>
      <c r="BB248" s="9">
        <v>71603127</v>
      </c>
      <c r="BC248" s="9">
        <v>26369547</v>
      </c>
      <c r="BD248" s="9">
        <v>96767564.539159998</v>
      </c>
      <c r="BE248" s="9">
        <v>74471293</v>
      </c>
      <c r="BF248" s="9">
        <v>26600787</v>
      </c>
      <c r="BG248" s="9">
        <v>104649211.54707</v>
      </c>
      <c r="BH248" s="9">
        <v>79081066</v>
      </c>
      <c r="BI248" s="9">
        <v>27066867</v>
      </c>
      <c r="BJ248" s="9">
        <v>111949866.57694001</v>
      </c>
      <c r="BK248" s="9">
        <v>83683584</v>
      </c>
      <c r="BL248" s="9">
        <v>28266283</v>
      </c>
      <c r="BM248" s="9"/>
      <c r="BN248" s="9"/>
      <c r="BO248" s="9"/>
      <c r="BP248" s="9"/>
      <c r="BQ248" s="9"/>
      <c r="BR248" s="9"/>
      <c r="BS248" s="9"/>
      <c r="BT248" s="9"/>
      <c r="BU248" s="9"/>
    </row>
    <row r="249" spans="1:73">
      <c r="A249" s="6">
        <v>240</v>
      </c>
      <c r="B249" s="6" t="s">
        <v>1358</v>
      </c>
      <c r="C249" s="421">
        <v>22.88</v>
      </c>
      <c r="D249" s="9">
        <v>1607157</v>
      </c>
      <c r="E249" s="33">
        <v>1349172</v>
      </c>
      <c r="F249" s="9">
        <v>489958</v>
      </c>
      <c r="G249" s="9">
        <v>1606594.6</v>
      </c>
      <c r="H249" s="9">
        <v>1279333</v>
      </c>
      <c r="I249" s="9">
        <v>506035</v>
      </c>
      <c r="J249" s="9">
        <v>1709080.5840138937</v>
      </c>
      <c r="K249" s="9">
        <v>1275953</v>
      </c>
      <c r="L249" s="9">
        <v>543319</v>
      </c>
      <c r="M249" s="9">
        <v>1853769.61</v>
      </c>
      <c r="N249" s="9">
        <v>1327166</v>
      </c>
      <c r="O249" s="9">
        <v>531833</v>
      </c>
      <c r="P249" s="9">
        <v>62503</v>
      </c>
      <c r="Q249" s="9">
        <v>1908834.034465072</v>
      </c>
      <c r="R249" s="9">
        <v>1361877</v>
      </c>
      <c r="S249" s="9">
        <v>582449</v>
      </c>
      <c r="T249" s="9">
        <v>0</v>
      </c>
      <c r="U249" s="9">
        <v>2009833.57968</v>
      </c>
      <c r="V249" s="9">
        <v>1434960</v>
      </c>
      <c r="W249" s="9">
        <v>563844</v>
      </c>
      <c r="X249" s="9">
        <v>3027</v>
      </c>
      <c r="Y249" s="9">
        <v>21828</v>
      </c>
      <c r="Z249" s="9">
        <v>1974807.62</v>
      </c>
      <c r="AA249" s="9">
        <v>1416646</v>
      </c>
      <c r="AB249" s="9">
        <v>566871</v>
      </c>
      <c r="AC249" s="9">
        <v>2018759.52</v>
      </c>
      <c r="AD249" s="9">
        <v>1484742</v>
      </c>
      <c r="AE249" s="9">
        <v>591347.62748400006</v>
      </c>
      <c r="AF249" s="9">
        <v>2207684.7599999998</v>
      </c>
      <c r="AG249" s="9">
        <v>1597361</v>
      </c>
      <c r="AH249" s="9">
        <v>652019.25887999998</v>
      </c>
      <c r="AI249" s="9">
        <v>2194273.0299999998</v>
      </c>
      <c r="AJ249" s="9">
        <v>1544590</v>
      </c>
      <c r="AK249" s="28">
        <v>702595.25887999998</v>
      </c>
      <c r="AL249" s="9">
        <v>2074615.8599999996</v>
      </c>
      <c r="AM249" s="9">
        <v>1557980</v>
      </c>
      <c r="AN249" s="28">
        <v>708270.25887999998</v>
      </c>
      <c r="AO249" s="9">
        <v>2281485.7581900004</v>
      </c>
      <c r="AP249" s="9">
        <v>1667056</v>
      </c>
      <c r="AQ249" s="28">
        <v>721030.25887999998</v>
      </c>
      <c r="AR249" s="9">
        <v>2208586.3887203764</v>
      </c>
      <c r="AS249" s="9">
        <v>1594867</v>
      </c>
      <c r="AT249" s="28">
        <v>727660.25887999998</v>
      </c>
      <c r="AU249" s="9">
        <v>2244246.1515200003</v>
      </c>
      <c r="AV249" s="9">
        <v>1618008</v>
      </c>
      <c r="AW249" s="9">
        <v>734170.25887999998</v>
      </c>
      <c r="AX249" s="9">
        <v>2239539.0976047828</v>
      </c>
      <c r="AY249" s="9">
        <v>1665166</v>
      </c>
      <c r="AZ249" s="28">
        <v>740470</v>
      </c>
      <c r="BA249" s="9">
        <v>2429975.0922999997</v>
      </c>
      <c r="BB249" s="9">
        <v>1772432</v>
      </c>
      <c r="BC249" s="9">
        <v>740470</v>
      </c>
      <c r="BD249" s="9">
        <v>2366031.9386399998</v>
      </c>
      <c r="BE249" s="9">
        <v>1783978</v>
      </c>
      <c r="BF249" s="9">
        <v>746890</v>
      </c>
      <c r="BG249" s="9">
        <v>2979879.4445200004</v>
      </c>
      <c r="BH249" s="9">
        <v>2095520</v>
      </c>
      <c r="BI249" s="9">
        <v>884359</v>
      </c>
      <c r="BJ249" s="9">
        <v>3146739.0944000003</v>
      </c>
      <c r="BK249" s="9">
        <v>2196202</v>
      </c>
      <c r="BL249" s="9">
        <v>950537</v>
      </c>
      <c r="BM249" s="9"/>
      <c r="BN249" s="9"/>
      <c r="BO249" s="9"/>
      <c r="BP249" s="9"/>
      <c r="BQ249" s="9"/>
      <c r="BR249" s="9"/>
      <c r="BS249" s="9"/>
      <c r="BT249" s="9"/>
      <c r="BU249" s="9"/>
    </row>
    <row r="250" spans="1:73">
      <c r="A250" s="6">
        <v>241</v>
      </c>
      <c r="B250" s="6" t="s">
        <v>1359</v>
      </c>
      <c r="C250" s="421">
        <v>17.5</v>
      </c>
      <c r="D250" s="9">
        <v>0</v>
      </c>
      <c r="E250" s="33">
        <v>0</v>
      </c>
      <c r="F250" s="9">
        <v>0</v>
      </c>
      <c r="G250" s="9">
        <v>0</v>
      </c>
      <c r="H250" s="9">
        <v>0</v>
      </c>
      <c r="I250" s="9">
        <v>0</v>
      </c>
      <c r="J250" s="9">
        <v>0</v>
      </c>
      <c r="K250" s="9">
        <v>0</v>
      </c>
      <c r="L250" s="9">
        <v>0</v>
      </c>
      <c r="M250" s="9">
        <v>0</v>
      </c>
      <c r="N250" s="9">
        <v>0</v>
      </c>
      <c r="O250" s="9">
        <v>0</v>
      </c>
      <c r="P250" s="9">
        <v>0</v>
      </c>
      <c r="Q250" s="9">
        <v>12306.57500478469</v>
      </c>
      <c r="R250" s="9">
        <v>10005</v>
      </c>
      <c r="S250" s="9">
        <v>0</v>
      </c>
      <c r="T250" s="9">
        <v>2302</v>
      </c>
      <c r="U250" s="9">
        <v>0</v>
      </c>
      <c r="V250" s="9">
        <v>0</v>
      </c>
      <c r="W250" s="9">
        <v>0</v>
      </c>
      <c r="X250" s="9">
        <v>0</v>
      </c>
      <c r="Y250" s="9">
        <v>0</v>
      </c>
      <c r="Z250" s="9">
        <v>0</v>
      </c>
      <c r="AA250" s="9">
        <v>0</v>
      </c>
      <c r="AB250" s="9">
        <v>0</v>
      </c>
      <c r="AC250" s="9">
        <v>0</v>
      </c>
      <c r="AD250" s="9">
        <v>0</v>
      </c>
      <c r="AE250" s="9">
        <v>0</v>
      </c>
      <c r="AF250" s="9">
        <v>0</v>
      </c>
      <c r="AG250" s="9">
        <v>0</v>
      </c>
      <c r="AH250" s="9">
        <v>0</v>
      </c>
      <c r="AI250" s="9">
        <v>0</v>
      </c>
      <c r="AJ250" s="9">
        <v>0</v>
      </c>
      <c r="AK250" s="28">
        <v>0</v>
      </c>
      <c r="AL250" s="9">
        <v>0</v>
      </c>
      <c r="AM250" s="9">
        <v>0</v>
      </c>
      <c r="AN250" s="28">
        <v>0</v>
      </c>
      <c r="AO250" s="9">
        <v>0</v>
      </c>
      <c r="AP250" s="9">
        <v>0</v>
      </c>
      <c r="AQ250" s="28">
        <v>0</v>
      </c>
      <c r="AR250" s="9">
        <v>0</v>
      </c>
      <c r="AS250" s="9">
        <v>0</v>
      </c>
      <c r="AT250" s="28">
        <v>0</v>
      </c>
      <c r="AU250" s="9">
        <v>0</v>
      </c>
      <c r="AV250" s="9">
        <v>0</v>
      </c>
      <c r="AW250" s="9">
        <v>0</v>
      </c>
      <c r="AX250" s="9">
        <v>0</v>
      </c>
      <c r="AY250" s="9">
        <v>0</v>
      </c>
      <c r="AZ250" s="28">
        <v>0</v>
      </c>
      <c r="BA250" s="9">
        <v>0</v>
      </c>
      <c r="BB250" s="9">
        <v>0</v>
      </c>
      <c r="BC250" s="9">
        <v>0</v>
      </c>
      <c r="BD250" s="9">
        <v>14952.78</v>
      </c>
      <c r="BE250" s="9">
        <v>12336</v>
      </c>
      <c r="BF250" s="9">
        <v>2631</v>
      </c>
      <c r="BG250" s="9">
        <v>15697.710000000001</v>
      </c>
      <c r="BH250" s="9">
        <v>12201</v>
      </c>
      <c r="BI250" s="9">
        <v>3497</v>
      </c>
      <c r="BJ250" s="9">
        <v>16490.760000000002</v>
      </c>
      <c r="BK250" s="9">
        <v>13140</v>
      </c>
      <c r="BL250" s="9">
        <v>3497</v>
      </c>
      <c r="BM250" s="9"/>
      <c r="BN250" s="9"/>
      <c r="BO250" s="9"/>
      <c r="BP250" s="9"/>
      <c r="BQ250" s="9"/>
      <c r="BR250" s="9"/>
      <c r="BS250" s="9"/>
      <c r="BT250" s="9"/>
      <c r="BU250" s="9"/>
    </row>
    <row r="251" spans="1:73">
      <c r="A251" s="6">
        <v>242</v>
      </c>
      <c r="B251" s="6" t="s">
        <v>1360</v>
      </c>
      <c r="C251" s="421">
        <v>17.5</v>
      </c>
      <c r="D251" s="9">
        <v>1291811</v>
      </c>
      <c r="E251" s="33">
        <v>4055956</v>
      </c>
      <c r="F251" s="9">
        <v>255800.8</v>
      </c>
      <c r="G251" s="9">
        <v>1285826.94</v>
      </c>
      <c r="H251" s="9">
        <v>1956162</v>
      </c>
      <c r="I251" s="9">
        <v>263550.8</v>
      </c>
      <c r="J251" s="9">
        <v>1321743.9439575451</v>
      </c>
      <c r="K251" s="9">
        <v>1727275</v>
      </c>
      <c r="L251" s="9">
        <v>271200.8</v>
      </c>
      <c r="M251" s="9">
        <v>1263192.58</v>
      </c>
      <c r="N251" s="9">
        <v>1561249</v>
      </c>
      <c r="O251" s="9">
        <v>248898.8</v>
      </c>
      <c r="P251" s="9">
        <v>29252</v>
      </c>
      <c r="Q251" s="9">
        <v>1338933.845374163</v>
      </c>
      <c r="R251" s="9">
        <v>1591643</v>
      </c>
      <c r="S251" s="9">
        <v>272588</v>
      </c>
      <c r="T251" s="9">
        <v>0</v>
      </c>
      <c r="U251" s="9">
        <v>1375097.9072400001</v>
      </c>
      <c r="V251" s="9">
        <v>1521466</v>
      </c>
      <c r="W251" s="9">
        <v>256663</v>
      </c>
      <c r="X251" s="9">
        <v>1378</v>
      </c>
      <c r="Y251" s="9">
        <v>18272</v>
      </c>
      <c r="Z251" s="9">
        <v>1289521.3</v>
      </c>
      <c r="AA251" s="9">
        <v>1431340</v>
      </c>
      <c r="AB251" s="9">
        <v>258041</v>
      </c>
      <c r="AC251" s="9">
        <v>1203806.04</v>
      </c>
      <c r="AD251" s="9">
        <v>1203806</v>
      </c>
      <c r="AE251" s="9">
        <v>262841</v>
      </c>
      <c r="AF251" s="9">
        <v>1231636.8800000001</v>
      </c>
      <c r="AG251" s="9">
        <v>1215446</v>
      </c>
      <c r="AH251" s="9">
        <v>265966</v>
      </c>
      <c r="AI251" s="9">
        <v>1414247.5399999998</v>
      </c>
      <c r="AJ251" s="9">
        <v>1209208</v>
      </c>
      <c r="AK251" s="28">
        <v>269641</v>
      </c>
      <c r="AL251" s="9">
        <v>1284862.27</v>
      </c>
      <c r="AM251" s="9">
        <v>1156376</v>
      </c>
      <c r="AN251" s="28">
        <v>272866</v>
      </c>
      <c r="AO251" s="9">
        <v>1411461.41</v>
      </c>
      <c r="AP251" s="9">
        <v>1172251</v>
      </c>
      <c r="AQ251" s="28">
        <v>280401</v>
      </c>
      <c r="AR251" s="9">
        <v>1300534.3107840288</v>
      </c>
      <c r="AS251" s="9">
        <v>1090154</v>
      </c>
      <c r="AT251" s="28">
        <v>283851</v>
      </c>
      <c r="AU251" s="9">
        <v>1343546.56</v>
      </c>
      <c r="AV251" s="9">
        <v>1102452</v>
      </c>
      <c r="AW251" s="9">
        <v>287481</v>
      </c>
      <c r="AX251" s="9">
        <v>1386868.4082193591</v>
      </c>
      <c r="AY251" s="9">
        <v>1144166</v>
      </c>
      <c r="AZ251" s="28">
        <v>290781</v>
      </c>
      <c r="BA251" s="9">
        <v>1297760.2800000003</v>
      </c>
      <c r="BB251" s="9">
        <v>1070652</v>
      </c>
      <c r="BC251" s="9">
        <v>290781</v>
      </c>
      <c r="BD251" s="9">
        <v>1357829.1199999996</v>
      </c>
      <c r="BE251" s="9">
        <v>1120209</v>
      </c>
      <c r="BF251" s="9">
        <v>293751</v>
      </c>
      <c r="BG251" s="9">
        <v>1535068</v>
      </c>
      <c r="BH251" s="9">
        <v>1266431</v>
      </c>
      <c r="BI251" s="9">
        <v>299571</v>
      </c>
      <c r="BJ251" s="9">
        <v>1708796.98</v>
      </c>
      <c r="BK251" s="9">
        <v>1409758</v>
      </c>
      <c r="BL251" s="9">
        <v>305451</v>
      </c>
      <c r="BM251" s="9"/>
      <c r="BN251" s="9"/>
      <c r="BO251" s="9"/>
      <c r="BP251" s="9"/>
      <c r="BQ251" s="9"/>
      <c r="BR251" s="9"/>
      <c r="BS251" s="9"/>
      <c r="BT251" s="9"/>
      <c r="BU251" s="9"/>
    </row>
    <row r="252" spans="1:73">
      <c r="A252" s="6">
        <v>243</v>
      </c>
      <c r="B252" s="6" t="s">
        <v>1361</v>
      </c>
      <c r="C252" s="421">
        <v>18.649999999999999</v>
      </c>
      <c r="D252" s="9">
        <v>73098901</v>
      </c>
      <c r="E252" s="33">
        <v>63941052</v>
      </c>
      <c r="F252" s="9">
        <v>12561073.199999999</v>
      </c>
      <c r="G252" s="9">
        <v>77782533.934249982</v>
      </c>
      <c r="H252" s="9">
        <v>67709257</v>
      </c>
      <c r="I252" s="9">
        <v>13380709.199999999</v>
      </c>
      <c r="J252" s="9">
        <v>83528509.845593929</v>
      </c>
      <c r="K252" s="9">
        <v>70748789</v>
      </c>
      <c r="L252" s="9">
        <v>14388553.199999999</v>
      </c>
      <c r="M252" s="9">
        <v>89488958.460700005</v>
      </c>
      <c r="N252" s="9">
        <v>73362291</v>
      </c>
      <c r="O252" s="9">
        <v>14430718</v>
      </c>
      <c r="P252" s="9">
        <v>1695949</v>
      </c>
      <c r="Q252" s="9">
        <v>92909519.333574429</v>
      </c>
      <c r="R252" s="9">
        <v>72784382</v>
      </c>
      <c r="S252" s="9">
        <v>15804134</v>
      </c>
      <c r="T252" s="9">
        <v>4321003</v>
      </c>
      <c r="U252" s="9">
        <v>92692070.835875496</v>
      </c>
      <c r="V252" s="9">
        <v>74238283</v>
      </c>
      <c r="W252" s="9">
        <v>18949428</v>
      </c>
      <c r="X252" s="9">
        <v>101729</v>
      </c>
      <c r="Y252" s="9">
        <v>1298455</v>
      </c>
      <c r="Z252" s="9">
        <v>96661211.859239995</v>
      </c>
      <c r="AA252" s="9">
        <v>75702194</v>
      </c>
      <c r="AB252" s="9">
        <v>20959018</v>
      </c>
      <c r="AC252" s="9">
        <v>102157664.34112</v>
      </c>
      <c r="AD252" s="9">
        <v>79182392</v>
      </c>
      <c r="AE252" s="9">
        <v>23565229.189149439</v>
      </c>
      <c r="AF252" s="9">
        <v>105786949.41116999</v>
      </c>
      <c r="AG252" s="9">
        <v>81483004</v>
      </c>
      <c r="AH252" s="9">
        <v>24789394.287227817</v>
      </c>
      <c r="AI252" s="9">
        <v>108294787.80678003</v>
      </c>
      <c r="AJ252" s="9">
        <v>82452996</v>
      </c>
      <c r="AK252" s="28">
        <v>26024786.287227817</v>
      </c>
      <c r="AL252" s="9">
        <v>109837246.19363996</v>
      </c>
      <c r="AM252" s="9">
        <v>84853939</v>
      </c>
      <c r="AN252" s="28">
        <v>26257161.287227817</v>
      </c>
      <c r="AO252" s="9">
        <v>109074296.63971998</v>
      </c>
      <c r="AP252" s="9">
        <v>85429167</v>
      </c>
      <c r="AQ252" s="28">
        <v>26763766.287227817</v>
      </c>
      <c r="AR252" s="9">
        <v>112465494.00668323</v>
      </c>
      <c r="AS252" s="9">
        <v>87353305</v>
      </c>
      <c r="AT252" s="28">
        <v>27043396.287227817</v>
      </c>
      <c r="AU252" s="9">
        <v>117829054.19366997</v>
      </c>
      <c r="AV252" s="9">
        <v>90433969</v>
      </c>
      <c r="AW252" s="9">
        <v>28364113.480534859</v>
      </c>
      <c r="AX252" s="9">
        <v>123682608.20704634</v>
      </c>
      <c r="AY252" s="9">
        <v>95726151</v>
      </c>
      <c r="AZ252" s="28">
        <v>28647763</v>
      </c>
      <c r="BA252" s="9">
        <v>129336079.22404</v>
      </c>
      <c r="BB252" s="9">
        <v>101589945</v>
      </c>
      <c r="BC252" s="9">
        <v>28647763</v>
      </c>
      <c r="BD252" s="9">
        <v>138447528.00444001</v>
      </c>
      <c r="BE252" s="9">
        <v>106595521</v>
      </c>
      <c r="BF252" s="9">
        <v>31872332</v>
      </c>
      <c r="BG252" s="9">
        <v>146803428.35284004</v>
      </c>
      <c r="BH252" s="9">
        <v>111395437</v>
      </c>
      <c r="BI252" s="9">
        <v>35407991</v>
      </c>
      <c r="BJ252" s="9">
        <v>164068488.81255996</v>
      </c>
      <c r="BK252" s="9">
        <v>118960682</v>
      </c>
      <c r="BL252" s="9">
        <v>45107807</v>
      </c>
      <c r="BM252" s="9"/>
      <c r="BN252" s="9"/>
      <c r="BO252" s="9"/>
      <c r="BP252" s="9"/>
      <c r="BQ252" s="9"/>
      <c r="BR252" s="9"/>
      <c r="BS252" s="9"/>
      <c r="BT252" s="9"/>
      <c r="BU252" s="9"/>
    </row>
    <row r="253" spans="1:73">
      <c r="A253" s="6">
        <v>244</v>
      </c>
      <c r="B253" s="6" t="s">
        <v>1362</v>
      </c>
      <c r="C253" s="421">
        <v>39.17</v>
      </c>
      <c r="D253" s="9">
        <v>28415668</v>
      </c>
      <c r="E253" s="33">
        <v>20365108</v>
      </c>
      <c r="F253" s="9">
        <v>10420471</v>
      </c>
      <c r="G253" s="9">
        <v>30652225.832729999</v>
      </c>
      <c r="H253" s="9">
        <v>20844001</v>
      </c>
      <c r="I253" s="9">
        <v>11313976</v>
      </c>
      <c r="J253" s="9">
        <v>31690386.102510918</v>
      </c>
      <c r="K253" s="9">
        <v>20566218</v>
      </c>
      <c r="L253" s="9">
        <v>11852877</v>
      </c>
      <c r="M253" s="9">
        <v>32016655.867279999</v>
      </c>
      <c r="N253" s="9">
        <v>20344448</v>
      </c>
      <c r="O253" s="9">
        <v>10904100</v>
      </c>
      <c r="P253" s="9">
        <v>1281488</v>
      </c>
      <c r="Q253" s="9">
        <v>31481792.989716146</v>
      </c>
      <c r="R253" s="9">
        <v>20147871</v>
      </c>
      <c r="S253" s="9">
        <v>11941876</v>
      </c>
      <c r="T253" s="9">
        <v>0</v>
      </c>
      <c r="U253" s="9">
        <v>30820251.731979597</v>
      </c>
      <c r="V253" s="9">
        <v>19924468</v>
      </c>
      <c r="W253" s="9">
        <v>11244232</v>
      </c>
      <c r="X253" s="9">
        <v>60364</v>
      </c>
      <c r="Y253" s="9">
        <v>716005</v>
      </c>
      <c r="Z253" s="9">
        <v>31980943.732399996</v>
      </c>
      <c r="AA253" s="9">
        <v>20085920</v>
      </c>
      <c r="AB253" s="9">
        <v>11895024</v>
      </c>
      <c r="AC253" s="9">
        <v>34252525.530859999</v>
      </c>
      <c r="AD253" s="9">
        <v>20607886</v>
      </c>
      <c r="AE253" s="9">
        <v>13913057.555152636</v>
      </c>
      <c r="AF253" s="9">
        <v>35279771.078940004</v>
      </c>
      <c r="AG253" s="9">
        <v>21206980</v>
      </c>
      <c r="AH253" s="9">
        <v>14424784.13735972</v>
      </c>
      <c r="AI253" s="9">
        <v>35955443.988719992</v>
      </c>
      <c r="AJ253" s="9">
        <v>20964754</v>
      </c>
      <c r="AK253" s="28">
        <v>14990690</v>
      </c>
      <c r="AL253" s="9">
        <v>36417465.611719996</v>
      </c>
      <c r="AM253" s="9">
        <v>21159883</v>
      </c>
      <c r="AN253" s="28">
        <v>15257583</v>
      </c>
      <c r="AO253" s="9">
        <v>35981002.85723</v>
      </c>
      <c r="AP253" s="9">
        <v>20358913</v>
      </c>
      <c r="AQ253" s="28">
        <v>15693730</v>
      </c>
      <c r="AR253" s="9">
        <v>37100685.939180903</v>
      </c>
      <c r="AS253" s="9">
        <v>20804157</v>
      </c>
      <c r="AT253" s="28">
        <v>16296529</v>
      </c>
      <c r="AU253" s="9">
        <v>39313342.30715999</v>
      </c>
      <c r="AV253" s="9">
        <v>21866831</v>
      </c>
      <c r="AW253" s="9">
        <v>17446511</v>
      </c>
      <c r="AX253" s="9">
        <v>41045165.956319869</v>
      </c>
      <c r="AY253" s="9">
        <v>22557750</v>
      </c>
      <c r="AZ253" s="28">
        <v>18487416</v>
      </c>
      <c r="BA253" s="9">
        <v>42468258.92028001</v>
      </c>
      <c r="BB253" s="9">
        <v>23490641</v>
      </c>
      <c r="BC253" s="9">
        <v>18986721</v>
      </c>
      <c r="BD253" s="9">
        <v>44771562.799199991</v>
      </c>
      <c r="BE253" s="9">
        <v>24106610</v>
      </c>
      <c r="BF253" s="9">
        <v>20667301</v>
      </c>
      <c r="BG253" s="9">
        <v>47526055.611459993</v>
      </c>
      <c r="BH253" s="9">
        <v>24874680</v>
      </c>
      <c r="BI253" s="9">
        <v>22651376</v>
      </c>
      <c r="BJ253" s="9">
        <v>50608513.309120007</v>
      </c>
      <c r="BK253" s="9">
        <v>26405867</v>
      </c>
      <c r="BL253" s="9">
        <v>24202646</v>
      </c>
      <c r="BM253" s="9"/>
      <c r="BN253" s="9"/>
      <c r="BO253" s="9"/>
      <c r="BP253" s="9"/>
      <c r="BQ253" s="9"/>
      <c r="BR253" s="9"/>
      <c r="BS253" s="9"/>
      <c r="BT253" s="9"/>
      <c r="BU253" s="9"/>
    </row>
    <row r="254" spans="1:73">
      <c r="A254" s="6">
        <v>245</v>
      </c>
      <c r="B254" s="6" t="s">
        <v>1363</v>
      </c>
      <c r="C254" s="421">
        <v>38.54</v>
      </c>
      <c r="D254" s="9">
        <v>0</v>
      </c>
      <c r="E254" s="33">
        <v>0</v>
      </c>
      <c r="F254" s="9">
        <v>0</v>
      </c>
      <c r="G254" s="9">
        <v>0</v>
      </c>
      <c r="H254" s="9">
        <v>0</v>
      </c>
      <c r="I254" s="9">
        <v>0</v>
      </c>
      <c r="J254" s="9">
        <v>0</v>
      </c>
      <c r="K254" s="9">
        <v>0</v>
      </c>
      <c r="L254" s="9">
        <v>0</v>
      </c>
      <c r="M254" s="9">
        <v>0</v>
      </c>
      <c r="N254" s="9">
        <v>0</v>
      </c>
      <c r="O254" s="9">
        <v>0</v>
      </c>
      <c r="P254" s="9">
        <v>0</v>
      </c>
      <c r="Q254" s="9">
        <v>0</v>
      </c>
      <c r="R254" s="9">
        <v>0</v>
      </c>
      <c r="S254" s="9">
        <v>0</v>
      </c>
      <c r="T254" s="9">
        <v>0</v>
      </c>
      <c r="U254" s="9">
        <v>0</v>
      </c>
      <c r="V254" s="9">
        <v>0</v>
      </c>
      <c r="W254" s="9">
        <v>0</v>
      </c>
      <c r="X254" s="9">
        <v>0</v>
      </c>
      <c r="Y254" s="9">
        <v>0</v>
      </c>
      <c r="Z254" s="9">
        <v>0</v>
      </c>
      <c r="AA254" s="9">
        <v>0</v>
      </c>
      <c r="AB254" s="9">
        <v>0</v>
      </c>
      <c r="AC254" s="9">
        <v>12697.210000000001</v>
      </c>
      <c r="AD254" s="9">
        <v>7860</v>
      </c>
      <c r="AE254" s="9">
        <v>4837</v>
      </c>
      <c r="AF254" s="9">
        <v>0</v>
      </c>
      <c r="AG254" s="9">
        <v>0</v>
      </c>
      <c r="AH254" s="9">
        <v>0</v>
      </c>
      <c r="AI254" s="9">
        <v>26009.8</v>
      </c>
      <c r="AJ254" s="9">
        <v>16567</v>
      </c>
      <c r="AK254" s="28">
        <v>9443</v>
      </c>
      <c r="AL254" s="9">
        <v>0</v>
      </c>
      <c r="AM254" s="9">
        <v>0</v>
      </c>
      <c r="AN254" s="28">
        <v>0</v>
      </c>
      <c r="AO254" s="9">
        <v>0</v>
      </c>
      <c r="AP254" s="9">
        <v>0</v>
      </c>
      <c r="AQ254" s="28">
        <v>0</v>
      </c>
      <c r="AR254" s="9">
        <v>0</v>
      </c>
      <c r="AS254" s="9">
        <v>0</v>
      </c>
      <c r="AT254" s="28">
        <v>0</v>
      </c>
      <c r="AU254" s="9">
        <v>0</v>
      </c>
      <c r="AV254" s="9">
        <v>0</v>
      </c>
      <c r="AW254" s="9">
        <v>0</v>
      </c>
      <c r="AX254" s="9">
        <v>0</v>
      </c>
      <c r="AY254" s="9">
        <v>0</v>
      </c>
      <c r="AZ254" s="28">
        <v>0</v>
      </c>
      <c r="BA254" s="9">
        <v>0</v>
      </c>
      <c r="BB254" s="9">
        <v>0</v>
      </c>
      <c r="BC254" s="9">
        <v>0</v>
      </c>
      <c r="BD254" s="9">
        <v>0</v>
      </c>
      <c r="BE254" s="9">
        <v>0</v>
      </c>
      <c r="BF254" s="9">
        <v>0</v>
      </c>
      <c r="BG254" s="9">
        <v>0</v>
      </c>
      <c r="BH254" s="9">
        <v>0</v>
      </c>
      <c r="BI254" s="9">
        <v>0</v>
      </c>
      <c r="BJ254" s="9">
        <v>0</v>
      </c>
      <c r="BK254" s="9">
        <v>0</v>
      </c>
      <c r="BL254" s="9">
        <v>0</v>
      </c>
      <c r="BM254" s="9"/>
      <c r="BN254" s="9"/>
      <c r="BO254" s="9"/>
      <c r="BP254" s="9"/>
      <c r="BQ254" s="9"/>
      <c r="BR254" s="9"/>
      <c r="BS254" s="9"/>
      <c r="BT254" s="9"/>
      <c r="BU254" s="9"/>
    </row>
    <row r="255" spans="1:73">
      <c r="A255" s="6">
        <v>246</v>
      </c>
      <c r="B255" s="6" t="s">
        <v>1364</v>
      </c>
      <c r="C255" s="421">
        <v>17.5</v>
      </c>
      <c r="D255" s="9">
        <v>29463124</v>
      </c>
      <c r="E255" s="33">
        <v>23184689</v>
      </c>
      <c r="F255" s="9">
        <v>6290156.9999999981</v>
      </c>
      <c r="G255" s="9">
        <v>31463026.360140003</v>
      </c>
      <c r="H255" s="9">
        <v>24343136</v>
      </c>
      <c r="I255" s="9">
        <v>7119890</v>
      </c>
      <c r="J255" s="9">
        <v>33194639.301516734</v>
      </c>
      <c r="K255" s="9">
        <v>25152672</v>
      </c>
      <c r="L255" s="9">
        <v>8041967</v>
      </c>
      <c r="M255" s="9">
        <v>35385849.034999996</v>
      </c>
      <c r="N255" s="9">
        <v>26121634</v>
      </c>
      <c r="O255" s="9">
        <v>8289951</v>
      </c>
      <c r="P255" s="9">
        <v>974264</v>
      </c>
      <c r="Q255" s="9">
        <v>36474849.126737088</v>
      </c>
      <c r="R255" s="9">
        <v>26451786</v>
      </c>
      <c r="S255" s="9">
        <v>9078931</v>
      </c>
      <c r="T255" s="9">
        <v>944132</v>
      </c>
      <c r="U255" s="9">
        <v>35612661.075852714</v>
      </c>
      <c r="V255" s="9">
        <v>26779324</v>
      </c>
      <c r="W255" s="9">
        <v>9437516</v>
      </c>
      <c r="X255" s="9">
        <v>50665</v>
      </c>
      <c r="Y255" s="9">
        <v>641507</v>
      </c>
      <c r="Z255" s="9">
        <v>36437713.051029995</v>
      </c>
      <c r="AA255" s="9">
        <v>27264731</v>
      </c>
      <c r="AB255" s="9">
        <v>9488181</v>
      </c>
      <c r="AC255" s="9">
        <v>38136802.087369993</v>
      </c>
      <c r="AD255" s="9">
        <v>28233100</v>
      </c>
      <c r="AE255" s="9">
        <v>9903702</v>
      </c>
      <c r="AF255" s="9">
        <v>38817531.163199998</v>
      </c>
      <c r="AG255" s="9">
        <v>29008253</v>
      </c>
      <c r="AH255" s="9">
        <f>10011427+8422</f>
        <v>10019849</v>
      </c>
      <c r="AI255" s="9">
        <v>38963364.685199998</v>
      </c>
      <c r="AJ255" s="9">
        <v>30125539</v>
      </c>
      <c r="AK255" s="28">
        <v>10126574</v>
      </c>
      <c r="AL255" s="9">
        <v>39638139.190400004</v>
      </c>
      <c r="AM255" s="9">
        <v>31807445</v>
      </c>
      <c r="AN255" s="28">
        <v>10232699</v>
      </c>
      <c r="AO255" s="9">
        <v>39861932.613879994</v>
      </c>
      <c r="AP255" s="9">
        <v>32924851</v>
      </c>
      <c r="AQ255" s="28">
        <v>10465569</v>
      </c>
      <c r="AR255" s="9">
        <v>40268620.860512272</v>
      </c>
      <c r="AS255" s="9">
        <v>33365588</v>
      </c>
      <c r="AT255" s="28">
        <v>10591299</v>
      </c>
      <c r="AU255" s="9">
        <v>40642299.144709997</v>
      </c>
      <c r="AV255" s="9">
        <v>33529896</v>
      </c>
      <c r="AW255" s="9">
        <v>10713609</v>
      </c>
      <c r="AX255" s="9">
        <v>42311533.287209027</v>
      </c>
      <c r="AY255" s="9">
        <v>34907015</v>
      </c>
      <c r="AZ255" s="28">
        <v>10834809</v>
      </c>
      <c r="BA255" s="9">
        <v>42488891.059600003</v>
      </c>
      <c r="BB255" s="9">
        <v>35053335</v>
      </c>
      <c r="BC255" s="9">
        <v>10834809</v>
      </c>
      <c r="BD255" s="9">
        <v>42274011.335760005</v>
      </c>
      <c r="BE255" s="9">
        <v>34876059</v>
      </c>
      <c r="BF255" s="9">
        <v>10949859</v>
      </c>
      <c r="BG255" s="9">
        <v>43201150.09262</v>
      </c>
      <c r="BH255" s="9">
        <v>35640949</v>
      </c>
      <c r="BI255" s="9">
        <v>11171799</v>
      </c>
      <c r="BJ255" s="9">
        <v>46064559.298859999</v>
      </c>
      <c r="BK255" s="9">
        <v>37284680</v>
      </c>
      <c r="BL255" s="9">
        <v>11394279</v>
      </c>
      <c r="BM255" s="9"/>
      <c r="BN255" s="9"/>
      <c r="BO255" s="9"/>
      <c r="BP255" s="9"/>
      <c r="BQ255" s="9"/>
      <c r="BR255" s="9"/>
      <c r="BS255" s="9"/>
      <c r="BT255" s="9"/>
      <c r="BU255" s="9"/>
    </row>
    <row r="256" spans="1:73">
      <c r="A256" s="6">
        <v>247</v>
      </c>
      <c r="B256" s="6" t="s">
        <v>1365</v>
      </c>
      <c r="C256" s="421">
        <v>17.5</v>
      </c>
      <c r="D256" s="9">
        <v>0</v>
      </c>
      <c r="E256" s="33">
        <v>0</v>
      </c>
      <c r="F256" s="9">
        <v>0</v>
      </c>
      <c r="G256" s="9">
        <v>0</v>
      </c>
      <c r="H256" s="9">
        <v>0</v>
      </c>
      <c r="I256" s="9">
        <v>0</v>
      </c>
      <c r="J256" s="9">
        <v>0</v>
      </c>
      <c r="K256" s="9">
        <v>0</v>
      </c>
      <c r="L256" s="9">
        <v>0</v>
      </c>
      <c r="M256" s="9">
        <v>0</v>
      </c>
      <c r="N256" s="9">
        <v>0</v>
      </c>
      <c r="O256" s="9">
        <v>0</v>
      </c>
      <c r="P256" s="9">
        <v>0</v>
      </c>
      <c r="Q256" s="9">
        <v>0</v>
      </c>
      <c r="R256" s="9">
        <v>0</v>
      </c>
      <c r="S256" s="9">
        <v>0</v>
      </c>
      <c r="T256" s="9">
        <v>0</v>
      </c>
      <c r="U256" s="9">
        <v>0</v>
      </c>
      <c r="V256" s="9">
        <v>0</v>
      </c>
      <c r="W256" s="9">
        <v>0</v>
      </c>
      <c r="X256" s="9">
        <v>0</v>
      </c>
      <c r="Y256" s="9">
        <v>0</v>
      </c>
      <c r="Z256" s="9">
        <v>0</v>
      </c>
      <c r="AA256" s="9">
        <v>0</v>
      </c>
      <c r="AB256" s="9">
        <v>0</v>
      </c>
      <c r="AC256" s="9">
        <v>0</v>
      </c>
      <c r="AD256" s="9">
        <v>0</v>
      </c>
      <c r="AE256" s="9">
        <v>0</v>
      </c>
      <c r="AF256" s="9">
        <v>116046.18</v>
      </c>
      <c r="AG256" s="9">
        <v>81889</v>
      </c>
      <c r="AH256" s="9">
        <v>34157</v>
      </c>
      <c r="AI256" s="9">
        <v>91034.3</v>
      </c>
      <c r="AJ256" s="9">
        <v>64373</v>
      </c>
      <c r="AK256" s="28">
        <v>34157</v>
      </c>
      <c r="AL256" s="9">
        <v>26399.920000000002</v>
      </c>
      <c r="AM256" s="9">
        <v>18518</v>
      </c>
      <c r="AN256" s="28">
        <v>26399.920000000002</v>
      </c>
      <c r="AO256" s="9">
        <v>0</v>
      </c>
      <c r="AP256" s="9">
        <v>0</v>
      </c>
      <c r="AQ256" s="28">
        <v>0</v>
      </c>
      <c r="AR256" s="9">
        <v>0</v>
      </c>
      <c r="AS256" s="9">
        <v>0</v>
      </c>
      <c r="AT256" s="28">
        <v>0</v>
      </c>
      <c r="AU256" s="9">
        <v>0</v>
      </c>
      <c r="AV256" s="9">
        <v>0</v>
      </c>
      <c r="AW256" s="9">
        <v>0</v>
      </c>
      <c r="AX256" s="9">
        <v>0</v>
      </c>
      <c r="AY256" s="9">
        <v>0</v>
      </c>
      <c r="AZ256" s="28">
        <v>0</v>
      </c>
      <c r="BA256" s="9">
        <v>0</v>
      </c>
      <c r="BB256" s="9">
        <v>0</v>
      </c>
      <c r="BC256" s="9">
        <v>0</v>
      </c>
      <c r="BD256" s="9">
        <v>0</v>
      </c>
      <c r="BE256" s="9">
        <v>0</v>
      </c>
      <c r="BF256" s="9">
        <v>0</v>
      </c>
      <c r="BG256" s="9">
        <v>0</v>
      </c>
      <c r="BH256" s="9">
        <v>0</v>
      </c>
      <c r="BI256" s="9">
        <v>0</v>
      </c>
      <c r="BJ256" s="9">
        <v>0</v>
      </c>
      <c r="BK256" s="9">
        <v>0</v>
      </c>
      <c r="BL256" s="9">
        <v>0</v>
      </c>
      <c r="BM256" s="9"/>
      <c r="BN256" s="9"/>
      <c r="BO256" s="9"/>
      <c r="BP256" s="9"/>
      <c r="BQ256" s="9"/>
      <c r="BR256" s="9"/>
      <c r="BS256" s="9"/>
      <c r="BT256" s="9"/>
      <c r="BU256" s="9"/>
    </row>
    <row r="257" spans="1:73">
      <c r="A257" s="6">
        <v>248</v>
      </c>
      <c r="B257" s="6" t="s">
        <v>1366</v>
      </c>
      <c r="C257" s="421">
        <v>60.5</v>
      </c>
      <c r="D257" s="9">
        <v>46478555</v>
      </c>
      <c r="E257" s="33">
        <v>22374964</v>
      </c>
      <c r="F257" s="9">
        <v>24103591</v>
      </c>
      <c r="G257" s="9">
        <v>51922904.798499994</v>
      </c>
      <c r="H257" s="9">
        <v>24134938</v>
      </c>
      <c r="I257" s="9">
        <v>27787967</v>
      </c>
      <c r="J257" s="9">
        <v>56922955.069418222</v>
      </c>
      <c r="K257" s="9">
        <v>25539984</v>
      </c>
      <c r="L257" s="9">
        <v>31382971</v>
      </c>
      <c r="M257" s="9">
        <v>60166072.687420011</v>
      </c>
      <c r="N257" s="9">
        <v>26575341</v>
      </c>
      <c r="O257" s="9">
        <v>30058188</v>
      </c>
      <c r="P257" s="9">
        <v>3532544</v>
      </c>
      <c r="Q257" s="9">
        <v>64653955.409767158</v>
      </c>
      <c r="R257" s="9">
        <v>26216203</v>
      </c>
      <c r="S257" s="9">
        <v>32918917</v>
      </c>
      <c r="T257" s="9">
        <v>5518835</v>
      </c>
      <c r="U257" s="9">
        <v>65723577.218013175</v>
      </c>
      <c r="V257" s="9">
        <v>27005010</v>
      </c>
      <c r="W257" s="9">
        <v>37975657</v>
      </c>
      <c r="X257" s="9">
        <v>203870</v>
      </c>
      <c r="Y257" s="9">
        <v>539040</v>
      </c>
      <c r="Z257" s="9">
        <v>68075146.155200005</v>
      </c>
      <c r="AA257" s="9">
        <v>27339812</v>
      </c>
      <c r="AB257" s="9">
        <v>40735334</v>
      </c>
      <c r="AC257" s="9">
        <v>74073065.5757</v>
      </c>
      <c r="AD257" s="9">
        <v>28043890</v>
      </c>
      <c r="AE257" s="9">
        <v>46214315.401124246</v>
      </c>
      <c r="AF257" s="9">
        <v>76694917.361529991</v>
      </c>
      <c r="AG257" s="9">
        <v>28826715</v>
      </c>
      <c r="AH257" s="9">
        <f>48007444.2055175+33688</f>
        <v>48041132.205517501</v>
      </c>
      <c r="AI257" s="9">
        <v>79960501.103390008</v>
      </c>
      <c r="AJ257" s="9">
        <v>29010426</v>
      </c>
      <c r="AK257" s="28">
        <v>50950075</v>
      </c>
      <c r="AL257" s="9">
        <v>84281832.122129992</v>
      </c>
      <c r="AM257" s="9">
        <v>30065688</v>
      </c>
      <c r="AN257" s="28">
        <v>54216144</v>
      </c>
      <c r="AO257" s="9">
        <v>82249270.676439986</v>
      </c>
      <c r="AP257" s="9">
        <v>30306709</v>
      </c>
      <c r="AQ257" s="28">
        <v>56509506</v>
      </c>
      <c r="AR257" s="9">
        <v>88195564.570087463</v>
      </c>
      <c r="AS257" s="9">
        <v>31495119</v>
      </c>
      <c r="AT257" s="28">
        <f>60824236-4085080</f>
        <v>56739156</v>
      </c>
      <c r="AU257" s="9">
        <v>96064542.993500009</v>
      </c>
      <c r="AV257" s="9">
        <v>32918306</v>
      </c>
      <c r="AW257" s="9">
        <v>65040589.077949196</v>
      </c>
      <c r="AX257" s="9">
        <v>104529856.46755695</v>
      </c>
      <c r="AY257" s="9">
        <v>34860627</v>
      </c>
      <c r="AZ257" s="28">
        <v>69669229</v>
      </c>
      <c r="BA257" s="9">
        <v>107222329.50896001</v>
      </c>
      <c r="BB257" s="9">
        <v>36927909</v>
      </c>
      <c r="BC257" s="9">
        <v>70298333</v>
      </c>
      <c r="BD257" s="9">
        <v>119408964.46437</v>
      </c>
      <c r="BE257" s="9">
        <v>38458098</v>
      </c>
      <c r="BF257" s="9">
        <v>80950866</v>
      </c>
      <c r="BG257" s="9">
        <v>125462677.79059999</v>
      </c>
      <c r="BH257" s="9">
        <v>41009518</v>
      </c>
      <c r="BI257" s="9">
        <v>84453160</v>
      </c>
      <c r="BJ257" s="9">
        <v>142967579.12336001</v>
      </c>
      <c r="BK257" s="9">
        <v>44549397</v>
      </c>
      <c r="BL257" s="9">
        <v>98418182</v>
      </c>
      <c r="BM257" s="9"/>
      <c r="BN257" s="9"/>
      <c r="BO257" s="9"/>
      <c r="BP257" s="9"/>
      <c r="BQ257" s="9"/>
      <c r="BR257" s="9"/>
      <c r="BS257" s="9"/>
      <c r="BT257" s="9"/>
      <c r="BU257" s="9"/>
    </row>
    <row r="258" spans="1:73">
      <c r="A258" s="6">
        <v>249</v>
      </c>
      <c r="B258" s="6" t="s">
        <v>1367</v>
      </c>
      <c r="C258" s="421">
        <v>17.5</v>
      </c>
      <c r="D258" s="9">
        <v>1762868</v>
      </c>
      <c r="E258" s="33">
        <v>2078922</v>
      </c>
      <c r="F258" s="9">
        <v>321695.2</v>
      </c>
      <c r="G258" s="9">
        <v>1791554.66</v>
      </c>
      <c r="H258" s="9">
        <v>2029927</v>
      </c>
      <c r="I258" s="9">
        <v>333845.2</v>
      </c>
      <c r="J258" s="9">
        <v>1666525.1984222305</v>
      </c>
      <c r="K258" s="9">
        <v>1918538</v>
      </c>
      <c r="L258" s="9">
        <v>344495.2</v>
      </c>
      <c r="M258" s="9">
        <v>1733844.42</v>
      </c>
      <c r="N258" s="9">
        <v>1800907</v>
      </c>
      <c r="O258" s="9">
        <v>356276.2</v>
      </c>
      <c r="P258" s="9">
        <v>0</v>
      </c>
      <c r="Q258" s="9">
        <v>1714724.0778717706</v>
      </c>
      <c r="R258" s="9">
        <v>1779707</v>
      </c>
      <c r="S258" s="9">
        <v>349151</v>
      </c>
      <c r="T258" s="9">
        <v>0</v>
      </c>
      <c r="U258" s="9">
        <v>1627120.605</v>
      </c>
      <c r="V258" s="9">
        <v>1690989</v>
      </c>
      <c r="W258" s="9">
        <v>328754</v>
      </c>
      <c r="X258" s="9">
        <v>1765</v>
      </c>
      <c r="Y258" s="9">
        <v>23307</v>
      </c>
      <c r="Z258" s="9">
        <v>1432341.44</v>
      </c>
      <c r="AA258" s="9">
        <v>1629712</v>
      </c>
      <c r="AB258" s="9">
        <v>330519</v>
      </c>
      <c r="AC258" s="9">
        <v>1455405.7799999998</v>
      </c>
      <c r="AD258" s="9">
        <v>1455406</v>
      </c>
      <c r="AE258" s="9">
        <v>336919</v>
      </c>
      <c r="AF258" s="9">
        <v>1341137.6900000002</v>
      </c>
      <c r="AG258" s="9">
        <v>1341138</v>
      </c>
      <c r="AH258" s="9">
        <v>340519</v>
      </c>
      <c r="AI258" s="9">
        <v>1381559.82</v>
      </c>
      <c r="AJ258" s="9">
        <v>1243404</v>
      </c>
      <c r="AK258" s="28">
        <v>344169</v>
      </c>
      <c r="AL258" s="9">
        <v>1238912.1900000002</v>
      </c>
      <c r="AM258" s="9">
        <v>1115021</v>
      </c>
      <c r="AN258" s="28">
        <v>347244</v>
      </c>
      <c r="AO258" s="9">
        <v>1203251.3800000001</v>
      </c>
      <c r="AP258" s="9">
        <v>1015683</v>
      </c>
      <c r="AQ258" s="28">
        <v>353789</v>
      </c>
      <c r="AR258" s="9">
        <v>1268580.5002314509</v>
      </c>
      <c r="AS258" s="9">
        <v>1047475</v>
      </c>
      <c r="AT258" s="28">
        <v>357479</v>
      </c>
      <c r="AU258" s="9">
        <v>1277797.2200000002</v>
      </c>
      <c r="AV258" s="9">
        <v>1054183</v>
      </c>
      <c r="AW258" s="9">
        <v>361049</v>
      </c>
      <c r="AX258" s="9">
        <v>1333384.0206293394</v>
      </c>
      <c r="AY258" s="9">
        <v>1100042</v>
      </c>
      <c r="AZ258" s="28">
        <v>364649</v>
      </c>
      <c r="BA258" s="9">
        <v>1449827.3</v>
      </c>
      <c r="BB258" s="9">
        <v>1196108</v>
      </c>
      <c r="BC258" s="9">
        <v>364649</v>
      </c>
      <c r="BD258" s="9">
        <v>1294266.8799999999</v>
      </c>
      <c r="BE258" s="9">
        <v>1067770</v>
      </c>
      <c r="BF258" s="9">
        <v>368009</v>
      </c>
      <c r="BG258" s="9">
        <v>1633317.1499999997</v>
      </c>
      <c r="BH258" s="9">
        <v>1118062</v>
      </c>
      <c r="BI258" s="9">
        <v>515255</v>
      </c>
      <c r="BJ258" s="9">
        <v>1653453.7499999998</v>
      </c>
      <c r="BK258" s="9">
        <v>1364099</v>
      </c>
      <c r="BL258" s="9">
        <v>522455</v>
      </c>
      <c r="BM258" s="9"/>
      <c r="BN258" s="9"/>
      <c r="BO258" s="9"/>
      <c r="BP258" s="9"/>
      <c r="BQ258" s="9"/>
      <c r="BR258" s="9"/>
      <c r="BS258" s="9"/>
      <c r="BT258" s="9"/>
      <c r="BU258" s="9"/>
    </row>
    <row r="259" spans="1:73">
      <c r="A259" s="6">
        <v>250</v>
      </c>
      <c r="B259" s="6" t="s">
        <v>1368</v>
      </c>
      <c r="C259" s="421">
        <v>29.31</v>
      </c>
      <c r="D259" s="9">
        <v>3680270</v>
      </c>
      <c r="E259" s="33">
        <v>2350290</v>
      </c>
      <c r="F259" s="9">
        <v>1329980</v>
      </c>
      <c r="G259" s="9">
        <v>3824253.2</v>
      </c>
      <c r="H259" s="9">
        <v>2478288</v>
      </c>
      <c r="I259" s="9">
        <v>1395317</v>
      </c>
      <c r="J259" s="9">
        <v>4020213.9527178695</v>
      </c>
      <c r="K259" s="9">
        <v>2498485</v>
      </c>
      <c r="L259" s="9">
        <v>1521729</v>
      </c>
      <c r="M259" s="9">
        <v>4281470.25</v>
      </c>
      <c r="N259" s="9">
        <v>2647282</v>
      </c>
      <c r="O259" s="9">
        <v>1462330</v>
      </c>
      <c r="P259" s="9">
        <v>171858</v>
      </c>
      <c r="Q259" s="9">
        <v>4601636.8752688998</v>
      </c>
      <c r="R259" s="9">
        <v>2799668</v>
      </c>
      <c r="S259" s="9">
        <v>1601504</v>
      </c>
      <c r="T259" s="9">
        <v>200465</v>
      </c>
      <c r="U259" s="9">
        <v>4449279.2438400006</v>
      </c>
      <c r="V259" s="9">
        <v>2835130</v>
      </c>
      <c r="W259" s="9">
        <v>1696698</v>
      </c>
      <c r="X259" s="9">
        <v>9109</v>
      </c>
      <c r="Y259" s="9">
        <v>109987</v>
      </c>
      <c r="Z259" s="9">
        <v>4206398.72</v>
      </c>
      <c r="AA259" s="9">
        <v>2715486</v>
      </c>
      <c r="AB259" s="9">
        <v>1705807</v>
      </c>
      <c r="AC259" s="9">
        <v>4265135.9700000007</v>
      </c>
      <c r="AD259" s="9">
        <v>2781320</v>
      </c>
      <c r="AE259" s="9">
        <v>1725847</v>
      </c>
      <c r="AF259" s="9">
        <v>4306372.08</v>
      </c>
      <c r="AG259" s="9">
        <v>2817361</v>
      </c>
      <c r="AH259" s="9">
        <v>1738272</v>
      </c>
      <c r="AI259" s="9">
        <v>4252932.9000000004</v>
      </c>
      <c r="AJ259" s="9">
        <v>2742703</v>
      </c>
      <c r="AK259" s="28">
        <v>1750422</v>
      </c>
      <c r="AL259" s="9">
        <v>4382165.5599999996</v>
      </c>
      <c r="AM259" s="9">
        <v>2807707</v>
      </c>
      <c r="AN259" s="28">
        <v>1762322</v>
      </c>
      <c r="AO259" s="9">
        <v>4400657.959999999</v>
      </c>
      <c r="AP259" s="9">
        <v>2745493</v>
      </c>
      <c r="AQ259" s="28">
        <v>1788722</v>
      </c>
      <c r="AR259" s="9">
        <v>4319981.4040858541</v>
      </c>
      <c r="AS259" s="9">
        <v>2706641</v>
      </c>
      <c r="AT259" s="28">
        <v>1802732</v>
      </c>
      <c r="AU259" s="9">
        <v>4788761.0199999996</v>
      </c>
      <c r="AV259" s="9">
        <v>2933529</v>
      </c>
      <c r="AW259" s="9">
        <v>1855232</v>
      </c>
      <c r="AX259" s="9">
        <v>5204047.0350275449</v>
      </c>
      <c r="AY259" s="9">
        <v>3146498</v>
      </c>
      <c r="AZ259" s="28">
        <v>2057549</v>
      </c>
      <c r="BA259" s="9">
        <v>5386708.8799999999</v>
      </c>
      <c r="BB259" s="9">
        <v>3382851</v>
      </c>
      <c r="BC259" s="9">
        <v>2057549</v>
      </c>
      <c r="BD259" s="9">
        <v>5247585.0799999991</v>
      </c>
      <c r="BE259" s="9">
        <v>3517393</v>
      </c>
      <c r="BF259" s="9">
        <v>2072039</v>
      </c>
      <c r="BG259" s="9">
        <v>6070731.0099999998</v>
      </c>
      <c r="BH259" s="9">
        <v>3686389</v>
      </c>
      <c r="BI259" s="9">
        <v>2384342</v>
      </c>
      <c r="BJ259" s="9">
        <v>6163095.8600000003</v>
      </c>
      <c r="BK259" s="9">
        <v>3840072</v>
      </c>
      <c r="BL259" s="9">
        <v>2414282</v>
      </c>
      <c r="BM259" s="9"/>
      <c r="BN259" s="9"/>
      <c r="BO259" s="9"/>
      <c r="BP259" s="9"/>
      <c r="BQ259" s="9"/>
      <c r="BR259" s="9"/>
      <c r="BS259" s="9"/>
      <c r="BT259" s="9"/>
      <c r="BU259" s="9"/>
    </row>
    <row r="260" spans="1:73">
      <c r="A260" s="6">
        <v>251</v>
      </c>
      <c r="B260" s="6" t="s">
        <v>1369</v>
      </c>
      <c r="C260" s="421">
        <v>49.51</v>
      </c>
      <c r="D260" s="9">
        <v>19513418</v>
      </c>
      <c r="E260" s="33">
        <v>11054067</v>
      </c>
      <c r="F260" s="9">
        <v>8952545</v>
      </c>
      <c r="G260" s="9">
        <v>20522022.761699997</v>
      </c>
      <c r="H260" s="9">
        <v>11421237</v>
      </c>
      <c r="I260" s="9">
        <v>9430825</v>
      </c>
      <c r="J260" s="9">
        <v>21120295.814178336</v>
      </c>
      <c r="K260" s="9">
        <v>11629129</v>
      </c>
      <c r="L260" s="9">
        <v>9714945</v>
      </c>
      <c r="M260" s="9">
        <v>21933698.112469997</v>
      </c>
      <c r="N260" s="9">
        <v>11574215</v>
      </c>
      <c r="O260" s="9">
        <v>9270036</v>
      </c>
      <c r="P260" s="9">
        <v>1089447</v>
      </c>
      <c r="Q260" s="9">
        <v>22004828.13255582</v>
      </c>
      <c r="R260" s="9">
        <v>11463450</v>
      </c>
      <c r="S260" s="9">
        <v>10152293</v>
      </c>
      <c r="T260" s="9">
        <v>389085</v>
      </c>
      <c r="U260" s="9">
        <v>21074812.564186316</v>
      </c>
      <c r="V260" s="9">
        <v>11539567</v>
      </c>
      <c r="W260" s="9">
        <v>9925552</v>
      </c>
      <c r="X260" s="9">
        <v>53285</v>
      </c>
      <c r="Y260" s="9">
        <v>619191</v>
      </c>
      <c r="Z260" s="9">
        <v>21774162.33845</v>
      </c>
      <c r="AA260" s="9">
        <v>11752002</v>
      </c>
      <c r="AB260" s="9">
        <v>10022160</v>
      </c>
      <c r="AC260" s="9">
        <v>22355995.259560004</v>
      </c>
      <c r="AD260" s="9">
        <v>12117742</v>
      </c>
      <c r="AE260" s="9">
        <v>10325639.588731904</v>
      </c>
      <c r="AF260" s="9">
        <v>22663493.787000004</v>
      </c>
      <c r="AG260" s="9">
        <v>12382935</v>
      </c>
      <c r="AH260" s="9">
        <v>10386793.067113128</v>
      </c>
      <c r="AI260" s="9">
        <v>23580543.138319999</v>
      </c>
      <c r="AJ260" s="9">
        <v>12524805</v>
      </c>
      <c r="AK260" s="28">
        <v>11055738</v>
      </c>
      <c r="AL260" s="9">
        <v>25189073.019840002</v>
      </c>
      <c r="AM260" s="9">
        <v>12589951</v>
      </c>
      <c r="AN260" s="28">
        <v>12599122</v>
      </c>
      <c r="AO260" s="9">
        <v>25814155.980160002</v>
      </c>
      <c r="AP260" s="9">
        <v>12429362</v>
      </c>
      <c r="AQ260" s="28">
        <v>13635665</v>
      </c>
      <c r="AR260" s="9">
        <v>25966055.368246898</v>
      </c>
      <c r="AS260" s="9">
        <v>12806197</v>
      </c>
      <c r="AT260" s="28">
        <v>13706495</v>
      </c>
      <c r="AU260" s="9">
        <v>25871093.227260001</v>
      </c>
      <c r="AV260" s="9">
        <v>13345423</v>
      </c>
      <c r="AW260" s="9">
        <v>13774895</v>
      </c>
      <c r="AX260" s="9">
        <v>27535663.693475917</v>
      </c>
      <c r="AY260" s="9">
        <v>13793841</v>
      </c>
      <c r="AZ260" s="28">
        <v>13843235</v>
      </c>
      <c r="BA260" s="9">
        <v>29202100.0068</v>
      </c>
      <c r="BB260" s="9">
        <v>14473503</v>
      </c>
      <c r="BC260" s="9">
        <v>14728597</v>
      </c>
      <c r="BD260" s="9">
        <v>29636842.031679999</v>
      </c>
      <c r="BE260" s="9">
        <v>14836781</v>
      </c>
      <c r="BF260" s="9">
        <v>14800061</v>
      </c>
      <c r="BG260" s="9">
        <v>31695075.426849995</v>
      </c>
      <c r="BH260" s="9">
        <v>15340167</v>
      </c>
      <c r="BI260" s="9">
        <v>16354908</v>
      </c>
      <c r="BJ260" s="9">
        <v>34848972.482560009</v>
      </c>
      <c r="BK260" s="9">
        <v>16311436</v>
      </c>
      <c r="BL260" s="9">
        <v>18537536</v>
      </c>
      <c r="BM260" s="9"/>
      <c r="BN260" s="9"/>
      <c r="BO260" s="9"/>
      <c r="BP260" s="9"/>
      <c r="BQ260" s="9"/>
      <c r="BR260" s="9"/>
      <c r="BS260" s="9"/>
      <c r="BT260" s="9"/>
      <c r="BU260" s="9"/>
    </row>
    <row r="261" spans="1:73">
      <c r="A261" s="6">
        <v>252</v>
      </c>
      <c r="B261" s="6" t="s">
        <v>1370</v>
      </c>
      <c r="C261" s="421">
        <v>17.5</v>
      </c>
      <c r="D261" s="9">
        <v>7402784</v>
      </c>
      <c r="E261" s="33">
        <v>7362604</v>
      </c>
      <c r="F261" s="9">
        <v>1194220.8</v>
      </c>
      <c r="G261" s="9">
        <v>7628241.0882799998</v>
      </c>
      <c r="H261" s="9">
        <v>7471074</v>
      </c>
      <c r="I261" s="9">
        <v>1244120.8</v>
      </c>
      <c r="J261" s="9">
        <v>8076762.8806776693</v>
      </c>
      <c r="K261" s="9">
        <v>7497665</v>
      </c>
      <c r="L261" s="9">
        <v>1322611.8</v>
      </c>
      <c r="M261" s="9">
        <v>8284122.9709999999</v>
      </c>
      <c r="N261" s="9">
        <v>7446648</v>
      </c>
      <c r="O261" s="9">
        <v>1226740.8</v>
      </c>
      <c r="P261" s="9">
        <v>144171</v>
      </c>
      <c r="Q261" s="9">
        <v>8104260.50920715</v>
      </c>
      <c r="R261" s="9">
        <v>7413825</v>
      </c>
      <c r="S261" s="9">
        <v>1343494</v>
      </c>
      <c r="T261" s="9">
        <v>0</v>
      </c>
      <c r="U261" s="9">
        <v>7620062.4644836802</v>
      </c>
      <c r="V261" s="9">
        <v>7138013</v>
      </c>
      <c r="W261" s="9">
        <v>1265007</v>
      </c>
      <c r="X261" s="9">
        <v>6791</v>
      </c>
      <c r="Y261" s="9">
        <v>93921</v>
      </c>
      <c r="Z261" s="9">
        <v>7319480.6514099985</v>
      </c>
      <c r="AA261" s="9">
        <v>7150187</v>
      </c>
      <c r="AB261" s="9">
        <v>1271798</v>
      </c>
      <c r="AC261" s="9">
        <v>7190513.3909999989</v>
      </c>
      <c r="AD261" s="9">
        <v>7094748</v>
      </c>
      <c r="AE261" s="9">
        <v>1304118</v>
      </c>
      <c r="AF261" s="9">
        <v>7275247.9357000012</v>
      </c>
      <c r="AG261" s="9">
        <v>7139271</v>
      </c>
      <c r="AH261" s="9">
        <f>1324168+33688</f>
        <v>1357856</v>
      </c>
      <c r="AI261" s="9">
        <v>7619731.0979199996</v>
      </c>
      <c r="AJ261" s="9">
        <v>6857758</v>
      </c>
      <c r="AK261" s="28">
        <v>1377981</v>
      </c>
      <c r="AL261" s="9">
        <v>7726823.8438600004</v>
      </c>
      <c r="AM261" s="9">
        <v>6690331</v>
      </c>
      <c r="AN261" s="28">
        <v>1397406</v>
      </c>
      <c r="AO261" s="9">
        <v>7673923.8114000009</v>
      </c>
      <c r="AP261" s="9">
        <v>6409651</v>
      </c>
      <c r="AQ261" s="28">
        <v>1439096</v>
      </c>
      <c r="AR261" s="9">
        <v>7549140.3215470212</v>
      </c>
      <c r="AS261" s="9">
        <v>6289613</v>
      </c>
      <c r="AT261" s="28">
        <v>1461146</v>
      </c>
      <c r="AU261" s="9">
        <v>7350864.6990399994</v>
      </c>
      <c r="AV261" s="9">
        <v>6064463</v>
      </c>
      <c r="AW261" s="9">
        <v>1481756</v>
      </c>
      <c r="AX261" s="9">
        <v>7685699.8726646928</v>
      </c>
      <c r="AY261" s="9">
        <v>6224394</v>
      </c>
      <c r="AZ261" s="28">
        <v>1502126</v>
      </c>
      <c r="BA261" s="9">
        <v>7619056.3994999984</v>
      </c>
      <c r="BB261" s="9">
        <v>6285722</v>
      </c>
      <c r="BC261" s="9">
        <v>1502126</v>
      </c>
      <c r="BD261" s="9">
        <v>6998375.1413199985</v>
      </c>
      <c r="BE261" s="9">
        <v>5773659</v>
      </c>
      <c r="BF261" s="9">
        <v>1519946</v>
      </c>
      <c r="BG261" s="9">
        <v>7658338.1696900008</v>
      </c>
      <c r="BH261" s="9">
        <v>6318129</v>
      </c>
      <c r="BI261" s="9">
        <v>1555526</v>
      </c>
      <c r="BJ261" s="9">
        <v>8129580.1188599998</v>
      </c>
      <c r="BK261" s="9">
        <v>6706904</v>
      </c>
      <c r="BL261" s="9">
        <v>1590746</v>
      </c>
      <c r="BM261" s="9"/>
      <c r="BN261" s="9"/>
      <c r="BO261" s="9"/>
      <c r="BP261" s="9"/>
      <c r="BQ261" s="9"/>
      <c r="BR261" s="9"/>
      <c r="BS261" s="9"/>
      <c r="BT261" s="9"/>
      <c r="BU261" s="9"/>
    </row>
    <row r="262" spans="1:73">
      <c r="A262" s="6">
        <v>253</v>
      </c>
      <c r="B262" s="6" t="s">
        <v>1371</v>
      </c>
      <c r="C262" s="421">
        <v>17.5</v>
      </c>
      <c r="D262" s="9">
        <v>475150</v>
      </c>
      <c r="E262" s="33">
        <v>699660</v>
      </c>
      <c r="F262" s="9">
        <v>45294.8</v>
      </c>
      <c r="G262" s="9">
        <v>409882.39</v>
      </c>
      <c r="H262" s="9">
        <v>614824</v>
      </c>
      <c r="I262" s="9">
        <v>50581.8</v>
      </c>
      <c r="J262" s="9">
        <v>523549.62469008093</v>
      </c>
      <c r="K262" s="9">
        <v>580213</v>
      </c>
      <c r="L262" s="9">
        <v>70473.8</v>
      </c>
      <c r="M262" s="9">
        <v>419120.95</v>
      </c>
      <c r="N262" s="9">
        <v>513500</v>
      </c>
      <c r="O262" s="9">
        <v>65254.8</v>
      </c>
      <c r="P262" s="9">
        <v>7669</v>
      </c>
      <c r="Q262" s="9">
        <v>441524.18143540673</v>
      </c>
      <c r="R262" s="9">
        <v>501807</v>
      </c>
      <c r="S262" s="9">
        <v>71465</v>
      </c>
      <c r="T262" s="9">
        <v>0</v>
      </c>
      <c r="U262" s="9">
        <v>552009.03876000002</v>
      </c>
      <c r="V262" s="9">
        <v>498355</v>
      </c>
      <c r="W262" s="9">
        <v>67290</v>
      </c>
      <c r="X262" s="9">
        <v>361</v>
      </c>
      <c r="Y262" s="9">
        <v>5289</v>
      </c>
      <c r="Z262" s="9">
        <v>560185.52</v>
      </c>
      <c r="AA262" s="9">
        <v>501042</v>
      </c>
      <c r="AB262" s="9">
        <v>67651</v>
      </c>
      <c r="AC262" s="9">
        <v>613859.06999999995</v>
      </c>
      <c r="AD262" s="9">
        <v>514712</v>
      </c>
      <c r="AE262" s="9">
        <v>99147</v>
      </c>
      <c r="AF262" s="9">
        <v>620119.16</v>
      </c>
      <c r="AG262" s="9">
        <v>527677</v>
      </c>
      <c r="AH262" s="9">
        <v>100747</v>
      </c>
      <c r="AI262" s="9">
        <v>618393.5</v>
      </c>
      <c r="AJ262" s="9">
        <v>525865</v>
      </c>
      <c r="AK262" s="28">
        <v>103362</v>
      </c>
      <c r="AL262" s="9">
        <v>676330.15</v>
      </c>
      <c r="AM262" s="9">
        <v>545165</v>
      </c>
      <c r="AN262" s="28">
        <v>131165</v>
      </c>
      <c r="AO262" s="9">
        <v>642285.43000000005</v>
      </c>
      <c r="AP262" s="9">
        <v>535088</v>
      </c>
      <c r="AQ262" s="28">
        <v>134795</v>
      </c>
      <c r="AR262" s="9">
        <v>637861.27157375612</v>
      </c>
      <c r="AS262" s="9">
        <v>530325</v>
      </c>
      <c r="AT262" s="28">
        <v>136715</v>
      </c>
      <c r="AU262" s="9">
        <v>598648</v>
      </c>
      <c r="AV262" s="9">
        <v>493885</v>
      </c>
      <c r="AW262" s="9">
        <v>138335</v>
      </c>
      <c r="AX262" s="9">
        <v>582531.02683389105</v>
      </c>
      <c r="AY262" s="9">
        <v>480588</v>
      </c>
      <c r="AZ262" s="28">
        <v>139775</v>
      </c>
      <c r="BA262" s="9">
        <v>643874.47</v>
      </c>
      <c r="BB262" s="9">
        <v>531196</v>
      </c>
      <c r="BC262" s="9">
        <v>139775</v>
      </c>
      <c r="BD262" s="9">
        <v>580639.88</v>
      </c>
      <c r="BE262" s="9">
        <v>479028</v>
      </c>
      <c r="BF262" s="9">
        <v>141065</v>
      </c>
      <c r="BG262" s="9">
        <v>687426.26</v>
      </c>
      <c r="BH262" s="9">
        <v>567127</v>
      </c>
      <c r="BI262" s="9">
        <v>143705</v>
      </c>
      <c r="BJ262" s="9">
        <v>751366.82</v>
      </c>
      <c r="BK262" s="9">
        <v>619878</v>
      </c>
      <c r="BL262" s="9">
        <v>146165</v>
      </c>
      <c r="BM262" s="9"/>
      <c r="BN262" s="9"/>
      <c r="BO262" s="9"/>
      <c r="BP262" s="9"/>
      <c r="BQ262" s="9"/>
      <c r="BR262" s="9"/>
      <c r="BS262" s="9"/>
      <c r="BT262" s="9"/>
      <c r="BU262" s="9"/>
    </row>
    <row r="263" spans="1:73">
      <c r="A263" s="6">
        <v>254</v>
      </c>
      <c r="B263" s="6" t="s">
        <v>1372</v>
      </c>
      <c r="C263" s="421">
        <v>17.5</v>
      </c>
      <c r="D263" s="9">
        <v>0</v>
      </c>
      <c r="E263" s="33">
        <v>0</v>
      </c>
      <c r="F263" s="9">
        <v>0</v>
      </c>
      <c r="G263" s="9">
        <v>0</v>
      </c>
      <c r="H263" s="9">
        <v>0</v>
      </c>
      <c r="I263" s="9">
        <v>0</v>
      </c>
      <c r="J263" s="9">
        <v>0</v>
      </c>
      <c r="K263" s="9">
        <v>0</v>
      </c>
      <c r="L263" s="9">
        <v>0</v>
      </c>
      <c r="M263" s="9">
        <v>0</v>
      </c>
      <c r="N263" s="9">
        <v>0</v>
      </c>
      <c r="O263" s="9">
        <v>0</v>
      </c>
      <c r="P263" s="9">
        <v>0</v>
      </c>
      <c r="Q263" s="9">
        <v>0</v>
      </c>
      <c r="R263" s="9">
        <v>0</v>
      </c>
      <c r="S263" s="9">
        <v>0</v>
      </c>
      <c r="T263" s="9">
        <v>0</v>
      </c>
      <c r="U263" s="9">
        <v>0</v>
      </c>
      <c r="V263" s="9">
        <v>0</v>
      </c>
      <c r="W263" s="9">
        <v>0</v>
      </c>
      <c r="X263" s="9">
        <v>0</v>
      </c>
      <c r="Y263" s="9">
        <v>0</v>
      </c>
      <c r="Z263" s="9">
        <v>0</v>
      </c>
      <c r="AA263" s="9">
        <v>0</v>
      </c>
      <c r="AB263" s="9">
        <v>0</v>
      </c>
      <c r="AC263" s="9">
        <v>0</v>
      </c>
      <c r="AD263" s="9">
        <v>0</v>
      </c>
      <c r="AE263" s="9">
        <v>0</v>
      </c>
      <c r="AF263" s="9">
        <v>0</v>
      </c>
      <c r="AG263" s="9">
        <v>0</v>
      </c>
      <c r="AH263" s="9">
        <f>0+25266</f>
        <v>25266</v>
      </c>
      <c r="AI263" s="9">
        <v>66468.098199999993</v>
      </c>
      <c r="AJ263" s="9">
        <v>52584</v>
      </c>
      <c r="AK263" s="28">
        <v>25266</v>
      </c>
      <c r="AL263" s="9">
        <v>27029.435180000004</v>
      </c>
      <c r="AM263" s="9">
        <v>21899</v>
      </c>
      <c r="AN263" s="28">
        <v>25266</v>
      </c>
      <c r="AO263" s="9">
        <v>27164.907080000004</v>
      </c>
      <c r="AP263" s="9">
        <v>22563</v>
      </c>
      <c r="AQ263" s="28">
        <v>25266</v>
      </c>
      <c r="AR263" s="9">
        <v>69109.922267947739</v>
      </c>
      <c r="AS263" s="9">
        <v>57514</v>
      </c>
      <c r="AT263" s="28">
        <v>25266</v>
      </c>
      <c r="AU263" s="9">
        <v>42624.152879999994</v>
      </c>
      <c r="AV263" s="9">
        <v>35165</v>
      </c>
      <c r="AW263" s="9">
        <v>25266</v>
      </c>
      <c r="AX263" s="9">
        <v>103785.9218574735</v>
      </c>
      <c r="AY263" s="9">
        <v>85623</v>
      </c>
      <c r="AZ263" s="28">
        <v>25266</v>
      </c>
      <c r="BA263" s="9">
        <v>105768.04224000001</v>
      </c>
      <c r="BB263" s="9">
        <v>87259</v>
      </c>
      <c r="BC263" s="9">
        <v>25266</v>
      </c>
      <c r="BD263" s="9">
        <v>107793.08546999999</v>
      </c>
      <c r="BE263" s="9">
        <v>88929</v>
      </c>
      <c r="BF263" s="9">
        <v>25476</v>
      </c>
      <c r="BG263" s="9">
        <v>145589.63310000001</v>
      </c>
      <c r="BH263" s="9">
        <v>110941</v>
      </c>
      <c r="BI263" s="9">
        <v>34649</v>
      </c>
      <c r="BJ263" s="9">
        <v>102026.38446</v>
      </c>
      <c r="BK263" s="9">
        <v>75107</v>
      </c>
      <c r="BL263" s="9">
        <v>34649</v>
      </c>
      <c r="BM263" s="9"/>
      <c r="BN263" s="9"/>
      <c r="BO263" s="9"/>
      <c r="BP263" s="9"/>
      <c r="BQ263" s="9"/>
      <c r="BR263" s="9"/>
      <c r="BS263" s="9"/>
      <c r="BT263" s="9"/>
      <c r="BU263" s="9"/>
    </row>
    <row r="264" spans="1:73">
      <c r="A264" s="6">
        <v>255</v>
      </c>
      <c r="B264" s="6" t="s">
        <v>1373</v>
      </c>
      <c r="C264" s="421">
        <v>44.23</v>
      </c>
      <c r="D264" s="9">
        <v>0</v>
      </c>
      <c r="E264" s="33">
        <v>0</v>
      </c>
      <c r="F264" s="9">
        <v>0</v>
      </c>
      <c r="G264" s="9">
        <v>0</v>
      </c>
      <c r="H264" s="9">
        <v>0</v>
      </c>
      <c r="I264" s="9">
        <v>0</v>
      </c>
      <c r="J264" s="9">
        <v>0</v>
      </c>
      <c r="K264" s="9">
        <v>0</v>
      </c>
      <c r="L264" s="9">
        <v>0</v>
      </c>
      <c r="M264" s="9">
        <v>0</v>
      </c>
      <c r="N264" s="9">
        <v>0</v>
      </c>
      <c r="O264" s="9">
        <v>0</v>
      </c>
      <c r="P264" s="9">
        <v>0</v>
      </c>
      <c r="Q264" s="9">
        <v>0</v>
      </c>
      <c r="R264" s="9">
        <v>0</v>
      </c>
      <c r="S264" s="9">
        <v>0</v>
      </c>
      <c r="T264" s="9">
        <v>0</v>
      </c>
      <c r="U264" s="9">
        <v>0</v>
      </c>
      <c r="V264" s="9">
        <v>0</v>
      </c>
      <c r="W264" s="9">
        <v>0</v>
      </c>
      <c r="X264" s="9">
        <v>0</v>
      </c>
      <c r="Y264" s="9">
        <v>0</v>
      </c>
      <c r="Z264" s="9">
        <v>0</v>
      </c>
      <c r="AA264" s="9">
        <v>0</v>
      </c>
      <c r="AB264" s="9">
        <v>0</v>
      </c>
      <c r="AC264" s="9">
        <v>0</v>
      </c>
      <c r="AD264" s="9">
        <v>0</v>
      </c>
      <c r="AE264" s="9">
        <v>0</v>
      </c>
      <c r="AF264" s="9">
        <v>0</v>
      </c>
      <c r="AG264" s="9">
        <v>0</v>
      </c>
      <c r="AH264" s="9">
        <v>0</v>
      </c>
      <c r="AI264" s="9">
        <v>0</v>
      </c>
      <c r="AJ264" s="9">
        <v>0</v>
      </c>
      <c r="AK264" s="28">
        <v>0</v>
      </c>
      <c r="AL264" s="9">
        <v>0</v>
      </c>
      <c r="AM264" s="9">
        <v>0</v>
      </c>
      <c r="AN264" s="28">
        <v>0</v>
      </c>
      <c r="AO264" s="9">
        <v>0</v>
      </c>
      <c r="AP264" s="9">
        <v>0</v>
      </c>
      <c r="AQ264" s="28">
        <v>0</v>
      </c>
      <c r="AR264" s="9">
        <v>0</v>
      </c>
      <c r="AS264" s="9">
        <v>0</v>
      </c>
      <c r="AT264" s="28">
        <v>0</v>
      </c>
      <c r="AU264" s="9">
        <v>0</v>
      </c>
      <c r="AV264" s="9">
        <v>0</v>
      </c>
      <c r="AW264" s="9">
        <v>0</v>
      </c>
      <c r="AX264" s="9">
        <v>0</v>
      </c>
      <c r="AY264" s="9">
        <v>0</v>
      </c>
      <c r="AZ264" s="28">
        <v>0</v>
      </c>
      <c r="BA264" s="9">
        <v>0</v>
      </c>
      <c r="BB264" s="9">
        <v>0</v>
      </c>
      <c r="BC264" s="9">
        <v>0</v>
      </c>
      <c r="BD264" s="9">
        <v>0</v>
      </c>
      <c r="BE264" s="9">
        <v>0</v>
      </c>
      <c r="BF264" s="9">
        <v>0</v>
      </c>
      <c r="BG264" s="9">
        <v>0</v>
      </c>
      <c r="BH264" s="9">
        <v>0</v>
      </c>
      <c r="BI264" s="9">
        <v>0</v>
      </c>
      <c r="BJ264" s="9">
        <v>0</v>
      </c>
      <c r="BK264" s="9">
        <v>0</v>
      </c>
      <c r="BL264" s="9">
        <v>0</v>
      </c>
      <c r="BM264" s="9"/>
      <c r="BN264" s="9"/>
      <c r="BO264" s="9"/>
      <c r="BP264" s="9"/>
      <c r="BQ264" s="9"/>
      <c r="BR264" s="9"/>
      <c r="BS264" s="9"/>
      <c r="BT264" s="9"/>
      <c r="BU264" s="9"/>
    </row>
    <row r="265" spans="1:73">
      <c r="A265" s="6">
        <v>256</v>
      </c>
      <c r="B265" s="6" t="s">
        <v>1374</v>
      </c>
      <c r="C265" s="421">
        <v>55.3</v>
      </c>
      <c r="D265" s="9">
        <v>244989</v>
      </c>
      <c r="E265" s="33">
        <v>94511</v>
      </c>
      <c r="F265" s="9">
        <v>150478</v>
      </c>
      <c r="G265" s="9">
        <v>183566.83</v>
      </c>
      <c r="H265" s="9">
        <v>77676</v>
      </c>
      <c r="I265" s="9">
        <v>151228</v>
      </c>
      <c r="J265" s="9">
        <v>226187.09</v>
      </c>
      <c r="K265" s="9">
        <v>88946</v>
      </c>
      <c r="L265" s="9">
        <v>178215</v>
      </c>
      <c r="M265" s="9">
        <v>225960.41</v>
      </c>
      <c r="N265" s="9">
        <v>85118</v>
      </c>
      <c r="O265" s="9">
        <v>179065</v>
      </c>
      <c r="P265" s="9">
        <v>0</v>
      </c>
      <c r="Q265" s="9">
        <v>232829.66715406702</v>
      </c>
      <c r="R265" s="9">
        <v>86171</v>
      </c>
      <c r="S265" s="9">
        <v>175484</v>
      </c>
      <c r="T265" s="9">
        <v>0</v>
      </c>
      <c r="U265" s="9">
        <v>191599.70616</v>
      </c>
      <c r="V265" s="9">
        <v>75063</v>
      </c>
      <c r="W265" s="9">
        <v>168465</v>
      </c>
      <c r="X265" s="9">
        <v>0</v>
      </c>
      <c r="Y265" s="9">
        <v>0</v>
      </c>
      <c r="Z265" s="9">
        <v>207260.47</v>
      </c>
      <c r="AA265" s="9">
        <v>79133</v>
      </c>
      <c r="AB265" s="9">
        <v>168465</v>
      </c>
      <c r="AC265" s="9">
        <v>189431.25</v>
      </c>
      <c r="AD265" s="9">
        <v>72090</v>
      </c>
      <c r="AE265" s="9">
        <v>168465</v>
      </c>
      <c r="AF265" s="9">
        <v>205261.50999999998</v>
      </c>
      <c r="AG265" s="9">
        <v>81982</v>
      </c>
      <c r="AH265" s="9">
        <v>168465</v>
      </c>
      <c r="AI265" s="9">
        <v>220031.55</v>
      </c>
      <c r="AJ265" s="9">
        <v>83474</v>
      </c>
      <c r="AK265" s="28">
        <v>168465</v>
      </c>
      <c r="AL265" s="9">
        <v>210131.86</v>
      </c>
      <c r="AM265" s="9">
        <v>84199</v>
      </c>
      <c r="AN265" s="28">
        <v>168465</v>
      </c>
      <c r="AO265" s="9">
        <v>236011.40000000002</v>
      </c>
      <c r="AP265" s="9">
        <v>100692</v>
      </c>
      <c r="AQ265" s="28">
        <v>168465</v>
      </c>
      <c r="AR265" s="9">
        <v>240301.01604183207</v>
      </c>
      <c r="AS265" s="9">
        <v>93424</v>
      </c>
      <c r="AT265" s="28">
        <v>168465</v>
      </c>
      <c r="AU265" s="9">
        <v>289210.46999999997</v>
      </c>
      <c r="AV265" s="9">
        <v>105564</v>
      </c>
      <c r="AW265" s="9">
        <v>183646</v>
      </c>
      <c r="AX265" s="9">
        <v>314603.33724281075</v>
      </c>
      <c r="AY265" s="9">
        <v>115978</v>
      </c>
      <c r="AZ265" s="28">
        <v>198625</v>
      </c>
      <c r="BA265" s="9">
        <v>335521.82</v>
      </c>
      <c r="BB265" s="9">
        <v>128757</v>
      </c>
      <c r="BC265" s="9">
        <v>206765</v>
      </c>
      <c r="BD265" s="9">
        <v>357110.16</v>
      </c>
      <c r="BE265" s="9">
        <v>152804</v>
      </c>
      <c r="BF265" s="9">
        <v>207425</v>
      </c>
      <c r="BG265" s="9">
        <v>327675.83999999997</v>
      </c>
      <c r="BH265" s="9">
        <v>136549</v>
      </c>
      <c r="BI265" s="9">
        <v>207425</v>
      </c>
      <c r="BJ265" s="9">
        <v>344095.56</v>
      </c>
      <c r="BK265" s="9">
        <v>136909</v>
      </c>
      <c r="BL265" s="9">
        <v>207425</v>
      </c>
      <c r="BM265" s="9"/>
      <c r="BN265" s="9"/>
      <c r="BO265" s="9"/>
      <c r="BP265" s="9"/>
      <c r="BQ265" s="9"/>
      <c r="BR265" s="9"/>
      <c r="BS265" s="9"/>
      <c r="BT265" s="9"/>
      <c r="BU265" s="9"/>
    </row>
    <row r="266" spans="1:73">
      <c r="A266" s="6">
        <v>257</v>
      </c>
      <c r="B266" s="6" t="s">
        <v>1375</v>
      </c>
      <c r="C266" s="421">
        <v>51.84</v>
      </c>
      <c r="D266" s="9">
        <v>9796</v>
      </c>
      <c r="E266" s="33">
        <v>4598</v>
      </c>
      <c r="F266" s="9">
        <v>8945.2000000000007</v>
      </c>
      <c r="G266" s="9">
        <v>10849.66</v>
      </c>
      <c r="H266" s="9">
        <v>4565</v>
      </c>
      <c r="I266" s="9">
        <v>9555.2000000000007</v>
      </c>
      <c r="J266" s="9">
        <v>11355.27</v>
      </c>
      <c r="K266" s="9">
        <v>4214</v>
      </c>
      <c r="L266" s="9">
        <v>9848.2000000000007</v>
      </c>
      <c r="M266" s="9">
        <v>11943.49</v>
      </c>
      <c r="N266" s="9">
        <v>4379</v>
      </c>
      <c r="O266" s="9">
        <v>10197.200000000001</v>
      </c>
      <c r="P266" s="9">
        <v>0</v>
      </c>
      <c r="Q266" s="9">
        <v>0</v>
      </c>
      <c r="R266" s="9">
        <v>0</v>
      </c>
      <c r="S266" s="9">
        <v>9993</v>
      </c>
      <c r="T266" s="9">
        <v>0</v>
      </c>
      <c r="U266" s="9">
        <v>0</v>
      </c>
      <c r="V266" s="9">
        <v>0</v>
      </c>
      <c r="W266" s="9">
        <v>0</v>
      </c>
      <c r="X266" s="9">
        <v>0</v>
      </c>
      <c r="Y266" s="9">
        <v>0</v>
      </c>
      <c r="Z266" s="9">
        <v>0</v>
      </c>
      <c r="AA266" s="9">
        <v>0</v>
      </c>
      <c r="AB266" s="9">
        <v>0</v>
      </c>
      <c r="AC266" s="9">
        <v>0</v>
      </c>
      <c r="AD266" s="9">
        <v>0</v>
      </c>
      <c r="AE266" s="9">
        <v>0</v>
      </c>
      <c r="AF266" s="9">
        <v>0</v>
      </c>
      <c r="AG266" s="9">
        <v>0</v>
      </c>
      <c r="AH266" s="9">
        <v>0</v>
      </c>
      <c r="AI266" s="9">
        <v>0</v>
      </c>
      <c r="AJ266" s="9">
        <v>0</v>
      </c>
      <c r="AK266" s="28">
        <v>0</v>
      </c>
      <c r="AL266" s="9">
        <v>13199.960000000001</v>
      </c>
      <c r="AM266" s="9">
        <v>5917</v>
      </c>
      <c r="AN266" s="28">
        <v>7283</v>
      </c>
      <c r="AO266" s="9">
        <v>0</v>
      </c>
      <c r="AP266" s="9">
        <v>0</v>
      </c>
      <c r="AQ266" s="28">
        <v>0</v>
      </c>
      <c r="AR266" s="9">
        <v>0</v>
      </c>
      <c r="AS266" s="9">
        <v>0</v>
      </c>
      <c r="AT266" s="28">
        <v>0</v>
      </c>
      <c r="AU266" s="9">
        <v>0</v>
      </c>
      <c r="AV266" s="9">
        <v>0</v>
      </c>
      <c r="AW266" s="9">
        <v>0</v>
      </c>
      <c r="AX266" s="9">
        <v>0</v>
      </c>
      <c r="AY266" s="9">
        <v>0</v>
      </c>
      <c r="AZ266" s="28">
        <v>0</v>
      </c>
      <c r="BA266" s="9">
        <v>0</v>
      </c>
      <c r="BB266" s="9">
        <v>0</v>
      </c>
      <c r="BC266" s="9">
        <v>0</v>
      </c>
      <c r="BD266" s="9">
        <v>0</v>
      </c>
      <c r="BE266" s="9">
        <v>0</v>
      </c>
      <c r="BF266" s="9">
        <v>0</v>
      </c>
      <c r="BG266" s="9">
        <v>0</v>
      </c>
      <c r="BH266" s="9">
        <v>0</v>
      </c>
      <c r="BI266" s="9">
        <v>0</v>
      </c>
      <c r="BJ266" s="9">
        <v>0</v>
      </c>
      <c r="BK266" s="9">
        <v>0</v>
      </c>
      <c r="BL266" s="9">
        <v>0</v>
      </c>
      <c r="BM266" s="9"/>
      <c r="BN266" s="9"/>
      <c r="BO266" s="9"/>
      <c r="BP266" s="9"/>
      <c r="BQ266" s="9"/>
      <c r="BR266" s="9"/>
      <c r="BS266" s="9"/>
      <c r="BT266" s="9"/>
      <c r="BU266" s="9"/>
    </row>
    <row r="267" spans="1:73">
      <c r="A267" s="6">
        <v>258</v>
      </c>
      <c r="B267" s="6" t="s">
        <v>1376</v>
      </c>
      <c r="C267" s="421">
        <v>29.24</v>
      </c>
      <c r="D267" s="9">
        <v>39985833</v>
      </c>
      <c r="E267" s="33">
        <v>29992288</v>
      </c>
      <c r="F267" s="9">
        <v>10536329.999999998</v>
      </c>
      <c r="G267" s="9">
        <v>42136154.640000001</v>
      </c>
      <c r="H267" s="9">
        <v>30487993</v>
      </c>
      <c r="I267" s="9">
        <v>11648162</v>
      </c>
      <c r="J267" s="9">
        <v>42852484.075050555</v>
      </c>
      <c r="K267" s="9">
        <v>30556126</v>
      </c>
      <c r="L267" s="9">
        <v>12876914</v>
      </c>
      <c r="M267" s="9">
        <v>44915008.079999983</v>
      </c>
      <c r="N267" s="9">
        <v>30543822</v>
      </c>
      <c r="O267" s="9">
        <v>12859851</v>
      </c>
      <c r="P267" s="9">
        <v>1511335</v>
      </c>
      <c r="Q267" s="9">
        <v>47512497.335793309</v>
      </c>
      <c r="R267" s="9">
        <v>30403931</v>
      </c>
      <c r="S267" s="9">
        <v>14083762</v>
      </c>
      <c r="T267" s="9">
        <v>3024804</v>
      </c>
      <c r="U267" s="9">
        <v>47422424.260079995</v>
      </c>
      <c r="V267" s="9">
        <v>30121364</v>
      </c>
      <c r="W267" s="9">
        <v>16969097</v>
      </c>
      <c r="X267" s="9">
        <v>91098</v>
      </c>
      <c r="Y267" s="9">
        <v>240865</v>
      </c>
      <c r="Z267" s="9">
        <v>49075889.510000005</v>
      </c>
      <c r="AA267" s="9">
        <v>30553623</v>
      </c>
      <c r="AB267" s="9">
        <v>18522267</v>
      </c>
      <c r="AC267" s="9">
        <v>51691291.730000004</v>
      </c>
      <c r="AD267" s="9">
        <v>31398532</v>
      </c>
      <c r="AE267" s="9">
        <v>20759584.19116275</v>
      </c>
      <c r="AF267" s="9">
        <v>51136476.850000001</v>
      </c>
      <c r="AG267" s="9">
        <v>31823721</v>
      </c>
      <c r="AH267" s="9">
        <f>20879459.1911628+134752</f>
        <v>21014211.191162799</v>
      </c>
      <c r="AI267" s="9">
        <v>52070759.630000003</v>
      </c>
      <c r="AJ267" s="9">
        <v>31881386</v>
      </c>
      <c r="AK267" s="28">
        <v>21231627.191162799</v>
      </c>
      <c r="AL267" s="9">
        <v>52542429.829999998</v>
      </c>
      <c r="AM267" s="9">
        <v>31669846</v>
      </c>
      <c r="AN267" s="28">
        <v>21348402.191162799</v>
      </c>
      <c r="AO267" s="9">
        <v>52561026.710000008</v>
      </c>
      <c r="AP267" s="9">
        <v>31386760</v>
      </c>
      <c r="AQ267" s="28">
        <v>21600632.191162799</v>
      </c>
      <c r="AR267" s="9">
        <v>52768572.013673805</v>
      </c>
      <c r="AS267" s="9">
        <v>32317455</v>
      </c>
      <c r="AT267" s="28">
        <v>21736742.191162799</v>
      </c>
      <c r="AU267" s="9">
        <v>54862156.089999996</v>
      </c>
      <c r="AV267" s="9">
        <v>33573950</v>
      </c>
      <c r="AW267" s="9">
        <v>21872762</v>
      </c>
      <c r="AX267" s="9">
        <v>59983631.397195973</v>
      </c>
      <c r="AY267" s="9">
        <v>34176479</v>
      </c>
      <c r="AZ267" s="28">
        <v>25807152</v>
      </c>
      <c r="BA267" s="9">
        <v>59442159.61999999</v>
      </c>
      <c r="BB267" s="9">
        <v>35764101</v>
      </c>
      <c r="BC267" s="9">
        <v>25807152</v>
      </c>
      <c r="BD267" s="9">
        <v>59973101.910000004</v>
      </c>
      <c r="BE267" s="9">
        <v>36940239</v>
      </c>
      <c r="BF267" s="9">
        <v>25936602</v>
      </c>
      <c r="BG267" s="9">
        <v>62736825.24000001</v>
      </c>
      <c r="BH267" s="9">
        <v>39750153</v>
      </c>
      <c r="BI267" s="9">
        <v>26184942</v>
      </c>
      <c r="BJ267" s="9">
        <v>69935642.150000006</v>
      </c>
      <c r="BK267" s="9">
        <v>42479762</v>
      </c>
      <c r="BL267" s="9">
        <v>27455880</v>
      </c>
      <c r="BM267" s="9"/>
      <c r="BN267" s="9"/>
      <c r="BO267" s="9"/>
      <c r="BP267" s="9"/>
      <c r="BQ267" s="9"/>
      <c r="BR267" s="9"/>
      <c r="BS267" s="9"/>
      <c r="BT267" s="9"/>
      <c r="BU267" s="9"/>
    </row>
    <row r="268" spans="1:73">
      <c r="A268" s="6">
        <v>259</v>
      </c>
      <c r="B268" s="6" t="s">
        <v>1377</v>
      </c>
      <c r="C268" s="421">
        <v>17.5</v>
      </c>
      <c r="D268" s="9">
        <v>0</v>
      </c>
      <c r="E268" s="33">
        <v>0</v>
      </c>
      <c r="F268" s="9">
        <v>0</v>
      </c>
      <c r="G268" s="9">
        <v>0</v>
      </c>
      <c r="H268" s="9">
        <v>0</v>
      </c>
      <c r="I268" s="9">
        <v>0</v>
      </c>
      <c r="J268" s="9">
        <v>0</v>
      </c>
      <c r="K268" s="9">
        <v>0</v>
      </c>
      <c r="L268" s="9">
        <v>0</v>
      </c>
      <c r="M268" s="9">
        <v>0</v>
      </c>
      <c r="N268" s="9">
        <v>0</v>
      </c>
      <c r="O268" s="9">
        <v>0</v>
      </c>
      <c r="P268" s="9">
        <v>0</v>
      </c>
      <c r="Q268" s="9">
        <v>0</v>
      </c>
      <c r="R268" s="9">
        <v>0</v>
      </c>
      <c r="S268" s="9">
        <v>0</v>
      </c>
      <c r="T268" s="9">
        <v>0</v>
      </c>
      <c r="U268" s="9">
        <v>0</v>
      </c>
      <c r="V268" s="9">
        <v>0</v>
      </c>
      <c r="W268" s="9">
        <v>0</v>
      </c>
      <c r="X268" s="9">
        <v>0</v>
      </c>
      <c r="Y268" s="9">
        <v>0</v>
      </c>
      <c r="Z268" s="9">
        <v>0</v>
      </c>
      <c r="AA268" s="9">
        <v>0</v>
      </c>
      <c r="AB268" s="9">
        <v>0</v>
      </c>
      <c r="AC268" s="9">
        <v>0</v>
      </c>
      <c r="AD268" s="9">
        <v>0</v>
      </c>
      <c r="AE268" s="9">
        <v>0</v>
      </c>
      <c r="AF268" s="9">
        <v>0</v>
      </c>
      <c r="AG268" s="9">
        <v>0</v>
      </c>
      <c r="AH268" s="9">
        <f>0+33688</f>
        <v>33688</v>
      </c>
      <c r="AI268" s="9">
        <v>52019.6</v>
      </c>
      <c r="AJ268" s="9">
        <v>44990</v>
      </c>
      <c r="AK268" s="28">
        <v>33688</v>
      </c>
      <c r="AL268" s="9">
        <v>79199.760000000009</v>
      </c>
      <c r="AM268" s="9">
        <v>67740</v>
      </c>
      <c r="AN268" s="28">
        <v>33688</v>
      </c>
      <c r="AO268" s="9">
        <v>79025.52</v>
      </c>
      <c r="AP268" s="9">
        <v>66069</v>
      </c>
      <c r="AQ268" s="28">
        <v>33688</v>
      </c>
      <c r="AR268" s="9">
        <v>40250.500030768642</v>
      </c>
      <c r="AS268" s="9">
        <v>33612</v>
      </c>
      <c r="AT268" s="28">
        <v>33688</v>
      </c>
      <c r="AU268" s="9">
        <v>69185.8</v>
      </c>
      <c r="AV268" s="9">
        <v>57078</v>
      </c>
      <c r="AW268" s="9">
        <v>33688</v>
      </c>
      <c r="AX268" s="9">
        <v>14371.797255353356</v>
      </c>
      <c r="AY268" s="9">
        <v>11857</v>
      </c>
      <c r="AZ268" s="28">
        <v>14383</v>
      </c>
      <c r="BA268" s="9">
        <v>29315.599999999999</v>
      </c>
      <c r="BB268" s="9">
        <v>24185</v>
      </c>
      <c r="BC268" s="9">
        <v>14383</v>
      </c>
      <c r="BD268" s="9">
        <v>29905.56</v>
      </c>
      <c r="BE268" s="9">
        <v>24672</v>
      </c>
      <c r="BF268" s="9">
        <v>14443</v>
      </c>
      <c r="BG268" s="9">
        <v>31395.420000000002</v>
      </c>
      <c r="BH268" s="9">
        <v>24408</v>
      </c>
      <c r="BI268" s="9">
        <v>14443</v>
      </c>
      <c r="BJ268" s="9">
        <v>32981.520000000004</v>
      </c>
      <c r="BK268" s="9">
        <v>25025</v>
      </c>
      <c r="BL268" s="9">
        <v>14443</v>
      </c>
      <c r="BM268" s="9"/>
      <c r="BN268" s="9"/>
      <c r="BO268" s="9"/>
      <c r="BP268" s="9"/>
      <c r="BQ268" s="9"/>
      <c r="BR268" s="9"/>
      <c r="BS268" s="9"/>
      <c r="BT268" s="9"/>
      <c r="BU268" s="9"/>
    </row>
    <row r="269" spans="1:73">
      <c r="A269" s="6">
        <v>260</v>
      </c>
      <c r="B269" s="6" t="s">
        <v>1378</v>
      </c>
      <c r="C269" s="421">
        <v>17.5</v>
      </c>
      <c r="D269" s="9">
        <v>0</v>
      </c>
      <c r="E269" s="33">
        <v>0</v>
      </c>
      <c r="F269" s="9">
        <v>0</v>
      </c>
      <c r="G269" s="9">
        <v>0</v>
      </c>
      <c r="H269" s="9">
        <v>0</v>
      </c>
      <c r="I269" s="9">
        <v>0</v>
      </c>
      <c r="J269" s="9">
        <v>0</v>
      </c>
      <c r="K269" s="9">
        <v>0</v>
      </c>
      <c r="L269" s="9">
        <v>0</v>
      </c>
      <c r="M269" s="9">
        <v>0</v>
      </c>
      <c r="N269" s="9">
        <v>0</v>
      </c>
      <c r="O269" s="9">
        <v>0</v>
      </c>
      <c r="P269" s="9">
        <v>0</v>
      </c>
      <c r="Q269" s="9">
        <v>0</v>
      </c>
      <c r="R269" s="9">
        <v>0</v>
      </c>
      <c r="S269" s="9">
        <v>0</v>
      </c>
      <c r="T269" s="9">
        <v>0</v>
      </c>
      <c r="U269" s="9">
        <v>0</v>
      </c>
      <c r="V269" s="9">
        <v>0</v>
      </c>
      <c r="W269" s="9">
        <v>0</v>
      </c>
      <c r="X269" s="9">
        <v>0</v>
      </c>
      <c r="Y269" s="9">
        <v>0</v>
      </c>
      <c r="Z269" s="9">
        <v>0</v>
      </c>
      <c r="AA269" s="9">
        <v>0</v>
      </c>
      <c r="AB269" s="9">
        <v>0</v>
      </c>
      <c r="AC269" s="9">
        <v>0</v>
      </c>
      <c r="AD269" s="9">
        <v>0</v>
      </c>
      <c r="AE269" s="9">
        <v>0</v>
      </c>
      <c r="AF269" s="9">
        <v>0</v>
      </c>
      <c r="AG269" s="9">
        <v>0</v>
      </c>
      <c r="AH269" s="9">
        <v>0</v>
      </c>
      <c r="AI269" s="9">
        <v>0</v>
      </c>
      <c r="AJ269" s="9">
        <v>0</v>
      </c>
      <c r="AK269" s="28">
        <v>0</v>
      </c>
      <c r="AL269" s="9">
        <v>0</v>
      </c>
      <c r="AM269" s="9">
        <v>0</v>
      </c>
      <c r="AN269" s="28">
        <v>0</v>
      </c>
      <c r="AO269" s="9">
        <v>0</v>
      </c>
      <c r="AP269" s="9">
        <v>0</v>
      </c>
      <c r="AQ269" s="28">
        <v>0</v>
      </c>
      <c r="AR269" s="9">
        <v>0</v>
      </c>
      <c r="AS269" s="9">
        <v>0</v>
      </c>
      <c r="AT269" s="28">
        <v>0</v>
      </c>
      <c r="AU269" s="9">
        <v>0</v>
      </c>
      <c r="AV269" s="9">
        <v>0</v>
      </c>
      <c r="AW269" s="9">
        <v>0</v>
      </c>
      <c r="AX269" s="9">
        <v>0</v>
      </c>
      <c r="AY269" s="9">
        <v>0</v>
      </c>
      <c r="AZ269" s="28">
        <v>0</v>
      </c>
      <c r="BA269" s="9">
        <v>0</v>
      </c>
      <c r="BB269" s="9">
        <v>0</v>
      </c>
      <c r="BC269" s="9">
        <v>0</v>
      </c>
      <c r="BD269" s="9">
        <v>0</v>
      </c>
      <c r="BE269" s="9">
        <v>0</v>
      </c>
      <c r="BF269" s="9">
        <v>0</v>
      </c>
      <c r="BG269" s="9">
        <v>0</v>
      </c>
      <c r="BH269" s="9">
        <v>0</v>
      </c>
      <c r="BI269" s="9">
        <v>0</v>
      </c>
      <c r="BJ269" s="9">
        <v>0</v>
      </c>
      <c r="BK269" s="9">
        <v>0</v>
      </c>
      <c r="BL269" s="9">
        <v>0</v>
      </c>
      <c r="BM269" s="9"/>
      <c r="BN269" s="9"/>
      <c r="BO269" s="9"/>
      <c r="BP269" s="9"/>
      <c r="BQ269" s="9"/>
      <c r="BR269" s="9"/>
      <c r="BS269" s="9"/>
      <c r="BT269" s="9"/>
      <c r="BU269" s="9"/>
    </row>
    <row r="270" spans="1:73">
      <c r="A270" s="6">
        <v>261</v>
      </c>
      <c r="B270" s="6" t="s">
        <v>1379</v>
      </c>
      <c r="C270" s="421">
        <v>17.5</v>
      </c>
      <c r="D270" s="9">
        <v>27631550</v>
      </c>
      <c r="E270" s="33">
        <v>23236639</v>
      </c>
      <c r="F270" s="9">
        <v>5651356.0000000019</v>
      </c>
      <c r="G270" s="9">
        <v>28541824.359999999</v>
      </c>
      <c r="H270" s="9">
        <v>23538127</v>
      </c>
      <c r="I270" s="9">
        <v>6229598.0000000019</v>
      </c>
      <c r="J270" s="9">
        <v>29371842.072332684</v>
      </c>
      <c r="K270" s="9">
        <v>23681935</v>
      </c>
      <c r="L270" s="9">
        <v>6694018.0000000019</v>
      </c>
      <c r="M270" s="9">
        <v>29341477.619999997</v>
      </c>
      <c r="N270" s="9">
        <v>23800113</v>
      </c>
      <c r="O270" s="9">
        <v>6150491.0000000019</v>
      </c>
      <c r="P270" s="9">
        <v>722827</v>
      </c>
      <c r="Q270" s="9">
        <v>30244193.036922485</v>
      </c>
      <c r="R270" s="9">
        <v>24197825</v>
      </c>
      <c r="S270" s="9">
        <v>6735852</v>
      </c>
      <c r="T270" s="9">
        <v>0</v>
      </c>
      <c r="U270" s="9">
        <v>29670856.676279996</v>
      </c>
      <c r="V270" s="9">
        <v>24024554</v>
      </c>
      <c r="W270" s="9">
        <v>6342344</v>
      </c>
      <c r="X270" s="9">
        <v>34049</v>
      </c>
      <c r="Y270" s="9">
        <v>449184</v>
      </c>
      <c r="Z270" s="9">
        <v>28621462.630000006</v>
      </c>
      <c r="AA270" s="9">
        <v>24051894</v>
      </c>
      <c r="AB270" s="9">
        <v>6376393</v>
      </c>
      <c r="AC270" s="9">
        <v>29161934.479999997</v>
      </c>
      <c r="AD270" s="9">
        <v>24620229</v>
      </c>
      <c r="AE270" s="9">
        <v>6508793</v>
      </c>
      <c r="AF270" s="9">
        <v>28830810.450000003</v>
      </c>
      <c r="AG270" s="9">
        <v>24951122</v>
      </c>
      <c r="AH270" s="9">
        <v>6588268</v>
      </c>
      <c r="AI270" s="9">
        <v>28304004.249999989</v>
      </c>
      <c r="AJ270" s="9">
        <v>24542435</v>
      </c>
      <c r="AK270" s="28">
        <v>6665593</v>
      </c>
      <c r="AL270" s="9">
        <v>27987804.329999994</v>
      </c>
      <c r="AM270" s="9">
        <v>24211459</v>
      </c>
      <c r="AN270" s="28">
        <v>6740018</v>
      </c>
      <c r="AO270" s="9">
        <v>27982398.590000007</v>
      </c>
      <c r="AP270" s="9">
        <v>23359532</v>
      </c>
      <c r="AQ270" s="28">
        <v>6902818</v>
      </c>
      <c r="AR270" s="9">
        <v>28141702.856564838</v>
      </c>
      <c r="AS270" s="9">
        <v>23400169</v>
      </c>
      <c r="AT270" s="28">
        <v>6989398</v>
      </c>
      <c r="AU270" s="9">
        <v>27742486.25</v>
      </c>
      <c r="AV270" s="9">
        <v>22887551</v>
      </c>
      <c r="AW270" s="9">
        <v>7071628</v>
      </c>
      <c r="AX270" s="9">
        <v>28195096.030377951</v>
      </c>
      <c r="AY270" s="9">
        <v>23260955</v>
      </c>
      <c r="AZ270" s="28">
        <v>7151788</v>
      </c>
      <c r="BA270" s="9">
        <v>28550950.060000002</v>
      </c>
      <c r="BB270" s="9">
        <v>23554534</v>
      </c>
      <c r="BC270" s="9">
        <v>7151788</v>
      </c>
      <c r="BD270" s="9">
        <v>27638904.289999999</v>
      </c>
      <c r="BE270" s="9">
        <v>22802096</v>
      </c>
      <c r="BF270" s="9">
        <v>7226188</v>
      </c>
      <c r="BG270" s="9">
        <v>29279714.52</v>
      </c>
      <c r="BH270" s="9">
        <v>23596865</v>
      </c>
      <c r="BI270" s="9">
        <v>7371508</v>
      </c>
      <c r="BJ270" s="9">
        <v>29251950.23</v>
      </c>
      <c r="BK270" s="9">
        <v>24132859</v>
      </c>
      <c r="BL270" s="9">
        <v>7508068</v>
      </c>
      <c r="BM270" s="9"/>
      <c r="BN270" s="9"/>
      <c r="BO270" s="9"/>
      <c r="BP270" s="9"/>
      <c r="BQ270" s="9"/>
      <c r="BR270" s="9"/>
      <c r="BS270" s="9"/>
      <c r="BT270" s="9"/>
      <c r="BU270" s="9"/>
    </row>
    <row r="271" spans="1:73">
      <c r="A271" s="6">
        <v>262</v>
      </c>
      <c r="B271" s="6" t="s">
        <v>1380</v>
      </c>
      <c r="C271" s="421">
        <v>17.5</v>
      </c>
      <c r="D271" s="9">
        <v>22412040</v>
      </c>
      <c r="E271" s="33">
        <v>22359654</v>
      </c>
      <c r="F271" s="9">
        <v>3538314.4</v>
      </c>
      <c r="G271" s="9">
        <v>24160470.339740004</v>
      </c>
      <c r="H271" s="9">
        <v>22578923</v>
      </c>
      <c r="I271" s="9">
        <v>3844289.4</v>
      </c>
      <c r="J271" s="9">
        <v>24646309.885408901</v>
      </c>
      <c r="K271" s="9">
        <v>22714754</v>
      </c>
      <c r="L271" s="9">
        <v>3997139.4</v>
      </c>
      <c r="M271" s="9">
        <v>25756505.726459999</v>
      </c>
      <c r="N271" s="9">
        <v>22756006</v>
      </c>
      <c r="O271" s="9">
        <v>3750635.4</v>
      </c>
      <c r="P271" s="9">
        <v>440788</v>
      </c>
      <c r="Q271" s="9">
        <v>26465118.450756904</v>
      </c>
      <c r="R271" s="9">
        <v>22613204</v>
      </c>
      <c r="S271" s="9">
        <v>4107595</v>
      </c>
      <c r="T271" s="9">
        <v>0</v>
      </c>
      <c r="U271" s="9">
        <v>25120399.373848077</v>
      </c>
      <c r="V271" s="9">
        <v>22610471</v>
      </c>
      <c r="W271" s="9">
        <v>3867629</v>
      </c>
      <c r="X271" s="9">
        <v>20763</v>
      </c>
      <c r="Y271" s="9">
        <v>290803</v>
      </c>
      <c r="Z271" s="9">
        <v>25149470.265000004</v>
      </c>
      <c r="AA271" s="9">
        <v>22560247</v>
      </c>
      <c r="AB271" s="9">
        <v>3888392</v>
      </c>
      <c r="AC271" s="9">
        <v>26683232.319300003</v>
      </c>
      <c r="AD271" s="9">
        <v>22948688</v>
      </c>
      <c r="AE271" s="9">
        <v>4144389.7674957826</v>
      </c>
      <c r="AF271" s="9">
        <v>28162538.90636</v>
      </c>
      <c r="AG271" s="9">
        <v>23659244</v>
      </c>
      <c r="AH271" s="9">
        <f>4883463.0180176+202129</f>
        <v>5085592.0180176003</v>
      </c>
      <c r="AI271" s="9">
        <v>28469688.994549997</v>
      </c>
      <c r="AJ271" s="9">
        <v>23886601</v>
      </c>
      <c r="AK271" s="28">
        <v>5266627.0180176003</v>
      </c>
      <c r="AL271" s="9">
        <v>28704386.50144</v>
      </c>
      <c r="AM271" s="9">
        <v>24111062</v>
      </c>
      <c r="AN271" s="28">
        <v>5338002.0180176003</v>
      </c>
      <c r="AO271" s="9">
        <v>27795391.629999999</v>
      </c>
      <c r="AP271" s="9">
        <v>23261068</v>
      </c>
      <c r="AQ271" s="28">
        <v>5488812.0180176003</v>
      </c>
      <c r="AR271" s="9">
        <v>27708148.930856943</v>
      </c>
      <c r="AS271" s="9">
        <v>23048854</v>
      </c>
      <c r="AT271" s="28">
        <v>5569152.0180176003</v>
      </c>
      <c r="AU271" s="9">
        <v>28856877.780000001</v>
      </c>
      <c r="AV271" s="9">
        <v>23763905</v>
      </c>
      <c r="AW271" s="9">
        <v>5649702.0180176003</v>
      </c>
      <c r="AX271" s="9">
        <v>31417986.972791355</v>
      </c>
      <c r="AY271" s="9">
        <v>25343552</v>
      </c>
      <c r="AZ271" s="28">
        <v>6136490</v>
      </c>
      <c r="BA271" s="9">
        <v>33051187.879999995</v>
      </c>
      <c r="BB271" s="9">
        <v>26786282</v>
      </c>
      <c r="BC271" s="9">
        <v>6270812</v>
      </c>
      <c r="BD271" s="9">
        <v>31864908.979999997</v>
      </c>
      <c r="BE271" s="9">
        <v>26288549</v>
      </c>
      <c r="BF271" s="9">
        <v>6349172</v>
      </c>
      <c r="BG271" s="9">
        <v>37560632.350000001</v>
      </c>
      <c r="BH271" s="9">
        <v>28130603</v>
      </c>
      <c r="BI271" s="9">
        <v>9430029</v>
      </c>
      <c r="BJ271" s="9">
        <v>42085454.029999994</v>
      </c>
      <c r="BK271" s="9">
        <v>30096004</v>
      </c>
      <c r="BL271" s="9">
        <v>11989450</v>
      </c>
      <c r="BM271" s="9"/>
      <c r="BN271" s="9"/>
      <c r="BO271" s="9"/>
      <c r="BP271" s="9"/>
      <c r="BQ271" s="9"/>
      <c r="BR271" s="9"/>
      <c r="BS271" s="9"/>
      <c r="BT271" s="9"/>
      <c r="BU271" s="9"/>
    </row>
    <row r="272" spans="1:73">
      <c r="A272" s="6">
        <v>263</v>
      </c>
      <c r="B272" s="6" t="s">
        <v>1381</v>
      </c>
      <c r="C272" s="421">
        <v>19.11</v>
      </c>
      <c r="D272" s="9">
        <v>759317</v>
      </c>
      <c r="E272" s="33">
        <v>298094</v>
      </c>
      <c r="F272" s="9">
        <v>461223</v>
      </c>
      <c r="G272" s="9">
        <v>819788.07</v>
      </c>
      <c r="H272" s="9">
        <v>322710</v>
      </c>
      <c r="I272" s="9">
        <v>499459</v>
      </c>
      <c r="J272" s="9">
        <v>805305.56435198744</v>
      </c>
      <c r="K272" s="9">
        <v>325832</v>
      </c>
      <c r="L272" s="9">
        <v>504459</v>
      </c>
      <c r="M272" s="9">
        <v>842480.55</v>
      </c>
      <c r="N272" s="9">
        <v>336900</v>
      </c>
      <c r="O272" s="9">
        <v>471826</v>
      </c>
      <c r="P272" s="9">
        <v>55451</v>
      </c>
      <c r="Q272" s="9">
        <v>868256.36446315795</v>
      </c>
      <c r="R272" s="9">
        <v>341085</v>
      </c>
      <c r="S272" s="9">
        <v>516731</v>
      </c>
      <c r="T272" s="9">
        <v>10440</v>
      </c>
      <c r="U272" s="9">
        <v>771221.57736</v>
      </c>
      <c r="V272" s="9">
        <v>360142</v>
      </c>
      <c r="W272" s="9">
        <v>496374</v>
      </c>
      <c r="X272" s="9">
        <v>2665</v>
      </c>
      <c r="Y272" s="9">
        <v>30432</v>
      </c>
      <c r="Z272" s="9">
        <v>690277.05</v>
      </c>
      <c r="AA272" s="9">
        <v>333540</v>
      </c>
      <c r="AB272" s="9">
        <v>499039</v>
      </c>
      <c r="AC272" s="9">
        <v>695640.89999999991</v>
      </c>
      <c r="AD272" s="9">
        <v>312586</v>
      </c>
      <c r="AE272" s="9">
        <v>502079</v>
      </c>
      <c r="AF272" s="9">
        <v>593525.96</v>
      </c>
      <c r="AG272" s="9">
        <v>291675</v>
      </c>
      <c r="AH272" s="9">
        <v>503704</v>
      </c>
      <c r="AI272" s="9">
        <v>600300.83000000007</v>
      </c>
      <c r="AJ272" s="9">
        <v>298627</v>
      </c>
      <c r="AK272" s="28">
        <v>505329</v>
      </c>
      <c r="AL272" s="9">
        <v>592852.67000000004</v>
      </c>
      <c r="AM272" s="9">
        <v>321122</v>
      </c>
      <c r="AN272" s="28">
        <v>506879</v>
      </c>
      <c r="AO272" s="9">
        <v>644284.77</v>
      </c>
      <c r="AP272" s="9">
        <v>314279</v>
      </c>
      <c r="AQ272" s="28">
        <v>510509</v>
      </c>
      <c r="AR272" s="9">
        <v>634366.34950279677</v>
      </c>
      <c r="AS272" s="9">
        <v>316323</v>
      </c>
      <c r="AT272" s="28">
        <v>512309</v>
      </c>
      <c r="AU272" s="9">
        <v>668959.30000000005</v>
      </c>
      <c r="AV272" s="9">
        <v>357593</v>
      </c>
      <c r="AW272" s="9">
        <v>514049</v>
      </c>
      <c r="AX272" s="9">
        <v>751434.40349266853</v>
      </c>
      <c r="AY272" s="9">
        <v>362123</v>
      </c>
      <c r="AZ272" s="28">
        <v>515849</v>
      </c>
      <c r="BA272" s="9">
        <v>635304.58000000007</v>
      </c>
      <c r="BB272" s="9">
        <v>372887</v>
      </c>
      <c r="BC272" s="9">
        <v>515849</v>
      </c>
      <c r="BD272" s="9">
        <v>542332.33000000007</v>
      </c>
      <c r="BE272" s="9">
        <v>447424</v>
      </c>
      <c r="BF272" s="9">
        <v>517199</v>
      </c>
      <c r="BG272" s="9">
        <v>652497.02999999991</v>
      </c>
      <c r="BH272" s="9">
        <v>427939</v>
      </c>
      <c r="BI272" s="9">
        <v>519899</v>
      </c>
      <c r="BJ272" s="9">
        <v>576479.4</v>
      </c>
      <c r="BK272" s="9">
        <v>429924</v>
      </c>
      <c r="BL272" s="9">
        <v>522299</v>
      </c>
      <c r="BM272" s="9"/>
      <c r="BN272" s="9"/>
      <c r="BO272" s="9"/>
      <c r="BP272" s="9"/>
      <c r="BQ272" s="9"/>
      <c r="BR272" s="9"/>
      <c r="BS272" s="9"/>
      <c r="BT272" s="9"/>
      <c r="BU272" s="9"/>
    </row>
    <row r="273" spans="1:73">
      <c r="A273" s="6">
        <v>264</v>
      </c>
      <c r="B273" s="6" t="s">
        <v>1382</v>
      </c>
      <c r="C273" s="421">
        <v>17.5</v>
      </c>
      <c r="D273" s="9">
        <v>21888018</v>
      </c>
      <c r="E273" s="33">
        <v>18307200</v>
      </c>
      <c r="F273" s="9">
        <v>3580818</v>
      </c>
      <c r="G273" s="9">
        <v>23195983.650910005</v>
      </c>
      <c r="H273" s="9">
        <v>19230638</v>
      </c>
      <c r="I273" s="9">
        <v>3965346</v>
      </c>
      <c r="J273" s="9">
        <v>24538930.345499434</v>
      </c>
      <c r="K273" s="9">
        <v>20008979</v>
      </c>
      <c r="L273" s="9">
        <v>4529951</v>
      </c>
      <c r="M273" s="9">
        <v>26018135.560409993</v>
      </c>
      <c r="N273" s="9">
        <v>20809421</v>
      </c>
      <c r="O273" s="9">
        <v>4660944</v>
      </c>
      <c r="P273" s="9">
        <v>547771</v>
      </c>
      <c r="Q273" s="9">
        <v>26573232.383127034</v>
      </c>
      <c r="R273" s="9">
        <v>21922917</v>
      </c>
      <c r="S273" s="9">
        <v>5104541</v>
      </c>
      <c r="T273" s="9">
        <v>0</v>
      </c>
      <c r="U273" s="9">
        <v>26489575.520701922</v>
      </c>
      <c r="V273" s="9">
        <v>22264352</v>
      </c>
      <c r="W273" s="9">
        <v>4806334</v>
      </c>
      <c r="X273" s="9">
        <v>25802</v>
      </c>
      <c r="Y273" s="9">
        <v>351455</v>
      </c>
      <c r="Z273" s="9">
        <v>26874930.164800003</v>
      </c>
      <c r="AA273" s="9">
        <v>22799362</v>
      </c>
      <c r="AB273" s="9">
        <v>4832136</v>
      </c>
      <c r="AC273" s="9">
        <v>27918935.093200006</v>
      </c>
      <c r="AD273" s="9">
        <v>23462809</v>
      </c>
      <c r="AE273" s="9">
        <v>4957576</v>
      </c>
      <c r="AF273" s="9">
        <v>28025063.522399995</v>
      </c>
      <c r="AG273" s="9">
        <v>24028869</v>
      </c>
      <c r="AH273" s="9">
        <v>5034826</v>
      </c>
      <c r="AI273" s="9">
        <v>27783603.550999999</v>
      </c>
      <c r="AJ273" s="9">
        <v>23886438</v>
      </c>
      <c r="AK273" s="28">
        <v>5110701</v>
      </c>
      <c r="AL273" s="9">
        <v>28197733.99712</v>
      </c>
      <c r="AM273" s="9">
        <v>24057987</v>
      </c>
      <c r="AN273" s="28">
        <v>5185901</v>
      </c>
      <c r="AO273" s="9">
        <v>27740691.55742</v>
      </c>
      <c r="AP273" s="9">
        <v>23172735</v>
      </c>
      <c r="AQ273" s="28">
        <v>5346391</v>
      </c>
      <c r="AR273" s="9">
        <v>28537003.198598668</v>
      </c>
      <c r="AS273" s="9">
        <v>23614603</v>
      </c>
      <c r="AT273" s="28">
        <v>5434351</v>
      </c>
      <c r="AU273" s="9">
        <v>29192076.879900001</v>
      </c>
      <c r="AV273" s="9">
        <v>24083464</v>
      </c>
      <c r="AW273" s="9">
        <v>5521321</v>
      </c>
      <c r="AX273" s="9">
        <v>30755855.729239803</v>
      </c>
      <c r="AY273" s="9">
        <v>24906358</v>
      </c>
      <c r="AZ273" s="28">
        <v>5863240</v>
      </c>
      <c r="BA273" s="9">
        <v>32099035.583470002</v>
      </c>
      <c r="BB273" s="9">
        <v>26068183</v>
      </c>
      <c r="BC273" s="9">
        <v>6030853</v>
      </c>
      <c r="BD273" s="9">
        <v>30894315.612089995</v>
      </c>
      <c r="BE273" s="9">
        <v>25487810</v>
      </c>
      <c r="BF273" s="9">
        <v>6114553</v>
      </c>
      <c r="BG273" s="9">
        <v>32814594.939320002</v>
      </c>
      <c r="BH273" s="9">
        <v>26600278</v>
      </c>
      <c r="BI273" s="9">
        <v>6281773</v>
      </c>
      <c r="BJ273" s="9">
        <v>34295600.022</v>
      </c>
      <c r="BK273" s="9">
        <v>27754773</v>
      </c>
      <c r="BL273" s="9">
        <v>6540827</v>
      </c>
      <c r="BM273" s="9"/>
      <c r="BN273" s="9"/>
      <c r="BO273" s="9"/>
      <c r="BP273" s="9"/>
      <c r="BQ273" s="9"/>
      <c r="BR273" s="9"/>
      <c r="BS273" s="9"/>
      <c r="BT273" s="9"/>
      <c r="BU273" s="9"/>
    </row>
    <row r="274" spans="1:73">
      <c r="A274" s="6">
        <v>265</v>
      </c>
      <c r="B274" s="6" t="s">
        <v>1383</v>
      </c>
      <c r="C274" s="421">
        <v>24.39</v>
      </c>
      <c r="D274" s="9">
        <v>16068884</v>
      </c>
      <c r="E274" s="33">
        <v>14714809</v>
      </c>
      <c r="F274" s="9">
        <v>3044575.2</v>
      </c>
      <c r="G274" s="9">
        <v>16695154.580000002</v>
      </c>
      <c r="H274" s="9">
        <v>14553529</v>
      </c>
      <c r="I274" s="9">
        <v>3620014.2</v>
      </c>
      <c r="J274" s="9">
        <v>17298382.43925048</v>
      </c>
      <c r="K274" s="9">
        <v>14521219</v>
      </c>
      <c r="L274" s="9">
        <v>4210223.2</v>
      </c>
      <c r="M274" s="9">
        <v>17542753.499999996</v>
      </c>
      <c r="N274" s="9">
        <v>14157726</v>
      </c>
      <c r="O274" s="9">
        <v>4120766.2</v>
      </c>
      <c r="P274" s="9">
        <v>484287</v>
      </c>
      <c r="Q274" s="9">
        <v>18026023.068662196</v>
      </c>
      <c r="R274" s="9">
        <v>14305874</v>
      </c>
      <c r="S274" s="9">
        <v>4512952</v>
      </c>
      <c r="T274" s="9">
        <v>0</v>
      </c>
      <c r="U274" s="9">
        <v>17708321.343119998</v>
      </c>
      <c r="V274" s="9">
        <v>14225007</v>
      </c>
      <c r="W274" s="9">
        <v>4249306</v>
      </c>
      <c r="X274" s="9">
        <v>22812</v>
      </c>
      <c r="Y274" s="9">
        <v>293384</v>
      </c>
      <c r="Z274" s="9">
        <v>18141473.569999997</v>
      </c>
      <c r="AA274" s="9">
        <v>14541315</v>
      </c>
      <c r="AB274" s="9">
        <v>4272118</v>
      </c>
      <c r="AC274" s="9">
        <v>18781878.59</v>
      </c>
      <c r="AD274" s="9">
        <v>14551240</v>
      </c>
      <c r="AE274" s="9">
        <v>4595356.15655425</v>
      </c>
      <c r="AF274" s="9">
        <v>18801442.079999998</v>
      </c>
      <c r="AG274" s="9">
        <v>14822067</v>
      </c>
      <c r="AH274" s="9">
        <v>4787529.9737716876</v>
      </c>
      <c r="AI274" s="9">
        <v>18854298.620000001</v>
      </c>
      <c r="AJ274" s="9">
        <v>14466350</v>
      </c>
      <c r="AK274" s="28">
        <v>4931239.9737716876</v>
      </c>
      <c r="AL274" s="9">
        <v>18460114.679999996</v>
      </c>
      <c r="AM274" s="9">
        <v>14348947</v>
      </c>
      <c r="AN274" s="28">
        <v>4979514.9737716876</v>
      </c>
      <c r="AO274" s="9">
        <v>18466575.149999999</v>
      </c>
      <c r="AP274" s="9">
        <v>14127909</v>
      </c>
      <c r="AQ274" s="28">
        <v>5086214.9737716876</v>
      </c>
      <c r="AR274" s="9">
        <v>18642353.387814865</v>
      </c>
      <c r="AS274" s="9">
        <v>14172922</v>
      </c>
      <c r="AT274" s="28">
        <v>5143574.9737716876</v>
      </c>
      <c r="AU274" s="9">
        <v>20162615.929999996</v>
      </c>
      <c r="AV274" s="9">
        <v>14723649</v>
      </c>
      <c r="AW274" s="9">
        <v>5454099</v>
      </c>
      <c r="AX274" s="9">
        <v>21995792.007408068</v>
      </c>
      <c r="AY274" s="9">
        <v>15294251</v>
      </c>
      <c r="AZ274" s="28">
        <v>6705263</v>
      </c>
      <c r="BA274" s="9">
        <v>22173871.389999997</v>
      </c>
      <c r="BB274" s="9">
        <v>15952238</v>
      </c>
      <c r="BC274" s="9">
        <v>6705263</v>
      </c>
      <c r="BD274" s="9">
        <v>22858887.199999999</v>
      </c>
      <c r="BE274" s="9">
        <v>16514693</v>
      </c>
      <c r="BF274" s="9">
        <v>6766703</v>
      </c>
      <c r="BG274" s="9">
        <v>24525300.480000004</v>
      </c>
      <c r="BH274" s="9">
        <v>17348780</v>
      </c>
      <c r="BI274" s="9">
        <v>7176520</v>
      </c>
      <c r="BJ274" s="9">
        <v>25865534.950000003</v>
      </c>
      <c r="BK274" s="9">
        <v>18110661</v>
      </c>
      <c r="BL274" s="9">
        <v>7754874</v>
      </c>
      <c r="BM274" s="9"/>
      <c r="BN274" s="9"/>
      <c r="BO274" s="9"/>
      <c r="BP274" s="9"/>
      <c r="BQ274" s="9"/>
      <c r="BR274" s="9"/>
      <c r="BS274" s="9"/>
      <c r="BT274" s="9"/>
      <c r="BU274" s="9"/>
    </row>
    <row r="275" spans="1:73">
      <c r="A275" s="6">
        <v>266</v>
      </c>
      <c r="B275" s="6" t="s">
        <v>1384</v>
      </c>
      <c r="C275" s="421">
        <v>17.5</v>
      </c>
      <c r="D275" s="9">
        <v>24896987</v>
      </c>
      <c r="E275" s="33">
        <v>18670749</v>
      </c>
      <c r="F275" s="9">
        <v>6270630.0000000009</v>
      </c>
      <c r="G275" s="9">
        <v>26202037.429339994</v>
      </c>
      <c r="H275" s="9">
        <v>19586419</v>
      </c>
      <c r="I275" s="9">
        <v>6615618</v>
      </c>
      <c r="J275" s="9">
        <v>27015017.202182684</v>
      </c>
      <c r="K275" s="9">
        <v>20567259</v>
      </c>
      <c r="L275" s="9">
        <v>6785118</v>
      </c>
      <c r="M275" s="9">
        <v>28024961.712149993</v>
      </c>
      <c r="N275" s="9">
        <v>21309075</v>
      </c>
      <c r="O275" s="9">
        <v>6231888</v>
      </c>
      <c r="P275" s="9">
        <v>732394</v>
      </c>
      <c r="Q275" s="9">
        <v>28860669.078239046</v>
      </c>
      <c r="R275" s="9">
        <v>22028864</v>
      </c>
      <c r="S275" s="9">
        <v>6824996</v>
      </c>
      <c r="T275" s="9">
        <v>6809</v>
      </c>
      <c r="U275" s="9">
        <v>28790563.702690437</v>
      </c>
      <c r="V275" s="9">
        <v>22591942</v>
      </c>
      <c r="W275" s="9">
        <v>6432692</v>
      </c>
      <c r="X275" s="9">
        <v>34533</v>
      </c>
      <c r="Y275" s="9">
        <v>448580</v>
      </c>
      <c r="Z275" s="9">
        <v>29804844.627760001</v>
      </c>
      <c r="AA275" s="9">
        <v>23242013</v>
      </c>
      <c r="AB275" s="9">
        <v>6562832</v>
      </c>
      <c r="AC275" s="9">
        <v>30203331.846320003</v>
      </c>
      <c r="AD275" s="9">
        <v>24076220</v>
      </c>
      <c r="AE275" s="9">
        <v>6695952</v>
      </c>
      <c r="AF275" s="9">
        <v>31456583.212149996</v>
      </c>
      <c r="AG275" s="9">
        <v>24940038</v>
      </c>
      <c r="AH275" s="9">
        <v>6780652</v>
      </c>
      <c r="AI275" s="9">
        <v>31433647.07305</v>
      </c>
      <c r="AJ275" s="9">
        <v>25641123</v>
      </c>
      <c r="AK275" s="28">
        <v>6865177</v>
      </c>
      <c r="AL275" s="9">
        <v>32275546.17168</v>
      </c>
      <c r="AM275" s="9">
        <v>26573303</v>
      </c>
      <c r="AN275" s="28">
        <v>6950527</v>
      </c>
      <c r="AO275" s="9">
        <v>32581200.061299995</v>
      </c>
      <c r="AP275" s="9">
        <v>26421487</v>
      </c>
      <c r="AQ275" s="28">
        <v>7138517</v>
      </c>
      <c r="AR275" s="9">
        <v>33110463.782192025</v>
      </c>
      <c r="AS275" s="9">
        <v>27317316</v>
      </c>
      <c r="AT275" s="28">
        <v>7240547</v>
      </c>
      <c r="AU275" s="9">
        <v>34930860.248220004</v>
      </c>
      <c r="AV275" s="9">
        <v>28416519</v>
      </c>
      <c r="AW275" s="9">
        <v>7344287</v>
      </c>
      <c r="AX275" s="9">
        <v>37027112.382259734</v>
      </c>
      <c r="AY275" s="9">
        <v>29719389</v>
      </c>
      <c r="AZ275" s="28">
        <v>7449437</v>
      </c>
      <c r="BA275" s="9">
        <v>38206192.104400009</v>
      </c>
      <c r="BB275" s="9">
        <v>30736571</v>
      </c>
      <c r="BC275" s="9">
        <v>7469972</v>
      </c>
      <c r="BD275" s="9">
        <v>38638373.186679997</v>
      </c>
      <c r="BE275" s="9">
        <v>31062235</v>
      </c>
      <c r="BF275" s="9">
        <v>8528536</v>
      </c>
      <c r="BG275" s="9">
        <v>42035594.013680004</v>
      </c>
      <c r="BH275" s="9">
        <v>32315527</v>
      </c>
      <c r="BI275" s="9">
        <v>9720067</v>
      </c>
      <c r="BJ275" s="9">
        <v>44179615.271480002</v>
      </c>
      <c r="BK275" s="9">
        <v>33681121</v>
      </c>
      <c r="BL275" s="9">
        <v>10498494</v>
      </c>
      <c r="BM275" s="9"/>
      <c r="BN275" s="9"/>
      <c r="BO275" s="9"/>
      <c r="BP275" s="9"/>
      <c r="BQ275" s="9"/>
      <c r="BR275" s="9"/>
      <c r="BS275" s="9"/>
      <c r="BT275" s="9"/>
      <c r="BU275" s="9"/>
    </row>
    <row r="276" spans="1:73">
      <c r="A276" s="6">
        <v>267</v>
      </c>
      <c r="B276" s="6" t="s">
        <v>1385</v>
      </c>
      <c r="C276" s="421">
        <v>17.5</v>
      </c>
      <c r="D276" s="9">
        <v>19593</v>
      </c>
      <c r="E276" s="33">
        <v>10223</v>
      </c>
      <c r="F276" s="9">
        <v>9370</v>
      </c>
      <c r="G276" s="9">
        <v>43398.64</v>
      </c>
      <c r="H276" s="9">
        <v>32920</v>
      </c>
      <c r="I276" s="9">
        <v>14036</v>
      </c>
      <c r="J276" s="9">
        <v>45421.08</v>
      </c>
      <c r="K276" s="9">
        <v>40042</v>
      </c>
      <c r="L276" s="9">
        <v>14610</v>
      </c>
      <c r="M276" s="9">
        <v>35830.47</v>
      </c>
      <c r="N276" s="9">
        <v>28711</v>
      </c>
      <c r="O276" s="9">
        <v>14760</v>
      </c>
      <c r="P276" s="9">
        <v>0</v>
      </c>
      <c r="Q276" s="9">
        <v>36919.725014354073</v>
      </c>
      <c r="R276" s="9">
        <v>30951</v>
      </c>
      <c r="S276" s="9">
        <v>14465</v>
      </c>
      <c r="T276" s="9">
        <v>0</v>
      </c>
      <c r="U276" s="9">
        <v>24071.631359999999</v>
      </c>
      <c r="V276" s="9">
        <v>20857</v>
      </c>
      <c r="W276" s="9">
        <v>13886</v>
      </c>
      <c r="X276" s="9">
        <v>0</v>
      </c>
      <c r="Y276" s="9">
        <v>0</v>
      </c>
      <c r="Z276" s="9">
        <v>24500.14</v>
      </c>
      <c r="AA276" s="9">
        <v>21717</v>
      </c>
      <c r="AB276" s="9">
        <v>13886</v>
      </c>
      <c r="AC276" s="9">
        <v>50788.840000000004</v>
      </c>
      <c r="AD276" s="9">
        <v>46205</v>
      </c>
      <c r="AE276" s="9">
        <v>13886</v>
      </c>
      <c r="AF276" s="9">
        <v>64470.1</v>
      </c>
      <c r="AG276" s="9">
        <v>62545</v>
      </c>
      <c r="AH276" s="9">
        <v>13886</v>
      </c>
      <c r="AI276" s="9">
        <v>78029.39999999998</v>
      </c>
      <c r="AJ276" s="9">
        <v>70226</v>
      </c>
      <c r="AK276" s="28">
        <v>13886</v>
      </c>
      <c r="AL276" s="9">
        <v>92399.719999999987</v>
      </c>
      <c r="AM276" s="9">
        <v>80706</v>
      </c>
      <c r="AN276" s="28">
        <v>13886</v>
      </c>
      <c r="AO276" s="9">
        <v>105367.36000000002</v>
      </c>
      <c r="AP276" s="9">
        <v>88541</v>
      </c>
      <c r="AQ276" s="28">
        <v>16826</v>
      </c>
      <c r="AR276" s="9">
        <v>93917.833405126818</v>
      </c>
      <c r="AS276" s="9">
        <v>79039</v>
      </c>
      <c r="AT276" s="28">
        <v>16826</v>
      </c>
      <c r="AU276" s="9">
        <v>96860.12</v>
      </c>
      <c r="AV276" s="9">
        <v>79910</v>
      </c>
      <c r="AW276" s="9">
        <v>16950</v>
      </c>
      <c r="AX276" s="9">
        <v>0</v>
      </c>
      <c r="AY276" s="9">
        <v>0</v>
      </c>
      <c r="AZ276" s="28">
        <v>0</v>
      </c>
      <c r="BA276" s="9">
        <v>0</v>
      </c>
      <c r="BB276" s="9">
        <v>0</v>
      </c>
      <c r="BC276" s="9">
        <v>0</v>
      </c>
      <c r="BD276" s="9">
        <v>0</v>
      </c>
      <c r="BE276" s="9">
        <v>0</v>
      </c>
      <c r="BF276" s="9">
        <v>0</v>
      </c>
      <c r="BG276" s="9">
        <v>0</v>
      </c>
      <c r="BH276" s="9">
        <v>0</v>
      </c>
      <c r="BI276" s="9">
        <v>0</v>
      </c>
      <c r="BJ276" s="9">
        <v>65963.040000000008</v>
      </c>
      <c r="BK276" s="9">
        <v>51793</v>
      </c>
      <c r="BL276" s="9">
        <v>14170</v>
      </c>
      <c r="BM276" s="9"/>
      <c r="BN276" s="9"/>
      <c r="BO276" s="9"/>
      <c r="BP276" s="9"/>
      <c r="BQ276" s="9"/>
      <c r="BR276" s="9"/>
      <c r="BS276" s="9"/>
      <c r="BT276" s="9"/>
      <c r="BU276" s="9"/>
    </row>
    <row r="277" spans="1:73">
      <c r="A277" s="6">
        <v>268</v>
      </c>
      <c r="B277" s="6" t="s">
        <v>1386</v>
      </c>
      <c r="C277" s="421">
        <v>22.29</v>
      </c>
      <c r="D277" s="9">
        <v>0</v>
      </c>
      <c r="E277" s="33">
        <v>0</v>
      </c>
      <c r="F277" s="9">
        <v>0</v>
      </c>
      <c r="G277" s="9">
        <v>0</v>
      </c>
      <c r="H277" s="9">
        <v>0</v>
      </c>
      <c r="I277" s="9">
        <v>0</v>
      </c>
      <c r="J277" s="9">
        <v>0</v>
      </c>
      <c r="K277" s="9">
        <v>0</v>
      </c>
      <c r="L277" s="9">
        <v>0</v>
      </c>
      <c r="M277" s="9">
        <v>0</v>
      </c>
      <c r="N277" s="9">
        <v>0</v>
      </c>
      <c r="O277" s="9">
        <v>0</v>
      </c>
      <c r="P277" s="9">
        <v>0</v>
      </c>
      <c r="Q277" s="9">
        <v>0</v>
      </c>
      <c r="R277" s="9">
        <v>0</v>
      </c>
      <c r="S277" s="9">
        <v>0</v>
      </c>
      <c r="T277" s="9">
        <v>0</v>
      </c>
      <c r="U277" s="9">
        <v>12035.81568</v>
      </c>
      <c r="V277" s="9">
        <v>7620</v>
      </c>
      <c r="W277" s="9">
        <v>4416</v>
      </c>
      <c r="X277" s="9">
        <v>0</v>
      </c>
      <c r="Y277" s="9">
        <v>0</v>
      </c>
      <c r="Z277" s="9">
        <v>12250.07</v>
      </c>
      <c r="AA277" s="9">
        <v>7587</v>
      </c>
      <c r="AB277" s="9">
        <v>4663</v>
      </c>
      <c r="AC277" s="9">
        <v>12697.210000000001</v>
      </c>
      <c r="AD277" s="9">
        <v>8809</v>
      </c>
      <c r="AE277" s="9">
        <v>4663</v>
      </c>
      <c r="AF277" s="9">
        <v>12894.02</v>
      </c>
      <c r="AG277" s="9">
        <v>9180</v>
      </c>
      <c r="AH277" s="9">
        <v>4663</v>
      </c>
      <c r="AI277" s="9">
        <v>13004.9</v>
      </c>
      <c r="AJ277" s="9">
        <v>10008</v>
      </c>
      <c r="AK277" s="28">
        <v>4663</v>
      </c>
      <c r="AL277" s="9">
        <v>0</v>
      </c>
      <c r="AM277" s="9">
        <v>0</v>
      </c>
      <c r="AN277" s="28">
        <v>0</v>
      </c>
      <c r="AO277" s="9">
        <v>0</v>
      </c>
      <c r="AP277" s="9">
        <v>0</v>
      </c>
      <c r="AQ277" s="28">
        <v>0</v>
      </c>
      <c r="AR277" s="9">
        <v>0</v>
      </c>
      <c r="AS277" s="9">
        <v>0</v>
      </c>
      <c r="AT277" s="28">
        <v>0</v>
      </c>
      <c r="AU277" s="9">
        <v>13837.16</v>
      </c>
      <c r="AV277" s="9">
        <v>10789</v>
      </c>
      <c r="AW277" s="9">
        <v>3071</v>
      </c>
      <c r="AX277" s="9">
        <v>14371.797255353356</v>
      </c>
      <c r="AY277" s="9">
        <v>10195</v>
      </c>
      <c r="AZ277" s="28">
        <v>4177</v>
      </c>
      <c r="BA277" s="9">
        <v>14657.8</v>
      </c>
      <c r="BB277" s="9">
        <v>10057</v>
      </c>
      <c r="BC277" s="9">
        <v>4601</v>
      </c>
      <c r="BD277" s="9">
        <v>0</v>
      </c>
      <c r="BE277" s="9">
        <v>0</v>
      </c>
      <c r="BF277" s="9">
        <v>0</v>
      </c>
      <c r="BG277" s="9">
        <v>0</v>
      </c>
      <c r="BH277" s="9">
        <v>0</v>
      </c>
      <c r="BI277" s="9">
        <v>0</v>
      </c>
      <c r="BJ277" s="9">
        <v>0</v>
      </c>
      <c r="BK277" s="9">
        <v>0</v>
      </c>
      <c r="BL277" s="9">
        <v>0</v>
      </c>
      <c r="BM277" s="9"/>
      <c r="BN277" s="9"/>
      <c r="BO277" s="9"/>
      <c r="BP277" s="9"/>
      <c r="BQ277" s="9"/>
      <c r="BR277" s="9"/>
      <c r="BS277" s="9"/>
      <c r="BT277" s="9"/>
      <c r="BU277" s="9"/>
    </row>
    <row r="278" spans="1:73">
      <c r="A278" s="6">
        <v>269</v>
      </c>
      <c r="B278" s="6" t="s">
        <v>1387</v>
      </c>
      <c r="C278" s="421">
        <v>17.5</v>
      </c>
      <c r="D278" s="9">
        <v>3380552</v>
      </c>
      <c r="E278" s="33">
        <v>3318579</v>
      </c>
      <c r="F278" s="9">
        <v>340731.2</v>
      </c>
      <c r="G278" s="9">
        <v>3421487.44172</v>
      </c>
      <c r="H278" s="9">
        <v>3345012</v>
      </c>
      <c r="I278" s="9">
        <v>392337.2</v>
      </c>
      <c r="J278" s="9">
        <v>3609943.9431416788</v>
      </c>
      <c r="K278" s="9">
        <v>3395988</v>
      </c>
      <c r="L278" s="9">
        <v>464158.2</v>
      </c>
      <c r="M278" s="9">
        <v>3944872.97248</v>
      </c>
      <c r="N278" s="9">
        <v>3531728</v>
      </c>
      <c r="O278" s="9">
        <v>482139.2</v>
      </c>
      <c r="P278" s="9">
        <v>56663</v>
      </c>
      <c r="Q278" s="9">
        <v>4018165.4634094238</v>
      </c>
      <c r="R278" s="9">
        <v>3568870</v>
      </c>
      <c r="S278" s="9">
        <v>528026</v>
      </c>
      <c r="T278" s="9">
        <v>0</v>
      </c>
      <c r="U278" s="9">
        <v>3616285.1801423398</v>
      </c>
      <c r="V278" s="9">
        <v>3274399</v>
      </c>
      <c r="W278" s="9">
        <v>497179</v>
      </c>
      <c r="X278" s="9">
        <v>2669</v>
      </c>
      <c r="Y278" s="9">
        <v>39428</v>
      </c>
      <c r="Z278" s="9">
        <v>3544554.8176799999</v>
      </c>
      <c r="AA278" s="9">
        <v>3168291</v>
      </c>
      <c r="AB278" s="9">
        <v>499848</v>
      </c>
      <c r="AC278" s="9">
        <v>3322207.8539100001</v>
      </c>
      <c r="AD278" s="9">
        <v>3024786</v>
      </c>
      <c r="AE278" s="9">
        <v>515408</v>
      </c>
      <c r="AF278" s="9">
        <v>3446195.4454399999</v>
      </c>
      <c r="AG278" s="9">
        <v>3128611</v>
      </c>
      <c r="AH278" s="9">
        <v>525258</v>
      </c>
      <c r="AI278" s="9">
        <v>3327431.3505500001</v>
      </c>
      <c r="AJ278" s="9">
        <v>2944257</v>
      </c>
      <c r="AK278" s="28">
        <v>545223</v>
      </c>
      <c r="AL278" s="9">
        <v>3380505.0839999993</v>
      </c>
      <c r="AM278" s="9">
        <v>2917753</v>
      </c>
      <c r="AN278" s="28">
        <v>554673</v>
      </c>
      <c r="AO278" s="9">
        <v>3478451.7794499998</v>
      </c>
      <c r="AP278" s="9">
        <v>2909277</v>
      </c>
      <c r="AQ278" s="28">
        <v>575738</v>
      </c>
      <c r="AR278" s="9">
        <v>3806638.9460125784</v>
      </c>
      <c r="AS278" s="9">
        <v>3143918</v>
      </c>
      <c r="AT278" s="28">
        <v>662721</v>
      </c>
      <c r="AU278" s="9">
        <v>3863587.5212599998</v>
      </c>
      <c r="AV278" s="9">
        <v>3181825</v>
      </c>
      <c r="AW278" s="9">
        <v>681763</v>
      </c>
      <c r="AX278" s="9">
        <v>3922730.1411090656</v>
      </c>
      <c r="AY278" s="9">
        <v>3236252</v>
      </c>
      <c r="AZ278" s="28">
        <v>693583</v>
      </c>
      <c r="BA278" s="9">
        <v>4086891.646209999</v>
      </c>
      <c r="BB278" s="9">
        <v>3371686</v>
      </c>
      <c r="BC278" s="9">
        <v>715207</v>
      </c>
      <c r="BD278" s="9">
        <v>4092250.4348000004</v>
      </c>
      <c r="BE278" s="9">
        <v>3376106</v>
      </c>
      <c r="BF278" s="9">
        <v>726817</v>
      </c>
      <c r="BG278" s="9">
        <v>4431918.9769299999</v>
      </c>
      <c r="BH278" s="9">
        <v>3656333</v>
      </c>
      <c r="BI278" s="9">
        <v>775586</v>
      </c>
      <c r="BJ278" s="9">
        <v>4685609.0321299993</v>
      </c>
      <c r="BK278" s="9">
        <v>3865627</v>
      </c>
      <c r="BL278" s="9">
        <v>846957</v>
      </c>
      <c r="BM278" s="9"/>
      <c r="BN278" s="9"/>
      <c r="BO278" s="9"/>
      <c r="BP278" s="9"/>
      <c r="BQ278" s="9"/>
      <c r="BR278" s="9"/>
      <c r="BS278" s="9"/>
      <c r="BT278" s="9"/>
      <c r="BU278" s="9"/>
    </row>
    <row r="279" spans="1:73">
      <c r="A279" s="6">
        <v>270</v>
      </c>
      <c r="B279" s="6" t="s">
        <v>1388</v>
      </c>
      <c r="C279" s="421">
        <v>36.22</v>
      </c>
      <c r="D279" s="9">
        <v>6819383</v>
      </c>
      <c r="E279" s="33">
        <v>2858481</v>
      </c>
      <c r="F279" s="9">
        <v>3995219</v>
      </c>
      <c r="G279" s="9">
        <v>7141364.7989100004</v>
      </c>
      <c r="H279" s="9">
        <v>3138806</v>
      </c>
      <c r="I279" s="9">
        <v>4154632</v>
      </c>
      <c r="J279" s="9">
        <v>7495917.7602271345</v>
      </c>
      <c r="K279" s="9">
        <v>3284354</v>
      </c>
      <c r="L279" s="9">
        <v>4330455</v>
      </c>
      <c r="M279" s="9">
        <v>7800802.5329999998</v>
      </c>
      <c r="N279" s="9">
        <v>3435489</v>
      </c>
      <c r="O279" s="9">
        <v>4012957</v>
      </c>
      <c r="P279" s="9">
        <v>471617</v>
      </c>
      <c r="Q279" s="9">
        <v>7655204.9791285908</v>
      </c>
      <c r="R279" s="9">
        <v>3754395</v>
      </c>
      <c r="S279" s="9">
        <v>4394883</v>
      </c>
      <c r="T279" s="9">
        <v>0</v>
      </c>
      <c r="U279" s="9">
        <v>12461</v>
      </c>
      <c r="V279" s="9">
        <v>6250.1276655997626</v>
      </c>
      <c r="W279" s="9">
        <v>6812</v>
      </c>
      <c r="X279" s="9">
        <v>37</v>
      </c>
      <c r="Y279" s="9">
        <v>420</v>
      </c>
      <c r="Z279" s="9">
        <v>0</v>
      </c>
      <c r="AA279" s="9">
        <v>0</v>
      </c>
      <c r="AB279" s="9">
        <v>0</v>
      </c>
      <c r="AC279" s="9">
        <v>0</v>
      </c>
      <c r="AD279" s="9">
        <v>0</v>
      </c>
      <c r="AE279" s="9">
        <v>0</v>
      </c>
      <c r="AF279" s="9">
        <v>0</v>
      </c>
      <c r="AG279" s="9">
        <v>0</v>
      </c>
      <c r="AH279" s="9">
        <v>0</v>
      </c>
      <c r="AI279" s="9">
        <v>0</v>
      </c>
      <c r="AJ279" s="9">
        <v>0</v>
      </c>
      <c r="AK279" s="28">
        <v>0</v>
      </c>
      <c r="AL279" s="9">
        <v>0</v>
      </c>
      <c r="AM279" s="9">
        <v>0</v>
      </c>
      <c r="AN279" s="28">
        <v>0</v>
      </c>
      <c r="AO279" s="9">
        <v>0</v>
      </c>
      <c r="AP279" s="9">
        <v>0</v>
      </c>
      <c r="AQ279" s="28">
        <v>0</v>
      </c>
      <c r="AR279" s="9">
        <v>0</v>
      </c>
      <c r="AS279" s="9">
        <v>0</v>
      </c>
      <c r="AT279" s="28">
        <v>0</v>
      </c>
      <c r="AU279" s="9">
        <v>0</v>
      </c>
      <c r="AV279" s="9">
        <v>0</v>
      </c>
      <c r="AW279" s="9">
        <v>0</v>
      </c>
      <c r="AX279" s="9">
        <v>0</v>
      </c>
      <c r="AY279" s="9">
        <v>0</v>
      </c>
      <c r="AZ279" s="28">
        <v>0</v>
      </c>
      <c r="BA279" s="9">
        <v>0</v>
      </c>
      <c r="BB279" s="9">
        <v>0</v>
      </c>
      <c r="BC279" s="9">
        <v>0</v>
      </c>
      <c r="BD279" s="9">
        <v>0</v>
      </c>
      <c r="BE279" s="9">
        <v>0</v>
      </c>
      <c r="BF279" s="9">
        <v>0</v>
      </c>
      <c r="BG279" s="9">
        <v>0</v>
      </c>
      <c r="BH279" s="9">
        <v>0</v>
      </c>
      <c r="BI279" s="9">
        <v>0</v>
      </c>
      <c r="BJ279" s="9">
        <v>0</v>
      </c>
      <c r="BK279" s="9">
        <v>0</v>
      </c>
      <c r="BL279" s="9">
        <v>0</v>
      </c>
      <c r="BM279" s="9"/>
      <c r="BN279" s="9"/>
      <c r="BO279" s="9"/>
      <c r="BP279" s="9"/>
      <c r="BQ279" s="9"/>
      <c r="BR279" s="9"/>
      <c r="BS279" s="9"/>
      <c r="BT279" s="9"/>
      <c r="BU279" s="9"/>
    </row>
    <row r="280" spans="1:73">
      <c r="A280" s="6">
        <v>271</v>
      </c>
      <c r="B280" s="6" t="s">
        <v>1389</v>
      </c>
      <c r="C280" s="421">
        <v>17.5</v>
      </c>
      <c r="D280" s="9">
        <v>39662058</v>
      </c>
      <c r="E280" s="33">
        <v>25861451</v>
      </c>
      <c r="F280" s="9">
        <v>13800607</v>
      </c>
      <c r="G280" s="9">
        <v>43006922.329999998</v>
      </c>
      <c r="H280" s="9">
        <v>27107973</v>
      </c>
      <c r="I280" s="9">
        <v>15898949</v>
      </c>
      <c r="J280" s="9">
        <v>46216469.143160932</v>
      </c>
      <c r="K280" s="9">
        <v>28796799</v>
      </c>
      <c r="L280" s="9">
        <v>17419670</v>
      </c>
      <c r="M280" s="9">
        <v>49163922.700000003</v>
      </c>
      <c r="N280" s="9">
        <v>30297112</v>
      </c>
      <c r="O280" s="9">
        <v>16882697</v>
      </c>
      <c r="P280" s="9">
        <v>1984114</v>
      </c>
      <c r="Q280" s="9">
        <v>50640024.753362693</v>
      </c>
      <c r="R280" s="9">
        <v>31084837</v>
      </c>
      <c r="S280" s="9">
        <v>18489475</v>
      </c>
      <c r="T280" s="9">
        <v>1065713</v>
      </c>
      <c r="U280" s="9">
        <v>49767093.421020001</v>
      </c>
      <c r="V280" s="9">
        <v>32455678</v>
      </c>
      <c r="W280" s="9">
        <v>18412775</v>
      </c>
      <c r="X280" s="9">
        <v>98848</v>
      </c>
      <c r="Y280" s="9">
        <v>1189765</v>
      </c>
      <c r="Z280" s="9">
        <v>51780005.259999998</v>
      </c>
      <c r="AA280" s="9">
        <v>33692240</v>
      </c>
      <c r="AB280" s="9">
        <v>18511623</v>
      </c>
      <c r="AC280" s="9">
        <v>53574891.730000004</v>
      </c>
      <c r="AD280" s="9">
        <v>35083729</v>
      </c>
      <c r="AE280" s="9">
        <v>18748463</v>
      </c>
      <c r="AF280" s="9">
        <v>55072809.080000006</v>
      </c>
      <c r="AG280" s="9">
        <v>36553737</v>
      </c>
      <c r="AH280" s="9">
        <v>18897238</v>
      </c>
      <c r="AI280" s="9">
        <v>55423621.549999997</v>
      </c>
      <c r="AJ280" s="9">
        <v>38578814</v>
      </c>
      <c r="AK280" s="28">
        <v>19045813</v>
      </c>
      <c r="AL280" s="9">
        <v>57096131.690000013</v>
      </c>
      <c r="AM280" s="9">
        <v>40658212</v>
      </c>
      <c r="AN280" s="28">
        <v>19195638</v>
      </c>
      <c r="AO280" s="9">
        <v>56301993.68999999</v>
      </c>
      <c r="AP280" s="9">
        <v>42573214</v>
      </c>
      <c r="AQ280" s="28">
        <v>19524868</v>
      </c>
      <c r="AR280" s="9">
        <v>58194036.86341849</v>
      </c>
      <c r="AS280" s="9">
        <v>44655044</v>
      </c>
      <c r="AT280" s="28">
        <v>19706038</v>
      </c>
      <c r="AU280" s="9">
        <v>60487338.449999981</v>
      </c>
      <c r="AV280" s="9">
        <v>47137864</v>
      </c>
      <c r="AW280" s="9">
        <v>19887358</v>
      </c>
      <c r="AX280" s="9">
        <v>63259403.708104163</v>
      </c>
      <c r="AY280" s="9">
        <v>49749302</v>
      </c>
      <c r="AZ280" s="28">
        <v>20068648</v>
      </c>
      <c r="BA280" s="9">
        <v>66373147.319999993</v>
      </c>
      <c r="BB280" s="9">
        <v>50487975</v>
      </c>
      <c r="BC280" s="9">
        <v>20068648</v>
      </c>
      <c r="BD280" s="9">
        <v>67854307.580000013</v>
      </c>
      <c r="BE280" s="9">
        <v>52472153</v>
      </c>
      <c r="BF280" s="9">
        <v>20252968</v>
      </c>
      <c r="BG280" s="9">
        <v>70918716.61999999</v>
      </c>
      <c r="BH280" s="9">
        <v>55216447</v>
      </c>
      <c r="BI280" s="9">
        <v>20613148</v>
      </c>
      <c r="BJ280" s="9">
        <v>74633713.99000001</v>
      </c>
      <c r="BK280" s="9">
        <v>57993834</v>
      </c>
      <c r="BL280" s="9">
        <v>20971468</v>
      </c>
      <c r="BM280" s="9"/>
      <c r="BN280" s="9"/>
      <c r="BO280" s="9"/>
      <c r="BP280" s="9"/>
      <c r="BQ280" s="9"/>
      <c r="BR280" s="9"/>
      <c r="BS280" s="9"/>
      <c r="BT280" s="9"/>
      <c r="BU280" s="9"/>
    </row>
    <row r="281" spans="1:73">
      <c r="A281" s="6">
        <v>272</v>
      </c>
      <c r="B281" s="6" t="s">
        <v>1390</v>
      </c>
      <c r="C281" s="421">
        <v>37.81</v>
      </c>
      <c r="D281" s="9">
        <v>980949</v>
      </c>
      <c r="E281" s="33">
        <v>744787</v>
      </c>
      <c r="F281" s="9">
        <v>465653.2</v>
      </c>
      <c r="G281" s="9">
        <v>1097675.33</v>
      </c>
      <c r="H281" s="9">
        <v>693858</v>
      </c>
      <c r="I281" s="9">
        <v>532129.19999999995</v>
      </c>
      <c r="J281" s="9">
        <v>1087472.3443519874</v>
      </c>
      <c r="K281" s="9">
        <v>671283</v>
      </c>
      <c r="L281" s="9">
        <v>540635.19999999995</v>
      </c>
      <c r="M281" s="9">
        <v>1238144.68</v>
      </c>
      <c r="N281" s="9">
        <v>732474</v>
      </c>
      <c r="O281" s="9">
        <v>551624.19999999995</v>
      </c>
      <c r="P281" s="9">
        <v>64829</v>
      </c>
      <c r="Q281" s="9">
        <v>1224192.060937799</v>
      </c>
      <c r="R281" s="9">
        <v>728091</v>
      </c>
      <c r="S281" s="9">
        <v>604124</v>
      </c>
      <c r="T281" s="9">
        <v>0</v>
      </c>
      <c r="U281" s="9">
        <v>1121281.2738600001</v>
      </c>
      <c r="V281" s="9">
        <v>660237</v>
      </c>
      <c r="W281" s="9">
        <v>568831</v>
      </c>
      <c r="X281" s="9">
        <v>3054</v>
      </c>
      <c r="Y281" s="9">
        <v>35764</v>
      </c>
      <c r="Z281" s="9">
        <v>1133132.5</v>
      </c>
      <c r="AA281" s="9">
        <v>652599</v>
      </c>
      <c r="AB281" s="9">
        <v>571885</v>
      </c>
      <c r="AC281" s="9">
        <v>1250486.46</v>
      </c>
      <c r="AD281" s="9">
        <v>696787</v>
      </c>
      <c r="AE281" s="9">
        <v>584974.46020800003</v>
      </c>
      <c r="AF281" s="9">
        <v>1178320.1300000001</v>
      </c>
      <c r="AG281" s="9">
        <v>657620</v>
      </c>
      <c r="AH281" s="9">
        <v>588274.46020800003</v>
      </c>
      <c r="AI281" s="9">
        <v>1268845.75</v>
      </c>
      <c r="AJ281" s="9">
        <v>689268</v>
      </c>
      <c r="AK281" s="28">
        <v>593590.46020800003</v>
      </c>
      <c r="AL281" s="9">
        <v>1336733.0899999999</v>
      </c>
      <c r="AM281" s="9">
        <v>723367</v>
      </c>
      <c r="AN281" s="28">
        <v>613366</v>
      </c>
      <c r="AO281" s="9">
        <v>1115064.6000000001</v>
      </c>
      <c r="AP281" s="9">
        <v>624029</v>
      </c>
      <c r="AQ281" s="28">
        <v>619856</v>
      </c>
      <c r="AR281" s="9">
        <v>1157848.556575418</v>
      </c>
      <c r="AS281" s="9">
        <v>680124</v>
      </c>
      <c r="AT281" s="28">
        <v>623336</v>
      </c>
      <c r="AU281" s="9">
        <v>1166902.03</v>
      </c>
      <c r="AV281" s="9">
        <v>669164</v>
      </c>
      <c r="AW281" s="9">
        <v>626876</v>
      </c>
      <c r="AX281" s="9">
        <v>1321150.8039989388</v>
      </c>
      <c r="AY281" s="9">
        <v>730491</v>
      </c>
      <c r="AZ281" s="28">
        <v>630386</v>
      </c>
      <c r="BA281" s="9">
        <v>1221694.1099999999</v>
      </c>
      <c r="BB281" s="9">
        <v>712492</v>
      </c>
      <c r="BC281" s="9">
        <v>630386</v>
      </c>
      <c r="BD281" s="9">
        <v>1167665.8499999999</v>
      </c>
      <c r="BE281" s="9">
        <v>713413</v>
      </c>
      <c r="BF281" s="9">
        <v>633326</v>
      </c>
      <c r="BG281" s="9">
        <v>1228431.31</v>
      </c>
      <c r="BH281" s="9">
        <v>719067</v>
      </c>
      <c r="BI281" s="9">
        <v>639326</v>
      </c>
      <c r="BJ281" s="9">
        <v>1442294.2199999997</v>
      </c>
      <c r="BK281" s="9">
        <v>820401</v>
      </c>
      <c r="BL281" s="9">
        <v>645986</v>
      </c>
      <c r="BM281" s="9"/>
      <c r="BN281" s="9"/>
      <c r="BO281" s="9"/>
      <c r="BP281" s="9"/>
      <c r="BQ281" s="9"/>
      <c r="BR281" s="9"/>
      <c r="BS281" s="9"/>
      <c r="BT281" s="9"/>
      <c r="BU281" s="9"/>
    </row>
    <row r="282" spans="1:73">
      <c r="A282" s="6">
        <v>273</v>
      </c>
      <c r="B282" s="6" t="s">
        <v>1391</v>
      </c>
      <c r="C282" s="421">
        <v>43.51</v>
      </c>
      <c r="D282" s="9">
        <v>18801260</v>
      </c>
      <c r="E282" s="33">
        <v>18110659</v>
      </c>
      <c r="F282" s="9">
        <v>2685723.2</v>
      </c>
      <c r="G282" s="9">
        <v>19720957.539999995</v>
      </c>
      <c r="H282" s="9">
        <v>17515386</v>
      </c>
      <c r="I282" s="9">
        <v>3559416.2</v>
      </c>
      <c r="J282" s="9">
        <v>20657264.747334611</v>
      </c>
      <c r="K282" s="9">
        <v>16992794</v>
      </c>
      <c r="L282" s="9">
        <v>4521167.2</v>
      </c>
      <c r="M282" s="9">
        <v>21503415.919999998</v>
      </c>
      <c r="N282" s="9">
        <v>16475983</v>
      </c>
      <c r="O282" s="9">
        <v>4807347.2</v>
      </c>
      <c r="P282" s="9">
        <v>564976</v>
      </c>
      <c r="Q282" s="9">
        <v>21570952.204983734</v>
      </c>
      <c r="R282" s="9">
        <v>16298338</v>
      </c>
      <c r="S282" s="9">
        <v>5264877</v>
      </c>
      <c r="T282" s="9">
        <v>7737</v>
      </c>
      <c r="U282" s="9">
        <v>14275069</v>
      </c>
      <c r="V282" s="9">
        <v>10715794.64921918</v>
      </c>
      <c r="W282" s="9">
        <v>3499899</v>
      </c>
      <c r="X282" s="9">
        <v>19110</v>
      </c>
      <c r="Y282" s="9">
        <v>75402</v>
      </c>
      <c r="Z282" s="9">
        <v>14571529.510000002</v>
      </c>
      <c r="AA282" s="9">
        <v>10467269</v>
      </c>
      <c r="AB282" s="9">
        <v>4104261</v>
      </c>
      <c r="AC282" s="9">
        <v>15524516.379999997</v>
      </c>
      <c r="AD282" s="9">
        <v>10738045</v>
      </c>
      <c r="AE282" s="9">
        <v>5022377.9989644997</v>
      </c>
      <c r="AF282" s="9">
        <v>15769354.82</v>
      </c>
      <c r="AG282" s="9">
        <v>11107578</v>
      </c>
      <c r="AH282" s="9">
        <v>5109544.062146375</v>
      </c>
      <c r="AI282" s="9">
        <v>16069095.370000001</v>
      </c>
      <c r="AJ282" s="9">
        <v>11192906</v>
      </c>
      <c r="AK282" s="28">
        <v>5217678.062146375</v>
      </c>
      <c r="AL282" s="9">
        <v>16337259.259999998</v>
      </c>
      <c r="AM282" s="9">
        <v>11103046</v>
      </c>
      <c r="AN282" s="28">
        <v>5262728.062146375</v>
      </c>
      <c r="AO282" s="9">
        <v>16558627.16</v>
      </c>
      <c r="AP282" s="9">
        <v>10170448</v>
      </c>
      <c r="AQ282" s="28">
        <v>6388179</v>
      </c>
      <c r="AR282" s="9">
        <v>17125371.876508925</v>
      </c>
      <c r="AS282" s="9">
        <v>9582995</v>
      </c>
      <c r="AT282" s="28">
        <v>7542377</v>
      </c>
      <c r="AU282" s="9">
        <v>17732666.670000002</v>
      </c>
      <c r="AV282" s="9">
        <v>9557082</v>
      </c>
      <c r="AW282" s="9">
        <v>8175585</v>
      </c>
      <c r="AX282" s="9">
        <v>18329520.115415696</v>
      </c>
      <c r="AY282" s="9">
        <v>9423790</v>
      </c>
      <c r="AZ282" s="28">
        <v>8920409</v>
      </c>
      <c r="BA282" s="9">
        <v>18501842.410000004</v>
      </c>
      <c r="BB282" s="9">
        <v>9406646</v>
      </c>
      <c r="BC282" s="9">
        <v>9096902</v>
      </c>
      <c r="BD282" s="9">
        <v>17923179.719999999</v>
      </c>
      <c r="BE282" s="9">
        <v>9348329</v>
      </c>
      <c r="BF282" s="9">
        <v>9146162</v>
      </c>
      <c r="BG282" s="9">
        <v>20421920.32</v>
      </c>
      <c r="BH282" s="9">
        <v>10007089</v>
      </c>
      <c r="BI282" s="9">
        <v>10414831</v>
      </c>
      <c r="BJ282" s="9">
        <v>21144659.59</v>
      </c>
      <c r="BK282" s="9">
        <v>10510731</v>
      </c>
      <c r="BL282" s="9">
        <v>10633929</v>
      </c>
      <c r="BM282" s="9"/>
      <c r="BN282" s="9"/>
      <c r="BO282" s="9"/>
      <c r="BP282" s="9"/>
      <c r="BQ282" s="9"/>
      <c r="BR282" s="9"/>
      <c r="BS282" s="9"/>
      <c r="BT282" s="9"/>
      <c r="BU282" s="9"/>
    </row>
    <row r="283" spans="1:73">
      <c r="A283" s="6">
        <v>274</v>
      </c>
      <c r="B283" s="6" t="s">
        <v>1392</v>
      </c>
      <c r="C283" s="421">
        <v>17.5</v>
      </c>
      <c r="D283" s="9">
        <v>51199725</v>
      </c>
      <c r="E283" s="33">
        <v>35731948</v>
      </c>
      <c r="F283" s="9">
        <v>19725438.800000001</v>
      </c>
      <c r="G283" s="9">
        <v>52325941.29772</v>
      </c>
      <c r="H283" s="9">
        <v>38065244</v>
      </c>
      <c r="I283" s="9">
        <v>19994838.800000001</v>
      </c>
      <c r="J283" s="9">
        <v>53650930.251636975</v>
      </c>
      <c r="K283" s="9">
        <v>40215930</v>
      </c>
      <c r="L283" s="9">
        <v>20255638.800000001</v>
      </c>
      <c r="M283" s="9">
        <v>55603076.77403</v>
      </c>
      <c r="N283" s="9">
        <v>42134230</v>
      </c>
      <c r="O283" s="9">
        <v>18431168.800000001</v>
      </c>
      <c r="P283" s="9">
        <v>2166096</v>
      </c>
      <c r="Q283" s="9">
        <v>57459406.133968234</v>
      </c>
      <c r="R283" s="9">
        <v>47404010</v>
      </c>
      <c r="S283" s="9">
        <v>20185320</v>
      </c>
      <c r="T283" s="9">
        <v>0</v>
      </c>
      <c r="U283" s="9">
        <v>56711003.467927195</v>
      </c>
      <c r="V283" s="9">
        <v>48121353</v>
      </c>
      <c r="W283" s="9">
        <v>19006095</v>
      </c>
      <c r="X283" s="9">
        <v>102033</v>
      </c>
      <c r="Y283" s="9">
        <v>1205842</v>
      </c>
      <c r="Z283" s="9">
        <v>58313543.709569983</v>
      </c>
      <c r="AA283" s="9">
        <v>48819464</v>
      </c>
      <c r="AB283" s="9">
        <v>19108128</v>
      </c>
      <c r="AC283" s="9">
        <v>60645451.388249993</v>
      </c>
      <c r="AD283" s="9">
        <v>50545090</v>
      </c>
      <c r="AE283" s="9">
        <v>19316888</v>
      </c>
      <c r="AF283" s="9">
        <v>61833356.366640002</v>
      </c>
      <c r="AG283" s="9">
        <v>51800992</v>
      </c>
      <c r="AH283" s="9">
        <v>19448713</v>
      </c>
      <c r="AI283" s="9">
        <v>62767269.546019986</v>
      </c>
      <c r="AJ283" s="9">
        <v>52703692</v>
      </c>
      <c r="AK283" s="28">
        <v>19582488</v>
      </c>
      <c r="AL283" s="9">
        <v>64208758.285060003</v>
      </c>
      <c r="AM283" s="9">
        <v>54026428</v>
      </c>
      <c r="AN283" s="28">
        <v>19717388</v>
      </c>
      <c r="AO283" s="9">
        <v>62011654.562320009</v>
      </c>
      <c r="AP283" s="9">
        <v>51954315</v>
      </c>
      <c r="AQ283" s="28">
        <v>20010098</v>
      </c>
      <c r="AR283" s="9">
        <v>64130648.10950844</v>
      </c>
      <c r="AS283" s="9">
        <v>53229236</v>
      </c>
      <c r="AT283" s="28">
        <v>20170688</v>
      </c>
      <c r="AU283" s="9">
        <v>65998570.132249989</v>
      </c>
      <c r="AV283" s="9">
        <v>54448820</v>
      </c>
      <c r="AW283" s="9">
        <v>20329028</v>
      </c>
      <c r="AX283" s="9">
        <v>68863033.368161425</v>
      </c>
      <c r="AY283" s="9">
        <v>56812003</v>
      </c>
      <c r="AZ283" s="28">
        <v>20486918</v>
      </c>
      <c r="BA283" s="9">
        <v>72325602.754360005</v>
      </c>
      <c r="BB283" s="9">
        <v>59668622</v>
      </c>
      <c r="BC283" s="9">
        <v>20486918</v>
      </c>
      <c r="BD283" s="9">
        <v>77023976.661080003</v>
      </c>
      <c r="BE283" s="9">
        <v>62371611</v>
      </c>
      <c r="BF283" s="9">
        <v>20638388</v>
      </c>
      <c r="BG283" s="9">
        <v>80143330.545699999</v>
      </c>
      <c r="BH283" s="9">
        <v>66118248</v>
      </c>
      <c r="BI283" s="9">
        <v>20939048</v>
      </c>
      <c r="BJ283" s="9">
        <v>88070540.975499988</v>
      </c>
      <c r="BK283" s="9">
        <v>71896983</v>
      </c>
      <c r="BL283" s="9">
        <v>21245048</v>
      </c>
      <c r="BM283" s="9"/>
      <c r="BN283" s="9"/>
      <c r="BO283" s="9"/>
      <c r="BP283" s="9"/>
      <c r="BQ283" s="9"/>
      <c r="BR283" s="9"/>
      <c r="BS283" s="9"/>
      <c r="BT283" s="9"/>
      <c r="BU283" s="9"/>
    </row>
    <row r="284" spans="1:73">
      <c r="A284" s="6">
        <v>275</v>
      </c>
      <c r="B284" s="6" t="s">
        <v>1393</v>
      </c>
      <c r="C284" s="421">
        <v>24.44</v>
      </c>
      <c r="D284" s="9">
        <v>3817595</v>
      </c>
      <c r="E284" s="33">
        <v>1937134</v>
      </c>
      <c r="F284" s="9">
        <v>2294612</v>
      </c>
      <c r="G284" s="9">
        <v>4033879.67</v>
      </c>
      <c r="H284" s="9">
        <v>2117278</v>
      </c>
      <c r="I284" s="9">
        <v>2404074</v>
      </c>
      <c r="J284" s="9">
        <v>4219769.7429432645</v>
      </c>
      <c r="K284" s="9">
        <v>2252330</v>
      </c>
      <c r="L284" s="9">
        <v>2496629</v>
      </c>
      <c r="M284" s="9">
        <v>4454454.5199999996</v>
      </c>
      <c r="N284" s="9">
        <v>2332152</v>
      </c>
      <c r="O284" s="9">
        <v>2339180</v>
      </c>
      <c r="P284" s="9">
        <v>274909</v>
      </c>
      <c r="Q284" s="9">
        <v>4552925.5780440187</v>
      </c>
      <c r="R284" s="9">
        <v>2372375</v>
      </c>
      <c r="S284" s="9">
        <v>2561807</v>
      </c>
      <c r="T284" s="9">
        <v>0</v>
      </c>
      <c r="U284" s="9">
        <v>4426092.5655599991</v>
      </c>
      <c r="V284" s="9">
        <v>2463679</v>
      </c>
      <c r="W284" s="9">
        <v>2412147</v>
      </c>
      <c r="X284" s="9">
        <v>12949</v>
      </c>
      <c r="Y284" s="9">
        <v>149736</v>
      </c>
      <c r="Z284" s="9">
        <v>4394778.41</v>
      </c>
      <c r="AA284" s="9">
        <v>2552882</v>
      </c>
      <c r="AB284" s="9">
        <v>2425096</v>
      </c>
      <c r="AC284" s="9">
        <v>4300263.7899999991</v>
      </c>
      <c r="AD284" s="9">
        <v>2555321</v>
      </c>
      <c r="AE284" s="9">
        <v>2444176</v>
      </c>
      <c r="AF284" s="9">
        <v>4418126.47</v>
      </c>
      <c r="AG284" s="9">
        <v>2686385</v>
      </c>
      <c r="AH284" s="9">
        <v>2456276</v>
      </c>
      <c r="AI284" s="9">
        <v>4598039.57</v>
      </c>
      <c r="AJ284" s="9">
        <v>2840365</v>
      </c>
      <c r="AK284" s="28">
        <v>2468676</v>
      </c>
      <c r="AL284" s="9">
        <v>4683286.6400000006</v>
      </c>
      <c r="AM284" s="9">
        <v>2974492</v>
      </c>
      <c r="AN284" s="28">
        <v>2480926</v>
      </c>
      <c r="AO284" s="9">
        <v>4702769.24</v>
      </c>
      <c r="AP284" s="9">
        <v>3078158</v>
      </c>
      <c r="AQ284" s="28">
        <v>2507986</v>
      </c>
      <c r="AR284" s="9">
        <v>4863203.5231375461</v>
      </c>
      <c r="AS284" s="9">
        <v>3146804</v>
      </c>
      <c r="AT284" s="28">
        <v>2522746</v>
      </c>
      <c r="AU284" s="9">
        <v>4914639.3900000006</v>
      </c>
      <c r="AV284" s="9">
        <v>3298766</v>
      </c>
      <c r="AW284" s="9">
        <v>2537146</v>
      </c>
      <c r="AX284" s="9">
        <v>5018160.4177704034</v>
      </c>
      <c r="AY284" s="9">
        <v>3476888</v>
      </c>
      <c r="AZ284" s="28">
        <v>2551486</v>
      </c>
      <c r="BA284" s="9">
        <v>4972548.3299999991</v>
      </c>
      <c r="BB284" s="9">
        <v>3367625</v>
      </c>
      <c r="BC284" s="9">
        <v>2551486</v>
      </c>
      <c r="BD284" s="9">
        <v>5095671.4799999995</v>
      </c>
      <c r="BE284" s="9">
        <v>3512848</v>
      </c>
      <c r="BF284" s="9">
        <v>2564926</v>
      </c>
      <c r="BG284" s="9">
        <v>5851647.4900000002</v>
      </c>
      <c r="BH284" s="9">
        <v>3885985</v>
      </c>
      <c r="BI284" s="9">
        <v>2593726</v>
      </c>
      <c r="BJ284" s="9">
        <v>6284662</v>
      </c>
      <c r="BK284" s="9">
        <v>4309371</v>
      </c>
      <c r="BL284" s="9">
        <v>2623246</v>
      </c>
      <c r="BM284" s="9"/>
      <c r="BN284" s="9"/>
      <c r="BO284" s="9"/>
      <c r="BP284" s="9"/>
      <c r="BQ284" s="9"/>
      <c r="BR284" s="9"/>
      <c r="BS284" s="9"/>
      <c r="BT284" s="9"/>
      <c r="BU284" s="9"/>
    </row>
    <row r="285" spans="1:73">
      <c r="A285" s="6">
        <v>276</v>
      </c>
      <c r="B285" s="6" t="s">
        <v>1394</v>
      </c>
      <c r="C285" s="421">
        <v>17.5</v>
      </c>
      <c r="D285" s="9">
        <v>10775916</v>
      </c>
      <c r="E285" s="33">
        <v>8618521</v>
      </c>
      <c r="F285" s="9">
        <v>2581627</v>
      </c>
      <c r="G285" s="9">
        <v>11112363.866560001</v>
      </c>
      <c r="H285" s="9">
        <v>8827786</v>
      </c>
      <c r="I285" s="9">
        <v>2657427</v>
      </c>
      <c r="J285" s="9">
        <v>11560282.354900939</v>
      </c>
      <c r="K285" s="9">
        <v>9325599</v>
      </c>
      <c r="L285" s="9">
        <v>2735813</v>
      </c>
      <c r="M285" s="9">
        <v>12278597.972959999</v>
      </c>
      <c r="N285" s="9">
        <v>9676623</v>
      </c>
      <c r="O285" s="9">
        <v>2560589</v>
      </c>
      <c r="P285" s="9">
        <v>300929</v>
      </c>
      <c r="Q285" s="9">
        <v>12791303.833687706</v>
      </c>
      <c r="R285" s="9">
        <v>10552826</v>
      </c>
      <c r="S285" s="9">
        <v>2804288</v>
      </c>
      <c r="T285" s="9">
        <v>0</v>
      </c>
      <c r="U285" s="9">
        <v>12125426.22289644</v>
      </c>
      <c r="V285" s="9">
        <v>10423982</v>
      </c>
      <c r="W285" s="9">
        <v>2640461</v>
      </c>
      <c r="X285" s="9">
        <v>14175</v>
      </c>
      <c r="Y285" s="9">
        <v>186952</v>
      </c>
      <c r="Z285" s="9">
        <v>12100378.3814</v>
      </c>
      <c r="AA285" s="9">
        <v>10488914</v>
      </c>
      <c r="AB285" s="9">
        <v>2654636</v>
      </c>
      <c r="AC285" s="9">
        <v>12191121.0648</v>
      </c>
      <c r="AD285" s="9">
        <v>10539005</v>
      </c>
      <c r="AE285" s="9">
        <v>2710636</v>
      </c>
      <c r="AF285" s="9">
        <v>12056861.715160001</v>
      </c>
      <c r="AG285" s="9">
        <v>10683506</v>
      </c>
      <c r="AH285" s="9">
        <v>2744686</v>
      </c>
      <c r="AI285" s="9">
        <v>11801364.191059999</v>
      </c>
      <c r="AJ285" s="9">
        <v>10384154</v>
      </c>
      <c r="AK285" s="28">
        <v>2777761</v>
      </c>
      <c r="AL285" s="9">
        <v>11574099.806239998</v>
      </c>
      <c r="AM285" s="9">
        <v>10152043</v>
      </c>
      <c r="AN285" s="28">
        <v>2809611</v>
      </c>
      <c r="AO285" s="9">
        <v>11260409.134279998</v>
      </c>
      <c r="AP285" s="9">
        <v>9485040</v>
      </c>
      <c r="AQ285" s="28">
        <v>2877481</v>
      </c>
      <c r="AR285" s="9">
        <v>11409894.389389778</v>
      </c>
      <c r="AS285" s="9">
        <v>9486965</v>
      </c>
      <c r="AT285" s="28">
        <v>2914531</v>
      </c>
      <c r="AU285" s="9">
        <v>11677611.934810001</v>
      </c>
      <c r="AV285" s="9">
        <v>9634030</v>
      </c>
      <c r="AW285" s="9">
        <v>2950921</v>
      </c>
      <c r="AX285" s="9">
        <v>11760311.474915259</v>
      </c>
      <c r="AY285" s="9">
        <v>9702257</v>
      </c>
      <c r="AZ285" s="28">
        <v>2986051</v>
      </c>
      <c r="BA285" s="9">
        <v>12497359.942009997</v>
      </c>
      <c r="BB285" s="9">
        <v>10310322</v>
      </c>
      <c r="BC285" s="9">
        <v>2986051</v>
      </c>
      <c r="BD285" s="9">
        <v>12226979.455160001</v>
      </c>
      <c r="BE285" s="9">
        <v>10087258</v>
      </c>
      <c r="BF285" s="9">
        <v>3020731</v>
      </c>
      <c r="BG285" s="9">
        <v>13166912.130260002</v>
      </c>
      <c r="BH285" s="9">
        <v>10631673</v>
      </c>
      <c r="BI285" s="9">
        <v>3091171</v>
      </c>
      <c r="BJ285" s="9">
        <v>14230837.126399998</v>
      </c>
      <c r="BK285" s="9">
        <v>11416440</v>
      </c>
      <c r="BL285" s="9">
        <v>3163171</v>
      </c>
      <c r="BM285" s="9"/>
      <c r="BN285" s="9"/>
      <c r="BO285" s="9"/>
      <c r="BP285" s="9"/>
      <c r="BQ285" s="9"/>
      <c r="BR285" s="9"/>
      <c r="BS285" s="9"/>
      <c r="BT285" s="9"/>
      <c r="BU285" s="9"/>
    </row>
    <row r="286" spans="1:73">
      <c r="A286" s="6">
        <v>277</v>
      </c>
      <c r="B286" s="6" t="s">
        <v>1395</v>
      </c>
      <c r="C286" s="421">
        <v>72.94</v>
      </c>
      <c r="D286" s="9">
        <v>20428362</v>
      </c>
      <c r="E286" s="33">
        <v>5691750</v>
      </c>
      <c r="F286" s="9">
        <v>14736612</v>
      </c>
      <c r="G286" s="9">
        <v>20103131.259999998</v>
      </c>
      <c r="H286" s="9">
        <v>5866161</v>
      </c>
      <c r="I286" s="9">
        <v>14851612</v>
      </c>
      <c r="J286" s="9">
        <v>21509239.16868699</v>
      </c>
      <c r="K286" s="9">
        <v>5955255</v>
      </c>
      <c r="L286" s="9">
        <v>15829982</v>
      </c>
      <c r="M286" s="9">
        <v>22155409.049999997</v>
      </c>
      <c r="N286" s="9">
        <v>6064486</v>
      </c>
      <c r="O286" s="9">
        <v>14570274</v>
      </c>
      <c r="P286" s="9">
        <v>1712350</v>
      </c>
      <c r="Q286" s="9">
        <v>22728459.686706219</v>
      </c>
      <c r="R286" s="9">
        <v>6844242</v>
      </c>
      <c r="S286" s="9">
        <v>15956972</v>
      </c>
      <c r="T286" s="9">
        <v>0</v>
      </c>
      <c r="U286" s="9">
        <v>22931317.140119996</v>
      </c>
      <c r="V286" s="9">
        <v>6910142</v>
      </c>
      <c r="W286" s="9">
        <v>15713770</v>
      </c>
      <c r="X286" s="9">
        <v>84358</v>
      </c>
      <c r="Y286" s="9">
        <v>223047</v>
      </c>
      <c r="Z286" s="9">
        <v>24396090.530000005</v>
      </c>
      <c r="AA286" s="9">
        <v>7165928</v>
      </c>
      <c r="AB286" s="9">
        <v>17230163</v>
      </c>
      <c r="AC286" s="9">
        <v>25154189.23</v>
      </c>
      <c r="AD286" s="9">
        <v>7503317</v>
      </c>
      <c r="AE286" s="9">
        <v>17682899.236941002</v>
      </c>
      <c r="AF286" s="9">
        <v>26268571.68</v>
      </c>
      <c r="AG286" s="9">
        <v>7736324</v>
      </c>
      <c r="AH286" s="9">
        <v>18620961.75948</v>
      </c>
      <c r="AI286" s="9">
        <v>26907889.430000003</v>
      </c>
      <c r="AJ286" s="9">
        <v>7788520</v>
      </c>
      <c r="AK286" s="28">
        <v>19119369</v>
      </c>
      <c r="AL286" s="9">
        <v>27590853.959999993</v>
      </c>
      <c r="AM286" s="9">
        <v>7902804</v>
      </c>
      <c r="AN286" s="28">
        <v>19688050</v>
      </c>
      <c r="AO286" s="9">
        <v>27951569.609999992</v>
      </c>
      <c r="AP286" s="9">
        <v>7518500</v>
      </c>
      <c r="AQ286" s="28">
        <v>20433070</v>
      </c>
      <c r="AR286" s="9">
        <v>28503932.0841102</v>
      </c>
      <c r="AS286" s="9">
        <v>7316033</v>
      </c>
      <c r="AT286" s="28">
        <v>21187899</v>
      </c>
      <c r="AU286" s="9">
        <v>28731938.279999997</v>
      </c>
      <c r="AV286" s="9">
        <v>7510318</v>
      </c>
      <c r="AW286" s="9">
        <v>21257319</v>
      </c>
      <c r="AX286" s="9">
        <v>30836388.956011005</v>
      </c>
      <c r="AY286" s="9">
        <v>7846557</v>
      </c>
      <c r="AZ286" s="28">
        <v>22989832</v>
      </c>
      <c r="BA286" s="9">
        <v>29979243.07</v>
      </c>
      <c r="BB286" s="9">
        <v>8016911</v>
      </c>
      <c r="BC286" s="9">
        <v>22989832</v>
      </c>
      <c r="BD286" s="9">
        <v>31977786.810000002</v>
      </c>
      <c r="BE286" s="9">
        <v>8279716</v>
      </c>
      <c r="BF286" s="9">
        <v>23698071</v>
      </c>
      <c r="BG286" s="9">
        <v>34733982.75</v>
      </c>
      <c r="BH286" s="9">
        <v>8618946</v>
      </c>
      <c r="BI286" s="9">
        <v>26115037</v>
      </c>
      <c r="BJ286" s="9">
        <v>38095220.899999999</v>
      </c>
      <c r="BK286" s="9">
        <v>9107735</v>
      </c>
      <c r="BL286" s="9">
        <v>28987486</v>
      </c>
      <c r="BM286" s="9"/>
      <c r="BN286" s="9"/>
      <c r="BO286" s="9"/>
      <c r="BP286" s="9"/>
      <c r="BQ286" s="9"/>
      <c r="BR286" s="9"/>
      <c r="BS286" s="9"/>
      <c r="BT286" s="9"/>
      <c r="BU286" s="9"/>
    </row>
    <row r="287" spans="1:73">
      <c r="A287" s="6">
        <v>278</v>
      </c>
      <c r="B287" s="6" t="s">
        <v>1396</v>
      </c>
      <c r="C287" s="421">
        <v>36.549999999999997</v>
      </c>
      <c r="D287" s="9">
        <v>16765667</v>
      </c>
      <c r="E287" s="33">
        <v>11233847</v>
      </c>
      <c r="F287" s="9">
        <v>5531820</v>
      </c>
      <c r="G287" s="9">
        <v>17331909.950000003</v>
      </c>
      <c r="H287" s="9">
        <v>11613713</v>
      </c>
      <c r="I287" s="9">
        <v>5867471</v>
      </c>
      <c r="J287" s="9">
        <v>18060956.990095712</v>
      </c>
      <c r="K287" s="9">
        <v>11637991</v>
      </c>
      <c r="L287" s="9">
        <v>6422966</v>
      </c>
      <c r="M287" s="9">
        <v>19336375.739999998</v>
      </c>
      <c r="N287" s="9">
        <v>11671079</v>
      </c>
      <c r="O287" s="9">
        <v>6859182</v>
      </c>
      <c r="P287" s="9">
        <v>806115</v>
      </c>
      <c r="Q287" s="9">
        <v>19536753.464956939</v>
      </c>
      <c r="R287" s="9">
        <v>11564704</v>
      </c>
      <c r="S287" s="9">
        <v>7511991</v>
      </c>
      <c r="T287" s="9">
        <v>460058</v>
      </c>
      <c r="U287" s="9">
        <v>18934829.861939996</v>
      </c>
      <c r="V287" s="9">
        <v>11597234</v>
      </c>
      <c r="W287" s="9">
        <v>7506322</v>
      </c>
      <c r="X287" s="9">
        <v>40297</v>
      </c>
      <c r="Y287" s="9">
        <v>478280</v>
      </c>
      <c r="Z287" s="9">
        <v>18784553.009999998</v>
      </c>
      <c r="AA287" s="9">
        <v>11810114</v>
      </c>
      <c r="AB287" s="9">
        <v>7546619</v>
      </c>
      <c r="AC287" s="9">
        <v>19235881.489999998</v>
      </c>
      <c r="AD287" s="9">
        <v>12212647</v>
      </c>
      <c r="AE287" s="9">
        <v>7627179</v>
      </c>
      <c r="AF287" s="9">
        <v>19156845.539999999</v>
      </c>
      <c r="AG287" s="9">
        <v>12497985</v>
      </c>
      <c r="AH287" s="9">
        <v>7676404</v>
      </c>
      <c r="AI287" s="9">
        <v>19070528.080000002</v>
      </c>
      <c r="AJ287" s="9">
        <v>12680992</v>
      </c>
      <c r="AK287" s="28">
        <v>7724754</v>
      </c>
      <c r="AL287" s="9">
        <v>19296183.16</v>
      </c>
      <c r="AM287" s="9">
        <v>12948752</v>
      </c>
      <c r="AN287" s="28">
        <v>7772779</v>
      </c>
      <c r="AO287" s="9">
        <v>19049378.099999998</v>
      </c>
      <c r="AP287" s="9">
        <v>12973564</v>
      </c>
      <c r="AQ287" s="28">
        <v>7876784</v>
      </c>
      <c r="AR287" s="9">
        <v>19637074.331034068</v>
      </c>
      <c r="AS287" s="9">
        <v>12896757</v>
      </c>
      <c r="AT287" s="28">
        <v>7933784</v>
      </c>
      <c r="AU287" s="9">
        <v>20537051.940000001</v>
      </c>
      <c r="AV287" s="9">
        <v>13237650</v>
      </c>
      <c r="AW287" s="9">
        <v>7991294</v>
      </c>
      <c r="AX287" s="9">
        <v>22011471.953325644</v>
      </c>
      <c r="AY287" s="9">
        <v>13763185</v>
      </c>
      <c r="AZ287" s="28">
        <v>8248287</v>
      </c>
      <c r="BA287" s="9">
        <v>22558199.090000004</v>
      </c>
      <c r="BB287" s="9">
        <v>14027360</v>
      </c>
      <c r="BC287" s="9">
        <v>8530839</v>
      </c>
      <c r="BD287" s="9">
        <v>22281902.760000002</v>
      </c>
      <c r="BE287" s="9">
        <v>14084456</v>
      </c>
      <c r="BF287" s="9">
        <v>8585949</v>
      </c>
      <c r="BG287" s="9">
        <v>24351460.979999997</v>
      </c>
      <c r="BH287" s="9">
        <v>14674595</v>
      </c>
      <c r="BI287" s="9">
        <v>9676866</v>
      </c>
      <c r="BJ287" s="9">
        <v>25928069.819999997</v>
      </c>
      <c r="BK287" s="9">
        <v>15249839</v>
      </c>
      <c r="BL287" s="9">
        <v>10678231</v>
      </c>
      <c r="BM287" s="9"/>
      <c r="BN287" s="9"/>
      <c r="BO287" s="9"/>
      <c r="BP287" s="9"/>
      <c r="BQ287" s="9"/>
      <c r="BR287" s="9"/>
      <c r="BS287" s="9"/>
      <c r="BT287" s="9"/>
      <c r="BU287" s="9"/>
    </row>
    <row r="288" spans="1:73">
      <c r="A288" s="6">
        <v>279</v>
      </c>
      <c r="B288" s="6" t="s">
        <v>1397</v>
      </c>
      <c r="C288" s="421">
        <v>28.42</v>
      </c>
      <c r="D288" s="9">
        <v>0</v>
      </c>
      <c r="E288" s="33">
        <v>0</v>
      </c>
      <c r="F288" s="9">
        <v>0</v>
      </c>
      <c r="G288" s="9">
        <v>0</v>
      </c>
      <c r="H288" s="9">
        <v>0</v>
      </c>
      <c r="I288" s="9">
        <v>0</v>
      </c>
      <c r="J288" s="9">
        <v>0</v>
      </c>
      <c r="K288" s="9">
        <v>0</v>
      </c>
      <c r="L288" s="9">
        <v>0</v>
      </c>
      <c r="M288" s="9">
        <v>0</v>
      </c>
      <c r="N288" s="9">
        <v>0</v>
      </c>
      <c r="O288" s="9">
        <v>0</v>
      </c>
      <c r="P288" s="9">
        <v>0</v>
      </c>
      <c r="Q288" s="9">
        <v>0</v>
      </c>
      <c r="R288" s="9">
        <v>0</v>
      </c>
      <c r="S288" s="9">
        <v>0</v>
      </c>
      <c r="T288" s="9">
        <v>0</v>
      </c>
      <c r="U288" s="9">
        <v>0</v>
      </c>
      <c r="V288" s="9">
        <v>0</v>
      </c>
      <c r="W288" s="9">
        <v>0</v>
      </c>
      <c r="X288" s="9">
        <v>0</v>
      </c>
      <c r="Y288" s="9">
        <v>0</v>
      </c>
      <c r="Z288" s="9">
        <v>0</v>
      </c>
      <c r="AA288" s="9">
        <v>0</v>
      </c>
      <c r="AB288" s="9">
        <v>0</v>
      </c>
      <c r="AC288" s="9">
        <v>0</v>
      </c>
      <c r="AD288" s="9">
        <v>0</v>
      </c>
      <c r="AE288" s="9">
        <v>0</v>
      </c>
      <c r="AF288" s="9">
        <v>0</v>
      </c>
      <c r="AG288" s="9">
        <v>0</v>
      </c>
      <c r="AH288" s="9">
        <v>0</v>
      </c>
      <c r="AI288" s="9">
        <v>0</v>
      </c>
      <c r="AJ288" s="9">
        <v>0</v>
      </c>
      <c r="AK288" s="28">
        <v>0</v>
      </c>
      <c r="AL288" s="9">
        <v>0</v>
      </c>
      <c r="AM288" s="9">
        <v>0</v>
      </c>
      <c r="AN288" s="28">
        <v>0</v>
      </c>
      <c r="AO288" s="9">
        <v>0</v>
      </c>
      <c r="AP288" s="9">
        <v>0</v>
      </c>
      <c r="AQ288" s="28">
        <v>0</v>
      </c>
      <c r="AR288" s="9">
        <v>0</v>
      </c>
      <c r="AS288" s="9">
        <v>0</v>
      </c>
      <c r="AT288" s="28">
        <v>0</v>
      </c>
      <c r="AU288" s="9">
        <v>0</v>
      </c>
      <c r="AV288" s="9">
        <v>0</v>
      </c>
      <c r="AW288" s="9">
        <v>0</v>
      </c>
      <c r="AX288" s="9">
        <v>0</v>
      </c>
      <c r="AY288" s="9">
        <v>0</v>
      </c>
      <c r="AZ288" s="28">
        <v>0</v>
      </c>
      <c r="BA288" s="9">
        <v>0</v>
      </c>
      <c r="BB288" s="9">
        <v>0</v>
      </c>
      <c r="BC288" s="9">
        <v>0</v>
      </c>
      <c r="BD288" s="9">
        <v>0</v>
      </c>
      <c r="BE288" s="9">
        <v>0</v>
      </c>
      <c r="BF288" s="9">
        <v>0</v>
      </c>
      <c r="BG288" s="9">
        <v>0</v>
      </c>
      <c r="BH288" s="9">
        <v>0</v>
      </c>
      <c r="BI288" s="9">
        <v>0</v>
      </c>
      <c r="BJ288" s="9">
        <v>0</v>
      </c>
      <c r="BK288" s="9">
        <v>0</v>
      </c>
      <c r="BL288" s="9">
        <v>0</v>
      </c>
      <c r="BM288" s="9"/>
      <c r="BN288" s="9"/>
      <c r="BO288" s="9"/>
      <c r="BP288" s="9"/>
      <c r="BQ288" s="9"/>
      <c r="BR288" s="9"/>
      <c r="BS288" s="9"/>
      <c r="BT288" s="9"/>
      <c r="BU288" s="9"/>
    </row>
    <row r="289" spans="1:73">
      <c r="A289" s="6">
        <v>280</v>
      </c>
      <c r="B289" s="6" t="s">
        <v>1398</v>
      </c>
      <c r="C289" s="421">
        <v>48.7</v>
      </c>
      <c r="D289" s="9">
        <v>637001</v>
      </c>
      <c r="E289" s="33">
        <v>478936</v>
      </c>
      <c r="F289" s="9">
        <v>10778.186440677964</v>
      </c>
      <c r="G289" s="9">
        <v>54248.3</v>
      </c>
      <c r="H289" s="9">
        <v>12811</v>
      </c>
      <c r="I289" s="9">
        <v>41437</v>
      </c>
      <c r="J289" s="9">
        <v>45421.08</v>
      </c>
      <c r="K289" s="9">
        <v>12291</v>
      </c>
      <c r="L289" s="9">
        <v>41637</v>
      </c>
      <c r="M289" s="9">
        <v>0</v>
      </c>
      <c r="N289" s="9">
        <v>0</v>
      </c>
      <c r="O289" s="9">
        <v>0</v>
      </c>
      <c r="P289" s="9">
        <v>0</v>
      </c>
      <c r="Q289" s="9">
        <v>0</v>
      </c>
      <c r="R289" s="9">
        <v>0</v>
      </c>
      <c r="S289" s="9">
        <v>0</v>
      </c>
      <c r="T289" s="9">
        <v>0</v>
      </c>
      <c r="U289" s="9">
        <v>12035.81568</v>
      </c>
      <c r="V289" s="9">
        <v>3941</v>
      </c>
      <c r="W289" s="9">
        <v>8095</v>
      </c>
      <c r="X289" s="9">
        <v>0</v>
      </c>
      <c r="Y289" s="9">
        <v>0</v>
      </c>
      <c r="Z289" s="9">
        <v>12250.07</v>
      </c>
      <c r="AA289" s="9">
        <v>4119</v>
      </c>
      <c r="AB289" s="9">
        <v>8131</v>
      </c>
      <c r="AC289" s="9">
        <v>12697.210000000001</v>
      </c>
      <c r="AD289" s="9">
        <v>4307</v>
      </c>
      <c r="AE289" s="9">
        <v>8390</v>
      </c>
      <c r="AF289" s="9">
        <v>25788.04</v>
      </c>
      <c r="AG289" s="9">
        <v>8782</v>
      </c>
      <c r="AH289" s="9">
        <v>17006</v>
      </c>
      <c r="AI289" s="9">
        <v>52019.6</v>
      </c>
      <c r="AJ289" s="9">
        <v>18303</v>
      </c>
      <c r="AK289" s="28">
        <v>33717</v>
      </c>
      <c r="AL289" s="9">
        <v>79199.760000000009</v>
      </c>
      <c r="AM289" s="9">
        <v>29599</v>
      </c>
      <c r="AN289" s="28">
        <v>49601</v>
      </c>
      <c r="AO289" s="9">
        <v>65854.600000000006</v>
      </c>
      <c r="AP289" s="9">
        <v>27190</v>
      </c>
      <c r="AQ289" s="28">
        <v>49601</v>
      </c>
      <c r="AR289" s="9">
        <v>53667.33337435819</v>
      </c>
      <c r="AS289" s="9">
        <v>23403</v>
      </c>
      <c r="AT289" s="28">
        <v>49601</v>
      </c>
      <c r="AU289" s="9">
        <v>41511.479999999996</v>
      </c>
      <c r="AV289" s="9">
        <v>18504</v>
      </c>
      <c r="AW289" s="9">
        <v>41511.479999999996</v>
      </c>
      <c r="AX289" s="9">
        <v>43115.391766060078</v>
      </c>
      <c r="AY289" s="9">
        <v>19467</v>
      </c>
      <c r="AZ289" s="28">
        <v>41511</v>
      </c>
      <c r="BA289" s="9">
        <v>29315.599999999999</v>
      </c>
      <c r="BB289" s="9">
        <v>13937</v>
      </c>
      <c r="BC289" s="9">
        <v>29315.599999999999</v>
      </c>
      <c r="BD289" s="9">
        <v>59811.12</v>
      </c>
      <c r="BE289" s="9">
        <v>28819</v>
      </c>
      <c r="BF289" s="9">
        <v>30998</v>
      </c>
      <c r="BG289" s="9">
        <v>47093.130000000005</v>
      </c>
      <c r="BH289" s="9">
        <v>21605</v>
      </c>
      <c r="BI289" s="9">
        <v>30998</v>
      </c>
      <c r="BJ289" s="9">
        <v>65963.040000000008</v>
      </c>
      <c r="BK289" s="9">
        <v>30103</v>
      </c>
      <c r="BL289" s="9">
        <v>35860</v>
      </c>
      <c r="BM289" s="9"/>
      <c r="BN289" s="9"/>
      <c r="BO289" s="9"/>
      <c r="BP289" s="9"/>
      <c r="BQ289" s="9"/>
      <c r="BR289" s="9"/>
      <c r="BS289" s="9"/>
      <c r="BT289" s="9"/>
      <c r="BU289" s="9"/>
    </row>
    <row r="290" spans="1:73">
      <c r="A290" s="6">
        <v>281</v>
      </c>
      <c r="B290" s="6" t="s">
        <v>1399</v>
      </c>
      <c r="C290" s="421">
        <v>83.93</v>
      </c>
      <c r="D290" s="9">
        <v>253464385</v>
      </c>
      <c r="E290" s="33">
        <v>28100362</v>
      </c>
      <c r="F290" s="9">
        <v>225364023</v>
      </c>
      <c r="G290" s="9">
        <v>262628553.05000001</v>
      </c>
      <c r="H290" s="9">
        <v>30283760</v>
      </c>
      <c r="I290" s="9">
        <v>232799829</v>
      </c>
      <c r="J290" s="9">
        <v>286041159.20882511</v>
      </c>
      <c r="K290" s="9">
        <v>31670757</v>
      </c>
      <c r="L290" s="9">
        <v>254370402</v>
      </c>
      <c r="M290" s="9">
        <v>296198428.4600001</v>
      </c>
      <c r="N290" s="9">
        <v>33567836</v>
      </c>
      <c r="O290" s="9">
        <v>235104590</v>
      </c>
      <c r="P290" s="9">
        <v>27630323</v>
      </c>
      <c r="Q290" s="9">
        <v>305615195.21157515</v>
      </c>
      <c r="R290" s="9">
        <v>33218730</v>
      </c>
      <c r="S290" s="9">
        <v>257480215</v>
      </c>
      <c r="T290" s="9">
        <v>14916250</v>
      </c>
      <c r="U290" s="9">
        <v>302574194.31083989</v>
      </c>
      <c r="V290" s="9">
        <v>34730182</v>
      </c>
      <c r="W290" s="9">
        <v>262704775</v>
      </c>
      <c r="X290" s="9">
        <v>1410316</v>
      </c>
      <c r="Y290" s="9">
        <v>8988999</v>
      </c>
      <c r="Z290" s="9">
        <v>309609750.70000011</v>
      </c>
      <c r="AA290" s="9">
        <v>34205756</v>
      </c>
      <c r="AB290" s="9">
        <v>275403995</v>
      </c>
      <c r="AC290" s="9">
        <v>320618386.81000006</v>
      </c>
      <c r="AD290" s="9">
        <v>34766731</v>
      </c>
      <c r="AE290" s="9">
        <v>285851656</v>
      </c>
      <c r="AF290" s="9">
        <v>330986295.45999998</v>
      </c>
      <c r="AG290" s="9">
        <v>35173501</v>
      </c>
      <c r="AH290" s="9">
        <v>295812794</v>
      </c>
      <c r="AI290" s="9">
        <v>337653427.27999997</v>
      </c>
      <c r="AJ290" s="9">
        <v>36066908</v>
      </c>
      <c r="AK290" s="28">
        <v>301586519</v>
      </c>
      <c r="AL290" s="9">
        <v>345592031.43000001</v>
      </c>
      <c r="AM290" s="9">
        <v>36405937</v>
      </c>
      <c r="AN290" s="28">
        <v>309186094</v>
      </c>
      <c r="AO290" s="9">
        <v>356553651.79000002</v>
      </c>
      <c r="AP290" s="9">
        <v>36682622</v>
      </c>
      <c r="AQ290" s="28">
        <v>319871030</v>
      </c>
      <c r="AR290" s="9">
        <v>370375982.61382222</v>
      </c>
      <c r="AS290" s="9">
        <v>37357582</v>
      </c>
      <c r="AT290" s="28">
        <v>333018401</v>
      </c>
      <c r="AU290" s="9">
        <v>383693957.99999988</v>
      </c>
      <c r="AV290" s="9">
        <v>38246693</v>
      </c>
      <c r="AW290" s="9">
        <v>345447265</v>
      </c>
      <c r="AX290" s="9">
        <v>411555995.64407492</v>
      </c>
      <c r="AY290" s="9">
        <v>40832170</v>
      </c>
      <c r="AZ290" s="28">
        <v>370723826</v>
      </c>
      <c r="BA290" s="9">
        <v>419043165.70000011</v>
      </c>
      <c r="BB290" s="9">
        <v>41873391</v>
      </c>
      <c r="BC290" s="9">
        <v>377169775</v>
      </c>
      <c r="BD290" s="9">
        <v>446524567.99999994</v>
      </c>
      <c r="BE290" s="9">
        <v>43175654</v>
      </c>
      <c r="BF290" s="9">
        <v>403348914</v>
      </c>
      <c r="BG290" s="9">
        <v>483882872.08000004</v>
      </c>
      <c r="BH290" s="9">
        <v>44717025</v>
      </c>
      <c r="BI290" s="9">
        <v>439165847</v>
      </c>
      <c r="BJ290" s="9">
        <v>525763852.88000005</v>
      </c>
      <c r="BK290" s="9">
        <v>48026085</v>
      </c>
      <c r="BL290" s="9">
        <v>477737768</v>
      </c>
      <c r="BM290" s="9"/>
      <c r="BN290" s="9"/>
      <c r="BO290" s="9"/>
      <c r="BP290" s="9"/>
      <c r="BQ290" s="9"/>
      <c r="BR290" s="9"/>
      <c r="BS290" s="9"/>
      <c r="BT290" s="9"/>
      <c r="BU290" s="9"/>
    </row>
    <row r="291" spans="1:73">
      <c r="A291" s="6">
        <v>282</v>
      </c>
      <c r="B291" s="6" t="s">
        <v>1400</v>
      </c>
      <c r="C291" s="421">
        <v>17.5</v>
      </c>
      <c r="D291" s="9">
        <v>0</v>
      </c>
      <c r="E291" s="33">
        <v>0</v>
      </c>
      <c r="F291" s="9">
        <v>0</v>
      </c>
      <c r="G291" s="9">
        <v>0</v>
      </c>
      <c r="H291" s="9">
        <v>0</v>
      </c>
      <c r="I291" s="9">
        <v>0</v>
      </c>
      <c r="J291" s="9">
        <v>0</v>
      </c>
      <c r="K291" s="9">
        <v>0</v>
      </c>
      <c r="L291" s="9">
        <v>0</v>
      </c>
      <c r="M291" s="9">
        <v>0</v>
      </c>
      <c r="N291" s="9">
        <v>0</v>
      </c>
      <c r="O291" s="9">
        <v>0</v>
      </c>
      <c r="P291" s="9">
        <v>0</v>
      </c>
      <c r="Q291" s="9">
        <v>0</v>
      </c>
      <c r="R291" s="9">
        <v>0</v>
      </c>
      <c r="S291" s="9">
        <v>0</v>
      </c>
      <c r="T291" s="9">
        <v>0</v>
      </c>
      <c r="U291" s="9">
        <v>0</v>
      </c>
      <c r="V291" s="9">
        <v>0</v>
      </c>
      <c r="W291" s="9">
        <v>0</v>
      </c>
      <c r="X291" s="9">
        <v>0</v>
      </c>
      <c r="Y291" s="9">
        <v>0</v>
      </c>
      <c r="Z291" s="9">
        <v>0</v>
      </c>
      <c r="AA291" s="9">
        <v>0</v>
      </c>
      <c r="AB291" s="9">
        <v>0</v>
      </c>
      <c r="AC291" s="9">
        <v>0</v>
      </c>
      <c r="AD291" s="9">
        <v>0</v>
      </c>
      <c r="AE291" s="9">
        <v>0</v>
      </c>
      <c r="AF291" s="9">
        <v>0</v>
      </c>
      <c r="AG291" s="9">
        <v>0</v>
      </c>
      <c r="AH291" s="9">
        <v>0</v>
      </c>
      <c r="AI291" s="9">
        <v>0</v>
      </c>
      <c r="AJ291" s="9">
        <v>0</v>
      </c>
      <c r="AK291" s="28">
        <v>0</v>
      </c>
      <c r="AL291" s="9">
        <v>0</v>
      </c>
      <c r="AM291" s="9">
        <v>0</v>
      </c>
      <c r="AN291" s="28">
        <v>0</v>
      </c>
      <c r="AO291" s="9">
        <v>0</v>
      </c>
      <c r="AP291" s="9">
        <v>0</v>
      </c>
      <c r="AQ291" s="28">
        <v>0</v>
      </c>
      <c r="AR291" s="9">
        <v>0</v>
      </c>
      <c r="AS291" s="9">
        <v>0</v>
      </c>
      <c r="AT291" s="28">
        <v>0</v>
      </c>
      <c r="AU291" s="9">
        <v>0</v>
      </c>
      <c r="AV291" s="9">
        <v>0</v>
      </c>
      <c r="AW291" s="9">
        <v>0</v>
      </c>
      <c r="AX291" s="9">
        <v>0</v>
      </c>
      <c r="AY291" s="9">
        <v>0</v>
      </c>
      <c r="AZ291" s="28">
        <v>0</v>
      </c>
      <c r="BA291" s="9">
        <v>0</v>
      </c>
      <c r="BB291" s="9">
        <v>0</v>
      </c>
      <c r="BC291" s="9">
        <v>0</v>
      </c>
      <c r="BD291" s="9">
        <v>29905.56</v>
      </c>
      <c r="BE291" s="9">
        <v>24672</v>
      </c>
      <c r="BF291" s="9">
        <v>5362</v>
      </c>
      <c r="BG291" s="9">
        <v>31395.420000000002</v>
      </c>
      <c r="BH291" s="9">
        <v>25217</v>
      </c>
      <c r="BI291" s="9">
        <v>6178</v>
      </c>
      <c r="BJ291" s="9">
        <v>16490.760000000002</v>
      </c>
      <c r="BK291" s="9">
        <v>13193</v>
      </c>
      <c r="BL291" s="9">
        <v>6178</v>
      </c>
      <c r="BM291" s="9"/>
      <c r="BN291" s="9"/>
      <c r="BO291" s="9"/>
      <c r="BP291" s="9"/>
      <c r="BQ291" s="9"/>
      <c r="BR291" s="9"/>
      <c r="BS291" s="9"/>
      <c r="BT291" s="9"/>
      <c r="BU291" s="9"/>
    </row>
    <row r="292" spans="1:73">
      <c r="A292" s="6">
        <v>283</v>
      </c>
      <c r="B292" s="6" t="s">
        <v>1401</v>
      </c>
      <c r="C292" s="421">
        <v>17.5</v>
      </c>
      <c r="D292" s="9">
        <v>0</v>
      </c>
      <c r="E292" s="33">
        <v>0</v>
      </c>
      <c r="F292" s="9">
        <v>0</v>
      </c>
      <c r="G292" s="9">
        <v>0</v>
      </c>
      <c r="H292" s="9">
        <v>0</v>
      </c>
      <c r="I292" s="9">
        <v>0</v>
      </c>
      <c r="J292" s="9">
        <v>0</v>
      </c>
      <c r="K292" s="9">
        <v>0</v>
      </c>
      <c r="L292" s="9">
        <v>0</v>
      </c>
      <c r="M292" s="9">
        <v>0</v>
      </c>
      <c r="N292" s="9">
        <v>0</v>
      </c>
      <c r="O292" s="9">
        <v>0</v>
      </c>
      <c r="P292" s="9">
        <v>0</v>
      </c>
      <c r="Q292" s="9">
        <v>0</v>
      </c>
      <c r="R292" s="9">
        <v>0</v>
      </c>
      <c r="S292" s="9">
        <v>0</v>
      </c>
      <c r="T292" s="9">
        <v>0</v>
      </c>
      <c r="U292" s="9">
        <v>0</v>
      </c>
      <c r="V292" s="9">
        <v>0</v>
      </c>
      <c r="W292" s="9">
        <v>0</v>
      </c>
      <c r="X292" s="9">
        <v>0</v>
      </c>
      <c r="Y292" s="9">
        <v>0</v>
      </c>
      <c r="Z292" s="9">
        <v>0</v>
      </c>
      <c r="AA292" s="9">
        <v>0</v>
      </c>
      <c r="AB292" s="9">
        <v>0</v>
      </c>
      <c r="AC292" s="9">
        <v>0</v>
      </c>
      <c r="AD292" s="9">
        <v>0</v>
      </c>
      <c r="AE292" s="9">
        <v>0</v>
      </c>
      <c r="AF292" s="9">
        <v>0</v>
      </c>
      <c r="AG292" s="9">
        <v>0</v>
      </c>
      <c r="AH292" s="9">
        <v>0</v>
      </c>
      <c r="AI292" s="9">
        <v>0</v>
      </c>
      <c r="AJ292" s="9">
        <v>0</v>
      </c>
      <c r="AK292" s="28">
        <v>0</v>
      </c>
      <c r="AL292" s="9">
        <v>0</v>
      </c>
      <c r="AM292" s="9">
        <v>0</v>
      </c>
      <c r="AN292" s="28">
        <v>0</v>
      </c>
      <c r="AO292" s="9">
        <v>0</v>
      </c>
      <c r="AP292" s="9">
        <v>0</v>
      </c>
      <c r="AQ292" s="28">
        <v>0</v>
      </c>
      <c r="AR292" s="9">
        <v>0</v>
      </c>
      <c r="AS292" s="9">
        <v>0</v>
      </c>
      <c r="AT292" s="28">
        <v>0</v>
      </c>
      <c r="AU292" s="9">
        <v>0</v>
      </c>
      <c r="AV292" s="9">
        <v>0</v>
      </c>
      <c r="AW292" s="9">
        <v>0</v>
      </c>
      <c r="AX292" s="9">
        <v>0</v>
      </c>
      <c r="AY292" s="9">
        <v>0</v>
      </c>
      <c r="AZ292" s="28">
        <v>0</v>
      </c>
      <c r="BA292" s="9">
        <v>0</v>
      </c>
      <c r="BB292" s="9">
        <v>0</v>
      </c>
      <c r="BC292" s="9">
        <v>0</v>
      </c>
      <c r="BD292" s="9">
        <v>0</v>
      </c>
      <c r="BE292" s="9">
        <v>0</v>
      </c>
      <c r="BF292" s="9">
        <v>0</v>
      </c>
      <c r="BG292" s="9">
        <v>0</v>
      </c>
      <c r="BH292" s="9">
        <v>0</v>
      </c>
      <c r="BI292" s="9">
        <v>0</v>
      </c>
      <c r="BJ292" s="9">
        <v>0</v>
      </c>
      <c r="BK292" s="9">
        <v>0</v>
      </c>
      <c r="BL292" s="9">
        <v>0</v>
      </c>
      <c r="BM292" s="9"/>
      <c r="BN292" s="9"/>
      <c r="BO292" s="9"/>
      <c r="BP292" s="9"/>
      <c r="BQ292" s="9"/>
      <c r="BR292" s="9"/>
      <c r="BS292" s="9"/>
      <c r="BT292" s="9"/>
      <c r="BU292" s="9"/>
    </row>
    <row r="293" spans="1:73">
      <c r="A293" s="6">
        <v>284</v>
      </c>
      <c r="B293" s="6" t="s">
        <v>1402</v>
      </c>
      <c r="C293" s="421">
        <v>17.5</v>
      </c>
      <c r="D293" s="9">
        <v>20419437</v>
      </c>
      <c r="E293" s="33">
        <v>19045680</v>
      </c>
      <c r="F293" s="9">
        <v>2769263.2</v>
      </c>
      <c r="G293" s="9">
        <v>21921969.618560001</v>
      </c>
      <c r="H293" s="9">
        <v>19522076</v>
      </c>
      <c r="I293" s="9">
        <v>3032206.2</v>
      </c>
      <c r="J293" s="9">
        <v>22673086.945864055</v>
      </c>
      <c r="K293" s="9">
        <v>19670018</v>
      </c>
      <c r="L293" s="9">
        <v>3312881.2</v>
      </c>
      <c r="M293" s="9">
        <v>22727888.293199997</v>
      </c>
      <c r="N293" s="9">
        <v>19736135</v>
      </c>
      <c r="O293" s="9">
        <v>3160708.2</v>
      </c>
      <c r="P293" s="9">
        <v>371458</v>
      </c>
      <c r="Q293" s="9">
        <v>23370068.911074977</v>
      </c>
      <c r="R293" s="9">
        <v>19854576</v>
      </c>
      <c r="S293" s="9">
        <v>3461523</v>
      </c>
      <c r="T293" s="9">
        <v>53970</v>
      </c>
      <c r="U293" s="9">
        <v>22707298.597098894</v>
      </c>
      <c r="V293" s="9">
        <v>19664269</v>
      </c>
      <c r="W293" s="9">
        <v>3310118</v>
      </c>
      <c r="X293" s="9">
        <v>17770</v>
      </c>
      <c r="Y293" s="9">
        <v>252255</v>
      </c>
      <c r="Z293" s="9">
        <v>22408566.778700002</v>
      </c>
      <c r="AA293" s="9">
        <v>19761522</v>
      </c>
      <c r="AB293" s="9">
        <v>3327888</v>
      </c>
      <c r="AC293" s="9">
        <v>22578725.166379999</v>
      </c>
      <c r="AD293" s="9">
        <v>20034480</v>
      </c>
      <c r="AE293" s="9">
        <v>3483735.226029125</v>
      </c>
      <c r="AF293" s="9">
        <v>22242673.456560001</v>
      </c>
      <c r="AG293" s="9">
        <v>20042778</v>
      </c>
      <c r="AH293" s="9">
        <f>3585918.38324634+84220</f>
        <v>3670138.3832463399</v>
      </c>
      <c r="AI293" s="9">
        <v>22756236.458160002</v>
      </c>
      <c r="AJ293" s="9">
        <v>19732979</v>
      </c>
      <c r="AK293" s="28">
        <v>3779409.3832463399</v>
      </c>
      <c r="AL293" s="9">
        <v>23623782.041999996</v>
      </c>
      <c r="AM293" s="9">
        <v>19986407</v>
      </c>
      <c r="AN293" s="28">
        <v>3838859.3832463399</v>
      </c>
      <c r="AO293" s="9">
        <v>23858093.313949995</v>
      </c>
      <c r="AP293" s="9">
        <v>19851817</v>
      </c>
      <c r="AQ293" s="28">
        <v>4059406</v>
      </c>
      <c r="AR293" s="9">
        <v>24538424.857372392</v>
      </c>
      <c r="AS293" s="9">
        <v>20290210</v>
      </c>
      <c r="AT293" s="28">
        <f>4269807-21592</f>
        <v>4248215</v>
      </c>
      <c r="AU293" s="9">
        <v>25266909.403280001</v>
      </c>
      <c r="AV293" s="9">
        <v>20845200</v>
      </c>
      <c r="AW293" s="9">
        <v>4421709</v>
      </c>
      <c r="AX293" s="9">
        <v>26898862.887115043</v>
      </c>
      <c r="AY293" s="9">
        <v>21654643</v>
      </c>
      <c r="AZ293" s="28">
        <v>5266351</v>
      </c>
      <c r="BA293" s="9">
        <v>27298622.593199998</v>
      </c>
      <c r="BB293" s="9">
        <v>22148293</v>
      </c>
      <c r="BC293" s="9">
        <v>5266351</v>
      </c>
      <c r="BD293" s="9">
        <v>27721100.205059998</v>
      </c>
      <c r="BE293" s="9">
        <v>22660313</v>
      </c>
      <c r="BF293" s="9">
        <v>5337631</v>
      </c>
      <c r="BG293" s="9">
        <v>29345841.392800011</v>
      </c>
      <c r="BH293" s="9">
        <v>23608286</v>
      </c>
      <c r="BI293" s="9">
        <v>5737555</v>
      </c>
      <c r="BJ293" s="9">
        <v>32165599.711240005</v>
      </c>
      <c r="BK293" s="9">
        <v>24905971</v>
      </c>
      <c r="BL293" s="9">
        <v>7259629</v>
      </c>
      <c r="BM293" s="9"/>
      <c r="BN293" s="9"/>
      <c r="BO293" s="9"/>
      <c r="BP293" s="9"/>
      <c r="BQ293" s="9"/>
      <c r="BR293" s="9"/>
      <c r="BS293" s="9"/>
      <c r="BT293" s="9"/>
      <c r="BU293" s="9"/>
    </row>
    <row r="294" spans="1:73">
      <c r="A294" s="6">
        <v>285</v>
      </c>
      <c r="B294" s="6" t="s">
        <v>1403</v>
      </c>
      <c r="C294" s="421">
        <v>40.54</v>
      </c>
      <c r="D294" s="9">
        <v>30205157</v>
      </c>
      <c r="E294" s="33">
        <v>21534491</v>
      </c>
      <c r="F294" s="9">
        <v>8780857</v>
      </c>
      <c r="G294" s="9">
        <v>31850504.109099995</v>
      </c>
      <c r="H294" s="9">
        <v>21895939</v>
      </c>
      <c r="I294" s="9">
        <v>9954565</v>
      </c>
      <c r="J294" s="9">
        <v>33770063.061032131</v>
      </c>
      <c r="K294" s="9">
        <v>22305523</v>
      </c>
      <c r="L294" s="9">
        <v>11464540</v>
      </c>
      <c r="M294" s="9">
        <v>35164976.446949996</v>
      </c>
      <c r="N294" s="9">
        <v>22405193</v>
      </c>
      <c r="O294" s="9">
        <v>11417910</v>
      </c>
      <c r="P294" s="9">
        <v>1341873</v>
      </c>
      <c r="Q294" s="9">
        <v>35727786.25349389</v>
      </c>
      <c r="R294" s="9">
        <v>22804647</v>
      </c>
      <c r="S294" s="9">
        <v>12504587</v>
      </c>
      <c r="T294" s="9">
        <v>418552</v>
      </c>
      <c r="U294" s="9">
        <v>34710176.447902016</v>
      </c>
      <c r="V294" s="9">
        <v>22865525</v>
      </c>
      <c r="W294" s="9">
        <v>12168170</v>
      </c>
      <c r="X294" s="9">
        <v>65324</v>
      </c>
      <c r="Y294" s="9">
        <v>784845</v>
      </c>
      <c r="Z294" s="9">
        <v>35682635.053249992</v>
      </c>
      <c r="AA294" s="9">
        <v>22821888</v>
      </c>
      <c r="AB294" s="9">
        <v>12860747</v>
      </c>
      <c r="AC294" s="9">
        <v>37103273.115960002</v>
      </c>
      <c r="AD294" s="9">
        <v>23411556</v>
      </c>
      <c r="AE294" s="9">
        <v>14019928.662023555</v>
      </c>
      <c r="AF294" s="9">
        <v>37422637.886239998</v>
      </c>
      <c r="AG294" s="9">
        <v>23911700</v>
      </c>
      <c r="AH294" s="9">
        <v>14304924.148446621</v>
      </c>
      <c r="AI294" s="9">
        <v>37491590.603239998</v>
      </c>
      <c r="AJ294" s="9">
        <v>23503750</v>
      </c>
      <c r="AK294" s="28">
        <v>14600824.148446621</v>
      </c>
      <c r="AL294" s="9">
        <v>38474628.719349995</v>
      </c>
      <c r="AM294" s="9">
        <v>23660828</v>
      </c>
      <c r="AN294" s="28">
        <v>14813801</v>
      </c>
      <c r="AO294" s="9">
        <v>38325837.797450006</v>
      </c>
      <c r="AP294" s="9">
        <v>22995806</v>
      </c>
      <c r="AQ294" s="28">
        <v>15330032</v>
      </c>
      <c r="AR294" s="9">
        <v>38830414.515473194</v>
      </c>
      <c r="AS294" s="9">
        <v>23973760</v>
      </c>
      <c r="AT294" s="28">
        <v>15439562</v>
      </c>
      <c r="AU294" s="9">
        <v>41181928.998719998</v>
      </c>
      <c r="AV294" s="9">
        <v>25335924</v>
      </c>
      <c r="AW294" s="9">
        <v>15846005</v>
      </c>
      <c r="AX294" s="9">
        <v>42580952.190584734</v>
      </c>
      <c r="AY294" s="9">
        <v>26370325</v>
      </c>
      <c r="AZ294" s="28">
        <v>16210627</v>
      </c>
      <c r="BA294" s="9">
        <v>44058289.500399999</v>
      </c>
      <c r="BB294" s="9">
        <v>27084504</v>
      </c>
      <c r="BC294" s="9">
        <v>16973793</v>
      </c>
      <c r="BD294" s="9">
        <v>44927626.417459995</v>
      </c>
      <c r="BE294" s="9">
        <v>27845850</v>
      </c>
      <c r="BF294" s="9">
        <v>17235177</v>
      </c>
      <c r="BG294" s="9">
        <v>50610297.858939998</v>
      </c>
      <c r="BH294" s="9">
        <v>29115684</v>
      </c>
      <c r="BI294" s="9">
        <v>21494614</v>
      </c>
      <c r="BJ294" s="9">
        <v>56987020.295979992</v>
      </c>
      <c r="BK294" s="9">
        <v>30547654</v>
      </c>
      <c r="BL294" s="9">
        <v>26439366</v>
      </c>
      <c r="BM294" s="9"/>
      <c r="BN294" s="9"/>
      <c r="BO294" s="9"/>
      <c r="BP294" s="9"/>
      <c r="BQ294" s="9"/>
      <c r="BR294" s="9"/>
      <c r="BS294" s="9"/>
      <c r="BT294" s="9"/>
      <c r="BU294" s="9"/>
    </row>
    <row r="295" spans="1:73">
      <c r="A295" s="6">
        <v>286</v>
      </c>
      <c r="B295" s="6" t="s">
        <v>1404</v>
      </c>
      <c r="C295" s="421">
        <v>17.5</v>
      </c>
      <c r="D295" s="9">
        <v>0</v>
      </c>
      <c r="E295" s="33">
        <v>0</v>
      </c>
      <c r="F295" s="9">
        <v>0</v>
      </c>
      <c r="G295" s="9">
        <v>0</v>
      </c>
      <c r="H295" s="9">
        <v>0</v>
      </c>
      <c r="I295" s="9">
        <v>0</v>
      </c>
      <c r="J295" s="9">
        <v>0</v>
      </c>
      <c r="K295" s="9">
        <v>0</v>
      </c>
      <c r="L295" s="9">
        <v>0</v>
      </c>
      <c r="M295" s="9">
        <v>0</v>
      </c>
      <c r="N295" s="9">
        <v>0</v>
      </c>
      <c r="O295" s="9">
        <v>0</v>
      </c>
      <c r="P295" s="9">
        <v>0</v>
      </c>
      <c r="Q295" s="9">
        <v>0</v>
      </c>
      <c r="R295" s="9">
        <v>0</v>
      </c>
      <c r="S295" s="9">
        <v>0</v>
      </c>
      <c r="T295" s="9">
        <v>0</v>
      </c>
      <c r="U295" s="9">
        <v>0</v>
      </c>
      <c r="V295" s="9">
        <v>0</v>
      </c>
      <c r="W295" s="9">
        <v>0</v>
      </c>
      <c r="X295" s="9">
        <v>0</v>
      </c>
      <c r="Y295" s="9">
        <v>0</v>
      </c>
      <c r="Z295" s="9">
        <v>0</v>
      </c>
      <c r="AA295" s="9">
        <v>0</v>
      </c>
      <c r="AB295" s="9">
        <v>0</v>
      </c>
      <c r="AC295" s="9">
        <v>0</v>
      </c>
      <c r="AD295" s="9">
        <v>0</v>
      </c>
      <c r="AE295" s="9">
        <v>0</v>
      </c>
      <c r="AF295" s="9">
        <v>0</v>
      </c>
      <c r="AG295" s="9">
        <v>0</v>
      </c>
      <c r="AH295" s="9">
        <v>0</v>
      </c>
      <c r="AI295" s="9">
        <v>0</v>
      </c>
      <c r="AJ295" s="9">
        <v>0</v>
      </c>
      <c r="AK295" s="28">
        <v>0</v>
      </c>
      <c r="AL295" s="9">
        <v>13655.815820000002</v>
      </c>
      <c r="AM295" s="9">
        <v>11465</v>
      </c>
      <c r="AN295" s="28">
        <v>2191</v>
      </c>
      <c r="AO295" s="9">
        <v>13669.092180000001</v>
      </c>
      <c r="AP295" s="9">
        <v>11412</v>
      </c>
      <c r="AQ295" s="28">
        <v>2257</v>
      </c>
      <c r="AR295" s="9">
        <v>27906.769627179092</v>
      </c>
      <c r="AS295" s="9">
        <v>23174</v>
      </c>
      <c r="AT295" s="28">
        <v>4733</v>
      </c>
      <c r="AU295" s="9">
        <v>28685.840799999998</v>
      </c>
      <c r="AV295" s="9">
        <v>23666</v>
      </c>
      <c r="AW295" s="9">
        <v>5020</v>
      </c>
      <c r="AX295" s="9">
        <v>0</v>
      </c>
      <c r="AY295" s="9">
        <v>0</v>
      </c>
      <c r="AZ295" s="28">
        <v>0</v>
      </c>
      <c r="BA295" s="9">
        <v>15240.539360000001</v>
      </c>
      <c r="BB295" s="9">
        <v>12573</v>
      </c>
      <c r="BC295" s="9">
        <v>2668</v>
      </c>
      <c r="BD295" s="9">
        <v>15555.7965</v>
      </c>
      <c r="BE295" s="9">
        <v>12834</v>
      </c>
      <c r="BF295" s="9">
        <v>2736</v>
      </c>
      <c r="BG295" s="9">
        <v>0</v>
      </c>
      <c r="BH295" s="9">
        <v>0</v>
      </c>
      <c r="BI295" s="9">
        <v>0</v>
      </c>
      <c r="BJ295" s="9">
        <v>0</v>
      </c>
      <c r="BK295" s="9">
        <v>0</v>
      </c>
      <c r="BL295" s="9">
        <v>0</v>
      </c>
      <c r="BM295" s="9"/>
      <c r="BN295" s="9"/>
      <c r="BO295" s="9"/>
      <c r="BP295" s="9"/>
      <c r="BQ295" s="9"/>
      <c r="BR295" s="9"/>
      <c r="BS295" s="9"/>
      <c r="BT295" s="9"/>
      <c r="BU295" s="9"/>
    </row>
    <row r="296" spans="1:73">
      <c r="A296" s="6">
        <v>287</v>
      </c>
      <c r="B296" s="6" t="s">
        <v>1405</v>
      </c>
      <c r="C296" s="421">
        <v>41.44</v>
      </c>
      <c r="D296" s="9">
        <v>5388381</v>
      </c>
      <c r="E296" s="33">
        <v>4493704</v>
      </c>
      <c r="F296" s="9">
        <v>1078308.3999999999</v>
      </c>
      <c r="G296" s="9">
        <v>5516983.2500000009</v>
      </c>
      <c r="H296" s="9">
        <v>4220516</v>
      </c>
      <c r="I296" s="9">
        <v>1296467</v>
      </c>
      <c r="J296" s="9">
        <v>5996978.0763373207</v>
      </c>
      <c r="K296" s="9">
        <v>4176875</v>
      </c>
      <c r="L296" s="9">
        <v>1820103</v>
      </c>
      <c r="M296" s="9">
        <v>6345206.4400000004</v>
      </c>
      <c r="N296" s="9">
        <v>4283593</v>
      </c>
      <c r="O296" s="9">
        <v>1844805</v>
      </c>
      <c r="P296" s="9">
        <v>216808</v>
      </c>
      <c r="Q296" s="9">
        <v>6820126.4317856468</v>
      </c>
      <c r="R296" s="9">
        <v>4456964</v>
      </c>
      <c r="S296" s="9">
        <v>2020381</v>
      </c>
      <c r="T296" s="9">
        <v>342781</v>
      </c>
      <c r="U296" s="9">
        <v>6646558.3768799985</v>
      </c>
      <c r="V296" s="9">
        <v>4437863</v>
      </c>
      <c r="W296" s="9">
        <v>2225107</v>
      </c>
      <c r="X296" s="9">
        <v>11945</v>
      </c>
      <c r="Y296" s="9">
        <v>146635</v>
      </c>
      <c r="Z296" s="9">
        <v>6992372.2599999998</v>
      </c>
      <c r="AA296" s="9">
        <v>4640856</v>
      </c>
      <c r="AB296" s="9">
        <v>2351516</v>
      </c>
      <c r="AC296" s="9">
        <v>7793154.3099999987</v>
      </c>
      <c r="AD296" s="9">
        <v>5063140</v>
      </c>
      <c r="AE296" s="9">
        <v>2770520.3911102498</v>
      </c>
      <c r="AF296" s="9">
        <v>7764309.5599999996</v>
      </c>
      <c r="AG296" s="9">
        <v>4966483</v>
      </c>
      <c r="AH296" s="9">
        <v>2865678.1422669999</v>
      </c>
      <c r="AI296" s="9">
        <v>8029576.1899999995</v>
      </c>
      <c r="AJ296" s="9">
        <v>4960281</v>
      </c>
      <c r="AK296" s="28">
        <v>3069295</v>
      </c>
      <c r="AL296" s="9">
        <v>8483866.0799999982</v>
      </c>
      <c r="AM296" s="9">
        <v>4983525</v>
      </c>
      <c r="AN296" s="28">
        <v>3500341</v>
      </c>
      <c r="AO296" s="9">
        <v>8568351.209999999</v>
      </c>
      <c r="AP296" s="9">
        <v>4799267</v>
      </c>
      <c r="AQ296" s="28">
        <v>3769084</v>
      </c>
      <c r="AR296" s="9">
        <v>8170415.9676968697</v>
      </c>
      <c r="AS296" s="9">
        <v>4697967</v>
      </c>
      <c r="AT296" s="28">
        <v>3795214</v>
      </c>
      <c r="AU296" s="9">
        <v>8423098.5899999999</v>
      </c>
      <c r="AV296" s="9">
        <v>4848123</v>
      </c>
      <c r="AW296" s="9">
        <v>3821314</v>
      </c>
      <c r="AX296" s="9">
        <v>8568656.4989129324</v>
      </c>
      <c r="AY296" s="9">
        <v>4956813</v>
      </c>
      <c r="AZ296" s="28">
        <v>3846634</v>
      </c>
      <c r="BA296" s="9">
        <v>8866569.3900000006</v>
      </c>
      <c r="BB296" s="9">
        <v>5185477</v>
      </c>
      <c r="BC296" s="9">
        <v>3846634</v>
      </c>
      <c r="BD296" s="9">
        <v>8608625.4299999997</v>
      </c>
      <c r="BE296" s="9">
        <v>5070480</v>
      </c>
      <c r="BF296" s="9">
        <v>3870754</v>
      </c>
      <c r="BG296" s="9">
        <v>9620721.5300000012</v>
      </c>
      <c r="BH296" s="9">
        <v>5377239</v>
      </c>
      <c r="BI296" s="9">
        <v>4243483</v>
      </c>
      <c r="BJ296" s="9">
        <v>10737439.589999998</v>
      </c>
      <c r="BK296" s="9">
        <v>6009212</v>
      </c>
      <c r="BL296" s="9">
        <v>4728228</v>
      </c>
      <c r="BM296" s="9"/>
      <c r="BN296" s="9"/>
      <c r="BO296" s="9"/>
      <c r="BP296" s="9"/>
      <c r="BQ296" s="9"/>
      <c r="BR296" s="9"/>
      <c r="BS296" s="9"/>
      <c r="BT296" s="9"/>
      <c r="BU296" s="9"/>
    </row>
    <row r="297" spans="1:73">
      <c r="A297" s="6">
        <v>288</v>
      </c>
      <c r="B297" s="6" t="s">
        <v>1406</v>
      </c>
      <c r="C297" s="421">
        <v>17.5</v>
      </c>
      <c r="D297" s="9">
        <v>21263672</v>
      </c>
      <c r="E297" s="33">
        <v>18207063</v>
      </c>
      <c r="F297" s="9">
        <v>3502825</v>
      </c>
      <c r="G297" s="9">
        <v>22258494.250949997</v>
      </c>
      <c r="H297" s="9">
        <v>18693151</v>
      </c>
      <c r="I297" s="9">
        <v>3676919</v>
      </c>
      <c r="J297" s="9">
        <v>23679206.276443515</v>
      </c>
      <c r="K297" s="9">
        <v>19595273</v>
      </c>
      <c r="L297" s="9">
        <v>4083933</v>
      </c>
      <c r="M297" s="9">
        <v>24596035.436999999</v>
      </c>
      <c r="N297" s="9">
        <v>20228054</v>
      </c>
      <c r="O297" s="9">
        <v>3908626</v>
      </c>
      <c r="P297" s="9">
        <v>459355</v>
      </c>
      <c r="Q297" s="9">
        <v>25394888.37452016</v>
      </c>
      <c r="R297" s="9">
        <v>20950783</v>
      </c>
      <c r="S297" s="9">
        <v>4280621</v>
      </c>
      <c r="T297" s="9">
        <v>163484</v>
      </c>
      <c r="U297" s="9">
        <v>24480270.235956777</v>
      </c>
      <c r="V297" s="9">
        <v>21160359</v>
      </c>
      <c r="W297" s="9">
        <v>4184481</v>
      </c>
      <c r="X297" s="9">
        <v>22464</v>
      </c>
      <c r="Y297" s="9">
        <v>312735</v>
      </c>
      <c r="Z297" s="9">
        <v>24225298.832720004</v>
      </c>
      <c r="AA297" s="9">
        <v>21111921</v>
      </c>
      <c r="AB297" s="9">
        <v>4206945</v>
      </c>
      <c r="AC297" s="9">
        <v>25075914.117840003</v>
      </c>
      <c r="AD297" s="9">
        <v>21703788</v>
      </c>
      <c r="AE297" s="9">
        <v>4325145</v>
      </c>
      <c r="AF297" s="9">
        <v>24959360.853349999</v>
      </c>
      <c r="AG297" s="9">
        <v>21986344</v>
      </c>
      <c r="AH297" s="9">
        <v>4397070</v>
      </c>
      <c r="AI297" s="9">
        <v>24443508.479559995</v>
      </c>
      <c r="AJ297" s="9">
        <v>21216573</v>
      </c>
      <c r="AK297" s="28">
        <v>4466220</v>
      </c>
      <c r="AL297" s="9">
        <v>24450575.494369991</v>
      </c>
      <c r="AM297" s="9">
        <v>21153252</v>
      </c>
      <c r="AN297" s="28">
        <v>4534395</v>
      </c>
      <c r="AO297" s="9">
        <v>25153175.96328</v>
      </c>
      <c r="AP297" s="9">
        <v>20930012</v>
      </c>
      <c r="AQ297" s="28">
        <f>4688560+56978</f>
        <v>4745538</v>
      </c>
      <c r="AR297" s="9">
        <v>25474395.707632355</v>
      </c>
      <c r="AS297" s="9">
        <v>21173624</v>
      </c>
      <c r="AT297" s="28">
        <v>4829178</v>
      </c>
      <c r="AU297" s="9">
        <v>25690225.098839991</v>
      </c>
      <c r="AV297" s="9">
        <v>21194436</v>
      </c>
      <c r="AW297" s="9">
        <v>4910568</v>
      </c>
      <c r="AX297" s="9">
        <v>25917962.070728827</v>
      </c>
      <c r="AY297" s="9">
        <v>21382319</v>
      </c>
      <c r="AZ297" s="28">
        <v>4990518</v>
      </c>
      <c r="BA297" s="9">
        <v>26639866.135919996</v>
      </c>
      <c r="BB297" s="9">
        <v>21977890</v>
      </c>
      <c r="BC297" s="9">
        <v>4990518</v>
      </c>
      <c r="BD297" s="9">
        <v>25581450.369169995</v>
      </c>
      <c r="BE297" s="9">
        <v>21104696</v>
      </c>
      <c r="BF297" s="9">
        <v>5066238</v>
      </c>
      <c r="BG297" s="9">
        <v>26839555.450000003</v>
      </c>
      <c r="BH297" s="9">
        <v>21886829</v>
      </c>
      <c r="BI297" s="9">
        <v>5215698</v>
      </c>
      <c r="BJ297" s="9">
        <v>28628096.43</v>
      </c>
      <c r="BK297" s="9">
        <v>23070588</v>
      </c>
      <c r="BL297" s="9">
        <v>5557508</v>
      </c>
      <c r="BM297" s="9"/>
      <c r="BN297" s="9"/>
      <c r="BO297" s="9"/>
      <c r="BP297" s="9"/>
      <c r="BQ297" s="9"/>
      <c r="BR297" s="9"/>
      <c r="BS297" s="9"/>
      <c r="BT297" s="9"/>
      <c r="BU297" s="9"/>
    </row>
    <row r="298" spans="1:73">
      <c r="A298" s="6">
        <v>289</v>
      </c>
      <c r="B298" s="6" t="s">
        <v>1407</v>
      </c>
      <c r="C298" s="421">
        <v>17.5</v>
      </c>
      <c r="D298" s="9">
        <v>1491367</v>
      </c>
      <c r="E298" s="33">
        <v>811746</v>
      </c>
      <c r="F298" s="9">
        <v>843699</v>
      </c>
      <c r="G298" s="9">
        <v>1434832.39</v>
      </c>
      <c r="H298" s="9">
        <v>731500</v>
      </c>
      <c r="I298" s="9">
        <v>853199</v>
      </c>
      <c r="J298" s="9">
        <v>1506338.8093238133</v>
      </c>
      <c r="K298" s="9">
        <v>728448</v>
      </c>
      <c r="L298" s="9">
        <v>877325</v>
      </c>
      <c r="M298" s="9">
        <v>1550511.91</v>
      </c>
      <c r="N298" s="9">
        <v>767335</v>
      </c>
      <c r="O298" s="9">
        <v>797608</v>
      </c>
      <c r="P298" s="9">
        <v>93738</v>
      </c>
      <c r="Q298" s="9">
        <v>1651251.6745186604</v>
      </c>
      <c r="R298" s="9">
        <v>1124871</v>
      </c>
      <c r="S298" s="9">
        <v>873519</v>
      </c>
      <c r="T298" s="9">
        <v>0</v>
      </c>
      <c r="U298" s="9">
        <v>1426674.3802799999</v>
      </c>
      <c r="V298" s="9">
        <v>1068529</v>
      </c>
      <c r="W298" s="9">
        <v>822488</v>
      </c>
      <c r="X298" s="9">
        <v>4415</v>
      </c>
      <c r="Y298" s="9">
        <v>50791</v>
      </c>
      <c r="Z298" s="9">
        <v>1427166.29</v>
      </c>
      <c r="AA298" s="9">
        <v>1106475</v>
      </c>
      <c r="AB298" s="9">
        <v>826903</v>
      </c>
      <c r="AC298" s="9">
        <v>1450167.1600000001</v>
      </c>
      <c r="AD298" s="9">
        <v>1171657</v>
      </c>
      <c r="AE298" s="9">
        <v>833063</v>
      </c>
      <c r="AF298" s="9">
        <v>1488182.91</v>
      </c>
      <c r="AG298" s="9">
        <v>1281235</v>
      </c>
      <c r="AH298" s="9">
        <v>836963</v>
      </c>
      <c r="AI298" s="9">
        <v>1659835.8300000003</v>
      </c>
      <c r="AJ298" s="9">
        <v>1346071</v>
      </c>
      <c r="AK298" s="28">
        <v>841288</v>
      </c>
      <c r="AL298" s="9">
        <v>1744222.4</v>
      </c>
      <c r="AM298" s="9">
        <v>1440699</v>
      </c>
      <c r="AN298" s="28">
        <v>845663</v>
      </c>
      <c r="AO298" s="9">
        <v>1863761.3099999998</v>
      </c>
      <c r="AP298" s="9">
        <v>1490797</v>
      </c>
      <c r="AQ298" s="28">
        <v>855618</v>
      </c>
      <c r="AR298" s="9">
        <v>2030461.9982605327</v>
      </c>
      <c r="AS298" s="9">
        <v>1547169</v>
      </c>
      <c r="AT298" s="28">
        <v>861528</v>
      </c>
      <c r="AU298" s="9">
        <v>2072735.7500000005</v>
      </c>
      <c r="AV298" s="9">
        <v>1562671</v>
      </c>
      <c r="AW298" s="9">
        <v>867288</v>
      </c>
      <c r="AX298" s="9">
        <v>2147362.3185696225</v>
      </c>
      <c r="AY298" s="9">
        <v>1649338</v>
      </c>
      <c r="AZ298" s="28">
        <v>872838</v>
      </c>
      <c r="BA298" s="9">
        <v>2034470.88</v>
      </c>
      <c r="BB298" s="9">
        <v>1662285</v>
      </c>
      <c r="BC298" s="9">
        <v>872838</v>
      </c>
      <c r="BD298" s="9">
        <v>1721299.0999999999</v>
      </c>
      <c r="BE298" s="9">
        <v>1420072</v>
      </c>
      <c r="BF298" s="9">
        <v>877068</v>
      </c>
      <c r="BG298" s="9">
        <v>2091284.38</v>
      </c>
      <c r="BH298" s="9">
        <v>1575365</v>
      </c>
      <c r="BI298" s="9">
        <v>886728</v>
      </c>
      <c r="BJ298" s="9">
        <v>1946645.5199999998</v>
      </c>
      <c r="BK298" s="9">
        <v>1555821</v>
      </c>
      <c r="BL298" s="9">
        <v>895488</v>
      </c>
      <c r="BM298" s="9"/>
      <c r="BN298" s="9"/>
      <c r="BO298" s="9"/>
      <c r="BP298" s="9"/>
      <c r="BQ298" s="9"/>
      <c r="BR298" s="9"/>
      <c r="BS298" s="9"/>
      <c r="BT298" s="9"/>
      <c r="BU298" s="9"/>
    </row>
    <row r="299" spans="1:73">
      <c r="A299" s="6">
        <v>290</v>
      </c>
      <c r="B299" s="6" t="s">
        <v>1408</v>
      </c>
      <c r="C299" s="421">
        <v>17.5</v>
      </c>
      <c r="D299" s="9">
        <v>11351923</v>
      </c>
      <c r="E299" s="33">
        <v>6730648</v>
      </c>
      <c r="F299" s="9">
        <v>4751948</v>
      </c>
      <c r="G299" s="9">
        <v>12029949.919999998</v>
      </c>
      <c r="H299" s="9">
        <v>7218489</v>
      </c>
      <c r="I299" s="9">
        <v>5011361</v>
      </c>
      <c r="J299" s="9">
        <v>12654100.683758389</v>
      </c>
      <c r="K299" s="9">
        <v>7579591</v>
      </c>
      <c r="L299" s="9">
        <v>5245542</v>
      </c>
      <c r="M299" s="9">
        <v>13334009.530000001</v>
      </c>
      <c r="N299" s="9">
        <v>8022384</v>
      </c>
      <c r="O299" s="9">
        <v>4918279</v>
      </c>
      <c r="P299" s="9">
        <v>578013</v>
      </c>
      <c r="Q299" s="9">
        <v>13738054.398713876</v>
      </c>
      <c r="R299" s="9">
        <v>8347934</v>
      </c>
      <c r="S299" s="9">
        <v>5386366</v>
      </c>
      <c r="T299" s="9">
        <v>3754</v>
      </c>
      <c r="U299" s="9">
        <v>13180445.080379996</v>
      </c>
      <c r="V299" s="9">
        <v>8462731</v>
      </c>
      <c r="W299" s="9">
        <v>5075229</v>
      </c>
      <c r="X299" s="9">
        <v>27246</v>
      </c>
      <c r="Y299" s="9">
        <v>327595</v>
      </c>
      <c r="Z299" s="9">
        <v>13280919.139999997</v>
      </c>
      <c r="AA299" s="9">
        <v>8832665</v>
      </c>
      <c r="AB299" s="9">
        <v>5102475</v>
      </c>
      <c r="AC299" s="9">
        <v>13287888.290000001</v>
      </c>
      <c r="AD299" s="9">
        <v>9081755</v>
      </c>
      <c r="AE299" s="9">
        <v>5163355</v>
      </c>
      <c r="AF299" s="9">
        <v>13559813.799999999</v>
      </c>
      <c r="AG299" s="9">
        <v>9456038</v>
      </c>
      <c r="AH299" s="9">
        <v>5201455</v>
      </c>
      <c r="AI299" s="9">
        <v>13581958.960000001</v>
      </c>
      <c r="AJ299" s="9">
        <v>9692460</v>
      </c>
      <c r="AK299" s="28">
        <v>5239230</v>
      </c>
      <c r="AL299" s="9">
        <v>13719822.630000001</v>
      </c>
      <c r="AM299" s="9">
        <v>9853703</v>
      </c>
      <c r="AN299" s="28">
        <v>5276480</v>
      </c>
      <c r="AO299" s="9">
        <v>13322264.810000002</v>
      </c>
      <c r="AP299" s="9">
        <v>9795149</v>
      </c>
      <c r="AQ299" s="28">
        <v>5355735</v>
      </c>
      <c r="AR299" s="9">
        <v>13414412.031556375</v>
      </c>
      <c r="AS299" s="9">
        <v>9713548</v>
      </c>
      <c r="AT299" s="28">
        <v>5398395</v>
      </c>
      <c r="AU299" s="9">
        <v>13539897.419999996</v>
      </c>
      <c r="AV299" s="9">
        <v>9968231</v>
      </c>
      <c r="AW299" s="9">
        <v>5440035</v>
      </c>
      <c r="AX299" s="9">
        <v>13566435.924644973</v>
      </c>
      <c r="AY299" s="9">
        <v>10402774</v>
      </c>
      <c r="AZ299" s="28">
        <v>5479815</v>
      </c>
      <c r="BA299" s="9">
        <v>13916186.880000001</v>
      </c>
      <c r="BB299" s="9">
        <v>10856059</v>
      </c>
      <c r="BC299" s="9">
        <v>5479815</v>
      </c>
      <c r="BD299" s="9">
        <v>13690363.949999999</v>
      </c>
      <c r="BE299" s="9">
        <v>11091587</v>
      </c>
      <c r="BF299" s="9">
        <v>5517525</v>
      </c>
      <c r="BG299" s="9">
        <v>14448148.280000001</v>
      </c>
      <c r="BH299" s="9">
        <v>11629509</v>
      </c>
      <c r="BI299" s="9">
        <v>5591685</v>
      </c>
      <c r="BJ299" s="9">
        <v>16076441.029999997</v>
      </c>
      <c r="BK299" s="9">
        <v>12750768</v>
      </c>
      <c r="BL299" s="9">
        <v>5669325</v>
      </c>
      <c r="BM299" s="9"/>
      <c r="BN299" s="9"/>
      <c r="BO299" s="9"/>
      <c r="BP299" s="9"/>
      <c r="BQ299" s="9"/>
      <c r="BR299" s="9"/>
      <c r="BS299" s="9"/>
      <c r="BT299" s="9"/>
      <c r="BU299" s="9"/>
    </row>
    <row r="300" spans="1:73">
      <c r="A300" s="6">
        <v>291</v>
      </c>
      <c r="B300" s="6" t="s">
        <v>1409</v>
      </c>
      <c r="C300" s="421">
        <v>17.5</v>
      </c>
      <c r="D300" s="9">
        <v>15093910</v>
      </c>
      <c r="E300" s="33">
        <v>15315544</v>
      </c>
      <c r="F300" s="9">
        <v>2051980.4</v>
      </c>
      <c r="G300" s="9">
        <v>16210766.109999999</v>
      </c>
      <c r="H300" s="9">
        <v>15382522</v>
      </c>
      <c r="I300" s="9">
        <v>2247430.4</v>
      </c>
      <c r="J300" s="9">
        <v>17414723.955687378</v>
      </c>
      <c r="K300" s="9">
        <v>15557542</v>
      </c>
      <c r="L300" s="9">
        <v>2487474.4</v>
      </c>
      <c r="M300" s="9">
        <v>17927585.210000001</v>
      </c>
      <c r="N300" s="9">
        <v>15655737</v>
      </c>
      <c r="O300" s="9">
        <v>2417779.4</v>
      </c>
      <c r="P300" s="9">
        <v>284146</v>
      </c>
      <c r="Q300" s="9">
        <v>18487892.611490913</v>
      </c>
      <c r="R300" s="9">
        <v>15778863</v>
      </c>
      <c r="S300" s="9">
        <v>2647887</v>
      </c>
      <c r="T300" s="9">
        <v>61143</v>
      </c>
      <c r="U300" s="9">
        <v>18190629.378119998</v>
      </c>
      <c r="V300" s="9">
        <v>16021305</v>
      </c>
      <c r="W300" s="9">
        <v>2550769</v>
      </c>
      <c r="X300" s="9">
        <v>13694</v>
      </c>
      <c r="Y300" s="9">
        <v>198667</v>
      </c>
      <c r="Z300" s="9">
        <v>18506840.309999999</v>
      </c>
      <c r="AA300" s="9">
        <v>16211795</v>
      </c>
      <c r="AB300" s="9">
        <v>2564463</v>
      </c>
      <c r="AC300" s="9">
        <v>19282648.440000001</v>
      </c>
      <c r="AD300" s="9">
        <v>16709525</v>
      </c>
      <c r="AE300" s="9">
        <v>2773458.11925</v>
      </c>
      <c r="AF300" s="9">
        <v>19665111.27</v>
      </c>
      <c r="AG300" s="9">
        <v>17029285</v>
      </c>
      <c r="AH300" s="9">
        <f>2940442.2075+16844</f>
        <v>2957286.2075</v>
      </c>
      <c r="AI300" s="9">
        <v>19890269.34</v>
      </c>
      <c r="AJ300" s="9">
        <v>16959906</v>
      </c>
      <c r="AK300" s="28">
        <v>3140515.2075</v>
      </c>
      <c r="AL300" s="9">
        <v>20062283.009999998</v>
      </c>
      <c r="AM300" s="9">
        <v>17079677</v>
      </c>
      <c r="AN300" s="28">
        <v>3193515.2075</v>
      </c>
      <c r="AO300" s="9">
        <v>20368467.029999997</v>
      </c>
      <c r="AP300" s="9">
        <v>16975480</v>
      </c>
      <c r="AQ300" s="28">
        <v>3392987</v>
      </c>
      <c r="AR300" s="9">
        <v>20655963.815009337</v>
      </c>
      <c r="AS300" s="9">
        <v>17159833</v>
      </c>
      <c r="AT300" s="28">
        <v>3496131</v>
      </c>
      <c r="AU300" s="9">
        <v>21383228.149999999</v>
      </c>
      <c r="AV300" s="9">
        <v>17641164</v>
      </c>
      <c r="AW300" s="9">
        <v>3742064</v>
      </c>
      <c r="AX300" s="9">
        <v>22677171.816726971</v>
      </c>
      <c r="AY300" s="9">
        <v>18340193</v>
      </c>
      <c r="AZ300" s="28">
        <v>4351751</v>
      </c>
      <c r="BA300" s="9">
        <v>23409223.779999994</v>
      </c>
      <c r="BB300" s="9">
        <v>18964138</v>
      </c>
      <c r="BC300" s="9">
        <v>4447386</v>
      </c>
      <c r="BD300" s="9">
        <v>23502231.440000005</v>
      </c>
      <c r="BE300" s="9">
        <v>19389341</v>
      </c>
      <c r="BF300" s="9">
        <v>4509966</v>
      </c>
      <c r="BG300" s="9">
        <v>24578055.190000001</v>
      </c>
      <c r="BH300" s="9">
        <v>20086942</v>
      </c>
      <c r="BI300" s="9">
        <v>4631706</v>
      </c>
      <c r="BJ300" s="9">
        <v>26012947.399999999</v>
      </c>
      <c r="BK300" s="9">
        <v>20898493</v>
      </c>
      <c r="BL300" s="9">
        <v>5114454</v>
      </c>
      <c r="BM300" s="9"/>
      <c r="BN300" s="9"/>
      <c r="BO300" s="9"/>
      <c r="BP300" s="9"/>
      <c r="BQ300" s="9"/>
      <c r="BR300" s="9"/>
      <c r="BS300" s="9"/>
      <c r="BT300" s="9"/>
      <c r="BU300" s="9"/>
    </row>
    <row r="301" spans="1:73">
      <c r="A301" s="6">
        <v>292</v>
      </c>
      <c r="B301" s="6" t="s">
        <v>1410</v>
      </c>
      <c r="C301" s="421">
        <v>33.840000000000003</v>
      </c>
      <c r="D301" s="9">
        <v>14565457</v>
      </c>
      <c r="E301" s="33">
        <v>11774730</v>
      </c>
      <c r="F301" s="9">
        <v>4075230.8</v>
      </c>
      <c r="G301" s="9">
        <v>15460786.719999999</v>
      </c>
      <c r="H301" s="9">
        <v>11848674</v>
      </c>
      <c r="I301" s="9">
        <v>4383582.8</v>
      </c>
      <c r="J301" s="9">
        <v>16127292.304335002</v>
      </c>
      <c r="K301" s="9">
        <v>12243842</v>
      </c>
      <c r="L301" s="9">
        <v>4579268.8</v>
      </c>
      <c r="M301" s="9">
        <v>16666358.550000001</v>
      </c>
      <c r="N301" s="9">
        <v>12395050</v>
      </c>
      <c r="O301" s="9">
        <v>4237389.8</v>
      </c>
      <c r="P301" s="9">
        <v>497993</v>
      </c>
      <c r="Q301" s="9">
        <v>17381654.481270812</v>
      </c>
      <c r="R301" s="9">
        <v>12399806</v>
      </c>
      <c r="S301" s="9">
        <v>4640675</v>
      </c>
      <c r="T301" s="9">
        <v>341173</v>
      </c>
      <c r="U301" s="9">
        <v>17156168.303639997</v>
      </c>
      <c r="V301" s="9">
        <v>12593443</v>
      </c>
      <c r="W301" s="9">
        <v>4690809</v>
      </c>
      <c r="X301" s="9">
        <v>25182</v>
      </c>
      <c r="Y301" s="9">
        <v>316157</v>
      </c>
      <c r="Z301" s="9">
        <v>17312134.07</v>
      </c>
      <c r="AA301" s="9">
        <v>12740418</v>
      </c>
      <c r="AB301" s="9">
        <v>4715991</v>
      </c>
      <c r="AC301" s="9">
        <v>18589115.77</v>
      </c>
      <c r="AD301" s="9">
        <v>13137149</v>
      </c>
      <c r="AE301" s="9">
        <v>5657431.8930937499</v>
      </c>
      <c r="AF301" s="9">
        <v>19231862.370000001</v>
      </c>
      <c r="AG301" s="9">
        <v>13411309</v>
      </c>
      <c r="AH301" s="9">
        <v>6098205.5495370002</v>
      </c>
      <c r="AI301" s="9">
        <v>19734625.710000001</v>
      </c>
      <c r="AJ301" s="9">
        <v>13253165</v>
      </c>
      <c r="AK301" s="28">
        <v>6481461</v>
      </c>
      <c r="AL301" s="9">
        <v>20558168.07</v>
      </c>
      <c r="AM301" s="9">
        <v>13514200</v>
      </c>
      <c r="AN301" s="28">
        <v>7043968</v>
      </c>
      <c r="AO301" s="9">
        <v>19920849.289999999</v>
      </c>
      <c r="AP301" s="9">
        <v>12860612</v>
      </c>
      <c r="AQ301" s="28">
        <v>7327857</v>
      </c>
      <c r="AR301" s="9">
        <v>20221515.14252951</v>
      </c>
      <c r="AS301" s="9">
        <v>12930499</v>
      </c>
      <c r="AT301" s="28">
        <f>7716864-327537</f>
        <v>7389327</v>
      </c>
      <c r="AU301" s="9">
        <v>21190611.529999997</v>
      </c>
      <c r="AV301" s="9">
        <v>13387790</v>
      </c>
      <c r="AW301" s="9">
        <v>8081352.9380667778</v>
      </c>
      <c r="AX301" s="9">
        <v>22235382.677427534</v>
      </c>
      <c r="AY301" s="9">
        <v>13936344</v>
      </c>
      <c r="AZ301" s="28">
        <v>8449049</v>
      </c>
      <c r="BA301" s="9">
        <v>22877752.370000001</v>
      </c>
      <c r="BB301" s="9">
        <v>14533757</v>
      </c>
      <c r="BC301" s="9">
        <v>8449049</v>
      </c>
      <c r="BD301" s="9">
        <v>23940769.109999999</v>
      </c>
      <c r="BE301" s="9">
        <v>14745527</v>
      </c>
      <c r="BF301" s="9">
        <v>9195242</v>
      </c>
      <c r="BG301" s="9">
        <v>25270425.829999994</v>
      </c>
      <c r="BH301" s="9">
        <v>15443111</v>
      </c>
      <c r="BI301" s="9">
        <v>9827315</v>
      </c>
      <c r="BJ301" s="9">
        <v>26694462.580000002</v>
      </c>
      <c r="BK301" s="9">
        <v>16252187</v>
      </c>
      <c r="BL301" s="9">
        <v>10442276</v>
      </c>
      <c r="BM301" s="9"/>
      <c r="BN301" s="9"/>
      <c r="BO301" s="9"/>
      <c r="BP301" s="9"/>
      <c r="BQ301" s="9"/>
      <c r="BR301" s="9"/>
      <c r="BS301" s="9"/>
      <c r="BT301" s="9"/>
      <c r="BU301" s="9"/>
    </row>
    <row r="302" spans="1:73">
      <c r="A302" s="6">
        <v>293</v>
      </c>
      <c r="B302" s="6" t="s">
        <v>1411</v>
      </c>
      <c r="C302" s="421">
        <v>63.06</v>
      </c>
      <c r="D302" s="9">
        <v>64458276</v>
      </c>
      <c r="E302" s="33">
        <v>23828389</v>
      </c>
      <c r="F302" s="9">
        <v>40629887</v>
      </c>
      <c r="G302" s="9">
        <v>66658595.349999994</v>
      </c>
      <c r="H302" s="9">
        <v>25423363</v>
      </c>
      <c r="I302" s="9">
        <v>41894411</v>
      </c>
      <c r="J302" s="9">
        <v>69472944.332918555</v>
      </c>
      <c r="K302" s="9">
        <v>26621725</v>
      </c>
      <c r="L302" s="9">
        <v>43477482</v>
      </c>
      <c r="M302" s="9">
        <v>72404300.269999996</v>
      </c>
      <c r="N302" s="9">
        <v>27417594</v>
      </c>
      <c r="O302" s="9">
        <v>40398788</v>
      </c>
      <c r="P302" s="9">
        <v>4747808</v>
      </c>
      <c r="Q302" s="9">
        <v>74169525.406621993</v>
      </c>
      <c r="R302" s="9">
        <v>27604965</v>
      </c>
      <c r="S302" s="9">
        <v>44243664</v>
      </c>
      <c r="T302" s="9">
        <v>2320896</v>
      </c>
      <c r="U302" s="9">
        <v>72854522.334359989</v>
      </c>
      <c r="V302" s="9">
        <v>28606446</v>
      </c>
      <c r="W302" s="9">
        <v>43844262</v>
      </c>
      <c r="X302" s="9">
        <v>235375</v>
      </c>
      <c r="Y302" s="9">
        <v>2681198</v>
      </c>
      <c r="Z302" s="9">
        <v>75257775.25999999</v>
      </c>
      <c r="AA302" s="9">
        <v>29692749</v>
      </c>
      <c r="AB302" s="9">
        <v>45565026</v>
      </c>
      <c r="AC302" s="9">
        <v>78583025.370000005</v>
      </c>
      <c r="AD302" s="9">
        <v>30952805</v>
      </c>
      <c r="AE302" s="9">
        <v>47630220</v>
      </c>
      <c r="AF302" s="9">
        <v>79522976.520000011</v>
      </c>
      <c r="AG302" s="9">
        <v>32366269</v>
      </c>
      <c r="AH302" s="9">
        <v>47822170</v>
      </c>
      <c r="AI302" s="9">
        <v>83736224.63000001</v>
      </c>
      <c r="AJ302" s="9">
        <v>33362611</v>
      </c>
      <c r="AK302" s="28">
        <v>50373614</v>
      </c>
      <c r="AL302" s="9">
        <v>86795145.73999998</v>
      </c>
      <c r="AM302" s="9">
        <v>33623458</v>
      </c>
      <c r="AN302" s="28">
        <v>53171688</v>
      </c>
      <c r="AO302" s="9">
        <v>89152710</v>
      </c>
      <c r="AP302" s="9">
        <v>33343214</v>
      </c>
      <c r="AQ302" s="28">
        <v>55809496</v>
      </c>
      <c r="AR302" s="9">
        <v>91224275.812842891</v>
      </c>
      <c r="AS302" s="9">
        <v>33052858</v>
      </c>
      <c r="AT302" s="28">
        <v>58171418</v>
      </c>
      <c r="AU302" s="9">
        <v>94602367.189999998</v>
      </c>
      <c r="AV302" s="9">
        <v>34133205</v>
      </c>
      <c r="AW302" s="9">
        <v>60469162</v>
      </c>
      <c r="AX302" s="9">
        <v>100148666.35428402</v>
      </c>
      <c r="AY302" s="9">
        <v>35674642</v>
      </c>
      <c r="AZ302" s="28">
        <v>64474024</v>
      </c>
      <c r="BA302" s="9">
        <v>103523189.69</v>
      </c>
      <c r="BB302" s="9">
        <v>36893138</v>
      </c>
      <c r="BC302" s="9">
        <v>66638377</v>
      </c>
      <c r="BD302" s="9">
        <v>107043467.58</v>
      </c>
      <c r="BE302" s="9">
        <v>38153915</v>
      </c>
      <c r="BF302" s="9">
        <v>68896940</v>
      </c>
      <c r="BG302" s="9">
        <v>118729147.73</v>
      </c>
      <c r="BH302" s="9">
        <v>40100760</v>
      </c>
      <c r="BI302" s="9">
        <v>78628388</v>
      </c>
      <c r="BJ302" s="9">
        <v>131396476.31</v>
      </c>
      <c r="BK302" s="9">
        <v>42467828</v>
      </c>
      <c r="BL302" s="9">
        <v>88928648</v>
      </c>
      <c r="BM302" s="9"/>
      <c r="BN302" s="9"/>
      <c r="BO302" s="9"/>
      <c r="BP302" s="9"/>
      <c r="BQ302" s="9"/>
      <c r="BR302" s="9"/>
      <c r="BS302" s="9"/>
      <c r="BT302" s="9"/>
      <c r="BU302" s="9"/>
    </row>
    <row r="303" spans="1:73">
      <c r="A303" s="6">
        <v>294</v>
      </c>
      <c r="B303" s="6" t="s">
        <v>1412</v>
      </c>
      <c r="C303" s="421">
        <v>60.68</v>
      </c>
      <c r="D303" s="9">
        <v>0</v>
      </c>
      <c r="E303" s="33">
        <v>0</v>
      </c>
      <c r="F303" s="9">
        <v>0</v>
      </c>
      <c r="G303" s="9">
        <v>0</v>
      </c>
      <c r="H303" s="9">
        <v>0</v>
      </c>
      <c r="I303" s="9">
        <v>0</v>
      </c>
      <c r="J303" s="9">
        <v>0</v>
      </c>
      <c r="K303" s="9">
        <v>0</v>
      </c>
      <c r="L303" s="9">
        <v>0</v>
      </c>
      <c r="M303" s="9">
        <v>0</v>
      </c>
      <c r="N303" s="9">
        <v>0</v>
      </c>
      <c r="O303" s="9">
        <v>0</v>
      </c>
      <c r="P303" s="9">
        <v>0</v>
      </c>
      <c r="Q303" s="9">
        <v>0</v>
      </c>
      <c r="R303" s="9">
        <v>0</v>
      </c>
      <c r="S303" s="9">
        <v>0</v>
      </c>
      <c r="T303" s="9">
        <v>0</v>
      </c>
      <c r="U303" s="9">
        <v>0</v>
      </c>
      <c r="V303" s="9">
        <v>0</v>
      </c>
      <c r="W303" s="9">
        <v>0</v>
      </c>
      <c r="X303" s="9">
        <v>0</v>
      </c>
      <c r="Y303" s="9">
        <v>0</v>
      </c>
      <c r="Z303" s="9">
        <v>0</v>
      </c>
      <c r="AA303" s="9">
        <v>0</v>
      </c>
      <c r="AB303" s="9">
        <v>0</v>
      </c>
      <c r="AC303" s="9">
        <v>0</v>
      </c>
      <c r="AD303" s="9">
        <v>0</v>
      </c>
      <c r="AE303" s="9">
        <v>0</v>
      </c>
      <c r="AF303" s="9">
        <v>0</v>
      </c>
      <c r="AG303" s="9">
        <v>0</v>
      </c>
      <c r="AH303" s="9">
        <v>0</v>
      </c>
      <c r="AI303" s="9">
        <v>0</v>
      </c>
      <c r="AJ303" s="9">
        <v>0</v>
      </c>
      <c r="AK303" s="28">
        <v>0</v>
      </c>
      <c r="AL303" s="9">
        <v>0</v>
      </c>
      <c r="AM303" s="9">
        <v>0</v>
      </c>
      <c r="AN303" s="28">
        <v>0</v>
      </c>
      <c r="AO303" s="9">
        <v>13170.920000000002</v>
      </c>
      <c r="AP303" s="9">
        <v>4915</v>
      </c>
      <c r="AQ303" s="28">
        <v>8256</v>
      </c>
      <c r="AR303" s="9">
        <v>13416.833343589547</v>
      </c>
      <c r="AS303" s="9">
        <v>5085</v>
      </c>
      <c r="AT303" s="28">
        <v>8332</v>
      </c>
      <c r="AU303" s="9">
        <v>13837.16</v>
      </c>
      <c r="AV303" s="9">
        <v>5212</v>
      </c>
      <c r="AW303" s="9">
        <v>8632</v>
      </c>
      <c r="AX303" s="9">
        <v>0</v>
      </c>
      <c r="AY303" s="9">
        <v>0</v>
      </c>
      <c r="AZ303" s="28">
        <v>0</v>
      </c>
      <c r="BA303" s="9">
        <v>0</v>
      </c>
      <c r="BB303" s="9">
        <v>0</v>
      </c>
      <c r="BC303" s="9">
        <v>0</v>
      </c>
      <c r="BD303" s="9">
        <v>0</v>
      </c>
      <c r="BE303" s="9">
        <v>0</v>
      </c>
      <c r="BF303" s="9">
        <v>0</v>
      </c>
      <c r="BG303" s="9">
        <v>0</v>
      </c>
      <c r="BH303" s="9">
        <v>0</v>
      </c>
      <c r="BI303" s="9">
        <v>0</v>
      </c>
      <c r="BJ303" s="9">
        <v>0</v>
      </c>
      <c r="BK303" s="9">
        <v>0</v>
      </c>
      <c r="BL303" s="9">
        <v>0</v>
      </c>
      <c r="BM303" s="9"/>
      <c r="BN303" s="9"/>
      <c r="BO303" s="9"/>
      <c r="BP303" s="9"/>
      <c r="BQ303" s="9"/>
      <c r="BR303" s="9"/>
      <c r="BS303" s="9"/>
      <c r="BT303" s="9"/>
      <c r="BU303" s="9"/>
    </row>
    <row r="304" spans="1:73">
      <c r="A304" s="6">
        <v>295</v>
      </c>
      <c r="B304" s="6" t="s">
        <v>1413</v>
      </c>
      <c r="C304" s="421">
        <v>17.5</v>
      </c>
      <c r="D304" s="9">
        <v>33347082</v>
      </c>
      <c r="E304" s="33">
        <v>21518968</v>
      </c>
      <c r="F304" s="9">
        <v>11930760</v>
      </c>
      <c r="G304" s="9">
        <v>35015994.193659998</v>
      </c>
      <c r="H304" s="9">
        <v>22768638</v>
      </c>
      <c r="I304" s="9">
        <v>12514712</v>
      </c>
      <c r="J304" s="9">
        <v>36101824.202872381</v>
      </c>
      <c r="K304" s="9">
        <v>23213156</v>
      </c>
      <c r="L304" s="9">
        <v>12918858</v>
      </c>
      <c r="M304" s="9">
        <v>36695412.811939992</v>
      </c>
      <c r="N304" s="9">
        <v>23595558</v>
      </c>
      <c r="O304" s="9">
        <v>11758059</v>
      </c>
      <c r="P304" s="9">
        <v>1381849</v>
      </c>
      <c r="Q304" s="9">
        <v>36766196.446410596</v>
      </c>
      <c r="R304" s="9">
        <v>23754317</v>
      </c>
      <c r="S304" s="9">
        <v>12877110</v>
      </c>
      <c r="T304" s="9">
        <v>134769</v>
      </c>
      <c r="U304" s="9">
        <v>34573601.27935721</v>
      </c>
      <c r="V304" s="9">
        <v>23683428</v>
      </c>
      <c r="W304" s="9">
        <v>12251726</v>
      </c>
      <c r="X304" s="9">
        <v>65773</v>
      </c>
      <c r="Y304" s="9">
        <v>796855</v>
      </c>
      <c r="Z304" s="9">
        <v>34519814.968239993</v>
      </c>
      <c r="AA304" s="9">
        <v>23924435</v>
      </c>
      <c r="AB304" s="9">
        <v>12317499</v>
      </c>
      <c r="AC304" s="9">
        <v>35261727.251350001</v>
      </c>
      <c r="AD304" s="9">
        <v>24776381</v>
      </c>
      <c r="AE304" s="9">
        <v>12472939</v>
      </c>
      <c r="AF304" s="9">
        <v>34626787.82553</v>
      </c>
      <c r="AG304" s="9">
        <v>25513488</v>
      </c>
      <c r="AH304" s="9">
        <f>12566614+67376</f>
        <v>12633990</v>
      </c>
      <c r="AI304" s="9">
        <v>35271376.15231999</v>
      </c>
      <c r="AJ304" s="9">
        <v>26187077</v>
      </c>
      <c r="AK304" s="28">
        <v>12727415</v>
      </c>
      <c r="AL304" s="9">
        <v>34761232.521389998</v>
      </c>
      <c r="AM304" s="9">
        <v>26940200</v>
      </c>
      <c r="AN304" s="28">
        <v>12818290</v>
      </c>
      <c r="AO304" s="9">
        <v>33549032.422599997</v>
      </c>
      <c r="AP304" s="9">
        <v>26824591</v>
      </c>
      <c r="AQ304" s="28">
        <v>13012055</v>
      </c>
      <c r="AR304" s="9">
        <v>34900617.062578723</v>
      </c>
      <c r="AS304" s="9">
        <v>27764062</v>
      </c>
      <c r="AT304" s="28">
        <v>13119905</v>
      </c>
      <c r="AU304" s="9">
        <v>34817273.780000009</v>
      </c>
      <c r="AV304" s="9">
        <v>28182890</v>
      </c>
      <c r="AW304" s="9">
        <v>13224155</v>
      </c>
      <c r="AX304" s="9">
        <v>35772861.621506803</v>
      </c>
      <c r="AY304" s="9">
        <v>29512611</v>
      </c>
      <c r="AZ304" s="28">
        <v>13326215</v>
      </c>
      <c r="BA304" s="9">
        <v>35851430.130000003</v>
      </c>
      <c r="BB304" s="9">
        <v>29577430</v>
      </c>
      <c r="BC304" s="9">
        <v>13326215</v>
      </c>
      <c r="BD304" s="9">
        <v>35982818.319999993</v>
      </c>
      <c r="BE304" s="9">
        <v>29685825</v>
      </c>
      <c r="BF304" s="9">
        <v>13423895</v>
      </c>
      <c r="BG304" s="9">
        <v>38546581.100000001</v>
      </c>
      <c r="BH304" s="9">
        <v>30874054</v>
      </c>
      <c r="BI304" s="9">
        <v>13617575</v>
      </c>
      <c r="BJ304" s="9">
        <v>41191248.019999996</v>
      </c>
      <c r="BK304" s="9">
        <v>32555022</v>
      </c>
      <c r="BL304" s="9">
        <v>13812515</v>
      </c>
      <c r="BM304" s="9"/>
      <c r="BN304" s="9"/>
      <c r="BO304" s="9"/>
      <c r="BP304" s="9"/>
      <c r="BQ304" s="9"/>
      <c r="BR304" s="9"/>
      <c r="BS304" s="9"/>
      <c r="BT304" s="9"/>
      <c r="BU304" s="9"/>
    </row>
    <row r="305" spans="1:73">
      <c r="A305" s="6">
        <v>296</v>
      </c>
      <c r="B305" s="6" t="s">
        <v>1414</v>
      </c>
      <c r="C305" s="421">
        <v>17.5</v>
      </c>
      <c r="D305" s="9">
        <v>2394089</v>
      </c>
      <c r="E305" s="33">
        <v>3644342</v>
      </c>
      <c r="F305" s="9">
        <v>300736.40000000002</v>
      </c>
      <c r="G305" s="9">
        <v>2565498.85</v>
      </c>
      <c r="H305" s="9">
        <v>3203874</v>
      </c>
      <c r="I305" s="9">
        <v>330733.40000000002</v>
      </c>
      <c r="J305" s="9">
        <v>2664557.161478193</v>
      </c>
      <c r="K305" s="9">
        <v>3032752</v>
      </c>
      <c r="L305" s="9">
        <v>371402.4</v>
      </c>
      <c r="M305" s="9">
        <v>2795073.49</v>
      </c>
      <c r="N305" s="9">
        <v>2902213</v>
      </c>
      <c r="O305" s="9">
        <v>367111.4</v>
      </c>
      <c r="P305" s="9">
        <v>43144</v>
      </c>
      <c r="Q305" s="9">
        <v>2952272.706204785</v>
      </c>
      <c r="R305" s="9">
        <v>2990763</v>
      </c>
      <c r="S305" s="9">
        <v>402050</v>
      </c>
      <c r="T305" s="9">
        <v>0</v>
      </c>
      <c r="U305" s="9">
        <v>2875847.00508</v>
      </c>
      <c r="V305" s="9">
        <v>2872767</v>
      </c>
      <c r="W305" s="9">
        <v>378562</v>
      </c>
      <c r="X305" s="9">
        <v>2032</v>
      </c>
      <c r="Y305" s="9">
        <v>29731</v>
      </c>
      <c r="Z305" s="9">
        <v>3137805.37</v>
      </c>
      <c r="AA305" s="9">
        <v>3040803</v>
      </c>
      <c r="AB305" s="9">
        <v>380594</v>
      </c>
      <c r="AC305" s="9">
        <v>3467659.8899999997</v>
      </c>
      <c r="AD305" s="9">
        <v>3144657</v>
      </c>
      <c r="AE305" s="9">
        <v>395514</v>
      </c>
      <c r="AF305" s="9">
        <v>3400472.2900000005</v>
      </c>
      <c r="AG305" s="9">
        <v>3151771</v>
      </c>
      <c r="AH305" s="9">
        <v>404664</v>
      </c>
      <c r="AI305" s="9">
        <v>3448541.2399999993</v>
      </c>
      <c r="AJ305" s="9">
        <v>3079391</v>
      </c>
      <c r="AK305" s="28">
        <v>474255</v>
      </c>
      <c r="AL305" s="9">
        <v>3757350.99</v>
      </c>
      <c r="AM305" s="9">
        <v>3164190</v>
      </c>
      <c r="AN305" s="28">
        <v>593161</v>
      </c>
      <c r="AO305" s="9">
        <v>3769019.7499999991</v>
      </c>
      <c r="AP305" s="9">
        <v>3133723</v>
      </c>
      <c r="AQ305" s="28">
        <v>635297</v>
      </c>
      <c r="AR305" s="9">
        <v>3760490.3019716195</v>
      </c>
      <c r="AS305" s="9">
        <v>3062266</v>
      </c>
      <c r="AT305" s="28">
        <v>698224</v>
      </c>
      <c r="AU305" s="9">
        <v>3990246.73</v>
      </c>
      <c r="AV305" s="9">
        <v>3288715</v>
      </c>
      <c r="AW305" s="9">
        <v>709444</v>
      </c>
      <c r="AX305" s="9">
        <v>3863980.926163726</v>
      </c>
      <c r="AY305" s="9">
        <v>3187784</v>
      </c>
      <c r="AZ305" s="28">
        <v>719854</v>
      </c>
      <c r="BA305" s="9">
        <v>4358704.2899999991</v>
      </c>
      <c r="BB305" s="9">
        <v>3499193</v>
      </c>
      <c r="BC305" s="9">
        <v>859511</v>
      </c>
      <c r="BD305" s="9">
        <v>4207932.1499999994</v>
      </c>
      <c r="BE305" s="9">
        <v>3462684</v>
      </c>
      <c r="BF305" s="9">
        <v>869801</v>
      </c>
      <c r="BG305" s="9">
        <v>4872085.7</v>
      </c>
      <c r="BH305" s="9">
        <v>3860887</v>
      </c>
      <c r="BI305" s="9">
        <v>1011199</v>
      </c>
      <c r="BJ305" s="9">
        <v>5475942.1799999988</v>
      </c>
      <c r="BK305" s="9">
        <v>3835613</v>
      </c>
      <c r="BL305" s="9">
        <v>1640329</v>
      </c>
      <c r="BM305" s="9"/>
      <c r="BN305" s="9"/>
      <c r="BO305" s="9"/>
      <c r="BP305" s="9"/>
      <c r="BQ305" s="9"/>
      <c r="BR305" s="9"/>
      <c r="BS305" s="9"/>
      <c r="BT305" s="9"/>
      <c r="BU305" s="9"/>
    </row>
    <row r="306" spans="1:73">
      <c r="A306" s="6">
        <v>297</v>
      </c>
      <c r="B306" s="6" t="s">
        <v>1415</v>
      </c>
      <c r="C306" s="421">
        <v>17.5</v>
      </c>
      <c r="D306" s="9">
        <v>0</v>
      </c>
      <c r="E306" s="33">
        <v>0</v>
      </c>
      <c r="F306" s="9">
        <v>0</v>
      </c>
      <c r="G306" s="9">
        <v>0</v>
      </c>
      <c r="H306" s="9">
        <v>0</v>
      </c>
      <c r="I306" s="9">
        <v>0</v>
      </c>
      <c r="J306" s="9">
        <v>0</v>
      </c>
      <c r="K306" s="9">
        <v>0</v>
      </c>
      <c r="L306" s="9">
        <v>0</v>
      </c>
      <c r="M306" s="9">
        <v>0</v>
      </c>
      <c r="N306" s="9">
        <v>0</v>
      </c>
      <c r="O306" s="9">
        <v>0</v>
      </c>
      <c r="P306" s="9">
        <v>0</v>
      </c>
      <c r="Q306" s="9">
        <v>0</v>
      </c>
      <c r="R306" s="9">
        <v>0</v>
      </c>
      <c r="S306" s="9">
        <v>0</v>
      </c>
      <c r="T306" s="9">
        <v>0</v>
      </c>
      <c r="U306" s="9">
        <v>0</v>
      </c>
      <c r="V306" s="9">
        <v>0</v>
      </c>
      <c r="W306" s="9">
        <v>0</v>
      </c>
      <c r="X306" s="9">
        <v>0</v>
      </c>
      <c r="Y306" s="9">
        <v>0</v>
      </c>
      <c r="Z306" s="9">
        <v>0</v>
      </c>
      <c r="AA306" s="9">
        <v>0</v>
      </c>
      <c r="AB306" s="9">
        <v>0</v>
      </c>
      <c r="AC306" s="9">
        <v>0</v>
      </c>
      <c r="AD306" s="9">
        <v>0</v>
      </c>
      <c r="AE306" s="9">
        <v>0</v>
      </c>
      <c r="AF306" s="9">
        <v>0</v>
      </c>
      <c r="AG306" s="9">
        <v>0</v>
      </c>
      <c r="AH306" s="9">
        <v>0</v>
      </c>
      <c r="AI306" s="9">
        <v>0</v>
      </c>
      <c r="AJ306" s="9">
        <v>0</v>
      </c>
      <c r="AK306" s="28">
        <v>0</v>
      </c>
      <c r="AL306" s="9">
        <v>0</v>
      </c>
      <c r="AM306" s="9">
        <v>0</v>
      </c>
      <c r="AN306" s="28">
        <v>0</v>
      </c>
      <c r="AO306" s="9">
        <v>0</v>
      </c>
      <c r="AP306" s="9">
        <v>0</v>
      </c>
      <c r="AQ306" s="28">
        <v>0</v>
      </c>
      <c r="AR306" s="9">
        <v>0</v>
      </c>
      <c r="AS306" s="9">
        <v>0</v>
      </c>
      <c r="AT306" s="28">
        <v>0</v>
      </c>
      <c r="AU306" s="9">
        <v>0</v>
      </c>
      <c r="AV306" s="9">
        <v>0</v>
      </c>
      <c r="AW306" s="9">
        <v>0</v>
      </c>
      <c r="AX306" s="9">
        <v>0</v>
      </c>
      <c r="AY306" s="9">
        <v>0</v>
      </c>
      <c r="AZ306" s="28">
        <v>0</v>
      </c>
      <c r="BA306" s="9">
        <v>0</v>
      </c>
      <c r="BB306" s="9">
        <v>0</v>
      </c>
      <c r="BC306" s="9">
        <v>0</v>
      </c>
      <c r="BD306" s="9">
        <v>0</v>
      </c>
      <c r="BE306" s="9">
        <v>0</v>
      </c>
      <c r="BF306" s="9">
        <v>0</v>
      </c>
      <c r="BG306" s="9">
        <v>0</v>
      </c>
      <c r="BH306" s="9">
        <v>0</v>
      </c>
      <c r="BI306" s="9">
        <v>0</v>
      </c>
      <c r="BJ306" s="9">
        <v>0</v>
      </c>
      <c r="BK306" s="9">
        <v>0</v>
      </c>
      <c r="BL306" s="9">
        <v>0</v>
      </c>
      <c r="BM306" s="9"/>
      <c r="BN306" s="9"/>
      <c r="BO306" s="9"/>
      <c r="BP306" s="9"/>
      <c r="BQ306" s="9"/>
      <c r="BR306" s="9"/>
      <c r="BS306" s="9"/>
      <c r="BT306" s="9"/>
      <c r="BU306" s="9"/>
    </row>
    <row r="307" spans="1:73">
      <c r="A307" s="6">
        <v>298</v>
      </c>
      <c r="B307" s="6" t="s">
        <v>1416</v>
      </c>
      <c r="C307" s="421">
        <v>17.5</v>
      </c>
      <c r="D307" s="9">
        <v>4607578</v>
      </c>
      <c r="E307" s="33">
        <v>3944399</v>
      </c>
      <c r="F307" s="9">
        <v>663179</v>
      </c>
      <c r="G307" s="9">
        <v>4657195.6704799999</v>
      </c>
      <c r="H307" s="9">
        <v>3710245</v>
      </c>
      <c r="I307" s="9">
        <v>946951</v>
      </c>
      <c r="J307" s="9">
        <v>4725499.3510903148</v>
      </c>
      <c r="K307" s="9">
        <v>3656031</v>
      </c>
      <c r="L307" s="9">
        <v>1069468</v>
      </c>
      <c r="M307" s="9">
        <v>4933644.223199999</v>
      </c>
      <c r="N307" s="9">
        <v>3831911</v>
      </c>
      <c r="O307" s="9">
        <v>989593</v>
      </c>
      <c r="P307" s="9">
        <v>116300</v>
      </c>
      <c r="Q307" s="9">
        <v>5003494.1629533703</v>
      </c>
      <c r="R307" s="9">
        <v>4127543</v>
      </c>
      <c r="S307" s="9">
        <v>1083775</v>
      </c>
      <c r="T307" s="9">
        <v>0</v>
      </c>
      <c r="U307" s="9">
        <v>4814774.8945071595</v>
      </c>
      <c r="V307" s="9">
        <v>4174269</v>
      </c>
      <c r="W307" s="9">
        <v>1020461</v>
      </c>
      <c r="X307" s="9">
        <v>5478</v>
      </c>
      <c r="Y307" s="9">
        <v>72911</v>
      </c>
      <c r="Z307" s="9">
        <v>4836646.4862000002</v>
      </c>
      <c r="AA307" s="9">
        <v>4219482</v>
      </c>
      <c r="AB307" s="9">
        <v>1025939</v>
      </c>
      <c r="AC307" s="9">
        <v>4821533.5831799991</v>
      </c>
      <c r="AD307" s="9">
        <v>4339766</v>
      </c>
      <c r="AE307" s="9">
        <v>1048739</v>
      </c>
      <c r="AF307" s="9">
        <v>4793485.8869399996</v>
      </c>
      <c r="AG307" s="9">
        <v>4387064</v>
      </c>
      <c r="AH307" s="9">
        <f>1062714+16844</f>
        <v>1079558</v>
      </c>
      <c r="AI307" s="9">
        <v>4950981.2964300001</v>
      </c>
      <c r="AJ307" s="9">
        <v>4373961</v>
      </c>
      <c r="AK307" s="28">
        <v>1093858</v>
      </c>
      <c r="AL307" s="9">
        <v>4876256.0624799998</v>
      </c>
      <c r="AM307" s="9">
        <v>4295264</v>
      </c>
      <c r="AN307" s="28">
        <v>1107808</v>
      </c>
      <c r="AO307" s="9">
        <v>5219302.4780799998</v>
      </c>
      <c r="AP307" s="9">
        <v>4362303</v>
      </c>
      <c r="AQ307" s="28">
        <v>1140038</v>
      </c>
      <c r="AR307" s="9">
        <v>5307497.2466114936</v>
      </c>
      <c r="AS307" s="9">
        <v>4411689</v>
      </c>
      <c r="AT307" s="28">
        <v>1157318</v>
      </c>
      <c r="AU307" s="9">
        <v>5459714.7223999994</v>
      </c>
      <c r="AV307" s="9">
        <v>4504265</v>
      </c>
      <c r="AW307" s="9">
        <v>1174628</v>
      </c>
      <c r="AX307" s="9">
        <v>5789256.4546096604</v>
      </c>
      <c r="AY307" s="9">
        <v>4709771</v>
      </c>
      <c r="AZ307" s="28">
        <v>1192358</v>
      </c>
      <c r="BA307" s="9">
        <v>6270046.2603099989</v>
      </c>
      <c r="BB307" s="9">
        <v>5031835</v>
      </c>
      <c r="BC307" s="9">
        <v>1239023</v>
      </c>
      <c r="BD307" s="9">
        <v>5583546.5710300002</v>
      </c>
      <c r="BE307" s="9">
        <v>4606426</v>
      </c>
      <c r="BF307" s="9">
        <v>1255283</v>
      </c>
      <c r="BG307" s="9">
        <v>6327129.1521899998</v>
      </c>
      <c r="BH307" s="9">
        <v>4950549</v>
      </c>
      <c r="BI307" s="9">
        <v>1376580</v>
      </c>
      <c r="BJ307" s="9">
        <v>6737747.4920000006</v>
      </c>
      <c r="BK307" s="9">
        <v>5269483</v>
      </c>
      <c r="BL307" s="9">
        <v>1468264</v>
      </c>
      <c r="BM307" s="9"/>
      <c r="BN307" s="9"/>
      <c r="BO307" s="9"/>
      <c r="BP307" s="9"/>
      <c r="BQ307" s="9"/>
      <c r="BR307" s="9"/>
      <c r="BS307" s="9"/>
      <c r="BT307" s="9"/>
      <c r="BU307" s="9"/>
    </row>
    <row r="308" spans="1:73">
      <c r="A308" s="6">
        <v>299</v>
      </c>
      <c r="B308" s="6" t="s">
        <v>1417</v>
      </c>
      <c r="C308" s="421">
        <v>44.14</v>
      </c>
      <c r="D308" s="9">
        <v>9892</v>
      </c>
      <c r="E308" s="33">
        <v>2331</v>
      </c>
      <c r="F308" s="9">
        <v>7561</v>
      </c>
      <c r="G308" s="9">
        <v>10849.66</v>
      </c>
      <c r="H308" s="9">
        <v>4644</v>
      </c>
      <c r="I308" s="9">
        <v>8090</v>
      </c>
      <c r="J308" s="9">
        <v>11355.27</v>
      </c>
      <c r="K308" s="9">
        <v>5441</v>
      </c>
      <c r="L308" s="9">
        <v>8370</v>
      </c>
      <c r="M308" s="9">
        <v>11943.49</v>
      </c>
      <c r="N308" s="9">
        <v>5490</v>
      </c>
      <c r="O308" s="9">
        <v>8704</v>
      </c>
      <c r="P308" s="9">
        <v>0</v>
      </c>
      <c r="Q308" s="9">
        <v>0</v>
      </c>
      <c r="R308" s="9">
        <v>0</v>
      </c>
      <c r="S308" s="9">
        <v>8530</v>
      </c>
      <c r="T308" s="9">
        <v>0</v>
      </c>
      <c r="U308" s="9">
        <v>0</v>
      </c>
      <c r="V308" s="9">
        <v>0</v>
      </c>
      <c r="W308" s="9">
        <v>0</v>
      </c>
      <c r="X308" s="9">
        <v>0</v>
      </c>
      <c r="Y308" s="9">
        <v>0</v>
      </c>
      <c r="Z308" s="9">
        <v>0</v>
      </c>
      <c r="AA308" s="9">
        <v>0</v>
      </c>
      <c r="AB308" s="9">
        <v>0</v>
      </c>
      <c r="AC308" s="9">
        <v>0</v>
      </c>
      <c r="AD308" s="9">
        <v>0</v>
      </c>
      <c r="AE308" s="9">
        <v>0</v>
      </c>
      <c r="AF308" s="9">
        <v>0</v>
      </c>
      <c r="AG308" s="9">
        <v>0</v>
      </c>
      <c r="AH308" s="9">
        <v>0</v>
      </c>
      <c r="AI308" s="9">
        <v>0</v>
      </c>
      <c r="AJ308" s="9">
        <v>0</v>
      </c>
      <c r="AK308" s="28">
        <v>0</v>
      </c>
      <c r="AL308" s="9">
        <v>0</v>
      </c>
      <c r="AM308" s="9">
        <v>0</v>
      </c>
      <c r="AN308" s="28">
        <v>0</v>
      </c>
      <c r="AO308" s="9">
        <v>0</v>
      </c>
      <c r="AP308" s="9">
        <v>0</v>
      </c>
      <c r="AQ308" s="28">
        <v>0</v>
      </c>
      <c r="AR308" s="9">
        <v>0</v>
      </c>
      <c r="AS308" s="9">
        <v>0</v>
      </c>
      <c r="AT308" s="28">
        <v>0</v>
      </c>
      <c r="AU308" s="9">
        <v>0</v>
      </c>
      <c r="AV308" s="9">
        <v>0</v>
      </c>
      <c r="AW308" s="9">
        <v>0</v>
      </c>
      <c r="AX308" s="9">
        <v>0</v>
      </c>
      <c r="AY308" s="9">
        <v>0</v>
      </c>
      <c r="AZ308" s="28">
        <v>0</v>
      </c>
      <c r="BA308" s="9">
        <v>0</v>
      </c>
      <c r="BB308" s="9">
        <v>0</v>
      </c>
      <c r="BC308" s="9">
        <v>0</v>
      </c>
      <c r="BD308" s="9">
        <v>0</v>
      </c>
      <c r="BE308" s="9">
        <v>0</v>
      </c>
      <c r="BF308" s="9">
        <v>0</v>
      </c>
      <c r="BG308" s="9">
        <v>0</v>
      </c>
      <c r="BH308" s="9">
        <v>0</v>
      </c>
      <c r="BI308" s="9">
        <v>0</v>
      </c>
      <c r="BJ308" s="9">
        <v>0</v>
      </c>
      <c r="BK308" s="9">
        <v>0</v>
      </c>
      <c r="BL308" s="9">
        <v>0</v>
      </c>
      <c r="BM308" s="9"/>
      <c r="BN308" s="9"/>
      <c r="BO308" s="9"/>
      <c r="BP308" s="9"/>
      <c r="BQ308" s="9"/>
      <c r="BR308" s="9"/>
      <c r="BS308" s="9"/>
      <c r="BT308" s="9"/>
      <c r="BU308" s="9"/>
    </row>
    <row r="309" spans="1:73">
      <c r="A309" s="6">
        <v>300</v>
      </c>
      <c r="B309" s="6" t="s">
        <v>1418</v>
      </c>
      <c r="C309" s="421">
        <v>17.5</v>
      </c>
      <c r="D309" s="9">
        <v>1704648</v>
      </c>
      <c r="E309" s="33">
        <v>2280388</v>
      </c>
      <c r="F309" s="9">
        <v>221476.8</v>
      </c>
      <c r="G309" s="9">
        <v>1722060.76</v>
      </c>
      <c r="H309" s="9">
        <v>2234440</v>
      </c>
      <c r="I309" s="9">
        <v>237453.8</v>
      </c>
      <c r="J309" s="9">
        <v>1600608.8736194517</v>
      </c>
      <c r="K309" s="9">
        <v>2062541</v>
      </c>
      <c r="L309" s="9">
        <v>250249.8</v>
      </c>
      <c r="M309" s="9">
        <v>1678407.63</v>
      </c>
      <c r="N309" s="9">
        <v>1925541</v>
      </c>
      <c r="O309" s="9">
        <v>236768.8</v>
      </c>
      <c r="P309" s="9">
        <v>27826</v>
      </c>
      <c r="Q309" s="9">
        <v>1755899.2957244022</v>
      </c>
      <c r="R309" s="9">
        <v>1970181</v>
      </c>
      <c r="S309" s="9">
        <v>259303</v>
      </c>
      <c r="T309" s="9">
        <v>0</v>
      </c>
      <c r="U309" s="9">
        <v>1611078.6274799998</v>
      </c>
      <c r="V309" s="9">
        <v>1832624</v>
      </c>
      <c r="W309" s="9">
        <v>244155</v>
      </c>
      <c r="X309" s="9">
        <v>1311</v>
      </c>
      <c r="Y309" s="9">
        <v>18512</v>
      </c>
      <c r="Z309" s="9">
        <v>1679937.99</v>
      </c>
      <c r="AA309" s="9">
        <v>1758607</v>
      </c>
      <c r="AB309" s="9">
        <v>245466</v>
      </c>
      <c r="AC309" s="9">
        <v>1835519.57</v>
      </c>
      <c r="AD309" s="9">
        <v>1798100</v>
      </c>
      <c r="AE309" s="9">
        <v>253586</v>
      </c>
      <c r="AF309" s="9">
        <v>1792085.3099999998</v>
      </c>
      <c r="AG309" s="9">
        <v>1792085</v>
      </c>
      <c r="AH309" s="9">
        <v>258486</v>
      </c>
      <c r="AI309" s="9">
        <v>1788414.01</v>
      </c>
      <c r="AJ309" s="9">
        <v>1609573</v>
      </c>
      <c r="AK309" s="28">
        <v>277556</v>
      </c>
      <c r="AL309" s="9">
        <v>1879850.1199999996</v>
      </c>
      <c r="AM309" s="9">
        <v>1621100</v>
      </c>
      <c r="AN309" s="28">
        <v>282481</v>
      </c>
      <c r="AO309" s="9">
        <v>1912666.2499999995</v>
      </c>
      <c r="AP309" s="9">
        <v>1596786</v>
      </c>
      <c r="AQ309" s="28">
        <v>315880</v>
      </c>
      <c r="AR309" s="9">
        <v>2003679.8419243183</v>
      </c>
      <c r="AS309" s="9">
        <v>1618203</v>
      </c>
      <c r="AT309" s="28">
        <f>394659-9182</f>
        <v>385477</v>
      </c>
      <c r="AU309" s="9">
        <v>1934442.0499999998</v>
      </c>
      <c r="AV309" s="9">
        <v>1595915</v>
      </c>
      <c r="AW309" s="9">
        <v>391237</v>
      </c>
      <c r="AX309" s="9">
        <v>2296521.4702778542</v>
      </c>
      <c r="AY309" s="9">
        <v>1894630</v>
      </c>
      <c r="AZ309" s="28">
        <v>402446</v>
      </c>
      <c r="BA309" s="9">
        <v>2296768.69</v>
      </c>
      <c r="BB309" s="9">
        <v>1894834</v>
      </c>
      <c r="BC309" s="9">
        <v>402446</v>
      </c>
      <c r="BD309" s="9">
        <v>2253510.1199999996</v>
      </c>
      <c r="BE309" s="9">
        <v>1859146</v>
      </c>
      <c r="BF309" s="9">
        <v>408416</v>
      </c>
      <c r="BG309" s="9">
        <v>2317885.7700000005</v>
      </c>
      <c r="BH309" s="9">
        <v>1912256</v>
      </c>
      <c r="BI309" s="9">
        <v>419516</v>
      </c>
      <c r="BJ309" s="9">
        <v>2300504.7399999998</v>
      </c>
      <c r="BK309" s="9">
        <v>1897916</v>
      </c>
      <c r="BL309" s="9">
        <v>429896</v>
      </c>
      <c r="BM309" s="9"/>
      <c r="BN309" s="9"/>
      <c r="BO309" s="9"/>
      <c r="BP309" s="9"/>
      <c r="BQ309" s="9"/>
      <c r="BR309" s="9"/>
      <c r="BS309" s="9"/>
      <c r="BT309" s="9"/>
      <c r="BU309" s="9"/>
    </row>
    <row r="310" spans="1:73">
      <c r="A310" s="6">
        <v>301</v>
      </c>
      <c r="B310" s="6" t="s">
        <v>1419</v>
      </c>
      <c r="C310" s="421">
        <v>27.69</v>
      </c>
      <c r="D310" s="9">
        <v>14979885</v>
      </c>
      <c r="E310" s="33">
        <v>8412477</v>
      </c>
      <c r="F310" s="9">
        <v>6567408</v>
      </c>
      <c r="G310" s="9">
        <v>15541436.869999997</v>
      </c>
      <c r="H310" s="9">
        <v>8616640</v>
      </c>
      <c r="I310" s="9">
        <v>6924797</v>
      </c>
      <c r="J310" s="9">
        <v>16038143.446318682</v>
      </c>
      <c r="K310" s="9">
        <v>8917341</v>
      </c>
      <c r="L310" s="9">
        <v>7143646</v>
      </c>
      <c r="M310" s="9">
        <v>16743697.889999999</v>
      </c>
      <c r="N310" s="9">
        <v>9241021</v>
      </c>
      <c r="O310" s="9">
        <v>6713664</v>
      </c>
      <c r="P310" s="9">
        <v>789013</v>
      </c>
      <c r="Q310" s="9">
        <v>16627737.4536268</v>
      </c>
      <c r="R310" s="9">
        <v>9341709</v>
      </c>
      <c r="S310" s="9">
        <v>7352623</v>
      </c>
      <c r="T310" s="9">
        <v>0</v>
      </c>
      <c r="U310" s="9">
        <v>16055926.01182</v>
      </c>
      <c r="V310" s="9">
        <v>9486124</v>
      </c>
      <c r="W310" s="9">
        <v>6923083</v>
      </c>
      <c r="X310" s="9">
        <v>37166</v>
      </c>
      <c r="Y310" s="9">
        <v>441174</v>
      </c>
      <c r="Z310" s="9">
        <v>15581685.049999999</v>
      </c>
      <c r="AA310" s="9">
        <v>9652634</v>
      </c>
      <c r="AB310" s="9">
        <v>6960249</v>
      </c>
      <c r="AC310" s="9">
        <v>16365479.893119998</v>
      </c>
      <c r="AD310" s="9">
        <v>10162808</v>
      </c>
      <c r="AE310" s="9">
        <v>7034649</v>
      </c>
      <c r="AF310" s="9">
        <v>16473614.73</v>
      </c>
      <c r="AG310" s="9">
        <v>10531483</v>
      </c>
      <c r="AH310" s="9">
        <v>7080574</v>
      </c>
      <c r="AI310" s="9">
        <v>16424708.550000001</v>
      </c>
      <c r="AJ310" s="9">
        <v>10954033</v>
      </c>
      <c r="AK310" s="28">
        <v>7125624</v>
      </c>
      <c r="AL310" s="9">
        <v>16310112.57</v>
      </c>
      <c r="AM310" s="9">
        <v>11087277</v>
      </c>
      <c r="AN310" s="28">
        <v>7169374</v>
      </c>
      <c r="AO310" s="9">
        <v>15994837.789999999</v>
      </c>
      <c r="AP310" s="9">
        <v>11008609</v>
      </c>
      <c r="AQ310" s="28">
        <v>7262434</v>
      </c>
      <c r="AR310" s="9">
        <v>16426722.369211081</v>
      </c>
      <c r="AS310" s="9">
        <v>11396682</v>
      </c>
      <c r="AT310" s="28">
        <v>7312774</v>
      </c>
      <c r="AU310" s="9">
        <v>16125261.67</v>
      </c>
      <c r="AV310" s="9">
        <v>11397568</v>
      </c>
      <c r="AW310" s="9">
        <v>7361014</v>
      </c>
      <c r="AX310" s="9">
        <v>16876605.054087967</v>
      </c>
      <c r="AY310" s="9">
        <v>12035384</v>
      </c>
      <c r="AZ310" s="28">
        <v>7409074</v>
      </c>
      <c r="BA310" s="9">
        <v>17653818.739999998</v>
      </c>
      <c r="BB310" s="9">
        <v>12650386</v>
      </c>
      <c r="BC310" s="9">
        <v>7409074</v>
      </c>
      <c r="BD310" s="9">
        <v>18200500.57</v>
      </c>
      <c r="BE310" s="9">
        <v>12713256</v>
      </c>
      <c r="BF310" s="9">
        <v>7457854</v>
      </c>
      <c r="BG310" s="9">
        <v>20161771.900000002</v>
      </c>
      <c r="BH310" s="9">
        <v>13501934</v>
      </c>
      <c r="BI310" s="9">
        <v>7557694</v>
      </c>
      <c r="BJ310" s="9">
        <v>21286361.979999997</v>
      </c>
      <c r="BK310" s="9">
        <v>13961757</v>
      </c>
      <c r="BL310" s="9">
        <v>7654834</v>
      </c>
      <c r="BM310" s="9"/>
      <c r="BN310" s="9"/>
      <c r="BO310" s="9"/>
      <c r="BP310" s="9"/>
      <c r="BQ310" s="9"/>
      <c r="BR310" s="9"/>
      <c r="BS310" s="9"/>
      <c r="BT310" s="9"/>
      <c r="BU310" s="9"/>
    </row>
    <row r="311" spans="1:73">
      <c r="A311" s="6">
        <v>302</v>
      </c>
      <c r="B311" s="6" t="s">
        <v>1420</v>
      </c>
      <c r="C311" s="421">
        <v>17.5</v>
      </c>
      <c r="D311" s="9">
        <v>221575</v>
      </c>
      <c r="E311" s="33">
        <v>466915</v>
      </c>
      <c r="F311" s="9">
        <v>30873.599999999999</v>
      </c>
      <c r="G311" s="9">
        <v>217685.02</v>
      </c>
      <c r="H311" s="9">
        <v>326528</v>
      </c>
      <c r="I311" s="9">
        <v>32323.599999999999</v>
      </c>
      <c r="J311" s="9">
        <v>242227.8797746044</v>
      </c>
      <c r="K311" s="9">
        <v>303598</v>
      </c>
      <c r="L311" s="9">
        <v>36618.6</v>
      </c>
      <c r="M311" s="9">
        <v>211474.7</v>
      </c>
      <c r="N311" s="9">
        <v>266822</v>
      </c>
      <c r="O311" s="9">
        <v>37968.6</v>
      </c>
      <c r="P311" s="9">
        <v>0</v>
      </c>
      <c r="Q311" s="9">
        <v>221493.48244210528</v>
      </c>
      <c r="R311" s="9">
        <v>260037</v>
      </c>
      <c r="S311" s="9">
        <v>37209</v>
      </c>
      <c r="T311" s="9">
        <v>0</v>
      </c>
      <c r="U311" s="9">
        <v>250239.19739999998</v>
      </c>
      <c r="V311" s="9">
        <v>250313</v>
      </c>
      <c r="W311" s="9">
        <v>35721</v>
      </c>
      <c r="X311" s="9">
        <v>0</v>
      </c>
      <c r="Y311" s="9">
        <v>0</v>
      </c>
      <c r="Z311" s="9">
        <v>241848.72</v>
      </c>
      <c r="AA311" s="9">
        <v>244240</v>
      </c>
      <c r="AB311" s="9">
        <v>35721</v>
      </c>
      <c r="AC311" s="9">
        <v>258128.17</v>
      </c>
      <c r="AD311" s="9">
        <v>247395</v>
      </c>
      <c r="AE311" s="9">
        <v>35721</v>
      </c>
      <c r="AF311" s="9">
        <v>251901.56999999998</v>
      </c>
      <c r="AG311" s="9">
        <v>248608</v>
      </c>
      <c r="AH311" s="9">
        <v>35721</v>
      </c>
      <c r="AI311" s="9">
        <v>249461.65000000002</v>
      </c>
      <c r="AJ311" s="9">
        <v>224515</v>
      </c>
      <c r="AK311" s="28">
        <v>38498</v>
      </c>
      <c r="AL311" s="9">
        <v>249733.64</v>
      </c>
      <c r="AM311" s="9">
        <v>219336</v>
      </c>
      <c r="AN311" s="28">
        <v>38498</v>
      </c>
      <c r="AO311" s="9">
        <v>225957.46000000002</v>
      </c>
      <c r="AP311" s="9">
        <v>192376</v>
      </c>
      <c r="AQ311" s="28">
        <v>38498</v>
      </c>
      <c r="AR311" s="9">
        <v>234931.13370609152</v>
      </c>
      <c r="AS311" s="9">
        <v>194462</v>
      </c>
      <c r="AT311" s="28">
        <v>40469</v>
      </c>
      <c r="AU311" s="9">
        <v>251821.94999999995</v>
      </c>
      <c r="AV311" s="9">
        <v>202533</v>
      </c>
      <c r="AW311" s="9">
        <v>49289</v>
      </c>
      <c r="AX311" s="9">
        <v>295787.37665969401</v>
      </c>
      <c r="AY311" s="9">
        <v>244025</v>
      </c>
      <c r="AZ311" s="28">
        <v>51836</v>
      </c>
      <c r="BA311" s="9">
        <v>321152.71999999997</v>
      </c>
      <c r="BB311" s="9">
        <v>264951</v>
      </c>
      <c r="BC311" s="9">
        <v>56202</v>
      </c>
      <c r="BD311" s="9">
        <v>305094.65999999997</v>
      </c>
      <c r="BE311" s="9">
        <v>251703</v>
      </c>
      <c r="BF311" s="9">
        <v>57162</v>
      </c>
      <c r="BG311" s="9">
        <v>325767.26999999996</v>
      </c>
      <c r="BH311" s="9">
        <v>268758</v>
      </c>
      <c r="BI311" s="9">
        <v>57162</v>
      </c>
      <c r="BJ311" s="9">
        <v>268153.68999999994</v>
      </c>
      <c r="BK311" s="9">
        <v>221227</v>
      </c>
      <c r="BL311" s="9">
        <v>57162</v>
      </c>
      <c r="BM311" s="9"/>
      <c r="BN311" s="9"/>
      <c r="BO311" s="9"/>
      <c r="BP311" s="9"/>
      <c r="BQ311" s="9"/>
      <c r="BR311" s="9"/>
      <c r="BS311" s="9"/>
      <c r="BT311" s="9"/>
      <c r="BU311" s="9"/>
    </row>
    <row r="312" spans="1:73">
      <c r="A312" s="6">
        <v>303</v>
      </c>
      <c r="B312" s="6" t="s">
        <v>1421</v>
      </c>
      <c r="C312" s="421">
        <v>21.78</v>
      </c>
      <c r="D312" s="9">
        <v>9988</v>
      </c>
      <c r="E312" s="33">
        <v>4028</v>
      </c>
      <c r="F312" s="9">
        <v>6880</v>
      </c>
      <c r="G312" s="9">
        <v>11197.585239999999</v>
      </c>
      <c r="H312" s="9">
        <v>4809</v>
      </c>
      <c r="I312" s="9">
        <v>7349</v>
      </c>
      <c r="J312" s="9">
        <v>46690.898399999998</v>
      </c>
      <c r="K312" s="9">
        <v>20600</v>
      </c>
      <c r="L312" s="9">
        <v>26091</v>
      </c>
      <c r="M312" s="9">
        <v>24535.137620000001</v>
      </c>
      <c r="N312" s="9">
        <v>10563</v>
      </c>
      <c r="O312" s="9">
        <v>24535.137620000001</v>
      </c>
      <c r="P312" s="9">
        <v>0</v>
      </c>
      <c r="Q312" s="9">
        <v>25382.203100478469</v>
      </c>
      <c r="R312" s="9">
        <v>11203</v>
      </c>
      <c r="S312" s="9">
        <v>24044</v>
      </c>
      <c r="T312" s="9">
        <v>0</v>
      </c>
      <c r="U312" s="9">
        <v>49251.668457600004</v>
      </c>
      <c r="V312" s="9">
        <v>23544</v>
      </c>
      <c r="W312" s="9">
        <v>25708</v>
      </c>
      <c r="X312" s="9">
        <v>0</v>
      </c>
      <c r="Y312" s="9">
        <v>0</v>
      </c>
      <c r="Z312" s="9">
        <v>12582.467449999998</v>
      </c>
      <c r="AA312" s="9">
        <v>6272</v>
      </c>
      <c r="AB312" s="9">
        <v>12582.467449999998</v>
      </c>
      <c r="AC312" s="9">
        <v>26250.526239999996</v>
      </c>
      <c r="AD312" s="9">
        <v>13295</v>
      </c>
      <c r="AE312" s="9">
        <v>12956</v>
      </c>
      <c r="AF312" s="9">
        <v>39954.317999999999</v>
      </c>
      <c r="AG312" s="9">
        <v>20706</v>
      </c>
      <c r="AH312" s="9">
        <v>19248</v>
      </c>
      <c r="AI312" s="9">
        <v>40041.258719999991</v>
      </c>
      <c r="AJ312" s="9">
        <v>21792</v>
      </c>
      <c r="AK312" s="28">
        <v>19248</v>
      </c>
      <c r="AL312" s="9">
        <v>27007.727760000002</v>
      </c>
      <c r="AM312" s="9">
        <v>15988</v>
      </c>
      <c r="AN312" s="28">
        <v>19248</v>
      </c>
      <c r="AO312" s="9">
        <v>52683.680000000008</v>
      </c>
      <c r="AP312" s="9">
        <v>34232</v>
      </c>
      <c r="AQ312" s="28">
        <v>19248</v>
      </c>
      <c r="AR312" s="9">
        <v>53667.33337435819</v>
      </c>
      <c r="AS312" s="9">
        <v>35821</v>
      </c>
      <c r="AT312" s="28">
        <v>19248</v>
      </c>
      <c r="AU312" s="9">
        <v>110697.28</v>
      </c>
      <c r="AV312" s="9">
        <v>75315</v>
      </c>
      <c r="AW312" s="9">
        <v>35382</v>
      </c>
      <c r="AX312" s="9">
        <v>129346.17529818021</v>
      </c>
      <c r="AY312" s="9">
        <v>89703</v>
      </c>
      <c r="AZ312" s="28">
        <v>39799</v>
      </c>
      <c r="BA312" s="9">
        <v>87946.800000000017</v>
      </c>
      <c r="BB312" s="9">
        <v>63657</v>
      </c>
      <c r="BC312" s="9">
        <v>39799</v>
      </c>
      <c r="BD312" s="9">
        <v>89716.680000000008</v>
      </c>
      <c r="BE312" s="9">
        <v>68168</v>
      </c>
      <c r="BF312" s="9">
        <v>39979</v>
      </c>
      <c r="BG312" s="9">
        <v>78488.55</v>
      </c>
      <c r="BH312" s="9">
        <v>59336</v>
      </c>
      <c r="BI312" s="9">
        <v>39979</v>
      </c>
      <c r="BJ312" s="9">
        <v>82453.8</v>
      </c>
      <c r="BK312" s="9">
        <v>61452</v>
      </c>
      <c r="BL312" s="9">
        <v>39979</v>
      </c>
      <c r="BM312" s="9"/>
      <c r="BN312" s="9"/>
      <c r="BO312" s="9"/>
      <c r="BP312" s="9"/>
      <c r="BQ312" s="9"/>
      <c r="BR312" s="9"/>
      <c r="BS312" s="9"/>
      <c r="BT312" s="9"/>
      <c r="BU312" s="9"/>
    </row>
    <row r="313" spans="1:73">
      <c r="A313" s="6">
        <v>304</v>
      </c>
      <c r="B313" s="6" t="s">
        <v>1422</v>
      </c>
      <c r="C313" s="421">
        <v>27.74</v>
      </c>
      <c r="D313" s="9">
        <v>15694459</v>
      </c>
      <c r="E313" s="33">
        <v>7254008</v>
      </c>
      <c r="F313" s="9">
        <v>8978422</v>
      </c>
      <c r="G313" s="9">
        <v>16305919.27</v>
      </c>
      <c r="H313" s="9">
        <v>7699224</v>
      </c>
      <c r="I313" s="9">
        <v>9271984</v>
      </c>
      <c r="J313" s="9">
        <v>16540051.93015206</v>
      </c>
      <c r="K313" s="9">
        <v>8083909</v>
      </c>
      <c r="L313" s="9">
        <v>9377789</v>
      </c>
      <c r="M313" s="9">
        <v>17120711.660000004</v>
      </c>
      <c r="N313" s="9">
        <v>8646597</v>
      </c>
      <c r="O313" s="9">
        <v>8631945</v>
      </c>
      <c r="P313" s="9">
        <v>1014457</v>
      </c>
      <c r="Q313" s="9">
        <v>17477190.309787564</v>
      </c>
      <c r="R313" s="9">
        <v>9596633</v>
      </c>
      <c r="S313" s="9">
        <v>9453474</v>
      </c>
      <c r="T313" s="9">
        <v>0</v>
      </c>
      <c r="U313" s="9">
        <v>17147339.203259997</v>
      </c>
      <c r="V313" s="9">
        <v>9663507</v>
      </c>
      <c r="W313" s="9">
        <v>8901203</v>
      </c>
      <c r="X313" s="9">
        <v>47786</v>
      </c>
      <c r="Y313" s="9">
        <v>554635</v>
      </c>
      <c r="Z313" s="9">
        <v>16877042.539999999</v>
      </c>
      <c r="AA313" s="9">
        <v>9962236</v>
      </c>
      <c r="AB313" s="9">
        <v>8948989</v>
      </c>
      <c r="AC313" s="9">
        <v>17330083.23</v>
      </c>
      <c r="AD313" s="9">
        <v>10285734</v>
      </c>
      <c r="AE313" s="9">
        <v>9025989</v>
      </c>
      <c r="AF313" s="9">
        <v>17729556.77</v>
      </c>
      <c r="AG313" s="9">
        <v>10515859</v>
      </c>
      <c r="AH313" s="9">
        <v>9074414</v>
      </c>
      <c r="AI313" s="9">
        <v>18066543.430000003</v>
      </c>
      <c r="AJ313" s="9">
        <v>10926419</v>
      </c>
      <c r="AK313" s="28">
        <v>9122764</v>
      </c>
      <c r="AL313" s="9">
        <v>18526071.940000001</v>
      </c>
      <c r="AM313" s="9">
        <v>11067180</v>
      </c>
      <c r="AN313" s="28">
        <v>9171114</v>
      </c>
      <c r="AO313" s="9">
        <v>18410939.780000005</v>
      </c>
      <c r="AP313" s="9">
        <v>10786060</v>
      </c>
      <c r="AQ313" s="28">
        <v>9275834</v>
      </c>
      <c r="AR313" s="9">
        <v>18455125.454438496</v>
      </c>
      <c r="AS313" s="9">
        <v>11060991</v>
      </c>
      <c r="AT313" s="28">
        <v>9331904</v>
      </c>
      <c r="AU313" s="9">
        <v>18397204.830000002</v>
      </c>
      <c r="AV313" s="9">
        <v>11363380</v>
      </c>
      <c r="AW313" s="9">
        <v>9385304</v>
      </c>
      <c r="AX313" s="9">
        <v>19102321.172340635</v>
      </c>
      <c r="AY313" s="9">
        <v>11756863</v>
      </c>
      <c r="AZ313" s="28">
        <v>9438614</v>
      </c>
      <c r="BA313" s="9">
        <v>19464063.84</v>
      </c>
      <c r="BB313" s="9">
        <v>12445154</v>
      </c>
      <c r="BC313" s="9">
        <v>9438614</v>
      </c>
      <c r="BD313" s="9">
        <v>19398107.32</v>
      </c>
      <c r="BE313" s="9">
        <v>12927160</v>
      </c>
      <c r="BF313" s="9">
        <v>9489404</v>
      </c>
      <c r="BG313" s="9">
        <v>20484522.960000001</v>
      </c>
      <c r="BH313" s="9">
        <v>13953398</v>
      </c>
      <c r="BI313" s="9">
        <v>9588524</v>
      </c>
      <c r="BJ313" s="9">
        <v>22214657.669999998</v>
      </c>
      <c r="BK313" s="9">
        <v>14882274</v>
      </c>
      <c r="BL313" s="9">
        <v>9689924</v>
      </c>
      <c r="BM313" s="9"/>
      <c r="BN313" s="9"/>
      <c r="BO313" s="9"/>
      <c r="BP313" s="9"/>
      <c r="BQ313" s="9"/>
      <c r="BR313" s="9"/>
      <c r="BS313" s="9"/>
      <c r="BT313" s="9"/>
      <c r="BU313" s="9"/>
    </row>
    <row r="314" spans="1:73">
      <c r="A314" s="6">
        <v>305</v>
      </c>
      <c r="B314" s="6" t="s">
        <v>1423</v>
      </c>
      <c r="C314" s="421">
        <v>17.5</v>
      </c>
      <c r="D314" s="9">
        <v>24912170</v>
      </c>
      <c r="E314" s="33">
        <v>24531402</v>
      </c>
      <c r="F314" s="9">
        <v>4066920</v>
      </c>
      <c r="G314" s="9">
        <v>26617789.348280001</v>
      </c>
      <c r="H314" s="9">
        <v>24791745</v>
      </c>
      <c r="I314" s="9">
        <v>4365403</v>
      </c>
      <c r="J314" s="9">
        <v>28230853.006573763</v>
      </c>
      <c r="K314" s="9">
        <v>24914208</v>
      </c>
      <c r="L314" s="9">
        <v>4647689</v>
      </c>
      <c r="M314" s="9">
        <v>29490621.523280002</v>
      </c>
      <c r="N314" s="9">
        <v>25175571</v>
      </c>
      <c r="O314" s="9">
        <v>4356193</v>
      </c>
      <c r="P314" s="9">
        <v>511955</v>
      </c>
      <c r="Q314" s="9">
        <v>30299105.328824647</v>
      </c>
      <c r="R314" s="9">
        <v>25233915</v>
      </c>
      <c r="S314" s="9">
        <v>4770785</v>
      </c>
      <c r="T314" s="9">
        <v>294405</v>
      </c>
      <c r="U314" s="9">
        <v>29492136.843027599</v>
      </c>
      <c r="V314" s="9">
        <v>25278570</v>
      </c>
      <c r="W314" s="9">
        <v>4769282</v>
      </c>
      <c r="X314" s="9">
        <v>25604</v>
      </c>
      <c r="Y314" s="9">
        <v>354054</v>
      </c>
      <c r="Z314" s="9">
        <v>30243376.094500005</v>
      </c>
      <c r="AA314" s="9">
        <v>25690110</v>
      </c>
      <c r="AB314" s="9">
        <v>4794886</v>
      </c>
      <c r="AC314" s="9">
        <v>31226177.075480007</v>
      </c>
      <c r="AD314" s="9">
        <v>26692542</v>
      </c>
      <c r="AE314" s="9">
        <v>4962309.7470522504</v>
      </c>
      <c r="AF314" s="9">
        <v>31777096.588499997</v>
      </c>
      <c r="AG314" s="9">
        <v>27531423</v>
      </c>
      <c r="AH314" s="9">
        <f>5111980.28603606+58954</f>
        <v>5170934.2860360602</v>
      </c>
      <c r="AI314" s="9">
        <v>31933215.629270006</v>
      </c>
      <c r="AJ314" s="9">
        <v>27532408</v>
      </c>
      <c r="AK314" s="28">
        <v>5317017.2860360602</v>
      </c>
      <c r="AL314" s="9">
        <v>32600249.418120001</v>
      </c>
      <c r="AM314" s="9">
        <v>27898292</v>
      </c>
      <c r="AN314" s="28">
        <v>5401367.2860360602</v>
      </c>
      <c r="AO314" s="9">
        <v>34230683.749200001</v>
      </c>
      <c r="AP314" s="9">
        <v>28386107</v>
      </c>
      <c r="AQ314" s="28">
        <v>5844577</v>
      </c>
      <c r="AR314" s="9">
        <v>35673992.74237927</v>
      </c>
      <c r="AS314" s="9">
        <v>29443005</v>
      </c>
      <c r="AT314" s="28">
        <v>6230988</v>
      </c>
      <c r="AU314" s="9">
        <v>36359382.278080001</v>
      </c>
      <c r="AV314" s="9">
        <v>29996491</v>
      </c>
      <c r="AW314" s="9">
        <v>6362891</v>
      </c>
      <c r="AX314" s="9">
        <v>37851806.805738397</v>
      </c>
      <c r="AY314" s="9">
        <v>31170923</v>
      </c>
      <c r="AZ314" s="28">
        <v>6720549</v>
      </c>
      <c r="BA314" s="9">
        <v>38545137.935350008</v>
      </c>
      <c r="BB314" s="9">
        <v>31799739</v>
      </c>
      <c r="BC314" s="9">
        <v>6745399</v>
      </c>
      <c r="BD314" s="9">
        <v>38638839.541639999</v>
      </c>
      <c r="BE314" s="9">
        <v>31877042</v>
      </c>
      <c r="BF314" s="9">
        <v>6846919</v>
      </c>
      <c r="BG314" s="9">
        <v>40977611.282850005</v>
      </c>
      <c r="BH314" s="9">
        <v>33133651</v>
      </c>
      <c r="BI314" s="9">
        <v>7843960</v>
      </c>
      <c r="BJ314" s="9">
        <v>43061534.5506</v>
      </c>
      <c r="BK314" s="9">
        <v>34517798</v>
      </c>
      <c r="BL314" s="9">
        <v>8543737</v>
      </c>
      <c r="BM314" s="9"/>
      <c r="BN314" s="9"/>
      <c r="BO314" s="9"/>
      <c r="BP314" s="9"/>
      <c r="BQ314" s="9"/>
      <c r="BR314" s="9"/>
      <c r="BS314" s="9"/>
      <c r="BT314" s="9"/>
      <c r="BU314" s="9"/>
    </row>
    <row r="315" spans="1:73">
      <c r="A315" s="6">
        <v>306</v>
      </c>
      <c r="B315" s="6" t="s">
        <v>1424</v>
      </c>
      <c r="C315" s="421">
        <v>60.84</v>
      </c>
      <c r="D315" s="9">
        <v>1057649</v>
      </c>
      <c r="E315" s="33">
        <v>551254</v>
      </c>
      <c r="F315" s="9">
        <v>600096.4</v>
      </c>
      <c r="G315" s="9">
        <v>1097738.68</v>
      </c>
      <c r="H315" s="9">
        <v>542623</v>
      </c>
      <c r="I315" s="9">
        <v>623689.4</v>
      </c>
      <c r="J315" s="9">
        <v>1214081.5491547664</v>
      </c>
      <c r="K315" s="9">
        <v>568369</v>
      </c>
      <c r="L315" s="9">
        <v>692029.4</v>
      </c>
      <c r="M315" s="9">
        <v>1083615.01</v>
      </c>
      <c r="N315" s="9">
        <v>511611</v>
      </c>
      <c r="O315" s="9">
        <v>625113.4</v>
      </c>
      <c r="P315" s="9">
        <v>73466</v>
      </c>
      <c r="Q315" s="9">
        <v>1237788.8446468899</v>
      </c>
      <c r="R315" s="9">
        <v>562473</v>
      </c>
      <c r="S315" s="9">
        <v>684608</v>
      </c>
      <c r="T315" s="9">
        <v>0</v>
      </c>
      <c r="U315" s="9">
        <v>1290629.74896</v>
      </c>
      <c r="V315" s="9">
        <v>586443</v>
      </c>
      <c r="W315" s="9">
        <v>690675</v>
      </c>
      <c r="X315" s="9">
        <v>3708</v>
      </c>
      <c r="Y315" s="9">
        <v>9804</v>
      </c>
      <c r="Z315" s="9">
        <v>1324350.96</v>
      </c>
      <c r="AA315" s="9">
        <v>599347</v>
      </c>
      <c r="AB315" s="9">
        <v>725004</v>
      </c>
      <c r="AC315" s="9">
        <v>1325356.92</v>
      </c>
      <c r="AD315" s="9">
        <v>604836</v>
      </c>
      <c r="AE315" s="9">
        <v>730684</v>
      </c>
      <c r="AF315" s="9">
        <v>1277849.4100000001</v>
      </c>
      <c r="AG315" s="9">
        <v>602399</v>
      </c>
      <c r="AH315" s="9">
        <v>734009</v>
      </c>
      <c r="AI315" s="9">
        <v>1356194.98</v>
      </c>
      <c r="AJ315" s="9">
        <v>645271</v>
      </c>
      <c r="AK315" s="28">
        <v>737534</v>
      </c>
      <c r="AL315" s="9">
        <v>1467392.6599999997</v>
      </c>
      <c r="AM315" s="9">
        <v>661118</v>
      </c>
      <c r="AN315" s="28">
        <v>806275</v>
      </c>
      <c r="AO315" s="9">
        <v>1585577.72</v>
      </c>
      <c r="AP315" s="9">
        <v>646690</v>
      </c>
      <c r="AQ315" s="28">
        <v>938888</v>
      </c>
      <c r="AR315" s="9">
        <v>1580013.0996064784</v>
      </c>
      <c r="AS315" s="9">
        <v>594640</v>
      </c>
      <c r="AT315" s="28">
        <v>985373</v>
      </c>
      <c r="AU315" s="9">
        <v>1631406.07</v>
      </c>
      <c r="AV315" s="9">
        <v>654753</v>
      </c>
      <c r="AW315" s="9">
        <v>990083</v>
      </c>
      <c r="AX315" s="9">
        <v>1548538.4556649411</v>
      </c>
      <c r="AY315" s="9">
        <v>599075</v>
      </c>
      <c r="AZ315" s="28">
        <v>994373</v>
      </c>
      <c r="BA315" s="9">
        <v>1614023.6</v>
      </c>
      <c r="BB315" s="9">
        <v>613294</v>
      </c>
      <c r="BC315" s="9">
        <v>1000730</v>
      </c>
      <c r="BD315" s="9">
        <v>1543003.67</v>
      </c>
      <c r="BE315" s="9">
        <v>564773</v>
      </c>
      <c r="BF315" s="9">
        <v>1004630</v>
      </c>
      <c r="BG315" s="9">
        <v>1787635.85</v>
      </c>
      <c r="BH315" s="9">
        <v>616948</v>
      </c>
      <c r="BI315" s="9">
        <v>1170688</v>
      </c>
      <c r="BJ315" s="9">
        <v>1628374.74</v>
      </c>
      <c r="BK315" s="9">
        <v>566808</v>
      </c>
      <c r="BL315" s="9">
        <v>1177348</v>
      </c>
      <c r="BM315" s="9"/>
      <c r="BN315" s="9"/>
      <c r="BO315" s="9"/>
      <c r="BP315" s="9"/>
      <c r="BQ315" s="9"/>
      <c r="BR315" s="9"/>
      <c r="BS315" s="9"/>
      <c r="BT315" s="9"/>
      <c r="BU315" s="9"/>
    </row>
    <row r="316" spans="1:73">
      <c r="A316" s="6">
        <v>307</v>
      </c>
      <c r="B316" s="6" t="s">
        <v>1425</v>
      </c>
      <c r="C316" s="421">
        <v>17.5</v>
      </c>
      <c r="D316" s="9">
        <v>26410304</v>
      </c>
      <c r="E316" s="33">
        <v>22394550</v>
      </c>
      <c r="F316" s="9">
        <v>4500224.4000000004</v>
      </c>
      <c r="G316" s="9">
        <v>28924699.423300002</v>
      </c>
      <c r="H316" s="9">
        <v>23409707</v>
      </c>
      <c r="I316" s="9">
        <v>5514992</v>
      </c>
      <c r="J316" s="9">
        <v>31050181.709740832</v>
      </c>
      <c r="K316" s="9">
        <v>24570828</v>
      </c>
      <c r="L316" s="9">
        <v>6479354</v>
      </c>
      <c r="M316" s="9">
        <v>32983538.436549999</v>
      </c>
      <c r="N316" s="9">
        <v>25479114</v>
      </c>
      <c r="O316" s="9">
        <v>6715227</v>
      </c>
      <c r="P316" s="9">
        <v>789197</v>
      </c>
      <c r="Q316" s="9">
        <v>33992625.661692321</v>
      </c>
      <c r="R316" s="9">
        <v>26485132</v>
      </c>
      <c r="S316" s="9">
        <v>7354336</v>
      </c>
      <c r="T316" s="9">
        <v>153158</v>
      </c>
      <c r="U316" s="9">
        <v>32863427.944973391</v>
      </c>
      <c r="V316" s="9">
        <v>26734779</v>
      </c>
      <c r="W316" s="9">
        <v>7068906</v>
      </c>
      <c r="X316" s="9">
        <v>37949</v>
      </c>
      <c r="Y316" s="9">
        <v>496139</v>
      </c>
      <c r="Z316" s="9">
        <v>33583986.553500004</v>
      </c>
      <c r="AA316" s="9">
        <v>27739862</v>
      </c>
      <c r="AB316" s="9">
        <v>7106855</v>
      </c>
      <c r="AC316" s="9">
        <v>35385662.980499998</v>
      </c>
      <c r="AD316" s="9">
        <v>28681277</v>
      </c>
      <c r="AE316" s="9">
        <v>7325008.0005256878</v>
      </c>
      <c r="AF316" s="9">
        <v>36597932.707249992</v>
      </c>
      <c r="AG316" s="9">
        <v>29680601</v>
      </c>
      <c r="AH316" s="9">
        <v>7446255.7103260532</v>
      </c>
      <c r="AI316" s="9">
        <v>36833859.746200003</v>
      </c>
      <c r="AJ316" s="9">
        <v>30016055</v>
      </c>
      <c r="AK316" s="28">
        <v>7542980.7103260532</v>
      </c>
      <c r="AL316" s="9">
        <v>37317617.441239998</v>
      </c>
      <c r="AM316" s="9">
        <v>30729479</v>
      </c>
      <c r="AN316" s="28">
        <v>7638830.7103260532</v>
      </c>
      <c r="AO316" s="9">
        <v>36843723.371769994</v>
      </c>
      <c r="AP316" s="9">
        <v>30659945</v>
      </c>
      <c r="AQ316" s="28">
        <v>7848820.7103260532</v>
      </c>
      <c r="AR316" s="9">
        <v>36969856.911350518</v>
      </c>
      <c r="AS316" s="9">
        <v>30718767</v>
      </c>
      <c r="AT316" s="28">
        <v>7961140.7103260532</v>
      </c>
      <c r="AU316" s="9">
        <v>38230557.63222</v>
      </c>
      <c r="AV316" s="9">
        <v>31540211</v>
      </c>
      <c r="AW316" s="9">
        <v>8073101</v>
      </c>
      <c r="AX316" s="9">
        <v>39185793.937174484</v>
      </c>
      <c r="AY316" s="9">
        <v>32328280</v>
      </c>
      <c r="AZ316" s="28">
        <v>8182871</v>
      </c>
      <c r="BA316" s="9">
        <v>39454988.392580003</v>
      </c>
      <c r="BB316" s="9">
        <v>32550365</v>
      </c>
      <c r="BC316" s="9">
        <v>8182871</v>
      </c>
      <c r="BD316" s="9">
        <v>40749021.079649992</v>
      </c>
      <c r="BE316" s="9">
        <v>33446471</v>
      </c>
      <c r="BF316" s="9">
        <v>8290061</v>
      </c>
      <c r="BG316" s="9">
        <v>43228473.531800002</v>
      </c>
      <c r="BH316" s="9">
        <v>34931941</v>
      </c>
      <c r="BI316" s="9">
        <v>8504201</v>
      </c>
      <c r="BJ316" s="9">
        <v>47191402.9124</v>
      </c>
      <c r="BK316" s="9">
        <v>37306825</v>
      </c>
      <c r="BL316" s="9">
        <v>9884578</v>
      </c>
      <c r="BM316" s="9"/>
      <c r="BN316" s="9"/>
      <c r="BO316" s="9"/>
      <c r="BP316" s="9"/>
      <c r="BQ316" s="9"/>
      <c r="BR316" s="9"/>
      <c r="BS316" s="9"/>
      <c r="BT316" s="9"/>
      <c r="BU316" s="9"/>
    </row>
    <row r="317" spans="1:73">
      <c r="A317" s="6">
        <v>308</v>
      </c>
      <c r="B317" s="6" t="s">
        <v>1426</v>
      </c>
      <c r="C317" s="421">
        <v>17.5</v>
      </c>
      <c r="D317" s="9">
        <v>38879439</v>
      </c>
      <c r="E317" s="33">
        <v>61572349</v>
      </c>
      <c r="F317" s="9">
        <v>5965643.2000000002</v>
      </c>
      <c r="G317" s="9">
        <v>42761499.772249997</v>
      </c>
      <c r="H317" s="9">
        <v>59697543</v>
      </c>
      <c r="I317" s="9">
        <v>6645004.2000000002</v>
      </c>
      <c r="J317" s="9">
        <v>46074539.537751034</v>
      </c>
      <c r="K317" s="9">
        <v>56268437</v>
      </c>
      <c r="L317" s="9">
        <v>7224786.2000000002</v>
      </c>
      <c r="M317" s="9">
        <v>48110738.181689993</v>
      </c>
      <c r="N317" s="9">
        <v>52317305</v>
      </c>
      <c r="O317" s="9">
        <v>6817755.2000000002</v>
      </c>
      <c r="P317" s="9">
        <v>801247</v>
      </c>
      <c r="Q317" s="9">
        <v>49403220.555879377</v>
      </c>
      <c r="R317" s="9">
        <v>50761236</v>
      </c>
      <c r="S317" s="9">
        <v>7466622</v>
      </c>
      <c r="T317" s="9">
        <v>0</v>
      </c>
      <c r="U317" s="9">
        <v>47912898.078373261</v>
      </c>
      <c r="V317" s="9">
        <v>48460847</v>
      </c>
      <c r="W317" s="9">
        <v>7030422</v>
      </c>
      <c r="X317" s="9">
        <v>37743</v>
      </c>
      <c r="Y317" s="9">
        <v>519232</v>
      </c>
      <c r="Z317" s="9">
        <v>50081563.292000003</v>
      </c>
      <c r="AA317" s="9">
        <v>48664297</v>
      </c>
      <c r="AB317" s="9">
        <v>7068165</v>
      </c>
      <c r="AC317" s="9">
        <v>54877131.504830003</v>
      </c>
      <c r="AD317" s="9">
        <v>50008834</v>
      </c>
      <c r="AE317" s="9">
        <v>7701998.2533363122</v>
      </c>
      <c r="AF317" s="9">
        <v>57878574.668200001</v>
      </c>
      <c r="AG317" s="9">
        <v>51531811</v>
      </c>
      <c r="AH317" s="9">
        <v>8308686.3317359835</v>
      </c>
      <c r="AI317" s="9">
        <v>58974377.85684</v>
      </c>
      <c r="AJ317" s="9">
        <v>51151815</v>
      </c>
      <c r="AK317" s="28">
        <v>9012826.3317359835</v>
      </c>
      <c r="AL317" s="9">
        <v>62218743.565559998</v>
      </c>
      <c r="AM317" s="9">
        <v>52507147</v>
      </c>
      <c r="AN317" s="28">
        <v>9711597</v>
      </c>
      <c r="AO317" s="9">
        <v>62274785.537900016</v>
      </c>
      <c r="AP317" s="9">
        <v>51887299</v>
      </c>
      <c r="AQ317" s="28">
        <v>10863166</v>
      </c>
      <c r="AR317" s="9">
        <v>65721454.701030053</v>
      </c>
      <c r="AS317" s="9">
        <v>54285104</v>
      </c>
      <c r="AT317" s="28">
        <f>12031585-595234</f>
        <v>11436351</v>
      </c>
      <c r="AU317" s="9">
        <v>70511885.580779999</v>
      </c>
      <c r="AV317" s="9">
        <v>57308784</v>
      </c>
      <c r="AW317" s="9">
        <v>13203102</v>
      </c>
      <c r="AX317" s="9">
        <v>75037559.479823217</v>
      </c>
      <c r="AY317" s="9">
        <v>60191416</v>
      </c>
      <c r="AZ317" s="28">
        <v>14846143</v>
      </c>
      <c r="BA317" s="9">
        <v>78968509.286119998</v>
      </c>
      <c r="BB317" s="9">
        <v>63760767</v>
      </c>
      <c r="BC317" s="9">
        <v>15541249</v>
      </c>
      <c r="BD317" s="9">
        <v>79126547.643249989</v>
      </c>
      <c r="BE317" s="9">
        <v>65279402</v>
      </c>
      <c r="BF317" s="9">
        <v>15706969</v>
      </c>
      <c r="BG317" s="9">
        <v>87977903.347709998</v>
      </c>
      <c r="BH317" s="9">
        <v>69072135</v>
      </c>
      <c r="BI317" s="9">
        <v>18905768</v>
      </c>
      <c r="BJ317" s="9">
        <v>98129290.060850009</v>
      </c>
      <c r="BK317" s="9">
        <v>74508112</v>
      </c>
      <c r="BL317" s="9">
        <v>23621178</v>
      </c>
      <c r="BM317" s="9"/>
      <c r="BN317" s="9"/>
      <c r="BO317" s="9"/>
      <c r="BP317" s="9"/>
      <c r="BQ317" s="9"/>
      <c r="BR317" s="9"/>
      <c r="BS317" s="9"/>
      <c r="BT317" s="9"/>
      <c r="BU317" s="9"/>
    </row>
    <row r="318" spans="1:73">
      <c r="A318" s="6">
        <v>309</v>
      </c>
      <c r="B318" s="6" t="s">
        <v>1427</v>
      </c>
      <c r="C318" s="421">
        <v>66.510000000000005</v>
      </c>
      <c r="D318" s="9">
        <v>10543852</v>
      </c>
      <c r="E318" s="33">
        <v>4213722</v>
      </c>
      <c r="F318" s="9">
        <v>7097968</v>
      </c>
      <c r="G318" s="9">
        <v>11341610.789999999</v>
      </c>
      <c r="H318" s="9">
        <v>4490738</v>
      </c>
      <c r="I318" s="9">
        <v>7590105</v>
      </c>
      <c r="J318" s="9">
        <v>11984338.616012348</v>
      </c>
      <c r="K318" s="9">
        <v>4670870</v>
      </c>
      <c r="L318" s="9">
        <v>7988468</v>
      </c>
      <c r="M318" s="9">
        <v>12279413.380000001</v>
      </c>
      <c r="N318" s="9">
        <v>4853748</v>
      </c>
      <c r="O318" s="9">
        <v>7307532</v>
      </c>
      <c r="P318" s="9">
        <v>858807</v>
      </c>
      <c r="Q318" s="9">
        <v>12947330.615364594</v>
      </c>
      <c r="R318" s="9">
        <v>4961196</v>
      </c>
      <c r="S318" s="9">
        <v>8003012</v>
      </c>
      <c r="T318" s="9">
        <v>0</v>
      </c>
      <c r="U318" s="9">
        <v>13334594.007599998</v>
      </c>
      <c r="V318" s="9">
        <v>5116642</v>
      </c>
      <c r="W318" s="9">
        <v>8060271</v>
      </c>
      <c r="X318" s="9">
        <v>43271</v>
      </c>
      <c r="Y318" s="9">
        <v>114410</v>
      </c>
      <c r="Z318" s="9">
        <v>13217323.799999999</v>
      </c>
      <c r="AA318" s="9">
        <v>5226096</v>
      </c>
      <c r="AB318" s="9">
        <v>8103542</v>
      </c>
      <c r="AC318" s="9">
        <v>13610889.48</v>
      </c>
      <c r="AD318" s="9">
        <v>5398699</v>
      </c>
      <c r="AE318" s="9">
        <v>8212190</v>
      </c>
      <c r="AF318" s="9">
        <v>14182968.479999997</v>
      </c>
      <c r="AG318" s="9">
        <v>5508648</v>
      </c>
      <c r="AH318" s="9">
        <v>8674320</v>
      </c>
      <c r="AI318" s="9">
        <v>14311776.950000001</v>
      </c>
      <c r="AJ318" s="9">
        <v>5575059</v>
      </c>
      <c r="AK318" s="28">
        <v>8736718</v>
      </c>
      <c r="AL318" s="9">
        <v>14379106.989999996</v>
      </c>
      <c r="AM318" s="9">
        <v>5507809</v>
      </c>
      <c r="AN318" s="28">
        <v>8871298</v>
      </c>
      <c r="AO318" s="9">
        <v>14839037.079999998</v>
      </c>
      <c r="AP318" s="9">
        <v>5469680</v>
      </c>
      <c r="AQ318" s="28">
        <v>9369357</v>
      </c>
      <c r="AR318" s="9">
        <v>14617553.305294422</v>
      </c>
      <c r="AS318" s="9">
        <v>5149596</v>
      </c>
      <c r="AT318" s="28">
        <v>9467957</v>
      </c>
      <c r="AU318" s="9">
        <v>14793547.390000001</v>
      </c>
      <c r="AV318" s="9">
        <v>5213248</v>
      </c>
      <c r="AW318" s="9">
        <v>9588570</v>
      </c>
      <c r="AX318" s="9">
        <v>15862338.797222899</v>
      </c>
      <c r="AY318" s="9">
        <v>5271105</v>
      </c>
      <c r="AZ318" s="28">
        <v>10591234</v>
      </c>
      <c r="BA318" s="9">
        <v>15723620.550000001</v>
      </c>
      <c r="BB318" s="9">
        <v>5305670</v>
      </c>
      <c r="BC318" s="9">
        <v>10591234</v>
      </c>
      <c r="BD318" s="9">
        <v>16595927.159999996</v>
      </c>
      <c r="BE318" s="9">
        <v>5393117</v>
      </c>
      <c r="BF318" s="9">
        <v>11202810</v>
      </c>
      <c r="BG318" s="9">
        <v>17965623.27</v>
      </c>
      <c r="BH318" s="9">
        <v>5630390</v>
      </c>
      <c r="BI318" s="9">
        <v>12335233</v>
      </c>
      <c r="BJ318" s="9">
        <v>19400007.25</v>
      </c>
      <c r="BK318" s="9">
        <v>5872745</v>
      </c>
      <c r="BL318" s="9">
        <v>13527262</v>
      </c>
      <c r="BM318" s="9"/>
      <c r="BN318" s="9"/>
      <c r="BO318" s="9"/>
      <c r="BP318" s="9"/>
      <c r="BQ318" s="9"/>
      <c r="BR318" s="9"/>
      <c r="BS318" s="9"/>
      <c r="BT318" s="9"/>
      <c r="BU318" s="9"/>
    </row>
    <row r="319" spans="1:73">
      <c r="A319" s="6">
        <v>310</v>
      </c>
      <c r="B319" s="6" t="s">
        <v>1428</v>
      </c>
      <c r="C319" s="421">
        <v>36.99</v>
      </c>
      <c r="D319" s="9">
        <v>26787120</v>
      </c>
      <c r="E319" s="33">
        <v>16030344</v>
      </c>
      <c r="F319" s="9">
        <v>11226580.000000002</v>
      </c>
      <c r="G319" s="9">
        <v>27620251.569999997</v>
      </c>
      <c r="H319" s="9">
        <v>16502182</v>
      </c>
      <c r="I319" s="9">
        <v>11620568.000000002</v>
      </c>
      <c r="J319" s="9">
        <v>28330642.11136163</v>
      </c>
      <c r="K319" s="9">
        <v>17161382</v>
      </c>
      <c r="L319" s="9">
        <v>11916801.000000002</v>
      </c>
      <c r="M319" s="9">
        <v>29713674.899999999</v>
      </c>
      <c r="N319" s="9">
        <v>17701346</v>
      </c>
      <c r="O319" s="9">
        <v>11178168.000000002</v>
      </c>
      <c r="P319" s="9">
        <v>1313698</v>
      </c>
      <c r="Q319" s="9">
        <v>30323433.981795222</v>
      </c>
      <c r="R319" s="9">
        <v>17409106</v>
      </c>
      <c r="S319" s="9">
        <v>12242029</v>
      </c>
      <c r="T319" s="9">
        <v>672299</v>
      </c>
      <c r="U319" s="9">
        <v>29157976.018979996</v>
      </c>
      <c r="V319" s="9">
        <v>17518457</v>
      </c>
      <c r="W319" s="9">
        <v>12159874</v>
      </c>
      <c r="X319" s="9">
        <v>65280</v>
      </c>
      <c r="Y319" s="9">
        <v>765499</v>
      </c>
      <c r="Z319" s="9">
        <v>28986212.199999999</v>
      </c>
      <c r="AA319" s="9">
        <v>17900064</v>
      </c>
      <c r="AB319" s="9">
        <v>12225154</v>
      </c>
      <c r="AC319" s="9">
        <v>30086115.449999996</v>
      </c>
      <c r="AD319" s="9">
        <v>18383155</v>
      </c>
      <c r="AE319" s="9">
        <v>12345207.138633749</v>
      </c>
      <c r="AF319" s="9">
        <v>29686081.27</v>
      </c>
      <c r="AG319" s="9">
        <v>18523807</v>
      </c>
      <c r="AH319" s="9">
        <v>12416757.138633749</v>
      </c>
      <c r="AI319" s="9">
        <v>29801464.629999995</v>
      </c>
      <c r="AJ319" s="9">
        <v>18563068</v>
      </c>
      <c r="AK319" s="28">
        <v>12488232.138633749</v>
      </c>
      <c r="AL319" s="9">
        <v>30579432.949999999</v>
      </c>
      <c r="AM319" s="9">
        <v>18285648</v>
      </c>
      <c r="AN319" s="28">
        <v>12558607.138633749</v>
      </c>
      <c r="AO319" s="9">
        <v>29850414.400000002</v>
      </c>
      <c r="AP319" s="9">
        <v>17354464</v>
      </c>
      <c r="AQ319" s="28">
        <v>12708042.138633749</v>
      </c>
      <c r="AR319" s="9">
        <v>30448305.403478537</v>
      </c>
      <c r="AS319" s="9">
        <v>17216125</v>
      </c>
      <c r="AT319" s="28">
        <v>13232180</v>
      </c>
      <c r="AU319" s="9">
        <v>30391882.289999999</v>
      </c>
      <c r="AV319" s="9">
        <v>17563012</v>
      </c>
      <c r="AW319" s="9">
        <v>13308860</v>
      </c>
      <c r="AX319" s="9">
        <v>30196685.358659841</v>
      </c>
      <c r="AY319" s="9">
        <v>18151699</v>
      </c>
      <c r="AZ319" s="28">
        <v>13381730</v>
      </c>
      <c r="BA319" s="9">
        <v>29995900.239999998</v>
      </c>
      <c r="BB319" s="9">
        <v>18760166</v>
      </c>
      <c r="BC319" s="9">
        <v>13381730</v>
      </c>
      <c r="BD319" s="9">
        <v>30246630.430000003</v>
      </c>
      <c r="BE319" s="9">
        <v>19008275</v>
      </c>
      <c r="BF319" s="9">
        <v>13449800</v>
      </c>
      <c r="BG319" s="9">
        <v>34329630.080000013</v>
      </c>
      <c r="BH319" s="9">
        <v>20639982</v>
      </c>
      <c r="BI319" s="9">
        <v>13689648</v>
      </c>
      <c r="BJ319" s="9">
        <v>37763668.480000004</v>
      </c>
      <c r="BK319" s="9">
        <v>21536212</v>
      </c>
      <c r="BL319" s="9">
        <v>16227456</v>
      </c>
      <c r="BM319" s="9"/>
      <c r="BN319" s="9"/>
      <c r="BO319" s="9"/>
      <c r="BP319" s="9"/>
      <c r="BQ319" s="9"/>
      <c r="BR319" s="9"/>
      <c r="BS319" s="9"/>
      <c r="BT319" s="9"/>
      <c r="BU319" s="9"/>
    </row>
    <row r="320" spans="1:73">
      <c r="A320" s="6">
        <v>311</v>
      </c>
      <c r="B320" s="6" t="s">
        <v>1429</v>
      </c>
      <c r="C320" s="421">
        <v>68.14</v>
      </c>
      <c r="D320" s="9">
        <v>538960</v>
      </c>
      <c r="E320" s="33">
        <v>185240</v>
      </c>
      <c r="F320" s="9">
        <v>353720</v>
      </c>
      <c r="G320" s="9">
        <v>702595.73</v>
      </c>
      <c r="H320" s="9">
        <v>196083</v>
      </c>
      <c r="I320" s="9">
        <v>506513</v>
      </c>
      <c r="J320" s="9">
        <v>158055.47</v>
      </c>
      <c r="K320" s="9">
        <v>44646</v>
      </c>
      <c r="L320" s="9">
        <v>137959</v>
      </c>
      <c r="M320" s="9">
        <v>71660.94</v>
      </c>
      <c r="N320" s="9">
        <v>20366</v>
      </c>
      <c r="O320" s="9">
        <v>71660.94</v>
      </c>
      <c r="P320" s="9">
        <v>0</v>
      </c>
      <c r="Q320" s="9">
        <v>24613.150009569381</v>
      </c>
      <c r="R320" s="9">
        <v>7172</v>
      </c>
      <c r="S320" s="9">
        <v>70228</v>
      </c>
      <c r="T320" s="9">
        <v>0</v>
      </c>
      <c r="U320" s="9">
        <v>0</v>
      </c>
      <c r="V320" s="9">
        <v>0</v>
      </c>
      <c r="W320" s="9">
        <v>0</v>
      </c>
      <c r="X320" s="9">
        <v>0</v>
      </c>
      <c r="Y320" s="9">
        <v>0</v>
      </c>
      <c r="Z320" s="9">
        <v>0</v>
      </c>
      <c r="AA320" s="9">
        <v>0</v>
      </c>
      <c r="AB320" s="9">
        <v>0</v>
      </c>
      <c r="AC320" s="9">
        <v>0</v>
      </c>
      <c r="AD320" s="9">
        <v>0</v>
      </c>
      <c r="AE320" s="9">
        <v>0</v>
      </c>
      <c r="AF320" s="9">
        <v>0</v>
      </c>
      <c r="AG320" s="9">
        <v>0</v>
      </c>
      <c r="AH320" s="9">
        <v>0</v>
      </c>
      <c r="AI320" s="9">
        <v>0</v>
      </c>
      <c r="AJ320" s="9">
        <v>0</v>
      </c>
      <c r="AK320" s="28">
        <v>0</v>
      </c>
      <c r="AL320" s="9">
        <v>0</v>
      </c>
      <c r="AM320" s="9">
        <v>0</v>
      </c>
      <c r="AN320" s="28">
        <v>0</v>
      </c>
      <c r="AO320" s="9">
        <v>0</v>
      </c>
      <c r="AP320" s="9">
        <v>0</v>
      </c>
      <c r="AQ320" s="28">
        <v>0</v>
      </c>
      <c r="AR320" s="9">
        <v>0</v>
      </c>
      <c r="AS320" s="9">
        <v>0</v>
      </c>
      <c r="AT320" s="28">
        <v>0</v>
      </c>
      <c r="AU320" s="9">
        <v>0</v>
      </c>
      <c r="AV320" s="9">
        <v>0</v>
      </c>
      <c r="AW320" s="9">
        <v>0</v>
      </c>
      <c r="AX320" s="9">
        <v>0</v>
      </c>
      <c r="AY320" s="9">
        <v>0</v>
      </c>
      <c r="AZ320" s="28">
        <v>0</v>
      </c>
      <c r="BA320" s="9">
        <v>0</v>
      </c>
      <c r="BB320" s="9">
        <v>0</v>
      </c>
      <c r="BC320" s="9">
        <v>0</v>
      </c>
      <c r="BD320" s="9">
        <v>0</v>
      </c>
      <c r="BE320" s="9">
        <v>0</v>
      </c>
      <c r="BF320" s="9">
        <v>0</v>
      </c>
      <c r="BG320" s="9">
        <v>15697.710000000001</v>
      </c>
      <c r="BH320" s="9">
        <v>4781</v>
      </c>
      <c r="BI320" s="9">
        <v>10917</v>
      </c>
      <c r="BJ320" s="9">
        <v>16490.760000000002</v>
      </c>
      <c r="BK320" s="9">
        <v>4845</v>
      </c>
      <c r="BL320" s="9">
        <v>11646</v>
      </c>
      <c r="BM320" s="9"/>
      <c r="BN320" s="9"/>
      <c r="BO320" s="9"/>
      <c r="BP320" s="9"/>
      <c r="BQ320" s="9"/>
      <c r="BR320" s="9"/>
      <c r="BS320" s="9"/>
      <c r="BT320" s="9"/>
      <c r="BU320" s="9"/>
    </row>
    <row r="321" spans="1:73">
      <c r="A321" s="6">
        <v>312</v>
      </c>
      <c r="B321" s="6" t="s">
        <v>1430</v>
      </c>
      <c r="C321" s="421">
        <v>37.51</v>
      </c>
      <c r="D321" s="9">
        <v>0</v>
      </c>
      <c r="E321" s="33">
        <v>0</v>
      </c>
      <c r="F321" s="9">
        <v>0</v>
      </c>
      <c r="G321" s="9">
        <v>0</v>
      </c>
      <c r="H321" s="9">
        <v>0</v>
      </c>
      <c r="I321" s="9">
        <v>0</v>
      </c>
      <c r="J321" s="9">
        <v>0</v>
      </c>
      <c r="K321" s="9">
        <v>0</v>
      </c>
      <c r="L321" s="9">
        <v>0</v>
      </c>
      <c r="M321" s="9">
        <v>0</v>
      </c>
      <c r="N321" s="9">
        <v>0</v>
      </c>
      <c r="O321" s="9">
        <v>0</v>
      </c>
      <c r="P321" s="9">
        <v>0</v>
      </c>
      <c r="Q321" s="9">
        <v>0</v>
      </c>
      <c r="R321" s="9">
        <v>0</v>
      </c>
      <c r="S321" s="9">
        <v>0</v>
      </c>
      <c r="T321" s="9">
        <v>0</v>
      </c>
      <c r="U321" s="9">
        <v>0</v>
      </c>
      <c r="V321" s="9">
        <v>0</v>
      </c>
      <c r="W321" s="9">
        <v>0</v>
      </c>
      <c r="X321" s="9">
        <v>0</v>
      </c>
      <c r="Y321" s="9">
        <v>0</v>
      </c>
      <c r="Z321" s="9">
        <v>0</v>
      </c>
      <c r="AA321" s="9">
        <v>0</v>
      </c>
      <c r="AB321" s="9">
        <v>0</v>
      </c>
      <c r="AC321" s="9">
        <v>0</v>
      </c>
      <c r="AD321" s="9">
        <v>0</v>
      </c>
      <c r="AE321" s="9">
        <v>0</v>
      </c>
      <c r="AF321" s="9">
        <v>0</v>
      </c>
      <c r="AG321" s="9">
        <v>0</v>
      </c>
      <c r="AH321" s="9">
        <v>0</v>
      </c>
      <c r="AI321" s="9">
        <v>0</v>
      </c>
      <c r="AJ321" s="9">
        <v>0</v>
      </c>
      <c r="AK321" s="28">
        <v>0</v>
      </c>
      <c r="AL321" s="9">
        <v>0</v>
      </c>
      <c r="AM321" s="9">
        <v>0</v>
      </c>
      <c r="AN321" s="28">
        <v>0</v>
      </c>
      <c r="AO321" s="9">
        <v>0</v>
      </c>
      <c r="AP321" s="9">
        <v>0</v>
      </c>
      <c r="AQ321" s="28">
        <v>0</v>
      </c>
      <c r="AR321" s="9">
        <v>0</v>
      </c>
      <c r="AS321" s="9">
        <v>0</v>
      </c>
      <c r="AT321" s="28">
        <v>0</v>
      </c>
      <c r="AU321" s="9">
        <v>0</v>
      </c>
      <c r="AV321" s="9">
        <v>0</v>
      </c>
      <c r="AW321" s="9">
        <v>0</v>
      </c>
      <c r="AX321" s="9">
        <v>0</v>
      </c>
      <c r="AY321" s="9">
        <v>0</v>
      </c>
      <c r="AZ321" s="28">
        <v>0</v>
      </c>
      <c r="BA321" s="9">
        <v>0</v>
      </c>
      <c r="BB321" s="9">
        <v>0</v>
      </c>
      <c r="BC321" s="9">
        <v>0</v>
      </c>
      <c r="BD321" s="9">
        <v>0</v>
      </c>
      <c r="BE321" s="9">
        <v>0</v>
      </c>
      <c r="BF321" s="9">
        <v>0</v>
      </c>
      <c r="BG321" s="9">
        <v>0</v>
      </c>
      <c r="BH321" s="9">
        <v>0</v>
      </c>
      <c r="BI321" s="473">
        <v>246092</v>
      </c>
      <c r="BJ321" s="9">
        <v>860882.41</v>
      </c>
      <c r="BK321" s="9">
        <v>480702</v>
      </c>
      <c r="BL321" s="9">
        <v>380180</v>
      </c>
      <c r="BM321" s="9"/>
      <c r="BN321" s="9"/>
      <c r="BO321" s="9"/>
      <c r="BP321" s="9"/>
      <c r="BQ321" s="9"/>
      <c r="BR321" s="9"/>
      <c r="BS321" s="9"/>
      <c r="BT321" s="9"/>
      <c r="BU321" s="9"/>
    </row>
    <row r="322" spans="1:73">
      <c r="A322" s="6">
        <v>313</v>
      </c>
      <c r="B322" s="6" t="s">
        <v>1431</v>
      </c>
      <c r="C322" s="421">
        <v>17.5</v>
      </c>
      <c r="D322" s="9">
        <v>29389</v>
      </c>
      <c r="E322" s="33">
        <v>10836</v>
      </c>
      <c r="F322" s="9">
        <v>18553</v>
      </c>
      <c r="G322" s="9">
        <v>32548.98</v>
      </c>
      <c r="H322" s="9">
        <v>18105</v>
      </c>
      <c r="I322" s="9">
        <v>20004</v>
      </c>
      <c r="J322" s="9">
        <v>34065.81</v>
      </c>
      <c r="K322" s="9">
        <v>20948</v>
      </c>
      <c r="L322" s="9">
        <v>20700</v>
      </c>
      <c r="M322" s="9">
        <v>11943.49</v>
      </c>
      <c r="N322" s="9">
        <v>6978</v>
      </c>
      <c r="O322" s="9">
        <v>11943.49</v>
      </c>
      <c r="P322" s="9">
        <v>0</v>
      </c>
      <c r="Q322" s="9">
        <v>24613.150009569381</v>
      </c>
      <c r="R322" s="9">
        <v>16085</v>
      </c>
      <c r="S322" s="9">
        <v>11705</v>
      </c>
      <c r="T322" s="9">
        <v>0</v>
      </c>
      <c r="U322" s="9">
        <v>24071.631359999999</v>
      </c>
      <c r="V322" s="9">
        <v>16378</v>
      </c>
      <c r="W322" s="9">
        <v>11237</v>
      </c>
      <c r="X322" s="9">
        <v>0</v>
      </c>
      <c r="Y322" s="9">
        <v>0</v>
      </c>
      <c r="Z322" s="9">
        <v>12250.07</v>
      </c>
      <c r="AA322" s="9">
        <v>9358</v>
      </c>
      <c r="AB322" s="9">
        <v>11237</v>
      </c>
      <c r="AC322" s="9">
        <v>25394.420000000002</v>
      </c>
      <c r="AD322" s="9">
        <v>19302</v>
      </c>
      <c r="AE322" s="9">
        <v>11237</v>
      </c>
      <c r="AF322" s="9">
        <v>0</v>
      </c>
      <c r="AG322" s="9">
        <v>0</v>
      </c>
      <c r="AH322" s="9">
        <v>0</v>
      </c>
      <c r="AI322" s="9">
        <v>13004.9</v>
      </c>
      <c r="AJ322" s="9">
        <v>10244</v>
      </c>
      <c r="AK322" s="28">
        <v>2761</v>
      </c>
      <c r="AL322" s="9">
        <v>13199.960000000001</v>
      </c>
      <c r="AM322" s="9">
        <v>10149</v>
      </c>
      <c r="AN322" s="28">
        <v>3051</v>
      </c>
      <c r="AO322" s="9">
        <v>13170.920000000002</v>
      </c>
      <c r="AP322" s="9">
        <v>10882</v>
      </c>
      <c r="AQ322" s="28">
        <v>3051</v>
      </c>
      <c r="AR322" s="9">
        <v>26833.666687179095</v>
      </c>
      <c r="AS322" s="9">
        <v>22444</v>
      </c>
      <c r="AT322" s="28">
        <v>4390</v>
      </c>
      <c r="AU322" s="9">
        <v>27674.32</v>
      </c>
      <c r="AV322" s="9">
        <v>22157</v>
      </c>
      <c r="AW322" s="9">
        <v>5517</v>
      </c>
      <c r="AX322" s="9">
        <v>28743.594510706713</v>
      </c>
      <c r="AY322" s="9">
        <v>20897</v>
      </c>
      <c r="AZ322" s="28">
        <v>7847</v>
      </c>
      <c r="BA322" s="9">
        <v>14657.8</v>
      </c>
      <c r="BB322" s="9">
        <v>10895</v>
      </c>
      <c r="BC322" s="9">
        <v>7847</v>
      </c>
      <c r="BD322" s="9">
        <v>0</v>
      </c>
      <c r="BE322" s="9">
        <v>0</v>
      </c>
      <c r="BF322" s="9">
        <v>0</v>
      </c>
      <c r="BG322" s="9">
        <v>0</v>
      </c>
      <c r="BH322" s="9">
        <v>0</v>
      </c>
      <c r="BI322" s="9">
        <v>0</v>
      </c>
      <c r="BJ322" s="9">
        <v>65963.040000000008</v>
      </c>
      <c r="BK322" s="9">
        <v>45577</v>
      </c>
      <c r="BL322" s="9">
        <v>20386</v>
      </c>
      <c r="BM322" s="9"/>
      <c r="BN322" s="9"/>
      <c r="BO322" s="9"/>
      <c r="BP322" s="9"/>
      <c r="BQ322" s="9"/>
      <c r="BR322" s="9"/>
      <c r="BS322" s="9"/>
      <c r="BT322" s="9"/>
      <c r="BU322" s="9"/>
    </row>
    <row r="323" spans="1:73">
      <c r="A323" s="6">
        <v>314</v>
      </c>
      <c r="B323" s="6" t="s">
        <v>1432</v>
      </c>
      <c r="C323" s="421">
        <v>17.5</v>
      </c>
      <c r="D323" s="9">
        <v>19464616</v>
      </c>
      <c r="E323" s="33">
        <v>27494743</v>
      </c>
      <c r="F323" s="9">
        <v>2500103.6</v>
      </c>
      <c r="G323" s="9">
        <v>21408022.994499996</v>
      </c>
      <c r="H323" s="9">
        <v>26660901</v>
      </c>
      <c r="I323" s="9">
        <v>2840199.6</v>
      </c>
      <c r="J323" s="9">
        <v>22755172.082941681</v>
      </c>
      <c r="K323" s="9">
        <v>25584736</v>
      </c>
      <c r="L323" s="9">
        <v>3182786.6</v>
      </c>
      <c r="M323" s="9">
        <v>23442917.806000002</v>
      </c>
      <c r="N323" s="9">
        <v>24228635</v>
      </c>
      <c r="O323" s="9">
        <v>3119661.6</v>
      </c>
      <c r="P323" s="9">
        <v>366634</v>
      </c>
      <c r="Q323" s="9">
        <v>24506187.214984823</v>
      </c>
      <c r="R323" s="9">
        <v>24010035</v>
      </c>
      <c r="S323" s="9">
        <v>3416570</v>
      </c>
      <c r="T323" s="9">
        <v>0</v>
      </c>
      <c r="U323" s="9">
        <v>24666914.422698718</v>
      </c>
      <c r="V323" s="9">
        <v>23332261</v>
      </c>
      <c r="W323" s="9">
        <v>3216974</v>
      </c>
      <c r="X323" s="9">
        <v>17270</v>
      </c>
      <c r="Y323" s="9">
        <v>246976</v>
      </c>
      <c r="Z323" s="9">
        <v>25827066.428560004</v>
      </c>
      <c r="AA323" s="9">
        <v>23433118</v>
      </c>
      <c r="AB323" s="9">
        <v>3234244</v>
      </c>
      <c r="AC323" s="9">
        <v>26990163.684909999</v>
      </c>
      <c r="AD323" s="9">
        <v>23875646</v>
      </c>
      <c r="AE323" s="9">
        <v>3341524</v>
      </c>
      <c r="AF323" s="9">
        <v>28042729.455369998</v>
      </c>
      <c r="AG323" s="9">
        <v>24440387</v>
      </c>
      <c r="AH323" s="9">
        <v>3928625.9136724374</v>
      </c>
      <c r="AI323" s="9">
        <v>28744449.526519999</v>
      </c>
      <c r="AJ323" s="9">
        <v>24409669</v>
      </c>
      <c r="AK323" s="28">
        <v>4334781</v>
      </c>
      <c r="AL323" s="9">
        <v>26987815.659180008</v>
      </c>
      <c r="AM323" s="9">
        <v>23909715</v>
      </c>
      <c r="AN323" s="28">
        <v>4399531</v>
      </c>
      <c r="AO323" s="9">
        <v>27574866.376769997</v>
      </c>
      <c r="AP323" s="9">
        <v>23092613</v>
      </c>
      <c r="AQ323" s="28">
        <v>4540881</v>
      </c>
      <c r="AR323" s="9">
        <v>28658582.599711496</v>
      </c>
      <c r="AS323" s="9">
        <v>23755394</v>
      </c>
      <c r="AT323" s="28">
        <v>4903189</v>
      </c>
      <c r="AU323" s="9">
        <v>29636571.161200002</v>
      </c>
      <c r="AV323" s="9">
        <v>24450171</v>
      </c>
      <c r="AW323" s="9">
        <v>5186400</v>
      </c>
      <c r="AX323" s="9">
        <v>31550834.623976581</v>
      </c>
      <c r="AY323" s="9">
        <v>25692240</v>
      </c>
      <c r="AZ323" s="28">
        <v>5858595</v>
      </c>
      <c r="BA323" s="9">
        <v>33148323.506280009</v>
      </c>
      <c r="BB323" s="9">
        <v>27347367</v>
      </c>
      <c r="BC323" s="9">
        <v>5858595</v>
      </c>
      <c r="BD323" s="9">
        <v>33614343.104620002</v>
      </c>
      <c r="BE323" s="9">
        <v>27731833</v>
      </c>
      <c r="BF323" s="9">
        <v>5936805</v>
      </c>
      <c r="BG323" s="9">
        <v>36321233.870360002</v>
      </c>
      <c r="BH323" s="9">
        <v>29965018</v>
      </c>
      <c r="BI323" s="9">
        <v>6356216</v>
      </c>
      <c r="BJ323" s="9">
        <v>39855550.60148</v>
      </c>
      <c r="BK323" s="9">
        <v>32047587</v>
      </c>
      <c r="BL323" s="9">
        <v>7807964</v>
      </c>
      <c r="BM323" s="9"/>
      <c r="BN323" s="9"/>
      <c r="BO323" s="9"/>
      <c r="BP323" s="9"/>
      <c r="BQ323" s="9"/>
      <c r="BR323" s="9"/>
      <c r="BS323" s="9"/>
      <c r="BT323" s="9"/>
      <c r="BU323" s="9"/>
    </row>
    <row r="324" spans="1:73">
      <c r="A324" s="6">
        <v>315</v>
      </c>
      <c r="B324" s="6" t="s">
        <v>1433</v>
      </c>
      <c r="C324" s="421">
        <v>17.5</v>
      </c>
      <c r="D324" s="9">
        <v>20528254</v>
      </c>
      <c r="E324" s="33">
        <v>22426179</v>
      </c>
      <c r="F324" s="9">
        <v>2433825.2000000002</v>
      </c>
      <c r="G324" s="9">
        <v>21706401.2687</v>
      </c>
      <c r="H324" s="9">
        <v>22177863</v>
      </c>
      <c r="I324" s="9">
        <v>2706784.2</v>
      </c>
      <c r="J324" s="9">
        <v>22348945.189632639</v>
      </c>
      <c r="K324" s="9">
        <v>21508290</v>
      </c>
      <c r="L324" s="9">
        <v>3068068.2</v>
      </c>
      <c r="M324" s="9">
        <v>23105602.879149996</v>
      </c>
      <c r="N324" s="9">
        <v>21557416</v>
      </c>
      <c r="O324" s="9">
        <v>3033452.2</v>
      </c>
      <c r="P324" s="9">
        <v>356502</v>
      </c>
      <c r="Q324" s="9">
        <v>23487595.690153036</v>
      </c>
      <c r="R324" s="9">
        <v>21787470</v>
      </c>
      <c r="S324" s="9">
        <v>3322155</v>
      </c>
      <c r="T324" s="9">
        <v>0</v>
      </c>
      <c r="U324" s="9">
        <v>22901223.710748963</v>
      </c>
      <c r="V324" s="9">
        <v>21497031</v>
      </c>
      <c r="W324" s="9">
        <v>3128075</v>
      </c>
      <c r="X324" s="9">
        <v>16793</v>
      </c>
      <c r="Y324" s="9">
        <v>244512</v>
      </c>
      <c r="Z324" s="9">
        <v>22873243.606079999</v>
      </c>
      <c r="AA324" s="9">
        <v>21683970</v>
      </c>
      <c r="AB324" s="9">
        <v>3144868</v>
      </c>
      <c r="AC324" s="9">
        <v>23638559.356320001</v>
      </c>
      <c r="AD324" s="9">
        <v>22212916</v>
      </c>
      <c r="AE324" s="9">
        <v>3250268</v>
      </c>
      <c r="AF324" s="9">
        <v>24223145.583800003</v>
      </c>
      <c r="AG324" s="9">
        <v>22634976</v>
      </c>
      <c r="AH324" s="9">
        <v>3316668</v>
      </c>
      <c r="AI324" s="9">
        <v>24309849.451349992</v>
      </c>
      <c r="AJ324" s="9">
        <v>21783923</v>
      </c>
      <c r="AK324" s="28">
        <v>3644813</v>
      </c>
      <c r="AL324" s="9">
        <v>24601190.323630001</v>
      </c>
      <c r="AM324" s="9">
        <v>21539908</v>
      </c>
      <c r="AN324" s="28">
        <v>3710313</v>
      </c>
      <c r="AO324" s="9">
        <v>24640382.589680005</v>
      </c>
      <c r="AP324" s="9">
        <v>20643819</v>
      </c>
      <c r="AQ324" s="28">
        <f>4042462+17341</f>
        <v>4059803</v>
      </c>
      <c r="AR324" s="9">
        <v>25043290.042167287</v>
      </c>
      <c r="AS324" s="9">
        <v>20778238</v>
      </c>
      <c r="AT324" s="28">
        <v>4265052</v>
      </c>
      <c r="AU324" s="9">
        <v>26378777.201239996</v>
      </c>
      <c r="AV324" s="9">
        <v>21731959</v>
      </c>
      <c r="AW324" s="9">
        <v>4646818</v>
      </c>
      <c r="AX324" s="9">
        <v>27841232.66770371</v>
      </c>
      <c r="AY324" s="9">
        <v>22568639</v>
      </c>
      <c r="AZ324" s="28">
        <v>5299764</v>
      </c>
      <c r="BA324" s="9">
        <v>28213341.421039999</v>
      </c>
      <c r="BB324" s="9">
        <v>23276007</v>
      </c>
      <c r="BC324" s="9">
        <v>5299764</v>
      </c>
      <c r="BD324" s="9">
        <v>29175011.111419998</v>
      </c>
      <c r="BE324" s="9">
        <v>23897476</v>
      </c>
      <c r="BF324" s="9">
        <v>5379174</v>
      </c>
      <c r="BG324" s="9">
        <v>30979999.4738</v>
      </c>
      <c r="BH324" s="9">
        <v>24877273</v>
      </c>
      <c r="BI324" s="9">
        <v>6102726</v>
      </c>
      <c r="BJ324" s="9">
        <v>33119434.224909998</v>
      </c>
      <c r="BK324" s="9">
        <v>25852462</v>
      </c>
      <c r="BL324" s="9">
        <v>7266972</v>
      </c>
      <c r="BM324" s="9"/>
      <c r="BN324" s="9"/>
      <c r="BO324" s="9"/>
      <c r="BP324" s="9"/>
      <c r="BQ324" s="9"/>
      <c r="BR324" s="9"/>
      <c r="BS324" s="9"/>
      <c r="BT324" s="9"/>
      <c r="BU324" s="9"/>
    </row>
    <row r="325" spans="1:73">
      <c r="A325" s="6">
        <v>316</v>
      </c>
      <c r="B325" s="6" t="s">
        <v>1434</v>
      </c>
      <c r="C325" s="421">
        <v>54.92</v>
      </c>
      <c r="D325" s="9">
        <v>15041385</v>
      </c>
      <c r="E325" s="33">
        <v>7642041</v>
      </c>
      <c r="F325" s="9">
        <v>7399344</v>
      </c>
      <c r="G325" s="9">
        <v>16432266.58</v>
      </c>
      <c r="H325" s="9">
        <v>8269809</v>
      </c>
      <c r="I325" s="9">
        <v>8162458</v>
      </c>
      <c r="J325" s="9">
        <v>17755144.59782863</v>
      </c>
      <c r="K325" s="9">
        <v>8781928</v>
      </c>
      <c r="L325" s="9">
        <v>8973217</v>
      </c>
      <c r="M325" s="9">
        <v>18280915.910000004</v>
      </c>
      <c r="N325" s="9">
        <v>9216413</v>
      </c>
      <c r="O325" s="9">
        <v>8231908</v>
      </c>
      <c r="P325" s="9">
        <v>967443</v>
      </c>
      <c r="Q325" s="9">
        <v>19369599.058311965</v>
      </c>
      <c r="R325" s="9">
        <v>9323234</v>
      </c>
      <c r="S325" s="9">
        <v>9015364</v>
      </c>
      <c r="T325" s="9">
        <v>1031001</v>
      </c>
      <c r="U325" s="9">
        <v>19122110.4267</v>
      </c>
      <c r="V325" s="9">
        <v>9432847</v>
      </c>
      <c r="W325" s="9">
        <v>9503351</v>
      </c>
      <c r="X325" s="9">
        <v>51018</v>
      </c>
      <c r="Y325" s="9">
        <v>541696</v>
      </c>
      <c r="Z325" s="9">
        <v>19221499.239999998</v>
      </c>
      <c r="AA325" s="9">
        <v>9741513</v>
      </c>
      <c r="AB325" s="9">
        <v>9554369</v>
      </c>
      <c r="AC325" s="9">
        <v>19780303.73</v>
      </c>
      <c r="AD325" s="9">
        <v>9875242</v>
      </c>
      <c r="AE325" s="9">
        <v>9905062</v>
      </c>
      <c r="AF325" s="9">
        <v>20497532.719999999</v>
      </c>
      <c r="AG325" s="9">
        <v>10176657</v>
      </c>
      <c r="AH325" s="9">
        <v>10320876</v>
      </c>
      <c r="AI325" s="9">
        <v>20776506.130000003</v>
      </c>
      <c r="AJ325" s="9">
        <v>10261282</v>
      </c>
      <c r="AK325" s="28">
        <v>10515224</v>
      </c>
      <c r="AL325" s="9">
        <v>21401884.859999996</v>
      </c>
      <c r="AM325" s="9">
        <v>10346397</v>
      </c>
      <c r="AN325" s="28">
        <v>11055488</v>
      </c>
      <c r="AO325" s="9">
        <v>22136766.249999996</v>
      </c>
      <c r="AP325" s="9">
        <v>10147763</v>
      </c>
      <c r="AQ325" s="28">
        <v>11989003</v>
      </c>
      <c r="AR325" s="9">
        <v>22425991.213709842</v>
      </c>
      <c r="AS325" s="9">
        <v>10170354</v>
      </c>
      <c r="AT325" s="28">
        <v>12255637</v>
      </c>
      <c r="AU325" s="9">
        <v>23346664.300000001</v>
      </c>
      <c r="AV325" s="9">
        <v>10636864</v>
      </c>
      <c r="AW325" s="9">
        <v>12709800</v>
      </c>
      <c r="AX325" s="9">
        <v>24776507.500713076</v>
      </c>
      <c r="AY325" s="9">
        <v>11062493</v>
      </c>
      <c r="AZ325" s="28">
        <v>13714015</v>
      </c>
      <c r="BA325" s="9">
        <v>26082448.07</v>
      </c>
      <c r="BB325" s="9">
        <v>11471908</v>
      </c>
      <c r="BC325" s="9">
        <v>14610856</v>
      </c>
      <c r="BD325" s="9">
        <v>25360639.029999997</v>
      </c>
      <c r="BE325" s="9">
        <v>11546702</v>
      </c>
      <c r="BF325" s="9">
        <v>14666956</v>
      </c>
      <c r="BG325" s="9">
        <v>29048367.420000002</v>
      </c>
      <c r="BH325" s="9">
        <v>12256734</v>
      </c>
      <c r="BI325" s="9">
        <v>16791633</v>
      </c>
      <c r="BJ325" s="9">
        <v>31971769.840000004</v>
      </c>
      <c r="BK325" s="9">
        <v>12851534</v>
      </c>
      <c r="BL325" s="9">
        <v>19120236</v>
      </c>
      <c r="BM325" s="9"/>
      <c r="BN325" s="9"/>
      <c r="BO325" s="9"/>
      <c r="BP325" s="9"/>
      <c r="BQ325" s="9"/>
      <c r="BR325" s="9"/>
      <c r="BS325" s="9"/>
      <c r="BT325" s="9"/>
      <c r="BU325" s="9"/>
    </row>
    <row r="326" spans="1:73">
      <c r="A326" s="6">
        <v>317</v>
      </c>
      <c r="B326" s="6" t="s">
        <v>1435</v>
      </c>
      <c r="C326" s="421">
        <v>17.5</v>
      </c>
      <c r="D326" s="9">
        <v>31887905</v>
      </c>
      <c r="E326" s="33">
        <v>31509960</v>
      </c>
      <c r="F326" s="9">
        <v>3170547.2</v>
      </c>
      <c r="G326" s="9">
        <v>35128683.6228</v>
      </c>
      <c r="H326" s="9">
        <v>32249496</v>
      </c>
      <c r="I326" s="9">
        <v>3765942.2</v>
      </c>
      <c r="J326" s="9">
        <v>37728351.069279179</v>
      </c>
      <c r="K326" s="9">
        <v>33113521</v>
      </c>
      <c r="L326" s="9">
        <v>4616898.2</v>
      </c>
      <c r="M326" s="9">
        <v>41021667.78360001</v>
      </c>
      <c r="N326" s="9">
        <v>34503446</v>
      </c>
      <c r="O326" s="9">
        <v>5832738</v>
      </c>
      <c r="P326" s="9">
        <v>685484</v>
      </c>
      <c r="Q326" s="9">
        <v>43474466.332122765</v>
      </c>
      <c r="R326" s="9">
        <v>35866435</v>
      </c>
      <c r="S326" s="9">
        <v>6387858</v>
      </c>
      <c r="T326" s="9">
        <v>1220173</v>
      </c>
      <c r="U326" s="9">
        <v>42176324.226688981</v>
      </c>
      <c r="V326" s="9">
        <v>36405114</v>
      </c>
      <c r="W326" s="9">
        <v>7163571</v>
      </c>
      <c r="X326" s="9">
        <v>38457</v>
      </c>
      <c r="Y326" s="9">
        <v>528228</v>
      </c>
      <c r="Z326" s="9">
        <v>42989228.138499998</v>
      </c>
      <c r="AA326" s="9">
        <v>37498680</v>
      </c>
      <c r="AB326" s="9">
        <v>7202028</v>
      </c>
      <c r="AC326" s="9">
        <v>45335499.620400004</v>
      </c>
      <c r="AD326" s="9">
        <v>38747883</v>
      </c>
      <c r="AE326" s="9">
        <v>7402108</v>
      </c>
      <c r="AF326" s="9">
        <v>46194904.987919994</v>
      </c>
      <c r="AG326" s="9">
        <v>39997992</v>
      </c>
      <c r="AH326" s="9">
        <v>7526408</v>
      </c>
      <c r="AI326" s="9">
        <v>47297420.926149994</v>
      </c>
      <c r="AJ326" s="9">
        <v>40402136</v>
      </c>
      <c r="AK326" s="28">
        <v>7789132</v>
      </c>
      <c r="AL326" s="9">
        <v>48641677.772080004</v>
      </c>
      <c r="AM326" s="9">
        <v>41171516</v>
      </c>
      <c r="AN326" s="28">
        <v>7916157</v>
      </c>
      <c r="AO326" s="9">
        <v>49005990.891000003</v>
      </c>
      <c r="AP326" s="9">
        <v>40807164</v>
      </c>
      <c r="AQ326" s="28">
        <v>8198827</v>
      </c>
      <c r="AR326" s="9">
        <v>49446876.963866338</v>
      </c>
      <c r="AS326" s="9">
        <v>41046916</v>
      </c>
      <c r="AT326" s="28">
        <v>8399961</v>
      </c>
      <c r="AU326" s="9">
        <v>51173115.289380006</v>
      </c>
      <c r="AV326" s="9">
        <v>42217820</v>
      </c>
      <c r="AW326" s="9">
        <v>8955295</v>
      </c>
      <c r="AX326" s="9">
        <v>52951270.696678318</v>
      </c>
      <c r="AY326" s="9">
        <v>43684798</v>
      </c>
      <c r="AZ326" s="28">
        <v>9273504</v>
      </c>
      <c r="BA326" s="9">
        <v>52873250.972209997</v>
      </c>
      <c r="BB326" s="9">
        <v>43620433</v>
      </c>
      <c r="BC326" s="9">
        <v>9273504</v>
      </c>
      <c r="BD326" s="9">
        <v>49998663.731600001</v>
      </c>
      <c r="BE326" s="9">
        <v>41248897</v>
      </c>
      <c r="BF326" s="9">
        <v>9407484</v>
      </c>
      <c r="BG326" s="9">
        <v>51015282.939499997</v>
      </c>
      <c r="BH326" s="9">
        <v>42087609</v>
      </c>
      <c r="BI326" s="9">
        <v>9665964</v>
      </c>
      <c r="BJ326" s="9">
        <v>52634797.2425</v>
      </c>
      <c r="BK326" s="9">
        <v>43423707</v>
      </c>
      <c r="BL326" s="9">
        <v>9916764</v>
      </c>
      <c r="BM326" s="9"/>
      <c r="BN326" s="9"/>
      <c r="BO326" s="9"/>
      <c r="BP326" s="9"/>
      <c r="BQ326" s="9"/>
      <c r="BR326" s="9"/>
      <c r="BS326" s="9"/>
      <c r="BT326" s="9"/>
      <c r="BU326" s="9"/>
    </row>
    <row r="327" spans="1:73">
      <c r="A327" s="6">
        <v>318</v>
      </c>
      <c r="B327" s="6" t="s">
        <v>1436</v>
      </c>
      <c r="C327" s="421">
        <v>17.5</v>
      </c>
      <c r="D327" s="9">
        <v>1043179</v>
      </c>
      <c r="E327" s="33">
        <v>1587533</v>
      </c>
      <c r="F327" s="9">
        <v>123912.4</v>
      </c>
      <c r="G327" s="9">
        <v>1024829.69</v>
      </c>
      <c r="H327" s="9">
        <v>1362731</v>
      </c>
      <c r="I327" s="9">
        <v>134999.4</v>
      </c>
      <c r="J327" s="9">
        <v>1014001.08</v>
      </c>
      <c r="K327" s="9">
        <v>1199684</v>
      </c>
      <c r="L327" s="9">
        <v>147734.39999999999</v>
      </c>
      <c r="M327" s="9">
        <v>1017218.98</v>
      </c>
      <c r="N327" s="9">
        <v>1111542</v>
      </c>
      <c r="O327" s="9">
        <v>141139.4</v>
      </c>
      <c r="P327" s="9">
        <v>16587</v>
      </c>
      <c r="Q327" s="9">
        <v>1114134.5932248805</v>
      </c>
      <c r="R327" s="9">
        <v>1172923</v>
      </c>
      <c r="S327" s="9">
        <v>154572</v>
      </c>
      <c r="T327" s="9">
        <v>0</v>
      </c>
      <c r="U327" s="9">
        <v>1206261.3075600001</v>
      </c>
      <c r="V327" s="9">
        <v>1220593</v>
      </c>
      <c r="W327" s="9">
        <v>145542</v>
      </c>
      <c r="X327" s="9">
        <v>781</v>
      </c>
      <c r="Y327" s="9">
        <v>11899</v>
      </c>
      <c r="Z327" s="9">
        <v>1181905.93</v>
      </c>
      <c r="AA327" s="9">
        <v>1149462</v>
      </c>
      <c r="AB327" s="9">
        <v>146323</v>
      </c>
      <c r="AC327" s="9">
        <v>1149133.73</v>
      </c>
      <c r="AD327" s="9">
        <v>1123089</v>
      </c>
      <c r="AE327" s="9">
        <v>151483</v>
      </c>
      <c r="AF327" s="9">
        <v>1232950.69</v>
      </c>
      <c r="AG327" s="9">
        <v>1194924</v>
      </c>
      <c r="AH327" s="9">
        <v>154808</v>
      </c>
      <c r="AI327" s="9">
        <v>1240792.6900000002</v>
      </c>
      <c r="AJ327" s="9">
        <v>1116713</v>
      </c>
      <c r="AK327" s="28">
        <v>176624</v>
      </c>
      <c r="AL327" s="9">
        <v>1150249.74</v>
      </c>
      <c r="AM327" s="9">
        <v>993135</v>
      </c>
      <c r="AN327" s="28">
        <v>179724</v>
      </c>
      <c r="AO327" s="9">
        <v>1067714.3400000001</v>
      </c>
      <c r="AP327" s="9">
        <v>892056</v>
      </c>
      <c r="AQ327" s="28">
        <v>185664</v>
      </c>
      <c r="AR327" s="9">
        <v>1107735.4422992696</v>
      </c>
      <c r="AS327" s="9">
        <v>917147</v>
      </c>
      <c r="AT327" s="28">
        <v>190588</v>
      </c>
      <c r="AU327" s="9">
        <v>1136908.3900000001</v>
      </c>
      <c r="AV327" s="9">
        <v>937949</v>
      </c>
      <c r="AW327" s="9">
        <v>198959</v>
      </c>
      <c r="AX327" s="9">
        <v>1139476.1400684477</v>
      </c>
      <c r="AY327" s="9">
        <v>940068</v>
      </c>
      <c r="AZ327" s="28">
        <v>202109</v>
      </c>
      <c r="BA327" s="9">
        <v>1257777.1000000001</v>
      </c>
      <c r="BB327" s="9">
        <v>1037666</v>
      </c>
      <c r="BC327" s="9">
        <v>220111</v>
      </c>
      <c r="BD327" s="9">
        <v>1274233.2699999998</v>
      </c>
      <c r="BE327" s="9">
        <v>1051243</v>
      </c>
      <c r="BF327" s="9">
        <v>223660</v>
      </c>
      <c r="BG327" s="9">
        <v>1688189.7200000002</v>
      </c>
      <c r="BH327" s="9">
        <v>1392757</v>
      </c>
      <c r="BI327" s="9">
        <v>295433</v>
      </c>
      <c r="BJ327" s="9">
        <v>1610248.3900000004</v>
      </c>
      <c r="BK327" s="9">
        <v>1328455</v>
      </c>
      <c r="BL327" s="9">
        <v>302393</v>
      </c>
      <c r="BM327" s="9"/>
      <c r="BN327" s="9"/>
      <c r="BO327" s="9"/>
      <c r="BP327" s="9"/>
      <c r="BQ327" s="9"/>
      <c r="BR327" s="9"/>
      <c r="BS327" s="9"/>
      <c r="BT327" s="9"/>
      <c r="BU327" s="9"/>
    </row>
    <row r="328" spans="1:73">
      <c r="A328" s="6">
        <v>319</v>
      </c>
      <c r="B328" s="6" t="s">
        <v>1437</v>
      </c>
      <c r="C328" s="421">
        <v>58.69</v>
      </c>
      <c r="D328" s="9">
        <v>0</v>
      </c>
      <c r="E328" s="33">
        <v>0</v>
      </c>
      <c r="F328" s="9">
        <v>0</v>
      </c>
      <c r="G328" s="9">
        <v>0</v>
      </c>
      <c r="H328" s="9">
        <v>0</v>
      </c>
      <c r="I328" s="9">
        <v>0</v>
      </c>
      <c r="J328" s="9">
        <v>0</v>
      </c>
      <c r="K328" s="9">
        <v>0</v>
      </c>
      <c r="L328" s="9">
        <v>0</v>
      </c>
      <c r="M328" s="9">
        <v>0</v>
      </c>
      <c r="N328" s="9">
        <v>0</v>
      </c>
      <c r="O328" s="9">
        <v>0</v>
      </c>
      <c r="P328" s="9">
        <v>0</v>
      </c>
      <c r="Q328" s="9">
        <v>0</v>
      </c>
      <c r="R328" s="9">
        <v>0</v>
      </c>
      <c r="S328" s="9">
        <v>0</v>
      </c>
      <c r="T328" s="9">
        <v>0</v>
      </c>
      <c r="U328" s="9">
        <v>0</v>
      </c>
      <c r="V328" s="9">
        <v>0</v>
      </c>
      <c r="W328" s="9">
        <v>0</v>
      </c>
      <c r="X328" s="9">
        <v>0</v>
      </c>
      <c r="Y328" s="9">
        <v>0</v>
      </c>
      <c r="Z328" s="9">
        <v>0</v>
      </c>
      <c r="AA328" s="9">
        <v>0</v>
      </c>
      <c r="AB328" s="9">
        <v>0</v>
      </c>
      <c r="AC328" s="9">
        <v>0</v>
      </c>
      <c r="AD328" s="9">
        <v>0</v>
      </c>
      <c r="AE328" s="9">
        <v>0</v>
      </c>
      <c r="AF328" s="9">
        <v>0</v>
      </c>
      <c r="AG328" s="9">
        <v>0</v>
      </c>
      <c r="AH328" s="9">
        <v>0</v>
      </c>
      <c r="AI328" s="9">
        <v>0</v>
      </c>
      <c r="AJ328" s="9">
        <v>0</v>
      </c>
      <c r="AK328" s="28">
        <v>0</v>
      </c>
      <c r="AL328" s="9">
        <v>0</v>
      </c>
      <c r="AM328" s="9">
        <v>0</v>
      </c>
      <c r="AN328" s="28">
        <v>0</v>
      </c>
      <c r="AO328" s="9">
        <v>0</v>
      </c>
      <c r="AP328" s="9">
        <v>0</v>
      </c>
      <c r="AQ328" s="28">
        <v>0</v>
      </c>
      <c r="AR328" s="9">
        <v>0</v>
      </c>
      <c r="AS328" s="9">
        <v>0</v>
      </c>
      <c r="AT328" s="28">
        <v>0</v>
      </c>
      <c r="AU328" s="9">
        <v>0</v>
      </c>
      <c r="AV328" s="9">
        <v>0</v>
      </c>
      <c r="AW328" s="9">
        <v>0</v>
      </c>
      <c r="AX328" s="9">
        <v>0</v>
      </c>
      <c r="AY328" s="9">
        <v>0</v>
      </c>
      <c r="AZ328" s="28">
        <v>0</v>
      </c>
      <c r="BA328" s="9">
        <v>0</v>
      </c>
      <c r="BB328" s="9">
        <v>0</v>
      </c>
      <c r="BC328" s="9">
        <v>0</v>
      </c>
      <c r="BD328" s="9">
        <v>0</v>
      </c>
      <c r="BE328" s="9">
        <v>0</v>
      </c>
      <c r="BF328" s="9">
        <v>0</v>
      </c>
      <c r="BG328" s="9">
        <v>0</v>
      </c>
      <c r="BH328" s="9">
        <v>0</v>
      </c>
      <c r="BI328" s="9">
        <v>0</v>
      </c>
      <c r="BJ328" s="9">
        <v>0</v>
      </c>
      <c r="BK328" s="9">
        <v>0</v>
      </c>
      <c r="BL328" s="9">
        <v>0</v>
      </c>
      <c r="BM328" s="9"/>
      <c r="BN328" s="9"/>
      <c r="BO328" s="9"/>
      <c r="BP328" s="9"/>
      <c r="BQ328" s="9"/>
      <c r="BR328" s="9"/>
      <c r="BS328" s="9"/>
      <c r="BT328" s="9"/>
      <c r="BU328" s="9"/>
    </row>
    <row r="329" spans="1:73">
      <c r="A329" s="6">
        <v>320</v>
      </c>
      <c r="B329" s="6" t="s">
        <v>1438</v>
      </c>
      <c r="C329" s="421">
        <v>17.5</v>
      </c>
      <c r="D329" s="9">
        <v>0</v>
      </c>
      <c r="E329" s="33">
        <v>0</v>
      </c>
      <c r="F329" s="9">
        <v>0</v>
      </c>
      <c r="G329" s="9">
        <v>0</v>
      </c>
      <c r="H329" s="9">
        <v>0</v>
      </c>
      <c r="I329" s="9">
        <v>0</v>
      </c>
      <c r="J329" s="9">
        <v>0</v>
      </c>
      <c r="K329" s="9">
        <v>0</v>
      </c>
      <c r="L329" s="9">
        <v>0</v>
      </c>
      <c r="M329" s="9">
        <v>0</v>
      </c>
      <c r="N329" s="9">
        <v>0</v>
      </c>
      <c r="O329" s="9">
        <v>0</v>
      </c>
      <c r="P329" s="9">
        <v>0</v>
      </c>
      <c r="Q329" s="9">
        <v>0</v>
      </c>
      <c r="R329" s="9">
        <v>0</v>
      </c>
      <c r="S329" s="9">
        <v>0</v>
      </c>
      <c r="T329" s="9">
        <v>0</v>
      </c>
      <c r="U329" s="9">
        <v>0</v>
      </c>
      <c r="V329" s="9">
        <v>0</v>
      </c>
      <c r="W329" s="9">
        <v>0</v>
      </c>
      <c r="X329" s="9">
        <v>0</v>
      </c>
      <c r="Y329" s="9">
        <v>0</v>
      </c>
      <c r="Z329" s="9">
        <v>0</v>
      </c>
      <c r="AA329" s="9">
        <v>0</v>
      </c>
      <c r="AB329" s="9">
        <v>0</v>
      </c>
      <c r="AC329" s="9">
        <v>0</v>
      </c>
      <c r="AD329" s="9">
        <v>0</v>
      </c>
      <c r="AE329" s="9">
        <v>0</v>
      </c>
      <c r="AF329" s="9">
        <v>0</v>
      </c>
      <c r="AG329" s="9">
        <v>0</v>
      </c>
      <c r="AH329" s="9">
        <f>0+8422</f>
        <v>8422</v>
      </c>
      <c r="AI329" s="9">
        <v>13282.92632</v>
      </c>
      <c r="AJ329" s="9">
        <v>11679</v>
      </c>
      <c r="AK329" s="28">
        <v>8422</v>
      </c>
      <c r="AL329" s="9">
        <v>0</v>
      </c>
      <c r="AM329" s="9">
        <v>0</v>
      </c>
      <c r="AN329" s="28">
        <v>0</v>
      </c>
      <c r="AO329" s="9">
        <v>0</v>
      </c>
      <c r="AP329" s="9">
        <v>0</v>
      </c>
      <c r="AQ329" s="28">
        <v>0</v>
      </c>
      <c r="AR329" s="9">
        <v>0</v>
      </c>
      <c r="AS329" s="9">
        <v>0</v>
      </c>
      <c r="AT329" s="28">
        <v>0</v>
      </c>
      <c r="AU329" s="9">
        <v>0</v>
      </c>
      <c r="AV329" s="9">
        <v>0</v>
      </c>
      <c r="AW329" s="9">
        <v>0</v>
      </c>
      <c r="AX329" s="9">
        <v>0</v>
      </c>
      <c r="AY329" s="9">
        <v>0</v>
      </c>
      <c r="AZ329" s="28">
        <v>0</v>
      </c>
      <c r="BA329" s="9">
        <v>0</v>
      </c>
      <c r="BB329" s="9">
        <v>0</v>
      </c>
      <c r="BC329" s="9">
        <v>0</v>
      </c>
      <c r="BD329" s="9">
        <v>0</v>
      </c>
      <c r="BE329" s="9">
        <v>0</v>
      </c>
      <c r="BF329" s="9">
        <v>0</v>
      </c>
      <c r="BG329" s="9">
        <v>0</v>
      </c>
      <c r="BH329" s="9">
        <v>0</v>
      </c>
      <c r="BI329" s="9">
        <v>0</v>
      </c>
      <c r="BJ329" s="9">
        <v>0</v>
      </c>
      <c r="BK329" s="9">
        <v>0</v>
      </c>
      <c r="BL329" s="9">
        <v>0</v>
      </c>
      <c r="BM329" s="9"/>
      <c r="BN329" s="9"/>
      <c r="BO329" s="9"/>
      <c r="BP329" s="9"/>
      <c r="BQ329" s="9"/>
      <c r="BR329" s="9"/>
      <c r="BS329" s="9"/>
      <c r="BT329" s="9"/>
      <c r="BU329" s="9"/>
    </row>
    <row r="330" spans="1:73">
      <c r="A330" s="6">
        <v>321</v>
      </c>
      <c r="B330" s="6" t="s">
        <v>1439</v>
      </c>
      <c r="C330" s="421">
        <v>21.42</v>
      </c>
      <c r="D330" s="9">
        <v>24595216</v>
      </c>
      <c r="E330" s="33">
        <v>23154460</v>
      </c>
      <c r="F330" s="9">
        <v>2766040.8</v>
      </c>
      <c r="G330" s="9">
        <v>26156767.179999996</v>
      </c>
      <c r="H330" s="9">
        <v>24071950</v>
      </c>
      <c r="I330" s="9">
        <v>3129365.8</v>
      </c>
      <c r="J330" s="9">
        <v>27284907.908756465</v>
      </c>
      <c r="K330" s="9">
        <v>24682401</v>
      </c>
      <c r="L330" s="9">
        <v>3731061.8</v>
      </c>
      <c r="M330" s="9">
        <v>28924388.270000003</v>
      </c>
      <c r="N330" s="9">
        <v>24976329</v>
      </c>
      <c r="O330" s="9">
        <v>3966523.8</v>
      </c>
      <c r="P330" s="9">
        <v>466160</v>
      </c>
      <c r="Q330" s="9">
        <v>29970816.824099522</v>
      </c>
      <c r="R330" s="9">
        <v>25527660</v>
      </c>
      <c r="S330" s="9">
        <v>4344030</v>
      </c>
      <c r="T330" s="9">
        <v>99127</v>
      </c>
      <c r="U330" s="9">
        <v>29700461.313299999</v>
      </c>
      <c r="V330" s="9">
        <v>25642790</v>
      </c>
      <c r="W330" s="9">
        <v>4183588</v>
      </c>
      <c r="X330" s="9">
        <v>22459</v>
      </c>
      <c r="Y330" s="9">
        <v>325510</v>
      </c>
      <c r="Z330" s="9">
        <v>29045979.329999998</v>
      </c>
      <c r="AA330" s="9">
        <v>26179724</v>
      </c>
      <c r="AB330" s="9">
        <v>4206047</v>
      </c>
      <c r="AC330" s="9">
        <v>30072174.120000001</v>
      </c>
      <c r="AD330" s="9">
        <v>26844072</v>
      </c>
      <c r="AE330" s="9">
        <v>4475455.4982209997</v>
      </c>
      <c r="AF330" s="9">
        <v>31092026.789999999</v>
      </c>
      <c r="AG330" s="9">
        <v>27788304</v>
      </c>
      <c r="AH330" s="9">
        <v>4736300.3124719998</v>
      </c>
      <c r="AI330" s="9">
        <v>31788292.559999999</v>
      </c>
      <c r="AJ330" s="9">
        <v>27852628</v>
      </c>
      <c r="AK330" s="28">
        <v>5025628.3124719998</v>
      </c>
      <c r="AL330" s="9">
        <v>32643542.910000004</v>
      </c>
      <c r="AM330" s="9">
        <v>27945222</v>
      </c>
      <c r="AN330" s="28">
        <v>5113078.3124719998</v>
      </c>
      <c r="AO330" s="9">
        <v>33283538.019999992</v>
      </c>
      <c r="AP330" s="9">
        <v>27451731</v>
      </c>
      <c r="AQ330" s="28">
        <v>5881737</v>
      </c>
      <c r="AR330" s="9">
        <v>36606246.041138574</v>
      </c>
      <c r="AS330" s="9">
        <v>28766772</v>
      </c>
      <c r="AT330" s="28">
        <f>7878155-38681</f>
        <v>7839474</v>
      </c>
      <c r="AU330" s="9">
        <v>37382713.520000003</v>
      </c>
      <c r="AV330" s="9">
        <v>29912840</v>
      </c>
      <c r="AW330" s="9">
        <v>7951974</v>
      </c>
      <c r="AX330" s="9">
        <v>39131440.051199019</v>
      </c>
      <c r="AY330" s="9">
        <v>31441549</v>
      </c>
      <c r="AZ330" s="28">
        <v>8064504</v>
      </c>
      <c r="BA330" s="9">
        <v>40523119.020000003</v>
      </c>
      <c r="BB330" s="9">
        <v>32212271</v>
      </c>
      <c r="BC330" s="9">
        <v>8310848</v>
      </c>
      <c r="BD330" s="9">
        <v>42200577.130000003</v>
      </c>
      <c r="BE330" s="9">
        <v>31967462</v>
      </c>
      <c r="BF330" s="9">
        <v>11190003</v>
      </c>
      <c r="BG330" s="9">
        <v>45181193.88000001</v>
      </c>
      <c r="BH330" s="9">
        <v>33675087</v>
      </c>
      <c r="BI330" s="9">
        <v>11506107</v>
      </c>
      <c r="BJ330" s="9">
        <v>47373904.239999995</v>
      </c>
      <c r="BK330" s="9">
        <v>35784512</v>
      </c>
      <c r="BL330" s="9">
        <v>11912580</v>
      </c>
      <c r="BM330" s="9"/>
      <c r="BN330" s="9"/>
      <c r="BO330" s="9"/>
      <c r="BP330" s="9"/>
      <c r="BQ330" s="9"/>
      <c r="BR330" s="9"/>
      <c r="BS330" s="9"/>
      <c r="BT330" s="9"/>
      <c r="BU330" s="9"/>
    </row>
    <row r="331" spans="1:73">
      <c r="A331" s="6">
        <v>322</v>
      </c>
      <c r="B331" s="6" t="s">
        <v>1440</v>
      </c>
      <c r="C331" s="421">
        <v>20.3</v>
      </c>
      <c r="D331" s="9">
        <v>7463040</v>
      </c>
      <c r="E331" s="33">
        <v>5272275</v>
      </c>
      <c r="F331" s="9">
        <v>2604355</v>
      </c>
      <c r="G331" s="9">
        <v>7862835.5099999998</v>
      </c>
      <c r="H331" s="9">
        <v>5529064</v>
      </c>
      <c r="I331" s="9">
        <v>2737047</v>
      </c>
      <c r="J331" s="9">
        <v>8303886.0469139311</v>
      </c>
      <c r="K331" s="9">
        <v>5698232</v>
      </c>
      <c r="L331" s="9">
        <v>2880036</v>
      </c>
      <c r="M331" s="9">
        <v>8764535.4300000016</v>
      </c>
      <c r="N331" s="9">
        <v>6056904</v>
      </c>
      <c r="O331" s="9">
        <v>2705190</v>
      </c>
      <c r="P331" s="9">
        <v>317924</v>
      </c>
      <c r="Q331" s="9">
        <v>8721965.5391540695</v>
      </c>
      <c r="R331" s="9">
        <v>6143068</v>
      </c>
      <c r="S331" s="9">
        <v>2962652</v>
      </c>
      <c r="T331" s="9">
        <v>0</v>
      </c>
      <c r="U331" s="9">
        <v>8556984.7309199981</v>
      </c>
      <c r="V331" s="9">
        <v>6224632</v>
      </c>
      <c r="W331" s="9">
        <v>2789574</v>
      </c>
      <c r="X331" s="9">
        <v>14976</v>
      </c>
      <c r="Y331" s="9">
        <v>182302</v>
      </c>
      <c r="Z331" s="9">
        <v>8200894.7400000002</v>
      </c>
      <c r="AA331" s="9">
        <v>6360524</v>
      </c>
      <c r="AB331" s="9">
        <v>2804550</v>
      </c>
      <c r="AC331" s="9">
        <v>8653273.7799999993</v>
      </c>
      <c r="AD331" s="9">
        <v>6565606</v>
      </c>
      <c r="AE331" s="9">
        <v>2841510</v>
      </c>
      <c r="AF331" s="9">
        <v>8616496.2100000009</v>
      </c>
      <c r="AG331" s="9">
        <v>6706677</v>
      </c>
      <c r="AH331" s="9">
        <v>2864560</v>
      </c>
      <c r="AI331" s="9">
        <v>8413020.9400000013</v>
      </c>
      <c r="AJ331" s="9">
        <v>6777592</v>
      </c>
      <c r="AK331" s="28">
        <v>2886885</v>
      </c>
      <c r="AL331" s="9">
        <v>8930152.6600000001</v>
      </c>
      <c r="AM331" s="9">
        <v>6857750</v>
      </c>
      <c r="AN331" s="28">
        <v>2909285</v>
      </c>
      <c r="AO331" s="9">
        <v>8692760.0099999998</v>
      </c>
      <c r="AP331" s="9">
        <v>6831386</v>
      </c>
      <c r="AQ331" s="28">
        <v>2957025</v>
      </c>
      <c r="AR331" s="9">
        <v>8877321.1119815204</v>
      </c>
      <c r="AS331" s="9">
        <v>6760095</v>
      </c>
      <c r="AT331" s="28">
        <v>2982885</v>
      </c>
      <c r="AU331" s="9">
        <v>9051419.8800000027</v>
      </c>
      <c r="AV331" s="9">
        <v>6981458</v>
      </c>
      <c r="AW331" s="9">
        <v>3008415</v>
      </c>
      <c r="AX331" s="9">
        <v>9510996.4243331663</v>
      </c>
      <c r="AY331" s="9">
        <v>7267000</v>
      </c>
      <c r="AZ331" s="28">
        <v>3034005</v>
      </c>
      <c r="BA331" s="9">
        <v>9693716.8899999987</v>
      </c>
      <c r="BB331" s="9">
        <v>7543146</v>
      </c>
      <c r="BC331" s="9">
        <v>3034005</v>
      </c>
      <c r="BD331" s="9">
        <v>9723140.6099999994</v>
      </c>
      <c r="BE331" s="9">
        <v>7800056</v>
      </c>
      <c r="BF331" s="9">
        <v>3058965</v>
      </c>
      <c r="BG331" s="9">
        <v>10560011.300000001</v>
      </c>
      <c r="BH331" s="9">
        <v>8098019</v>
      </c>
      <c r="BI331" s="9">
        <v>3108465</v>
      </c>
      <c r="BJ331" s="9">
        <v>11278495.76</v>
      </c>
      <c r="BK331" s="9">
        <v>8476196</v>
      </c>
      <c r="BL331" s="9">
        <v>3158025</v>
      </c>
      <c r="BM331" s="9"/>
      <c r="BN331" s="9"/>
      <c r="BO331" s="9"/>
      <c r="BP331" s="9"/>
      <c r="BQ331" s="9"/>
      <c r="BR331" s="9"/>
      <c r="BS331" s="9"/>
      <c r="BT331" s="9"/>
      <c r="BU331" s="9"/>
    </row>
    <row r="332" spans="1:73">
      <c r="A332" s="6">
        <v>323</v>
      </c>
      <c r="B332" s="6" t="s">
        <v>1441</v>
      </c>
      <c r="C332" s="421">
        <v>40.340000000000003</v>
      </c>
      <c r="D332" s="9">
        <v>7087351</v>
      </c>
      <c r="E332" s="33">
        <v>6483027</v>
      </c>
      <c r="F332" s="9">
        <v>1620335.6</v>
      </c>
      <c r="G332" s="9">
        <v>7481921.1700000018</v>
      </c>
      <c r="H332" s="9">
        <v>6519525</v>
      </c>
      <c r="I332" s="9">
        <v>1739646.6</v>
      </c>
      <c r="J332" s="9">
        <v>8080095.9730690857</v>
      </c>
      <c r="K332" s="9">
        <v>6637938</v>
      </c>
      <c r="L332" s="9">
        <v>1930659.6</v>
      </c>
      <c r="M332" s="9">
        <v>8849560.0699999984</v>
      </c>
      <c r="N332" s="9">
        <v>6740361</v>
      </c>
      <c r="O332" s="9">
        <v>1992175.6</v>
      </c>
      <c r="P332" s="9">
        <v>234128</v>
      </c>
      <c r="Q332" s="9">
        <v>9332740.0692976061</v>
      </c>
      <c r="R332" s="9">
        <v>6973221</v>
      </c>
      <c r="S332" s="9">
        <v>2181778</v>
      </c>
      <c r="T332" s="9">
        <v>177741</v>
      </c>
      <c r="U332" s="9">
        <v>9121055.2676399983</v>
      </c>
      <c r="V332" s="9">
        <v>6925166</v>
      </c>
      <c r="W332" s="9">
        <v>2221676</v>
      </c>
      <c r="X332" s="9">
        <v>11927</v>
      </c>
      <c r="Y332" s="9">
        <v>152991</v>
      </c>
      <c r="Z332" s="9">
        <v>9407934.3300000001</v>
      </c>
      <c r="AA332" s="9">
        <v>6966042</v>
      </c>
      <c r="AB332" s="9">
        <v>2441892</v>
      </c>
      <c r="AC332" s="9">
        <v>9384522.75</v>
      </c>
      <c r="AD332" s="9">
        <v>7101110</v>
      </c>
      <c r="AE332" s="9">
        <v>2550273.4426500001</v>
      </c>
      <c r="AF332" s="9">
        <v>9746407.75</v>
      </c>
      <c r="AG332" s="9">
        <v>7107926</v>
      </c>
      <c r="AH332" s="9">
        <v>2817296.2266937499</v>
      </c>
      <c r="AI332" s="9">
        <v>9789063.1500000022</v>
      </c>
      <c r="AJ332" s="9">
        <v>6918340</v>
      </c>
      <c r="AK332" s="28">
        <v>3006077.2266937499</v>
      </c>
      <c r="AL332" s="9">
        <v>9864782.7299999986</v>
      </c>
      <c r="AM332" s="9">
        <v>6849766</v>
      </c>
      <c r="AN332" s="28">
        <v>3031677.2266937499</v>
      </c>
      <c r="AO332" s="9">
        <v>10285489.059999999</v>
      </c>
      <c r="AP332" s="9">
        <v>6653790</v>
      </c>
      <c r="AQ332" s="28">
        <v>3631699</v>
      </c>
      <c r="AR332" s="9">
        <v>10346624.462660685</v>
      </c>
      <c r="AS332" s="9">
        <v>6795040</v>
      </c>
      <c r="AT332" s="28">
        <v>3663259</v>
      </c>
      <c r="AU332" s="9">
        <v>10778968.260000002</v>
      </c>
      <c r="AV332" s="9">
        <v>7138403</v>
      </c>
      <c r="AW332" s="9">
        <v>3694909</v>
      </c>
      <c r="AX332" s="9">
        <v>11563083.632389149</v>
      </c>
      <c r="AY332" s="9">
        <v>7525433</v>
      </c>
      <c r="AZ332" s="28">
        <v>4058306</v>
      </c>
      <c r="BA332" s="9">
        <v>12165316.310000001</v>
      </c>
      <c r="BB332" s="9">
        <v>8009301</v>
      </c>
      <c r="BC332" s="9">
        <v>4157054</v>
      </c>
      <c r="BD332" s="9">
        <v>12509536.450000003</v>
      </c>
      <c r="BE332" s="9">
        <v>8120160</v>
      </c>
      <c r="BF332" s="9">
        <v>4569989</v>
      </c>
      <c r="BG332" s="9">
        <v>13585538.109999998</v>
      </c>
      <c r="BH332" s="9">
        <v>8270877</v>
      </c>
      <c r="BI332" s="9">
        <v>5314661</v>
      </c>
      <c r="BJ332" s="9">
        <v>15250441.900000002</v>
      </c>
      <c r="BK332" s="9">
        <v>8732058</v>
      </c>
      <c r="BL332" s="9">
        <v>6518384</v>
      </c>
      <c r="BM332" s="9"/>
      <c r="BN332" s="9"/>
      <c r="BO332" s="9"/>
      <c r="BP332" s="9"/>
      <c r="BQ332" s="9"/>
      <c r="BR332" s="9"/>
      <c r="BS332" s="9"/>
      <c r="BT332" s="9"/>
      <c r="BU332" s="9"/>
    </row>
    <row r="333" spans="1:73">
      <c r="A333" s="6">
        <v>324</v>
      </c>
      <c r="B333" s="6" t="s">
        <v>1442</v>
      </c>
      <c r="C333" s="421">
        <v>42.78</v>
      </c>
      <c r="D333" s="9">
        <v>254785</v>
      </c>
      <c r="E333" s="33">
        <v>111031</v>
      </c>
      <c r="F333" s="9">
        <v>143754</v>
      </c>
      <c r="G333" s="9">
        <v>388832.98</v>
      </c>
      <c r="H333" s="9">
        <v>151067</v>
      </c>
      <c r="I333" s="9">
        <v>237766</v>
      </c>
      <c r="J333" s="9">
        <v>328384.52</v>
      </c>
      <c r="K333" s="9">
        <v>139713</v>
      </c>
      <c r="L333" s="9">
        <v>239116</v>
      </c>
      <c r="M333" s="9">
        <v>214016.92</v>
      </c>
      <c r="N333" s="9">
        <v>95359</v>
      </c>
      <c r="O333" s="9">
        <v>214016.92</v>
      </c>
      <c r="P333" s="9">
        <v>0</v>
      </c>
      <c r="Q333" s="9">
        <v>245136.2421588517</v>
      </c>
      <c r="R333" s="9">
        <v>105919</v>
      </c>
      <c r="S333" s="9">
        <v>209737</v>
      </c>
      <c r="T333" s="9">
        <v>0</v>
      </c>
      <c r="U333" s="9">
        <v>251778.78455999997</v>
      </c>
      <c r="V333" s="9">
        <v>114004</v>
      </c>
      <c r="W333" s="9">
        <v>201348</v>
      </c>
      <c r="X333" s="9">
        <v>0</v>
      </c>
      <c r="Y333" s="9">
        <v>0</v>
      </c>
      <c r="Z333" s="9">
        <v>231760.61</v>
      </c>
      <c r="AA333" s="9">
        <v>101090</v>
      </c>
      <c r="AB333" s="9">
        <v>201348</v>
      </c>
      <c r="AC333" s="9">
        <v>303706.14</v>
      </c>
      <c r="AD333" s="9">
        <v>139106</v>
      </c>
      <c r="AE333" s="9">
        <v>201348</v>
      </c>
      <c r="AF333" s="9">
        <v>321307.69</v>
      </c>
      <c r="AG333" s="9">
        <v>147913</v>
      </c>
      <c r="AH333" s="9">
        <v>201348</v>
      </c>
      <c r="AI333" s="9">
        <v>233036.45</v>
      </c>
      <c r="AJ333" s="9">
        <v>115505</v>
      </c>
      <c r="AK333" s="28">
        <v>201348</v>
      </c>
      <c r="AL333" s="9">
        <v>355331.41999999993</v>
      </c>
      <c r="AM333" s="9">
        <v>184172</v>
      </c>
      <c r="AN333" s="28">
        <v>201348</v>
      </c>
      <c r="AO333" s="9">
        <v>354549.68000000005</v>
      </c>
      <c r="AP333" s="9">
        <v>186072</v>
      </c>
      <c r="AQ333" s="28">
        <v>201348</v>
      </c>
      <c r="AR333" s="9">
        <v>507435.69877084321</v>
      </c>
      <c r="AS333" s="9">
        <v>254467</v>
      </c>
      <c r="AT333" s="28">
        <v>252969</v>
      </c>
      <c r="AU333" s="9">
        <v>675281.05999999994</v>
      </c>
      <c r="AV333" s="9">
        <v>347672</v>
      </c>
      <c r="AW333" s="9">
        <v>327609</v>
      </c>
      <c r="AX333" s="9">
        <v>657950.26899632823</v>
      </c>
      <c r="AY333" s="9">
        <v>345483</v>
      </c>
      <c r="AZ333" s="28">
        <v>327609</v>
      </c>
      <c r="BA333" s="9">
        <v>656385.84</v>
      </c>
      <c r="BB333" s="9">
        <v>351215</v>
      </c>
      <c r="BC333" s="9">
        <v>327609</v>
      </c>
      <c r="BD333" s="9">
        <v>609550.86</v>
      </c>
      <c r="BE333" s="9">
        <v>327849</v>
      </c>
      <c r="BF333" s="9">
        <v>328719</v>
      </c>
      <c r="BG333" s="9">
        <v>453257.52</v>
      </c>
      <c r="BH333" s="9">
        <v>246970</v>
      </c>
      <c r="BI333" s="9">
        <v>328719</v>
      </c>
      <c r="BJ333" s="9">
        <v>393567.83999999997</v>
      </c>
      <c r="BK333" s="9">
        <v>200356</v>
      </c>
      <c r="BL333" s="9">
        <v>328719</v>
      </c>
      <c r="BM333" s="9"/>
      <c r="BN333" s="9"/>
      <c r="BO333" s="9"/>
      <c r="BP333" s="9"/>
      <c r="BQ333" s="9"/>
      <c r="BR333" s="9"/>
      <c r="BS333" s="9"/>
      <c r="BT333" s="9"/>
      <c r="BU333" s="9"/>
    </row>
    <row r="334" spans="1:73">
      <c r="A334" s="6">
        <v>325</v>
      </c>
      <c r="B334" s="6" t="s">
        <v>1443</v>
      </c>
      <c r="C334" s="421">
        <v>54.02</v>
      </c>
      <c r="D334" s="9">
        <v>49973231</v>
      </c>
      <c r="E334" s="33">
        <v>20368440</v>
      </c>
      <c r="F334" s="9">
        <v>29644636</v>
      </c>
      <c r="G334" s="9">
        <v>53649787.230000004</v>
      </c>
      <c r="H334" s="9">
        <v>21748478</v>
      </c>
      <c r="I334" s="9">
        <v>31901309</v>
      </c>
      <c r="J334" s="9">
        <v>55203857.608358152</v>
      </c>
      <c r="K334" s="9">
        <v>22572618</v>
      </c>
      <c r="L334" s="9">
        <v>32840745</v>
      </c>
      <c r="M334" s="9">
        <v>57201000.020000011</v>
      </c>
      <c r="N334" s="9">
        <v>23301263</v>
      </c>
      <c r="O334" s="9">
        <v>30462915</v>
      </c>
      <c r="P334" s="9">
        <v>3580110</v>
      </c>
      <c r="Q334" s="9">
        <v>58064880.787414365</v>
      </c>
      <c r="R334" s="9">
        <v>23683434</v>
      </c>
      <c r="S334" s="9">
        <v>33362165</v>
      </c>
      <c r="T334" s="9">
        <v>1019282</v>
      </c>
      <c r="U334" s="9">
        <v>56542890.625020012</v>
      </c>
      <c r="V334" s="9">
        <v>24024402</v>
      </c>
      <c r="W334" s="9">
        <v>32372885</v>
      </c>
      <c r="X334" s="9">
        <v>173792</v>
      </c>
      <c r="Y334" s="9">
        <v>1986845</v>
      </c>
      <c r="Z334" s="9">
        <v>56348311.590000004</v>
      </c>
      <c r="AA334" s="9">
        <v>24659576</v>
      </c>
      <c r="AB334" s="9">
        <v>32546677</v>
      </c>
      <c r="AC334" s="9">
        <v>58680126.160000004</v>
      </c>
      <c r="AD334" s="9">
        <v>25776861</v>
      </c>
      <c r="AE334" s="9">
        <v>32927874.488096002</v>
      </c>
      <c r="AF334" s="9">
        <v>59626032.379999988</v>
      </c>
      <c r="AG334" s="9">
        <v>26817278</v>
      </c>
      <c r="AH334" s="9">
        <v>33072499.488096002</v>
      </c>
      <c r="AI334" s="9">
        <v>59091820.839999996</v>
      </c>
      <c r="AJ334" s="9">
        <v>27452394</v>
      </c>
      <c r="AK334" s="28">
        <v>33214624.488096002</v>
      </c>
      <c r="AL334" s="9">
        <v>59194723.68</v>
      </c>
      <c r="AM334" s="9">
        <v>27572737</v>
      </c>
      <c r="AN334" s="28">
        <v>33353974.488096002</v>
      </c>
      <c r="AO334" s="9">
        <v>59795241.399999999</v>
      </c>
      <c r="AP334" s="9">
        <v>26781337</v>
      </c>
      <c r="AQ334" s="28">
        <v>33656694.488095999</v>
      </c>
      <c r="AR334" s="9">
        <v>60917916.743617475</v>
      </c>
      <c r="AS334" s="9">
        <v>26596469</v>
      </c>
      <c r="AT334" s="28">
        <v>34321448</v>
      </c>
      <c r="AU334" s="9">
        <v>61979381.029999994</v>
      </c>
      <c r="AV334" s="9">
        <v>27249072</v>
      </c>
      <c r="AW334" s="9">
        <v>34730309</v>
      </c>
      <c r="AX334" s="9">
        <v>65007737.903743565</v>
      </c>
      <c r="AY334" s="9">
        <v>27712077</v>
      </c>
      <c r="AZ334" s="28">
        <v>37295661</v>
      </c>
      <c r="BA334" s="9">
        <v>65292799.700000003</v>
      </c>
      <c r="BB334" s="9">
        <v>27986427</v>
      </c>
      <c r="BC334" s="9">
        <v>37306373</v>
      </c>
      <c r="BD334" s="9">
        <v>64714818.569999993</v>
      </c>
      <c r="BE334" s="9">
        <v>28674517</v>
      </c>
      <c r="BF334" s="9">
        <v>37455773</v>
      </c>
      <c r="BG334" s="9">
        <v>69264756.579999998</v>
      </c>
      <c r="BH334" s="9">
        <v>30194266</v>
      </c>
      <c r="BI334" s="9">
        <v>39070491</v>
      </c>
      <c r="BJ334" s="9">
        <v>75008744.25999999</v>
      </c>
      <c r="BK334" s="9">
        <v>32011961</v>
      </c>
      <c r="BL334" s="9">
        <v>42996783</v>
      </c>
      <c r="BM334" s="9"/>
      <c r="BN334" s="9"/>
      <c r="BO334" s="9"/>
      <c r="BP334" s="9"/>
      <c r="BQ334" s="9"/>
      <c r="BR334" s="9"/>
      <c r="BS334" s="9"/>
      <c r="BT334" s="9"/>
      <c r="BU334" s="9"/>
    </row>
    <row r="335" spans="1:73">
      <c r="A335" s="6">
        <v>326</v>
      </c>
      <c r="B335" s="6" t="s">
        <v>1444</v>
      </c>
      <c r="C335" s="421">
        <v>18.420000000000002</v>
      </c>
      <c r="D335" s="9">
        <v>35723685</v>
      </c>
      <c r="E335" s="33">
        <v>24675698</v>
      </c>
      <c r="F335" s="9">
        <v>11305202</v>
      </c>
      <c r="G335" s="9">
        <v>38818431.875120007</v>
      </c>
      <c r="H335" s="9">
        <v>25842739</v>
      </c>
      <c r="I335" s="9">
        <v>12975693</v>
      </c>
      <c r="J335" s="9">
        <v>40555313.116589576</v>
      </c>
      <c r="K335" s="9">
        <v>26531707</v>
      </c>
      <c r="L335" s="9">
        <v>14023606</v>
      </c>
      <c r="M335" s="9">
        <v>42911329.967289984</v>
      </c>
      <c r="N335" s="9">
        <v>27280805</v>
      </c>
      <c r="O335" s="9">
        <v>13986752</v>
      </c>
      <c r="P335" s="9">
        <v>1643773</v>
      </c>
      <c r="Q335" s="9">
        <v>44563082.297898509</v>
      </c>
      <c r="R335" s="9">
        <v>27807520</v>
      </c>
      <c r="S335" s="9">
        <v>15317915</v>
      </c>
      <c r="T335" s="9">
        <v>1437647</v>
      </c>
      <c r="U335" s="9">
        <v>42723467.157275043</v>
      </c>
      <c r="V335" s="9">
        <v>28681127</v>
      </c>
      <c r="W335" s="9">
        <v>15776704</v>
      </c>
      <c r="X335" s="9">
        <v>84696</v>
      </c>
      <c r="Y335" s="9">
        <v>1021312</v>
      </c>
      <c r="Z335" s="9">
        <v>43881686.305879995</v>
      </c>
      <c r="AA335" s="9">
        <v>29241053</v>
      </c>
      <c r="AB335" s="9">
        <v>15861400</v>
      </c>
      <c r="AC335" s="9">
        <v>45585175.226279989</v>
      </c>
      <c r="AD335" s="9">
        <v>30308996</v>
      </c>
      <c r="AE335" s="9">
        <v>16064000</v>
      </c>
      <c r="AF335" s="9">
        <v>45685221.157399982</v>
      </c>
      <c r="AG335" s="9">
        <v>31603683</v>
      </c>
      <c r="AH335" s="9">
        <v>16189875</v>
      </c>
      <c r="AI335" s="9">
        <v>45600413.679659985</v>
      </c>
      <c r="AJ335" s="9">
        <v>32229875</v>
      </c>
      <c r="AK335" s="28">
        <v>16313850</v>
      </c>
      <c r="AL335" s="9">
        <v>45124999.36552</v>
      </c>
      <c r="AM335" s="9">
        <v>33597365</v>
      </c>
      <c r="AN335" s="28">
        <v>16436625</v>
      </c>
      <c r="AO335" s="9">
        <v>45233495.410999998</v>
      </c>
      <c r="AP335" s="9">
        <v>33677123</v>
      </c>
      <c r="AQ335" s="28">
        <v>16706565</v>
      </c>
      <c r="AR335" s="9">
        <v>46319271.278671294</v>
      </c>
      <c r="AS335" s="9">
        <v>35059135</v>
      </c>
      <c r="AT335" s="28">
        <v>16853055</v>
      </c>
      <c r="AU335" s="9">
        <v>47840867.455200009</v>
      </c>
      <c r="AV335" s="9">
        <v>36197500</v>
      </c>
      <c r="AW335" s="9">
        <v>16998615</v>
      </c>
      <c r="AX335" s="9">
        <v>50292113.17611514</v>
      </c>
      <c r="AY335" s="9">
        <v>37292159</v>
      </c>
      <c r="AZ335" s="28">
        <v>17144235</v>
      </c>
      <c r="BA335" s="9">
        <v>49470077.997149989</v>
      </c>
      <c r="BB335" s="9">
        <v>38573963</v>
      </c>
      <c r="BC335" s="9">
        <v>17144235</v>
      </c>
      <c r="BD335" s="9">
        <v>49437144.66234</v>
      </c>
      <c r="BE335" s="9">
        <v>38453895</v>
      </c>
      <c r="BF335" s="9">
        <v>17281815</v>
      </c>
      <c r="BG335" s="9">
        <v>51138938.126499996</v>
      </c>
      <c r="BH335" s="9">
        <v>40088937</v>
      </c>
      <c r="BI335" s="9">
        <v>17551275</v>
      </c>
      <c r="BJ335" s="9">
        <v>56419497.774939992</v>
      </c>
      <c r="BK335" s="9">
        <v>42434964</v>
      </c>
      <c r="BL335" s="9">
        <v>17830755</v>
      </c>
      <c r="BM335" s="9"/>
      <c r="BN335" s="9"/>
      <c r="BO335" s="9"/>
      <c r="BP335" s="9"/>
      <c r="BQ335" s="9"/>
      <c r="BR335" s="9"/>
      <c r="BS335" s="9"/>
      <c r="BT335" s="9"/>
      <c r="BU335" s="9"/>
    </row>
    <row r="336" spans="1:73">
      <c r="A336" s="6">
        <v>327</v>
      </c>
      <c r="B336" s="6" t="s">
        <v>1445</v>
      </c>
      <c r="C336" s="421">
        <v>17.5</v>
      </c>
      <c r="D336" s="9">
        <v>1143015</v>
      </c>
      <c r="E336" s="33">
        <v>871506</v>
      </c>
      <c r="F336" s="9">
        <v>286065.2</v>
      </c>
      <c r="G336" s="9">
        <v>1161647.67</v>
      </c>
      <c r="H336" s="9">
        <v>830817</v>
      </c>
      <c r="I336" s="9">
        <v>341741.2</v>
      </c>
      <c r="J336" s="9">
        <v>1170704.509380162</v>
      </c>
      <c r="K336" s="9">
        <v>836402</v>
      </c>
      <c r="L336" s="9">
        <v>392663.2</v>
      </c>
      <c r="M336" s="9">
        <v>1157514.8700000001</v>
      </c>
      <c r="N336" s="9">
        <v>778624</v>
      </c>
      <c r="O336" s="9">
        <v>376209.2</v>
      </c>
      <c r="P336" s="9">
        <v>44213</v>
      </c>
      <c r="Q336" s="9">
        <v>1296948.5063349283</v>
      </c>
      <c r="R336" s="9">
        <v>829588</v>
      </c>
      <c r="S336" s="9">
        <v>412014</v>
      </c>
      <c r="T336" s="9">
        <v>55347</v>
      </c>
      <c r="U336" s="9">
        <v>1232065.9646999999</v>
      </c>
      <c r="V336" s="9">
        <v>806088</v>
      </c>
      <c r="W336" s="9">
        <v>440058</v>
      </c>
      <c r="X336" s="9">
        <v>2362</v>
      </c>
      <c r="Y336" s="9">
        <v>28516</v>
      </c>
      <c r="Z336" s="9">
        <v>1193876.6000000001</v>
      </c>
      <c r="AA336" s="9">
        <v>823754</v>
      </c>
      <c r="AB336" s="9">
        <v>442420</v>
      </c>
      <c r="AC336" s="9">
        <v>1195530.31</v>
      </c>
      <c r="AD336" s="9">
        <v>868868</v>
      </c>
      <c r="AE336" s="9">
        <v>447620</v>
      </c>
      <c r="AF336" s="9">
        <v>1215188.8099999998</v>
      </c>
      <c r="AG336" s="9">
        <v>921372</v>
      </c>
      <c r="AH336" s="9">
        <v>450895</v>
      </c>
      <c r="AI336" s="9">
        <v>1314694.2799999998</v>
      </c>
      <c r="AJ336" s="9">
        <v>956723</v>
      </c>
      <c r="AK336" s="28">
        <v>454345</v>
      </c>
      <c r="AL336" s="9">
        <v>1294416.6200000001</v>
      </c>
      <c r="AM336" s="9">
        <v>964619</v>
      </c>
      <c r="AN336" s="28">
        <v>457770</v>
      </c>
      <c r="AO336" s="9">
        <v>1360673</v>
      </c>
      <c r="AP336" s="9">
        <v>968330</v>
      </c>
      <c r="AQ336" s="28">
        <v>465470</v>
      </c>
      <c r="AR336" s="9">
        <v>1297572.8942240474</v>
      </c>
      <c r="AS336" s="9">
        <v>918872</v>
      </c>
      <c r="AT336" s="28">
        <v>469400</v>
      </c>
      <c r="AU336" s="9">
        <v>1357190.3900000001</v>
      </c>
      <c r="AV336" s="9">
        <v>952974</v>
      </c>
      <c r="AW336" s="9">
        <v>473330</v>
      </c>
      <c r="AX336" s="9">
        <v>1392808.786186093</v>
      </c>
      <c r="AY336" s="9">
        <v>993885</v>
      </c>
      <c r="AZ336" s="28">
        <v>477140</v>
      </c>
      <c r="BA336" s="9">
        <v>1307846.49</v>
      </c>
      <c r="BB336" s="9">
        <v>960638</v>
      </c>
      <c r="BC336" s="9">
        <v>477140</v>
      </c>
      <c r="BD336" s="9">
        <v>1221027.5199999998</v>
      </c>
      <c r="BE336" s="9">
        <v>977281</v>
      </c>
      <c r="BF336" s="9">
        <v>480230</v>
      </c>
      <c r="BG336" s="9">
        <v>1276796.4100000001</v>
      </c>
      <c r="BH336" s="9">
        <v>1028968</v>
      </c>
      <c r="BI336" s="9">
        <v>486110</v>
      </c>
      <c r="BJ336" s="9">
        <v>1280165.0299999996</v>
      </c>
      <c r="BK336" s="9">
        <v>1028923</v>
      </c>
      <c r="BL336" s="9">
        <v>491630</v>
      </c>
      <c r="BM336" s="9"/>
      <c r="BN336" s="9"/>
      <c r="BO336" s="9"/>
      <c r="BP336" s="9"/>
      <c r="BQ336" s="9"/>
      <c r="BR336" s="9"/>
      <c r="BS336" s="9"/>
      <c r="BT336" s="9"/>
      <c r="BU336" s="9"/>
    </row>
    <row r="337" spans="1:73">
      <c r="A337" s="6">
        <v>328</v>
      </c>
      <c r="B337" s="6" t="s">
        <v>1446</v>
      </c>
      <c r="C337" s="421">
        <v>41.75</v>
      </c>
      <c r="D337" s="9">
        <v>0</v>
      </c>
      <c r="E337" s="33">
        <v>0</v>
      </c>
      <c r="F337" s="9">
        <v>0</v>
      </c>
      <c r="G337" s="9">
        <v>0</v>
      </c>
      <c r="H337" s="9">
        <v>0</v>
      </c>
      <c r="I337" s="9">
        <v>0</v>
      </c>
      <c r="J337" s="9">
        <v>0</v>
      </c>
      <c r="K337" s="9">
        <v>0</v>
      </c>
      <c r="L337" s="9">
        <v>0</v>
      </c>
      <c r="M337" s="9">
        <v>0</v>
      </c>
      <c r="N337" s="9">
        <v>0</v>
      </c>
      <c r="O337" s="9">
        <v>0</v>
      </c>
      <c r="P337" s="9">
        <v>0</v>
      </c>
      <c r="Q337" s="9">
        <v>0</v>
      </c>
      <c r="R337" s="9">
        <v>0</v>
      </c>
      <c r="S337" s="9">
        <v>0</v>
      </c>
      <c r="T337" s="9">
        <v>0</v>
      </c>
      <c r="U337" s="9">
        <v>0</v>
      </c>
      <c r="V337" s="9">
        <v>0</v>
      </c>
      <c r="W337" s="9">
        <v>0</v>
      </c>
      <c r="X337" s="9">
        <v>0</v>
      </c>
      <c r="Y337" s="9">
        <v>0</v>
      </c>
      <c r="Z337" s="9">
        <v>0</v>
      </c>
      <c r="AA337" s="9">
        <v>0</v>
      </c>
      <c r="AB337" s="9">
        <v>0</v>
      </c>
      <c r="AC337" s="9">
        <v>0</v>
      </c>
      <c r="AD337" s="9">
        <v>0</v>
      </c>
      <c r="AE337" s="9">
        <v>0</v>
      </c>
      <c r="AF337" s="9">
        <v>0</v>
      </c>
      <c r="AG337" s="9">
        <v>0</v>
      </c>
      <c r="AH337" s="9">
        <v>0</v>
      </c>
      <c r="AI337" s="9">
        <v>0</v>
      </c>
      <c r="AJ337" s="9">
        <v>0</v>
      </c>
      <c r="AK337" s="28">
        <v>0</v>
      </c>
      <c r="AL337" s="9">
        <v>0</v>
      </c>
      <c r="AM337" s="9">
        <v>0</v>
      </c>
      <c r="AN337" s="28">
        <v>0</v>
      </c>
      <c r="AO337" s="9">
        <v>0</v>
      </c>
      <c r="AP337" s="9">
        <v>0</v>
      </c>
      <c r="AQ337" s="28">
        <v>0</v>
      </c>
      <c r="AR337" s="9">
        <v>0</v>
      </c>
      <c r="AS337" s="9">
        <v>0</v>
      </c>
      <c r="AT337" s="28">
        <v>0</v>
      </c>
      <c r="AU337" s="9">
        <v>0</v>
      </c>
      <c r="AV337" s="9">
        <v>0</v>
      </c>
      <c r="AW337" s="9">
        <v>0</v>
      </c>
      <c r="AX337" s="9">
        <v>0</v>
      </c>
      <c r="AY337" s="9">
        <v>0</v>
      </c>
      <c r="AZ337" s="28">
        <v>0</v>
      </c>
      <c r="BA337" s="9">
        <v>0</v>
      </c>
      <c r="BB337" s="9">
        <v>0</v>
      </c>
      <c r="BC337" s="9">
        <v>0</v>
      </c>
      <c r="BD337" s="9">
        <v>0</v>
      </c>
      <c r="BE337" s="9">
        <v>0</v>
      </c>
      <c r="BF337" s="9">
        <v>0</v>
      </c>
      <c r="BG337" s="9">
        <v>0</v>
      </c>
      <c r="BH337" s="9">
        <v>0</v>
      </c>
      <c r="BI337" s="9">
        <v>0</v>
      </c>
      <c r="BJ337" s="9">
        <v>0</v>
      </c>
      <c r="BK337" s="9">
        <v>0</v>
      </c>
      <c r="BL337" s="9">
        <v>0</v>
      </c>
      <c r="BM337" s="9"/>
      <c r="BN337" s="9"/>
      <c r="BO337" s="9"/>
      <c r="BP337" s="9"/>
      <c r="BQ337" s="9"/>
      <c r="BR337" s="9"/>
      <c r="BS337" s="9"/>
      <c r="BT337" s="9"/>
      <c r="BU337" s="9"/>
    </row>
    <row r="338" spans="1:73">
      <c r="A338" s="6">
        <v>329</v>
      </c>
      <c r="B338" s="6" t="s">
        <v>1447</v>
      </c>
      <c r="C338" s="421">
        <v>17.5</v>
      </c>
      <c r="D338" s="9">
        <v>0</v>
      </c>
      <c r="E338" s="33">
        <v>0</v>
      </c>
      <c r="F338" s="9">
        <v>0</v>
      </c>
      <c r="G338" s="9">
        <v>0</v>
      </c>
      <c r="H338" s="9">
        <v>0</v>
      </c>
      <c r="I338" s="9">
        <v>0</v>
      </c>
      <c r="J338" s="9">
        <v>0</v>
      </c>
      <c r="K338" s="9">
        <v>0</v>
      </c>
      <c r="L338" s="9">
        <v>0</v>
      </c>
      <c r="M338" s="9">
        <v>0</v>
      </c>
      <c r="N338" s="9">
        <v>0</v>
      </c>
      <c r="O338" s="9">
        <v>0</v>
      </c>
      <c r="P338" s="9">
        <v>0</v>
      </c>
      <c r="Q338" s="9">
        <v>0</v>
      </c>
      <c r="R338" s="9">
        <v>0</v>
      </c>
      <c r="S338" s="9">
        <v>0</v>
      </c>
      <c r="T338" s="9">
        <v>0</v>
      </c>
      <c r="U338" s="9">
        <v>0</v>
      </c>
      <c r="V338" s="9">
        <v>0</v>
      </c>
      <c r="W338" s="9">
        <v>0</v>
      </c>
      <c r="X338" s="9">
        <v>0</v>
      </c>
      <c r="Y338" s="9">
        <v>0</v>
      </c>
      <c r="Z338" s="9">
        <v>0</v>
      </c>
      <c r="AA338" s="9">
        <v>0</v>
      </c>
      <c r="AB338" s="9">
        <v>0</v>
      </c>
      <c r="AC338" s="9">
        <v>0</v>
      </c>
      <c r="AD338" s="9">
        <v>0</v>
      </c>
      <c r="AE338" s="9">
        <v>0</v>
      </c>
      <c r="AF338" s="9">
        <v>0</v>
      </c>
      <c r="AG338" s="9">
        <v>0</v>
      </c>
      <c r="AH338" s="9">
        <f>0+33688</f>
        <v>33688</v>
      </c>
      <c r="AI338" s="9">
        <v>13004.9</v>
      </c>
      <c r="AJ338" s="9">
        <v>10405</v>
      </c>
      <c r="AK338" s="28">
        <v>13004.900000000001</v>
      </c>
      <c r="AL338" s="9">
        <v>13199.960000000001</v>
      </c>
      <c r="AM338" s="9">
        <v>11094</v>
      </c>
      <c r="AN338" s="28">
        <v>13004.900000000001</v>
      </c>
      <c r="AO338" s="9">
        <v>0</v>
      </c>
      <c r="AP338" s="9">
        <v>0</v>
      </c>
      <c r="AQ338" s="28">
        <v>0</v>
      </c>
      <c r="AR338" s="9">
        <v>13416.833343589547</v>
      </c>
      <c r="AS338" s="9">
        <v>11105</v>
      </c>
      <c r="AT338" s="28">
        <v>2312</v>
      </c>
      <c r="AU338" s="9">
        <v>13837.16</v>
      </c>
      <c r="AV338" s="9">
        <v>11416</v>
      </c>
      <c r="AW338" s="9">
        <v>2421</v>
      </c>
      <c r="AX338" s="9">
        <v>0</v>
      </c>
      <c r="AY338" s="9">
        <v>0</v>
      </c>
      <c r="AZ338" s="28">
        <v>0</v>
      </c>
      <c r="BA338" s="9">
        <v>29315.599999999999</v>
      </c>
      <c r="BB338" s="9">
        <v>24185</v>
      </c>
      <c r="BC338" s="9">
        <v>5131</v>
      </c>
      <c r="BD338" s="9">
        <v>29905.56</v>
      </c>
      <c r="BE338" s="9">
        <v>24672</v>
      </c>
      <c r="BF338" s="9">
        <v>5263</v>
      </c>
      <c r="BG338" s="9">
        <v>31395.420000000002</v>
      </c>
      <c r="BH338" s="9">
        <v>25174</v>
      </c>
      <c r="BI338" s="9">
        <v>6221</v>
      </c>
      <c r="BJ338" s="9">
        <v>32981.520000000004</v>
      </c>
      <c r="BK338" s="9">
        <v>26579</v>
      </c>
      <c r="BL338" s="9">
        <v>6403</v>
      </c>
      <c r="BM338" s="9"/>
      <c r="BN338" s="9"/>
      <c r="BO338" s="9"/>
      <c r="BP338" s="9"/>
      <c r="BQ338" s="9"/>
      <c r="BR338" s="9"/>
      <c r="BS338" s="9"/>
      <c r="BT338" s="9"/>
      <c r="BU338" s="9"/>
    </row>
    <row r="339" spans="1:73">
      <c r="A339" s="6">
        <v>330</v>
      </c>
      <c r="B339" s="6" t="s">
        <v>1448</v>
      </c>
      <c r="C339" s="421">
        <v>17.5</v>
      </c>
      <c r="D339" s="9">
        <v>16162814</v>
      </c>
      <c r="E339" s="33">
        <v>20181705</v>
      </c>
      <c r="F339" s="9">
        <v>1480949.6</v>
      </c>
      <c r="G339" s="9">
        <v>17307605.129800003</v>
      </c>
      <c r="H339" s="9">
        <v>19912849</v>
      </c>
      <c r="I339" s="9">
        <v>1790525.6</v>
      </c>
      <c r="J339" s="9">
        <v>18370485.452483337</v>
      </c>
      <c r="K339" s="9">
        <v>19288255</v>
      </c>
      <c r="L339" s="9">
        <v>2217818.6</v>
      </c>
      <c r="M339" s="9">
        <v>19437327.17588</v>
      </c>
      <c r="N339" s="9">
        <v>18964744</v>
      </c>
      <c r="O339" s="9">
        <v>2334128.6</v>
      </c>
      <c r="P339" s="9">
        <v>274315</v>
      </c>
      <c r="Q339" s="9">
        <v>20595641.906424958</v>
      </c>
      <c r="R339" s="9">
        <v>19452416</v>
      </c>
      <c r="S339" s="9">
        <v>2556275</v>
      </c>
      <c r="T339" s="9">
        <v>0</v>
      </c>
      <c r="U339" s="9">
        <v>20090660.412545517</v>
      </c>
      <c r="V339" s="9">
        <v>19197587</v>
      </c>
      <c r="W339" s="9">
        <v>2406938</v>
      </c>
      <c r="X339" s="9">
        <v>12921</v>
      </c>
      <c r="Y339" s="9">
        <v>195391</v>
      </c>
      <c r="Z339" s="9">
        <v>20217500.017579999</v>
      </c>
      <c r="AA339" s="9">
        <v>19394331</v>
      </c>
      <c r="AB339" s="9">
        <v>2419859</v>
      </c>
      <c r="AC339" s="9">
        <v>21125018.31106</v>
      </c>
      <c r="AD339" s="9">
        <v>19897050</v>
      </c>
      <c r="AE339" s="9">
        <v>2512979</v>
      </c>
      <c r="AF339" s="9">
        <v>21575268.311200004</v>
      </c>
      <c r="AG339" s="9">
        <v>20375359</v>
      </c>
      <c r="AH339" s="9">
        <v>2571779</v>
      </c>
      <c r="AI339" s="9">
        <v>21506483.175400004</v>
      </c>
      <c r="AJ339" s="9">
        <v>19355835</v>
      </c>
      <c r="AK339" s="28">
        <v>2988929</v>
      </c>
      <c r="AL339" s="9">
        <v>21219806.953260001</v>
      </c>
      <c r="AM339" s="9">
        <v>18857119</v>
      </c>
      <c r="AN339" s="28">
        <v>3045154</v>
      </c>
      <c r="AO339" s="9">
        <v>20900052.866529997</v>
      </c>
      <c r="AP339" s="9">
        <v>17600265</v>
      </c>
      <c r="AQ339" s="28">
        <f>3299788+17341</f>
        <v>3317129</v>
      </c>
      <c r="AR339" s="9">
        <v>21251738.294267315</v>
      </c>
      <c r="AS339" s="9">
        <v>17672626</v>
      </c>
      <c r="AT339" s="28">
        <v>3579112</v>
      </c>
      <c r="AU339" s="9">
        <v>21305867.837200001</v>
      </c>
      <c r="AV339" s="9">
        <v>17577341</v>
      </c>
      <c r="AW339" s="9">
        <v>3728527</v>
      </c>
      <c r="AX339" s="9">
        <v>22508837.582984712</v>
      </c>
      <c r="AY339" s="9">
        <v>18569791</v>
      </c>
      <c r="AZ339" s="28">
        <v>3949220</v>
      </c>
      <c r="BA339" s="9">
        <v>22266149.914000005</v>
      </c>
      <c r="BB339" s="9">
        <v>18369574</v>
      </c>
      <c r="BC339" s="9">
        <v>3949220</v>
      </c>
      <c r="BD339" s="9">
        <v>21554028.930860002</v>
      </c>
      <c r="BE339" s="9">
        <v>17782074</v>
      </c>
      <c r="BF339" s="9">
        <v>4007060</v>
      </c>
      <c r="BG339" s="9">
        <v>23331116.658349998</v>
      </c>
      <c r="BH339" s="9">
        <v>19248171</v>
      </c>
      <c r="BI339" s="9">
        <v>4124960</v>
      </c>
      <c r="BJ339" s="9">
        <v>25392258.954960003</v>
      </c>
      <c r="BK339" s="9">
        <v>20948614</v>
      </c>
      <c r="BL339" s="9">
        <v>4443645</v>
      </c>
      <c r="BM339" s="9"/>
      <c r="BN339" s="9"/>
      <c r="BO339" s="9"/>
      <c r="BP339" s="9"/>
      <c r="BQ339" s="9"/>
      <c r="BR339" s="9"/>
      <c r="BS339" s="9"/>
      <c r="BT339" s="9"/>
      <c r="BU339" s="9"/>
    </row>
    <row r="340" spans="1:73">
      <c r="A340" s="6">
        <v>331</v>
      </c>
      <c r="B340" s="6" t="s">
        <v>1449</v>
      </c>
      <c r="C340" s="421">
        <v>17.5</v>
      </c>
      <c r="D340" s="9">
        <v>12968630</v>
      </c>
      <c r="E340" s="33">
        <v>9738097</v>
      </c>
      <c r="F340" s="9">
        <v>4035010</v>
      </c>
      <c r="G340" s="9">
        <v>13865149.07</v>
      </c>
      <c r="H340" s="9">
        <v>10429878</v>
      </c>
      <c r="I340" s="9">
        <v>4191901</v>
      </c>
      <c r="J340" s="9">
        <v>14462425.445800073</v>
      </c>
      <c r="K340" s="9">
        <v>11075177</v>
      </c>
      <c r="L340" s="9">
        <v>4296424</v>
      </c>
      <c r="M340" s="9">
        <v>15502132.710000001</v>
      </c>
      <c r="N340" s="9">
        <v>11580866</v>
      </c>
      <c r="O340" s="9">
        <v>4007408</v>
      </c>
      <c r="P340" s="9">
        <v>470965</v>
      </c>
      <c r="Q340" s="9">
        <v>15990008.832857417</v>
      </c>
      <c r="R340" s="9">
        <v>11793167</v>
      </c>
      <c r="S340" s="9">
        <v>4388806</v>
      </c>
      <c r="T340" s="9">
        <v>0</v>
      </c>
      <c r="U340" s="9">
        <v>15747912.792959997</v>
      </c>
      <c r="V340" s="9">
        <v>12196747</v>
      </c>
      <c r="W340" s="9">
        <v>4132413</v>
      </c>
      <c r="X340" s="9">
        <v>22184</v>
      </c>
      <c r="Y340" s="9">
        <v>279609</v>
      </c>
      <c r="Z340" s="9">
        <v>15633780.250000004</v>
      </c>
      <c r="AA340" s="9">
        <v>12313381</v>
      </c>
      <c r="AB340" s="9">
        <v>4154597</v>
      </c>
      <c r="AC340" s="9">
        <v>15649507.84</v>
      </c>
      <c r="AD340" s="9">
        <v>12625582</v>
      </c>
      <c r="AE340" s="9">
        <v>4221997</v>
      </c>
      <c r="AF340" s="9">
        <v>15457275.029999999</v>
      </c>
      <c r="AG340" s="9">
        <v>12949560</v>
      </c>
      <c r="AH340" s="9">
        <v>4262947</v>
      </c>
      <c r="AI340" s="9">
        <v>15286780.110000001</v>
      </c>
      <c r="AJ340" s="9">
        <v>12928118</v>
      </c>
      <c r="AK340" s="28">
        <v>4303047</v>
      </c>
      <c r="AL340" s="9">
        <v>14995933.330000002</v>
      </c>
      <c r="AM340" s="9">
        <v>12876991</v>
      </c>
      <c r="AN340" s="28">
        <v>4341772</v>
      </c>
      <c r="AO340" s="9">
        <v>14911266.000000002</v>
      </c>
      <c r="AP340" s="9">
        <v>12467729</v>
      </c>
      <c r="AQ340" s="28">
        <v>4425482</v>
      </c>
      <c r="AR340" s="9">
        <v>14885291.294271678</v>
      </c>
      <c r="AS340" s="9">
        <v>12354601</v>
      </c>
      <c r="AT340" s="28">
        <v>4470212</v>
      </c>
      <c r="AU340" s="9">
        <v>15341227.09</v>
      </c>
      <c r="AV340" s="9">
        <v>12656512</v>
      </c>
      <c r="AW340" s="9">
        <v>4514672</v>
      </c>
      <c r="AX340" s="9">
        <v>16245198.777909063</v>
      </c>
      <c r="AY340" s="9">
        <v>13146344</v>
      </c>
      <c r="AZ340" s="28">
        <v>4559462</v>
      </c>
      <c r="BA340" s="9">
        <v>16658171.17</v>
      </c>
      <c r="BB340" s="9">
        <v>13742991</v>
      </c>
      <c r="BC340" s="9">
        <v>4559462</v>
      </c>
      <c r="BD340" s="9">
        <v>16990670.259999998</v>
      </c>
      <c r="BE340" s="9">
        <v>14017303</v>
      </c>
      <c r="BF340" s="9">
        <v>4603592</v>
      </c>
      <c r="BG340" s="9">
        <v>19394381.850000001</v>
      </c>
      <c r="BH340" s="9">
        <v>14765539</v>
      </c>
      <c r="BI340" s="9">
        <v>4696172</v>
      </c>
      <c r="BJ340" s="9">
        <v>20926189.139999997</v>
      </c>
      <c r="BK340" s="9">
        <v>15677019</v>
      </c>
      <c r="BL340" s="9">
        <v>5249170</v>
      </c>
      <c r="BM340" s="9"/>
      <c r="BN340" s="9"/>
      <c r="BO340" s="9"/>
      <c r="BP340" s="9"/>
      <c r="BQ340" s="9"/>
      <c r="BR340" s="9"/>
      <c r="BS340" s="9"/>
      <c r="BT340" s="9"/>
      <c r="BU340" s="9"/>
    </row>
    <row r="341" spans="1:73">
      <c r="A341" s="6">
        <v>332</v>
      </c>
      <c r="B341" s="6" t="s">
        <v>1450</v>
      </c>
      <c r="C341" s="421">
        <v>59.1</v>
      </c>
      <c r="D341" s="9">
        <v>31130339</v>
      </c>
      <c r="E341" s="33">
        <v>18106441</v>
      </c>
      <c r="F341" s="9">
        <v>13445170</v>
      </c>
      <c r="G341" s="9">
        <v>33870575.43</v>
      </c>
      <c r="H341" s="9">
        <v>18598514</v>
      </c>
      <c r="I341" s="9">
        <v>15272061</v>
      </c>
      <c r="J341" s="9">
        <v>35265587.219952904</v>
      </c>
      <c r="K341" s="9">
        <v>18707901</v>
      </c>
      <c r="L341" s="9">
        <v>16557686</v>
      </c>
      <c r="M341" s="9">
        <v>36643826.119999997</v>
      </c>
      <c r="N341" s="9">
        <v>18919840</v>
      </c>
      <c r="O341" s="9">
        <v>15860056</v>
      </c>
      <c r="P341" s="9">
        <v>1863930</v>
      </c>
      <c r="Q341" s="9">
        <v>38205385.345714822</v>
      </c>
      <c r="R341" s="9">
        <v>19265177</v>
      </c>
      <c r="S341" s="9">
        <v>17369506</v>
      </c>
      <c r="T341" s="9">
        <v>1570702</v>
      </c>
      <c r="U341" s="9">
        <v>37738816.076999992</v>
      </c>
      <c r="V341" s="9">
        <v>19240559</v>
      </c>
      <c r="W341" s="9">
        <v>18143323</v>
      </c>
      <c r="X341" s="9">
        <v>97401</v>
      </c>
      <c r="Y341" s="9">
        <v>797859</v>
      </c>
      <c r="Z341" s="9">
        <v>38457480.989999995</v>
      </c>
      <c r="AA341" s="9">
        <v>19599705</v>
      </c>
      <c r="AB341" s="9">
        <v>18857776</v>
      </c>
      <c r="AC341" s="9">
        <v>39534882.329999998</v>
      </c>
      <c r="AD341" s="9">
        <v>20240555</v>
      </c>
      <c r="AE341" s="9">
        <v>19563826.466162249</v>
      </c>
      <c r="AF341" s="9">
        <v>40948666.769999996</v>
      </c>
      <c r="AG341" s="9">
        <v>20335136</v>
      </c>
      <c r="AH341" s="9">
        <v>20717957.063267998</v>
      </c>
      <c r="AI341" s="9">
        <v>41551686.519999996</v>
      </c>
      <c r="AJ341" s="9">
        <v>20188627</v>
      </c>
      <c r="AK341" s="28">
        <v>21363060</v>
      </c>
      <c r="AL341" s="9">
        <v>42891023.810000002</v>
      </c>
      <c r="AM341" s="9">
        <v>20277457</v>
      </c>
      <c r="AN341" s="28">
        <v>22613567</v>
      </c>
      <c r="AO341" s="9">
        <v>44295065.429999992</v>
      </c>
      <c r="AP341" s="9">
        <v>20212569</v>
      </c>
      <c r="AQ341" s="28">
        <v>24082496</v>
      </c>
      <c r="AR341" s="9">
        <v>46379224.347272687</v>
      </c>
      <c r="AS341" s="9">
        <v>20257037</v>
      </c>
      <c r="AT341" s="28">
        <v>26122187</v>
      </c>
      <c r="AU341" s="9">
        <v>48360495.230000004</v>
      </c>
      <c r="AV341" s="9">
        <v>20291474</v>
      </c>
      <c r="AW341" s="9">
        <v>28069021</v>
      </c>
      <c r="AX341" s="9">
        <v>51872243.869854257</v>
      </c>
      <c r="AY341" s="9">
        <v>20465981</v>
      </c>
      <c r="AZ341" s="28">
        <v>31406263</v>
      </c>
      <c r="BA341" s="9">
        <v>52593244.399999991</v>
      </c>
      <c r="BB341" s="9">
        <v>20539659</v>
      </c>
      <c r="BC341" s="9">
        <v>32053585</v>
      </c>
      <c r="BD341" s="9">
        <v>53788012.660000004</v>
      </c>
      <c r="BE341" s="9">
        <v>20662897</v>
      </c>
      <c r="BF341" s="9">
        <v>33125116</v>
      </c>
      <c r="BG341" s="9">
        <v>57525467.20000001</v>
      </c>
      <c r="BH341" s="9">
        <v>21830351</v>
      </c>
      <c r="BI341" s="9">
        <v>35695116</v>
      </c>
      <c r="BJ341" s="9">
        <v>63567924.089999989</v>
      </c>
      <c r="BK341" s="9">
        <v>22906588</v>
      </c>
      <c r="BL341" s="9">
        <v>40661336</v>
      </c>
      <c r="BM341" s="9"/>
      <c r="BN341" s="9"/>
      <c r="BO341" s="9"/>
      <c r="BP341" s="9"/>
      <c r="BQ341" s="9"/>
      <c r="BR341" s="9"/>
      <c r="BS341" s="9"/>
      <c r="BT341" s="9"/>
      <c r="BU341" s="9"/>
    </row>
    <row r="342" spans="1:73">
      <c r="A342" s="6">
        <v>333</v>
      </c>
      <c r="B342" s="6" t="s">
        <v>1451</v>
      </c>
      <c r="C342" s="421">
        <v>17.5</v>
      </c>
      <c r="D342" s="9">
        <v>0</v>
      </c>
      <c r="E342" s="33">
        <v>0</v>
      </c>
      <c r="F342" s="9">
        <v>0</v>
      </c>
      <c r="G342" s="9">
        <v>0</v>
      </c>
      <c r="H342" s="9">
        <v>0</v>
      </c>
      <c r="I342" s="9">
        <v>0</v>
      </c>
      <c r="J342" s="9">
        <v>0</v>
      </c>
      <c r="K342" s="9">
        <v>0</v>
      </c>
      <c r="L342" s="9">
        <v>0</v>
      </c>
      <c r="M342" s="9">
        <v>0</v>
      </c>
      <c r="N342" s="9">
        <v>0</v>
      </c>
      <c r="O342" s="9">
        <v>0</v>
      </c>
      <c r="P342" s="9">
        <v>0</v>
      </c>
      <c r="Q342" s="9">
        <v>0</v>
      </c>
      <c r="R342" s="9">
        <v>0</v>
      </c>
      <c r="S342" s="9">
        <v>0</v>
      </c>
      <c r="T342" s="9">
        <v>0</v>
      </c>
      <c r="U342" s="9">
        <v>0</v>
      </c>
      <c r="V342" s="9">
        <v>0</v>
      </c>
      <c r="W342" s="9">
        <v>0</v>
      </c>
      <c r="X342" s="9">
        <v>0</v>
      </c>
      <c r="Y342" s="9">
        <v>0</v>
      </c>
      <c r="Z342" s="9">
        <v>0</v>
      </c>
      <c r="AA342" s="9">
        <v>0</v>
      </c>
      <c r="AB342" s="9">
        <v>0</v>
      </c>
      <c r="AC342" s="9">
        <v>0</v>
      </c>
      <c r="AD342" s="9">
        <v>0</v>
      </c>
      <c r="AE342" s="9">
        <v>0</v>
      </c>
      <c r="AF342" s="9">
        <v>0</v>
      </c>
      <c r="AG342" s="9">
        <v>0</v>
      </c>
      <c r="AH342" s="9">
        <v>0</v>
      </c>
      <c r="AI342" s="9">
        <v>0</v>
      </c>
      <c r="AJ342" s="9">
        <v>0</v>
      </c>
      <c r="AK342" s="28">
        <v>0</v>
      </c>
      <c r="AL342" s="9">
        <v>0</v>
      </c>
      <c r="AM342" s="9">
        <v>0</v>
      </c>
      <c r="AN342" s="28">
        <v>0</v>
      </c>
      <c r="AO342" s="9">
        <v>0</v>
      </c>
      <c r="AP342" s="9">
        <v>0</v>
      </c>
      <c r="AQ342" s="28">
        <v>0</v>
      </c>
      <c r="AR342" s="9">
        <v>0</v>
      </c>
      <c r="AS342" s="9">
        <v>0</v>
      </c>
      <c r="AT342" s="28">
        <v>0</v>
      </c>
      <c r="AU342" s="9">
        <v>0</v>
      </c>
      <c r="AV342" s="9">
        <v>0</v>
      </c>
      <c r="AW342" s="9">
        <v>0</v>
      </c>
      <c r="AX342" s="9">
        <v>0</v>
      </c>
      <c r="AY342" s="9">
        <v>0</v>
      </c>
      <c r="AZ342" s="28">
        <v>0</v>
      </c>
      <c r="BA342" s="9">
        <v>0</v>
      </c>
      <c r="BB342" s="9">
        <v>0</v>
      </c>
      <c r="BC342" s="9">
        <v>0</v>
      </c>
      <c r="BD342" s="9">
        <v>0</v>
      </c>
      <c r="BE342" s="9">
        <v>0</v>
      </c>
      <c r="BF342" s="9">
        <v>0</v>
      </c>
      <c r="BG342" s="9">
        <v>0</v>
      </c>
      <c r="BH342" s="9">
        <v>0</v>
      </c>
      <c r="BI342" s="9">
        <v>0</v>
      </c>
      <c r="BJ342" s="9">
        <v>0</v>
      </c>
      <c r="BK342" s="9">
        <v>0</v>
      </c>
      <c r="BL342" s="9">
        <v>0</v>
      </c>
      <c r="BM342" s="9"/>
      <c r="BN342" s="9"/>
      <c r="BO342" s="9"/>
      <c r="BP342" s="9"/>
      <c r="BQ342" s="9"/>
      <c r="BR342" s="9"/>
      <c r="BS342" s="9"/>
      <c r="BT342" s="9"/>
      <c r="BU342" s="9"/>
    </row>
    <row r="343" spans="1:73">
      <c r="A343" s="6">
        <v>334</v>
      </c>
      <c r="B343" s="6" t="s">
        <v>1452</v>
      </c>
      <c r="C343" s="421">
        <v>17.5</v>
      </c>
      <c r="D343" s="9">
        <v>0</v>
      </c>
      <c r="E343" s="33">
        <v>0</v>
      </c>
      <c r="F343" s="9">
        <v>0</v>
      </c>
      <c r="G343" s="9">
        <v>0</v>
      </c>
      <c r="H343" s="9">
        <v>0</v>
      </c>
      <c r="I343" s="9">
        <v>0</v>
      </c>
      <c r="J343" s="9">
        <v>0</v>
      </c>
      <c r="K343" s="9">
        <v>0</v>
      </c>
      <c r="L343" s="9">
        <v>0</v>
      </c>
      <c r="M343" s="9">
        <v>0</v>
      </c>
      <c r="N343" s="9">
        <v>0</v>
      </c>
      <c r="O343" s="9">
        <v>0</v>
      </c>
      <c r="P343" s="9">
        <v>0</v>
      </c>
      <c r="Q343" s="9">
        <v>0</v>
      </c>
      <c r="R343" s="9">
        <v>0</v>
      </c>
      <c r="S343" s="9">
        <v>0</v>
      </c>
      <c r="T343" s="9">
        <v>0</v>
      </c>
      <c r="U343" s="9">
        <v>0</v>
      </c>
      <c r="V343" s="9">
        <v>0</v>
      </c>
      <c r="W343" s="9">
        <v>0</v>
      </c>
      <c r="X343" s="9">
        <v>0</v>
      </c>
      <c r="Y343" s="9">
        <v>0</v>
      </c>
      <c r="Z343" s="9">
        <v>0</v>
      </c>
      <c r="AA343" s="9">
        <v>0</v>
      </c>
      <c r="AB343" s="9">
        <v>0</v>
      </c>
      <c r="AC343" s="9">
        <v>0</v>
      </c>
      <c r="AD343" s="9">
        <v>0</v>
      </c>
      <c r="AE343" s="9">
        <v>0</v>
      </c>
      <c r="AF343" s="9">
        <v>0</v>
      </c>
      <c r="AG343" s="9">
        <v>0</v>
      </c>
      <c r="AH343" s="9">
        <v>0</v>
      </c>
      <c r="AI343" s="9">
        <v>0</v>
      </c>
      <c r="AJ343" s="9">
        <v>0</v>
      </c>
      <c r="AK343" s="28">
        <v>0</v>
      </c>
      <c r="AL343" s="9">
        <v>0</v>
      </c>
      <c r="AM343" s="9">
        <v>0</v>
      </c>
      <c r="AN343" s="28">
        <v>0</v>
      </c>
      <c r="AO343" s="9">
        <v>0</v>
      </c>
      <c r="AP343" s="9">
        <v>0</v>
      </c>
      <c r="AQ343" s="28">
        <v>0</v>
      </c>
      <c r="AR343" s="9">
        <v>0</v>
      </c>
      <c r="AS343" s="9">
        <v>0</v>
      </c>
      <c r="AT343" s="28">
        <v>0</v>
      </c>
      <c r="AU343" s="9">
        <v>0</v>
      </c>
      <c r="AV343" s="9">
        <v>0</v>
      </c>
      <c r="AW343" s="9">
        <v>0</v>
      </c>
      <c r="AX343" s="9">
        <v>0</v>
      </c>
      <c r="AY343" s="9">
        <v>0</v>
      </c>
      <c r="AZ343" s="28">
        <v>0</v>
      </c>
      <c r="BA343" s="9">
        <v>0</v>
      </c>
      <c r="BB343" s="9">
        <v>0</v>
      </c>
      <c r="BC343" s="9">
        <v>0</v>
      </c>
      <c r="BD343" s="9">
        <v>0</v>
      </c>
      <c r="BE343" s="9">
        <v>0</v>
      </c>
      <c r="BF343" s="9">
        <v>0</v>
      </c>
      <c r="BG343" s="9">
        <v>0</v>
      </c>
      <c r="BH343" s="9">
        <v>0</v>
      </c>
      <c r="BI343" s="9">
        <v>0</v>
      </c>
      <c r="BJ343" s="9">
        <v>0</v>
      </c>
      <c r="BK343" s="9">
        <v>0</v>
      </c>
      <c r="BL343" s="9">
        <v>0</v>
      </c>
      <c r="BM343" s="9"/>
      <c r="BN343" s="9"/>
      <c r="BO343" s="9"/>
      <c r="BP343" s="9"/>
      <c r="BQ343" s="9"/>
      <c r="BR343" s="9"/>
      <c r="BS343" s="9"/>
      <c r="BT343" s="9"/>
      <c r="BU343" s="9"/>
    </row>
    <row r="344" spans="1:73">
      <c r="A344" s="6">
        <v>335</v>
      </c>
      <c r="B344" s="6" t="s">
        <v>1453</v>
      </c>
      <c r="C344" s="421">
        <v>17.5</v>
      </c>
      <c r="D344" s="9">
        <v>20567480</v>
      </c>
      <c r="E344" s="33">
        <v>21740599</v>
      </c>
      <c r="F344" s="9">
        <v>2250702.4</v>
      </c>
      <c r="G344" s="9">
        <v>22498088.821120001</v>
      </c>
      <c r="H344" s="9">
        <v>21936416</v>
      </c>
      <c r="I344" s="9">
        <v>2588559.4</v>
      </c>
      <c r="J344" s="9">
        <v>24472148.293146249</v>
      </c>
      <c r="K344" s="9">
        <v>22175336</v>
      </c>
      <c r="L344" s="9">
        <v>3096779.4</v>
      </c>
      <c r="M344" s="9">
        <v>25508214.087440003</v>
      </c>
      <c r="N344" s="9">
        <v>22412158</v>
      </c>
      <c r="O344" s="9">
        <v>3174824.4</v>
      </c>
      <c r="P344" s="9">
        <v>373117</v>
      </c>
      <c r="Q344" s="9">
        <v>26986270.471055556</v>
      </c>
      <c r="R344" s="9">
        <v>22996257</v>
      </c>
      <c r="S344" s="9">
        <v>3476983</v>
      </c>
      <c r="T344" s="9">
        <v>513030</v>
      </c>
      <c r="U344" s="9">
        <v>25931255.131285079</v>
      </c>
      <c r="V344" s="9">
        <v>23233856</v>
      </c>
      <c r="W344" s="9">
        <v>3756916</v>
      </c>
      <c r="X344" s="9">
        <v>20169</v>
      </c>
      <c r="Y344" s="9">
        <v>287878</v>
      </c>
      <c r="Z344" s="9">
        <v>26758357.153839998</v>
      </c>
      <c r="AA344" s="9">
        <v>23390650</v>
      </c>
      <c r="AB344" s="9">
        <v>3777085</v>
      </c>
      <c r="AC344" s="9">
        <v>28328703.767000001</v>
      </c>
      <c r="AD344" s="9">
        <v>24138538</v>
      </c>
      <c r="AE344" s="9">
        <v>4382005.2898062505</v>
      </c>
      <c r="AF344" s="9">
        <v>28396775.81552</v>
      </c>
      <c r="AG344" s="9">
        <v>24768521</v>
      </c>
      <c r="AH344" s="9">
        <v>4528862.9092836883</v>
      </c>
      <c r="AI344" s="9">
        <v>29096356.715499997</v>
      </c>
      <c r="AJ344" s="9">
        <v>24830260</v>
      </c>
      <c r="AK344" s="28">
        <v>4725912.9092836883</v>
      </c>
      <c r="AL344" s="9">
        <v>29539997.822689999</v>
      </c>
      <c r="AM344" s="9">
        <v>25123982</v>
      </c>
      <c r="AN344" s="28">
        <v>4803412.9092836883</v>
      </c>
      <c r="AO344" s="9">
        <v>29301469.672719996</v>
      </c>
      <c r="AP344" s="9">
        <v>24485112</v>
      </c>
      <c r="AQ344" s="28">
        <v>4971877.9092836883</v>
      </c>
      <c r="AR344" s="9">
        <v>30014821.710917722</v>
      </c>
      <c r="AS344" s="9">
        <v>24903789</v>
      </c>
      <c r="AT344" s="28">
        <v>5111033</v>
      </c>
      <c r="AU344" s="9">
        <v>30492581.964960001</v>
      </c>
      <c r="AV344" s="9">
        <v>25156380</v>
      </c>
      <c r="AW344" s="9">
        <v>5336202</v>
      </c>
      <c r="AX344" s="9">
        <v>31407909.177556276</v>
      </c>
      <c r="AY344" s="9">
        <v>25911525</v>
      </c>
      <c r="AZ344" s="28">
        <v>5496384</v>
      </c>
      <c r="BA344" s="9">
        <v>32201274.010420009</v>
      </c>
      <c r="BB344" s="9">
        <v>26566051</v>
      </c>
      <c r="BC344" s="9">
        <v>5635223</v>
      </c>
      <c r="BD344" s="9">
        <v>32473679.60554</v>
      </c>
      <c r="BE344" s="9">
        <v>26790785</v>
      </c>
      <c r="BF344" s="9">
        <v>5723453</v>
      </c>
      <c r="BG344" s="9">
        <v>33902334.173579998</v>
      </c>
      <c r="BH344" s="9">
        <v>27895202</v>
      </c>
      <c r="BI344" s="9">
        <v>6007132</v>
      </c>
      <c r="BJ344" s="9">
        <v>36039140.915650003</v>
      </c>
      <c r="BK344" s="9">
        <v>28969675</v>
      </c>
      <c r="BL344" s="9">
        <v>7069466</v>
      </c>
      <c r="BM344" s="9"/>
      <c r="BN344" s="9"/>
      <c r="BO344" s="9"/>
      <c r="BP344" s="9"/>
      <c r="BQ344" s="9"/>
      <c r="BR344" s="9"/>
      <c r="BS344" s="9"/>
      <c r="BT344" s="9"/>
      <c r="BU344" s="9"/>
    </row>
    <row r="345" spans="1:73">
      <c r="A345" s="6">
        <v>336</v>
      </c>
      <c r="B345" s="6" t="s">
        <v>1454</v>
      </c>
      <c r="C345" s="421">
        <v>18.649999999999999</v>
      </c>
      <c r="D345" s="9">
        <v>51107904</v>
      </c>
      <c r="E345" s="33">
        <v>31463668</v>
      </c>
      <c r="F345" s="9">
        <v>19644236</v>
      </c>
      <c r="G345" s="9">
        <v>54069183.504560001</v>
      </c>
      <c r="H345" s="9">
        <v>33009395</v>
      </c>
      <c r="I345" s="9">
        <v>21059789</v>
      </c>
      <c r="J345" s="9">
        <v>57436766.066748992</v>
      </c>
      <c r="K345" s="9">
        <v>35313488</v>
      </c>
      <c r="L345" s="9">
        <v>22123278</v>
      </c>
      <c r="M345" s="9">
        <v>61362559.405040011</v>
      </c>
      <c r="N345" s="9">
        <v>37036094</v>
      </c>
      <c r="O345" s="9">
        <v>21768190</v>
      </c>
      <c r="P345" s="9">
        <v>2558275</v>
      </c>
      <c r="Q345" s="9">
        <v>62237990.731232964</v>
      </c>
      <c r="R345" s="9">
        <v>37337725</v>
      </c>
      <c r="S345" s="9">
        <v>23839936</v>
      </c>
      <c r="T345" s="9">
        <v>1060330</v>
      </c>
      <c r="U345" s="9">
        <v>62823242.56985008</v>
      </c>
      <c r="V345" s="9">
        <v>38124103</v>
      </c>
      <c r="W345" s="9">
        <v>22447209</v>
      </c>
      <c r="X345" s="9">
        <v>130052</v>
      </c>
      <c r="Y345" s="9">
        <v>2523813</v>
      </c>
      <c r="Z345" s="9">
        <v>64565174.840659991</v>
      </c>
      <c r="AA345" s="9">
        <v>39054922</v>
      </c>
      <c r="AB345" s="9">
        <v>25510253</v>
      </c>
      <c r="AC345" s="9">
        <v>67376255.928720012</v>
      </c>
      <c r="AD345" s="9">
        <v>40341671</v>
      </c>
      <c r="AE345" s="9">
        <v>27034585</v>
      </c>
      <c r="AF345" s="9">
        <v>68036042.431139991</v>
      </c>
      <c r="AG345" s="9">
        <v>41955039</v>
      </c>
      <c r="AH345" s="9">
        <v>27200610</v>
      </c>
      <c r="AI345" s="9">
        <v>68999976.990219995</v>
      </c>
      <c r="AJ345" s="9">
        <v>43802418</v>
      </c>
      <c r="AK345" s="28">
        <v>27366185</v>
      </c>
      <c r="AL345" s="9">
        <v>69769188.724899977</v>
      </c>
      <c r="AM345" s="9">
        <v>45695271</v>
      </c>
      <c r="AN345" s="28">
        <v>27530085</v>
      </c>
      <c r="AO345" s="9">
        <v>69159899.607649997</v>
      </c>
      <c r="AP345" s="9">
        <v>47454854</v>
      </c>
      <c r="AQ345" s="28">
        <v>27883625</v>
      </c>
      <c r="AR345" s="9">
        <v>69172635.260738254</v>
      </c>
      <c r="AS345" s="9">
        <v>49020130</v>
      </c>
      <c r="AT345" s="28">
        <v>28071515</v>
      </c>
      <c r="AU345" s="9">
        <v>69340075.166419998</v>
      </c>
      <c r="AV345" s="9">
        <v>51161839</v>
      </c>
      <c r="AW345" s="9">
        <v>28253945</v>
      </c>
      <c r="AX345" s="9">
        <v>71911345.754917458</v>
      </c>
      <c r="AY345" s="9">
        <v>54222905</v>
      </c>
      <c r="AZ345" s="28">
        <v>28433225</v>
      </c>
      <c r="BA345" s="9">
        <v>73265345.799600005</v>
      </c>
      <c r="BB345" s="9">
        <v>56687928</v>
      </c>
      <c r="BC345" s="9">
        <v>28433225</v>
      </c>
      <c r="BD345" s="9">
        <v>76134831.638579994</v>
      </c>
      <c r="BE345" s="9">
        <v>58393693</v>
      </c>
      <c r="BF345" s="9">
        <v>28611095</v>
      </c>
      <c r="BG345" s="9">
        <v>83362016.189649999</v>
      </c>
      <c r="BH345" s="9">
        <v>62293612</v>
      </c>
      <c r="BI345" s="9">
        <v>28964195</v>
      </c>
      <c r="BJ345" s="9">
        <v>89980250.507149994</v>
      </c>
      <c r="BK345" s="9">
        <v>65671537</v>
      </c>
      <c r="BL345" s="9">
        <v>29315975</v>
      </c>
      <c r="BM345" s="9"/>
      <c r="BN345" s="9"/>
      <c r="BO345" s="9"/>
      <c r="BP345" s="9"/>
      <c r="BQ345" s="9"/>
      <c r="BR345" s="9"/>
      <c r="BS345" s="9"/>
      <c r="BT345" s="9"/>
      <c r="BU345" s="9"/>
    </row>
    <row r="346" spans="1:73">
      <c r="A346" s="6">
        <v>337</v>
      </c>
      <c r="B346" s="6" t="s">
        <v>1455</v>
      </c>
      <c r="C346" s="421">
        <v>23.51</v>
      </c>
      <c r="D346" s="9">
        <v>905765</v>
      </c>
      <c r="E346" s="33">
        <v>834822</v>
      </c>
      <c r="F346" s="9">
        <v>131052.8</v>
      </c>
      <c r="G346" s="9">
        <v>847599.61</v>
      </c>
      <c r="H346" s="9">
        <v>747909</v>
      </c>
      <c r="I346" s="9">
        <v>172887.8</v>
      </c>
      <c r="J346" s="9">
        <v>801658.09440833644</v>
      </c>
      <c r="K346" s="9">
        <v>665132</v>
      </c>
      <c r="L346" s="9">
        <v>207744.8</v>
      </c>
      <c r="M346" s="9">
        <v>828878.44</v>
      </c>
      <c r="N346" s="9">
        <v>601232</v>
      </c>
      <c r="O346" s="9">
        <v>220473.8</v>
      </c>
      <c r="P346" s="9">
        <v>25911</v>
      </c>
      <c r="Q346" s="9">
        <v>831398.74939712929</v>
      </c>
      <c r="R346" s="9">
        <v>581336</v>
      </c>
      <c r="S346" s="9">
        <v>241457</v>
      </c>
      <c r="T346" s="9">
        <v>8606</v>
      </c>
      <c r="U346" s="9">
        <v>770958.84743999992</v>
      </c>
      <c r="V346" s="9">
        <v>548156</v>
      </c>
      <c r="W346" s="9">
        <v>235454</v>
      </c>
      <c r="X346" s="9">
        <v>1264</v>
      </c>
      <c r="Y346" s="9">
        <v>15670</v>
      </c>
      <c r="Z346" s="9">
        <v>778131.94</v>
      </c>
      <c r="AA346" s="9">
        <v>571400</v>
      </c>
      <c r="AB346" s="9">
        <v>236718</v>
      </c>
      <c r="AC346" s="9">
        <v>871685.15</v>
      </c>
      <c r="AD346" s="9">
        <v>643358</v>
      </c>
      <c r="AE346" s="9">
        <v>240518</v>
      </c>
      <c r="AF346" s="9">
        <v>1002641.6199999999</v>
      </c>
      <c r="AG346" s="9">
        <v>761189</v>
      </c>
      <c r="AH346" s="9">
        <v>247640.0875275</v>
      </c>
      <c r="AI346" s="9">
        <v>973888.2100000002</v>
      </c>
      <c r="AJ346" s="9">
        <v>773751</v>
      </c>
      <c r="AK346" s="28">
        <v>250115.0875275</v>
      </c>
      <c r="AL346" s="9">
        <v>877253.83999999985</v>
      </c>
      <c r="AM346" s="9">
        <v>745655</v>
      </c>
      <c r="AN346" s="28">
        <v>252340.0875275</v>
      </c>
      <c r="AO346" s="9">
        <v>852415.71000000008</v>
      </c>
      <c r="AP346" s="9">
        <v>714075</v>
      </c>
      <c r="AQ346" s="28">
        <v>256850.0875275</v>
      </c>
      <c r="AR346" s="9">
        <v>869184.11954740097</v>
      </c>
      <c r="AS346" s="9">
        <v>720991</v>
      </c>
      <c r="AT346" s="28">
        <v>259340.0875275</v>
      </c>
      <c r="AU346" s="9">
        <v>981559.89999999991</v>
      </c>
      <c r="AV346" s="9">
        <v>785698</v>
      </c>
      <c r="AW346" s="9">
        <v>262160.0875275</v>
      </c>
      <c r="AX346" s="9">
        <v>968969.2611512969</v>
      </c>
      <c r="AY346" s="9">
        <v>792219</v>
      </c>
      <c r="AZ346" s="28">
        <v>264770</v>
      </c>
      <c r="BA346" s="9">
        <v>904197.0199999999</v>
      </c>
      <c r="BB346" s="9">
        <v>739905</v>
      </c>
      <c r="BC346" s="9">
        <v>264770</v>
      </c>
      <c r="BD346" s="9">
        <v>961185.17</v>
      </c>
      <c r="BE346" s="9">
        <v>774927</v>
      </c>
      <c r="BF346" s="9">
        <v>267200</v>
      </c>
      <c r="BG346" s="9">
        <v>966975.82</v>
      </c>
      <c r="BH346" s="9">
        <v>730678</v>
      </c>
      <c r="BI346" s="9">
        <v>271820</v>
      </c>
      <c r="BJ346" s="9">
        <v>1127263.1800000002</v>
      </c>
      <c r="BK346" s="9">
        <v>797920</v>
      </c>
      <c r="BL346" s="9">
        <v>329343</v>
      </c>
      <c r="BM346" s="9"/>
      <c r="BN346" s="9"/>
      <c r="BO346" s="9"/>
      <c r="BP346" s="9"/>
      <c r="BQ346" s="9"/>
      <c r="BR346" s="9"/>
      <c r="BS346" s="9"/>
      <c r="BT346" s="9"/>
      <c r="BU346" s="9"/>
    </row>
    <row r="347" spans="1:73">
      <c r="A347" s="6">
        <v>338</v>
      </c>
      <c r="B347" s="6" t="s">
        <v>1456</v>
      </c>
      <c r="C347" s="421">
        <v>50.55</v>
      </c>
      <c r="D347" s="9">
        <v>97965</v>
      </c>
      <c r="E347" s="33">
        <v>35557</v>
      </c>
      <c r="F347" s="9">
        <v>87102</v>
      </c>
      <c r="G347" s="9">
        <v>172717.17</v>
      </c>
      <c r="H347" s="9">
        <v>52188</v>
      </c>
      <c r="I347" s="9">
        <v>126825</v>
      </c>
      <c r="J347" s="9">
        <v>180766.01</v>
      </c>
      <c r="K347" s="9">
        <v>61318</v>
      </c>
      <c r="L347" s="9">
        <v>131107</v>
      </c>
      <c r="M347" s="9">
        <v>119434.9</v>
      </c>
      <c r="N347" s="9">
        <v>40958</v>
      </c>
      <c r="O347" s="9">
        <v>119434.9</v>
      </c>
      <c r="P347" s="9">
        <v>0</v>
      </c>
      <c r="Q347" s="9">
        <v>110759.17504306222</v>
      </c>
      <c r="R347" s="9">
        <v>40065</v>
      </c>
      <c r="S347" s="9">
        <v>117046</v>
      </c>
      <c r="T347" s="9">
        <v>0</v>
      </c>
      <c r="U347" s="9">
        <v>167528.0748</v>
      </c>
      <c r="V347" s="9">
        <v>60734</v>
      </c>
      <c r="W347" s="9">
        <v>112364</v>
      </c>
      <c r="X347" s="9">
        <v>0</v>
      </c>
      <c r="Y347" s="9">
        <v>0</v>
      </c>
      <c r="Z347" s="9">
        <v>158260.19</v>
      </c>
      <c r="AA347" s="9">
        <v>58829</v>
      </c>
      <c r="AB347" s="9">
        <v>112364</v>
      </c>
      <c r="AC347" s="9">
        <v>189431.25</v>
      </c>
      <c r="AD347" s="9">
        <v>70715</v>
      </c>
      <c r="AE347" s="9">
        <v>118716</v>
      </c>
      <c r="AF347" s="9">
        <v>192367.49000000002</v>
      </c>
      <c r="AG347" s="9">
        <v>71155</v>
      </c>
      <c r="AH347" s="9">
        <v>121212</v>
      </c>
      <c r="AI347" s="9">
        <v>78029.39999999998</v>
      </c>
      <c r="AJ347" s="9">
        <v>29915</v>
      </c>
      <c r="AK347" s="28">
        <v>78029.39999999998</v>
      </c>
      <c r="AL347" s="9">
        <v>118799.64000000001</v>
      </c>
      <c r="AM347" s="9">
        <v>47836</v>
      </c>
      <c r="AN347" s="28">
        <v>78029.39999999998</v>
      </c>
      <c r="AO347" s="9">
        <v>118538.28</v>
      </c>
      <c r="AP347" s="9">
        <v>48874</v>
      </c>
      <c r="AQ347" s="28">
        <v>78029.39999999998</v>
      </c>
      <c r="AR347" s="9">
        <v>120751.50009230593</v>
      </c>
      <c r="AS347" s="9">
        <v>51831</v>
      </c>
      <c r="AT347" s="28">
        <v>78029.39999999998</v>
      </c>
      <c r="AU347" s="9">
        <v>124534.43999999997</v>
      </c>
      <c r="AV347" s="9">
        <v>54467</v>
      </c>
      <c r="AW347" s="9">
        <v>78029.39999999998</v>
      </c>
      <c r="AX347" s="9">
        <v>143717.97255353359</v>
      </c>
      <c r="AY347" s="9">
        <v>64098</v>
      </c>
      <c r="AZ347" s="28">
        <v>80336</v>
      </c>
      <c r="BA347" s="9">
        <v>203601.62000000002</v>
      </c>
      <c r="BB347" s="9">
        <v>93108</v>
      </c>
      <c r="BC347" s="9">
        <v>110494</v>
      </c>
      <c r="BD347" s="9">
        <v>134575.02000000002</v>
      </c>
      <c r="BE347" s="9">
        <v>63660</v>
      </c>
      <c r="BF347" s="9">
        <v>110764</v>
      </c>
      <c r="BG347" s="9">
        <v>249187.29</v>
      </c>
      <c r="BH347" s="9">
        <v>115290</v>
      </c>
      <c r="BI347" s="9">
        <v>133897</v>
      </c>
      <c r="BJ347" s="9">
        <v>245151</v>
      </c>
      <c r="BK347" s="9">
        <v>105688</v>
      </c>
      <c r="BL347" s="9">
        <v>139463</v>
      </c>
      <c r="BM347" s="9"/>
      <c r="BN347" s="9"/>
      <c r="BO347" s="9"/>
      <c r="BP347" s="9"/>
      <c r="BQ347" s="9"/>
      <c r="BR347" s="9"/>
      <c r="BS347" s="9"/>
      <c r="BT347" s="9"/>
      <c r="BU347" s="9"/>
    </row>
    <row r="348" spans="1:73">
      <c r="A348" s="6">
        <v>339</v>
      </c>
      <c r="B348" s="6" t="s">
        <v>1457</v>
      </c>
      <c r="C348" s="421">
        <v>34.46</v>
      </c>
      <c r="D348" s="9">
        <v>0</v>
      </c>
      <c r="E348" s="33">
        <v>0</v>
      </c>
      <c r="F348" s="9">
        <v>0</v>
      </c>
      <c r="G348" s="9">
        <v>0</v>
      </c>
      <c r="H348" s="9">
        <v>0</v>
      </c>
      <c r="I348" s="9">
        <v>0</v>
      </c>
      <c r="J348" s="9">
        <v>0</v>
      </c>
      <c r="K348" s="9">
        <v>0</v>
      </c>
      <c r="L348" s="9">
        <v>0</v>
      </c>
      <c r="M348" s="9">
        <v>0</v>
      </c>
      <c r="N348" s="9">
        <v>0</v>
      </c>
      <c r="O348" s="9">
        <v>0</v>
      </c>
      <c r="P348" s="9">
        <v>0</v>
      </c>
      <c r="Q348" s="9">
        <v>0</v>
      </c>
      <c r="R348" s="9">
        <v>0</v>
      </c>
      <c r="S348" s="9">
        <v>0</v>
      </c>
      <c r="T348" s="9">
        <v>0</v>
      </c>
      <c r="U348" s="9">
        <v>0</v>
      </c>
      <c r="V348" s="9">
        <v>0</v>
      </c>
      <c r="W348" s="9">
        <v>0</v>
      </c>
      <c r="X348" s="9">
        <v>0</v>
      </c>
      <c r="Y348" s="9">
        <v>0</v>
      </c>
      <c r="Z348" s="9">
        <v>0</v>
      </c>
      <c r="AA348" s="9">
        <v>0</v>
      </c>
      <c r="AB348" s="9">
        <v>0</v>
      </c>
      <c r="AC348" s="9">
        <v>0</v>
      </c>
      <c r="AD348" s="9">
        <v>0</v>
      </c>
      <c r="AE348" s="9">
        <v>0</v>
      </c>
      <c r="AF348" s="9">
        <v>0</v>
      </c>
      <c r="AG348" s="9">
        <v>0</v>
      </c>
      <c r="AH348" s="9">
        <v>0</v>
      </c>
      <c r="AI348" s="9">
        <v>0</v>
      </c>
      <c r="AJ348" s="9">
        <v>0</v>
      </c>
      <c r="AK348" s="28">
        <v>0</v>
      </c>
      <c r="AL348" s="9">
        <v>0</v>
      </c>
      <c r="AM348" s="9">
        <v>0</v>
      </c>
      <c r="AN348" s="28">
        <v>0</v>
      </c>
      <c r="AO348" s="9">
        <v>0</v>
      </c>
      <c r="AP348" s="9">
        <v>0</v>
      </c>
      <c r="AQ348" s="28">
        <v>0</v>
      </c>
      <c r="AR348" s="9">
        <v>0</v>
      </c>
      <c r="AS348" s="9">
        <v>0</v>
      </c>
      <c r="AT348" s="28">
        <v>0</v>
      </c>
      <c r="AU348" s="9">
        <v>0</v>
      </c>
      <c r="AV348" s="9">
        <v>0</v>
      </c>
      <c r="AW348" s="9">
        <v>0</v>
      </c>
      <c r="AX348" s="9">
        <v>0</v>
      </c>
      <c r="AY348" s="9">
        <v>0</v>
      </c>
      <c r="AZ348" s="28">
        <v>0</v>
      </c>
      <c r="BA348" s="9">
        <v>0</v>
      </c>
      <c r="BB348" s="9">
        <v>0</v>
      </c>
      <c r="BC348" s="9">
        <v>0</v>
      </c>
      <c r="BD348" s="9">
        <v>0</v>
      </c>
      <c r="BE348" s="9">
        <v>0</v>
      </c>
      <c r="BF348" s="9">
        <v>0</v>
      </c>
      <c r="BG348" s="9">
        <v>0</v>
      </c>
      <c r="BH348" s="9">
        <v>0</v>
      </c>
      <c r="BI348" s="9">
        <v>0</v>
      </c>
      <c r="BJ348" s="9">
        <v>0</v>
      </c>
      <c r="BK348" s="9">
        <v>0</v>
      </c>
      <c r="BL348" s="9">
        <v>0</v>
      </c>
      <c r="BM348" s="9"/>
      <c r="BN348" s="9"/>
      <c r="BO348" s="9"/>
      <c r="BP348" s="9"/>
      <c r="BQ348" s="9"/>
      <c r="BR348" s="9"/>
      <c r="BS348" s="9"/>
      <c r="BT348" s="9"/>
      <c r="BU348" s="9"/>
    </row>
    <row r="349" spans="1:73">
      <c r="A349" s="6">
        <v>340</v>
      </c>
      <c r="B349" s="6" t="s">
        <v>1458</v>
      </c>
      <c r="C349" s="421">
        <v>32.35</v>
      </c>
      <c r="D349" s="9">
        <v>1353554</v>
      </c>
      <c r="E349" s="33">
        <v>1305103</v>
      </c>
      <c r="F349" s="9">
        <v>359184.4</v>
      </c>
      <c r="G349" s="9">
        <v>1431625.05</v>
      </c>
      <c r="H349" s="9">
        <v>1223519</v>
      </c>
      <c r="I349" s="9">
        <v>401047.4</v>
      </c>
      <c r="J349" s="9">
        <v>1303227.8492111149</v>
      </c>
      <c r="K349" s="9">
        <v>1103460</v>
      </c>
      <c r="L349" s="9">
        <v>410847.4</v>
      </c>
      <c r="M349" s="9">
        <v>1358267.99</v>
      </c>
      <c r="N349" s="9">
        <v>1050677</v>
      </c>
      <c r="O349" s="9">
        <v>386941.4</v>
      </c>
      <c r="P349" s="9">
        <v>45475</v>
      </c>
      <c r="Q349" s="9">
        <v>1529284.0745033494</v>
      </c>
      <c r="R349" s="9">
        <v>1098680</v>
      </c>
      <c r="S349" s="9">
        <v>423768</v>
      </c>
      <c r="T349" s="9">
        <v>6836</v>
      </c>
      <c r="U349" s="9">
        <v>1588795.8168000001</v>
      </c>
      <c r="V349" s="9">
        <v>1185579</v>
      </c>
      <c r="W349" s="9">
        <v>405448</v>
      </c>
      <c r="X349" s="9">
        <v>2177</v>
      </c>
      <c r="Y349" s="9">
        <v>27379</v>
      </c>
      <c r="Z349" s="9">
        <v>1626834.23</v>
      </c>
      <c r="AA349" s="9">
        <v>1211055</v>
      </c>
      <c r="AB349" s="9">
        <v>415779</v>
      </c>
      <c r="AC349" s="9">
        <v>1690611.6400000001</v>
      </c>
      <c r="AD349" s="9">
        <v>1270564</v>
      </c>
      <c r="AE349" s="9">
        <v>434689.03882100002</v>
      </c>
      <c r="AF349" s="9">
        <v>1847447.82</v>
      </c>
      <c r="AG349" s="9">
        <v>1352484</v>
      </c>
      <c r="AH349" s="9">
        <v>509920.14508649998</v>
      </c>
      <c r="AI349" s="9">
        <v>1740594.9700000002</v>
      </c>
      <c r="AJ349" s="9">
        <v>1393645</v>
      </c>
      <c r="AK349" s="28">
        <v>514620.14508649998</v>
      </c>
      <c r="AL349" s="9">
        <v>1731396.01</v>
      </c>
      <c r="AM349" s="9">
        <v>1404042</v>
      </c>
      <c r="AN349" s="28">
        <v>519245.14508649998</v>
      </c>
      <c r="AO349" s="9">
        <v>1665309.4700000002</v>
      </c>
      <c r="AP349" s="9">
        <v>1295778</v>
      </c>
      <c r="AQ349" s="28">
        <v>528925.14508649998</v>
      </c>
      <c r="AR349" s="9">
        <v>1640814.868103652</v>
      </c>
      <c r="AS349" s="9">
        <v>1224301</v>
      </c>
      <c r="AT349" s="28">
        <v>534055.14508649998</v>
      </c>
      <c r="AU349" s="9">
        <v>1888347.0699999998</v>
      </c>
      <c r="AV349" s="9">
        <v>1281224</v>
      </c>
      <c r="AW349" s="9">
        <v>608437</v>
      </c>
      <c r="AX349" s="9">
        <v>1900770.6075914244</v>
      </c>
      <c r="AY349" s="9">
        <v>1235134</v>
      </c>
      <c r="AZ349" s="28">
        <v>665637</v>
      </c>
      <c r="BA349" s="9">
        <v>2006916.64</v>
      </c>
      <c r="BB349" s="9">
        <v>1291212</v>
      </c>
      <c r="BC349" s="9">
        <v>715705</v>
      </c>
      <c r="BD349" s="9">
        <v>2025767.98</v>
      </c>
      <c r="BE349" s="9">
        <v>1285613</v>
      </c>
      <c r="BF349" s="9">
        <v>785367</v>
      </c>
      <c r="BG349" s="9">
        <v>2178719.5099999998</v>
      </c>
      <c r="BH349" s="9">
        <v>1344523</v>
      </c>
      <c r="BI349" s="9">
        <v>834197</v>
      </c>
      <c r="BJ349" s="9">
        <v>2130357.6900000004</v>
      </c>
      <c r="BK349" s="9">
        <v>1343356</v>
      </c>
      <c r="BL349" s="9">
        <v>843437</v>
      </c>
      <c r="BM349" s="9"/>
      <c r="BN349" s="9"/>
      <c r="BO349" s="9"/>
      <c r="BP349" s="9"/>
      <c r="BQ349" s="9"/>
      <c r="BR349" s="9"/>
      <c r="BS349" s="9"/>
      <c r="BT349" s="9"/>
      <c r="BU349" s="9"/>
    </row>
    <row r="350" spans="1:73">
      <c r="A350" s="6">
        <v>341</v>
      </c>
      <c r="B350" s="6" t="s">
        <v>1459</v>
      </c>
      <c r="C350" s="421">
        <v>17.5</v>
      </c>
      <c r="D350" s="9">
        <v>2838804</v>
      </c>
      <c r="E350" s="33">
        <v>2951735</v>
      </c>
      <c r="F350" s="9">
        <v>900860.4</v>
      </c>
      <c r="G350" s="9">
        <v>2993564.97</v>
      </c>
      <c r="H350" s="9">
        <v>3003582</v>
      </c>
      <c r="I350" s="9">
        <v>927943.4</v>
      </c>
      <c r="J350" s="9">
        <v>2947485.2032250096</v>
      </c>
      <c r="K350" s="9">
        <v>2967122</v>
      </c>
      <c r="L350" s="9">
        <v>946993.4</v>
      </c>
      <c r="M350" s="9">
        <v>2926746.36</v>
      </c>
      <c r="N350" s="9">
        <v>2854443</v>
      </c>
      <c r="O350" s="9">
        <v>863644.4</v>
      </c>
      <c r="P350" s="9">
        <v>101499</v>
      </c>
      <c r="Q350" s="9">
        <v>3169486.7944727275</v>
      </c>
      <c r="R350" s="9">
        <v>2914408</v>
      </c>
      <c r="S350" s="9">
        <v>945841</v>
      </c>
      <c r="T350" s="9">
        <v>0</v>
      </c>
      <c r="U350" s="9">
        <v>2954221.7637</v>
      </c>
      <c r="V350" s="9">
        <v>2820665</v>
      </c>
      <c r="W350" s="9">
        <v>890585</v>
      </c>
      <c r="X350" s="9">
        <v>4781</v>
      </c>
      <c r="Y350" s="9">
        <v>59525</v>
      </c>
      <c r="Z350" s="9">
        <v>2930427.46</v>
      </c>
      <c r="AA350" s="9">
        <v>2765115</v>
      </c>
      <c r="AB350" s="9">
        <v>895366</v>
      </c>
      <c r="AC350" s="9">
        <v>3160940.25</v>
      </c>
      <c r="AD350" s="9">
        <v>2913200</v>
      </c>
      <c r="AE350" s="9">
        <v>909926</v>
      </c>
      <c r="AF350" s="9">
        <v>3339446.0000000005</v>
      </c>
      <c r="AG350" s="9">
        <v>3057274</v>
      </c>
      <c r="AH350" s="9">
        <v>919376</v>
      </c>
      <c r="AI350" s="9">
        <v>3344865.7700000005</v>
      </c>
      <c r="AJ350" s="9">
        <v>2917285</v>
      </c>
      <c r="AK350" s="28">
        <v>928776</v>
      </c>
      <c r="AL350" s="9">
        <v>3691422.7599999993</v>
      </c>
      <c r="AM350" s="9">
        <v>3123894</v>
      </c>
      <c r="AN350" s="28">
        <v>938701</v>
      </c>
      <c r="AO350" s="9">
        <v>3780882.2300000004</v>
      </c>
      <c r="AP350" s="9">
        <v>3127725</v>
      </c>
      <c r="AQ350" s="28">
        <v>960921</v>
      </c>
      <c r="AR350" s="9">
        <v>3766818.1625702963</v>
      </c>
      <c r="AS350" s="9">
        <v>3122141</v>
      </c>
      <c r="AT350" s="28">
        <f>972741-972741</f>
        <v>0</v>
      </c>
      <c r="AU350" s="9">
        <v>0</v>
      </c>
      <c r="AV350" s="9">
        <v>0</v>
      </c>
      <c r="AW350" s="9">
        <v>0</v>
      </c>
      <c r="AX350" s="9">
        <v>0</v>
      </c>
      <c r="AY350" s="9">
        <v>0</v>
      </c>
      <c r="AZ350" s="28">
        <v>0</v>
      </c>
      <c r="BA350" s="9">
        <v>0</v>
      </c>
      <c r="BB350" s="9">
        <v>0</v>
      </c>
      <c r="BC350" s="9">
        <v>0</v>
      </c>
      <c r="BD350" s="9">
        <v>0</v>
      </c>
      <c r="BE350" s="9">
        <v>0</v>
      </c>
      <c r="BF350" s="9">
        <v>0</v>
      </c>
      <c r="BG350" s="9">
        <v>0</v>
      </c>
      <c r="BH350" s="9">
        <v>0</v>
      </c>
      <c r="BI350" s="9">
        <v>0</v>
      </c>
      <c r="BJ350" s="9">
        <v>0</v>
      </c>
      <c r="BK350" s="9">
        <v>0</v>
      </c>
      <c r="BL350" s="9">
        <v>0</v>
      </c>
      <c r="BM350" s="9"/>
      <c r="BN350" s="9"/>
      <c r="BO350" s="9"/>
      <c r="BP350" s="9"/>
      <c r="BQ350" s="9"/>
      <c r="BR350" s="9"/>
      <c r="BS350" s="9"/>
      <c r="BT350" s="9"/>
      <c r="BU350" s="9"/>
    </row>
    <row r="351" spans="1:73">
      <c r="A351" s="6">
        <v>342</v>
      </c>
      <c r="B351" s="6" t="s">
        <v>1460</v>
      </c>
      <c r="C351" s="421">
        <v>17.5</v>
      </c>
      <c r="D351" s="9">
        <v>26946504</v>
      </c>
      <c r="E351" s="33">
        <v>24426636</v>
      </c>
      <c r="F351" s="9">
        <v>3493482.8</v>
      </c>
      <c r="G351" s="9">
        <v>28589474.265000004</v>
      </c>
      <c r="H351" s="9">
        <v>24012970</v>
      </c>
      <c r="I351" s="9">
        <v>4787472.8</v>
      </c>
      <c r="J351" s="9">
        <v>30225618.082184222</v>
      </c>
      <c r="K351" s="9">
        <v>23520068</v>
      </c>
      <c r="L351" s="9">
        <v>6758866.7999999998</v>
      </c>
      <c r="M351" s="9">
        <v>32940341.795039997</v>
      </c>
      <c r="N351" s="9">
        <v>22982850</v>
      </c>
      <c r="O351" s="9">
        <v>8910320</v>
      </c>
      <c r="P351" s="9">
        <v>1047172</v>
      </c>
      <c r="Q351" s="9">
        <v>33354631.307536971</v>
      </c>
      <c r="R351" s="9">
        <v>23083400</v>
      </c>
      <c r="S351" s="9">
        <v>9758342</v>
      </c>
      <c r="T351" s="9">
        <v>512889</v>
      </c>
      <c r="U351" s="9">
        <v>33071492.365163159</v>
      </c>
      <c r="V351" s="9">
        <v>22741572</v>
      </c>
      <c r="W351" s="9">
        <v>10131715</v>
      </c>
      <c r="X351" s="9">
        <v>54392</v>
      </c>
      <c r="Y351" s="9">
        <v>180399</v>
      </c>
      <c r="Z351" s="9">
        <v>33089929.46198</v>
      </c>
      <c r="AA351" s="9">
        <v>23047600</v>
      </c>
      <c r="AB351" s="9">
        <v>10186107</v>
      </c>
      <c r="AC351" s="9">
        <v>33475095.871219996</v>
      </c>
      <c r="AD351" s="9">
        <v>23350005</v>
      </c>
      <c r="AE351" s="9">
        <v>10653175.75580658</v>
      </c>
      <c r="AF351" s="9">
        <v>33711449.013840005</v>
      </c>
      <c r="AG351" s="9">
        <v>24229668</v>
      </c>
      <c r="AH351" s="9">
        <f>10743100.7558066+58954</f>
        <v>10802054.755806601</v>
      </c>
      <c r="AI351" s="9">
        <v>33711949.045720004</v>
      </c>
      <c r="AJ351" s="9">
        <v>24256928</v>
      </c>
      <c r="AK351" s="28">
        <v>10891329.755806601</v>
      </c>
      <c r="AL351" s="9">
        <v>33895541.813259996</v>
      </c>
      <c r="AM351" s="9">
        <v>24840882</v>
      </c>
      <c r="AN351" s="28">
        <v>10978729.755806601</v>
      </c>
      <c r="AO351" s="9">
        <v>33396838.325240005</v>
      </c>
      <c r="AP351" s="9">
        <v>24739359</v>
      </c>
      <c r="AQ351" s="28">
        <v>11167159.755806601</v>
      </c>
      <c r="AR351" s="9">
        <v>34239954.195590727</v>
      </c>
      <c r="AS351" s="9">
        <v>25512508</v>
      </c>
      <c r="AT351" s="28">
        <v>11270329.755806601</v>
      </c>
      <c r="AU351" s="9">
        <v>34794527.347199991</v>
      </c>
      <c r="AV351" s="9">
        <v>26550382</v>
      </c>
      <c r="AW351" s="9">
        <v>11371910</v>
      </c>
      <c r="AX351" s="9">
        <v>34910848.030844986</v>
      </c>
      <c r="AY351" s="9">
        <v>27323352</v>
      </c>
      <c r="AZ351" s="28">
        <v>11469170</v>
      </c>
      <c r="BA351" s="9">
        <v>35336725.314499997</v>
      </c>
      <c r="BB351" s="9">
        <v>28856084</v>
      </c>
      <c r="BC351" s="9">
        <v>11469170</v>
      </c>
      <c r="BD351" s="9">
        <v>31976675.075399999</v>
      </c>
      <c r="BE351" s="9">
        <v>26380757</v>
      </c>
      <c r="BF351" s="9">
        <v>11553710</v>
      </c>
      <c r="BG351" s="9">
        <v>34415669.88318</v>
      </c>
      <c r="BH351" s="9">
        <v>27066348</v>
      </c>
      <c r="BI351" s="9">
        <v>11724230</v>
      </c>
      <c r="BJ351" s="9">
        <v>36154606.173280001</v>
      </c>
      <c r="BK351" s="9">
        <v>28577249</v>
      </c>
      <c r="BL351" s="9">
        <v>11894150</v>
      </c>
      <c r="BM351" s="9"/>
      <c r="BN351" s="9"/>
      <c r="BO351" s="9"/>
      <c r="BP351" s="9"/>
      <c r="BQ351" s="9"/>
      <c r="BR351" s="9"/>
      <c r="BS351" s="9"/>
      <c r="BT351" s="9"/>
      <c r="BU351" s="9"/>
    </row>
    <row r="352" spans="1:73">
      <c r="A352" s="6">
        <v>343</v>
      </c>
      <c r="B352" s="6" t="s">
        <v>1461</v>
      </c>
      <c r="C352" s="421">
        <v>65.27</v>
      </c>
      <c r="D352" s="9">
        <v>13575447</v>
      </c>
      <c r="E352" s="33">
        <v>4042511</v>
      </c>
      <c r="F352" s="9">
        <v>9746972</v>
      </c>
      <c r="G352" s="9">
        <v>14428042.68</v>
      </c>
      <c r="H352" s="9">
        <v>4236403</v>
      </c>
      <c r="I352" s="9">
        <v>10353509</v>
      </c>
      <c r="J352" s="9">
        <v>14745121.603420299</v>
      </c>
      <c r="K352" s="9">
        <v>4352216</v>
      </c>
      <c r="L352" s="9">
        <v>10575115</v>
      </c>
      <c r="M352" s="9">
        <v>15156933.289999999</v>
      </c>
      <c r="N352" s="9">
        <v>4512742</v>
      </c>
      <c r="O352" s="9">
        <v>9718917</v>
      </c>
      <c r="P352" s="9">
        <v>1142201</v>
      </c>
      <c r="Q352" s="9">
        <v>16219065.234373206</v>
      </c>
      <c r="R352" s="9">
        <v>4477183</v>
      </c>
      <c r="S352" s="9">
        <v>10643896</v>
      </c>
      <c r="T352" s="9">
        <v>1097986</v>
      </c>
      <c r="U352" s="9">
        <v>15672163.269959999</v>
      </c>
      <c r="V352" s="9">
        <v>4664700</v>
      </c>
      <c r="W352" s="9">
        <v>11055922</v>
      </c>
      <c r="X352" s="9">
        <v>59353</v>
      </c>
      <c r="Y352" s="9">
        <v>669132</v>
      </c>
      <c r="Z352" s="9">
        <v>15461197.040000001</v>
      </c>
      <c r="AA352" s="9">
        <v>4686612</v>
      </c>
      <c r="AB352" s="9">
        <v>11115275</v>
      </c>
      <c r="AC352" s="9">
        <v>15336037.73</v>
      </c>
      <c r="AD352" s="9">
        <v>4744751</v>
      </c>
      <c r="AE352" s="9">
        <v>11177635</v>
      </c>
      <c r="AF352" s="9">
        <v>14932867.66</v>
      </c>
      <c r="AG352" s="9">
        <v>4859333</v>
      </c>
      <c r="AH352" s="9">
        <v>11215085</v>
      </c>
      <c r="AI352" s="9">
        <v>14667673.109999999</v>
      </c>
      <c r="AJ352" s="9">
        <v>4914309</v>
      </c>
      <c r="AK352" s="28">
        <v>11251885</v>
      </c>
      <c r="AL352" s="9">
        <v>14868534.459999999</v>
      </c>
      <c r="AM352" s="9">
        <v>4931923</v>
      </c>
      <c r="AN352" s="28">
        <v>11288335</v>
      </c>
      <c r="AO352" s="9">
        <v>14883842.210000001</v>
      </c>
      <c r="AP352" s="9">
        <v>4860783</v>
      </c>
      <c r="AQ352" s="28">
        <v>11366930</v>
      </c>
      <c r="AR352" s="9">
        <v>14578929.593496464</v>
      </c>
      <c r="AS352" s="9">
        <v>4751326</v>
      </c>
      <c r="AT352" s="28">
        <v>11408120</v>
      </c>
      <c r="AU352" s="9">
        <v>15435431.700000001</v>
      </c>
      <c r="AV352" s="9">
        <v>4871517</v>
      </c>
      <c r="AW352" s="9">
        <v>11450030</v>
      </c>
      <c r="AX352" s="9">
        <v>15998737.235770881</v>
      </c>
      <c r="AY352" s="9">
        <v>5085773</v>
      </c>
      <c r="AZ352" s="28">
        <v>11491100</v>
      </c>
      <c r="BA352" s="9">
        <v>15745625.66</v>
      </c>
      <c r="BB352" s="9">
        <v>5282604</v>
      </c>
      <c r="BC352" s="9">
        <v>11491100</v>
      </c>
      <c r="BD352" s="9">
        <v>16192011.48</v>
      </c>
      <c r="BE352" s="9">
        <v>5511010</v>
      </c>
      <c r="BF352" s="9">
        <v>11529590</v>
      </c>
      <c r="BG352" s="9">
        <v>18305278.439999994</v>
      </c>
      <c r="BH352" s="9">
        <v>5813202</v>
      </c>
      <c r="BI352" s="9">
        <v>12492076</v>
      </c>
      <c r="BJ352" s="9">
        <v>20130691.019999996</v>
      </c>
      <c r="BK352" s="9">
        <v>6129765</v>
      </c>
      <c r="BL352" s="9">
        <v>14000926</v>
      </c>
      <c r="BM352" s="9"/>
      <c r="BN352" s="9"/>
      <c r="BO352" s="9"/>
      <c r="BP352" s="9"/>
      <c r="BQ352" s="9"/>
      <c r="BR352" s="9"/>
      <c r="BS352" s="9"/>
      <c r="BT352" s="9"/>
      <c r="BU352" s="9"/>
    </row>
    <row r="353" spans="1:73">
      <c r="A353" s="6">
        <v>344</v>
      </c>
      <c r="B353" s="6" t="s">
        <v>1462</v>
      </c>
      <c r="C353" s="421">
        <v>17.5</v>
      </c>
      <c r="D353" s="9">
        <v>25105213</v>
      </c>
      <c r="E353" s="33">
        <v>24915091</v>
      </c>
      <c r="F353" s="9">
        <v>3131320.8</v>
      </c>
      <c r="G353" s="9">
        <v>27686227.761740003</v>
      </c>
      <c r="H353" s="9">
        <v>25368782</v>
      </c>
      <c r="I353" s="9">
        <v>3582998.8</v>
      </c>
      <c r="J353" s="9">
        <v>30248338.701930307</v>
      </c>
      <c r="K353" s="9">
        <v>26104922</v>
      </c>
      <c r="L353" s="9">
        <v>4143417</v>
      </c>
      <c r="M353" s="9">
        <v>32130973.606599998</v>
      </c>
      <c r="N353" s="9">
        <v>26921385</v>
      </c>
      <c r="O353" s="9">
        <v>4661726</v>
      </c>
      <c r="P353" s="9">
        <v>547863</v>
      </c>
      <c r="Q353" s="9">
        <v>33869183.152500734</v>
      </c>
      <c r="R353" s="9">
        <v>27942076</v>
      </c>
      <c r="S353" s="9">
        <v>5105397</v>
      </c>
      <c r="T353" s="9">
        <v>821710</v>
      </c>
      <c r="U353" s="9">
        <v>34209062.642022774</v>
      </c>
      <c r="V353" s="9">
        <v>28412977</v>
      </c>
      <c r="W353" s="9">
        <v>5684874</v>
      </c>
      <c r="X353" s="9">
        <v>30519</v>
      </c>
      <c r="Y353" s="9">
        <v>312514</v>
      </c>
      <c r="Z353" s="9">
        <v>35352719.397000007</v>
      </c>
      <c r="AA353" s="9">
        <v>29111601</v>
      </c>
      <c r="AB353" s="9">
        <v>6241118</v>
      </c>
      <c r="AC353" s="9">
        <v>37274561.601149991</v>
      </c>
      <c r="AD353" s="9">
        <v>30107863</v>
      </c>
      <c r="AE353" s="9">
        <v>7166699</v>
      </c>
      <c r="AF353" s="9">
        <v>38667213.748349994</v>
      </c>
      <c r="AG353" s="9">
        <v>31202716</v>
      </c>
      <c r="AH353" s="9">
        <v>7464498</v>
      </c>
      <c r="AI353" s="9">
        <v>39564443.627320006</v>
      </c>
      <c r="AJ353" s="9">
        <v>32332932</v>
      </c>
      <c r="AK353" s="28">
        <v>7572048</v>
      </c>
      <c r="AL353" s="9">
        <v>40749515.511779994</v>
      </c>
      <c r="AM353" s="9">
        <v>33648454</v>
      </c>
      <c r="AN353" s="28">
        <v>7680548</v>
      </c>
      <c r="AO353" s="9">
        <v>41694755.431160003</v>
      </c>
      <c r="AP353" s="9">
        <v>34474073</v>
      </c>
      <c r="AQ353" s="28">
        <v>7924363</v>
      </c>
      <c r="AR353" s="9">
        <v>43175541.000589445</v>
      </c>
      <c r="AS353" s="9">
        <v>35662566</v>
      </c>
      <c r="AT353" s="28">
        <v>8058883</v>
      </c>
      <c r="AU353" s="9">
        <v>46376139.481770001</v>
      </c>
      <c r="AV353" s="9">
        <v>37332874</v>
      </c>
      <c r="AW353" s="9">
        <v>9043265</v>
      </c>
      <c r="AX353" s="9">
        <v>48242100.959599502</v>
      </c>
      <c r="AY353" s="9">
        <v>38833443</v>
      </c>
      <c r="AZ353" s="28">
        <v>9421254</v>
      </c>
      <c r="BA353" s="9">
        <v>49895727.543140002</v>
      </c>
      <c r="BB353" s="9">
        <v>40278256</v>
      </c>
      <c r="BC353" s="9">
        <v>9617689</v>
      </c>
      <c r="BD353" s="9">
        <v>49628251.23258999</v>
      </c>
      <c r="BE353" s="9">
        <v>40943308</v>
      </c>
      <c r="BF353" s="9">
        <v>9753079</v>
      </c>
      <c r="BG353" s="9">
        <v>51185910.074539989</v>
      </c>
      <c r="BH353" s="9">
        <v>42158204</v>
      </c>
      <c r="BI353" s="9">
        <v>10016359</v>
      </c>
      <c r="BJ353" s="9">
        <v>53860981.504270002</v>
      </c>
      <c r="BK353" s="9">
        <v>43974784</v>
      </c>
      <c r="BL353" s="9">
        <v>10277119</v>
      </c>
      <c r="BM353" s="9"/>
      <c r="BN353" s="9"/>
      <c r="BO353" s="9"/>
      <c r="BP353" s="9"/>
      <c r="BQ353" s="9"/>
      <c r="BR353" s="9"/>
      <c r="BS353" s="9"/>
      <c r="BT353" s="9"/>
      <c r="BU353" s="9"/>
    </row>
    <row r="354" spans="1:73">
      <c r="A354" s="6">
        <v>345</v>
      </c>
      <c r="B354" s="6" t="s">
        <v>1463</v>
      </c>
      <c r="C354" s="421">
        <v>17.5</v>
      </c>
      <c r="D354" s="9">
        <v>19593</v>
      </c>
      <c r="E354" s="33">
        <v>9317</v>
      </c>
      <c r="F354" s="9">
        <v>18987</v>
      </c>
      <c r="G354" s="9">
        <v>43398.64</v>
      </c>
      <c r="H354" s="9">
        <v>22696</v>
      </c>
      <c r="I354" s="9">
        <v>30997</v>
      </c>
      <c r="J354" s="9">
        <v>79486.89</v>
      </c>
      <c r="K354" s="9">
        <v>46037</v>
      </c>
      <c r="L354" s="9">
        <v>50091</v>
      </c>
      <c r="M354" s="9">
        <v>59717.45</v>
      </c>
      <c r="N354" s="9">
        <v>33889</v>
      </c>
      <c r="O354" s="9">
        <v>50341</v>
      </c>
      <c r="P354" s="9">
        <v>0</v>
      </c>
      <c r="Q354" s="9">
        <v>49226.300019138762</v>
      </c>
      <c r="R354" s="9">
        <v>30072</v>
      </c>
      <c r="S354" s="9">
        <v>49334</v>
      </c>
      <c r="T354" s="9">
        <v>0</v>
      </c>
      <c r="U354" s="9">
        <v>48143.262719999999</v>
      </c>
      <c r="V354" s="9">
        <v>30554</v>
      </c>
      <c r="W354" s="9">
        <v>47361</v>
      </c>
      <c r="X354" s="9">
        <v>0</v>
      </c>
      <c r="Y354" s="9">
        <v>0</v>
      </c>
      <c r="Z354" s="9">
        <v>98000.56</v>
      </c>
      <c r="AA354" s="9">
        <v>57428</v>
      </c>
      <c r="AB354" s="9">
        <v>47361</v>
      </c>
      <c r="AC354" s="9">
        <v>88880.470000000016</v>
      </c>
      <c r="AD354" s="9">
        <v>53746</v>
      </c>
      <c r="AE354" s="9">
        <v>47361</v>
      </c>
      <c r="AF354" s="9">
        <v>90258.14</v>
      </c>
      <c r="AG354" s="9">
        <v>59063</v>
      </c>
      <c r="AH354" s="9">
        <v>47361</v>
      </c>
      <c r="AI354" s="9">
        <v>91034.3</v>
      </c>
      <c r="AJ354" s="9">
        <v>66927</v>
      </c>
      <c r="AK354" s="28">
        <v>47361</v>
      </c>
      <c r="AL354" s="9">
        <v>39599.880000000005</v>
      </c>
      <c r="AM354" s="9">
        <v>33367</v>
      </c>
      <c r="AN354" s="28">
        <v>39599.880000000005</v>
      </c>
      <c r="AO354" s="9">
        <v>26341.840000000004</v>
      </c>
      <c r="AP354" s="9">
        <v>22244</v>
      </c>
      <c r="AQ354" s="28">
        <v>26341.840000000004</v>
      </c>
      <c r="AR354" s="9">
        <v>26833.666687179095</v>
      </c>
      <c r="AS354" s="9">
        <v>22290</v>
      </c>
      <c r="AT354" s="28">
        <v>26341.840000000004</v>
      </c>
      <c r="AU354" s="9">
        <v>41511.479999999996</v>
      </c>
      <c r="AV354" s="9">
        <v>34247</v>
      </c>
      <c r="AW354" s="9">
        <v>26342</v>
      </c>
      <c r="AX354" s="9">
        <v>71858.986276766795</v>
      </c>
      <c r="AY354" s="9">
        <v>59284</v>
      </c>
      <c r="AZ354" s="28">
        <v>26342</v>
      </c>
      <c r="BA354" s="9">
        <v>58631.199999999997</v>
      </c>
      <c r="BB354" s="9">
        <v>48371</v>
      </c>
      <c r="BC354" s="9">
        <v>26342</v>
      </c>
      <c r="BD354" s="9">
        <v>59811.12</v>
      </c>
      <c r="BE354" s="9">
        <v>49344</v>
      </c>
      <c r="BF354" s="9">
        <v>26462</v>
      </c>
      <c r="BG354" s="9">
        <v>62790.840000000004</v>
      </c>
      <c r="BH354" s="9">
        <v>46140</v>
      </c>
      <c r="BI354" s="9">
        <v>26462</v>
      </c>
      <c r="BJ354" s="9">
        <v>65963.040000000008</v>
      </c>
      <c r="BK354" s="9">
        <v>48534</v>
      </c>
      <c r="BL354" s="9">
        <v>26462</v>
      </c>
      <c r="BM354" s="9"/>
      <c r="BN354" s="9"/>
      <c r="BO354" s="9"/>
      <c r="BP354" s="9"/>
      <c r="BQ354" s="9"/>
      <c r="BR354" s="9"/>
      <c r="BS354" s="9"/>
      <c r="BT354" s="9"/>
      <c r="BU354" s="9"/>
    </row>
    <row r="355" spans="1:73">
      <c r="A355" s="6">
        <v>346</v>
      </c>
      <c r="B355" s="6" t="s">
        <v>1464</v>
      </c>
      <c r="C355" s="421">
        <v>22.57</v>
      </c>
      <c r="D355" s="9">
        <v>14203032</v>
      </c>
      <c r="E355" s="33">
        <v>10524171</v>
      </c>
      <c r="F355" s="9">
        <v>4649575</v>
      </c>
      <c r="G355" s="9">
        <v>15189263.146560002</v>
      </c>
      <c r="H355" s="9">
        <v>10737357</v>
      </c>
      <c r="I355" s="9">
        <v>4843961</v>
      </c>
      <c r="J355" s="9">
        <v>16040450.497654758</v>
      </c>
      <c r="K355" s="9">
        <v>11241167</v>
      </c>
      <c r="L355" s="9">
        <v>5042458</v>
      </c>
      <c r="M355" s="9">
        <v>16653713.865099998</v>
      </c>
      <c r="N355" s="9">
        <v>11482366</v>
      </c>
      <c r="O355" s="9">
        <v>4639322</v>
      </c>
      <c r="P355" s="9">
        <v>545229</v>
      </c>
      <c r="Q355" s="9">
        <v>17547573.530765843</v>
      </c>
      <c r="R355" s="9">
        <v>12509487</v>
      </c>
      <c r="S355" s="9">
        <v>5080860</v>
      </c>
      <c r="T355" s="9">
        <v>0</v>
      </c>
      <c r="U355" s="9">
        <v>16947233.724507775</v>
      </c>
      <c r="V355" s="9">
        <v>12482874</v>
      </c>
      <c r="W355" s="9">
        <v>4784037</v>
      </c>
      <c r="X355" s="9">
        <v>25683</v>
      </c>
      <c r="Y355" s="9">
        <v>318165</v>
      </c>
      <c r="Z355" s="9">
        <v>17937168.698699996</v>
      </c>
      <c r="AA355" s="9">
        <v>12779319</v>
      </c>
      <c r="AB355" s="9">
        <v>5157850</v>
      </c>
      <c r="AC355" s="9">
        <v>18416072.0348</v>
      </c>
      <c r="AD355" s="9">
        <v>13141365</v>
      </c>
      <c r="AE355" s="9">
        <v>5274707</v>
      </c>
      <c r="AF355" s="9">
        <v>19449615.869399998</v>
      </c>
      <c r="AG355" s="9">
        <v>13466250</v>
      </c>
      <c r="AH355" s="9">
        <f>6026961.59606301+25266</f>
        <v>6052227.5960630104</v>
      </c>
      <c r="AI355" s="9">
        <v>19874501.94588</v>
      </c>
      <c r="AJ355" s="9">
        <v>13576177</v>
      </c>
      <c r="AK355" s="28">
        <v>6298325</v>
      </c>
      <c r="AL355" s="9">
        <v>19501001.633919992</v>
      </c>
      <c r="AM355" s="9">
        <v>13757564</v>
      </c>
      <c r="AN355" s="28">
        <v>6346975</v>
      </c>
      <c r="AO355" s="9">
        <v>19355380.740320001</v>
      </c>
      <c r="AP355" s="9">
        <v>13740113</v>
      </c>
      <c r="AQ355" s="28">
        <v>6450815</v>
      </c>
      <c r="AR355" s="9">
        <v>20873787.706656512</v>
      </c>
      <c r="AS355" s="9">
        <v>14619405</v>
      </c>
      <c r="AT355" s="28">
        <v>6509855</v>
      </c>
      <c r="AU355" s="9">
        <v>22361612.680800002</v>
      </c>
      <c r="AV355" s="9">
        <v>15285867</v>
      </c>
      <c r="AW355" s="9">
        <v>7075746</v>
      </c>
      <c r="AX355" s="9">
        <v>23351887.112957381</v>
      </c>
      <c r="AY355" s="9">
        <v>16010984</v>
      </c>
      <c r="AZ355" s="28">
        <v>7340903</v>
      </c>
      <c r="BA355" s="9">
        <v>23537383.711800005</v>
      </c>
      <c r="BB355" s="9">
        <v>16793461</v>
      </c>
      <c r="BC355" s="9">
        <v>7340903</v>
      </c>
      <c r="BD355" s="9">
        <v>23441502.304000001</v>
      </c>
      <c r="BE355" s="9">
        <v>17313006</v>
      </c>
      <c r="BF355" s="9">
        <v>7398113</v>
      </c>
      <c r="BG355" s="9">
        <v>25999605.057999998</v>
      </c>
      <c r="BH355" s="9">
        <v>17986284</v>
      </c>
      <c r="BI355" s="9">
        <v>8013321</v>
      </c>
      <c r="BJ355" s="9">
        <v>28718694.131870005</v>
      </c>
      <c r="BK355" s="9">
        <v>18971710</v>
      </c>
      <c r="BL355" s="9">
        <v>9746984</v>
      </c>
      <c r="BM355" s="9"/>
      <c r="BN355" s="9"/>
      <c r="BO355" s="9"/>
      <c r="BP355" s="9"/>
      <c r="BQ355" s="9"/>
      <c r="BR355" s="9"/>
      <c r="BS355" s="9"/>
      <c r="BT355" s="9"/>
      <c r="BU355" s="9"/>
    </row>
    <row r="356" spans="1:73">
      <c r="A356" s="6">
        <v>347</v>
      </c>
      <c r="B356" s="6" t="s">
        <v>1028</v>
      </c>
      <c r="C356" s="421">
        <v>17.5</v>
      </c>
      <c r="D356" s="9">
        <v>34930602</v>
      </c>
      <c r="E356" s="33">
        <v>37657788</v>
      </c>
      <c r="F356" s="9">
        <v>4733852.8</v>
      </c>
      <c r="G356" s="9">
        <v>37332334.363359995</v>
      </c>
      <c r="H356" s="9">
        <v>38094517</v>
      </c>
      <c r="I356" s="9">
        <v>5154155.8</v>
      </c>
      <c r="J356" s="9">
        <v>40314036.275784098</v>
      </c>
      <c r="K356" s="9">
        <v>38276911</v>
      </c>
      <c r="L356" s="9">
        <v>5788495.7999999998</v>
      </c>
      <c r="M356" s="9">
        <v>42494196.208999999</v>
      </c>
      <c r="N356" s="9">
        <v>37749504</v>
      </c>
      <c r="O356" s="9">
        <v>6002692.7999999998</v>
      </c>
      <c r="P356" s="9">
        <v>705458</v>
      </c>
      <c r="Q356" s="9">
        <v>43397769.300633483</v>
      </c>
      <c r="R356" s="9">
        <v>37761424</v>
      </c>
      <c r="S356" s="9">
        <v>6573988</v>
      </c>
      <c r="T356" s="9">
        <v>0</v>
      </c>
      <c r="U356" s="9">
        <v>43013306.744314127</v>
      </c>
      <c r="V356" s="9">
        <v>37654434</v>
      </c>
      <c r="W356" s="9">
        <v>6189936</v>
      </c>
      <c r="X356" s="9">
        <v>33230</v>
      </c>
      <c r="Y356" s="9">
        <v>468697</v>
      </c>
      <c r="Z356" s="9">
        <v>44725938.827559993</v>
      </c>
      <c r="AA356" s="9">
        <v>38469627</v>
      </c>
      <c r="AB356" s="9">
        <v>6256312</v>
      </c>
      <c r="AC356" s="9">
        <v>46091897.869999997</v>
      </c>
      <c r="AD356" s="9">
        <v>39862499</v>
      </c>
      <c r="AE356" s="9">
        <v>6819375.0867005</v>
      </c>
      <c r="AF356" s="9">
        <v>47182460.705740005</v>
      </c>
      <c r="AG356" s="9">
        <v>40697687</v>
      </c>
      <c r="AH356" s="9">
        <f>7323850.03757165+16844</f>
        <v>7340694.03757165</v>
      </c>
      <c r="AI356" s="9">
        <v>48695159.223999999</v>
      </c>
      <c r="AJ356" s="9">
        <v>40727571</v>
      </c>
      <c r="AK356" s="28">
        <v>8202269.03757165</v>
      </c>
      <c r="AL356" s="9">
        <v>49230530.561499998</v>
      </c>
      <c r="AM356" s="9">
        <v>41631275</v>
      </c>
      <c r="AN356" s="28">
        <v>8321994.03757165</v>
      </c>
      <c r="AO356" s="9">
        <v>49930543.991250016</v>
      </c>
      <c r="AP356" s="9">
        <v>41567504</v>
      </c>
      <c r="AQ356" s="28">
        <v>8583684.03757165</v>
      </c>
      <c r="AR356" s="9">
        <v>50380963.059562519</v>
      </c>
      <c r="AS356" s="9">
        <v>41884963</v>
      </c>
      <c r="AT356" s="28">
        <v>8724234.03757165</v>
      </c>
      <c r="AU356" s="9">
        <v>51790238.039180018</v>
      </c>
      <c r="AV356" s="9">
        <v>42726946</v>
      </c>
      <c r="AW356" s="9">
        <v>9063292</v>
      </c>
      <c r="AX356" s="9">
        <v>53841305.779622279</v>
      </c>
      <c r="AY356" s="9">
        <v>44419077</v>
      </c>
      <c r="AZ356" s="28">
        <v>9422229</v>
      </c>
      <c r="BA356" s="9">
        <v>54604897.586800009</v>
      </c>
      <c r="BB356" s="9">
        <v>45049041</v>
      </c>
      <c r="BC356" s="9">
        <v>9555857</v>
      </c>
      <c r="BD356" s="9">
        <v>54858831.045920007</v>
      </c>
      <c r="BE356" s="9">
        <v>45258536</v>
      </c>
      <c r="BF356" s="9">
        <v>9687377</v>
      </c>
      <c r="BG356" s="9">
        <v>60994707.780599996</v>
      </c>
      <c r="BH356" s="9">
        <v>48301038</v>
      </c>
      <c r="BI356" s="9">
        <v>12693670</v>
      </c>
      <c r="BJ356" s="9">
        <v>65492150.344600007</v>
      </c>
      <c r="BK356" s="9">
        <v>51893336</v>
      </c>
      <c r="BL356" s="9">
        <v>13598814</v>
      </c>
      <c r="BM356" s="9"/>
      <c r="BN356" s="9"/>
      <c r="BO356" s="9"/>
      <c r="BP356" s="9"/>
      <c r="BQ356" s="9"/>
      <c r="BR356" s="9"/>
      <c r="BS356" s="9"/>
      <c r="BT356" s="9"/>
      <c r="BU356" s="9"/>
    </row>
    <row r="357" spans="1:73">
      <c r="A357" s="6">
        <v>348</v>
      </c>
      <c r="B357" s="6" t="s">
        <v>1465</v>
      </c>
      <c r="C357" s="421">
        <v>70.099999999999994</v>
      </c>
      <c r="D357" s="9">
        <v>233243474</v>
      </c>
      <c r="E357" s="33">
        <v>72184115</v>
      </c>
      <c r="F357" s="9">
        <v>161059359</v>
      </c>
      <c r="G357" s="9">
        <v>242782324.40000004</v>
      </c>
      <c r="H357" s="9">
        <v>77309187</v>
      </c>
      <c r="I357" s="9">
        <v>167480913</v>
      </c>
      <c r="J357" s="9">
        <v>252522466.45670471</v>
      </c>
      <c r="K357" s="9">
        <v>80540711</v>
      </c>
      <c r="L357" s="9">
        <v>174025314</v>
      </c>
      <c r="M357" s="9">
        <v>262175701.59</v>
      </c>
      <c r="N357" s="9">
        <v>83762339</v>
      </c>
      <c r="O357" s="9">
        <v>161512435</v>
      </c>
      <c r="P357" s="9">
        <v>18981512</v>
      </c>
      <c r="Q357" s="9">
        <v>274595072.36176842</v>
      </c>
      <c r="R357" s="9">
        <v>81810677</v>
      </c>
      <c r="S357" s="9">
        <v>176884068</v>
      </c>
      <c r="T357" s="9">
        <v>15900327</v>
      </c>
      <c r="U357" s="9">
        <v>275818706.70521998</v>
      </c>
      <c r="V357" s="9">
        <v>84305903</v>
      </c>
      <c r="W357" s="9">
        <v>187838166</v>
      </c>
      <c r="X357" s="9">
        <v>1008399</v>
      </c>
      <c r="Y357" s="9">
        <v>4578055</v>
      </c>
      <c r="Z357" s="9">
        <v>286908104.64000005</v>
      </c>
      <c r="AA357" s="9">
        <v>85772826</v>
      </c>
      <c r="AB357" s="9">
        <v>201135279</v>
      </c>
      <c r="AC357" s="9">
        <v>298950312.13000005</v>
      </c>
      <c r="AD357" s="9">
        <v>88586175</v>
      </c>
      <c r="AE357" s="9">
        <v>210364137</v>
      </c>
      <c r="AF357" s="9">
        <v>311832464.69999999</v>
      </c>
      <c r="AG357" s="9">
        <v>91934732</v>
      </c>
      <c r="AH357" s="9">
        <v>219897733</v>
      </c>
      <c r="AI357" s="9">
        <v>314854112.86000001</v>
      </c>
      <c r="AJ357" s="9">
        <v>96374700</v>
      </c>
      <c r="AK357" s="28">
        <v>220569583</v>
      </c>
      <c r="AL357" s="9">
        <v>329468506.71999997</v>
      </c>
      <c r="AM357" s="9">
        <v>97927769</v>
      </c>
      <c r="AN357" s="28">
        <v>231540738</v>
      </c>
      <c r="AO357" s="9">
        <v>332590291.94999999</v>
      </c>
      <c r="AP357" s="9">
        <v>97188059</v>
      </c>
      <c r="AQ357" s="28">
        <v>235402233</v>
      </c>
      <c r="AR357" s="9">
        <v>342886580.84977067</v>
      </c>
      <c r="AS357" s="9">
        <v>97679398</v>
      </c>
      <c r="AT357" s="28">
        <v>245207183</v>
      </c>
      <c r="AU357" s="9">
        <v>353662082.21999997</v>
      </c>
      <c r="AV357" s="9">
        <v>100450297</v>
      </c>
      <c r="AW357" s="9">
        <v>253211785</v>
      </c>
      <c r="AX357" s="9">
        <v>379530589.18986362</v>
      </c>
      <c r="AY357" s="9">
        <v>104076553</v>
      </c>
      <c r="AZ357" s="28">
        <v>275454036</v>
      </c>
      <c r="BA357" s="9">
        <v>382606983.73000002</v>
      </c>
      <c r="BB357" s="9">
        <v>105210987</v>
      </c>
      <c r="BC357" s="9">
        <v>277395997</v>
      </c>
      <c r="BD357" s="9">
        <v>400051102.55999994</v>
      </c>
      <c r="BE357" s="9">
        <v>108945977</v>
      </c>
      <c r="BF357" s="9">
        <v>291115647</v>
      </c>
      <c r="BG357" s="9">
        <v>430557179.73999995</v>
      </c>
      <c r="BH357" s="9">
        <v>114317014</v>
      </c>
      <c r="BI357" s="9">
        <v>316240166</v>
      </c>
      <c r="BJ357" s="9">
        <v>477974878.60999995</v>
      </c>
      <c r="BK357" s="9">
        <v>120432974</v>
      </c>
      <c r="BL357" s="9">
        <v>357541905</v>
      </c>
      <c r="BM357" s="9"/>
      <c r="BN357" s="9"/>
      <c r="BO357" s="9"/>
      <c r="BP357" s="9"/>
      <c r="BQ357" s="9"/>
      <c r="BR357" s="9"/>
      <c r="BS357" s="9"/>
      <c r="BT357" s="9"/>
      <c r="BU357" s="9"/>
    </row>
    <row r="358" spans="1:73">
      <c r="A358" s="6">
        <v>349</v>
      </c>
      <c r="B358" s="6" t="s">
        <v>1466</v>
      </c>
      <c r="C358" s="421">
        <v>17.5</v>
      </c>
      <c r="D358" s="9">
        <v>156820</v>
      </c>
      <c r="E358" s="33">
        <v>105031</v>
      </c>
      <c r="F358" s="9">
        <v>69958</v>
      </c>
      <c r="G358" s="9">
        <v>108496.6</v>
      </c>
      <c r="H358" s="9">
        <v>89804</v>
      </c>
      <c r="I358" s="9">
        <v>70458</v>
      </c>
      <c r="J358" s="9">
        <v>113552.7</v>
      </c>
      <c r="K358" s="9">
        <v>89058</v>
      </c>
      <c r="L358" s="9">
        <v>72331</v>
      </c>
      <c r="M358" s="9">
        <v>95547.92</v>
      </c>
      <c r="N358" s="9">
        <v>69044</v>
      </c>
      <c r="O358" s="9">
        <v>72731</v>
      </c>
      <c r="P358" s="9">
        <v>0</v>
      </c>
      <c r="Q358" s="9">
        <v>73839.450028708146</v>
      </c>
      <c r="R358" s="9">
        <v>58793</v>
      </c>
      <c r="S358" s="9">
        <v>71276</v>
      </c>
      <c r="T358" s="9">
        <v>0</v>
      </c>
      <c r="U358" s="9">
        <v>60179.078399999999</v>
      </c>
      <c r="V358" s="9">
        <v>50743</v>
      </c>
      <c r="W358" s="9">
        <v>60179.078399999999</v>
      </c>
      <c r="X358" s="9">
        <v>0</v>
      </c>
      <c r="Y358" s="9">
        <v>0</v>
      </c>
      <c r="Z358" s="9">
        <v>49000.28</v>
      </c>
      <c r="AA358" s="9">
        <v>61740</v>
      </c>
      <c r="AB358" s="9">
        <v>49000.28</v>
      </c>
      <c r="AC358" s="9">
        <v>101577.68000000001</v>
      </c>
      <c r="AD358" s="9">
        <v>101578</v>
      </c>
      <c r="AE358" s="9">
        <v>49000.28</v>
      </c>
      <c r="AF358" s="9">
        <v>103152.16</v>
      </c>
      <c r="AG358" s="9">
        <v>103152</v>
      </c>
      <c r="AH358" s="9">
        <v>49000.28</v>
      </c>
      <c r="AI358" s="9">
        <v>181016.85000000003</v>
      </c>
      <c r="AJ358" s="9">
        <v>161882</v>
      </c>
      <c r="AK358" s="28">
        <f>49000.28+144899</f>
        <v>193899.28</v>
      </c>
      <c r="AL358" s="9">
        <v>1164871.5999999999</v>
      </c>
      <c r="AM358" s="9">
        <v>939802</v>
      </c>
      <c r="AN358" s="28">
        <v>225070</v>
      </c>
      <c r="AO358" s="9">
        <v>1206120.8500000003</v>
      </c>
      <c r="AP358" s="9">
        <v>969030</v>
      </c>
      <c r="AQ358" s="28">
        <v>237091</v>
      </c>
      <c r="AR358" s="9">
        <v>1160346.2789760442</v>
      </c>
      <c r="AS358" s="9">
        <v>967158</v>
      </c>
      <c r="AT358" s="28">
        <v>240361</v>
      </c>
      <c r="AU358" s="9">
        <v>1138991.4000000001</v>
      </c>
      <c r="AV358" s="9">
        <v>939668</v>
      </c>
      <c r="AW358" s="9">
        <v>243571</v>
      </c>
      <c r="AX358" s="9">
        <v>1201024.652987523</v>
      </c>
      <c r="AY358" s="9">
        <v>968704</v>
      </c>
      <c r="AZ358" s="28">
        <v>246841</v>
      </c>
      <c r="BA358" s="9">
        <v>1374749.7299999997</v>
      </c>
      <c r="BB358" s="9">
        <v>1018495</v>
      </c>
      <c r="BC358" s="9">
        <v>356255</v>
      </c>
      <c r="BD358" s="9">
        <v>1188969.8699999999</v>
      </c>
      <c r="BE358" s="9">
        <v>980900</v>
      </c>
      <c r="BF358" s="9">
        <v>359315</v>
      </c>
      <c r="BG358" s="9">
        <v>1326979.1100000001</v>
      </c>
      <c r="BH358" s="9">
        <v>1027100</v>
      </c>
      <c r="BI358" s="9">
        <v>365735</v>
      </c>
      <c r="BJ358" s="9">
        <v>1568790.0099999995</v>
      </c>
      <c r="BK358" s="9">
        <v>1103824</v>
      </c>
      <c r="BL358" s="9">
        <v>464966</v>
      </c>
      <c r="BM358" s="9"/>
      <c r="BN358" s="9"/>
      <c r="BO358" s="9"/>
      <c r="BP358" s="9"/>
      <c r="BQ358" s="9"/>
      <c r="BR358" s="9"/>
      <c r="BS358" s="9"/>
      <c r="BT358" s="9"/>
      <c r="BU358" s="9"/>
    </row>
    <row r="359" spans="1:73">
      <c r="A359" s="6">
        <v>350</v>
      </c>
      <c r="B359" s="6" t="s">
        <v>1467</v>
      </c>
      <c r="C359" s="421">
        <v>17.5</v>
      </c>
      <c r="D359" s="9">
        <v>8108218</v>
      </c>
      <c r="E359" s="33">
        <v>4773537</v>
      </c>
      <c r="F359" s="9">
        <v>3446005</v>
      </c>
      <c r="G359" s="9">
        <v>8536881.8352199998</v>
      </c>
      <c r="H359" s="9">
        <v>4905786</v>
      </c>
      <c r="I359" s="9">
        <v>3631096</v>
      </c>
      <c r="J359" s="9">
        <v>8611109.7637538575</v>
      </c>
      <c r="K359" s="9">
        <v>5032071</v>
      </c>
      <c r="L359" s="9">
        <v>3688296</v>
      </c>
      <c r="M359" s="9">
        <v>9026427.3732400015</v>
      </c>
      <c r="N359" s="9">
        <v>5280507</v>
      </c>
      <c r="O359" s="9">
        <v>3413547</v>
      </c>
      <c r="P359" s="9">
        <v>401172</v>
      </c>
      <c r="Q359" s="9">
        <v>9476432.1319100633</v>
      </c>
      <c r="R359" s="9">
        <v>5747185</v>
      </c>
      <c r="S359" s="9">
        <v>3738425</v>
      </c>
      <c r="T359" s="9">
        <v>0</v>
      </c>
      <c r="U359" s="9">
        <v>9107308.40131188</v>
      </c>
      <c r="V359" s="9">
        <v>5781211</v>
      </c>
      <c r="W359" s="9">
        <v>3520026</v>
      </c>
      <c r="X359" s="9">
        <v>18897</v>
      </c>
      <c r="Y359" s="9">
        <v>227952</v>
      </c>
      <c r="Z359" s="9">
        <v>8997163.6104499996</v>
      </c>
      <c r="AA359" s="9">
        <v>5880789</v>
      </c>
      <c r="AB359" s="9">
        <v>3538923</v>
      </c>
      <c r="AC359" s="9">
        <v>8996680.8980999999</v>
      </c>
      <c r="AD359" s="9">
        <v>5899004</v>
      </c>
      <c r="AE359" s="9">
        <v>3581123</v>
      </c>
      <c r="AF359" s="9">
        <v>8892422.6601499971</v>
      </c>
      <c r="AG359" s="9">
        <v>6253155</v>
      </c>
      <c r="AH359" s="9">
        <v>3606873</v>
      </c>
      <c r="AI359" s="9">
        <v>9069999.5540800001</v>
      </c>
      <c r="AJ359" s="9">
        <v>6555043</v>
      </c>
      <c r="AK359" s="28">
        <v>3632823</v>
      </c>
      <c r="AL359" s="9">
        <v>8534196.4301100001</v>
      </c>
      <c r="AM359" s="9">
        <v>6762850</v>
      </c>
      <c r="AN359" s="28">
        <v>3656773</v>
      </c>
      <c r="AO359" s="9">
        <v>8711771.7903999984</v>
      </c>
      <c r="AP359" s="9">
        <v>6915585</v>
      </c>
      <c r="AQ359" s="28">
        <v>3709903</v>
      </c>
      <c r="AR359" s="9">
        <v>8596118.8600556906</v>
      </c>
      <c r="AS359" s="9">
        <v>7106012</v>
      </c>
      <c r="AT359" s="28">
        <v>3737593</v>
      </c>
      <c r="AU359" s="9">
        <v>9153991.6259199996</v>
      </c>
      <c r="AV359" s="9">
        <v>7552043</v>
      </c>
      <c r="AW359" s="9">
        <v>3765913</v>
      </c>
      <c r="AX359" s="9">
        <v>9200581.1460926738</v>
      </c>
      <c r="AY359" s="9">
        <v>7590479</v>
      </c>
      <c r="AZ359" s="28">
        <v>3793153</v>
      </c>
      <c r="BA359" s="9">
        <v>9053868.8087499999</v>
      </c>
      <c r="BB359" s="9">
        <v>7469442</v>
      </c>
      <c r="BC359" s="9">
        <v>3793153</v>
      </c>
      <c r="BD359" s="9">
        <v>8698911.8334400002</v>
      </c>
      <c r="BE359" s="9">
        <v>7176602</v>
      </c>
      <c r="BF359" s="9">
        <v>3817813</v>
      </c>
      <c r="BG359" s="9">
        <v>9667437.7704000026</v>
      </c>
      <c r="BH359" s="9">
        <v>7781640</v>
      </c>
      <c r="BI359" s="9">
        <v>3868573</v>
      </c>
      <c r="BJ359" s="9">
        <v>11250378.938039999</v>
      </c>
      <c r="BK359" s="9">
        <v>8771480</v>
      </c>
      <c r="BL359" s="9">
        <v>3924073</v>
      </c>
      <c r="BM359" s="9"/>
      <c r="BN359" s="9"/>
      <c r="BO359" s="9"/>
      <c r="BP359" s="9"/>
      <c r="BQ359" s="9"/>
      <c r="BR359" s="9"/>
      <c r="BS359" s="9"/>
      <c r="BT359" s="9"/>
      <c r="BU359" s="9"/>
    </row>
    <row r="360" spans="1:73">
      <c r="A360" s="6">
        <v>351</v>
      </c>
      <c r="B360" s="6" t="s">
        <v>1468</v>
      </c>
      <c r="C360" s="421">
        <v>17.5</v>
      </c>
      <c r="D360" s="9">
        <v>0</v>
      </c>
      <c r="E360" s="33">
        <v>0</v>
      </c>
      <c r="F360" s="9">
        <v>0</v>
      </c>
      <c r="G360" s="9">
        <v>0</v>
      </c>
      <c r="H360" s="9">
        <v>0</v>
      </c>
      <c r="I360" s="9">
        <v>0</v>
      </c>
      <c r="J360" s="9">
        <v>0</v>
      </c>
      <c r="K360" s="9">
        <v>0</v>
      </c>
      <c r="L360" s="9">
        <v>0</v>
      </c>
      <c r="M360" s="9">
        <v>11943.49</v>
      </c>
      <c r="N360" s="9">
        <v>9336</v>
      </c>
      <c r="O360" s="9">
        <v>2607</v>
      </c>
      <c r="P360" s="9">
        <v>0</v>
      </c>
      <c r="Q360" s="9">
        <v>24613.150009569381</v>
      </c>
      <c r="R360" s="9">
        <v>19848</v>
      </c>
      <c r="S360" s="9">
        <v>2555</v>
      </c>
      <c r="T360" s="9">
        <v>2210</v>
      </c>
      <c r="U360" s="9">
        <v>12035.81568</v>
      </c>
      <c r="V360" s="9">
        <v>10055</v>
      </c>
      <c r="W360" s="9">
        <v>4574</v>
      </c>
      <c r="X360" s="9">
        <v>0</v>
      </c>
      <c r="Y360" s="9">
        <v>0</v>
      </c>
      <c r="Z360" s="9">
        <v>12250.07</v>
      </c>
      <c r="AA360" s="9">
        <v>10608</v>
      </c>
      <c r="AB360" s="9">
        <v>4574</v>
      </c>
      <c r="AC360" s="9">
        <v>12697.210000000001</v>
      </c>
      <c r="AD360" s="9">
        <v>10850</v>
      </c>
      <c r="AE360" s="9">
        <v>4574</v>
      </c>
      <c r="AF360" s="9">
        <v>0</v>
      </c>
      <c r="AG360" s="9">
        <v>0</v>
      </c>
      <c r="AH360" s="9">
        <v>0</v>
      </c>
      <c r="AI360" s="9">
        <v>0</v>
      </c>
      <c r="AJ360" s="9">
        <v>0</v>
      </c>
      <c r="AK360" s="28">
        <v>0</v>
      </c>
      <c r="AL360" s="9">
        <v>0</v>
      </c>
      <c r="AM360" s="9">
        <v>0</v>
      </c>
      <c r="AN360" s="28">
        <v>0</v>
      </c>
      <c r="AO360" s="9">
        <v>0</v>
      </c>
      <c r="AP360" s="9">
        <v>0</v>
      </c>
      <c r="AQ360" s="28">
        <v>0</v>
      </c>
      <c r="AR360" s="9">
        <v>0</v>
      </c>
      <c r="AS360" s="9">
        <v>0</v>
      </c>
      <c r="AT360" s="28">
        <v>0</v>
      </c>
      <c r="AU360" s="9">
        <v>0</v>
      </c>
      <c r="AV360" s="9">
        <v>0</v>
      </c>
      <c r="AW360" s="9">
        <v>0</v>
      </c>
      <c r="AX360" s="9">
        <v>0</v>
      </c>
      <c r="AY360" s="9">
        <v>0</v>
      </c>
      <c r="AZ360" s="28">
        <v>0</v>
      </c>
      <c r="BA360" s="9">
        <v>0</v>
      </c>
      <c r="BB360" s="9">
        <v>0</v>
      </c>
      <c r="BC360" s="9">
        <v>0</v>
      </c>
      <c r="BD360" s="9">
        <v>0</v>
      </c>
      <c r="BE360" s="9">
        <v>0</v>
      </c>
      <c r="BF360" s="9">
        <v>0</v>
      </c>
      <c r="BG360" s="9">
        <v>0</v>
      </c>
      <c r="BH360" s="9">
        <v>0</v>
      </c>
      <c r="BI360" s="9">
        <v>0</v>
      </c>
      <c r="BJ360" s="9">
        <v>0</v>
      </c>
      <c r="BK360" s="9">
        <v>0</v>
      </c>
      <c r="BL360" s="9">
        <v>0</v>
      </c>
      <c r="BM360" s="9"/>
      <c r="BN360" s="9"/>
      <c r="BO360" s="9"/>
      <c r="BP360" s="9"/>
      <c r="BQ360" s="9"/>
      <c r="BR360" s="9"/>
      <c r="BS360" s="9"/>
      <c r="BT360" s="9"/>
      <c r="BU360" s="9"/>
    </row>
    <row r="361" spans="1:73">
      <c r="A361" s="6">
        <v>406</v>
      </c>
      <c r="B361" s="6" t="s">
        <v>1469</v>
      </c>
      <c r="C361" s="421">
        <v>17.5</v>
      </c>
      <c r="D361" s="9">
        <v>1567616</v>
      </c>
      <c r="E361" s="33">
        <v>1276116</v>
      </c>
      <c r="F361" s="9">
        <v>738533.6</v>
      </c>
      <c r="G361" s="9">
        <v>2025133</v>
      </c>
      <c r="H361" s="9">
        <v>1468568</v>
      </c>
      <c r="I361" s="9">
        <v>875376.6</v>
      </c>
      <c r="J361" s="9">
        <v>2278216</v>
      </c>
      <c r="K361" s="9">
        <v>1708914</v>
      </c>
      <c r="L361" s="9">
        <v>947960.6</v>
      </c>
      <c r="M361" s="9">
        <v>2111565</v>
      </c>
      <c r="N361" s="9">
        <v>1581883</v>
      </c>
      <c r="O361" s="9">
        <v>854264.6</v>
      </c>
      <c r="P361" s="9">
        <v>100396</v>
      </c>
      <c r="Q361" s="9">
        <v>2146693.9467942584</v>
      </c>
      <c r="R361" s="9">
        <v>1617583</v>
      </c>
      <c r="S361" s="9">
        <v>935567</v>
      </c>
      <c r="T361" s="9">
        <v>0</v>
      </c>
      <c r="U361" s="9">
        <v>2230337.8020000001</v>
      </c>
      <c r="V361" s="9">
        <v>1765084</v>
      </c>
      <c r="W361" s="9">
        <v>880911</v>
      </c>
      <c r="X361" s="9">
        <v>4729</v>
      </c>
      <c r="Y361" s="9">
        <v>53277</v>
      </c>
      <c r="Z361" s="9">
        <v>2070902</v>
      </c>
      <c r="AA361" s="9">
        <v>1658734</v>
      </c>
      <c r="AB361" s="9">
        <v>885640</v>
      </c>
      <c r="AC361" s="9">
        <v>2229442</v>
      </c>
      <c r="AD361" s="9">
        <v>1757745</v>
      </c>
      <c r="AE361" s="9">
        <v>890560</v>
      </c>
      <c r="AF361" s="9">
        <v>2020055</v>
      </c>
      <c r="AG361" s="9">
        <v>1627859</v>
      </c>
      <c r="AH361" s="9">
        <v>893210</v>
      </c>
      <c r="AI361" s="9">
        <v>1764814</v>
      </c>
      <c r="AJ361" s="9">
        <v>1447978</v>
      </c>
      <c r="AK361" s="28">
        <v>895485</v>
      </c>
      <c r="AL361" s="9">
        <v>1980086</v>
      </c>
      <c r="AM361" s="9">
        <v>1655651</v>
      </c>
      <c r="AN361" s="28">
        <v>897910</v>
      </c>
      <c r="AO361" s="9">
        <v>2177668</v>
      </c>
      <c r="AP361" s="9">
        <v>1807196</v>
      </c>
      <c r="AQ361" s="28">
        <v>903575</v>
      </c>
      <c r="AR361" s="9">
        <v>2248554.7171424888</v>
      </c>
      <c r="AS361" s="9">
        <v>1863952</v>
      </c>
      <c r="AT361" s="28">
        <v>906755</v>
      </c>
      <c r="AU361" s="9">
        <v>2391969.2199999997</v>
      </c>
      <c r="AV361" s="9">
        <v>1973375</v>
      </c>
      <c r="AW361" s="9">
        <v>909905</v>
      </c>
      <c r="AX361" s="9">
        <v>2535730.135235467</v>
      </c>
      <c r="AY361" s="9">
        <v>2072723</v>
      </c>
      <c r="AZ361" s="28">
        <v>913025</v>
      </c>
      <c r="BA361" s="9">
        <v>2690854.48</v>
      </c>
      <c r="BB361" s="9">
        <v>2219955</v>
      </c>
      <c r="BC361" s="9">
        <v>913025</v>
      </c>
      <c r="BD361" s="9">
        <v>3117227.3600000003</v>
      </c>
      <c r="BE361" s="9">
        <v>2571713</v>
      </c>
      <c r="BF361" s="9">
        <v>916505</v>
      </c>
      <c r="BG361" s="9">
        <v>3397887.14</v>
      </c>
      <c r="BH361" s="9">
        <v>2684044</v>
      </c>
      <c r="BI361" s="9">
        <v>923645</v>
      </c>
      <c r="BJ361" s="9">
        <v>3641524.6399999997</v>
      </c>
      <c r="BK361" s="9">
        <v>2870492</v>
      </c>
      <c r="BL361" s="9">
        <v>930545</v>
      </c>
      <c r="BM361" s="9"/>
      <c r="BN361" s="9"/>
      <c r="BO361" s="9"/>
      <c r="BP361" s="9"/>
      <c r="BQ361" s="9"/>
      <c r="BR361" s="9"/>
      <c r="BS361" s="9"/>
      <c r="BT361" s="9"/>
      <c r="BU361" s="9"/>
    </row>
    <row r="362" spans="1:73">
      <c r="A362" s="6">
        <v>600</v>
      </c>
      <c r="B362" s="6" t="s">
        <v>1470</v>
      </c>
      <c r="C362" s="421">
        <v>17.5</v>
      </c>
      <c r="D362" s="9">
        <v>20024105</v>
      </c>
      <c r="E362" s="33">
        <v>16885593</v>
      </c>
      <c r="F362" s="9">
        <v>3138512</v>
      </c>
      <c r="G362" s="9">
        <v>22506705</v>
      </c>
      <c r="H362" s="9">
        <v>17791669</v>
      </c>
      <c r="I362" s="9">
        <v>4715036</v>
      </c>
      <c r="J362" s="9">
        <v>23994743</v>
      </c>
      <c r="K362" s="9">
        <v>18369316</v>
      </c>
      <c r="L362" s="9">
        <v>5625427</v>
      </c>
      <c r="M362" s="9">
        <v>25793437</v>
      </c>
      <c r="N362" s="9">
        <v>18940607</v>
      </c>
      <c r="O362" s="9">
        <v>6132157</v>
      </c>
      <c r="P362" s="9">
        <v>720673</v>
      </c>
      <c r="Q362" s="9">
        <v>26931634.808038283</v>
      </c>
      <c r="R362" s="9">
        <v>19569628</v>
      </c>
      <c r="S362" s="9">
        <v>6715773</v>
      </c>
      <c r="T362" s="9">
        <v>646234</v>
      </c>
      <c r="U362" s="9">
        <v>26278547.039999999</v>
      </c>
      <c r="V362" s="9">
        <v>19800807</v>
      </c>
      <c r="W362" s="9">
        <v>6931919</v>
      </c>
      <c r="X362" s="9">
        <v>37214</v>
      </c>
      <c r="Y362" s="9">
        <v>467099</v>
      </c>
      <c r="Z362" s="9">
        <v>26873147</v>
      </c>
      <c r="AA362" s="9">
        <v>20359612</v>
      </c>
      <c r="AB362" s="9">
        <v>6969133</v>
      </c>
      <c r="AC362" s="9">
        <v>27636880</v>
      </c>
      <c r="AD362" s="9">
        <v>20909979</v>
      </c>
      <c r="AE362" s="9">
        <v>7124121.5619999999</v>
      </c>
      <c r="AF362" s="9">
        <f>28337812+3710701+20514396</f>
        <v>52562909</v>
      </c>
      <c r="AG362" s="9">
        <f>21701014+3337251+15117599</f>
        <v>40155864</v>
      </c>
      <c r="AH362" s="9">
        <f>7198421.562+1320503+5594326</f>
        <v>14113250.561999999</v>
      </c>
      <c r="AI362" s="9">
        <v>52422543</v>
      </c>
      <c r="AJ362" s="9">
        <v>40290368</v>
      </c>
      <c r="AK362" s="28">
        <v>14254475.561999999</v>
      </c>
      <c r="AL362" s="9">
        <v>52599957</v>
      </c>
      <c r="AM362" s="9">
        <v>41315952</v>
      </c>
      <c r="AN362" s="28">
        <v>14393075.561999999</v>
      </c>
      <c r="AO362" s="9">
        <v>52547574</v>
      </c>
      <c r="AP362" s="9">
        <v>40653492</v>
      </c>
      <c r="AQ362" s="28">
        <v>14696070.561999999</v>
      </c>
      <c r="AR362" s="9">
        <v>53421566.907991789</v>
      </c>
      <c r="AS362" s="9">
        <v>42045809</v>
      </c>
      <c r="AT362" s="28">
        <v>14859360.561999999</v>
      </c>
      <c r="AU362" s="9">
        <v>55170323.107940018</v>
      </c>
      <c r="AV362" s="9">
        <v>43056913</v>
      </c>
      <c r="AW362" s="9">
        <v>15022441</v>
      </c>
      <c r="AX362" s="9">
        <v>57507919.285240643</v>
      </c>
      <c r="AY362" s="9">
        <v>45085137</v>
      </c>
      <c r="AZ362" s="28">
        <v>15185311</v>
      </c>
      <c r="BA362" s="9">
        <v>57745972.612679996</v>
      </c>
      <c r="BB362" s="9">
        <v>46230356</v>
      </c>
      <c r="BC362" s="9">
        <v>15185311</v>
      </c>
      <c r="BD362" s="9">
        <v>57822927.827799991</v>
      </c>
      <c r="BE362" s="9">
        <v>46723042</v>
      </c>
      <c r="BF362" s="9">
        <v>15338911</v>
      </c>
      <c r="BG362" s="9">
        <v>61160337.808100007</v>
      </c>
      <c r="BH362" s="9">
        <v>48377825</v>
      </c>
      <c r="BI362" s="9">
        <v>15641731</v>
      </c>
      <c r="BJ362" s="9">
        <v>64406283.823839992</v>
      </c>
      <c r="BK362" s="9">
        <v>50399193</v>
      </c>
      <c r="BL362" s="9">
        <v>15942931</v>
      </c>
      <c r="BM362" s="9"/>
      <c r="BN362" s="9"/>
      <c r="BO362" s="9"/>
      <c r="BP362" s="9"/>
      <c r="BQ362" s="9"/>
      <c r="BR362" s="9"/>
      <c r="BS362" s="9"/>
      <c r="BT362" s="9"/>
      <c r="BU362" s="9"/>
    </row>
    <row r="363" spans="1:73">
      <c r="A363" s="6">
        <v>603</v>
      </c>
      <c r="B363" s="6" t="s">
        <v>1471</v>
      </c>
      <c r="C363" s="421">
        <v>61.9</v>
      </c>
      <c r="D363" s="9">
        <v>13106574</v>
      </c>
      <c r="E363" s="33">
        <v>3602054</v>
      </c>
      <c r="F363" s="9">
        <v>9630920</v>
      </c>
      <c r="G363" s="9">
        <v>13377962</v>
      </c>
      <c r="H363" s="9">
        <v>3796726</v>
      </c>
      <c r="I363" s="9">
        <v>9810525</v>
      </c>
      <c r="J363" s="9">
        <v>14106031</v>
      </c>
      <c r="K363" s="9">
        <v>3891220</v>
      </c>
      <c r="L363" s="9">
        <v>10299351</v>
      </c>
      <c r="M363" s="9">
        <v>14355783</v>
      </c>
      <c r="N363" s="9">
        <v>4039739</v>
      </c>
      <c r="O363" s="9">
        <v>9363751</v>
      </c>
      <c r="P363" s="9">
        <v>1100461</v>
      </c>
      <c r="Q363" s="9">
        <v>14762561.506602872</v>
      </c>
      <c r="R363" s="9">
        <v>4503688</v>
      </c>
      <c r="S363" s="9">
        <v>10254928</v>
      </c>
      <c r="T363" s="9">
        <v>3946</v>
      </c>
      <c r="U363" s="9">
        <v>14205800.124</v>
      </c>
      <c r="V363" s="9">
        <v>4515273</v>
      </c>
      <c r="W363" s="9">
        <v>9659551</v>
      </c>
      <c r="X363" s="9">
        <v>51857</v>
      </c>
      <c r="Y363" s="9">
        <v>585716</v>
      </c>
      <c r="Z363" s="9">
        <v>14489416</v>
      </c>
      <c r="AA363" s="9">
        <v>4653780</v>
      </c>
      <c r="AB363" s="9">
        <v>9835636</v>
      </c>
      <c r="AC363" s="9">
        <v>14848664</v>
      </c>
      <c r="AD363" s="9">
        <v>4798921</v>
      </c>
      <c r="AE363" s="9">
        <v>10049743</v>
      </c>
      <c r="AF363" s="9">
        <v>14525980</v>
      </c>
      <c r="AG363" s="9">
        <v>4882095</v>
      </c>
      <c r="AH363" s="9">
        <v>10085868</v>
      </c>
      <c r="AI363" s="9">
        <v>14419594</v>
      </c>
      <c r="AJ363" s="9">
        <v>4988650</v>
      </c>
      <c r="AK363" s="28">
        <v>10121468</v>
      </c>
      <c r="AL363" s="9">
        <v>14523439</v>
      </c>
      <c r="AM363" s="9">
        <v>5160616</v>
      </c>
      <c r="AN363" s="28">
        <v>10156418</v>
      </c>
      <c r="AO363" s="9">
        <v>15296780</v>
      </c>
      <c r="AP363" s="9">
        <v>5502583</v>
      </c>
      <c r="AQ363" s="28">
        <v>10234243</v>
      </c>
      <c r="AR363" s="9">
        <v>15055572.515187521</v>
      </c>
      <c r="AS363" s="9">
        <v>5538278</v>
      </c>
      <c r="AT363" s="28">
        <v>10275553</v>
      </c>
      <c r="AU363" s="9">
        <v>15232490.400000002</v>
      </c>
      <c r="AV363" s="9">
        <v>5717786</v>
      </c>
      <c r="AW363" s="9">
        <v>10316023</v>
      </c>
      <c r="AX363" s="9">
        <v>15617632.338179186</v>
      </c>
      <c r="AY363" s="9">
        <v>5891351</v>
      </c>
      <c r="AZ363" s="28">
        <v>10354753</v>
      </c>
      <c r="BA363" s="9">
        <v>15339849.779999997</v>
      </c>
      <c r="BB363" s="9">
        <v>5843907</v>
      </c>
      <c r="BC363" s="9">
        <v>10354753</v>
      </c>
      <c r="BD363" s="9">
        <v>15216793.440000001</v>
      </c>
      <c r="BE363" s="9">
        <v>5725567</v>
      </c>
      <c r="BF363" s="9">
        <v>10390093</v>
      </c>
      <c r="BG363" s="9">
        <v>16371180.810000002</v>
      </c>
      <c r="BH363" s="9">
        <v>5945277</v>
      </c>
      <c r="BI363" s="9">
        <v>10460113</v>
      </c>
      <c r="BJ363" s="9">
        <v>17400551.630000003</v>
      </c>
      <c r="BK363" s="9">
        <v>6167321</v>
      </c>
      <c r="BL363" s="9">
        <v>11233231</v>
      </c>
      <c r="BM363" s="9"/>
      <c r="BN363" s="9"/>
      <c r="BO363" s="9"/>
      <c r="BP363" s="9"/>
      <c r="BQ363" s="9"/>
      <c r="BR363" s="9"/>
      <c r="BS363" s="9"/>
      <c r="BT363" s="9"/>
      <c r="BU363" s="9"/>
    </row>
    <row r="364" spans="1:73">
      <c r="A364" s="6">
        <v>605</v>
      </c>
      <c r="B364" s="6" t="s">
        <v>1472</v>
      </c>
      <c r="C364" s="421">
        <v>20.37</v>
      </c>
      <c r="D364" s="9">
        <v>15073351</v>
      </c>
      <c r="E364" s="33">
        <v>7265229</v>
      </c>
      <c r="F364" s="9">
        <v>9343785</v>
      </c>
      <c r="G364" s="9">
        <v>15860056</v>
      </c>
      <c r="H364" s="9">
        <v>8312731</v>
      </c>
      <c r="I364" s="9">
        <v>9689857</v>
      </c>
      <c r="J364" s="9">
        <v>16118464</v>
      </c>
      <c r="K364" s="9">
        <v>8736670</v>
      </c>
      <c r="L364" s="9">
        <v>9793582</v>
      </c>
      <c r="M364" s="9">
        <v>16270720</v>
      </c>
      <c r="N364" s="9">
        <v>8932603</v>
      </c>
      <c r="O364" s="9">
        <v>8844227</v>
      </c>
      <c r="P364" s="9">
        <v>1039405</v>
      </c>
      <c r="Q364" s="9">
        <v>16430082.97033493</v>
      </c>
      <c r="R364" s="9">
        <v>10908954</v>
      </c>
      <c r="S364" s="9">
        <v>9685959</v>
      </c>
      <c r="T364" s="9">
        <v>0</v>
      </c>
      <c r="U364" s="9">
        <v>15978763.512</v>
      </c>
      <c r="V364" s="9">
        <v>10987020</v>
      </c>
      <c r="W364" s="9">
        <v>9120106</v>
      </c>
      <c r="X364" s="9">
        <v>48961</v>
      </c>
      <c r="Y364" s="9">
        <v>560042</v>
      </c>
      <c r="Z364" s="9">
        <v>15588078</v>
      </c>
      <c r="AA364" s="9">
        <v>11132046</v>
      </c>
      <c r="AB364" s="9">
        <v>9169067</v>
      </c>
      <c r="AC364" s="9">
        <v>15882762</v>
      </c>
      <c r="AD364" s="9">
        <v>11359856</v>
      </c>
      <c r="AE364" s="9">
        <v>9233467</v>
      </c>
      <c r="AF364" s="9">
        <v>15889254</v>
      </c>
      <c r="AG364" s="9">
        <v>11667688</v>
      </c>
      <c r="AH364" s="9">
        <v>9272992</v>
      </c>
      <c r="AI364" s="9">
        <v>15504219</v>
      </c>
      <c r="AJ364" s="9">
        <v>11484398</v>
      </c>
      <c r="AK364" s="28">
        <v>9311217</v>
      </c>
      <c r="AL364" s="9">
        <v>15834018</v>
      </c>
      <c r="AM364" s="9">
        <v>11664726</v>
      </c>
      <c r="AN364" s="28">
        <v>9349517</v>
      </c>
      <c r="AO364" s="9">
        <v>15535447</v>
      </c>
      <c r="AP364" s="9">
        <v>11457106</v>
      </c>
      <c r="AQ364" s="28">
        <v>9431797</v>
      </c>
      <c r="AR364" s="9">
        <v>15847416.836753655</v>
      </c>
      <c r="AS364" s="9">
        <v>11645169</v>
      </c>
      <c r="AT364" s="28">
        <v>9476496.999999553</v>
      </c>
      <c r="AU364" s="9">
        <v>16044645.359999998</v>
      </c>
      <c r="AV364" s="9">
        <v>11852511</v>
      </c>
      <c r="AW364" s="9">
        <v>9519487</v>
      </c>
      <c r="AX364" s="9">
        <v>16548734.048677344</v>
      </c>
      <c r="AY364" s="9">
        <v>12082979</v>
      </c>
      <c r="AZ364" s="28">
        <v>9561457</v>
      </c>
      <c r="BA364" s="9">
        <v>16921238.979830787</v>
      </c>
      <c r="BB364" s="9">
        <v>12834959</v>
      </c>
      <c r="BC364" s="9">
        <v>9561457</v>
      </c>
      <c r="BD364" s="9">
        <v>16668696.930166688</v>
      </c>
      <c r="BE364" s="9">
        <v>12787466</v>
      </c>
      <c r="BF364" s="9">
        <v>9601357.0000003986</v>
      </c>
      <c r="BG364" s="9">
        <v>17544562.199999999</v>
      </c>
      <c r="BH364" s="9">
        <v>13310597</v>
      </c>
      <c r="BI364" s="9">
        <v>9679957.0000003986</v>
      </c>
      <c r="BJ364" s="9">
        <v>18078526.210000001</v>
      </c>
      <c r="BK364" s="9">
        <v>13803543</v>
      </c>
      <c r="BL364" s="9">
        <v>9756397.0000003986</v>
      </c>
      <c r="BM364" s="9"/>
      <c r="BN364" s="9"/>
      <c r="BO364" s="9"/>
      <c r="BP364" s="9"/>
      <c r="BQ364" s="9"/>
      <c r="BR364" s="9"/>
      <c r="BS364" s="9"/>
      <c r="BT364" s="9"/>
      <c r="BU364" s="9"/>
    </row>
    <row r="365" spans="1:73">
      <c r="A365" s="6">
        <v>610</v>
      </c>
      <c r="B365" s="6" t="s">
        <v>1473</v>
      </c>
      <c r="C365" s="421">
        <v>47.7</v>
      </c>
      <c r="D365" s="9">
        <v>16693060</v>
      </c>
      <c r="E365" s="33">
        <v>7990286</v>
      </c>
      <c r="F365" s="9">
        <v>8905601</v>
      </c>
      <c r="G365" s="9">
        <v>17725876</v>
      </c>
      <c r="H365" s="9">
        <v>8610748</v>
      </c>
      <c r="I365" s="9">
        <v>9391438</v>
      </c>
      <c r="J365" s="9">
        <v>18827304</v>
      </c>
      <c r="K365" s="9">
        <v>8914333</v>
      </c>
      <c r="L365" s="9">
        <v>9934552</v>
      </c>
      <c r="M365" s="9">
        <v>19657064</v>
      </c>
      <c r="N365" s="9">
        <v>9471071</v>
      </c>
      <c r="O365" s="9">
        <v>9246935</v>
      </c>
      <c r="P365" s="9">
        <v>1086732</v>
      </c>
      <c r="Q365" s="9">
        <v>20747434.319617227</v>
      </c>
      <c r="R365" s="9">
        <v>10251619</v>
      </c>
      <c r="S365" s="9">
        <v>10126994</v>
      </c>
      <c r="T365" s="9">
        <v>368821</v>
      </c>
      <c r="U365" s="9">
        <v>20412503.039999999</v>
      </c>
      <c r="V365" s="9">
        <v>10455439</v>
      </c>
      <c r="W365" s="9">
        <v>9882650</v>
      </c>
      <c r="X365" s="9">
        <v>53054</v>
      </c>
      <c r="Y365" s="9">
        <v>619686</v>
      </c>
      <c r="Z365" s="9">
        <v>20584849</v>
      </c>
      <c r="AA365" s="9">
        <v>10676599</v>
      </c>
      <c r="AB365" s="9">
        <v>9935704</v>
      </c>
      <c r="AC365" s="9">
        <v>20759601</v>
      </c>
      <c r="AD365" s="9">
        <v>10923476</v>
      </c>
      <c r="AE365" s="9">
        <v>10026904</v>
      </c>
      <c r="AF365" s="9">
        <v>20785812</v>
      </c>
      <c r="AG365" s="9">
        <v>11067299</v>
      </c>
      <c r="AH365" s="9">
        <v>10083104</v>
      </c>
      <c r="AI365" s="9">
        <v>20944478</v>
      </c>
      <c r="AJ365" s="9">
        <v>11060794</v>
      </c>
      <c r="AK365" s="28">
        <v>10138704</v>
      </c>
      <c r="AL365" s="9">
        <v>21651624</v>
      </c>
      <c r="AM365" s="9">
        <v>11097471</v>
      </c>
      <c r="AN365" s="28">
        <v>10554153</v>
      </c>
      <c r="AO365" s="9">
        <v>21190453</v>
      </c>
      <c r="AP365" s="9">
        <v>11043254</v>
      </c>
      <c r="AQ365" s="28">
        <v>10675483</v>
      </c>
      <c r="AR365" s="9">
        <v>21596182.828853481</v>
      </c>
      <c r="AS365" s="9">
        <v>11367955</v>
      </c>
      <c r="AT365" s="28">
        <v>10741723</v>
      </c>
      <c r="AU365" s="9">
        <v>22810309.799999997</v>
      </c>
      <c r="AV365" s="9">
        <v>11550868</v>
      </c>
      <c r="AW365" s="9">
        <v>11259442</v>
      </c>
      <c r="AX365" s="9">
        <v>23747271.339990951</v>
      </c>
      <c r="AY365" s="9">
        <v>12136491</v>
      </c>
      <c r="AZ365" s="28">
        <v>11669561</v>
      </c>
      <c r="BA365" s="9">
        <v>24646397.09</v>
      </c>
      <c r="BB365" s="9">
        <v>12303561</v>
      </c>
      <c r="BC365" s="9">
        <v>12361170</v>
      </c>
      <c r="BD365" s="9">
        <v>24454471.870000005</v>
      </c>
      <c r="BE365" s="9">
        <v>12482932</v>
      </c>
      <c r="BF365" s="9">
        <v>12426690</v>
      </c>
      <c r="BG365" s="9">
        <v>27181254.040000007</v>
      </c>
      <c r="BH365" s="9">
        <v>13193830</v>
      </c>
      <c r="BI365" s="9">
        <v>13987424</v>
      </c>
      <c r="BJ365" s="9">
        <v>29646112.5</v>
      </c>
      <c r="BK365" s="9">
        <v>13950290</v>
      </c>
      <c r="BL365" s="9">
        <v>15695823</v>
      </c>
      <c r="BM365" s="9"/>
      <c r="BN365" s="9"/>
      <c r="BO365" s="9"/>
      <c r="BP365" s="9"/>
      <c r="BQ365" s="9"/>
      <c r="BR365" s="9"/>
      <c r="BS365" s="9"/>
      <c r="BT365" s="9"/>
      <c r="BU365" s="9"/>
    </row>
    <row r="366" spans="1:73">
      <c r="A366" s="6">
        <v>615</v>
      </c>
      <c r="B366" s="6" t="s">
        <v>1474</v>
      </c>
      <c r="C366" s="421">
        <v>69.7</v>
      </c>
      <c r="D366" s="9">
        <v>17339154</v>
      </c>
      <c r="E366" s="33">
        <v>518662</v>
      </c>
      <c r="F366" s="9">
        <v>16820492</v>
      </c>
      <c r="G366" s="9">
        <v>17708359</v>
      </c>
      <c r="H366" s="9">
        <v>623845</v>
      </c>
      <c r="I366" s="9">
        <v>17084514</v>
      </c>
      <c r="J366" s="9">
        <v>18516080</v>
      </c>
      <c r="K366" s="9">
        <v>678872</v>
      </c>
      <c r="L366" s="9">
        <v>17837208</v>
      </c>
      <c r="M366" s="9">
        <v>19014821</v>
      </c>
      <c r="N366" s="9">
        <v>720901</v>
      </c>
      <c r="O366" s="9">
        <v>16370053</v>
      </c>
      <c r="P366" s="9">
        <v>1923867</v>
      </c>
      <c r="Q366" s="9">
        <v>18226670.661818184</v>
      </c>
      <c r="R366" s="9">
        <v>2067242</v>
      </c>
      <c r="S366" s="9">
        <v>17928042</v>
      </c>
      <c r="T366" s="9">
        <v>0</v>
      </c>
      <c r="U366" s="9">
        <v>17923395.240000002</v>
      </c>
      <c r="V366" s="9">
        <v>2103961</v>
      </c>
      <c r="W366" s="9">
        <v>16880687</v>
      </c>
      <c r="X366" s="9">
        <v>90623</v>
      </c>
      <c r="Y366" s="9">
        <v>1004932</v>
      </c>
      <c r="Z366" s="9">
        <v>17935653</v>
      </c>
      <c r="AA366" s="9">
        <v>2172893</v>
      </c>
      <c r="AB366" s="9">
        <v>16971310</v>
      </c>
      <c r="AC366" s="9">
        <v>17818204</v>
      </c>
      <c r="AD366" s="9">
        <v>2286653</v>
      </c>
      <c r="AE366" s="9">
        <v>17043590</v>
      </c>
      <c r="AF366" s="9">
        <v>17517520</v>
      </c>
      <c r="AG366" s="9">
        <v>2367862</v>
      </c>
      <c r="AH366" s="9">
        <v>17086740</v>
      </c>
      <c r="AI366" s="9">
        <v>17539155</v>
      </c>
      <c r="AJ366" s="9">
        <v>2500939</v>
      </c>
      <c r="AK366" s="28">
        <v>17129715</v>
      </c>
      <c r="AL366" s="9">
        <v>17879139</v>
      </c>
      <c r="AM366" s="9">
        <v>2687482</v>
      </c>
      <c r="AN366" s="28">
        <v>17172640</v>
      </c>
      <c r="AO366" s="9">
        <v>18244828</v>
      </c>
      <c r="AP366" s="9">
        <v>2897520</v>
      </c>
      <c r="AQ366" s="28">
        <v>17267570</v>
      </c>
      <c r="AR366" s="9">
        <v>18603786.772762485</v>
      </c>
      <c r="AS366" s="9">
        <v>3090653</v>
      </c>
      <c r="AT366" s="28">
        <v>17319440</v>
      </c>
      <c r="AU366" s="9">
        <v>19486246.010000002</v>
      </c>
      <c r="AV366" s="9">
        <v>3220286</v>
      </c>
      <c r="AW366" s="9">
        <v>17371580</v>
      </c>
      <c r="AX366" s="9">
        <v>20420115.158179153</v>
      </c>
      <c r="AY366" s="9">
        <v>3408285</v>
      </c>
      <c r="AZ366" s="28">
        <v>17423570</v>
      </c>
      <c r="BA366" s="9">
        <v>21729158.719999999</v>
      </c>
      <c r="BB366" s="9">
        <v>3616401</v>
      </c>
      <c r="BC366" s="9">
        <v>18112758</v>
      </c>
      <c r="BD366" s="9">
        <v>21516033.310000002</v>
      </c>
      <c r="BE366" s="9">
        <v>3826520</v>
      </c>
      <c r="BF366" s="9">
        <v>18162738</v>
      </c>
      <c r="BG366" s="9">
        <v>25100227.810000002</v>
      </c>
      <c r="BH366" s="9">
        <v>4138714</v>
      </c>
      <c r="BI366" s="9">
        <v>20961514</v>
      </c>
      <c r="BJ366" s="9">
        <v>27758995.789999995</v>
      </c>
      <c r="BK366" s="9">
        <v>4374330</v>
      </c>
      <c r="BL366" s="9">
        <v>23384666</v>
      </c>
      <c r="BM366" s="9"/>
      <c r="BN366" s="9"/>
      <c r="BO366" s="9"/>
      <c r="BP366" s="9"/>
      <c r="BQ366" s="9"/>
      <c r="BR366" s="9"/>
      <c r="BS366" s="9"/>
      <c r="BT366" s="9"/>
      <c r="BU366" s="9"/>
    </row>
    <row r="367" spans="1:73">
      <c r="A367" s="6">
        <v>616</v>
      </c>
      <c r="B367" s="6" t="s">
        <v>1039</v>
      </c>
      <c r="C367" s="421">
        <v>30.98</v>
      </c>
      <c r="D367" s="9"/>
      <c r="E367" s="33"/>
      <c r="F367" s="9"/>
      <c r="G367" s="9"/>
      <c r="H367" s="9"/>
      <c r="I367" s="9"/>
      <c r="J367" s="9"/>
      <c r="K367" s="9"/>
      <c r="L367" s="9"/>
      <c r="M367" s="9"/>
      <c r="N367" s="9"/>
      <c r="O367" s="9"/>
      <c r="P367" s="9"/>
      <c r="Q367" s="9">
        <v>0</v>
      </c>
      <c r="R367" s="9"/>
      <c r="S367" s="9"/>
      <c r="T367" s="9"/>
      <c r="U367" s="9">
        <v>16872486</v>
      </c>
      <c r="V367" s="9">
        <v>9799433.7010924481</v>
      </c>
      <c r="W367" s="9">
        <v>7802151</v>
      </c>
      <c r="X367" s="9">
        <v>41885</v>
      </c>
      <c r="Y367" s="9">
        <v>487764</v>
      </c>
      <c r="Z367" s="9">
        <v>16879384</v>
      </c>
      <c r="AA367" s="9">
        <v>9899773</v>
      </c>
      <c r="AB367" s="9">
        <v>7844036</v>
      </c>
      <c r="AC367" s="9">
        <v>17419519</v>
      </c>
      <c r="AD367" s="9">
        <v>10045000</v>
      </c>
      <c r="AE367" s="9">
        <v>7915436</v>
      </c>
      <c r="AF367" s="9">
        <v>17689265</v>
      </c>
      <c r="AG367" s="9">
        <v>10457924</v>
      </c>
      <c r="AH367" s="9">
        <v>7959611</v>
      </c>
      <c r="AI367" s="9">
        <v>18020997</v>
      </c>
      <c r="AJ367" s="9">
        <v>10736761</v>
      </c>
      <c r="AK367" s="28">
        <v>8003886</v>
      </c>
      <c r="AL367" s="9">
        <v>17776166</v>
      </c>
      <c r="AM367" s="9">
        <v>10841421</v>
      </c>
      <c r="AN367" s="28">
        <v>8047361</v>
      </c>
      <c r="AO367" s="9">
        <v>17539418</v>
      </c>
      <c r="AP367" s="9">
        <v>10906245</v>
      </c>
      <c r="AQ367" s="28">
        <v>8144051</v>
      </c>
      <c r="AR367" s="9">
        <v>17859764.734966867</v>
      </c>
      <c r="AS367" s="9">
        <v>11291639</v>
      </c>
      <c r="AT367" s="28">
        <v>8197181</v>
      </c>
      <c r="AU367" s="9">
        <v>18209773.010000002</v>
      </c>
      <c r="AV367" s="9">
        <v>11893424</v>
      </c>
      <c r="AW367" s="9">
        <v>8249321</v>
      </c>
      <c r="AX367" s="9">
        <v>19201202.775432397</v>
      </c>
      <c r="AY367" s="9">
        <v>12571064</v>
      </c>
      <c r="AZ367" s="28">
        <v>8301431</v>
      </c>
      <c r="BA367" s="9">
        <v>19068236.100000005</v>
      </c>
      <c r="BB367" s="9">
        <v>12820462</v>
      </c>
      <c r="BC367" s="9">
        <v>8301431</v>
      </c>
      <c r="BD367" s="9">
        <v>19326736.270000003</v>
      </c>
      <c r="BE367" s="9">
        <v>13326540</v>
      </c>
      <c r="BF367" s="9">
        <v>8350691</v>
      </c>
      <c r="BG367" s="9">
        <v>20782030.890000001</v>
      </c>
      <c r="BH367" s="9">
        <v>14087905</v>
      </c>
      <c r="BI367" s="9">
        <v>8450171</v>
      </c>
      <c r="BJ367" s="9">
        <v>23119470.369999997</v>
      </c>
      <c r="BK367" s="9">
        <v>14814575</v>
      </c>
      <c r="BL367" s="9">
        <v>8552891</v>
      </c>
      <c r="BM367" s="9"/>
      <c r="BN367" s="9"/>
      <c r="BO367" s="9"/>
      <c r="BP367" s="9"/>
      <c r="BQ367" s="9"/>
      <c r="BR367" s="9"/>
      <c r="BS367" s="9"/>
      <c r="BT367" s="9"/>
      <c r="BU367" s="9"/>
    </row>
    <row r="368" spans="1:73">
      <c r="A368" s="6">
        <v>618</v>
      </c>
      <c r="B368" s="6" t="s">
        <v>1475</v>
      </c>
      <c r="C368" s="421">
        <v>17.5</v>
      </c>
      <c r="D368" s="9">
        <v>8878410</v>
      </c>
      <c r="E368" s="33">
        <v>10098842</v>
      </c>
      <c r="F368" s="9">
        <v>2672816.7999999998</v>
      </c>
      <c r="G368" s="9">
        <v>9250332</v>
      </c>
      <c r="H368" s="9">
        <v>10102954</v>
      </c>
      <c r="I368" s="9">
        <v>2737902.8</v>
      </c>
      <c r="J368" s="9">
        <v>9395655</v>
      </c>
      <c r="K368" s="9">
        <v>9910102</v>
      </c>
      <c r="L368" s="9">
        <v>2793902.8</v>
      </c>
      <c r="M368" s="9">
        <v>9799535</v>
      </c>
      <c r="N368" s="9">
        <v>9631380</v>
      </c>
      <c r="O368" s="9">
        <v>2563329.7999999998</v>
      </c>
      <c r="P368" s="9">
        <v>301252</v>
      </c>
      <c r="Q368" s="9">
        <v>9958320.0275598094</v>
      </c>
      <c r="R368" s="9">
        <v>9695771</v>
      </c>
      <c r="S368" s="9">
        <v>2807290</v>
      </c>
      <c r="T368" s="9">
        <v>0</v>
      </c>
      <c r="U368" s="9">
        <v>9969549.1140000001</v>
      </c>
      <c r="V368" s="9">
        <v>9487659</v>
      </c>
      <c r="W368" s="9">
        <v>2643288</v>
      </c>
      <c r="X368" s="9">
        <v>14190</v>
      </c>
      <c r="Y368" s="9">
        <v>177387</v>
      </c>
      <c r="Z368" s="9">
        <v>9915801</v>
      </c>
      <c r="AA368" s="9">
        <v>9513236</v>
      </c>
      <c r="AB368" s="9">
        <v>2657478</v>
      </c>
      <c r="AC368" s="9">
        <v>10178607</v>
      </c>
      <c r="AD368" s="9">
        <v>9534109</v>
      </c>
      <c r="AE368" s="9">
        <v>2700038</v>
      </c>
      <c r="AF368" s="9">
        <v>10635683</v>
      </c>
      <c r="AG368" s="9">
        <v>9671358</v>
      </c>
      <c r="AH368" s="9">
        <v>2726838</v>
      </c>
      <c r="AI368" s="9">
        <v>10662018</v>
      </c>
      <c r="AJ368" s="9">
        <v>9324675</v>
      </c>
      <c r="AK368" s="28">
        <v>2753513</v>
      </c>
      <c r="AL368" s="9">
        <v>10878643</v>
      </c>
      <c r="AM368" s="9">
        <v>9349872</v>
      </c>
      <c r="AN368" s="28">
        <v>2780663</v>
      </c>
      <c r="AO368" s="9">
        <v>11414759</v>
      </c>
      <c r="AP368" s="9">
        <v>9456019</v>
      </c>
      <c r="AQ368" s="28">
        <v>2839128</v>
      </c>
      <c r="AR368" s="9">
        <v>11592012.389038036</v>
      </c>
      <c r="AS368" s="9">
        <v>9603359</v>
      </c>
      <c r="AT368" s="28">
        <v>2871498</v>
      </c>
      <c r="AU368" s="9">
        <v>11863555.439999999</v>
      </c>
      <c r="AV368" s="9">
        <v>9773550</v>
      </c>
      <c r="AW368" s="9">
        <v>2903088</v>
      </c>
      <c r="AX368" s="9">
        <v>12066016.316021007</v>
      </c>
      <c r="AY368" s="9">
        <v>9920455</v>
      </c>
      <c r="AZ368" s="28">
        <v>2933388</v>
      </c>
      <c r="BA368" s="9">
        <v>11846383.439999999</v>
      </c>
      <c r="BB368" s="9">
        <v>9773266</v>
      </c>
      <c r="BC368" s="9">
        <v>2933388</v>
      </c>
      <c r="BD368" s="9">
        <v>11959904.129880402</v>
      </c>
      <c r="BE368" s="9">
        <v>9866921</v>
      </c>
      <c r="BF368" s="9">
        <v>2961498</v>
      </c>
      <c r="BG368" s="9">
        <v>13314694.690000001</v>
      </c>
      <c r="BH368" s="9">
        <v>10497795</v>
      </c>
      <c r="BI368" s="9">
        <v>3017538</v>
      </c>
      <c r="BJ368" s="9">
        <v>14027795.750000002</v>
      </c>
      <c r="BK368" s="9">
        <v>11020467</v>
      </c>
      <c r="BL368" s="9">
        <v>3072618</v>
      </c>
      <c r="BM368" s="9"/>
      <c r="BN368" s="9"/>
      <c r="BO368" s="9"/>
      <c r="BP368" s="9"/>
      <c r="BQ368" s="9"/>
      <c r="BR368" s="9"/>
      <c r="BS368" s="9"/>
      <c r="BT368" s="9"/>
      <c r="BU368" s="9"/>
    </row>
    <row r="369" spans="1:73">
      <c r="A369" s="6">
        <v>620</v>
      </c>
      <c r="B369" s="6" t="s">
        <v>1476</v>
      </c>
      <c r="C369" s="421">
        <v>17.5</v>
      </c>
      <c r="D369" s="9">
        <v>2881502</v>
      </c>
      <c r="E369" s="33">
        <v>2980030</v>
      </c>
      <c r="F369" s="9">
        <v>790482</v>
      </c>
      <c r="G369" s="9">
        <v>3230183</v>
      </c>
      <c r="H369" s="9">
        <v>3023460</v>
      </c>
      <c r="I369" s="9">
        <v>851501</v>
      </c>
      <c r="J369" s="9">
        <v>3463889</v>
      </c>
      <c r="K369" s="9">
        <v>3187414</v>
      </c>
      <c r="L369" s="9">
        <v>892400</v>
      </c>
      <c r="M369" s="9">
        <v>3734852</v>
      </c>
      <c r="N369" s="9">
        <v>3255818</v>
      </c>
      <c r="O369" s="9">
        <v>840984</v>
      </c>
      <c r="P369" s="9">
        <v>98835</v>
      </c>
      <c r="Q369" s="9">
        <v>3848242.2752153119</v>
      </c>
      <c r="R369" s="9">
        <v>3256016</v>
      </c>
      <c r="S369" s="9">
        <v>921023</v>
      </c>
      <c r="T369" s="9">
        <v>0</v>
      </c>
      <c r="U369" s="9">
        <v>3748889.16</v>
      </c>
      <c r="V369" s="9">
        <v>3345125</v>
      </c>
      <c r="W369" s="9">
        <v>867217</v>
      </c>
      <c r="X369" s="9">
        <v>4656</v>
      </c>
      <c r="Y369" s="9">
        <v>59925</v>
      </c>
      <c r="Z369" s="9">
        <v>3766444</v>
      </c>
      <c r="AA369" s="9">
        <v>3420481</v>
      </c>
      <c r="AB369" s="9">
        <v>871873</v>
      </c>
      <c r="AC369" s="9">
        <f>3871973+250741+384591</f>
        <v>4507305</v>
      </c>
      <c r="AD369" s="9">
        <v>3391112</v>
      </c>
      <c r="AE369" s="9">
        <f>888833+78723+56292</f>
        <v>1023848</v>
      </c>
      <c r="AF369" s="9">
        <v>4631328</v>
      </c>
      <c r="AG369" s="9">
        <v>4040189</v>
      </c>
      <c r="AH369" s="9">
        <v>1036398</v>
      </c>
      <c r="AI369" s="9">
        <v>4817370</v>
      </c>
      <c r="AJ369" s="9">
        <v>4122172</v>
      </c>
      <c r="AK369" s="28">
        <v>1049323</v>
      </c>
      <c r="AL369" s="9">
        <v>5052434</v>
      </c>
      <c r="AM369" s="9">
        <v>4334259</v>
      </c>
      <c r="AN369" s="28">
        <v>1062648</v>
      </c>
      <c r="AO369" s="9">
        <v>5023757</v>
      </c>
      <c r="AP369" s="9">
        <v>4202073</v>
      </c>
      <c r="AQ369" s="28">
        <v>1091688</v>
      </c>
      <c r="AR369" s="9">
        <v>5247616.0529560801</v>
      </c>
      <c r="AS369" s="9">
        <v>4352079</v>
      </c>
      <c r="AT369" s="28">
        <v>1107888</v>
      </c>
      <c r="AU369" s="9">
        <v>5654505.5700000003</v>
      </c>
      <c r="AV369" s="9">
        <v>4534769</v>
      </c>
      <c r="AW369" s="9">
        <v>2111104</v>
      </c>
      <c r="AX369" s="9">
        <v>9927446.3516566418</v>
      </c>
      <c r="AY369" s="9">
        <v>8048259</v>
      </c>
      <c r="AZ369" s="28">
        <v>2139724</v>
      </c>
      <c r="BA369" s="9">
        <v>10107518.1</v>
      </c>
      <c r="BB369" s="9">
        <v>8212670</v>
      </c>
      <c r="BC369" s="9">
        <v>2139724</v>
      </c>
      <c r="BD369" s="9">
        <v>10696909.850000001</v>
      </c>
      <c r="BE369" s="9">
        <v>8558303</v>
      </c>
      <c r="BF369" s="9">
        <v>2169034</v>
      </c>
      <c r="BG369" s="9">
        <v>11425016.279999997</v>
      </c>
      <c r="BH369" s="9">
        <v>8986309</v>
      </c>
      <c r="BI369" s="9">
        <v>2438707</v>
      </c>
      <c r="BJ369" s="9">
        <v>12479595.730000002</v>
      </c>
      <c r="BK369" s="9">
        <v>9682981</v>
      </c>
      <c r="BL369" s="9">
        <v>2796615</v>
      </c>
      <c r="BM369" s="9"/>
      <c r="BN369" s="9"/>
      <c r="BO369" s="9"/>
      <c r="BP369" s="9"/>
      <c r="BQ369" s="9"/>
      <c r="BR369" s="9"/>
      <c r="BS369" s="9"/>
      <c r="BT369" s="9"/>
      <c r="BU369" s="9"/>
    </row>
    <row r="370" spans="1:73">
      <c r="A370" s="6">
        <v>622</v>
      </c>
      <c r="B370" s="6" t="s">
        <v>1477</v>
      </c>
      <c r="C370" s="421">
        <v>45.15</v>
      </c>
      <c r="D370" s="9">
        <v>15426759</v>
      </c>
      <c r="E370" s="33">
        <v>5876193</v>
      </c>
      <c r="F370" s="9">
        <v>10378194</v>
      </c>
      <c r="G370" s="9">
        <v>15675653</v>
      </c>
      <c r="H370" s="9">
        <v>6231925</v>
      </c>
      <c r="I370" s="9">
        <v>10509983</v>
      </c>
      <c r="J370" s="9">
        <v>16290966</v>
      </c>
      <c r="K370" s="9">
        <v>6659559</v>
      </c>
      <c r="L370" s="9">
        <v>10845267</v>
      </c>
      <c r="M370" s="9">
        <v>17163606</v>
      </c>
      <c r="N370" s="9">
        <v>6723921</v>
      </c>
      <c r="O370" s="9">
        <v>10139052</v>
      </c>
      <c r="P370" s="9">
        <v>1191577</v>
      </c>
      <c r="Q370" s="9">
        <v>17821603.166315794</v>
      </c>
      <c r="R370" s="9">
        <v>7213787</v>
      </c>
      <c r="S370" s="9">
        <v>11104016</v>
      </c>
      <c r="T370" s="9">
        <v>0</v>
      </c>
      <c r="U370" s="9">
        <v>17631668.597999997</v>
      </c>
      <c r="V370" s="9">
        <v>7334869</v>
      </c>
      <c r="W370" s="9">
        <v>10455320</v>
      </c>
      <c r="X370" s="9">
        <v>56129</v>
      </c>
      <c r="Y370" s="9">
        <v>643892</v>
      </c>
      <c r="Z370" s="9">
        <v>17725268</v>
      </c>
      <c r="AA370" s="9">
        <v>7567852</v>
      </c>
      <c r="AB370" s="9">
        <v>10511449</v>
      </c>
      <c r="AC370" s="9">
        <v>18008630</v>
      </c>
      <c r="AD370" s="9">
        <v>7894508</v>
      </c>
      <c r="AE370" s="9">
        <v>10589769</v>
      </c>
      <c r="AF370" s="9">
        <v>17925439</v>
      </c>
      <c r="AG370" s="9">
        <v>8081231</v>
      </c>
      <c r="AH370" s="9">
        <v>10637619</v>
      </c>
      <c r="AI370" s="9">
        <v>17804636</v>
      </c>
      <c r="AJ370" s="9">
        <v>8183978</v>
      </c>
      <c r="AK370" s="28">
        <v>10684594</v>
      </c>
      <c r="AL370" s="9">
        <v>17580139</v>
      </c>
      <c r="AM370" s="9">
        <v>8234791</v>
      </c>
      <c r="AN370" s="28">
        <v>10729594</v>
      </c>
      <c r="AO370" s="9">
        <v>17055908</v>
      </c>
      <c r="AP370" s="9">
        <v>8133559</v>
      </c>
      <c r="AQ370" s="28">
        <v>10826779</v>
      </c>
      <c r="AR370" s="9">
        <v>17728142.592629228</v>
      </c>
      <c r="AS370" s="9">
        <v>8280761</v>
      </c>
      <c r="AT370" s="28">
        <v>10880269</v>
      </c>
      <c r="AU370" s="9">
        <v>18045228.880000003</v>
      </c>
      <c r="AV370" s="9">
        <v>8455406</v>
      </c>
      <c r="AW370" s="9">
        <v>10932919</v>
      </c>
      <c r="AX370" s="9">
        <v>18718435.629910786</v>
      </c>
      <c r="AY370" s="9">
        <v>8774546</v>
      </c>
      <c r="AZ370" s="28">
        <v>10985239</v>
      </c>
      <c r="BA370" s="9">
        <v>19305133.509999998</v>
      </c>
      <c r="BB370" s="9">
        <v>9159231</v>
      </c>
      <c r="BC370" s="9">
        <v>10985239</v>
      </c>
      <c r="BD370" s="9">
        <v>19313058.34</v>
      </c>
      <c r="BE370" s="9">
        <v>9358379</v>
      </c>
      <c r="BF370" s="9">
        <v>11035489</v>
      </c>
      <c r="BG370" s="9">
        <v>20463628.09</v>
      </c>
      <c r="BH370" s="9">
        <v>9949334</v>
      </c>
      <c r="BI370" s="9">
        <v>11133169</v>
      </c>
      <c r="BJ370" s="9">
        <v>21242438.940000005</v>
      </c>
      <c r="BK370" s="9">
        <v>10531596</v>
      </c>
      <c r="BL370" s="9">
        <v>11228029</v>
      </c>
      <c r="BM370" s="9"/>
      <c r="BN370" s="9"/>
      <c r="BO370" s="9"/>
      <c r="BP370" s="9"/>
      <c r="BQ370" s="9"/>
      <c r="BR370" s="9"/>
      <c r="BS370" s="9"/>
      <c r="BT370" s="9"/>
      <c r="BU370" s="9"/>
    </row>
    <row r="371" spans="1:73">
      <c r="A371" s="6">
        <v>625</v>
      </c>
      <c r="B371" s="6" t="s">
        <v>1478</v>
      </c>
      <c r="C371" s="421">
        <v>38.22</v>
      </c>
      <c r="D371" s="9">
        <v>40912576</v>
      </c>
      <c r="E371" s="33">
        <v>21884965</v>
      </c>
      <c r="F371" s="9">
        <v>19283254</v>
      </c>
      <c r="G371" s="9">
        <v>41935929</v>
      </c>
      <c r="H371" s="9">
        <v>23349196</v>
      </c>
      <c r="I371" s="9">
        <v>19665067</v>
      </c>
      <c r="J371" s="9">
        <v>44782550</v>
      </c>
      <c r="K371" s="9">
        <v>24739437</v>
      </c>
      <c r="L371" s="9">
        <v>20734543</v>
      </c>
      <c r="M371" s="9">
        <v>47098996</v>
      </c>
      <c r="N371" s="9">
        <v>25851193</v>
      </c>
      <c r="O371" s="9">
        <v>19340030</v>
      </c>
      <c r="P371" s="9">
        <v>2272909</v>
      </c>
      <c r="Q371" s="9">
        <v>48428019.06526316</v>
      </c>
      <c r="R371" s="9">
        <v>27952831</v>
      </c>
      <c r="S371" s="9">
        <v>21180680</v>
      </c>
      <c r="T371" s="9">
        <v>0</v>
      </c>
      <c r="U371" s="9">
        <v>47983788.083999999</v>
      </c>
      <c r="V371" s="9">
        <v>28495798</v>
      </c>
      <c r="W371" s="9">
        <v>19943306</v>
      </c>
      <c r="X371" s="9">
        <v>107065</v>
      </c>
      <c r="Y371" s="9">
        <v>1272209</v>
      </c>
      <c r="Z371" s="9">
        <v>48390610</v>
      </c>
      <c r="AA371" s="9">
        <v>29073200</v>
      </c>
      <c r="AB371" s="9">
        <v>20050371</v>
      </c>
      <c r="AC371" s="9">
        <v>49427213</v>
      </c>
      <c r="AD371" s="9">
        <v>30075604</v>
      </c>
      <c r="AE371" s="9">
        <v>20269571</v>
      </c>
      <c r="AF371" s="9">
        <v>49488995</v>
      </c>
      <c r="AG371" s="9">
        <v>30660371</v>
      </c>
      <c r="AH371" s="9">
        <v>20403671</v>
      </c>
      <c r="AI371" s="9">
        <v>49690981</v>
      </c>
      <c r="AJ371" s="9">
        <v>31221396</v>
      </c>
      <c r="AK371" s="28">
        <v>20536596</v>
      </c>
      <c r="AL371" s="9">
        <v>51489038</v>
      </c>
      <c r="AM371" s="9">
        <v>31846579</v>
      </c>
      <c r="AN371" s="28">
        <v>20671771</v>
      </c>
      <c r="AO371" s="9">
        <v>51178987</v>
      </c>
      <c r="AP371" s="9">
        <v>31816877</v>
      </c>
      <c r="AQ371" s="28">
        <v>20968661</v>
      </c>
      <c r="AR371" s="9">
        <v>52866849.261870295</v>
      </c>
      <c r="AS371" s="9">
        <v>32583398</v>
      </c>
      <c r="AT371" s="28">
        <v>21132011</v>
      </c>
      <c r="AU371" s="9">
        <v>54041579.230000004</v>
      </c>
      <c r="AV371" s="9">
        <v>34169692</v>
      </c>
      <c r="AW371" s="9">
        <v>21293351</v>
      </c>
      <c r="AX371" s="9">
        <v>57734650.603288382</v>
      </c>
      <c r="AY371" s="9">
        <v>35678127</v>
      </c>
      <c r="AZ371" s="28">
        <v>22061362</v>
      </c>
      <c r="BA371" s="9">
        <v>59327586.659999996</v>
      </c>
      <c r="BB371" s="9">
        <v>36619588</v>
      </c>
      <c r="BC371" s="9">
        <v>22716693</v>
      </c>
      <c r="BD371" s="9">
        <v>60696669.610000007</v>
      </c>
      <c r="BE371" s="9">
        <v>37575602</v>
      </c>
      <c r="BF371" s="9">
        <v>23266232</v>
      </c>
      <c r="BG371" s="9">
        <v>67218280.400000006</v>
      </c>
      <c r="BH371" s="9">
        <v>39672721</v>
      </c>
      <c r="BI371" s="9">
        <v>27545559</v>
      </c>
      <c r="BJ371" s="9">
        <v>73247622.790000021</v>
      </c>
      <c r="BK371" s="9">
        <v>42311090</v>
      </c>
      <c r="BL371" s="9">
        <v>30936533</v>
      </c>
      <c r="BM371" s="9"/>
      <c r="BN371" s="9"/>
      <c r="BO371" s="9"/>
      <c r="BP371" s="9"/>
      <c r="BQ371" s="9"/>
      <c r="BR371" s="9"/>
      <c r="BS371" s="9"/>
      <c r="BT371" s="9"/>
      <c r="BU371" s="9"/>
    </row>
    <row r="372" spans="1:73">
      <c r="A372" s="6">
        <v>632</v>
      </c>
      <c r="B372" s="6" t="s">
        <v>1044</v>
      </c>
      <c r="C372" s="421">
        <v>30.99</v>
      </c>
      <c r="D372" s="9">
        <v>1195209</v>
      </c>
      <c r="E372" s="33">
        <v>674787</v>
      </c>
      <c r="F372" s="9">
        <v>646741</v>
      </c>
      <c r="G372" s="9">
        <v>1312143</v>
      </c>
      <c r="H372" s="9">
        <v>731037</v>
      </c>
      <c r="I372" s="9">
        <v>711347</v>
      </c>
      <c r="J372" s="9">
        <v>1277283</v>
      </c>
      <c r="K372" s="9">
        <v>717531</v>
      </c>
      <c r="L372" s="9">
        <v>719547</v>
      </c>
      <c r="M372" s="9">
        <v>1377086</v>
      </c>
      <c r="N372" s="9">
        <v>699752</v>
      </c>
      <c r="O372" s="9">
        <v>691531</v>
      </c>
      <c r="P372" s="9">
        <v>81271</v>
      </c>
      <c r="Q372" s="9">
        <v>1450752.9125358853</v>
      </c>
      <c r="R372" s="9">
        <v>732969</v>
      </c>
      <c r="S372" s="9">
        <v>757346</v>
      </c>
      <c r="T372" s="9">
        <v>0</v>
      </c>
      <c r="U372" s="9">
        <v>1401680.358</v>
      </c>
      <c r="V372" s="9">
        <v>744562</v>
      </c>
      <c r="W372" s="9">
        <v>713102</v>
      </c>
      <c r="X372" s="9">
        <v>3828</v>
      </c>
      <c r="Y372" s="9">
        <v>44616</v>
      </c>
      <c r="Z372" s="9">
        <v>1350534</v>
      </c>
      <c r="AA372" s="9">
        <v>753143</v>
      </c>
      <c r="AB372" s="9">
        <v>716930</v>
      </c>
      <c r="AC372" s="9">
        <v>1413142</v>
      </c>
      <c r="AD372" s="9">
        <v>785219</v>
      </c>
      <c r="AE372" s="9">
        <v>723330</v>
      </c>
      <c r="AF372" s="9">
        <v>1413824</v>
      </c>
      <c r="AG372" s="9">
        <v>797176</v>
      </c>
      <c r="AH372" s="9">
        <v>727230</v>
      </c>
      <c r="AI372" s="9">
        <v>1269753</v>
      </c>
      <c r="AJ372" s="9">
        <v>783121</v>
      </c>
      <c r="AK372" s="28">
        <v>730880</v>
      </c>
      <c r="AL372" s="9">
        <v>1290268</v>
      </c>
      <c r="AM372" s="9">
        <v>795911</v>
      </c>
      <c r="AN372" s="28">
        <v>734280</v>
      </c>
      <c r="AO372" s="9">
        <v>1239669</v>
      </c>
      <c r="AP372" s="9">
        <v>767824</v>
      </c>
      <c r="AQ372" s="28">
        <v>741100</v>
      </c>
      <c r="AR372" s="9">
        <v>1195139.8127151553</v>
      </c>
      <c r="AS372" s="9">
        <v>763068</v>
      </c>
      <c r="AT372" s="28">
        <v>744760</v>
      </c>
      <c r="AU372" s="9">
        <v>1273267</v>
      </c>
      <c r="AV372" s="9">
        <v>786037</v>
      </c>
      <c r="AW372" s="9">
        <v>748510</v>
      </c>
      <c r="AX372" s="9">
        <v>1171005.0238210852</v>
      </c>
      <c r="AY372" s="9">
        <v>742974</v>
      </c>
      <c r="AZ372" s="28">
        <v>751930</v>
      </c>
      <c r="BA372" s="9">
        <v>1184019.3600000001</v>
      </c>
      <c r="BB372" s="9">
        <v>774310</v>
      </c>
      <c r="BC372" s="9">
        <v>751930</v>
      </c>
      <c r="BD372" s="9">
        <v>1138617.54</v>
      </c>
      <c r="BE372" s="9">
        <v>808979</v>
      </c>
      <c r="BF372" s="9">
        <v>754930</v>
      </c>
      <c r="BG372" s="9">
        <v>1538719.12</v>
      </c>
      <c r="BH372" s="9">
        <v>991104</v>
      </c>
      <c r="BI372" s="9">
        <v>762250</v>
      </c>
      <c r="BJ372" s="9">
        <v>1596663.71</v>
      </c>
      <c r="BK372" s="9">
        <v>1065120</v>
      </c>
      <c r="BL372" s="9">
        <v>769270</v>
      </c>
      <c r="BM372" s="9"/>
      <c r="BN372" s="9"/>
      <c r="BO372" s="9"/>
      <c r="BP372" s="9"/>
      <c r="BQ372" s="9"/>
      <c r="BR372" s="9"/>
      <c r="BS372" s="9"/>
      <c r="BT372" s="9"/>
      <c r="BU372" s="9"/>
    </row>
    <row r="373" spans="1:73">
      <c r="A373" s="6">
        <v>635</v>
      </c>
      <c r="B373" s="6" t="s">
        <v>1479</v>
      </c>
      <c r="C373" s="421">
        <v>38.61</v>
      </c>
      <c r="D373" s="9">
        <v>16411075</v>
      </c>
      <c r="E373" s="33">
        <v>9277515</v>
      </c>
      <c r="F373" s="9">
        <v>7747832.0000000009</v>
      </c>
      <c r="G373" s="9">
        <v>17068928</v>
      </c>
      <c r="H373" s="9">
        <v>9492361</v>
      </c>
      <c r="I373" s="9">
        <v>8092876.0000000009</v>
      </c>
      <c r="J373" s="9">
        <v>17956787</v>
      </c>
      <c r="K373" s="9">
        <v>9547848</v>
      </c>
      <c r="L373" s="9">
        <v>8550035</v>
      </c>
      <c r="M373" s="9">
        <v>18638347</v>
      </c>
      <c r="N373" s="9">
        <v>9708028</v>
      </c>
      <c r="O373" s="9">
        <v>7991169</v>
      </c>
      <c r="P373" s="9">
        <v>939150</v>
      </c>
      <c r="Q373" s="9">
        <v>18841797.769186605</v>
      </c>
      <c r="R373" s="9">
        <v>10035980</v>
      </c>
      <c r="S373" s="9">
        <v>8751713</v>
      </c>
      <c r="T373" s="9">
        <v>54105</v>
      </c>
      <c r="U373" s="9">
        <v>17732901.377999999</v>
      </c>
      <c r="V373" s="9">
        <v>10045858</v>
      </c>
      <c r="W373" s="9">
        <v>8291382</v>
      </c>
      <c r="X373" s="9">
        <v>44512</v>
      </c>
      <c r="Y373" s="9">
        <v>520024</v>
      </c>
      <c r="Z373" s="9">
        <v>17880776</v>
      </c>
      <c r="AA373" s="9">
        <v>10085382</v>
      </c>
      <c r="AB373" s="9">
        <v>8335894</v>
      </c>
      <c r="AC373" s="9">
        <v>17613394</v>
      </c>
      <c r="AD373" s="9">
        <v>10334614</v>
      </c>
      <c r="AE373" s="9">
        <v>8410334</v>
      </c>
      <c r="AF373" s="9">
        <v>17159555</v>
      </c>
      <c r="AG373" s="9">
        <v>10602338</v>
      </c>
      <c r="AH373" s="9">
        <v>8454734</v>
      </c>
      <c r="AI373" s="9">
        <v>16974405</v>
      </c>
      <c r="AJ373" s="9">
        <v>10521566</v>
      </c>
      <c r="AK373" s="28">
        <v>8498034</v>
      </c>
      <c r="AL373" s="9">
        <v>16927679</v>
      </c>
      <c r="AM373" s="9">
        <v>10815311</v>
      </c>
      <c r="AN373" s="28">
        <v>8540559</v>
      </c>
      <c r="AO373" s="9">
        <v>16389265</v>
      </c>
      <c r="AP373" s="9">
        <v>10548832</v>
      </c>
      <c r="AQ373" s="28">
        <v>8629219</v>
      </c>
      <c r="AR373" s="9">
        <v>16770478.528573444</v>
      </c>
      <c r="AS373" s="9">
        <v>10582972</v>
      </c>
      <c r="AT373" s="28">
        <v>8677909</v>
      </c>
      <c r="AU373" s="9">
        <v>17387170.660173871</v>
      </c>
      <c r="AV373" s="9">
        <v>10650195</v>
      </c>
      <c r="AW373" s="9">
        <v>8726209.0000004824</v>
      </c>
      <c r="AX373" s="9">
        <v>17917236.795122694</v>
      </c>
      <c r="AY373" s="9">
        <v>10887646</v>
      </c>
      <c r="AZ373" s="28">
        <v>8773249</v>
      </c>
      <c r="BA373" s="9">
        <v>17769137.719999999</v>
      </c>
      <c r="BB373" s="9">
        <v>10821874</v>
      </c>
      <c r="BC373" s="9">
        <v>8773249</v>
      </c>
      <c r="BD373" s="9">
        <v>18403560.679815963</v>
      </c>
      <c r="BE373" s="9">
        <v>11139154</v>
      </c>
      <c r="BF373" s="9">
        <v>8818729</v>
      </c>
      <c r="BG373" s="9">
        <v>20199482.520201996</v>
      </c>
      <c r="BH373" s="9">
        <v>11643487</v>
      </c>
      <c r="BI373" s="9">
        <v>8909149.0000009034</v>
      </c>
      <c r="BJ373" s="9">
        <v>21682070.819999997</v>
      </c>
      <c r="BK373" s="9">
        <v>12180728</v>
      </c>
      <c r="BL373" s="9">
        <v>9501343</v>
      </c>
      <c r="BM373" s="9"/>
      <c r="BN373" s="9"/>
      <c r="BO373" s="9"/>
      <c r="BP373" s="9"/>
      <c r="BQ373" s="9"/>
      <c r="BR373" s="9"/>
      <c r="BS373" s="9"/>
      <c r="BT373" s="9"/>
      <c r="BU373" s="9"/>
    </row>
    <row r="374" spans="1:73">
      <c r="A374" s="6">
        <v>640</v>
      </c>
      <c r="B374" s="6" t="s">
        <v>1480</v>
      </c>
      <c r="C374" s="421">
        <v>17.5</v>
      </c>
      <c r="D374" s="9">
        <v>9779664</v>
      </c>
      <c r="E374" s="33">
        <v>11276561</v>
      </c>
      <c r="F374" s="9">
        <v>1482929.2</v>
      </c>
      <c r="G374" s="9">
        <v>11043068</v>
      </c>
      <c r="H374" s="9">
        <v>11833214</v>
      </c>
      <c r="I374" s="9">
        <v>1704025.2</v>
      </c>
      <c r="J374" s="9">
        <v>11535486</v>
      </c>
      <c r="K374" s="9">
        <v>12039761</v>
      </c>
      <c r="L374" s="9">
        <v>1798430.2</v>
      </c>
      <c r="M374" s="9">
        <v>12261008</v>
      </c>
      <c r="N374" s="9">
        <v>11881005</v>
      </c>
      <c r="O374" s="9">
        <v>1722913.2</v>
      </c>
      <c r="P374" s="9">
        <v>202483</v>
      </c>
      <c r="Q374" s="9">
        <v>12736972.591770336</v>
      </c>
      <c r="R374" s="9">
        <v>12027622</v>
      </c>
      <c r="S374" s="9">
        <v>1886888</v>
      </c>
      <c r="T374" s="9">
        <v>0</v>
      </c>
      <c r="U374" s="9">
        <v>12226662.599999998</v>
      </c>
      <c r="V374" s="9">
        <v>11610510</v>
      </c>
      <c r="W374" s="9">
        <v>1776656</v>
      </c>
      <c r="X374" s="9">
        <v>9538</v>
      </c>
      <c r="Y374" s="9">
        <v>132844</v>
      </c>
      <c r="Z374" s="9">
        <v>12055418</v>
      </c>
      <c r="AA374" s="9">
        <v>11452179</v>
      </c>
      <c r="AB374" s="9">
        <v>1786194</v>
      </c>
      <c r="AC374" s="9">
        <v>12584072</v>
      </c>
      <c r="AD374" s="9">
        <v>11667076</v>
      </c>
      <c r="AE374" s="9">
        <v>1836274</v>
      </c>
      <c r="AF374" s="9">
        <v>12876490</v>
      </c>
      <c r="AG374" s="9">
        <v>11748056</v>
      </c>
      <c r="AH374" s="9">
        <v>1867899</v>
      </c>
      <c r="AI374" s="9">
        <v>13172186</v>
      </c>
      <c r="AJ374" s="9">
        <v>11470046</v>
      </c>
      <c r="AK374" s="28">
        <v>2020931</v>
      </c>
      <c r="AL374" s="9">
        <v>13659882</v>
      </c>
      <c r="AM374" s="9">
        <v>11719574</v>
      </c>
      <c r="AN374" s="28">
        <v>2053456</v>
      </c>
      <c r="AO374" s="9">
        <v>14101517</v>
      </c>
      <c r="AP374" s="9">
        <v>11779839</v>
      </c>
      <c r="AQ374" s="28">
        <v>2321678</v>
      </c>
      <c r="AR374" s="9">
        <v>14235386.188628448</v>
      </c>
      <c r="AS374" s="9">
        <v>11805585</v>
      </c>
      <c r="AT374" s="28">
        <v>2429801</v>
      </c>
      <c r="AU374" s="9">
        <v>14677154.57313</v>
      </c>
      <c r="AV374" s="9">
        <v>12108652</v>
      </c>
      <c r="AW374" s="9">
        <v>2568503</v>
      </c>
      <c r="AX374" s="9">
        <v>15326809.636647012</v>
      </c>
      <c r="AY374" s="9">
        <v>12636179</v>
      </c>
      <c r="AZ374" s="28">
        <v>2700821</v>
      </c>
      <c r="BA374" s="9">
        <v>15698387.201840004</v>
      </c>
      <c r="BB374" s="9">
        <v>12951170</v>
      </c>
      <c r="BC374" s="9">
        <v>2747217</v>
      </c>
      <c r="BD374" s="9">
        <v>16437449.391079996</v>
      </c>
      <c r="BE374" s="9">
        <v>13560896</v>
      </c>
      <c r="BF374" s="9">
        <v>2885882</v>
      </c>
      <c r="BG374" s="9">
        <v>17547215.867280003</v>
      </c>
      <c r="BH374" s="9">
        <v>14333307</v>
      </c>
      <c r="BI374" s="9">
        <v>3213909</v>
      </c>
      <c r="BJ374" s="9">
        <v>18206295.725200001</v>
      </c>
      <c r="BK374" s="9">
        <v>15020194</v>
      </c>
      <c r="BL374" s="9">
        <v>3294009</v>
      </c>
      <c r="BM374" s="9"/>
      <c r="BN374" s="9"/>
      <c r="BO374" s="9"/>
      <c r="BP374" s="9"/>
      <c r="BQ374" s="9"/>
      <c r="BR374" s="9"/>
      <c r="BS374" s="9"/>
      <c r="BT374" s="9"/>
      <c r="BU374" s="9"/>
    </row>
    <row r="375" spans="1:73">
      <c r="A375" s="6">
        <v>645</v>
      </c>
      <c r="B375" s="6" t="s">
        <v>1481</v>
      </c>
      <c r="C375" s="421">
        <v>17.5</v>
      </c>
      <c r="D375" s="9">
        <v>31552699</v>
      </c>
      <c r="E375" s="33">
        <v>26916269</v>
      </c>
      <c r="F375" s="9">
        <v>6323844</v>
      </c>
      <c r="G375" s="9">
        <v>31921636</v>
      </c>
      <c r="H375" s="9">
        <v>27640649</v>
      </c>
      <c r="I375" s="9">
        <v>6521044</v>
      </c>
      <c r="J375" s="9">
        <v>32866009</v>
      </c>
      <c r="K375" s="9">
        <v>28181902</v>
      </c>
      <c r="L375" s="9">
        <v>6712794</v>
      </c>
      <c r="M375" s="9">
        <v>33929083</v>
      </c>
      <c r="N375" s="9">
        <v>28230096</v>
      </c>
      <c r="O375" s="9">
        <v>6176777</v>
      </c>
      <c r="P375" s="9">
        <v>725917</v>
      </c>
      <c r="Q375" s="9">
        <v>34720683.78947369</v>
      </c>
      <c r="R375" s="9">
        <v>29362682</v>
      </c>
      <c r="S375" s="9">
        <v>6764640</v>
      </c>
      <c r="T375" s="9">
        <v>0</v>
      </c>
      <c r="U375" s="9">
        <v>33550155.035999998</v>
      </c>
      <c r="V375" s="9">
        <v>29272877</v>
      </c>
      <c r="W375" s="9">
        <v>6369450</v>
      </c>
      <c r="X375" s="9">
        <v>34194</v>
      </c>
      <c r="Y375" s="9">
        <v>452946</v>
      </c>
      <c r="Z375" s="9">
        <v>33188220</v>
      </c>
      <c r="AA375" s="9">
        <v>29829472</v>
      </c>
      <c r="AB375" s="9">
        <v>6403644</v>
      </c>
      <c r="AC375" s="9">
        <v>34159114</v>
      </c>
      <c r="AD375" s="9">
        <v>30421379</v>
      </c>
      <c r="AE375" s="9">
        <v>6543564</v>
      </c>
      <c r="AF375" s="9">
        <v>34997479</v>
      </c>
      <c r="AG375" s="9">
        <v>31287824</v>
      </c>
      <c r="AH375" s="9">
        <v>6631289</v>
      </c>
      <c r="AI375" s="9">
        <v>34668834</v>
      </c>
      <c r="AJ375" s="9">
        <v>30189585</v>
      </c>
      <c r="AK375" s="28">
        <v>6718014</v>
      </c>
      <c r="AL375" s="9">
        <v>35460503</v>
      </c>
      <c r="AM375" s="9">
        <v>30284637</v>
      </c>
      <c r="AN375" s="28">
        <v>6803239</v>
      </c>
      <c r="AO375" s="9">
        <v>36706251</v>
      </c>
      <c r="AP375" s="9">
        <v>30483143</v>
      </c>
      <c r="AQ375" s="28">
        <v>6993814</v>
      </c>
      <c r="AR375" s="9">
        <v>36833288.857110716</v>
      </c>
      <c r="AS375" s="9">
        <v>30597193</v>
      </c>
      <c r="AT375" s="28">
        <v>7095664</v>
      </c>
      <c r="AU375" s="9">
        <v>38305323.740000002</v>
      </c>
      <c r="AV375" s="9">
        <v>31508282</v>
      </c>
      <c r="AW375" s="9">
        <v>7197874</v>
      </c>
      <c r="AX375" s="9">
        <v>40299027.11670664</v>
      </c>
      <c r="AY375" s="9">
        <v>32486327</v>
      </c>
      <c r="AZ375" s="28">
        <v>7812700</v>
      </c>
      <c r="BA375" s="9">
        <v>40772315.190000005</v>
      </c>
      <c r="BB375" s="9">
        <v>32996593</v>
      </c>
      <c r="BC375" s="9">
        <v>7812700</v>
      </c>
      <c r="BD375" s="9">
        <v>40000864.339999996</v>
      </c>
      <c r="BE375" s="9">
        <v>32339804</v>
      </c>
      <c r="BF375" s="9">
        <v>7906900</v>
      </c>
      <c r="BG375" s="9">
        <v>45626329.120000012</v>
      </c>
      <c r="BH375" s="9">
        <v>35577617</v>
      </c>
      <c r="BI375" s="9">
        <v>10048712</v>
      </c>
      <c r="BJ375" s="9">
        <v>49764294.759999998</v>
      </c>
      <c r="BK375" s="9">
        <v>38104613</v>
      </c>
      <c r="BL375" s="9">
        <v>11659682</v>
      </c>
      <c r="BM375" s="9"/>
      <c r="BN375" s="9"/>
      <c r="BO375" s="9"/>
      <c r="BP375" s="9"/>
      <c r="BQ375" s="9"/>
      <c r="BR375" s="9"/>
      <c r="BS375" s="9"/>
      <c r="BT375" s="9"/>
      <c r="BU375" s="9"/>
    </row>
    <row r="376" spans="1:73">
      <c r="A376" s="6">
        <v>650</v>
      </c>
      <c r="B376" s="6" t="s">
        <v>1482</v>
      </c>
      <c r="C376" s="421">
        <v>29.35</v>
      </c>
      <c r="D376" s="9">
        <v>23502323</v>
      </c>
      <c r="E376" s="33">
        <v>12171196</v>
      </c>
      <c r="F376" s="9">
        <v>11331127</v>
      </c>
      <c r="G376" s="9">
        <v>25227557</v>
      </c>
      <c r="H376" s="9">
        <v>13220377</v>
      </c>
      <c r="I376" s="9">
        <v>12078498</v>
      </c>
      <c r="J376" s="9">
        <v>26488176</v>
      </c>
      <c r="K376" s="9">
        <v>14032590</v>
      </c>
      <c r="L376" s="9">
        <v>12595982</v>
      </c>
      <c r="M376" s="9">
        <v>27834400</v>
      </c>
      <c r="N376" s="9">
        <v>14867498</v>
      </c>
      <c r="O376" s="9">
        <v>11760784</v>
      </c>
      <c r="P376" s="9">
        <v>1382169</v>
      </c>
      <c r="Q376" s="9">
        <v>28579093.545645937</v>
      </c>
      <c r="R376" s="9">
        <v>15934995</v>
      </c>
      <c r="S376" s="9">
        <v>12880094</v>
      </c>
      <c r="T376" s="9">
        <v>0</v>
      </c>
      <c r="U376" s="9">
        <v>27227094.57</v>
      </c>
      <c r="V376" s="9">
        <v>16519761</v>
      </c>
      <c r="W376" s="9">
        <v>12127640</v>
      </c>
      <c r="X376" s="9">
        <v>65106</v>
      </c>
      <c r="Y376" s="9">
        <v>766523</v>
      </c>
      <c r="Z376" s="9">
        <v>27435686</v>
      </c>
      <c r="AA376" s="9">
        <v>16943069</v>
      </c>
      <c r="AB376" s="9">
        <v>12192746</v>
      </c>
      <c r="AC376" s="9">
        <v>28588235</v>
      </c>
      <c r="AD376" s="9">
        <v>17614915</v>
      </c>
      <c r="AE376" s="9">
        <v>12315946</v>
      </c>
      <c r="AF376" s="9">
        <v>28145868</v>
      </c>
      <c r="AG376" s="9">
        <v>17936311</v>
      </c>
      <c r="AH376" s="9">
        <v>12390171</v>
      </c>
      <c r="AI376" s="9">
        <v>28150365</v>
      </c>
      <c r="AJ376" s="9">
        <v>18051150</v>
      </c>
      <c r="AK376" s="28">
        <v>12463021</v>
      </c>
      <c r="AL376" s="9">
        <v>28723483</v>
      </c>
      <c r="AM376" s="9">
        <v>18028977</v>
      </c>
      <c r="AN376" s="28">
        <v>12536246</v>
      </c>
      <c r="AO376" s="9">
        <v>29000399</v>
      </c>
      <c r="AP376" s="9">
        <v>17773340</v>
      </c>
      <c r="AQ376" s="28">
        <v>12696956</v>
      </c>
      <c r="AR376" s="9">
        <v>28781591.615531329</v>
      </c>
      <c r="AS376" s="9">
        <v>18150262</v>
      </c>
      <c r="AT376" s="28">
        <v>12783266</v>
      </c>
      <c r="AU376" s="9">
        <v>30099135.230000004</v>
      </c>
      <c r="AV376" s="9">
        <v>18922107</v>
      </c>
      <c r="AW376" s="9">
        <v>12870026</v>
      </c>
      <c r="AX376" s="9">
        <v>31540121.095252328</v>
      </c>
      <c r="AY376" s="9">
        <v>19831231</v>
      </c>
      <c r="AZ376" s="28">
        <v>12956936</v>
      </c>
      <c r="BA376" s="9">
        <v>31470516.579999998</v>
      </c>
      <c r="BB376" s="9">
        <v>20472580</v>
      </c>
      <c r="BC376" s="9">
        <v>12956936</v>
      </c>
      <c r="BD376" s="9">
        <v>30297677.200000003</v>
      </c>
      <c r="BE376" s="9">
        <v>20851154</v>
      </c>
      <c r="BF376" s="9">
        <v>13036886</v>
      </c>
      <c r="BG376" s="9">
        <v>31909002.190000005</v>
      </c>
      <c r="BH376" s="9">
        <v>21814425</v>
      </c>
      <c r="BI376" s="9">
        <v>13193246</v>
      </c>
      <c r="BJ376" s="9">
        <v>33303334.109999999</v>
      </c>
      <c r="BK376" s="9">
        <v>22502125</v>
      </c>
      <c r="BL376" s="9">
        <v>13347866</v>
      </c>
      <c r="BM376" s="9"/>
      <c r="BN376" s="9"/>
      <c r="BO376" s="9"/>
      <c r="BP376" s="9"/>
      <c r="BQ376" s="9"/>
      <c r="BR376" s="9"/>
      <c r="BS376" s="9"/>
      <c r="BT376" s="9"/>
      <c r="BU376" s="9"/>
    </row>
    <row r="377" spans="1:73">
      <c r="A377" s="6">
        <v>655</v>
      </c>
      <c r="B377" s="6" t="s">
        <v>1483</v>
      </c>
      <c r="C377" s="421">
        <v>17.5</v>
      </c>
      <c r="D377" s="9">
        <v>7739997</v>
      </c>
      <c r="E377" s="33">
        <v>8275872</v>
      </c>
      <c r="F377" s="9">
        <v>1191754.3999999999</v>
      </c>
      <c r="G377" s="9">
        <v>8206331</v>
      </c>
      <c r="H377" s="9">
        <v>8468634</v>
      </c>
      <c r="I377" s="9">
        <v>1273362.3999999999</v>
      </c>
      <c r="J377" s="9">
        <v>8844812</v>
      </c>
      <c r="K377" s="9">
        <v>8708826</v>
      </c>
      <c r="L377" s="9">
        <v>1385096.4</v>
      </c>
      <c r="M377" s="9">
        <v>9304310</v>
      </c>
      <c r="N377" s="9">
        <v>8639071</v>
      </c>
      <c r="O377" s="9">
        <v>1311389.3999999999</v>
      </c>
      <c r="P377" s="9">
        <v>154119</v>
      </c>
      <c r="Q377" s="9">
        <v>9990853.0587559827</v>
      </c>
      <c r="R377" s="9">
        <v>9006852</v>
      </c>
      <c r="S377" s="9">
        <v>1436198</v>
      </c>
      <c r="T377" s="9">
        <v>0</v>
      </c>
      <c r="U377" s="9">
        <v>10131211.535999998</v>
      </c>
      <c r="V377" s="9">
        <v>9255639</v>
      </c>
      <c r="W377" s="9">
        <v>1352295</v>
      </c>
      <c r="X377" s="9">
        <v>7260</v>
      </c>
      <c r="Y377" s="9">
        <v>106168</v>
      </c>
      <c r="Z377" s="9">
        <v>10389452</v>
      </c>
      <c r="AA377" s="9">
        <v>9537204</v>
      </c>
      <c r="AB377" s="9">
        <v>1359555</v>
      </c>
      <c r="AC377" s="9">
        <v>11120543</v>
      </c>
      <c r="AD377" s="9">
        <v>10202046</v>
      </c>
      <c r="AE377" s="9">
        <v>1408555</v>
      </c>
      <c r="AF377" s="9">
        <v>11227795</v>
      </c>
      <c r="AG377" s="9">
        <v>10290387</v>
      </c>
      <c r="AH377" s="9">
        <v>1438730</v>
      </c>
      <c r="AI377" s="9">
        <v>11333898</v>
      </c>
      <c r="AJ377" s="9">
        <v>10098983</v>
      </c>
      <c r="AK377" s="28">
        <v>1629376</v>
      </c>
      <c r="AL377" s="9">
        <v>11580014</v>
      </c>
      <c r="AM377" s="9">
        <v>10114738</v>
      </c>
      <c r="AN377" s="28">
        <v>1659576</v>
      </c>
      <c r="AO377" s="9">
        <v>11702650</v>
      </c>
      <c r="AP377" s="9">
        <v>9794356</v>
      </c>
      <c r="AQ377" s="28">
        <v>1908294</v>
      </c>
      <c r="AR377" s="9">
        <v>11848628.162153138</v>
      </c>
      <c r="AS377" s="9">
        <v>9800905</v>
      </c>
      <c r="AT377" s="28">
        <v>2047723</v>
      </c>
      <c r="AU377" s="9">
        <v>12427515.957589999</v>
      </c>
      <c r="AV377" s="9">
        <v>10244725</v>
      </c>
      <c r="AW377" s="9">
        <v>2182791</v>
      </c>
      <c r="AX377" s="9">
        <v>13018705.445376281</v>
      </c>
      <c r="AY377" s="9">
        <v>10740432</v>
      </c>
      <c r="AZ377" s="28">
        <v>2282394</v>
      </c>
      <c r="BA377" s="9">
        <v>13502936.345999997</v>
      </c>
      <c r="BB377" s="9">
        <v>11139922</v>
      </c>
      <c r="BC377" s="9">
        <v>2363014</v>
      </c>
      <c r="BD377" s="9">
        <v>13732496.655719997</v>
      </c>
      <c r="BE377" s="9">
        <v>11329309</v>
      </c>
      <c r="BF377" s="9">
        <v>2413514</v>
      </c>
      <c r="BG377" s="9">
        <v>14245103.0352</v>
      </c>
      <c r="BH377" s="9">
        <v>11752210</v>
      </c>
      <c r="BI377" s="9">
        <v>2492893</v>
      </c>
      <c r="BJ377" s="9">
        <v>15061557.844200004</v>
      </c>
      <c r="BK377" s="9">
        <v>12425785</v>
      </c>
      <c r="BL377" s="9">
        <v>2655010</v>
      </c>
      <c r="BM377" s="9"/>
      <c r="BN377" s="9"/>
      <c r="BO377" s="9"/>
      <c r="BP377" s="9"/>
      <c r="BQ377" s="9"/>
      <c r="BR377" s="9"/>
      <c r="BS377" s="9"/>
      <c r="BT377" s="9"/>
      <c r="BU377" s="9"/>
    </row>
    <row r="378" spans="1:73">
      <c r="A378" s="6">
        <v>658</v>
      </c>
      <c r="B378" s="6" t="s">
        <v>1484</v>
      </c>
      <c r="C378" s="421">
        <v>47.66</v>
      </c>
      <c r="D378" s="9">
        <v>30449329</v>
      </c>
      <c r="E378" s="33">
        <v>9274397</v>
      </c>
      <c r="F378" s="9">
        <v>21174932</v>
      </c>
      <c r="G378" s="9">
        <v>32233347</v>
      </c>
      <c r="H378" s="9">
        <v>10252229</v>
      </c>
      <c r="I378" s="9">
        <v>22188433</v>
      </c>
      <c r="J378" s="9">
        <v>33797564</v>
      </c>
      <c r="K378" s="9">
        <v>11029311</v>
      </c>
      <c r="L378" s="9">
        <v>23069087</v>
      </c>
      <c r="M378" s="9">
        <v>36110116</v>
      </c>
      <c r="N378" s="9">
        <v>11697527</v>
      </c>
      <c r="O378" s="9">
        <v>21845257</v>
      </c>
      <c r="P378" s="9">
        <v>2567332</v>
      </c>
      <c r="Q378" s="9">
        <v>36777726.03406699</v>
      </c>
      <c r="R378" s="9">
        <v>11966621</v>
      </c>
      <c r="S378" s="9">
        <v>23924337</v>
      </c>
      <c r="T378" s="9">
        <v>886768</v>
      </c>
      <c r="U378" s="9">
        <v>35729459.82</v>
      </c>
      <c r="V378" s="9">
        <v>12287043</v>
      </c>
      <c r="W378" s="9">
        <v>23361642</v>
      </c>
      <c r="X378" s="9">
        <v>125416</v>
      </c>
      <c r="Y378" s="9">
        <v>1429447</v>
      </c>
      <c r="Z378" s="9">
        <v>35694097</v>
      </c>
      <c r="AA378" s="9">
        <v>12669036</v>
      </c>
      <c r="AB378" s="9">
        <v>23487058</v>
      </c>
      <c r="AC378" s="9">
        <v>36205278</v>
      </c>
      <c r="AD378" s="9">
        <v>13079319</v>
      </c>
      <c r="AE378" s="9">
        <v>23647098</v>
      </c>
      <c r="AF378" s="9">
        <v>36078034</v>
      </c>
      <c r="AG378" s="9">
        <v>13510547</v>
      </c>
      <c r="AH378" s="9">
        <v>23744648</v>
      </c>
      <c r="AI378" s="9">
        <v>36713400</v>
      </c>
      <c r="AJ378" s="9">
        <v>14006333</v>
      </c>
      <c r="AK378" s="28">
        <v>23842023</v>
      </c>
      <c r="AL378" s="9">
        <v>37460711</v>
      </c>
      <c r="AM378" s="9">
        <v>14629068</v>
      </c>
      <c r="AN378" s="28">
        <v>23938773</v>
      </c>
      <c r="AO378" s="9">
        <v>37500027</v>
      </c>
      <c r="AP378" s="9">
        <v>15535167</v>
      </c>
      <c r="AQ378" s="28">
        <v>24151183</v>
      </c>
      <c r="AR378" s="9">
        <v>37720695.5316194</v>
      </c>
      <c r="AS378" s="9">
        <v>16113609</v>
      </c>
      <c r="AT378" s="28">
        <v>24265243</v>
      </c>
      <c r="AU378" s="9">
        <v>38840211.679999992</v>
      </c>
      <c r="AV378" s="9">
        <v>16771540</v>
      </c>
      <c r="AW378" s="9">
        <v>24378193</v>
      </c>
      <c r="AX378" s="9">
        <v>39553020.497260436</v>
      </c>
      <c r="AY378" s="9">
        <v>17196696</v>
      </c>
      <c r="AZ378" s="28">
        <v>24488263</v>
      </c>
      <c r="BA378" s="9">
        <v>39294595.160000004</v>
      </c>
      <c r="BB378" s="9">
        <v>17806070</v>
      </c>
      <c r="BC378" s="9">
        <v>24488263</v>
      </c>
      <c r="BD378" s="9">
        <v>38219798.009999998</v>
      </c>
      <c r="BE378" s="9">
        <v>18216746</v>
      </c>
      <c r="BF378" s="9">
        <v>24588403</v>
      </c>
      <c r="BG378" s="9">
        <v>42267945.799999997</v>
      </c>
      <c r="BH378" s="9">
        <v>18990742</v>
      </c>
      <c r="BI378" s="9">
        <v>24788383</v>
      </c>
      <c r="BJ378" s="9">
        <v>44767304.399999999</v>
      </c>
      <c r="BK378" s="9">
        <v>20147144</v>
      </c>
      <c r="BL378" s="9">
        <v>24984883</v>
      </c>
      <c r="BM378" s="9"/>
      <c r="BN378" s="9"/>
      <c r="BO378" s="9"/>
      <c r="BP378" s="9"/>
      <c r="BQ378" s="9"/>
      <c r="BR378" s="9"/>
      <c r="BS378" s="9"/>
      <c r="BT378" s="9"/>
      <c r="BU378" s="9"/>
    </row>
    <row r="379" spans="1:73">
      <c r="A379" s="6">
        <v>660</v>
      </c>
      <c r="B379" s="6" t="s">
        <v>1485</v>
      </c>
      <c r="C379" s="421">
        <v>17.5</v>
      </c>
      <c r="D379" s="9">
        <v>13094670</v>
      </c>
      <c r="E379" s="33">
        <v>13143058</v>
      </c>
      <c r="F379" s="9">
        <v>3212073.2</v>
      </c>
      <c r="G379" s="9">
        <v>13492342</v>
      </c>
      <c r="H379" s="9">
        <v>13864524</v>
      </c>
      <c r="I379" s="9">
        <v>3298923.2</v>
      </c>
      <c r="J379" s="9">
        <v>13240289</v>
      </c>
      <c r="K379" s="9">
        <v>13643131</v>
      </c>
      <c r="L379" s="9">
        <v>3379473.2</v>
      </c>
      <c r="M379" s="9">
        <v>12973291</v>
      </c>
      <c r="N379" s="9">
        <v>12791886</v>
      </c>
      <c r="O379" s="9">
        <v>3090604.2</v>
      </c>
      <c r="P379" s="9">
        <v>363219</v>
      </c>
      <c r="Q379" s="9">
        <v>12824763.657799043</v>
      </c>
      <c r="R379" s="9">
        <v>12606630</v>
      </c>
      <c r="S379" s="9">
        <v>3384747</v>
      </c>
      <c r="T379" s="9">
        <v>0</v>
      </c>
      <c r="U379" s="9">
        <v>12466861.355999999</v>
      </c>
      <c r="V379" s="9">
        <v>12161887</v>
      </c>
      <c r="W379" s="9">
        <v>3187010</v>
      </c>
      <c r="X379" s="9">
        <v>17109</v>
      </c>
      <c r="Y379" s="9">
        <v>216203</v>
      </c>
      <c r="Z379" s="9">
        <v>11987364</v>
      </c>
      <c r="AA379" s="9">
        <v>11783104</v>
      </c>
      <c r="AB379" s="9">
        <v>3204119</v>
      </c>
      <c r="AC379" s="9">
        <v>12271544</v>
      </c>
      <c r="AD379" s="9">
        <v>11841626</v>
      </c>
      <c r="AE379" s="9">
        <v>3256279</v>
      </c>
      <c r="AF379" s="9">
        <v>12583436</v>
      </c>
      <c r="AG379" s="9">
        <v>12006085</v>
      </c>
      <c r="AH379" s="9">
        <v>3289004</v>
      </c>
      <c r="AI379" s="9">
        <v>12650853</v>
      </c>
      <c r="AJ379" s="9">
        <v>11365672</v>
      </c>
      <c r="AK379" s="28">
        <v>3321529</v>
      </c>
      <c r="AL379" s="9">
        <v>12867301</v>
      </c>
      <c r="AM379" s="9">
        <v>11188533</v>
      </c>
      <c r="AN379" s="28">
        <v>3353354</v>
      </c>
      <c r="AO379" s="9">
        <v>12935106</v>
      </c>
      <c r="AP379" s="9">
        <v>10790864</v>
      </c>
      <c r="AQ379" s="28">
        <v>3421279</v>
      </c>
      <c r="AR379" s="9">
        <v>12490516.601979394</v>
      </c>
      <c r="AS379" s="9">
        <v>10380459</v>
      </c>
      <c r="AT379" s="28">
        <v>3456769.0000003548</v>
      </c>
      <c r="AU379" s="9">
        <v>12759247.84</v>
      </c>
      <c r="AV379" s="9">
        <v>10525994</v>
      </c>
      <c r="AW379" s="9">
        <v>3491269.0000003548</v>
      </c>
      <c r="AX379" s="9">
        <v>13781730.292193582</v>
      </c>
      <c r="AY379" s="9">
        <v>11296893</v>
      </c>
      <c r="AZ379" s="28">
        <v>3526849</v>
      </c>
      <c r="BA379" s="9">
        <v>13928035.579999996</v>
      </c>
      <c r="BB379" s="9">
        <v>11407465</v>
      </c>
      <c r="BC379" s="9">
        <v>3526849</v>
      </c>
      <c r="BD379" s="9">
        <v>14255426.050142555</v>
      </c>
      <c r="BE379" s="9">
        <v>11760727</v>
      </c>
      <c r="BF379" s="9">
        <v>3562549.0000003572</v>
      </c>
      <c r="BG379" s="9">
        <v>16185145.729838148</v>
      </c>
      <c r="BH379" s="9">
        <v>12835323</v>
      </c>
      <c r="BI379" s="9">
        <v>3635088.9999996317</v>
      </c>
      <c r="BJ379" s="9">
        <v>17092062.400000002</v>
      </c>
      <c r="BK379" s="9">
        <v>13610271</v>
      </c>
      <c r="BL379" s="9">
        <v>3706548.9999996317</v>
      </c>
      <c r="BM379" s="9"/>
      <c r="BN379" s="9"/>
      <c r="BO379" s="9"/>
      <c r="BP379" s="9"/>
      <c r="BQ379" s="9"/>
      <c r="BR379" s="9"/>
      <c r="BS379" s="9"/>
      <c r="BT379" s="9"/>
      <c r="BU379" s="9"/>
    </row>
    <row r="380" spans="1:73">
      <c r="A380" s="6">
        <v>662</v>
      </c>
      <c r="B380" s="6" t="s">
        <v>1052</v>
      </c>
      <c r="C380" s="421">
        <v>17.5</v>
      </c>
      <c r="D380" s="9">
        <v>2207961</v>
      </c>
      <c r="E380" s="33">
        <v>2145103</v>
      </c>
      <c r="F380" s="9">
        <v>375505.6</v>
      </c>
      <c r="G380" s="9">
        <v>2244629</v>
      </c>
      <c r="H380" s="9">
        <v>2179857</v>
      </c>
      <c r="I380" s="9">
        <v>389405.6</v>
      </c>
      <c r="J380" s="9">
        <v>2032717</v>
      </c>
      <c r="K380" s="9">
        <v>2125018</v>
      </c>
      <c r="L380" s="9">
        <v>401955.6</v>
      </c>
      <c r="M380" s="9">
        <v>2101262</v>
      </c>
      <c r="N380" s="9">
        <v>2056801</v>
      </c>
      <c r="O380" s="9">
        <v>370690.6</v>
      </c>
      <c r="P380" s="9">
        <v>43565</v>
      </c>
      <c r="Q380" s="9">
        <v>2272476.6989473687</v>
      </c>
      <c r="R380" s="9">
        <v>2094866</v>
      </c>
      <c r="S380" s="9">
        <v>405970</v>
      </c>
      <c r="T380" s="9">
        <v>0</v>
      </c>
      <c r="U380" s="9">
        <v>2284470.102</v>
      </c>
      <c r="V380" s="9">
        <v>2094019</v>
      </c>
      <c r="W380" s="9">
        <v>382253</v>
      </c>
      <c r="X380" s="9">
        <v>2052</v>
      </c>
      <c r="Y380" s="9">
        <v>28215</v>
      </c>
      <c r="Z380" s="9">
        <v>2507654</v>
      </c>
      <c r="AA380" s="9">
        <v>2157223</v>
      </c>
      <c r="AB380" s="9">
        <v>384305</v>
      </c>
      <c r="AC380" s="9">
        <v>2477293</v>
      </c>
      <c r="AD380" s="9">
        <v>2210649</v>
      </c>
      <c r="AE380" s="9">
        <v>394745</v>
      </c>
      <c r="AF380" s="9">
        <v>2381535</v>
      </c>
      <c r="AG380" s="9">
        <v>2239793</v>
      </c>
      <c r="AH380" s="9">
        <v>400995</v>
      </c>
      <c r="AI380" s="9">
        <v>2333265</v>
      </c>
      <c r="AJ380" s="9">
        <v>2082363</v>
      </c>
      <c r="AK380" s="28">
        <v>407070</v>
      </c>
      <c r="AL380" s="9">
        <v>2496034</v>
      </c>
      <c r="AM380" s="9">
        <v>2114411</v>
      </c>
      <c r="AN380" s="28">
        <v>413420</v>
      </c>
      <c r="AO380" s="9">
        <v>2464478</v>
      </c>
      <c r="AP380" s="9">
        <v>2057324</v>
      </c>
      <c r="AQ380" s="28">
        <v>427060</v>
      </c>
      <c r="AR380" s="9">
        <v>2368941.0110670594</v>
      </c>
      <c r="AS380" s="9">
        <v>1978521</v>
      </c>
      <c r="AT380" s="28">
        <v>434200</v>
      </c>
      <c r="AU380" s="9">
        <v>2470961.3200000003</v>
      </c>
      <c r="AV380" s="9">
        <v>1982431</v>
      </c>
      <c r="AW380" s="9">
        <v>488530</v>
      </c>
      <c r="AX380" s="9">
        <v>2310316.8825038802</v>
      </c>
      <c r="AY380" s="9">
        <v>1903782</v>
      </c>
      <c r="AZ380" s="28">
        <v>494950</v>
      </c>
      <c r="BA380" s="9">
        <v>2289345.04</v>
      </c>
      <c r="BB380" s="9">
        <v>1877720</v>
      </c>
      <c r="BC380" s="9">
        <v>494950</v>
      </c>
      <c r="BD380" s="9">
        <v>2405493.8899999997</v>
      </c>
      <c r="BE380" s="9">
        <v>1931789</v>
      </c>
      <c r="BF380" s="9">
        <v>501250</v>
      </c>
      <c r="BG380" s="9">
        <v>2843384.1900000004</v>
      </c>
      <c r="BH380" s="9">
        <v>2231273</v>
      </c>
      <c r="BI380" s="9">
        <v>612111</v>
      </c>
      <c r="BJ380" s="9">
        <v>2970098.28</v>
      </c>
      <c r="BK380" s="9">
        <v>2351188</v>
      </c>
      <c r="BL380" s="9">
        <v>625131</v>
      </c>
      <c r="BM380" s="9"/>
      <c r="BN380" s="9"/>
      <c r="BO380" s="9"/>
      <c r="BP380" s="9"/>
      <c r="BQ380" s="9"/>
      <c r="BR380" s="9"/>
      <c r="BS380" s="9"/>
      <c r="BT380" s="9"/>
      <c r="BU380" s="9"/>
    </row>
    <row r="381" spans="1:73">
      <c r="A381" s="6">
        <v>665</v>
      </c>
      <c r="B381" s="6" t="s">
        <v>1486</v>
      </c>
      <c r="C381" s="421">
        <v>26.98</v>
      </c>
      <c r="D381" s="9">
        <v>13524454</v>
      </c>
      <c r="E381" s="33">
        <v>7948805</v>
      </c>
      <c r="F381" s="9">
        <v>6460005.0000000009</v>
      </c>
      <c r="G381" s="9">
        <v>14519330</v>
      </c>
      <c r="H381" s="9">
        <v>8906388</v>
      </c>
      <c r="I381" s="9">
        <v>6832785.0000000009</v>
      </c>
      <c r="J381" s="9">
        <v>15553549</v>
      </c>
      <c r="K381" s="9">
        <v>9668371</v>
      </c>
      <c r="L381" s="9">
        <v>7200036.0000000009</v>
      </c>
      <c r="M381" s="9">
        <v>16583275</v>
      </c>
      <c r="N381" s="9">
        <v>10105484</v>
      </c>
      <c r="O381" s="9">
        <v>6769499.0000000009</v>
      </c>
      <c r="P381" s="9">
        <v>795575</v>
      </c>
      <c r="Q381" s="9">
        <v>17047222.562296651</v>
      </c>
      <c r="R381" s="9">
        <v>10617731</v>
      </c>
      <c r="S381" s="9">
        <v>7413773</v>
      </c>
      <c r="T381" s="9">
        <v>0</v>
      </c>
      <c r="U381" s="9">
        <v>25704555.482000001</v>
      </c>
      <c r="V381" s="9">
        <v>16324122.86063578</v>
      </c>
      <c r="W381" s="9">
        <v>10304430</v>
      </c>
      <c r="X381" s="9">
        <v>55318</v>
      </c>
      <c r="Y381" s="9">
        <v>621851</v>
      </c>
      <c r="Z381" s="9">
        <v>25567244</v>
      </c>
      <c r="AA381" s="9">
        <v>16827381</v>
      </c>
      <c r="AB381" s="9">
        <v>10359748</v>
      </c>
      <c r="AC381" s="9">
        <v>26403268</v>
      </c>
      <c r="AD381" s="9">
        <v>17241340</v>
      </c>
      <c r="AE381" s="9">
        <v>10478788</v>
      </c>
      <c r="AF381" s="9">
        <v>26716909</v>
      </c>
      <c r="AG381" s="9">
        <v>17493884</v>
      </c>
      <c r="AH381" s="9">
        <v>10552138</v>
      </c>
      <c r="AI381" s="9">
        <v>26295108</v>
      </c>
      <c r="AJ381" s="9">
        <v>17518350</v>
      </c>
      <c r="AK381" s="28">
        <v>10623488</v>
      </c>
      <c r="AL381" s="9">
        <v>25836232</v>
      </c>
      <c r="AM381" s="9">
        <v>17647952</v>
      </c>
      <c r="AN381" s="28">
        <v>10692488</v>
      </c>
      <c r="AO381" s="9">
        <v>27153763</v>
      </c>
      <c r="AP381" s="9">
        <v>17863322</v>
      </c>
      <c r="AQ381" s="28">
        <v>10849513</v>
      </c>
      <c r="AR381" s="9">
        <v>26949047.128918782</v>
      </c>
      <c r="AS381" s="9">
        <v>17944798</v>
      </c>
      <c r="AT381" s="28">
        <v>10933153</v>
      </c>
      <c r="AU381" s="9">
        <v>28557208.850000001</v>
      </c>
      <c r="AV381" s="9">
        <v>18586174</v>
      </c>
      <c r="AW381" s="9">
        <v>11018173</v>
      </c>
      <c r="AX381" s="9">
        <v>29471189.782152213</v>
      </c>
      <c r="AY381" s="9">
        <v>19374781</v>
      </c>
      <c r="AZ381" s="28">
        <v>11102173</v>
      </c>
      <c r="BA381" s="9">
        <v>30420774.669999998</v>
      </c>
      <c r="BB381" s="9">
        <v>20383874</v>
      </c>
      <c r="BC381" s="9">
        <v>11102173</v>
      </c>
      <c r="BD381" s="9">
        <v>30046775.879999999</v>
      </c>
      <c r="BE381" s="9">
        <v>21121724</v>
      </c>
      <c r="BF381" s="9">
        <v>11183623</v>
      </c>
      <c r="BG381" s="9">
        <v>33397815.079999998</v>
      </c>
      <c r="BH381" s="9">
        <v>22481677</v>
      </c>
      <c r="BI381" s="9">
        <v>11350423</v>
      </c>
      <c r="BJ381" s="9">
        <v>35485915.870000005</v>
      </c>
      <c r="BK381" s="9">
        <v>23828457</v>
      </c>
      <c r="BL381" s="9">
        <v>11657459</v>
      </c>
      <c r="BM381" s="9"/>
      <c r="BN381" s="9"/>
      <c r="BO381" s="9"/>
      <c r="BP381" s="9"/>
      <c r="BQ381" s="9"/>
      <c r="BR381" s="9"/>
      <c r="BS381" s="9"/>
      <c r="BT381" s="9"/>
      <c r="BU381" s="9"/>
    </row>
    <row r="382" spans="1:73">
      <c r="A382" s="6">
        <v>670</v>
      </c>
      <c r="B382" s="6" t="s">
        <v>1487</v>
      </c>
      <c r="C382" s="421">
        <v>18.14</v>
      </c>
      <c r="D382" s="9">
        <v>5418605</v>
      </c>
      <c r="E382" s="33">
        <v>3086349</v>
      </c>
      <c r="F382" s="9">
        <v>2650507</v>
      </c>
      <c r="G382" s="9">
        <v>5733999</v>
      </c>
      <c r="H382" s="9">
        <v>3534975</v>
      </c>
      <c r="I382" s="9">
        <v>2746608</v>
      </c>
      <c r="J382" s="9">
        <v>5983480</v>
      </c>
      <c r="K382" s="9">
        <v>3789925</v>
      </c>
      <c r="L382" s="9">
        <v>2814392</v>
      </c>
      <c r="M382" s="9">
        <v>6338406</v>
      </c>
      <c r="N382" s="9">
        <v>3919060</v>
      </c>
      <c r="O382" s="9">
        <v>2608966</v>
      </c>
      <c r="P382" s="9">
        <v>306615</v>
      </c>
      <c r="Q382" s="9">
        <v>6166668.8979904307</v>
      </c>
      <c r="R382" s="9">
        <v>4548404</v>
      </c>
      <c r="S382" s="9">
        <v>2857269</v>
      </c>
      <c r="T382" s="9">
        <v>0</v>
      </c>
      <c r="U382" s="9">
        <v>5993205.5159999998</v>
      </c>
      <c r="V382" s="9">
        <v>4594579</v>
      </c>
      <c r="W382" s="9">
        <v>2690347</v>
      </c>
      <c r="X382" s="9">
        <v>14443</v>
      </c>
      <c r="Y382" s="9">
        <v>168829</v>
      </c>
      <c r="Z382" s="9">
        <v>5922687</v>
      </c>
      <c r="AA382" s="9">
        <v>4614585</v>
      </c>
      <c r="AB382" s="9">
        <v>2704790</v>
      </c>
      <c r="AC382" s="9">
        <v>5890106</v>
      </c>
      <c r="AD382" s="9">
        <v>4643352</v>
      </c>
      <c r="AE382" s="9">
        <v>2729670</v>
      </c>
      <c r="AF382" s="9">
        <v>5648702</v>
      </c>
      <c r="AG382" s="9">
        <v>4748410</v>
      </c>
      <c r="AH382" s="9">
        <v>2744045</v>
      </c>
      <c r="AI382" s="9">
        <v>5716411</v>
      </c>
      <c r="AJ382" s="9">
        <v>4750289</v>
      </c>
      <c r="AK382" s="28">
        <v>2758445</v>
      </c>
      <c r="AL382" s="9">
        <v>5662972</v>
      </c>
      <c r="AM382" s="9">
        <v>4785017</v>
      </c>
      <c r="AN382" s="28">
        <v>2772595</v>
      </c>
      <c r="AO382" s="9">
        <v>5886720</v>
      </c>
      <c r="AP382" s="9">
        <v>4852262</v>
      </c>
      <c r="AQ382" s="28">
        <v>2804715</v>
      </c>
      <c r="AR382" s="9">
        <v>5732224.0889145313</v>
      </c>
      <c r="AS382" s="9">
        <v>4635171</v>
      </c>
      <c r="AT382" s="28">
        <v>2821244.9999998347</v>
      </c>
      <c r="AU382" s="9">
        <v>6131417.1100000003</v>
      </c>
      <c r="AV382" s="9">
        <v>4934660</v>
      </c>
      <c r="AW382" s="9">
        <v>2838225</v>
      </c>
      <c r="AX382" s="9">
        <v>6490224.3564851899</v>
      </c>
      <c r="AY382" s="9">
        <v>5195546</v>
      </c>
      <c r="AZ382" s="28">
        <v>2855535</v>
      </c>
      <c r="BA382" s="9">
        <v>6668350.6099999994</v>
      </c>
      <c r="BB382" s="9">
        <v>5440174</v>
      </c>
      <c r="BC382" s="9">
        <v>2855535</v>
      </c>
      <c r="BD382" s="9">
        <v>6641609.6799999997</v>
      </c>
      <c r="BE382" s="9">
        <v>5465964</v>
      </c>
      <c r="BF382" s="9">
        <v>2872335</v>
      </c>
      <c r="BG382" s="9">
        <v>6777309.0700000012</v>
      </c>
      <c r="BH382" s="9">
        <v>5342316</v>
      </c>
      <c r="BI382" s="9">
        <v>2903235</v>
      </c>
      <c r="BJ382" s="9">
        <v>6859405.6100000003</v>
      </c>
      <c r="BK382" s="9">
        <v>5502061</v>
      </c>
      <c r="BL382" s="9">
        <v>2932515</v>
      </c>
      <c r="BM382" s="9"/>
      <c r="BN382" s="9"/>
      <c r="BO382" s="9"/>
      <c r="BP382" s="9"/>
      <c r="BQ382" s="9"/>
      <c r="BR382" s="9"/>
      <c r="BS382" s="9"/>
      <c r="BT382" s="9"/>
      <c r="BU382" s="9"/>
    </row>
    <row r="383" spans="1:73">
      <c r="A383" s="6">
        <v>672</v>
      </c>
      <c r="B383" s="6" t="s">
        <v>1488</v>
      </c>
      <c r="C383" s="421">
        <v>45.46</v>
      </c>
      <c r="D383" s="9">
        <v>10512746</v>
      </c>
      <c r="E383" s="33">
        <v>5273227</v>
      </c>
      <c r="F383" s="9">
        <v>5377752</v>
      </c>
      <c r="G383" s="9">
        <v>11307523</v>
      </c>
      <c r="H383" s="9">
        <v>5576855</v>
      </c>
      <c r="I383" s="9">
        <v>5817025</v>
      </c>
      <c r="J383" s="9">
        <v>11430685</v>
      </c>
      <c r="K383" s="9">
        <v>5636748</v>
      </c>
      <c r="L383" s="9">
        <v>5921631</v>
      </c>
      <c r="M383" s="9">
        <v>11453179</v>
      </c>
      <c r="N383" s="9">
        <v>5658310</v>
      </c>
      <c r="O383" s="9">
        <v>5356783</v>
      </c>
      <c r="P383" s="9">
        <v>629548</v>
      </c>
      <c r="Q383" s="9">
        <v>11448115.732822968</v>
      </c>
      <c r="R383" s="9">
        <v>5871665</v>
      </c>
      <c r="S383" s="9">
        <v>5866604</v>
      </c>
      <c r="T383" s="9">
        <v>0</v>
      </c>
      <c r="U383" s="9">
        <v>11136859.595999999</v>
      </c>
      <c r="V383" s="9">
        <v>5975739</v>
      </c>
      <c r="W383" s="9">
        <v>5523878</v>
      </c>
      <c r="X383" s="9">
        <v>29655</v>
      </c>
      <c r="Y383" s="9">
        <v>343896</v>
      </c>
      <c r="Z383" s="9">
        <v>10684938</v>
      </c>
      <c r="AA383" s="9">
        <v>5977311</v>
      </c>
      <c r="AB383" s="9">
        <v>5553533</v>
      </c>
      <c r="AC383" s="9">
        <v>10913250</v>
      </c>
      <c r="AD383" s="9">
        <v>6024049</v>
      </c>
      <c r="AE383" s="9">
        <v>5598773</v>
      </c>
      <c r="AF383" s="9">
        <v>10501988</v>
      </c>
      <c r="AG383" s="9">
        <v>6111205</v>
      </c>
      <c r="AH383" s="9">
        <v>5625873</v>
      </c>
      <c r="AI383" s="9">
        <v>10475106</v>
      </c>
      <c r="AJ383" s="9">
        <v>6121175</v>
      </c>
      <c r="AK383" s="28">
        <f>5652523-144899</f>
        <v>5507624</v>
      </c>
      <c r="AL383" s="9">
        <v>9565466</v>
      </c>
      <c r="AM383" s="9">
        <v>5566378</v>
      </c>
      <c r="AN383" s="28">
        <v>5531374</v>
      </c>
      <c r="AO383" s="9">
        <v>9151021</v>
      </c>
      <c r="AP383" s="9">
        <v>5435268</v>
      </c>
      <c r="AQ383" s="28">
        <v>5580489</v>
      </c>
      <c r="AR383" s="9">
        <v>9186465.9257388338</v>
      </c>
      <c r="AS383" s="9">
        <v>5185242</v>
      </c>
      <c r="AT383" s="28">
        <v>5606889</v>
      </c>
      <c r="AU383" s="9">
        <v>9373307.580093734</v>
      </c>
      <c r="AV383" s="9">
        <v>5155696</v>
      </c>
      <c r="AW383" s="9">
        <v>5632899.0000002598</v>
      </c>
      <c r="AX383" s="9">
        <v>9819284.5359783657</v>
      </c>
      <c r="AY383" s="9">
        <v>5242416</v>
      </c>
      <c r="AZ383" s="28">
        <v>5658699</v>
      </c>
      <c r="BA383" s="9">
        <v>10053035.289899468</v>
      </c>
      <c r="BB383" s="9">
        <v>5377560</v>
      </c>
      <c r="BC383" s="9">
        <v>5658699</v>
      </c>
      <c r="BD383" s="9">
        <v>9593037.4600000009</v>
      </c>
      <c r="BE383" s="9">
        <v>5218013</v>
      </c>
      <c r="BF383" s="9">
        <v>5682099</v>
      </c>
      <c r="BG383" s="9">
        <v>10224749.509999998</v>
      </c>
      <c r="BH383" s="9">
        <v>5398856</v>
      </c>
      <c r="BI383" s="9">
        <v>5727339</v>
      </c>
      <c r="BJ383" s="9">
        <v>11571635.25</v>
      </c>
      <c r="BK383" s="9">
        <v>5636489</v>
      </c>
      <c r="BL383" s="9">
        <v>5935146</v>
      </c>
      <c r="BM383" s="9"/>
      <c r="BN383" s="9"/>
      <c r="BO383" s="9"/>
      <c r="BP383" s="9"/>
      <c r="BQ383" s="9"/>
      <c r="BR383" s="9"/>
      <c r="BS383" s="9"/>
      <c r="BT383" s="9"/>
      <c r="BU383" s="9"/>
    </row>
    <row r="384" spans="1:73">
      <c r="A384" s="6">
        <v>673</v>
      </c>
      <c r="B384" s="6" t="s">
        <v>1489</v>
      </c>
      <c r="C384" s="421">
        <v>17.5</v>
      </c>
      <c r="D384" s="9">
        <v>19963557</v>
      </c>
      <c r="E384" s="33">
        <v>10573496</v>
      </c>
      <c r="F384" s="9">
        <v>9690045</v>
      </c>
      <c r="G384" s="9">
        <v>22069166</v>
      </c>
      <c r="H384" s="9">
        <v>11478206</v>
      </c>
      <c r="I384" s="9">
        <v>10590960</v>
      </c>
      <c r="J384" s="9">
        <v>22567813</v>
      </c>
      <c r="K384" s="9">
        <v>12305992</v>
      </c>
      <c r="L384" s="9">
        <v>10757109</v>
      </c>
      <c r="M384" s="9">
        <v>23533501</v>
      </c>
      <c r="N384" s="9">
        <v>13095797</v>
      </c>
      <c r="O384" s="9">
        <v>9914811</v>
      </c>
      <c r="P384" s="9">
        <v>1165224</v>
      </c>
      <c r="Q384" s="9">
        <v>23587738.32880383</v>
      </c>
      <c r="R384" s="9">
        <v>16063245</v>
      </c>
      <c r="S384" s="9">
        <v>10858434</v>
      </c>
      <c r="T384" s="9">
        <v>0</v>
      </c>
      <c r="U384" s="9">
        <v>22939192.446000002</v>
      </c>
      <c r="V384" s="9">
        <v>16429914</v>
      </c>
      <c r="W384" s="9">
        <v>10224085</v>
      </c>
      <c r="X384" s="9">
        <v>54888</v>
      </c>
      <c r="Y384" s="9">
        <v>648086</v>
      </c>
      <c r="Z384" s="9">
        <v>23308786</v>
      </c>
      <c r="AA384" s="9">
        <v>17069512</v>
      </c>
      <c r="AB384" s="9">
        <v>10278973</v>
      </c>
      <c r="AC384" s="9">
        <v>23452027</v>
      </c>
      <c r="AD384" s="9">
        <v>17673118</v>
      </c>
      <c r="AE384" s="9">
        <v>10384573</v>
      </c>
      <c r="AF384" s="9">
        <v>23574679</v>
      </c>
      <c r="AG384" s="9">
        <v>18322278</v>
      </c>
      <c r="AH384" s="9">
        <v>10449473</v>
      </c>
      <c r="AI384" s="9">
        <v>23421974</v>
      </c>
      <c r="AJ384" s="9">
        <v>18828192</v>
      </c>
      <c r="AK384" s="28">
        <v>10513273</v>
      </c>
      <c r="AL384" s="9">
        <v>23366261</v>
      </c>
      <c r="AM384" s="9">
        <v>19288600</v>
      </c>
      <c r="AN384" s="28">
        <v>10575673</v>
      </c>
      <c r="AO384" s="9">
        <v>21908747</v>
      </c>
      <c r="AP384" s="9">
        <v>18375113</v>
      </c>
      <c r="AQ384" s="28">
        <v>10706573</v>
      </c>
      <c r="AR384" s="9">
        <v>22374529.724943254</v>
      </c>
      <c r="AS384" s="9">
        <v>18540836</v>
      </c>
      <c r="AT384" s="28">
        <v>10778123</v>
      </c>
      <c r="AU384" s="9">
        <v>23046297.120000005</v>
      </c>
      <c r="AV384" s="9">
        <v>18825814</v>
      </c>
      <c r="AW384" s="9">
        <v>10849343</v>
      </c>
      <c r="AX384" s="9">
        <v>23962885.117804695</v>
      </c>
      <c r="AY384" s="9">
        <v>19528829</v>
      </c>
      <c r="AZ384" s="28">
        <v>10920053</v>
      </c>
      <c r="BA384" s="9">
        <v>24034914.079999994</v>
      </c>
      <c r="BB384" s="9">
        <v>19807347</v>
      </c>
      <c r="BC384" s="9">
        <v>10920053</v>
      </c>
      <c r="BD384" s="9">
        <v>23977455.170000002</v>
      </c>
      <c r="BE384" s="9">
        <v>19781401</v>
      </c>
      <c r="BF384" s="9">
        <v>10987643</v>
      </c>
      <c r="BG384" s="9">
        <v>26006774.040000003</v>
      </c>
      <c r="BH384" s="9">
        <v>20809059</v>
      </c>
      <c r="BI384" s="9">
        <v>11124923</v>
      </c>
      <c r="BJ384" s="9">
        <v>27429942.139999997</v>
      </c>
      <c r="BK384" s="9">
        <v>21929584</v>
      </c>
      <c r="BL384" s="9">
        <v>11261903</v>
      </c>
      <c r="BM384" s="9"/>
      <c r="BN384" s="9"/>
      <c r="BO384" s="9"/>
      <c r="BP384" s="9"/>
      <c r="BQ384" s="9"/>
      <c r="BR384" s="9"/>
      <c r="BS384" s="9"/>
      <c r="BT384" s="9"/>
      <c r="BU384" s="9"/>
    </row>
    <row r="385" spans="1:73">
      <c r="A385" s="6">
        <v>674</v>
      </c>
      <c r="B385" s="6" t="s">
        <v>1490</v>
      </c>
      <c r="C385" s="421">
        <v>50.66</v>
      </c>
      <c r="D385" s="9">
        <v>9776132</v>
      </c>
      <c r="E385" s="33">
        <v>4890426</v>
      </c>
      <c r="F385" s="9">
        <v>5898325.9999999991</v>
      </c>
      <c r="G385" s="9">
        <v>10362291</v>
      </c>
      <c r="H385" s="9">
        <v>5144962</v>
      </c>
      <c r="I385" s="9">
        <v>6225636.9999999991</v>
      </c>
      <c r="J385" s="9">
        <v>10629600</v>
      </c>
      <c r="K385" s="9">
        <v>5170843</v>
      </c>
      <c r="L385" s="9">
        <v>6375222.9999999991</v>
      </c>
      <c r="M385" s="9">
        <v>10694903</v>
      </c>
      <c r="N385" s="9">
        <v>5178227</v>
      </c>
      <c r="O385" s="9">
        <v>5756498.9999999991</v>
      </c>
      <c r="P385" s="9">
        <v>676524</v>
      </c>
      <c r="Q385" s="9">
        <v>10705697.249377992</v>
      </c>
      <c r="R385" s="9">
        <v>5206242</v>
      </c>
      <c r="S385" s="9">
        <v>6304363</v>
      </c>
      <c r="T385" s="9">
        <v>0</v>
      </c>
      <c r="U385" s="9">
        <v>10709037.408</v>
      </c>
      <c r="V385" s="9">
        <v>5230945</v>
      </c>
      <c r="W385" s="9">
        <v>5936062</v>
      </c>
      <c r="X385" s="9">
        <v>31867</v>
      </c>
      <c r="Y385" s="9">
        <v>364384</v>
      </c>
      <c r="Z385" s="9">
        <v>10890170</v>
      </c>
      <c r="AA385" s="9">
        <v>5322669</v>
      </c>
      <c r="AB385" s="9">
        <v>5967929</v>
      </c>
      <c r="AC385" s="9">
        <v>10709407</v>
      </c>
      <c r="AD385" s="9">
        <v>5432442</v>
      </c>
      <c r="AE385" s="9">
        <v>6010369</v>
      </c>
      <c r="AF385" s="9">
        <v>11221184</v>
      </c>
      <c r="AG385" s="9">
        <v>5642595</v>
      </c>
      <c r="AH385" s="9">
        <v>6037994</v>
      </c>
      <c r="AI385" s="9">
        <v>11383341</v>
      </c>
      <c r="AJ385" s="9">
        <v>5825645</v>
      </c>
      <c r="AK385" s="28">
        <v>6065444</v>
      </c>
      <c r="AL385" s="9">
        <v>11391876</v>
      </c>
      <c r="AM385" s="9">
        <v>6028359</v>
      </c>
      <c r="AN385" s="28">
        <v>6092669</v>
      </c>
      <c r="AO385" s="9">
        <v>11388880</v>
      </c>
      <c r="AP385" s="9">
        <v>6051487</v>
      </c>
      <c r="AQ385" s="28">
        <v>6152674</v>
      </c>
      <c r="AR385" s="9">
        <v>11605184.313327502</v>
      </c>
      <c r="AS385" s="9">
        <v>6037197</v>
      </c>
      <c r="AT385" s="28">
        <v>6185014</v>
      </c>
      <c r="AU385" s="9">
        <v>12227502.840000002</v>
      </c>
      <c r="AV385" s="9">
        <v>6132607</v>
      </c>
      <c r="AW385" s="9">
        <v>6217984</v>
      </c>
      <c r="AX385" s="9">
        <v>12729673.495022506</v>
      </c>
      <c r="AY385" s="9">
        <v>6160944</v>
      </c>
      <c r="AZ385" s="28">
        <v>6568729</v>
      </c>
      <c r="BA385" s="9">
        <v>13224252.970000001</v>
      </c>
      <c r="BB385" s="9">
        <v>6123497</v>
      </c>
      <c r="BC385" s="9">
        <v>7100756</v>
      </c>
      <c r="BD385" s="9">
        <v>12355223.119999999</v>
      </c>
      <c r="BE385" s="9">
        <v>6065329</v>
      </c>
      <c r="BF385" s="9">
        <v>7129856</v>
      </c>
      <c r="BG385" s="9">
        <v>14265559.650000002</v>
      </c>
      <c r="BH385" s="9">
        <v>6487509</v>
      </c>
      <c r="BI385" s="9">
        <v>7778051</v>
      </c>
      <c r="BJ385" s="9">
        <v>14525789.259999998</v>
      </c>
      <c r="BK385" s="9">
        <v>6845441</v>
      </c>
      <c r="BL385" s="9">
        <v>7834871</v>
      </c>
      <c r="BM385" s="9"/>
      <c r="BN385" s="9"/>
      <c r="BO385" s="9"/>
      <c r="BP385" s="9"/>
      <c r="BQ385" s="9"/>
      <c r="BR385" s="9"/>
      <c r="BS385" s="9"/>
      <c r="BT385" s="9"/>
      <c r="BU385" s="9"/>
    </row>
    <row r="386" spans="1:73">
      <c r="A386" s="6">
        <v>675</v>
      </c>
      <c r="B386" s="6" t="s">
        <v>1491</v>
      </c>
      <c r="C386" s="421">
        <v>17.5</v>
      </c>
      <c r="D386" s="9">
        <v>14468765</v>
      </c>
      <c r="E386" s="33">
        <v>11376222</v>
      </c>
      <c r="F386" s="9">
        <v>3164291</v>
      </c>
      <c r="G386" s="9">
        <v>15069063</v>
      </c>
      <c r="H386" s="9">
        <v>11961487</v>
      </c>
      <c r="I386" s="9">
        <v>3269343</v>
      </c>
      <c r="J386" s="9">
        <v>15863562</v>
      </c>
      <c r="K386" s="9">
        <v>12603727</v>
      </c>
      <c r="L386" s="9">
        <v>3408380</v>
      </c>
      <c r="M386" s="9">
        <v>16231350</v>
      </c>
      <c r="N386" s="9">
        <v>12979612</v>
      </c>
      <c r="O386" s="9">
        <v>3137455</v>
      </c>
      <c r="P386" s="9">
        <v>368725</v>
      </c>
      <c r="Q386" s="9">
        <v>16539445.386411486</v>
      </c>
      <c r="R386" s="9">
        <v>13759009</v>
      </c>
      <c r="S386" s="9">
        <v>3436056</v>
      </c>
      <c r="T386" s="9">
        <v>0</v>
      </c>
      <c r="U386" s="9">
        <v>16099995.413999999</v>
      </c>
      <c r="V386" s="9">
        <v>13883368</v>
      </c>
      <c r="W386" s="9">
        <v>3235322</v>
      </c>
      <c r="X386" s="9">
        <v>17369</v>
      </c>
      <c r="Y386" s="9">
        <v>231115</v>
      </c>
      <c r="Z386" s="9">
        <v>15671050</v>
      </c>
      <c r="AA386" s="9">
        <v>13956082</v>
      </c>
      <c r="AB386" s="9">
        <v>3252691</v>
      </c>
      <c r="AC386" s="9">
        <v>16304849</v>
      </c>
      <c r="AD386" s="9">
        <v>14293365</v>
      </c>
      <c r="AE386" s="9">
        <v>3325691</v>
      </c>
      <c r="AF386" s="9">
        <v>16257548</v>
      </c>
      <c r="AG386" s="9">
        <v>14512213</v>
      </c>
      <c r="AH386" s="9">
        <v>3370416</v>
      </c>
      <c r="AI386" s="9">
        <v>15726746</v>
      </c>
      <c r="AJ386" s="9">
        <v>13965278</v>
      </c>
      <c r="AK386" s="28">
        <v>3413341</v>
      </c>
      <c r="AL386" s="9">
        <v>16707535</v>
      </c>
      <c r="AM386" s="9">
        <v>14120458</v>
      </c>
      <c r="AN386" s="28">
        <v>3457966</v>
      </c>
      <c r="AO386" s="9">
        <v>16651753</v>
      </c>
      <c r="AP386" s="9">
        <v>13827676</v>
      </c>
      <c r="AQ386" s="28">
        <v>3554656</v>
      </c>
      <c r="AR386" s="9">
        <v>16696408.934955347</v>
      </c>
      <c r="AS386" s="9">
        <v>13868580</v>
      </c>
      <c r="AT386" s="28">
        <v>3606706</v>
      </c>
      <c r="AU386" s="9">
        <v>17608636.820320003</v>
      </c>
      <c r="AV386" s="9">
        <v>14365369</v>
      </c>
      <c r="AW386" s="9">
        <v>3659746</v>
      </c>
      <c r="AX386" s="9">
        <v>17895419.978166122</v>
      </c>
      <c r="AY386" s="9">
        <v>14618380</v>
      </c>
      <c r="AZ386" s="28">
        <v>3711406</v>
      </c>
      <c r="BA386" s="9">
        <v>18910528.193439998</v>
      </c>
      <c r="BB386" s="9">
        <v>15169999</v>
      </c>
      <c r="BC386" s="9">
        <v>3742189</v>
      </c>
      <c r="BD386" s="9">
        <v>17836078.693319999</v>
      </c>
      <c r="BE386" s="9">
        <v>14714765</v>
      </c>
      <c r="BF386" s="9">
        <v>3791389</v>
      </c>
      <c r="BG386" s="9">
        <v>19041996.94004</v>
      </c>
      <c r="BH386" s="9">
        <v>15355459</v>
      </c>
      <c r="BI386" s="9">
        <v>3889489</v>
      </c>
      <c r="BJ386" s="9">
        <v>19935627.51244</v>
      </c>
      <c r="BK386" s="9">
        <v>15916460</v>
      </c>
      <c r="BL386" s="9">
        <v>4019168</v>
      </c>
      <c r="BM386" s="9"/>
      <c r="BN386" s="9"/>
      <c r="BO386" s="9"/>
      <c r="BP386" s="9"/>
      <c r="BQ386" s="9"/>
      <c r="BR386" s="9"/>
      <c r="BS386" s="9"/>
      <c r="BT386" s="9"/>
      <c r="BU386" s="9"/>
    </row>
    <row r="387" spans="1:73">
      <c r="A387" s="6">
        <v>680</v>
      </c>
      <c r="B387" s="6" t="s">
        <v>1492</v>
      </c>
      <c r="C387" s="421">
        <v>31.08</v>
      </c>
      <c r="D387" s="9">
        <v>27186575</v>
      </c>
      <c r="E387" s="33">
        <v>17817946</v>
      </c>
      <c r="F387" s="9">
        <v>9591950</v>
      </c>
      <c r="G387" s="9">
        <v>28628962</v>
      </c>
      <c r="H387" s="9">
        <v>18371310</v>
      </c>
      <c r="I387" s="9">
        <v>10257652</v>
      </c>
      <c r="J387" s="9">
        <v>29666356</v>
      </c>
      <c r="K387" s="9">
        <v>18507813</v>
      </c>
      <c r="L387" s="9">
        <v>11187984</v>
      </c>
      <c r="M387" s="9">
        <v>30302280</v>
      </c>
      <c r="N387" s="9">
        <v>18629304</v>
      </c>
      <c r="O387" s="9">
        <v>10514180</v>
      </c>
      <c r="P387" s="9">
        <v>1235664</v>
      </c>
      <c r="Q387" s="9">
        <v>30835123.285741627</v>
      </c>
      <c r="R387" s="9">
        <v>19103251</v>
      </c>
      <c r="S387" s="9">
        <v>11514847</v>
      </c>
      <c r="T387" s="9">
        <v>217025</v>
      </c>
      <c r="U387" s="9">
        <v>29974196.813999999</v>
      </c>
      <c r="V387" s="9">
        <v>18956605</v>
      </c>
      <c r="W387" s="9">
        <v>11046497</v>
      </c>
      <c r="X387" s="9">
        <v>59302</v>
      </c>
      <c r="Y387" s="9">
        <v>714898</v>
      </c>
      <c r="Z387" s="9">
        <v>30318463</v>
      </c>
      <c r="AA387" s="9">
        <v>19431538</v>
      </c>
      <c r="AB387" s="9">
        <v>11105799</v>
      </c>
      <c r="AC387" s="9">
        <v>30471568</v>
      </c>
      <c r="AD387" s="9">
        <v>19904990</v>
      </c>
      <c r="AE387" s="9">
        <v>11241439</v>
      </c>
      <c r="AF387" s="9">
        <v>30267610</v>
      </c>
      <c r="AG387" s="9">
        <v>20416003</v>
      </c>
      <c r="AH387" s="9">
        <v>11323964</v>
      </c>
      <c r="AI387" s="9">
        <v>30372595</v>
      </c>
      <c r="AJ387" s="9">
        <v>20400941</v>
      </c>
      <c r="AK387" s="28">
        <v>11405264</v>
      </c>
      <c r="AL387" s="9">
        <v>29954423</v>
      </c>
      <c r="AM387" s="9">
        <v>20917022</v>
      </c>
      <c r="AN387" s="28">
        <v>11483814</v>
      </c>
      <c r="AO387" s="9">
        <v>29402188</v>
      </c>
      <c r="AP387" s="9">
        <v>20490243</v>
      </c>
      <c r="AQ387" s="28">
        <v>11651894</v>
      </c>
      <c r="AR387" s="9">
        <v>29683317.843047649</v>
      </c>
      <c r="AS387" s="9">
        <v>20807570</v>
      </c>
      <c r="AT387" s="28">
        <v>11742374</v>
      </c>
      <c r="AU387" s="9">
        <v>30100033.420000002</v>
      </c>
      <c r="AV387" s="9">
        <v>20633481</v>
      </c>
      <c r="AW387" s="9">
        <v>11831384</v>
      </c>
      <c r="AX387" s="9">
        <v>31472652.18943473</v>
      </c>
      <c r="AY387" s="9">
        <v>21135655</v>
      </c>
      <c r="AZ387" s="28">
        <v>11920364</v>
      </c>
      <c r="BA387" s="9">
        <v>31697327.079999998</v>
      </c>
      <c r="BB387" s="9">
        <v>22048457</v>
      </c>
      <c r="BC387" s="9">
        <v>11920364</v>
      </c>
      <c r="BD387" s="9">
        <v>31633420.859999996</v>
      </c>
      <c r="BE387" s="9">
        <v>21974391</v>
      </c>
      <c r="BF387" s="9">
        <v>12004544</v>
      </c>
      <c r="BG387" s="9">
        <v>34362938.020000003</v>
      </c>
      <c r="BH387" s="9">
        <v>22803354</v>
      </c>
      <c r="BI387" s="9">
        <v>12175004</v>
      </c>
      <c r="BJ387" s="9">
        <v>35889670.800000012</v>
      </c>
      <c r="BK387" s="9">
        <v>23968793</v>
      </c>
      <c r="BL387" s="9">
        <v>12342524</v>
      </c>
      <c r="BM387" s="9"/>
      <c r="BN387" s="9"/>
      <c r="BO387" s="9"/>
      <c r="BP387" s="9"/>
      <c r="BQ387" s="9"/>
      <c r="BR387" s="9"/>
      <c r="BS387" s="9"/>
      <c r="BT387" s="9"/>
      <c r="BU387" s="9"/>
    </row>
    <row r="388" spans="1:73">
      <c r="A388" s="6">
        <v>683</v>
      </c>
      <c r="B388" s="6" t="s">
        <v>1493</v>
      </c>
      <c r="C388" s="421">
        <v>25.75</v>
      </c>
      <c r="D388" s="9">
        <v>6298064</v>
      </c>
      <c r="E388" s="33">
        <v>3937642</v>
      </c>
      <c r="F388" s="9">
        <v>2426572</v>
      </c>
      <c r="G388" s="9">
        <v>6805484</v>
      </c>
      <c r="H388" s="9">
        <v>4138583</v>
      </c>
      <c r="I388" s="9">
        <v>2676375</v>
      </c>
      <c r="J388" s="9">
        <v>6739463</v>
      </c>
      <c r="K388" s="9">
        <v>4154095</v>
      </c>
      <c r="L388" s="9">
        <v>2812809</v>
      </c>
      <c r="M388" s="9">
        <v>7281652</v>
      </c>
      <c r="N388" s="9">
        <v>4261680</v>
      </c>
      <c r="O388" s="9">
        <v>2743722</v>
      </c>
      <c r="P388" s="9">
        <v>322452</v>
      </c>
      <c r="Q388" s="9">
        <v>7552394.2032535886</v>
      </c>
      <c r="R388" s="9">
        <v>4295649</v>
      </c>
      <c r="S388" s="9">
        <v>3004851</v>
      </c>
      <c r="T388" s="9">
        <v>251894</v>
      </c>
      <c r="U388" s="9">
        <v>7104748.4820000008</v>
      </c>
      <c r="V388" s="9">
        <v>4238418</v>
      </c>
      <c r="W388" s="9">
        <v>3066486</v>
      </c>
      <c r="X388" s="9">
        <v>16462</v>
      </c>
      <c r="Y388" s="9">
        <v>194072</v>
      </c>
      <c r="Z388" s="9">
        <v>7166323</v>
      </c>
      <c r="AA388" s="9">
        <v>4430064</v>
      </c>
      <c r="AB388" s="9">
        <v>3082948</v>
      </c>
      <c r="AC388" s="9">
        <v>7159285</v>
      </c>
      <c r="AD388" s="9">
        <v>4518959</v>
      </c>
      <c r="AE388" s="9">
        <v>3114108</v>
      </c>
      <c r="AF388" s="9">
        <v>7221048</v>
      </c>
      <c r="AG388" s="9">
        <v>4622819</v>
      </c>
      <c r="AH388" s="9">
        <v>3133233</v>
      </c>
      <c r="AI388" s="9">
        <v>7159547</v>
      </c>
      <c r="AJ388" s="9">
        <v>4689344</v>
      </c>
      <c r="AK388" s="28">
        <v>3151983</v>
      </c>
      <c r="AL388" s="9">
        <v>7223607</v>
      </c>
      <c r="AM388" s="9">
        <v>4822063</v>
      </c>
      <c r="AN388" s="28">
        <v>3170333</v>
      </c>
      <c r="AO388" s="9">
        <v>7226816</v>
      </c>
      <c r="AP388" s="9">
        <v>4870971</v>
      </c>
      <c r="AQ388" s="28">
        <v>3210153</v>
      </c>
      <c r="AR388" s="9">
        <v>7135055.1371439751</v>
      </c>
      <c r="AS388" s="9">
        <v>4768992</v>
      </c>
      <c r="AT388" s="28">
        <v>3231273.0000002114</v>
      </c>
      <c r="AU388" s="9">
        <v>7177310.4399999985</v>
      </c>
      <c r="AV388" s="9">
        <v>4802721</v>
      </c>
      <c r="AW388" s="9">
        <v>3251703.0000002114</v>
      </c>
      <c r="AX388" s="9">
        <v>7292664.1560150869</v>
      </c>
      <c r="AY388" s="9">
        <v>4957708</v>
      </c>
      <c r="AZ388" s="28">
        <v>3271593</v>
      </c>
      <c r="BA388" s="9">
        <v>7581893.040000001</v>
      </c>
      <c r="BB388" s="9">
        <v>5141694</v>
      </c>
      <c r="BC388" s="9">
        <v>3271593</v>
      </c>
      <c r="BD388" s="9">
        <v>7385184.3199999994</v>
      </c>
      <c r="BE388" s="9">
        <v>5155929</v>
      </c>
      <c r="BF388" s="9">
        <v>3290733</v>
      </c>
      <c r="BG388" s="9">
        <v>7612495.6600761265</v>
      </c>
      <c r="BH388" s="9">
        <v>5113589</v>
      </c>
      <c r="BI388" s="9">
        <v>3327153.0000003641</v>
      </c>
      <c r="BJ388" s="9">
        <v>7679400.380076794</v>
      </c>
      <c r="BK388" s="9">
        <v>5295241</v>
      </c>
      <c r="BL388" s="9">
        <v>3361953.000000712</v>
      </c>
      <c r="BM388" s="9"/>
      <c r="BN388" s="9"/>
      <c r="BO388" s="9"/>
      <c r="BP388" s="9"/>
      <c r="BQ388" s="9"/>
      <c r="BR388" s="9"/>
      <c r="BS388" s="9"/>
      <c r="BT388" s="9"/>
      <c r="BU388" s="9"/>
    </row>
    <row r="389" spans="1:73">
      <c r="A389" s="6">
        <v>685</v>
      </c>
      <c r="B389" s="6" t="s">
        <v>1494</v>
      </c>
      <c r="C389" s="421">
        <v>42.15</v>
      </c>
      <c r="D389" s="9">
        <v>1068768</v>
      </c>
      <c r="E389" s="33">
        <v>490624</v>
      </c>
      <c r="F389" s="9">
        <v>613734.80000000005</v>
      </c>
      <c r="G389" s="9">
        <v>1007233</v>
      </c>
      <c r="H389" s="9">
        <v>489631</v>
      </c>
      <c r="I389" s="9">
        <v>620084.80000000005</v>
      </c>
      <c r="J389" s="9">
        <v>935837</v>
      </c>
      <c r="K389" s="9">
        <v>424000</v>
      </c>
      <c r="L389" s="9">
        <v>625634.80000000005</v>
      </c>
      <c r="M389" s="9">
        <v>977501</v>
      </c>
      <c r="N389" s="9">
        <v>437137</v>
      </c>
      <c r="O389" s="9">
        <v>582347.80000000005</v>
      </c>
      <c r="P389" s="9">
        <v>68440</v>
      </c>
      <c r="Q389" s="9">
        <v>1015177.688803828</v>
      </c>
      <c r="R389" s="9">
        <v>455789</v>
      </c>
      <c r="S389" s="9">
        <v>637772</v>
      </c>
      <c r="T389" s="9">
        <v>0</v>
      </c>
      <c r="U389" s="9">
        <v>943708.38599999994</v>
      </c>
      <c r="V389" s="9">
        <v>475782</v>
      </c>
      <c r="W389" s="9">
        <v>600513</v>
      </c>
      <c r="X389" s="9">
        <v>3224</v>
      </c>
      <c r="Y389" s="9">
        <v>36635</v>
      </c>
      <c r="Z389" s="9">
        <v>852740</v>
      </c>
      <c r="AA389" s="9">
        <v>451986</v>
      </c>
      <c r="AB389" s="9">
        <v>603737</v>
      </c>
      <c r="AC389" s="9">
        <v>880128</v>
      </c>
      <c r="AD389" s="9">
        <v>468192</v>
      </c>
      <c r="AE389" s="9">
        <v>607377</v>
      </c>
      <c r="AF389" s="9">
        <v>950613</v>
      </c>
      <c r="AG389" s="9">
        <v>539883</v>
      </c>
      <c r="AH389" s="9">
        <v>609827</v>
      </c>
      <c r="AI389" s="9">
        <v>933646</v>
      </c>
      <c r="AJ389" s="9">
        <v>531341</v>
      </c>
      <c r="AK389" s="28">
        <v>612202</v>
      </c>
      <c r="AL389" s="9">
        <v>950854</v>
      </c>
      <c r="AM389" s="9">
        <v>532283</v>
      </c>
      <c r="AN389" s="28">
        <v>614527</v>
      </c>
      <c r="AO389" s="9">
        <v>966196</v>
      </c>
      <c r="AP389" s="9">
        <v>536672</v>
      </c>
      <c r="AQ389" s="28">
        <v>619422</v>
      </c>
      <c r="AR389" s="9">
        <v>948610.29681259417</v>
      </c>
      <c r="AS389" s="9">
        <v>528435</v>
      </c>
      <c r="AT389" s="28">
        <v>621882</v>
      </c>
      <c r="AU389" s="9">
        <v>1319629.0000000005</v>
      </c>
      <c r="AV389" s="9">
        <v>686073</v>
      </c>
      <c r="AW389" s="9">
        <v>633556</v>
      </c>
      <c r="AX389" s="9">
        <v>1194591.6655308905</v>
      </c>
      <c r="AY389" s="9">
        <v>597682</v>
      </c>
      <c r="AZ389" s="28">
        <v>636346</v>
      </c>
      <c r="BA389" s="9">
        <v>1210178.3199999998</v>
      </c>
      <c r="BB389" s="9">
        <v>645856</v>
      </c>
      <c r="BC389" s="9">
        <v>636346</v>
      </c>
      <c r="BD389" s="9">
        <v>1114456.54</v>
      </c>
      <c r="BE389" s="9">
        <v>626296</v>
      </c>
      <c r="BF389" s="9">
        <v>638716</v>
      </c>
      <c r="BG389" s="9">
        <v>1180054.7600000002</v>
      </c>
      <c r="BH389" s="9">
        <v>626211</v>
      </c>
      <c r="BI389" s="9">
        <v>643276</v>
      </c>
      <c r="BJ389" s="9">
        <v>1359496.83</v>
      </c>
      <c r="BK389" s="9">
        <v>747723</v>
      </c>
      <c r="BL389" s="9">
        <v>648796</v>
      </c>
      <c r="BM389" s="9"/>
      <c r="BN389" s="9"/>
      <c r="BO389" s="9"/>
      <c r="BP389" s="9"/>
      <c r="BQ389" s="9"/>
      <c r="BR389" s="9"/>
      <c r="BS389" s="9"/>
      <c r="BT389" s="9"/>
      <c r="BU389" s="9"/>
    </row>
    <row r="390" spans="1:73">
      <c r="A390" s="6">
        <v>690</v>
      </c>
      <c r="B390" s="6" t="s">
        <v>1495</v>
      </c>
      <c r="C390" s="421">
        <v>18.48</v>
      </c>
      <c r="D390" s="9">
        <v>14979166</v>
      </c>
      <c r="E390" s="33">
        <v>8734642</v>
      </c>
      <c r="F390" s="9">
        <v>6244524</v>
      </c>
      <c r="G390" s="9">
        <v>16295851</v>
      </c>
      <c r="H390" s="9">
        <v>9507703</v>
      </c>
      <c r="I390" s="9">
        <v>6788148</v>
      </c>
      <c r="J390" s="9">
        <v>17396805</v>
      </c>
      <c r="K390" s="9">
        <v>10500808</v>
      </c>
      <c r="L390" s="9">
        <v>7139022</v>
      </c>
      <c r="M390" s="9">
        <v>18770909</v>
      </c>
      <c r="N390" s="9">
        <v>11301852</v>
      </c>
      <c r="O390" s="9">
        <v>6776559</v>
      </c>
      <c r="P390" s="9">
        <v>796405</v>
      </c>
      <c r="Q390" s="9">
        <v>19266152.972248808</v>
      </c>
      <c r="R390" s="9">
        <v>12421086</v>
      </c>
      <c r="S390" s="9">
        <v>7421505</v>
      </c>
      <c r="T390" s="9">
        <v>0</v>
      </c>
      <c r="U390" s="9">
        <v>18766472.316</v>
      </c>
      <c r="V390" s="9">
        <v>12655997</v>
      </c>
      <c r="W390" s="9">
        <v>6987941</v>
      </c>
      <c r="X390" s="9">
        <v>37514</v>
      </c>
      <c r="Y390" s="9">
        <v>450050</v>
      </c>
      <c r="Z390" s="9">
        <v>19491490</v>
      </c>
      <c r="AA390" s="9">
        <v>13489687</v>
      </c>
      <c r="AB390" s="9">
        <v>7025455</v>
      </c>
      <c r="AC390" s="9">
        <v>20106153</v>
      </c>
      <c r="AD390" s="9">
        <v>14008919</v>
      </c>
      <c r="AE390" s="9">
        <v>7113575</v>
      </c>
      <c r="AF390" s="9">
        <v>20756038</v>
      </c>
      <c r="AG390" s="9">
        <v>15085093</v>
      </c>
      <c r="AH390" s="9">
        <v>7169225</v>
      </c>
      <c r="AI390" s="9">
        <v>20668060</v>
      </c>
      <c r="AJ390" s="9">
        <v>15441355</v>
      </c>
      <c r="AK390" s="28">
        <v>7224100</v>
      </c>
      <c r="AL390" s="9">
        <v>20796265</v>
      </c>
      <c r="AM390" s="9">
        <v>16339640</v>
      </c>
      <c r="AN390" s="28">
        <v>7278450</v>
      </c>
      <c r="AO390" s="9">
        <v>21464344</v>
      </c>
      <c r="AP390" s="9">
        <v>16747910</v>
      </c>
      <c r="AQ390" s="28">
        <v>7399780</v>
      </c>
      <c r="AR390" s="9">
        <v>21686949.863603115</v>
      </c>
      <c r="AS390" s="9">
        <v>17288364</v>
      </c>
      <c r="AT390" s="28">
        <v>7465059.9999993471</v>
      </c>
      <c r="AU390" s="9">
        <v>22108494.793599997</v>
      </c>
      <c r="AV390" s="9">
        <v>17573207</v>
      </c>
      <c r="AW390" s="9">
        <v>7529320</v>
      </c>
      <c r="AX390" s="9">
        <v>22968588.71954523</v>
      </c>
      <c r="AY390" s="9">
        <v>18207740</v>
      </c>
      <c r="AZ390" s="28">
        <v>7592980</v>
      </c>
      <c r="BA390" s="9">
        <v>22821189.415249996</v>
      </c>
      <c r="BB390" s="9">
        <v>18216801</v>
      </c>
      <c r="BC390" s="9">
        <v>7592980</v>
      </c>
      <c r="BD390" s="9">
        <v>23108672.780000001</v>
      </c>
      <c r="BE390" s="9">
        <v>18487068</v>
      </c>
      <c r="BF390" s="9">
        <v>7653700</v>
      </c>
      <c r="BG390" s="9">
        <v>24040989.472959593</v>
      </c>
      <c r="BH390" s="9">
        <v>18683871</v>
      </c>
      <c r="BI390" s="9">
        <v>7771359.9999988237</v>
      </c>
      <c r="BJ390" s="9">
        <v>24882496.668651178</v>
      </c>
      <c r="BK390" s="9">
        <v>19073760</v>
      </c>
      <c r="BL390" s="9">
        <v>7885179.9999976857</v>
      </c>
      <c r="BM390" s="9"/>
      <c r="BN390" s="9"/>
      <c r="BO390" s="9"/>
      <c r="BP390" s="9"/>
      <c r="BQ390" s="9"/>
      <c r="BR390" s="9"/>
      <c r="BS390" s="9"/>
      <c r="BT390" s="9"/>
      <c r="BU390" s="9"/>
    </row>
    <row r="391" spans="1:73">
      <c r="A391" s="6">
        <v>695</v>
      </c>
      <c r="B391" s="6" t="s">
        <v>1496</v>
      </c>
      <c r="C391" s="421">
        <v>17.5</v>
      </c>
      <c r="D391" s="9">
        <v>11315184</v>
      </c>
      <c r="E391" s="33">
        <v>11075410</v>
      </c>
      <c r="F391" s="9">
        <v>1787678.4</v>
      </c>
      <c r="G391" s="9">
        <v>13657169</v>
      </c>
      <c r="H391" s="9">
        <v>11726968</v>
      </c>
      <c r="I391" s="9">
        <v>2197526</v>
      </c>
      <c r="J391" s="9">
        <v>14669142</v>
      </c>
      <c r="K391" s="9">
        <v>12512472</v>
      </c>
      <c r="L391" s="9">
        <v>2374621</v>
      </c>
      <c r="M391" s="9">
        <v>15512737</v>
      </c>
      <c r="N391" s="9">
        <v>13029848</v>
      </c>
      <c r="O391" s="9">
        <v>2256999</v>
      </c>
      <c r="P391" s="9">
        <v>265251</v>
      </c>
      <c r="Q391" s="9">
        <v>16180111.874449763</v>
      </c>
      <c r="R391" s="9">
        <v>13524542</v>
      </c>
      <c r="S391" s="9">
        <v>2471805</v>
      </c>
      <c r="T391" s="9">
        <v>183765</v>
      </c>
      <c r="U391" s="9">
        <v>15640388.226</v>
      </c>
      <c r="V391" s="9">
        <v>13606478</v>
      </c>
      <c r="W391" s="9">
        <v>2500432</v>
      </c>
      <c r="X391" s="9">
        <v>13423</v>
      </c>
      <c r="Y391" s="9">
        <v>182915</v>
      </c>
      <c r="Z391" s="9">
        <v>15881721</v>
      </c>
      <c r="AA391" s="9">
        <v>14058638</v>
      </c>
      <c r="AB391" s="9">
        <v>2513855</v>
      </c>
      <c r="AC391" s="9">
        <v>16550937</v>
      </c>
      <c r="AD391" s="9">
        <v>14522938</v>
      </c>
      <c r="AE391" s="9">
        <v>2609494.7437499999</v>
      </c>
      <c r="AF391" s="9">
        <v>16660368</v>
      </c>
      <c r="AG391" s="9">
        <v>14759478</v>
      </c>
      <c r="AH391" s="9">
        <v>2686012.1578124999</v>
      </c>
      <c r="AI391" s="9">
        <v>17538177</v>
      </c>
      <c r="AJ391" s="9">
        <v>15255513</v>
      </c>
      <c r="AK391" s="28">
        <v>2820121.1578124999</v>
      </c>
      <c r="AL391" s="9">
        <v>17586404</v>
      </c>
      <c r="AM391" s="9">
        <v>15195939</v>
      </c>
      <c r="AN391" s="28">
        <v>2862021.1578124999</v>
      </c>
      <c r="AO391" s="9">
        <v>17527242</v>
      </c>
      <c r="AP391" s="9">
        <v>14585219</v>
      </c>
      <c r="AQ391" s="28">
        <v>2953706.1578124999</v>
      </c>
      <c r="AR391" s="9">
        <v>17315388.091420949</v>
      </c>
      <c r="AS391" s="9">
        <v>14392659</v>
      </c>
      <c r="AT391" s="28">
        <v>3002696.1578124999</v>
      </c>
      <c r="AU391" s="9">
        <v>17438816.760160003</v>
      </c>
      <c r="AV391" s="9">
        <v>14387024</v>
      </c>
      <c r="AW391" s="9">
        <v>3051793</v>
      </c>
      <c r="AX391" s="9">
        <v>17865441.864525706</v>
      </c>
      <c r="AY391" s="9">
        <v>14738989</v>
      </c>
      <c r="AZ391" s="28">
        <v>3127363</v>
      </c>
      <c r="BA391" s="9">
        <v>17971715.490000002</v>
      </c>
      <c r="BB391" s="9">
        <v>14826665</v>
      </c>
      <c r="BC391" s="9">
        <v>3145998</v>
      </c>
      <c r="BD391" s="9">
        <v>18587999.26021</v>
      </c>
      <c r="BE391" s="9">
        <v>15335100</v>
      </c>
      <c r="BF391" s="9">
        <v>3264670</v>
      </c>
      <c r="BG391" s="9">
        <v>19460408.700000003</v>
      </c>
      <c r="BH391" s="9">
        <v>15892482</v>
      </c>
      <c r="BI391" s="9">
        <v>3567927</v>
      </c>
      <c r="BJ391" s="9">
        <v>20042623.919999998</v>
      </c>
      <c r="BK391" s="9">
        <v>16199749</v>
      </c>
      <c r="BL391" s="9">
        <v>3842875</v>
      </c>
      <c r="BM391" s="9"/>
      <c r="BN391" s="9"/>
      <c r="BO391" s="9"/>
      <c r="BP391" s="9"/>
      <c r="BQ391" s="9"/>
      <c r="BR391" s="9"/>
      <c r="BS391" s="9"/>
      <c r="BT391" s="9"/>
      <c r="BU391" s="9"/>
    </row>
    <row r="392" spans="1:73">
      <c r="A392" s="6">
        <v>698</v>
      </c>
      <c r="B392" s="6" t="s">
        <v>1064</v>
      </c>
      <c r="C392" s="421">
        <v>17.5</v>
      </c>
      <c r="D392" s="9">
        <v>8366673</v>
      </c>
      <c r="E392" s="33">
        <v>9103515</v>
      </c>
      <c r="F392" s="9">
        <v>1375984</v>
      </c>
      <c r="G392" s="9">
        <v>9141258</v>
      </c>
      <c r="H392" s="9">
        <v>9202986</v>
      </c>
      <c r="I392" s="9">
        <v>1511536</v>
      </c>
      <c r="J392" s="9">
        <v>9630975</v>
      </c>
      <c r="K392" s="9">
        <v>9237772</v>
      </c>
      <c r="L392" s="9">
        <v>1597236</v>
      </c>
      <c r="M392" s="9">
        <v>10323403</v>
      </c>
      <c r="N392" s="9">
        <v>9323664</v>
      </c>
      <c r="O392" s="9">
        <v>1537696</v>
      </c>
      <c r="P392" s="9">
        <v>180715</v>
      </c>
      <c r="Q392" s="9">
        <v>10893473.5984689</v>
      </c>
      <c r="R392" s="9">
        <v>9499354</v>
      </c>
      <c r="S392" s="9">
        <v>1684043</v>
      </c>
      <c r="T392" s="9">
        <v>0</v>
      </c>
      <c r="U392" s="9">
        <v>11219611.109999999</v>
      </c>
      <c r="V392" s="9">
        <v>9669672</v>
      </c>
      <c r="W392" s="9">
        <v>1585661</v>
      </c>
      <c r="X392" s="9">
        <v>8513</v>
      </c>
      <c r="Y392" s="9">
        <v>123169</v>
      </c>
      <c r="Z392" s="9">
        <v>12153403</v>
      </c>
      <c r="AA392" s="9">
        <v>10046472</v>
      </c>
      <c r="AB392" s="9">
        <v>2106931</v>
      </c>
      <c r="AC392" s="9">
        <v>13132240</v>
      </c>
      <c r="AD392" s="9">
        <v>10490205</v>
      </c>
      <c r="AE392" s="9">
        <v>2642035</v>
      </c>
      <c r="AF392" s="9">
        <v>13658346</v>
      </c>
      <c r="AG392" s="9">
        <v>10881653</v>
      </c>
      <c r="AH392" s="9">
        <v>2776693</v>
      </c>
      <c r="AI392" s="9">
        <v>13572189</v>
      </c>
      <c r="AJ392" s="9">
        <v>11221647</v>
      </c>
      <c r="AK392" s="28">
        <v>2813718</v>
      </c>
      <c r="AL392" s="9">
        <v>13636380</v>
      </c>
      <c r="AM392" s="9">
        <v>11449215</v>
      </c>
      <c r="AN392" s="28">
        <v>2850168</v>
      </c>
      <c r="AO392" s="9">
        <v>13222782</v>
      </c>
      <c r="AP392" s="9">
        <v>11043112</v>
      </c>
      <c r="AQ392" s="28">
        <v>2926838</v>
      </c>
      <c r="AR392" s="9">
        <v>13044522.634690613</v>
      </c>
      <c r="AS392" s="9">
        <v>10860009</v>
      </c>
      <c r="AT392" s="28">
        <v>2967368</v>
      </c>
      <c r="AU392" s="9">
        <v>13504654.921019997</v>
      </c>
      <c r="AV392" s="9">
        <v>11094289</v>
      </c>
      <c r="AW392" s="9">
        <v>3007748</v>
      </c>
      <c r="AX392" s="9">
        <v>14371784.479899097</v>
      </c>
      <c r="AY392" s="9">
        <v>11738511</v>
      </c>
      <c r="AZ392" s="28">
        <v>3048668</v>
      </c>
      <c r="BA392" s="9">
        <v>14540612.442779997</v>
      </c>
      <c r="BB392" s="9">
        <v>11993491</v>
      </c>
      <c r="BC392" s="9">
        <v>3048668</v>
      </c>
      <c r="BD392" s="9">
        <v>13975373.452520002</v>
      </c>
      <c r="BE392" s="9">
        <v>11529683</v>
      </c>
      <c r="BF392" s="9">
        <v>3086258</v>
      </c>
      <c r="BG392" s="9">
        <v>14799834.747719998</v>
      </c>
      <c r="BH392" s="9">
        <v>11860322</v>
      </c>
      <c r="BI392" s="9">
        <v>3160298</v>
      </c>
      <c r="BJ392" s="9">
        <v>14995281.195770001</v>
      </c>
      <c r="BK392" s="9">
        <v>11980929</v>
      </c>
      <c r="BL392" s="9">
        <v>3230738</v>
      </c>
      <c r="BM392" s="9"/>
      <c r="BN392" s="9"/>
      <c r="BO392" s="9"/>
      <c r="BP392" s="9"/>
      <c r="BQ392" s="9"/>
      <c r="BR392" s="9"/>
      <c r="BS392" s="9"/>
      <c r="BT392" s="9"/>
      <c r="BU392" s="9"/>
    </row>
    <row r="393" spans="1:73">
      <c r="A393" s="6">
        <v>700</v>
      </c>
      <c r="B393" s="6" t="s">
        <v>1497</v>
      </c>
      <c r="C393" s="421">
        <v>17.5</v>
      </c>
      <c r="D393" s="9">
        <v>7093516</v>
      </c>
      <c r="E393" s="33">
        <v>6601054</v>
      </c>
      <c r="F393" s="9">
        <v>2673935</v>
      </c>
      <c r="G393" s="9">
        <v>7932850</v>
      </c>
      <c r="H393" s="9">
        <v>7970360</v>
      </c>
      <c r="I393" s="9">
        <v>2820735</v>
      </c>
      <c r="J393" s="9">
        <v>8068434</v>
      </c>
      <c r="K393" s="9">
        <v>8233407</v>
      </c>
      <c r="L393" s="9">
        <v>2861785</v>
      </c>
      <c r="M393" s="9">
        <v>7978454</v>
      </c>
      <c r="N393" s="9">
        <v>7784419</v>
      </c>
      <c r="O393" s="9">
        <v>2596397</v>
      </c>
      <c r="P393" s="9">
        <v>305138</v>
      </c>
      <c r="Q393" s="9">
        <v>8027782.3081339709</v>
      </c>
      <c r="R393" s="9">
        <v>7579454</v>
      </c>
      <c r="S393" s="9">
        <v>2843504</v>
      </c>
      <c r="T393" s="9">
        <v>0</v>
      </c>
      <c r="U393" s="9">
        <v>7689159.2280000001</v>
      </c>
      <c r="V393" s="9">
        <v>7354264</v>
      </c>
      <c r="W393" s="9">
        <v>2677387</v>
      </c>
      <c r="X393" s="9">
        <v>14373</v>
      </c>
      <c r="Y393" s="9">
        <v>170469</v>
      </c>
      <c r="Z393" s="9">
        <v>7459791</v>
      </c>
      <c r="AA393" s="9">
        <v>6982300</v>
      </c>
      <c r="AB393" s="9">
        <v>2691760</v>
      </c>
      <c r="AC393" s="9">
        <v>7821993</v>
      </c>
      <c r="AD393" s="9">
        <v>7071878</v>
      </c>
      <c r="AE393" s="9">
        <v>2720400</v>
      </c>
      <c r="AF393" s="9">
        <v>8027352</v>
      </c>
      <c r="AG393" s="9">
        <v>7261038</v>
      </c>
      <c r="AH393" s="9">
        <v>2738625</v>
      </c>
      <c r="AI393" s="9">
        <v>8168795</v>
      </c>
      <c r="AJ393" s="9">
        <v>7068505</v>
      </c>
      <c r="AK393" s="28">
        <v>2756975</v>
      </c>
      <c r="AL393" s="9">
        <v>8315537</v>
      </c>
      <c r="AM393" s="9">
        <v>6895864</v>
      </c>
      <c r="AN393" s="28">
        <v>2775225</v>
      </c>
      <c r="AO393" s="9">
        <v>8366347</v>
      </c>
      <c r="AP393" s="9">
        <v>6863098</v>
      </c>
      <c r="AQ393" s="28">
        <v>2814000</v>
      </c>
      <c r="AR393" s="9">
        <v>8775465.4854839947</v>
      </c>
      <c r="AS393" s="9">
        <v>7160292</v>
      </c>
      <c r="AT393" s="28">
        <v>2835120</v>
      </c>
      <c r="AU393" s="9">
        <v>8807318.8500000015</v>
      </c>
      <c r="AV393" s="9">
        <v>7199058</v>
      </c>
      <c r="AW393" s="9">
        <v>2855370</v>
      </c>
      <c r="AX393" s="9">
        <v>9542318.3659465611</v>
      </c>
      <c r="AY393" s="9">
        <v>7809437</v>
      </c>
      <c r="AZ393" s="28">
        <v>2875680</v>
      </c>
      <c r="BA393" s="9">
        <v>10520255.699999999</v>
      </c>
      <c r="BB393" s="9">
        <v>8507902</v>
      </c>
      <c r="BC393" s="9">
        <v>2875680</v>
      </c>
      <c r="BD393" s="9">
        <v>11375989.939999998</v>
      </c>
      <c r="BE393" s="9">
        <v>9214998</v>
      </c>
      <c r="BF393" s="9">
        <v>2897790</v>
      </c>
      <c r="BG393" s="9">
        <v>11706772.639999997</v>
      </c>
      <c r="BH393" s="9">
        <v>9266700</v>
      </c>
      <c r="BI393" s="9">
        <v>2943090</v>
      </c>
      <c r="BJ393" s="9">
        <v>14493699.970000001</v>
      </c>
      <c r="BK393" s="9">
        <v>10945434</v>
      </c>
      <c r="BL393" s="9">
        <v>3548266</v>
      </c>
      <c r="BM393" s="9"/>
      <c r="BN393" s="9"/>
      <c r="BO393" s="9"/>
      <c r="BP393" s="9"/>
      <c r="BQ393" s="9"/>
      <c r="BR393" s="9"/>
      <c r="BS393" s="9"/>
      <c r="BT393" s="9"/>
      <c r="BU393" s="9"/>
    </row>
    <row r="394" spans="1:73">
      <c r="A394" s="6">
        <v>705</v>
      </c>
      <c r="B394" s="6" t="s">
        <v>1498</v>
      </c>
      <c r="C394" s="421">
        <v>17.5</v>
      </c>
      <c r="D394" s="9">
        <v>15318665</v>
      </c>
      <c r="E394" s="33">
        <v>11142823</v>
      </c>
      <c r="F394" s="9">
        <v>4419317</v>
      </c>
      <c r="G394" s="9">
        <v>17202789</v>
      </c>
      <c r="H394" s="9">
        <v>12854203</v>
      </c>
      <c r="I394" s="9">
        <v>4773155</v>
      </c>
      <c r="J394" s="9">
        <v>18048378</v>
      </c>
      <c r="K394" s="9">
        <v>13991386</v>
      </c>
      <c r="L394" s="9">
        <v>4933394</v>
      </c>
      <c r="M394" s="9">
        <v>18669125</v>
      </c>
      <c r="N394" s="9">
        <v>14530501</v>
      </c>
      <c r="O394" s="9">
        <v>4520949</v>
      </c>
      <c r="P394" s="9">
        <v>531318</v>
      </c>
      <c r="Q394" s="9">
        <v>19727906.272153113</v>
      </c>
      <c r="R394" s="9">
        <v>16061599</v>
      </c>
      <c r="S394" s="9">
        <v>4951222</v>
      </c>
      <c r="T394" s="9">
        <v>0</v>
      </c>
      <c r="U394" s="9">
        <v>18612164.453999996</v>
      </c>
      <c r="V394" s="9">
        <v>16036618</v>
      </c>
      <c r="W394" s="9">
        <v>4661972</v>
      </c>
      <c r="X394" s="9">
        <v>25027</v>
      </c>
      <c r="Y394" s="9">
        <v>317398</v>
      </c>
      <c r="Z394" s="9">
        <v>18928100</v>
      </c>
      <c r="AA394" s="9">
        <v>16514464</v>
      </c>
      <c r="AB394" s="9">
        <v>4686999</v>
      </c>
      <c r="AC394" s="9">
        <v>19357735</v>
      </c>
      <c r="AD394" s="9">
        <v>16963367</v>
      </c>
      <c r="AE394" s="9">
        <v>4770799</v>
      </c>
      <c r="AF394" s="9">
        <v>19715478</v>
      </c>
      <c r="AG394" s="9">
        <v>17420377</v>
      </c>
      <c r="AH394" s="9">
        <v>4823099</v>
      </c>
      <c r="AI394" s="9">
        <v>19907859</v>
      </c>
      <c r="AJ394" s="9">
        <v>17251458</v>
      </c>
      <c r="AK394" s="28">
        <v>4875399</v>
      </c>
      <c r="AL394" s="9">
        <v>19398726</v>
      </c>
      <c r="AM394" s="9">
        <v>16836310</v>
      </c>
      <c r="AN394" s="28">
        <v>4925724</v>
      </c>
      <c r="AO394" s="9">
        <v>19430987</v>
      </c>
      <c r="AP394" s="9">
        <v>16230896</v>
      </c>
      <c r="AQ394" s="28">
        <v>5034459</v>
      </c>
      <c r="AR394" s="9">
        <v>18987857.036568414</v>
      </c>
      <c r="AS394" s="9">
        <v>15814213</v>
      </c>
      <c r="AT394" s="28">
        <v>5090919</v>
      </c>
      <c r="AU394" s="9">
        <v>19183372.217599999</v>
      </c>
      <c r="AV394" s="9">
        <v>15826282</v>
      </c>
      <c r="AW394" s="9">
        <v>5146299</v>
      </c>
      <c r="AX394" s="9">
        <v>19848020.362871911</v>
      </c>
      <c r="AY394" s="9">
        <v>16294823</v>
      </c>
      <c r="AZ394" s="28">
        <v>5201349</v>
      </c>
      <c r="BA394" s="9">
        <v>19718785.499960002</v>
      </c>
      <c r="BB394" s="9">
        <v>16147421</v>
      </c>
      <c r="BC394" s="9">
        <v>5201349</v>
      </c>
      <c r="BD394" s="9">
        <v>19942249.616000004</v>
      </c>
      <c r="BE394" s="9">
        <v>16452356</v>
      </c>
      <c r="BF394" s="9">
        <v>5253339</v>
      </c>
      <c r="BG394" s="9">
        <v>20626908.302099995</v>
      </c>
      <c r="BH394" s="9">
        <v>16338880</v>
      </c>
      <c r="BI394" s="9">
        <v>5354919</v>
      </c>
      <c r="BJ394" s="9">
        <v>20800201.785499997</v>
      </c>
      <c r="BK394" s="9">
        <v>16501157</v>
      </c>
      <c r="BL394" s="9">
        <v>5451699</v>
      </c>
      <c r="BM394" s="9"/>
      <c r="BN394" s="9"/>
      <c r="BO394" s="9"/>
      <c r="BP394" s="9"/>
      <c r="BQ394" s="9"/>
      <c r="BR394" s="9"/>
      <c r="BS394" s="9"/>
      <c r="BT394" s="9"/>
      <c r="BU394" s="9"/>
    </row>
    <row r="395" spans="1:73">
      <c r="A395" s="6">
        <v>710</v>
      </c>
      <c r="B395" s="6" t="s">
        <v>1499</v>
      </c>
      <c r="C395" s="421">
        <v>19.95</v>
      </c>
      <c r="D395" s="9">
        <v>17625772</v>
      </c>
      <c r="E395" s="33">
        <v>7917147</v>
      </c>
      <c r="F395" s="9">
        <v>9708625</v>
      </c>
      <c r="G395" s="9">
        <v>19301063</v>
      </c>
      <c r="H395" s="9">
        <v>8448890</v>
      </c>
      <c r="I395" s="9">
        <v>10852173</v>
      </c>
      <c r="J395" s="9">
        <v>20644958</v>
      </c>
      <c r="K395" s="9">
        <v>8956960</v>
      </c>
      <c r="L395" s="9">
        <v>11687998</v>
      </c>
      <c r="M395" s="9">
        <v>21996366</v>
      </c>
      <c r="N395" s="9">
        <v>9449432</v>
      </c>
      <c r="O395" s="9">
        <v>11227445</v>
      </c>
      <c r="P395" s="9">
        <v>1319489</v>
      </c>
      <c r="Q395" s="9">
        <v>22672457.180478469</v>
      </c>
      <c r="R395" s="9">
        <v>10147020</v>
      </c>
      <c r="S395" s="9">
        <v>12295995</v>
      </c>
      <c r="T395" s="9">
        <v>229442</v>
      </c>
      <c r="U395" s="9">
        <v>22132247.579999998</v>
      </c>
      <c r="V395" s="9">
        <v>10574513</v>
      </c>
      <c r="W395" s="9">
        <v>11793702</v>
      </c>
      <c r="X395" s="9">
        <v>63314</v>
      </c>
      <c r="Y395" s="9">
        <v>734621</v>
      </c>
      <c r="Z395" s="9">
        <v>22155000</v>
      </c>
      <c r="AA395" s="9">
        <v>11066163</v>
      </c>
      <c r="AB395" s="9">
        <v>11857016</v>
      </c>
      <c r="AC395" s="9">
        <v>22015006</v>
      </c>
      <c r="AD395" s="9">
        <v>11315699</v>
      </c>
      <c r="AE395" s="9">
        <v>11954456</v>
      </c>
      <c r="AF395" s="9">
        <v>22375411</v>
      </c>
      <c r="AG395" s="9">
        <v>11860177</v>
      </c>
      <c r="AH395" s="9">
        <v>12014831</v>
      </c>
      <c r="AI395" s="9">
        <v>21900366</v>
      </c>
      <c r="AJ395" s="9">
        <v>12299101</v>
      </c>
      <c r="AK395" s="28">
        <v>12074206</v>
      </c>
      <c r="AL395" s="9">
        <v>21475634</v>
      </c>
      <c r="AM395" s="9">
        <v>12907063</v>
      </c>
      <c r="AN395" s="28">
        <v>12131581</v>
      </c>
      <c r="AO395" s="9">
        <v>20452434</v>
      </c>
      <c r="AP395" s="9">
        <v>13459709</v>
      </c>
      <c r="AQ395" s="28">
        <v>12253186</v>
      </c>
      <c r="AR395" s="9">
        <v>20207384.356621977</v>
      </c>
      <c r="AS395" s="9">
        <v>13867755</v>
      </c>
      <c r="AT395" s="28">
        <v>12317476</v>
      </c>
      <c r="AU395" s="9">
        <v>21244024.41</v>
      </c>
      <c r="AV395" s="9">
        <v>14784122</v>
      </c>
      <c r="AW395" s="9">
        <v>12382726</v>
      </c>
      <c r="AX395" s="9">
        <v>22449446.899046388</v>
      </c>
      <c r="AY395" s="9">
        <v>15888903</v>
      </c>
      <c r="AZ395" s="28">
        <v>12448756</v>
      </c>
      <c r="BA395" s="9">
        <v>22739749.350000001</v>
      </c>
      <c r="BB395" s="9">
        <v>16799739</v>
      </c>
      <c r="BC395" s="9">
        <v>12448756</v>
      </c>
      <c r="BD395" s="9">
        <v>22629367.129999995</v>
      </c>
      <c r="BE395" s="9">
        <v>17240401</v>
      </c>
      <c r="BF395" s="9">
        <v>12511846</v>
      </c>
      <c r="BG395" s="9">
        <v>23959502.060000002</v>
      </c>
      <c r="BH395" s="9">
        <v>18041593</v>
      </c>
      <c r="BI395" s="9">
        <v>12636586</v>
      </c>
      <c r="BJ395" s="9">
        <v>24957462.550000001</v>
      </c>
      <c r="BK395" s="9">
        <v>18856411</v>
      </c>
      <c r="BL395" s="9">
        <v>12758086</v>
      </c>
      <c r="BM395" s="9"/>
      <c r="BN395" s="9"/>
      <c r="BO395" s="9"/>
      <c r="BP395" s="9"/>
      <c r="BQ395" s="9"/>
      <c r="BR395" s="9"/>
      <c r="BS395" s="9"/>
      <c r="BT395" s="9"/>
      <c r="BU395" s="9"/>
    </row>
    <row r="396" spans="1:73">
      <c r="A396" s="6">
        <v>712</v>
      </c>
      <c r="B396" s="6" t="s">
        <v>1068</v>
      </c>
      <c r="C396" s="421">
        <v>17.5</v>
      </c>
      <c r="D396" s="9">
        <v>0</v>
      </c>
      <c r="E396" s="9">
        <v>0</v>
      </c>
      <c r="F396" s="9">
        <v>0</v>
      </c>
      <c r="G396" s="9">
        <v>0</v>
      </c>
      <c r="H396" s="9">
        <v>0</v>
      </c>
      <c r="I396" s="9">
        <v>0</v>
      </c>
      <c r="J396" s="9">
        <v>0</v>
      </c>
      <c r="K396" s="9">
        <v>0</v>
      </c>
      <c r="L396" s="9">
        <v>0</v>
      </c>
      <c r="M396" s="9">
        <v>0</v>
      </c>
      <c r="N396" s="9">
        <v>0</v>
      </c>
      <c r="O396" s="9">
        <v>0</v>
      </c>
      <c r="P396" s="9">
        <v>0</v>
      </c>
      <c r="Q396" s="9">
        <v>0</v>
      </c>
      <c r="R396" s="9">
        <v>0</v>
      </c>
      <c r="S396" s="9">
        <v>0</v>
      </c>
      <c r="T396" s="9">
        <v>0</v>
      </c>
      <c r="U396" s="9">
        <v>0</v>
      </c>
      <c r="V396" s="9">
        <v>0</v>
      </c>
      <c r="W396" s="9">
        <v>0</v>
      </c>
      <c r="X396" s="9">
        <v>0</v>
      </c>
      <c r="Y396" s="9">
        <v>0</v>
      </c>
      <c r="Z396" s="9">
        <v>17110771.399999999</v>
      </c>
      <c r="AA396" s="9">
        <v>16296303</v>
      </c>
      <c r="AB396" s="9">
        <v>2384540</v>
      </c>
      <c r="AC396" s="9">
        <v>17569657</v>
      </c>
      <c r="AD396" s="9">
        <v>16140983</v>
      </c>
      <c r="AE396" s="9">
        <v>2460460</v>
      </c>
      <c r="AF396" s="9">
        <v>17319106</v>
      </c>
      <c r="AG396" s="9">
        <v>16031006</v>
      </c>
      <c r="AH396" s="9">
        <v>2506360</v>
      </c>
      <c r="AI396" s="9">
        <v>17618966</v>
      </c>
      <c r="AJ396" s="9">
        <v>15518373</v>
      </c>
      <c r="AK396" s="28">
        <v>2708296</v>
      </c>
      <c r="AL396" s="9">
        <v>18464076</v>
      </c>
      <c r="AM396" s="9">
        <v>15720020</v>
      </c>
      <c r="AN396" s="28">
        <v>2755146</v>
      </c>
      <c r="AO396" s="9">
        <v>19086298</v>
      </c>
      <c r="AP396" s="9">
        <v>15841935</v>
      </c>
      <c r="AQ396" s="28">
        <v>3244363</v>
      </c>
      <c r="AR396" s="9">
        <v>19283171.949603103</v>
      </c>
      <c r="AS396" s="9">
        <v>15996456</v>
      </c>
      <c r="AT396" s="28">
        <v>3300373</v>
      </c>
      <c r="AU396" s="9">
        <v>20057741.48</v>
      </c>
      <c r="AV396" s="9">
        <v>16512901</v>
      </c>
      <c r="AW396" s="9">
        <v>3544840</v>
      </c>
      <c r="AX396" s="9">
        <v>20829711.826521438</v>
      </c>
      <c r="AY396" s="9">
        <v>17031398</v>
      </c>
      <c r="AZ396" s="28">
        <v>3798314</v>
      </c>
      <c r="BA396" s="9">
        <v>21026943.91</v>
      </c>
      <c r="BB396" s="9">
        <v>17347229</v>
      </c>
      <c r="BC396" s="9">
        <v>3798314</v>
      </c>
      <c r="BD396" s="9">
        <v>20768967.640000001</v>
      </c>
      <c r="BE396" s="9">
        <v>17123821</v>
      </c>
      <c r="BF396" s="9">
        <v>3850274</v>
      </c>
      <c r="BG396" s="9">
        <v>22033322.210000001</v>
      </c>
      <c r="BH396" s="9">
        <v>17917457</v>
      </c>
      <c r="BI396" s="9">
        <v>4115865</v>
      </c>
      <c r="BJ396" s="9">
        <v>23706658.220000003</v>
      </c>
      <c r="BK396" s="9">
        <v>19557993</v>
      </c>
      <c r="BL396" s="9">
        <v>4215105</v>
      </c>
      <c r="BM396" s="9"/>
      <c r="BN396" s="9"/>
      <c r="BO396" s="9"/>
      <c r="BP396" s="9"/>
      <c r="BQ396" s="9"/>
      <c r="BR396" s="9"/>
      <c r="BS396" s="9"/>
      <c r="BT396" s="9"/>
      <c r="BU396" s="9"/>
    </row>
    <row r="397" spans="1:73">
      <c r="A397" s="6">
        <v>715</v>
      </c>
      <c r="B397" s="6" t="s">
        <v>1500</v>
      </c>
      <c r="C397" s="421">
        <v>26.04</v>
      </c>
      <c r="D397" s="9">
        <v>4676875</v>
      </c>
      <c r="E397" s="33">
        <v>4597031</v>
      </c>
      <c r="F397" s="9">
        <v>1666950</v>
      </c>
      <c r="G397" s="9">
        <v>4791177</v>
      </c>
      <c r="H397" s="9">
        <v>4533455</v>
      </c>
      <c r="I397" s="9">
        <v>1699377</v>
      </c>
      <c r="J397" s="9">
        <v>4697972</v>
      </c>
      <c r="K397" s="9">
        <v>4234702</v>
      </c>
      <c r="L397" s="9">
        <v>1727227</v>
      </c>
      <c r="M397" s="9">
        <v>4870291</v>
      </c>
      <c r="N397" s="9">
        <v>4171647</v>
      </c>
      <c r="O397" s="9">
        <v>1590024</v>
      </c>
      <c r="P397" s="9">
        <v>186865</v>
      </c>
      <c r="Q397" s="9">
        <v>5038820.6667942591</v>
      </c>
      <c r="R397" s="9">
        <v>4176618</v>
      </c>
      <c r="S397" s="9">
        <v>1741351</v>
      </c>
      <c r="T397" s="9">
        <v>0</v>
      </c>
      <c r="U397" s="9">
        <v>4954695.6780000003</v>
      </c>
      <c r="V397" s="9">
        <v>4130699</v>
      </c>
      <c r="W397" s="9">
        <v>1639621</v>
      </c>
      <c r="X397" s="9">
        <v>8802</v>
      </c>
      <c r="Y397" s="9">
        <v>106828</v>
      </c>
      <c r="Z397" s="9">
        <v>4795752</v>
      </c>
      <c r="AA397" s="9">
        <v>4018167</v>
      </c>
      <c r="AB397" s="9">
        <v>1648423</v>
      </c>
      <c r="AC397" s="9">
        <v>4847655</v>
      </c>
      <c r="AD397" s="9">
        <v>3957893</v>
      </c>
      <c r="AE397" s="9">
        <v>1668783</v>
      </c>
      <c r="AF397" s="9">
        <v>4713594</v>
      </c>
      <c r="AG397" s="9">
        <v>3902934</v>
      </c>
      <c r="AH397" s="9">
        <v>1680908</v>
      </c>
      <c r="AI397" s="9">
        <v>5049227</v>
      </c>
      <c r="AJ397" s="9">
        <v>3998439</v>
      </c>
      <c r="AK397" s="28">
        <v>1693808</v>
      </c>
      <c r="AL397" s="9">
        <v>4887694</v>
      </c>
      <c r="AM397" s="9">
        <v>3824463</v>
      </c>
      <c r="AN397" s="28">
        <v>1705983</v>
      </c>
      <c r="AO397" s="9">
        <v>4960436</v>
      </c>
      <c r="AP397" s="9">
        <v>3813364</v>
      </c>
      <c r="AQ397" s="28">
        <v>1733153</v>
      </c>
      <c r="AR397" s="9">
        <v>5175933.9315482499</v>
      </c>
      <c r="AS397" s="9">
        <v>3845508</v>
      </c>
      <c r="AT397" s="28">
        <f>1748153+972741+768543</f>
        <v>3489437</v>
      </c>
      <c r="AU397" s="9">
        <v>10983817.570000002</v>
      </c>
      <c r="AV397" s="9">
        <v>8251697</v>
      </c>
      <c r="AW397" s="9">
        <v>3521567</v>
      </c>
      <c r="AX397" s="9">
        <v>11569192.327752113</v>
      </c>
      <c r="AY397" s="9">
        <v>8401578</v>
      </c>
      <c r="AZ397" s="28">
        <v>3554057</v>
      </c>
      <c r="BA397" s="9">
        <v>11284468.84</v>
      </c>
      <c r="BB397" s="9">
        <v>8495288</v>
      </c>
      <c r="BC397" s="9">
        <v>3554057</v>
      </c>
      <c r="BD397" s="9">
        <v>11519400.35</v>
      </c>
      <c r="BE397" s="9">
        <v>8440595</v>
      </c>
      <c r="BF397" s="9">
        <v>3584477</v>
      </c>
      <c r="BG397" s="9">
        <v>12823121.489999998</v>
      </c>
      <c r="BH397" s="9">
        <v>8909296</v>
      </c>
      <c r="BI397" s="9">
        <v>3913825</v>
      </c>
      <c r="BJ397" s="9">
        <v>14323308.950000001</v>
      </c>
      <c r="BK397" s="9">
        <v>9465991</v>
      </c>
      <c r="BL397" s="9">
        <v>4857318</v>
      </c>
      <c r="BM397" s="9"/>
      <c r="BN397" s="9"/>
      <c r="BO397" s="9"/>
      <c r="BP397" s="9"/>
      <c r="BQ397" s="9"/>
      <c r="BR397" s="9"/>
      <c r="BS397" s="9"/>
      <c r="BT397" s="9"/>
      <c r="BU397" s="9"/>
    </row>
    <row r="398" spans="1:73">
      <c r="A398" s="6">
        <v>717</v>
      </c>
      <c r="B398" s="6" t="s">
        <v>1501</v>
      </c>
      <c r="C398" s="421">
        <v>34.49</v>
      </c>
      <c r="D398" s="9">
        <v>10399815</v>
      </c>
      <c r="E398" s="33">
        <v>5552327</v>
      </c>
      <c r="F398" s="9">
        <v>5972084</v>
      </c>
      <c r="G398" s="9">
        <v>10269301</v>
      </c>
      <c r="H398" s="9">
        <v>5648614</v>
      </c>
      <c r="I398" s="9">
        <v>6034784</v>
      </c>
      <c r="J398" s="9">
        <v>10605776</v>
      </c>
      <c r="K398" s="9">
        <v>5769493</v>
      </c>
      <c r="L398" s="9">
        <v>6204233</v>
      </c>
      <c r="M398" s="9">
        <v>10359333</v>
      </c>
      <c r="N398" s="9">
        <v>5721445</v>
      </c>
      <c r="O398" s="9">
        <v>5603580</v>
      </c>
      <c r="P398" s="9">
        <v>658553</v>
      </c>
      <c r="Q398" s="9">
        <v>10590789.40784689</v>
      </c>
      <c r="R398" s="9">
        <v>5820331</v>
      </c>
      <c r="S398" s="9">
        <v>6136890</v>
      </c>
      <c r="T398" s="9">
        <v>0</v>
      </c>
      <c r="U398" s="9">
        <v>10304179.638</v>
      </c>
      <c r="V398" s="9">
        <v>5807577</v>
      </c>
      <c r="W398" s="9">
        <v>5778373</v>
      </c>
      <c r="X398" s="9">
        <v>31021</v>
      </c>
      <c r="Y398" s="9">
        <v>355446</v>
      </c>
      <c r="Z398" s="9">
        <v>10123559</v>
      </c>
      <c r="AA398" s="9">
        <v>5977059</v>
      </c>
      <c r="AB398" s="9">
        <v>5809394</v>
      </c>
      <c r="AC398" s="9">
        <v>9875049</v>
      </c>
      <c r="AD398" s="9">
        <v>6107017</v>
      </c>
      <c r="AE398" s="9">
        <v>5850194</v>
      </c>
      <c r="AF398" s="9">
        <v>9444879</v>
      </c>
      <c r="AG398" s="9">
        <v>6294792</v>
      </c>
      <c r="AH398" s="9">
        <v>5874244</v>
      </c>
      <c r="AI398" s="9">
        <v>9300413</v>
      </c>
      <c r="AJ398" s="9">
        <v>6365060</v>
      </c>
      <c r="AK398" s="28">
        <v>5897844</v>
      </c>
      <c r="AL398" s="9">
        <v>9310511</v>
      </c>
      <c r="AM398" s="9">
        <v>6523226</v>
      </c>
      <c r="AN398" s="28">
        <v>5921294</v>
      </c>
      <c r="AO398" s="9">
        <v>9915353</v>
      </c>
      <c r="AP398" s="9">
        <v>6433157</v>
      </c>
      <c r="AQ398" s="28">
        <v>5973434</v>
      </c>
      <c r="AR398" s="9">
        <v>9838051.3509327304</v>
      </c>
      <c r="AS398" s="9">
        <v>6364738</v>
      </c>
      <c r="AT398" s="28">
        <v>6001454</v>
      </c>
      <c r="AU398" s="9">
        <v>10008929.639999999</v>
      </c>
      <c r="AV398" s="9">
        <v>6399727</v>
      </c>
      <c r="AW398" s="9">
        <v>6028994</v>
      </c>
      <c r="AX398" s="9">
        <v>10650334.810213417</v>
      </c>
      <c r="AY398" s="9">
        <v>6438287</v>
      </c>
      <c r="AZ398" s="28">
        <v>6056894</v>
      </c>
      <c r="BA398" s="9">
        <v>10427668.720104279</v>
      </c>
      <c r="BB398" s="9">
        <v>6461323</v>
      </c>
      <c r="BC398" s="9">
        <v>6056894</v>
      </c>
      <c r="BD398" s="9">
        <v>9675020.5800967515</v>
      </c>
      <c r="BE398" s="9">
        <v>6376119</v>
      </c>
      <c r="BF398" s="9">
        <v>6081374.0000002449</v>
      </c>
      <c r="BG398" s="9">
        <v>10916936.219890831</v>
      </c>
      <c r="BH398" s="9">
        <v>6617874</v>
      </c>
      <c r="BI398" s="9">
        <v>6131053.9999997485</v>
      </c>
      <c r="BJ398" s="9">
        <v>11381489.499886185</v>
      </c>
      <c r="BK398" s="9">
        <v>6907293</v>
      </c>
      <c r="BL398" s="9">
        <v>6178513.9999992736</v>
      </c>
      <c r="BM398" s="9"/>
      <c r="BN398" s="9"/>
      <c r="BO398" s="9"/>
      <c r="BP398" s="9"/>
      <c r="BQ398" s="9"/>
      <c r="BR398" s="9"/>
      <c r="BS398" s="9"/>
      <c r="BT398" s="9"/>
      <c r="BU398" s="9"/>
    </row>
    <row r="399" spans="1:73">
      <c r="A399" s="6">
        <v>720</v>
      </c>
      <c r="B399" s="6" t="s">
        <v>1502</v>
      </c>
      <c r="C399" s="421">
        <v>58.04</v>
      </c>
      <c r="D399" s="9">
        <v>11727704</v>
      </c>
      <c r="E399" s="33">
        <v>2977580</v>
      </c>
      <c r="F399" s="9">
        <v>8750124</v>
      </c>
      <c r="G399" s="9">
        <v>12694975</v>
      </c>
      <c r="H399" s="9">
        <v>3200990</v>
      </c>
      <c r="I399" s="9">
        <v>9493985</v>
      </c>
      <c r="J399" s="9">
        <v>13440494</v>
      </c>
      <c r="K399" s="9">
        <v>3363034</v>
      </c>
      <c r="L399" s="9">
        <v>10077460</v>
      </c>
      <c r="M399" s="9">
        <v>13890162</v>
      </c>
      <c r="N399" s="9">
        <v>3558412</v>
      </c>
      <c r="O399" s="9">
        <v>9267025</v>
      </c>
      <c r="P399" s="9">
        <v>1089094</v>
      </c>
      <c r="Q399" s="9">
        <v>14047951.990813399</v>
      </c>
      <c r="R399" s="9">
        <v>4510425</v>
      </c>
      <c r="S399" s="9">
        <v>10148997</v>
      </c>
      <c r="T399" s="9">
        <v>0</v>
      </c>
      <c r="U399" s="9">
        <v>13273695.708000001</v>
      </c>
      <c r="V399" s="9">
        <v>4548674</v>
      </c>
      <c r="W399" s="9">
        <v>9556093</v>
      </c>
      <c r="X399" s="9">
        <v>51301</v>
      </c>
      <c r="Y399" s="9">
        <v>579303</v>
      </c>
      <c r="Z399" s="9">
        <v>13213993</v>
      </c>
      <c r="AA399" s="9">
        <v>4564055</v>
      </c>
      <c r="AB399" s="9">
        <v>9607394</v>
      </c>
      <c r="AC399" s="9">
        <v>13537728</v>
      </c>
      <c r="AD399" s="9">
        <v>4721311</v>
      </c>
      <c r="AE399" s="9">
        <v>9664194</v>
      </c>
      <c r="AF399" s="9">
        <v>13335812</v>
      </c>
      <c r="AG399" s="9">
        <v>4863858</v>
      </c>
      <c r="AH399" s="9">
        <v>9698544</v>
      </c>
      <c r="AI399" s="9">
        <v>12841231</v>
      </c>
      <c r="AJ399" s="9">
        <v>4967494</v>
      </c>
      <c r="AK399" s="28">
        <v>9731269</v>
      </c>
      <c r="AL399" s="9">
        <v>13170587</v>
      </c>
      <c r="AM399" s="9">
        <v>5169393</v>
      </c>
      <c r="AN399" s="28">
        <v>9764044</v>
      </c>
      <c r="AO399" s="9">
        <v>13256830</v>
      </c>
      <c r="AP399" s="9">
        <v>5303181</v>
      </c>
      <c r="AQ399" s="28">
        <v>9834774</v>
      </c>
      <c r="AR399" s="9">
        <v>13504485.349651586</v>
      </c>
      <c r="AS399" s="9">
        <v>5366791</v>
      </c>
      <c r="AT399" s="28">
        <v>9873894</v>
      </c>
      <c r="AU399" s="9">
        <v>13898169.749999998</v>
      </c>
      <c r="AV399" s="9">
        <v>5553556</v>
      </c>
      <c r="AW399" s="9">
        <v>9912744</v>
      </c>
      <c r="AX399" s="9">
        <v>14647552.849426208</v>
      </c>
      <c r="AY399" s="9">
        <v>5831335</v>
      </c>
      <c r="AZ399" s="28">
        <v>9951444</v>
      </c>
      <c r="BA399" s="9">
        <v>15197160.489999998</v>
      </c>
      <c r="BB399" s="9">
        <v>5910692</v>
      </c>
      <c r="BC399" s="9">
        <v>9951444</v>
      </c>
      <c r="BD399" s="9">
        <v>14626287.25</v>
      </c>
      <c r="BE399" s="9">
        <v>6105079</v>
      </c>
      <c r="BF399" s="9">
        <v>9988464</v>
      </c>
      <c r="BG399" s="9">
        <v>16984442.759999998</v>
      </c>
      <c r="BH399" s="9">
        <v>6309076</v>
      </c>
      <c r="BI399" s="9">
        <v>10675367</v>
      </c>
      <c r="BJ399" s="9">
        <v>19090731.800000001</v>
      </c>
      <c r="BK399" s="9">
        <v>6749883</v>
      </c>
      <c r="BL399" s="9">
        <v>12340849</v>
      </c>
      <c r="BM399" s="9"/>
      <c r="BN399" s="9"/>
      <c r="BO399" s="9"/>
      <c r="BP399" s="9"/>
      <c r="BQ399" s="9"/>
      <c r="BR399" s="9"/>
      <c r="BS399" s="9"/>
      <c r="BT399" s="9"/>
      <c r="BU399" s="9"/>
    </row>
    <row r="400" spans="1:73">
      <c r="A400" s="6">
        <v>725</v>
      </c>
      <c r="B400" s="6" t="s">
        <v>1503</v>
      </c>
      <c r="C400" s="421">
        <v>22.38</v>
      </c>
      <c r="D400" s="9">
        <v>21474489</v>
      </c>
      <c r="E400" s="33">
        <v>17977668</v>
      </c>
      <c r="F400" s="9">
        <v>5332822.8</v>
      </c>
      <c r="G400" s="9">
        <v>23697784</v>
      </c>
      <c r="H400" s="9">
        <v>19133543</v>
      </c>
      <c r="I400" s="9">
        <v>5871971.7999999998</v>
      </c>
      <c r="J400" s="9">
        <v>25411849</v>
      </c>
      <c r="K400" s="9">
        <v>20274365</v>
      </c>
      <c r="L400" s="9">
        <v>6289003.7999999998</v>
      </c>
      <c r="M400" s="9">
        <v>26805348</v>
      </c>
      <c r="N400" s="9">
        <v>21157439</v>
      </c>
      <c r="O400" s="9">
        <v>5911057.7999999998</v>
      </c>
      <c r="P400" s="9">
        <v>694688</v>
      </c>
      <c r="Q400" s="9">
        <v>28088852.89033493</v>
      </c>
      <c r="R400" s="9">
        <v>22132725</v>
      </c>
      <c r="S400" s="9">
        <v>6473631</v>
      </c>
      <c r="T400" s="9">
        <v>0</v>
      </c>
      <c r="U400" s="9">
        <v>27791843.604000002</v>
      </c>
      <c r="V400" s="9">
        <v>22306466</v>
      </c>
      <c r="W400" s="9">
        <v>6095442</v>
      </c>
      <c r="X400" s="9">
        <v>32723</v>
      </c>
      <c r="Y400" s="9">
        <v>426391</v>
      </c>
      <c r="Z400" s="9">
        <v>28345672</v>
      </c>
      <c r="AA400" s="9">
        <v>22733730</v>
      </c>
      <c r="AB400" s="9">
        <v>6128165</v>
      </c>
      <c r="AC400" s="9">
        <v>29407907</v>
      </c>
      <c r="AD400" s="9">
        <v>23699381</v>
      </c>
      <c r="AE400" s="9">
        <v>6330455.0653249994</v>
      </c>
      <c r="AF400" s="9">
        <v>29650929</v>
      </c>
      <c r="AG400" s="9">
        <v>24483221</v>
      </c>
      <c r="AH400" s="9">
        <v>6411680.0653249994</v>
      </c>
      <c r="AI400" s="9">
        <v>29833754</v>
      </c>
      <c r="AJ400" s="9">
        <v>24514579</v>
      </c>
      <c r="AK400" s="28">
        <v>6492305.0653249994</v>
      </c>
      <c r="AL400" s="9">
        <v>30925691</v>
      </c>
      <c r="AM400" s="9">
        <v>25002991</v>
      </c>
      <c r="AN400" s="28">
        <v>6574230.0653249994</v>
      </c>
      <c r="AO400" s="9">
        <v>31260414</v>
      </c>
      <c r="AP400" s="9">
        <v>24600261</v>
      </c>
      <c r="AQ400" s="28">
        <v>6756060.0653249994</v>
      </c>
      <c r="AR400" s="9">
        <v>31083245.77955449</v>
      </c>
      <c r="AS400" s="9">
        <v>24524720</v>
      </c>
      <c r="AT400" s="28">
        <v>6852150.0653249994</v>
      </c>
      <c r="AU400" s="9">
        <v>31883434.353059992</v>
      </c>
      <c r="AV400" s="9">
        <v>24892165</v>
      </c>
      <c r="AW400" s="9">
        <v>6991269</v>
      </c>
      <c r="AX400" s="9">
        <v>32964566.540986888</v>
      </c>
      <c r="AY400" s="9">
        <v>25692699</v>
      </c>
      <c r="AZ400" s="28">
        <v>7273744</v>
      </c>
      <c r="BA400" s="9">
        <v>33255128.344112549</v>
      </c>
      <c r="BB400" s="9">
        <v>26177398</v>
      </c>
      <c r="BC400" s="9">
        <v>7273744</v>
      </c>
      <c r="BD400" s="9">
        <v>34773057.486100003</v>
      </c>
      <c r="BE400" s="9">
        <v>26910918</v>
      </c>
      <c r="BF400" s="9">
        <v>7867074</v>
      </c>
      <c r="BG400" s="9">
        <v>37188533.335978121</v>
      </c>
      <c r="BH400" s="9">
        <v>28095417</v>
      </c>
      <c r="BI400" s="9">
        <v>9093116</v>
      </c>
      <c r="BJ400" s="9">
        <v>38851075.754790001</v>
      </c>
      <c r="BK400" s="9">
        <v>29074040</v>
      </c>
      <c r="BL400" s="9">
        <v>9777036</v>
      </c>
      <c r="BM400" s="9"/>
      <c r="BN400" s="9"/>
      <c r="BO400" s="9"/>
      <c r="BP400" s="9"/>
      <c r="BQ400" s="9"/>
      <c r="BR400" s="9"/>
      <c r="BS400" s="9"/>
      <c r="BT400" s="9"/>
      <c r="BU400" s="9"/>
    </row>
    <row r="401" spans="1:73">
      <c r="A401" s="6">
        <v>728</v>
      </c>
      <c r="B401" s="6" t="s">
        <v>1504</v>
      </c>
      <c r="C401" s="421">
        <v>49.72</v>
      </c>
      <c r="D401" s="9">
        <v>1009815</v>
      </c>
      <c r="E401" s="33">
        <v>579782</v>
      </c>
      <c r="F401" s="9">
        <v>602215.19999999995</v>
      </c>
      <c r="G401" s="9">
        <v>1068078</v>
      </c>
      <c r="H401" s="9">
        <v>538560</v>
      </c>
      <c r="I401" s="9">
        <v>635233.19999999995</v>
      </c>
      <c r="J401" s="9">
        <v>1119947</v>
      </c>
      <c r="K401" s="9">
        <v>538342</v>
      </c>
      <c r="L401" s="9">
        <v>663419.19999999995</v>
      </c>
      <c r="M401" s="9">
        <v>1108280</v>
      </c>
      <c r="N401" s="9">
        <v>538661</v>
      </c>
      <c r="O401" s="9">
        <v>599333.19999999995</v>
      </c>
      <c r="P401" s="9">
        <v>70436</v>
      </c>
      <c r="Q401" s="9">
        <v>1124015.5376076559</v>
      </c>
      <c r="R401" s="9">
        <v>570244</v>
      </c>
      <c r="S401" s="9">
        <v>656374</v>
      </c>
      <c r="T401" s="9">
        <v>0</v>
      </c>
      <c r="U401" s="9">
        <v>1039961.19</v>
      </c>
      <c r="V401" s="9">
        <v>627734</v>
      </c>
      <c r="W401" s="9">
        <v>618029</v>
      </c>
      <c r="X401" s="9">
        <v>3318</v>
      </c>
      <c r="Y401" s="9">
        <v>37952</v>
      </c>
      <c r="Z401" s="9">
        <v>1102692</v>
      </c>
      <c r="AA401" s="9">
        <v>649363</v>
      </c>
      <c r="AB401" s="9">
        <v>621347</v>
      </c>
      <c r="AC401" s="9">
        <v>1136073</v>
      </c>
      <c r="AD401" s="9">
        <v>642537</v>
      </c>
      <c r="AE401" s="9">
        <v>626107</v>
      </c>
      <c r="AF401" s="9">
        <v>1171083</v>
      </c>
      <c r="AG401" s="9">
        <v>681574</v>
      </c>
      <c r="AH401" s="9">
        <v>629007</v>
      </c>
      <c r="AI401" s="9">
        <v>1217420</v>
      </c>
      <c r="AJ401" s="9">
        <v>707520</v>
      </c>
      <c r="AK401" s="28">
        <v>631982</v>
      </c>
      <c r="AL401" s="9">
        <v>1255062</v>
      </c>
      <c r="AM401" s="9">
        <v>711713</v>
      </c>
      <c r="AN401" s="28">
        <v>635007</v>
      </c>
      <c r="AO401" s="9">
        <v>1416772</v>
      </c>
      <c r="AP401" s="9">
        <v>739591</v>
      </c>
      <c r="AQ401" s="28">
        <v>677181</v>
      </c>
      <c r="AR401" s="9">
        <v>1424931.186973576</v>
      </c>
      <c r="AS401" s="9">
        <v>745274</v>
      </c>
      <c r="AT401" s="28">
        <f>694961-13670</f>
        <v>681291</v>
      </c>
      <c r="AU401" s="9">
        <v>1262167.6700000002</v>
      </c>
      <c r="AV401" s="9">
        <v>672920</v>
      </c>
      <c r="AW401" s="9">
        <v>684861</v>
      </c>
      <c r="AX401" s="9">
        <v>1230159.2284731646</v>
      </c>
      <c r="AY401" s="9">
        <v>644109</v>
      </c>
      <c r="AZ401" s="28">
        <v>688101</v>
      </c>
      <c r="BA401" s="9">
        <v>1245264.42</v>
      </c>
      <c r="BB401" s="9">
        <v>622259</v>
      </c>
      <c r="BC401" s="9">
        <v>688101</v>
      </c>
      <c r="BD401" s="9">
        <v>1358881.8199999998</v>
      </c>
      <c r="BE401" s="9">
        <v>631626</v>
      </c>
      <c r="BF401" s="9">
        <v>727256</v>
      </c>
      <c r="BG401" s="9">
        <v>1400561.7699999998</v>
      </c>
      <c r="BH401" s="9">
        <v>625870</v>
      </c>
      <c r="BI401" s="9">
        <v>774692</v>
      </c>
      <c r="BJ401" s="9">
        <v>1670707.68</v>
      </c>
      <c r="BK401" s="9">
        <v>758216</v>
      </c>
      <c r="BL401" s="9">
        <v>912492</v>
      </c>
      <c r="BM401" s="9"/>
      <c r="BN401" s="9"/>
      <c r="BO401" s="9"/>
      <c r="BP401" s="9"/>
      <c r="BQ401" s="9"/>
      <c r="BR401" s="9"/>
      <c r="BS401" s="9"/>
      <c r="BT401" s="9"/>
      <c r="BU401" s="9"/>
    </row>
    <row r="402" spans="1:73">
      <c r="A402" s="6">
        <v>730</v>
      </c>
      <c r="B402" s="6" t="s">
        <v>1505</v>
      </c>
      <c r="C402" s="421">
        <v>17.5</v>
      </c>
      <c r="D402" s="9">
        <v>9277131</v>
      </c>
      <c r="E402" s="33">
        <v>7604912</v>
      </c>
      <c r="F402" s="9">
        <v>1700728</v>
      </c>
      <c r="G402" s="9">
        <v>11057753</v>
      </c>
      <c r="H402" s="9">
        <v>8704773</v>
      </c>
      <c r="I402" s="9">
        <v>2352980</v>
      </c>
      <c r="J402" s="9">
        <v>12033372</v>
      </c>
      <c r="K402" s="9">
        <v>9631771</v>
      </c>
      <c r="L402" s="9">
        <v>2591421</v>
      </c>
      <c r="M402" s="9">
        <v>12946742</v>
      </c>
      <c r="N402" s="9">
        <v>10026161</v>
      </c>
      <c r="O402" s="9">
        <v>2613440</v>
      </c>
      <c r="P402" s="9">
        <v>307141</v>
      </c>
      <c r="Q402" s="9">
        <v>13338720.275598086</v>
      </c>
      <c r="R402" s="9">
        <v>10464106</v>
      </c>
      <c r="S402" s="9">
        <v>2862169</v>
      </c>
      <c r="T402" s="9">
        <v>12445</v>
      </c>
      <c r="U402" s="9">
        <v>13069614.491999999</v>
      </c>
      <c r="V402" s="9">
        <v>10623654</v>
      </c>
      <c r="W402" s="9">
        <v>2706679</v>
      </c>
      <c r="X402" s="9">
        <v>14531</v>
      </c>
      <c r="Y402" s="9">
        <v>189279</v>
      </c>
      <c r="Z402" s="9">
        <v>13569441</v>
      </c>
      <c r="AA402" s="9">
        <v>11147301</v>
      </c>
      <c r="AB402" s="9">
        <v>2721210</v>
      </c>
      <c r="AC402" s="9">
        <v>14179585</v>
      </c>
      <c r="AD402" s="9">
        <v>11573173</v>
      </c>
      <c r="AE402" s="9">
        <v>2838863.6458749999</v>
      </c>
      <c r="AF402" s="9">
        <v>14882231</v>
      </c>
      <c r="AG402" s="9">
        <v>12443854</v>
      </c>
      <c r="AH402" s="9">
        <v>2876913.6458749999</v>
      </c>
      <c r="AI402" s="9">
        <v>14903362</v>
      </c>
      <c r="AJ402" s="9">
        <v>12767292</v>
      </c>
      <c r="AK402" s="28">
        <v>2914613.6458749999</v>
      </c>
      <c r="AL402" s="9">
        <v>15041278</v>
      </c>
      <c r="AM402" s="9">
        <v>12932868</v>
      </c>
      <c r="AN402" s="28">
        <v>2951913.6458749999</v>
      </c>
      <c r="AO402" s="9">
        <v>15182003</v>
      </c>
      <c r="AP402" s="9">
        <v>12730046</v>
      </c>
      <c r="AQ402" s="28">
        <v>3034083.6458749999</v>
      </c>
      <c r="AR402" s="9">
        <v>15250791.830538824</v>
      </c>
      <c r="AS402" s="9">
        <v>12690623</v>
      </c>
      <c r="AT402" s="28">
        <v>3078273.6458749999</v>
      </c>
      <c r="AU402" s="9">
        <v>16210848.68</v>
      </c>
      <c r="AV402" s="9">
        <v>13373950</v>
      </c>
      <c r="AW402" s="9">
        <v>3123514</v>
      </c>
      <c r="AX402" s="9">
        <v>16651310.611277679</v>
      </c>
      <c r="AY402" s="9">
        <v>13737332</v>
      </c>
      <c r="AZ402" s="28">
        <v>3168064</v>
      </c>
      <c r="BA402" s="9">
        <v>16134802.42</v>
      </c>
      <c r="BB402" s="9">
        <v>13311213</v>
      </c>
      <c r="BC402" s="9">
        <v>3168064</v>
      </c>
      <c r="BD402" s="9">
        <v>16306106.100000001</v>
      </c>
      <c r="BE402" s="9">
        <v>13325314</v>
      </c>
      <c r="BF402" s="9">
        <v>3209584</v>
      </c>
      <c r="BG402" s="9">
        <v>16339014.660000002</v>
      </c>
      <c r="BH402" s="9">
        <v>13206889</v>
      </c>
      <c r="BI402" s="9">
        <v>3287524</v>
      </c>
      <c r="BJ402" s="9">
        <v>16594258.149999997</v>
      </c>
      <c r="BK402" s="9">
        <v>13332899</v>
      </c>
      <c r="BL402" s="9">
        <v>3362224</v>
      </c>
      <c r="BM402" s="9"/>
      <c r="BN402" s="9"/>
      <c r="BO402" s="9"/>
      <c r="BP402" s="9"/>
      <c r="BQ402" s="9"/>
      <c r="BR402" s="9"/>
      <c r="BS402" s="9"/>
      <c r="BT402" s="9"/>
      <c r="BU402" s="9"/>
    </row>
    <row r="403" spans="1:73">
      <c r="A403" s="6">
        <v>735</v>
      </c>
      <c r="B403" s="6" t="s">
        <v>1506</v>
      </c>
      <c r="C403" s="421">
        <v>41.17</v>
      </c>
      <c r="D403" s="9">
        <v>32397974</v>
      </c>
      <c r="E403" s="33">
        <v>13915496</v>
      </c>
      <c r="F403" s="9">
        <v>19063721</v>
      </c>
      <c r="G403" s="9">
        <v>33499786</v>
      </c>
      <c r="H403" s="9">
        <v>15279377</v>
      </c>
      <c r="I403" s="9">
        <v>19658038</v>
      </c>
      <c r="J403" s="9">
        <v>34412577</v>
      </c>
      <c r="K403" s="9">
        <v>15653174</v>
      </c>
      <c r="L403" s="9">
        <v>20148846</v>
      </c>
      <c r="M403" s="9">
        <v>36029257</v>
      </c>
      <c r="N403" s="9">
        <v>16080023</v>
      </c>
      <c r="O403" s="9">
        <v>18814143</v>
      </c>
      <c r="P403" s="9">
        <v>2211105</v>
      </c>
      <c r="Q403" s="9">
        <v>36456713.541818187</v>
      </c>
      <c r="R403" s="9">
        <v>16064311</v>
      </c>
      <c r="S403" s="9">
        <v>20604743</v>
      </c>
      <c r="T403" s="9">
        <v>0</v>
      </c>
      <c r="U403" s="9">
        <v>34774968.005999997</v>
      </c>
      <c r="V403" s="9">
        <v>16111990</v>
      </c>
      <c r="W403" s="9">
        <v>19401015</v>
      </c>
      <c r="X403" s="9">
        <v>104153</v>
      </c>
      <c r="Y403" s="9">
        <v>1203025</v>
      </c>
      <c r="Z403" s="9">
        <v>34052825</v>
      </c>
      <c r="AA403" s="9">
        <v>16450543</v>
      </c>
      <c r="AB403" s="9">
        <v>19505168</v>
      </c>
      <c r="AC403" s="9">
        <v>34577589</v>
      </c>
      <c r="AD403" s="9">
        <v>16881292</v>
      </c>
      <c r="AE403" s="9">
        <v>19659168</v>
      </c>
      <c r="AF403" s="9">
        <v>33991777</v>
      </c>
      <c r="AG403" s="9">
        <v>17328829</v>
      </c>
      <c r="AH403" s="9">
        <v>19751668</v>
      </c>
      <c r="AI403" s="9">
        <v>32881223</v>
      </c>
      <c r="AJ403" s="9">
        <v>17183613</v>
      </c>
      <c r="AK403" s="28">
        <v>19840443</v>
      </c>
      <c r="AL403" s="9">
        <v>32371795</v>
      </c>
      <c r="AM403" s="9">
        <v>17231131</v>
      </c>
      <c r="AN403" s="28">
        <v>19925993</v>
      </c>
      <c r="AO403" s="9">
        <v>31685058</v>
      </c>
      <c r="AP403" s="9">
        <v>17154907</v>
      </c>
      <c r="AQ403" s="28">
        <v>20107493</v>
      </c>
      <c r="AR403" s="9">
        <v>31435627.826777488</v>
      </c>
      <c r="AS403" s="9">
        <v>17200693</v>
      </c>
      <c r="AT403" s="28">
        <v>20203733.000000961</v>
      </c>
      <c r="AU403" s="9">
        <v>32197040.990000002</v>
      </c>
      <c r="AV403" s="9">
        <v>17771448</v>
      </c>
      <c r="AW403" s="9">
        <v>20298593.000000961</v>
      </c>
      <c r="AX403" s="9">
        <v>33435820.144966502</v>
      </c>
      <c r="AY403" s="9">
        <v>18529976</v>
      </c>
      <c r="AZ403" s="28">
        <v>20393183</v>
      </c>
      <c r="BA403" s="9">
        <v>34146333.740000002</v>
      </c>
      <c r="BB403" s="9">
        <v>19126198</v>
      </c>
      <c r="BC403" s="9">
        <v>20393183</v>
      </c>
      <c r="BD403" s="9">
        <v>33474930.930334739</v>
      </c>
      <c r="BE403" s="9">
        <v>19920829</v>
      </c>
      <c r="BF403" s="9">
        <v>20482913.000000898</v>
      </c>
      <c r="BG403" s="9">
        <v>37611036.840000004</v>
      </c>
      <c r="BH403" s="9">
        <v>20649455</v>
      </c>
      <c r="BI403" s="9">
        <v>20666873.000000898</v>
      </c>
      <c r="BJ403" s="9">
        <v>40550528.920000002</v>
      </c>
      <c r="BK403" s="9">
        <v>21382473</v>
      </c>
      <c r="BL403" s="9">
        <v>20852633.000000898</v>
      </c>
      <c r="BM403" s="9"/>
      <c r="BN403" s="9"/>
      <c r="BO403" s="9"/>
      <c r="BP403" s="9"/>
      <c r="BQ403" s="9"/>
      <c r="BR403" s="9"/>
      <c r="BS403" s="9"/>
      <c r="BT403" s="9"/>
      <c r="BU403" s="9"/>
    </row>
    <row r="404" spans="1:73">
      <c r="A404" s="6">
        <v>740</v>
      </c>
      <c r="B404" s="6" t="s">
        <v>1507</v>
      </c>
      <c r="C404" s="421">
        <v>21.6</v>
      </c>
      <c r="D404" s="9">
        <v>8705281</v>
      </c>
      <c r="E404" s="33">
        <v>7603741</v>
      </c>
      <c r="F404" s="9">
        <v>1530510</v>
      </c>
      <c r="G404" s="9">
        <v>9257160</v>
      </c>
      <c r="H404" s="9">
        <v>7909870</v>
      </c>
      <c r="I404" s="9">
        <v>1701522</v>
      </c>
      <c r="J404" s="9">
        <v>9923961</v>
      </c>
      <c r="K404" s="9">
        <v>8215414</v>
      </c>
      <c r="L404" s="9">
        <v>1954417</v>
      </c>
      <c r="M404" s="9">
        <v>10120297</v>
      </c>
      <c r="N404" s="9">
        <v>8156604</v>
      </c>
      <c r="O404" s="9">
        <v>1890481</v>
      </c>
      <c r="P404" s="9">
        <v>222176</v>
      </c>
      <c r="Q404" s="9">
        <v>10028263.973971292</v>
      </c>
      <c r="R404" s="9">
        <v>8036971</v>
      </c>
      <c r="S404" s="9">
        <v>2070404</v>
      </c>
      <c r="T404" s="9">
        <v>0</v>
      </c>
      <c r="U404" s="9">
        <v>9726308.7780000009</v>
      </c>
      <c r="V404" s="9">
        <v>7998372</v>
      </c>
      <c r="W404" s="9">
        <v>1949451</v>
      </c>
      <c r="X404" s="9">
        <v>10466</v>
      </c>
      <c r="Y404" s="9">
        <v>138637</v>
      </c>
      <c r="Z404" s="9">
        <v>10036210</v>
      </c>
      <c r="AA404" s="9">
        <v>8109683</v>
      </c>
      <c r="AB404" s="9">
        <v>1959917</v>
      </c>
      <c r="AC404" s="9">
        <v>10099046</v>
      </c>
      <c r="AD404" s="9">
        <v>8089994</v>
      </c>
      <c r="AE404" s="9">
        <v>2124850.6151999999</v>
      </c>
      <c r="AF404" s="9">
        <v>10378205</v>
      </c>
      <c r="AG404" s="9">
        <v>8357878</v>
      </c>
      <c r="AH404" s="9">
        <v>2238124.4918999998</v>
      </c>
      <c r="AI404" s="9">
        <v>10659228</v>
      </c>
      <c r="AJ404" s="9">
        <v>8277118</v>
      </c>
      <c r="AK404" s="28">
        <v>2382613.4918999998</v>
      </c>
      <c r="AL404" s="9">
        <v>11419777</v>
      </c>
      <c r="AM404" s="9">
        <v>8704098</v>
      </c>
      <c r="AN404" s="28">
        <v>2715679</v>
      </c>
      <c r="AO404" s="9">
        <v>11377043</v>
      </c>
      <c r="AP404" s="9">
        <v>8557549</v>
      </c>
      <c r="AQ404" s="28">
        <v>2819494</v>
      </c>
      <c r="AR404" s="9">
        <v>11640017.384192124</v>
      </c>
      <c r="AS404" s="9">
        <v>8739091</v>
      </c>
      <c r="AT404" s="28">
        <v>2900926</v>
      </c>
      <c r="AU404" s="9">
        <v>11899255.350000001</v>
      </c>
      <c r="AV404" s="9">
        <v>8889101</v>
      </c>
      <c r="AW404" s="9">
        <v>3010154</v>
      </c>
      <c r="AX404" s="9">
        <v>11988191.8913587</v>
      </c>
      <c r="AY404" s="9">
        <v>8962996</v>
      </c>
      <c r="AZ404" s="28">
        <v>3043394</v>
      </c>
      <c r="BA404" s="9">
        <v>12077635.709879227</v>
      </c>
      <c r="BB404" s="9">
        <v>9154169</v>
      </c>
      <c r="BC404" s="9">
        <v>3043394</v>
      </c>
      <c r="BD404" s="9">
        <v>12039903.340120399</v>
      </c>
      <c r="BE404" s="9">
        <v>9317336</v>
      </c>
      <c r="BF404" s="9">
        <v>3074894.0000003148</v>
      </c>
      <c r="BG404" s="9">
        <v>12541083.76</v>
      </c>
      <c r="BH404" s="9">
        <v>9156644</v>
      </c>
      <c r="BI404" s="9">
        <v>3384440</v>
      </c>
      <c r="BJ404" s="9">
        <v>13019997.510000002</v>
      </c>
      <c r="BK404" s="9">
        <v>9551673</v>
      </c>
      <c r="BL404" s="9">
        <v>3468325</v>
      </c>
      <c r="BM404" s="9"/>
      <c r="BN404" s="9"/>
      <c r="BO404" s="9"/>
      <c r="BP404" s="9"/>
      <c r="BQ404" s="9"/>
      <c r="BR404" s="9"/>
      <c r="BS404" s="9"/>
      <c r="BT404" s="9"/>
      <c r="BU404" s="9"/>
    </row>
    <row r="405" spans="1:73">
      <c r="A405" s="6">
        <v>745</v>
      </c>
      <c r="B405" s="6" t="s">
        <v>1508</v>
      </c>
      <c r="C405" s="421">
        <v>21.65</v>
      </c>
      <c r="D405" s="9">
        <v>22757511</v>
      </c>
      <c r="E405" s="33">
        <v>10704624</v>
      </c>
      <c r="F405" s="9">
        <v>12362390</v>
      </c>
      <c r="G405" s="9">
        <v>24589511</v>
      </c>
      <c r="H405" s="9">
        <v>11578381</v>
      </c>
      <c r="I405" s="9">
        <v>13099037</v>
      </c>
      <c r="J405" s="9">
        <v>24625431</v>
      </c>
      <c r="K405" s="9">
        <v>12223789</v>
      </c>
      <c r="L405" s="9">
        <v>13258787</v>
      </c>
      <c r="M405" s="9">
        <v>25233854</v>
      </c>
      <c r="N405" s="9">
        <v>12938684</v>
      </c>
      <c r="O405" s="9">
        <v>12077530</v>
      </c>
      <c r="P405" s="9">
        <v>1419394</v>
      </c>
      <c r="Q405" s="9">
        <v>26043317.600765556</v>
      </c>
      <c r="R405" s="9">
        <v>14358256</v>
      </c>
      <c r="S405" s="9">
        <v>13226986</v>
      </c>
      <c r="T405" s="9">
        <v>0</v>
      </c>
      <c r="U405" s="9">
        <v>25398255.107999999</v>
      </c>
      <c r="V405" s="9">
        <v>14404858</v>
      </c>
      <c r="W405" s="9">
        <v>12454267</v>
      </c>
      <c r="X405" s="9">
        <v>66860</v>
      </c>
      <c r="Y405" s="9">
        <v>782234</v>
      </c>
      <c r="Z405" s="9">
        <v>24895122</v>
      </c>
      <c r="AA405" s="9">
        <v>14749468</v>
      </c>
      <c r="AB405" s="9">
        <v>12521127</v>
      </c>
      <c r="AC405" s="9">
        <v>25088106</v>
      </c>
      <c r="AD405" s="9">
        <v>15200680</v>
      </c>
      <c r="AE405" s="9">
        <v>12635127</v>
      </c>
      <c r="AF405" s="9">
        <v>24540719</v>
      </c>
      <c r="AG405" s="9">
        <v>15640639</v>
      </c>
      <c r="AH405" s="9">
        <v>12703677</v>
      </c>
      <c r="AI405" s="9">
        <v>24290785</v>
      </c>
      <c r="AJ405" s="9">
        <v>16086295</v>
      </c>
      <c r="AK405" s="28">
        <v>12770527</v>
      </c>
      <c r="AL405" s="9">
        <v>23602673</v>
      </c>
      <c r="AM405" s="9">
        <v>16203424</v>
      </c>
      <c r="AN405" s="28">
        <v>12834852</v>
      </c>
      <c r="AO405" s="9">
        <v>22548383</v>
      </c>
      <c r="AP405" s="9">
        <v>15627476</v>
      </c>
      <c r="AQ405" s="28">
        <v>12968282</v>
      </c>
      <c r="AR405" s="9">
        <v>22740652.535892259</v>
      </c>
      <c r="AS405" s="9">
        <v>15945385</v>
      </c>
      <c r="AT405" s="28">
        <v>13040102.000000719</v>
      </c>
      <c r="AU405" s="9">
        <v>23352744.289999999</v>
      </c>
      <c r="AV405" s="9">
        <v>16491919</v>
      </c>
      <c r="AW405" s="9">
        <v>13111292.000000719</v>
      </c>
      <c r="AX405" s="9">
        <v>24330802.105539996</v>
      </c>
      <c r="AY405" s="9">
        <v>17437199</v>
      </c>
      <c r="AZ405" s="28">
        <v>13182092</v>
      </c>
      <c r="BA405" s="9">
        <v>24591001.459999997</v>
      </c>
      <c r="BB405" s="9">
        <v>18039518</v>
      </c>
      <c r="BC405" s="9">
        <v>13182092</v>
      </c>
      <c r="BD405" s="9">
        <v>24481014.440000001</v>
      </c>
      <c r="BE405" s="9">
        <v>18526892</v>
      </c>
      <c r="BF405" s="9">
        <v>13250162</v>
      </c>
      <c r="BG405" s="9">
        <v>25863556.119999997</v>
      </c>
      <c r="BH405" s="9">
        <v>19335867</v>
      </c>
      <c r="BI405" s="9">
        <v>13385162</v>
      </c>
      <c r="BJ405" s="9">
        <v>27982141.810000002</v>
      </c>
      <c r="BK405" s="9">
        <v>20548996</v>
      </c>
      <c r="BL405" s="9">
        <v>13522442</v>
      </c>
      <c r="BM405" s="9"/>
      <c r="BN405" s="9"/>
      <c r="BO405" s="9"/>
      <c r="BP405" s="9"/>
      <c r="BQ405" s="9"/>
      <c r="BR405" s="9"/>
      <c r="BS405" s="9"/>
      <c r="BT405" s="9"/>
      <c r="BU405" s="9"/>
    </row>
    <row r="406" spans="1:73">
      <c r="A406" s="6">
        <v>750</v>
      </c>
      <c r="B406" s="6" t="s">
        <v>1509</v>
      </c>
      <c r="C406" s="421">
        <v>29.99</v>
      </c>
      <c r="D406" s="9">
        <v>7285294</v>
      </c>
      <c r="E406" s="33">
        <v>3967896</v>
      </c>
      <c r="F406" s="9">
        <v>3857345</v>
      </c>
      <c r="G406" s="9">
        <v>7629462</v>
      </c>
      <c r="H406" s="9">
        <v>4135816</v>
      </c>
      <c r="I406" s="9">
        <v>4031666</v>
      </c>
      <c r="J406" s="9">
        <v>7722039</v>
      </c>
      <c r="K406" s="9">
        <v>4259679</v>
      </c>
      <c r="L406" s="9">
        <v>4078816</v>
      </c>
      <c r="M406" s="9">
        <v>8137059</v>
      </c>
      <c r="N406" s="9">
        <v>4327512</v>
      </c>
      <c r="O406" s="9">
        <v>3981402</v>
      </c>
      <c r="P406" s="9">
        <v>300027</v>
      </c>
      <c r="Q406" s="9">
        <v>8250102.2009569379</v>
      </c>
      <c r="R406" s="9">
        <v>4422230</v>
      </c>
      <c r="S406" s="9">
        <v>4195800</v>
      </c>
      <c r="T406" s="9">
        <v>0</v>
      </c>
      <c r="U406" s="9">
        <v>8263519.067999999</v>
      </c>
      <c r="V406" s="9">
        <v>4563544</v>
      </c>
      <c r="W406" s="9">
        <v>3950682</v>
      </c>
      <c r="X406" s="9">
        <v>21209</v>
      </c>
      <c r="Y406" s="9">
        <v>247084</v>
      </c>
      <c r="Z406" s="9">
        <v>8098758</v>
      </c>
      <c r="AA406" s="9">
        <v>4668314</v>
      </c>
      <c r="AB406" s="9">
        <v>3971891</v>
      </c>
      <c r="AC406" s="9">
        <v>8564268</v>
      </c>
      <c r="AD406" s="9">
        <v>4778263</v>
      </c>
      <c r="AE406" s="9">
        <v>4007811</v>
      </c>
      <c r="AF406" s="9">
        <v>7994487</v>
      </c>
      <c r="AG406" s="9">
        <v>4761551</v>
      </c>
      <c r="AH406" s="9">
        <v>4028736</v>
      </c>
      <c r="AI406" s="9">
        <v>7816227</v>
      </c>
      <c r="AJ406" s="9">
        <v>4803095</v>
      </c>
      <c r="AK406" s="28">
        <v>4048786</v>
      </c>
      <c r="AL406" s="9">
        <v>7481050</v>
      </c>
      <c r="AM406" s="9">
        <v>4776255</v>
      </c>
      <c r="AN406" s="28">
        <v>4067561</v>
      </c>
      <c r="AO406" s="9">
        <v>7219392</v>
      </c>
      <c r="AP406" s="9">
        <v>4777146</v>
      </c>
      <c r="AQ406" s="28">
        <v>4107161</v>
      </c>
      <c r="AR406" s="9">
        <v>7406666.4166055983</v>
      </c>
      <c r="AS406" s="9">
        <v>4744769</v>
      </c>
      <c r="AT406" s="28">
        <v>4128880.999999783</v>
      </c>
      <c r="AU406" s="9">
        <v>7354252.5499999998</v>
      </c>
      <c r="AV406" s="9">
        <v>4872782</v>
      </c>
      <c r="AW406" s="9">
        <v>4149941</v>
      </c>
      <c r="AX406" s="9">
        <v>7528912.3458293099</v>
      </c>
      <c r="AY406" s="9">
        <v>4812665</v>
      </c>
      <c r="AZ406" s="28">
        <v>4170581</v>
      </c>
      <c r="BA406" s="9">
        <v>7480877.54</v>
      </c>
      <c r="BB406" s="9">
        <v>4952541</v>
      </c>
      <c r="BC406" s="9">
        <v>4170581</v>
      </c>
      <c r="BD406" s="9">
        <v>7287026.7699271282</v>
      </c>
      <c r="BE406" s="9">
        <v>4945385</v>
      </c>
      <c r="BF406" s="9">
        <v>4189121</v>
      </c>
      <c r="BG406" s="9">
        <v>8172163.4400000004</v>
      </c>
      <c r="BH406" s="9">
        <v>5256957</v>
      </c>
      <c r="BI406" s="382">
        <f>4227221-246092</f>
        <v>3981129</v>
      </c>
      <c r="BJ406" s="9">
        <v>7858151.0500000017</v>
      </c>
      <c r="BK406" s="9">
        <v>4907463</v>
      </c>
      <c r="BL406" s="9">
        <v>4015269</v>
      </c>
      <c r="BM406" s="9"/>
      <c r="BN406" s="9"/>
      <c r="BO406" s="9"/>
      <c r="BP406" s="9"/>
      <c r="BQ406" s="9"/>
      <c r="BR406" s="9"/>
      <c r="BS406" s="9"/>
      <c r="BT406" s="9"/>
      <c r="BU406" s="9"/>
    </row>
    <row r="407" spans="1:73">
      <c r="A407" s="6">
        <v>753</v>
      </c>
      <c r="B407" s="6" t="s">
        <v>1510</v>
      </c>
      <c r="C407" s="421">
        <v>50.18</v>
      </c>
      <c r="D407" s="9">
        <v>21479251</v>
      </c>
      <c r="E407" s="33">
        <v>5822139</v>
      </c>
      <c r="F407" s="9">
        <v>15657112</v>
      </c>
      <c r="G407" s="9">
        <v>22828423</v>
      </c>
      <c r="H407" s="9">
        <v>6355417</v>
      </c>
      <c r="I407" s="9">
        <v>16510059</v>
      </c>
      <c r="J407" s="9">
        <v>23457369</v>
      </c>
      <c r="K407" s="9">
        <v>6739031</v>
      </c>
      <c r="L407" s="9">
        <v>16898056</v>
      </c>
      <c r="M407" s="9">
        <v>24154885</v>
      </c>
      <c r="N407" s="9">
        <v>7104683</v>
      </c>
      <c r="O407" s="9">
        <v>15503658</v>
      </c>
      <c r="P407" s="9">
        <v>1822045</v>
      </c>
      <c r="Q407" s="9">
        <v>24370491.302583735</v>
      </c>
      <c r="R407" s="9">
        <v>9043482</v>
      </c>
      <c r="S407" s="9">
        <v>16979189</v>
      </c>
      <c r="T407" s="9">
        <v>0</v>
      </c>
      <c r="U407" s="9">
        <v>23447229.215999998</v>
      </c>
      <c r="V407" s="9">
        <v>9241790.7475171536</v>
      </c>
      <c r="W407" s="9">
        <v>15987266</v>
      </c>
      <c r="X407" s="9">
        <v>85827</v>
      </c>
      <c r="Y407" s="9">
        <v>973446</v>
      </c>
      <c r="Z407" s="9">
        <v>22899542</v>
      </c>
      <c r="AA407" s="9">
        <v>9371400</v>
      </c>
      <c r="AB407" s="9">
        <v>16073093</v>
      </c>
      <c r="AC407" s="9">
        <v>22525878</v>
      </c>
      <c r="AD407" s="9">
        <v>9626834</v>
      </c>
      <c r="AE407" s="9">
        <v>16170613</v>
      </c>
      <c r="AF407" s="9">
        <v>22333577</v>
      </c>
      <c r="AG407" s="9">
        <v>9850748</v>
      </c>
      <c r="AH407" s="9">
        <v>16229913</v>
      </c>
      <c r="AI407" s="9">
        <v>21722178</v>
      </c>
      <c r="AJ407" s="9">
        <v>9941651</v>
      </c>
      <c r="AK407" s="28">
        <v>16286563</v>
      </c>
      <c r="AL407" s="9">
        <v>22051647</v>
      </c>
      <c r="AM407" s="9">
        <v>10090036</v>
      </c>
      <c r="AN407" s="28">
        <v>16342038</v>
      </c>
      <c r="AO407" s="9">
        <v>22002910</v>
      </c>
      <c r="AP407" s="9">
        <v>10064723</v>
      </c>
      <c r="AQ407" s="28">
        <v>16463038</v>
      </c>
      <c r="AR407" s="9">
        <v>21204474.702048939</v>
      </c>
      <c r="AS407" s="9">
        <v>9931036</v>
      </c>
      <c r="AT407" s="28">
        <v>16525257.999999378</v>
      </c>
      <c r="AU407" s="9">
        <v>21914160.40978086</v>
      </c>
      <c r="AV407" s="9">
        <v>10117115</v>
      </c>
      <c r="AW407" s="9">
        <v>16587418</v>
      </c>
      <c r="AX407" s="9">
        <v>21665640.411876366</v>
      </c>
      <c r="AY407" s="9">
        <v>10317745</v>
      </c>
      <c r="AZ407" s="28">
        <v>16646098</v>
      </c>
      <c r="BA407" s="9">
        <v>21987482.310000002</v>
      </c>
      <c r="BB407" s="9">
        <v>10612170</v>
      </c>
      <c r="BC407" s="9">
        <v>16646098</v>
      </c>
      <c r="BD407" s="9">
        <v>22572922.539774276</v>
      </c>
      <c r="BE407" s="9">
        <v>10987702</v>
      </c>
      <c r="BF407" s="9">
        <v>16703518</v>
      </c>
      <c r="BG407" s="9">
        <v>25601192.900256008</v>
      </c>
      <c r="BH407" s="9">
        <v>11596905</v>
      </c>
      <c r="BI407" s="9">
        <v>16821478.000001181</v>
      </c>
      <c r="BJ407" s="9">
        <v>27040442.530000001</v>
      </c>
      <c r="BK407" s="9">
        <v>12220640</v>
      </c>
      <c r="BL407" s="9">
        <v>16938538.000001181</v>
      </c>
      <c r="BM407" s="9"/>
      <c r="BN407" s="9"/>
      <c r="BO407" s="9"/>
      <c r="BP407" s="9"/>
      <c r="BQ407" s="9"/>
      <c r="BR407" s="9"/>
      <c r="BS407" s="9"/>
      <c r="BT407" s="9"/>
      <c r="BU407" s="9"/>
    </row>
    <row r="408" spans="1:73">
      <c r="A408" s="6">
        <v>755</v>
      </c>
      <c r="B408" s="6" t="s">
        <v>1511</v>
      </c>
      <c r="C408" s="421">
        <v>64.930000000000007</v>
      </c>
      <c r="D408" s="9">
        <v>6412185</v>
      </c>
      <c r="E408" s="33">
        <v>2094096</v>
      </c>
      <c r="F408" s="9">
        <v>4365173</v>
      </c>
      <c r="G408" s="9">
        <v>6917262</v>
      </c>
      <c r="H408" s="9">
        <v>2152974</v>
      </c>
      <c r="I408" s="9">
        <v>4764288</v>
      </c>
      <c r="J408" s="9">
        <v>7718288</v>
      </c>
      <c r="K408" s="9">
        <v>2334381</v>
      </c>
      <c r="L408" s="9">
        <v>5383907</v>
      </c>
      <c r="M408" s="9">
        <v>8079301</v>
      </c>
      <c r="N408" s="9">
        <v>2414941</v>
      </c>
      <c r="O408" s="9">
        <v>5068672</v>
      </c>
      <c r="P408" s="9">
        <v>595688</v>
      </c>
      <c r="Q408" s="9">
        <v>8102223.5314832535</v>
      </c>
      <c r="R408" s="9">
        <v>2701871</v>
      </c>
      <c r="S408" s="9">
        <v>5551073</v>
      </c>
      <c r="T408" s="9">
        <v>0</v>
      </c>
      <c r="U408" s="9">
        <v>7695444.8340000007</v>
      </c>
      <c r="V408" s="9">
        <v>2655320</v>
      </c>
      <c r="W408" s="9">
        <v>5226780</v>
      </c>
      <c r="X408" s="9">
        <v>28060</v>
      </c>
      <c r="Y408" s="9">
        <v>316133</v>
      </c>
      <c r="Z408" s="9">
        <v>7780312</v>
      </c>
      <c r="AA408" s="9">
        <v>2783833</v>
      </c>
      <c r="AB408" s="9">
        <v>5254840</v>
      </c>
      <c r="AC408" s="9">
        <v>8048219</v>
      </c>
      <c r="AD408" s="9">
        <v>2944041</v>
      </c>
      <c r="AE408" s="9">
        <v>5286040</v>
      </c>
      <c r="AF408" s="9">
        <v>7625909</v>
      </c>
      <c r="AG408" s="9">
        <v>2829128</v>
      </c>
      <c r="AH408" s="9">
        <v>5304190</v>
      </c>
      <c r="AI408" s="9">
        <v>7705540</v>
      </c>
      <c r="AJ408" s="9">
        <v>2887638</v>
      </c>
      <c r="AK408" s="28">
        <v>5322215</v>
      </c>
      <c r="AL408" s="9">
        <v>7640717</v>
      </c>
      <c r="AM408" s="9">
        <v>2842068</v>
      </c>
      <c r="AN408" s="28">
        <v>5339690</v>
      </c>
      <c r="AO408" s="9">
        <v>7427448</v>
      </c>
      <c r="AP408" s="9">
        <v>2738987</v>
      </c>
      <c r="AQ408" s="28">
        <v>5375880</v>
      </c>
      <c r="AR408" s="9">
        <v>7313027.7024783818</v>
      </c>
      <c r="AS408" s="9">
        <v>2601573</v>
      </c>
      <c r="AT408" s="28">
        <v>5394990</v>
      </c>
      <c r="AU408" s="9">
        <v>7595605.8999999985</v>
      </c>
      <c r="AV408" s="9">
        <v>2666288</v>
      </c>
      <c r="AW408" s="9">
        <v>5413830</v>
      </c>
      <c r="AX408" s="9">
        <v>7772179.2052953094</v>
      </c>
      <c r="AY408" s="9">
        <v>2691122</v>
      </c>
      <c r="AZ408" s="28">
        <v>5432010</v>
      </c>
      <c r="BA408" s="9">
        <v>7840085.4000000013</v>
      </c>
      <c r="BB408" s="9">
        <v>2752972</v>
      </c>
      <c r="BC408" s="9">
        <v>5432010</v>
      </c>
      <c r="BD408" s="9">
        <v>8156581.7700000005</v>
      </c>
      <c r="BE408" s="9">
        <v>2902578</v>
      </c>
      <c r="BF408" s="9">
        <v>5450340</v>
      </c>
      <c r="BG408" s="9">
        <v>8477857.6699999999</v>
      </c>
      <c r="BH408" s="9">
        <v>2803575</v>
      </c>
      <c r="BI408" s="9">
        <v>5674283</v>
      </c>
      <c r="BJ408" s="9">
        <v>8804675.8299999982</v>
      </c>
      <c r="BK408" s="9">
        <v>2757119</v>
      </c>
      <c r="BL408" s="9">
        <v>6047557</v>
      </c>
      <c r="BM408" s="9"/>
      <c r="BN408" s="9"/>
      <c r="BO408" s="9"/>
      <c r="BP408" s="9"/>
      <c r="BQ408" s="9"/>
      <c r="BR408" s="9"/>
      <c r="BS408" s="9"/>
      <c r="BT408" s="9"/>
      <c r="BU408" s="9"/>
    </row>
    <row r="409" spans="1:73">
      <c r="A409" s="6">
        <v>760</v>
      </c>
      <c r="B409" s="6" t="s">
        <v>1512</v>
      </c>
      <c r="C409" s="421">
        <v>33.520000000000003</v>
      </c>
      <c r="D409" s="9">
        <v>13321046</v>
      </c>
      <c r="E409" s="33">
        <v>7724834</v>
      </c>
      <c r="F409" s="9">
        <v>5693535.0000000009</v>
      </c>
      <c r="G409" s="9">
        <v>14290967</v>
      </c>
      <c r="H409" s="9">
        <v>8518476</v>
      </c>
      <c r="I409" s="9">
        <v>6060844</v>
      </c>
      <c r="J409" s="9">
        <v>15151746</v>
      </c>
      <c r="K409" s="9">
        <v>9152272</v>
      </c>
      <c r="L409" s="9">
        <v>6377611</v>
      </c>
      <c r="M409" s="9">
        <v>16633749</v>
      </c>
      <c r="N409" s="9">
        <v>9695605</v>
      </c>
      <c r="O409" s="9">
        <v>6223582</v>
      </c>
      <c r="P409" s="9">
        <v>731417</v>
      </c>
      <c r="Q409" s="9">
        <v>17042793.321339712</v>
      </c>
      <c r="R409" s="9">
        <v>10087324</v>
      </c>
      <c r="S409" s="9">
        <v>6815899</v>
      </c>
      <c r="T409" s="9">
        <v>139570</v>
      </c>
      <c r="U409" s="9">
        <v>17072736.708000001</v>
      </c>
      <c r="V409" s="9">
        <v>10313024</v>
      </c>
      <c r="W409" s="9">
        <v>6630012</v>
      </c>
      <c r="X409" s="9">
        <v>35593</v>
      </c>
      <c r="Y409" s="9">
        <v>335739</v>
      </c>
      <c r="Z409" s="9">
        <v>17435883</v>
      </c>
      <c r="AA409" s="9">
        <v>10508810</v>
      </c>
      <c r="AB409" s="9">
        <v>6927073</v>
      </c>
      <c r="AC409" s="9">
        <v>18150262</v>
      </c>
      <c r="AD409" s="9">
        <v>11017327</v>
      </c>
      <c r="AE409" s="9">
        <v>7202389.2436499996</v>
      </c>
      <c r="AF409" s="9">
        <v>19039526</v>
      </c>
      <c r="AG409" s="9">
        <v>11580385</v>
      </c>
      <c r="AH409" s="9">
        <v>7571134.5369499996</v>
      </c>
      <c r="AI409" s="9">
        <v>18899966</v>
      </c>
      <c r="AJ409" s="9">
        <v>11622559</v>
      </c>
      <c r="AK409" s="28">
        <v>7617506.5369499996</v>
      </c>
      <c r="AL409" s="9">
        <v>19669150</v>
      </c>
      <c r="AM409" s="9">
        <v>12263148</v>
      </c>
      <c r="AN409" s="28">
        <v>7663956.5369499996</v>
      </c>
      <c r="AO409" s="9">
        <v>20069649</v>
      </c>
      <c r="AP409" s="9">
        <v>12089575</v>
      </c>
      <c r="AQ409" s="28">
        <v>7980074</v>
      </c>
      <c r="AR409" s="9">
        <v>20138841.102995191</v>
      </c>
      <c r="AS409" s="9">
        <v>12153382</v>
      </c>
      <c r="AT409" s="28">
        <v>8035064</v>
      </c>
      <c r="AU409" s="9">
        <v>20786645.581067868</v>
      </c>
      <c r="AV409" s="9">
        <v>12641731</v>
      </c>
      <c r="AW409" s="9">
        <v>8163253</v>
      </c>
      <c r="AX409" s="9">
        <v>20683221.322407395</v>
      </c>
      <c r="AY409" s="9">
        <v>12966860</v>
      </c>
      <c r="AZ409" s="28">
        <v>8215063</v>
      </c>
      <c r="BA409" s="9">
        <v>20918448.416320004</v>
      </c>
      <c r="BB409" s="9">
        <v>13276729</v>
      </c>
      <c r="BC409" s="9">
        <v>8215063</v>
      </c>
      <c r="BD409" s="9">
        <v>21627662.329539999</v>
      </c>
      <c r="BE409" s="9">
        <v>13837284</v>
      </c>
      <c r="BF409" s="9">
        <v>8266093</v>
      </c>
      <c r="BG409" s="9">
        <v>22886572.072338864</v>
      </c>
      <c r="BH409" s="9">
        <v>14138025</v>
      </c>
      <c r="BI409" s="9">
        <v>8748547</v>
      </c>
      <c r="BJ409" s="9">
        <v>24399125.516533989</v>
      </c>
      <c r="BK409" s="9">
        <v>14887605</v>
      </c>
      <c r="BL409" s="9">
        <v>9511521</v>
      </c>
      <c r="BM409" s="9"/>
      <c r="BN409" s="9"/>
      <c r="BO409" s="9"/>
      <c r="BP409" s="9"/>
      <c r="BQ409" s="9"/>
      <c r="BR409" s="9"/>
      <c r="BS409" s="9"/>
      <c r="BT409" s="9"/>
      <c r="BU409" s="9"/>
    </row>
    <row r="410" spans="1:73">
      <c r="A410" s="6">
        <v>763</v>
      </c>
      <c r="B410" s="6" t="s">
        <v>1082</v>
      </c>
      <c r="C410" s="421">
        <v>43.21</v>
      </c>
      <c r="D410" s="9"/>
      <c r="E410" s="33"/>
      <c r="F410" s="9"/>
      <c r="G410" s="9"/>
      <c r="H410" s="9"/>
      <c r="I410" s="9"/>
      <c r="J410" s="9"/>
      <c r="K410" s="9"/>
      <c r="L410" s="9"/>
      <c r="M410" s="9"/>
      <c r="N410" s="9"/>
      <c r="O410" s="9"/>
      <c r="P410" s="9"/>
      <c r="Q410" s="9">
        <v>0</v>
      </c>
      <c r="R410" s="9"/>
      <c r="S410" s="9"/>
      <c r="T410" s="9"/>
      <c r="U410" s="9">
        <v>8934024</v>
      </c>
      <c r="V410" s="9">
        <v>6024631.0156340012</v>
      </c>
      <c r="W410" s="9">
        <v>3020271</v>
      </c>
      <c r="X410" s="9">
        <v>16235</v>
      </c>
      <c r="Y410" s="9">
        <v>120381</v>
      </c>
      <c r="Z410" s="9">
        <v>9240084</v>
      </c>
      <c r="AA410" s="9">
        <v>6119915</v>
      </c>
      <c r="AB410" s="9">
        <v>3120169</v>
      </c>
      <c r="AC410" s="9">
        <v>9949356</v>
      </c>
      <c r="AD410" s="9">
        <v>6253551</v>
      </c>
      <c r="AE410" s="9">
        <v>3771017.8262999998</v>
      </c>
      <c r="AF410" s="9">
        <v>10006703</v>
      </c>
      <c r="AG410" s="9">
        <v>6377384</v>
      </c>
      <c r="AH410" s="9">
        <v>3795642.8262999998</v>
      </c>
      <c r="AI410" s="9">
        <v>10050573</v>
      </c>
      <c r="AJ410" s="9">
        <v>6394899</v>
      </c>
      <c r="AK410" s="28">
        <v>3820117.8262999998</v>
      </c>
      <c r="AL410" s="9">
        <v>9594365</v>
      </c>
      <c r="AM410" s="9">
        <v>6056531</v>
      </c>
      <c r="AN410" s="28">
        <v>3843167.8262999998</v>
      </c>
      <c r="AO410" s="9">
        <v>10019595</v>
      </c>
      <c r="AP410" s="9">
        <v>5882456</v>
      </c>
      <c r="AQ410" s="28">
        <v>4137139</v>
      </c>
      <c r="AR410" s="9">
        <v>10632804.845514916</v>
      </c>
      <c r="AS410" s="9">
        <v>5777303</v>
      </c>
      <c r="AT410" s="28">
        <v>4855502</v>
      </c>
      <c r="AU410" s="9">
        <v>11100397.199999999</v>
      </c>
      <c r="AV410" s="9">
        <v>5893170</v>
      </c>
      <c r="AW410" s="9">
        <v>5210007</v>
      </c>
      <c r="AX410" s="9">
        <v>11820562.719098523</v>
      </c>
      <c r="AY410" s="9">
        <v>6097432</v>
      </c>
      <c r="AZ410" s="28">
        <v>5723131</v>
      </c>
      <c r="BA410" s="9">
        <v>12334812.139999997</v>
      </c>
      <c r="BB410" s="9">
        <v>6312225</v>
      </c>
      <c r="BC410" s="9">
        <v>6024105</v>
      </c>
      <c r="BD410" s="9">
        <v>12639534.48</v>
      </c>
      <c r="BE410" s="9">
        <v>6636166</v>
      </c>
      <c r="BF410" s="9">
        <v>6054825</v>
      </c>
      <c r="BG410" s="9">
        <v>13192993.539999999</v>
      </c>
      <c r="BH410" s="9">
        <v>6608074</v>
      </c>
      <c r="BI410" s="9">
        <v>6584920</v>
      </c>
      <c r="BJ410" s="9">
        <v>14135320.560000001</v>
      </c>
      <c r="BK410" s="9">
        <v>7164940</v>
      </c>
      <c r="BL410" s="9">
        <v>6970381</v>
      </c>
      <c r="BM410" s="9"/>
      <c r="BN410" s="9"/>
      <c r="BO410" s="9"/>
      <c r="BP410" s="9"/>
      <c r="BQ410" s="9"/>
      <c r="BR410" s="9"/>
      <c r="BS410" s="9"/>
      <c r="BT410" s="9"/>
      <c r="BU410" s="9"/>
    </row>
    <row r="411" spans="1:73">
      <c r="A411" s="6">
        <v>765</v>
      </c>
      <c r="B411" s="6" t="s">
        <v>1513</v>
      </c>
      <c r="C411" s="421">
        <v>17.5</v>
      </c>
      <c r="D411" s="9">
        <v>6853294</v>
      </c>
      <c r="E411" s="33">
        <v>6969793</v>
      </c>
      <c r="F411" s="9">
        <v>1733974</v>
      </c>
      <c r="G411" s="9">
        <v>7077639</v>
      </c>
      <c r="H411" s="9">
        <v>7054068</v>
      </c>
      <c r="I411" s="9">
        <v>1779274</v>
      </c>
      <c r="J411" s="9">
        <v>7434729</v>
      </c>
      <c r="K411" s="9">
        <v>7019446</v>
      </c>
      <c r="L411" s="9">
        <v>1862619</v>
      </c>
      <c r="M411" s="9">
        <v>7749803</v>
      </c>
      <c r="N411" s="9">
        <v>6862924</v>
      </c>
      <c r="O411" s="9">
        <v>1735164</v>
      </c>
      <c r="P411" s="9">
        <v>203923</v>
      </c>
      <c r="Q411" s="9">
        <v>7701585.2769377995</v>
      </c>
      <c r="R411" s="9">
        <v>6957008</v>
      </c>
      <c r="S411" s="9">
        <v>1900305</v>
      </c>
      <c r="T411" s="9">
        <v>0</v>
      </c>
      <c r="U411" s="9">
        <v>7684458.96</v>
      </c>
      <c r="V411" s="9">
        <v>6952302</v>
      </c>
      <c r="W411" s="9">
        <v>1789290</v>
      </c>
      <c r="X411" s="9">
        <v>9606</v>
      </c>
      <c r="Y411" s="9">
        <v>123334</v>
      </c>
      <c r="Z411" s="9">
        <v>7591122</v>
      </c>
      <c r="AA411" s="9">
        <v>6997774</v>
      </c>
      <c r="AB411" s="9">
        <v>1798896</v>
      </c>
      <c r="AC411" s="9">
        <v>7425917</v>
      </c>
      <c r="AD411" s="9">
        <v>6948964</v>
      </c>
      <c r="AE411" s="9">
        <v>1830896</v>
      </c>
      <c r="AF411" s="9">
        <v>7307651</v>
      </c>
      <c r="AG411" s="9">
        <v>7007679</v>
      </c>
      <c r="AH411" s="9">
        <v>1850096</v>
      </c>
      <c r="AI411" s="9">
        <v>7132076</v>
      </c>
      <c r="AJ411" s="9">
        <v>6413209</v>
      </c>
      <c r="AK411" s="28">
        <v>1869396</v>
      </c>
      <c r="AL411" s="9">
        <v>7553559</v>
      </c>
      <c r="AM411" s="9">
        <v>6368170</v>
      </c>
      <c r="AN411" s="28">
        <v>1888246</v>
      </c>
      <c r="AO411" s="9">
        <v>7411694</v>
      </c>
      <c r="AP411" s="9">
        <v>6160497</v>
      </c>
      <c r="AQ411" s="28">
        <v>1927571</v>
      </c>
      <c r="AR411" s="9">
        <v>7039960.838086525</v>
      </c>
      <c r="AS411" s="9">
        <v>5901594</v>
      </c>
      <c r="AT411" s="28">
        <v>1947431.0000001986</v>
      </c>
      <c r="AU411" s="9">
        <v>7011413.5700000003</v>
      </c>
      <c r="AV411" s="9">
        <v>5742395</v>
      </c>
      <c r="AW411" s="9">
        <v>1966751.0000001986</v>
      </c>
      <c r="AX411" s="9">
        <v>7823768.9358960092</v>
      </c>
      <c r="AY411" s="9">
        <v>6244537</v>
      </c>
      <c r="AZ411" s="28">
        <v>1986791</v>
      </c>
      <c r="BA411" s="9">
        <v>7868392.9199999999</v>
      </c>
      <c r="BB411" s="9">
        <v>6306994</v>
      </c>
      <c r="BC411" s="9">
        <v>1986791</v>
      </c>
      <c r="BD411" s="9">
        <v>7970637.4099999983</v>
      </c>
      <c r="BE411" s="9">
        <v>6494543</v>
      </c>
      <c r="BF411" s="9">
        <v>2006891</v>
      </c>
      <c r="BG411" s="9">
        <v>8757628.3300875779</v>
      </c>
      <c r="BH411" s="9">
        <v>7076021</v>
      </c>
      <c r="BI411" s="9">
        <v>2045891.00000039</v>
      </c>
      <c r="BJ411" s="9">
        <v>9252135.43990748</v>
      </c>
      <c r="BK411" s="9">
        <v>7434693</v>
      </c>
      <c r="BL411" s="9">
        <v>2084591.000000003</v>
      </c>
      <c r="BM411" s="9"/>
      <c r="BN411" s="9"/>
      <c r="BO411" s="9"/>
      <c r="BP411" s="9"/>
      <c r="BQ411" s="9"/>
      <c r="BR411" s="9"/>
      <c r="BS411" s="9"/>
      <c r="BT411" s="9"/>
      <c r="BU411" s="9"/>
    </row>
    <row r="412" spans="1:73">
      <c r="A412" s="6">
        <v>766</v>
      </c>
      <c r="B412" s="6" t="s">
        <v>1084</v>
      </c>
      <c r="C412" s="421">
        <v>27.71</v>
      </c>
      <c r="D412" s="9">
        <v>12815911</v>
      </c>
      <c r="E412" s="33">
        <v>5574268</v>
      </c>
      <c r="F412" s="9">
        <v>7241643</v>
      </c>
      <c r="G412" s="9">
        <v>13803858</v>
      </c>
      <c r="H412" s="9">
        <v>5990969</v>
      </c>
      <c r="I412" s="9">
        <v>7812889</v>
      </c>
      <c r="J412" s="9">
        <v>14257212</v>
      </c>
      <c r="K412" s="9">
        <v>6442013</v>
      </c>
      <c r="L412" s="9">
        <v>8037753</v>
      </c>
      <c r="M412" s="9">
        <v>14939371</v>
      </c>
      <c r="N412" s="9">
        <v>6703364</v>
      </c>
      <c r="O412" s="9">
        <v>7499327</v>
      </c>
      <c r="P412" s="9">
        <v>881347</v>
      </c>
      <c r="Q412" s="9">
        <v>15526560.214354068</v>
      </c>
      <c r="R412" s="9">
        <v>6881234</v>
      </c>
      <c r="S412" s="9">
        <v>8213061</v>
      </c>
      <c r="T412" s="9">
        <v>432265</v>
      </c>
      <c r="U412" s="9">
        <v>14765244.486</v>
      </c>
      <c r="V412" s="9">
        <v>7056511</v>
      </c>
      <c r="W412" s="9">
        <v>8140267</v>
      </c>
      <c r="X412" s="9">
        <v>43700</v>
      </c>
      <c r="Y412" s="9">
        <v>503859</v>
      </c>
      <c r="Z412" s="9">
        <v>16668383</v>
      </c>
      <c r="AA412" s="9">
        <v>8578921</v>
      </c>
      <c r="AB412" s="9">
        <v>9431433</v>
      </c>
      <c r="AC412" s="9">
        <v>16707052</v>
      </c>
      <c r="AD412" s="9">
        <v>8956864</v>
      </c>
      <c r="AE412" s="9">
        <v>9503073</v>
      </c>
      <c r="AF412" s="9">
        <v>16783207</v>
      </c>
      <c r="AG412" s="9">
        <v>9329641</v>
      </c>
      <c r="AH412" s="9">
        <v>9546823</v>
      </c>
      <c r="AI412" s="9">
        <v>16539210</v>
      </c>
      <c r="AJ412" s="9">
        <v>9831214</v>
      </c>
      <c r="AK412" s="28">
        <v>9588623</v>
      </c>
      <c r="AL412" s="9">
        <v>16275297</v>
      </c>
      <c r="AM412" s="9">
        <v>10235762</v>
      </c>
      <c r="AN412" s="28">
        <v>9628898</v>
      </c>
      <c r="AO412" s="9">
        <v>16154792</v>
      </c>
      <c r="AP412" s="9">
        <v>10380318</v>
      </c>
      <c r="AQ412" s="28">
        <v>9715578</v>
      </c>
      <c r="AR412" s="9">
        <v>15643746.01680854</v>
      </c>
      <c r="AS412" s="9">
        <v>10452364</v>
      </c>
      <c r="AT412" s="28">
        <v>9760098.0000004452</v>
      </c>
      <c r="AU412" s="9">
        <v>15797808.300000001</v>
      </c>
      <c r="AV412" s="9">
        <v>10650508</v>
      </c>
      <c r="AW412" s="9">
        <v>9803658.0000004452</v>
      </c>
      <c r="AX412" s="9">
        <v>16378978.109002503</v>
      </c>
      <c r="AY412" s="9">
        <v>10967956</v>
      </c>
      <c r="AZ412" s="28">
        <v>9846558</v>
      </c>
      <c r="BA412" s="9">
        <v>16651613.440000001</v>
      </c>
      <c r="BB412" s="9">
        <v>10981419</v>
      </c>
      <c r="BC412" s="9">
        <v>9846558</v>
      </c>
      <c r="BD412" s="9">
        <v>15958927.809999997</v>
      </c>
      <c r="BE412" s="9">
        <v>11074236</v>
      </c>
      <c r="BF412" s="9">
        <v>9886188</v>
      </c>
      <c r="BG412" s="9">
        <v>17233969.48</v>
      </c>
      <c r="BH412" s="9">
        <v>11574750</v>
      </c>
      <c r="BI412" s="9">
        <v>9964248</v>
      </c>
      <c r="BJ412" s="9">
        <v>18106696.800181068</v>
      </c>
      <c r="BK412" s="9">
        <v>12099173</v>
      </c>
      <c r="BL412" s="9">
        <v>10041108.000000769</v>
      </c>
      <c r="BM412" s="9"/>
      <c r="BN412" s="9"/>
      <c r="BO412" s="9"/>
      <c r="BP412" s="9"/>
      <c r="BQ412" s="9"/>
      <c r="BR412" s="9"/>
      <c r="BS412" s="9"/>
      <c r="BT412" s="9"/>
      <c r="BU412" s="9"/>
    </row>
    <row r="413" spans="1:73">
      <c r="A413" s="6">
        <v>767</v>
      </c>
      <c r="B413" s="6" t="s">
        <v>1514</v>
      </c>
      <c r="C413" s="421">
        <v>47.57</v>
      </c>
      <c r="D413" s="9">
        <v>16645826</v>
      </c>
      <c r="E413" s="33">
        <v>4067456</v>
      </c>
      <c r="F413" s="9">
        <v>12578370</v>
      </c>
      <c r="G413" s="9">
        <v>17597929</v>
      </c>
      <c r="H413" s="9">
        <v>4757111</v>
      </c>
      <c r="I413" s="9">
        <v>13106216</v>
      </c>
      <c r="J413" s="9">
        <v>18350163</v>
      </c>
      <c r="K413" s="9">
        <v>5038864</v>
      </c>
      <c r="L413" s="9">
        <v>13522201</v>
      </c>
      <c r="M413" s="9">
        <v>19528044</v>
      </c>
      <c r="N413" s="9">
        <v>5259510</v>
      </c>
      <c r="O413" s="9">
        <v>12767994</v>
      </c>
      <c r="P413" s="9">
        <v>1500540</v>
      </c>
      <c r="Q413" s="9">
        <v>19758448.511387561</v>
      </c>
      <c r="R413" s="9">
        <v>5909466</v>
      </c>
      <c r="S413" s="9">
        <v>13983163</v>
      </c>
      <c r="T413" s="9">
        <v>0</v>
      </c>
      <c r="U413" s="9">
        <v>18373741.745999999</v>
      </c>
      <c r="V413" s="9">
        <v>6026675</v>
      </c>
      <c r="W413" s="9">
        <v>13166267</v>
      </c>
      <c r="X413" s="9">
        <v>70682</v>
      </c>
      <c r="Y413" s="9">
        <v>795214</v>
      </c>
      <c r="Z413" s="9">
        <v>18885409</v>
      </c>
      <c r="AA413" s="9">
        <v>6269918</v>
      </c>
      <c r="AB413" s="9">
        <v>13236949</v>
      </c>
      <c r="AC413" s="9">
        <v>19620951</v>
      </c>
      <c r="AD413" s="9">
        <v>6527063</v>
      </c>
      <c r="AE413" s="9">
        <v>13315389</v>
      </c>
      <c r="AF413" s="9">
        <v>19752991</v>
      </c>
      <c r="AG413" s="9">
        <v>6679987</v>
      </c>
      <c r="AH413" s="9">
        <v>13363889</v>
      </c>
      <c r="AI413" s="9">
        <v>19886690</v>
      </c>
      <c r="AJ413" s="9">
        <v>6981057</v>
      </c>
      <c r="AK413" s="28">
        <v>13412164</v>
      </c>
      <c r="AL413" s="9">
        <v>19202300</v>
      </c>
      <c r="AM413" s="9">
        <v>7237563</v>
      </c>
      <c r="AN413" s="28">
        <v>13457639</v>
      </c>
      <c r="AO413" s="9">
        <v>18292027</v>
      </c>
      <c r="AP413" s="9">
        <v>7540396</v>
      </c>
      <c r="AQ413" s="28">
        <v>13553834</v>
      </c>
      <c r="AR413" s="9">
        <v>17851020.249539986</v>
      </c>
      <c r="AS413" s="9">
        <v>7818739</v>
      </c>
      <c r="AT413" s="28">
        <v>13601594</v>
      </c>
      <c r="AU413" s="9">
        <v>17809206.539999999</v>
      </c>
      <c r="AV413" s="9">
        <v>8048938</v>
      </c>
      <c r="AW413" s="9">
        <v>13648634</v>
      </c>
      <c r="AX413" s="9">
        <v>18497944.461317483</v>
      </c>
      <c r="AY413" s="9">
        <v>8498469</v>
      </c>
      <c r="AZ413" s="28">
        <v>13695254</v>
      </c>
      <c r="BA413" s="9">
        <v>18621361.77</v>
      </c>
      <c r="BB413" s="9">
        <v>8878789</v>
      </c>
      <c r="BC413" s="9">
        <v>13695254</v>
      </c>
      <c r="BD413" s="9">
        <v>18910770.789999999</v>
      </c>
      <c r="BE413" s="9">
        <v>9144752</v>
      </c>
      <c r="BF413" s="9">
        <v>13740734</v>
      </c>
      <c r="BG413" s="9">
        <v>21076435.030000001</v>
      </c>
      <c r="BH413" s="9">
        <v>9910023</v>
      </c>
      <c r="BI413" s="9">
        <v>13831994</v>
      </c>
      <c r="BJ413" s="9">
        <v>22391801.729999993</v>
      </c>
      <c r="BK413" s="9">
        <v>10460047</v>
      </c>
      <c r="BL413" s="9">
        <v>13921034</v>
      </c>
      <c r="BM413" s="9"/>
      <c r="BN413" s="9"/>
      <c r="BO413" s="9"/>
      <c r="BP413" s="9"/>
      <c r="BQ413" s="9"/>
      <c r="BR413" s="9"/>
      <c r="BS413" s="9"/>
      <c r="BT413" s="9"/>
      <c r="BU413" s="9"/>
    </row>
    <row r="414" spans="1:73">
      <c r="A414" s="6">
        <v>770</v>
      </c>
      <c r="B414" s="6" t="s">
        <v>1515</v>
      </c>
      <c r="C414" s="421">
        <v>44.67</v>
      </c>
      <c r="D414" s="9">
        <v>13580390</v>
      </c>
      <c r="E414" s="33">
        <v>7605305</v>
      </c>
      <c r="F414" s="9">
        <v>6707029</v>
      </c>
      <c r="G414" s="9">
        <v>15046973</v>
      </c>
      <c r="H414" s="9">
        <v>8686343</v>
      </c>
      <c r="I414" s="9">
        <v>7420522</v>
      </c>
      <c r="J414" s="9">
        <v>15970260</v>
      </c>
      <c r="K414" s="9">
        <v>9193635</v>
      </c>
      <c r="L414" s="9">
        <v>7855113</v>
      </c>
      <c r="M414" s="9">
        <v>16430281</v>
      </c>
      <c r="N414" s="9">
        <v>9386267</v>
      </c>
      <c r="O414" s="9">
        <v>7217816</v>
      </c>
      <c r="P414" s="9">
        <v>848263</v>
      </c>
      <c r="Q414" s="9">
        <v>16633736.353684211</v>
      </c>
      <c r="R414" s="9">
        <v>9400405</v>
      </c>
      <c r="S414" s="9">
        <v>7904757</v>
      </c>
      <c r="T414" s="9">
        <v>0</v>
      </c>
      <c r="U414" s="9">
        <v>15980906.310000001</v>
      </c>
      <c r="V414" s="9">
        <v>9314281</v>
      </c>
      <c r="W414" s="9">
        <v>7442962</v>
      </c>
      <c r="X414" s="9">
        <v>39957</v>
      </c>
      <c r="Y414" s="9">
        <v>462563</v>
      </c>
      <c r="Z414" s="9">
        <v>16224252</v>
      </c>
      <c r="AA414" s="9">
        <v>9446479</v>
      </c>
      <c r="AB414" s="9">
        <v>7482919</v>
      </c>
      <c r="AC414" s="9">
        <v>16427458</v>
      </c>
      <c r="AD414" s="9">
        <v>9458186</v>
      </c>
      <c r="AE414" s="9">
        <v>7547159</v>
      </c>
      <c r="AF414" s="9">
        <v>17338059</v>
      </c>
      <c r="AG414" s="9">
        <v>10016205</v>
      </c>
      <c r="AH414" s="9">
        <v>7602665.309475</v>
      </c>
      <c r="AI414" s="9">
        <v>17582598</v>
      </c>
      <c r="AJ414" s="9">
        <v>10044332</v>
      </c>
      <c r="AK414" s="28">
        <v>7701145.309475</v>
      </c>
      <c r="AL414" s="9">
        <v>18183142</v>
      </c>
      <c r="AM414" s="9">
        <v>10066601</v>
      </c>
      <c r="AN414" s="28">
        <v>8116541</v>
      </c>
      <c r="AO414" s="9">
        <v>18521079</v>
      </c>
      <c r="AP414" s="9">
        <v>9975508</v>
      </c>
      <c r="AQ414" s="28">
        <v>8545571</v>
      </c>
      <c r="AR414" s="9">
        <v>18792623.115065213</v>
      </c>
      <c r="AS414" s="9">
        <v>10112568</v>
      </c>
      <c r="AT414" s="28">
        <v>8680055</v>
      </c>
      <c r="AU414" s="9">
        <v>18681754.369813181</v>
      </c>
      <c r="AV414" s="9">
        <v>10189936</v>
      </c>
      <c r="AW414" s="9">
        <v>8727575</v>
      </c>
      <c r="AX414" s="9">
        <v>19884199.797400139</v>
      </c>
      <c r="AY414" s="9">
        <v>10661347</v>
      </c>
      <c r="AZ414" s="28">
        <v>9222853</v>
      </c>
      <c r="BA414" s="9">
        <v>20061782.279999997</v>
      </c>
      <c r="BB414" s="9">
        <v>10777102</v>
      </c>
      <c r="BC414" s="9">
        <v>9284680</v>
      </c>
      <c r="BD414" s="9">
        <v>20438009.030000001</v>
      </c>
      <c r="BE414" s="9">
        <v>11223460</v>
      </c>
      <c r="BF414" s="9">
        <v>9331150</v>
      </c>
      <c r="BG414" s="9">
        <v>21751912.98</v>
      </c>
      <c r="BH414" s="9">
        <v>11388899</v>
      </c>
      <c r="BI414" s="9">
        <v>10363014</v>
      </c>
      <c r="BJ414" s="9">
        <v>22722962.140000004</v>
      </c>
      <c r="BK414" s="9">
        <v>11779194</v>
      </c>
      <c r="BL414" s="9">
        <v>10943768</v>
      </c>
      <c r="BM414" s="9"/>
      <c r="BN414" s="9"/>
      <c r="BO414" s="9"/>
      <c r="BP414" s="9"/>
      <c r="BQ414" s="9"/>
      <c r="BR414" s="9"/>
      <c r="BS414" s="9"/>
      <c r="BT414" s="9"/>
      <c r="BU414" s="9"/>
    </row>
    <row r="415" spans="1:73">
      <c r="A415" s="6">
        <v>773</v>
      </c>
      <c r="B415" s="6" t="s">
        <v>1516</v>
      </c>
      <c r="C415" s="421">
        <v>17.5</v>
      </c>
      <c r="D415" s="9">
        <v>24298847</v>
      </c>
      <c r="E415" s="33">
        <v>17072630</v>
      </c>
      <c r="F415" s="9">
        <v>7792907.9999999981</v>
      </c>
      <c r="G415" s="9">
        <v>25952449</v>
      </c>
      <c r="H415" s="9">
        <v>18085444</v>
      </c>
      <c r="I415" s="9">
        <v>8297753</v>
      </c>
      <c r="J415" s="9">
        <v>26566548</v>
      </c>
      <c r="K415" s="9">
        <v>19085868</v>
      </c>
      <c r="L415" s="9">
        <v>8463498</v>
      </c>
      <c r="M415" s="9">
        <v>27588090</v>
      </c>
      <c r="N415" s="9">
        <v>19936190</v>
      </c>
      <c r="O415" s="9">
        <v>7824273</v>
      </c>
      <c r="P415" s="9">
        <v>919536</v>
      </c>
      <c r="Q415" s="9">
        <v>27881099.599617224</v>
      </c>
      <c r="R415" s="9">
        <v>20765902</v>
      </c>
      <c r="S415" s="9">
        <v>8568933</v>
      </c>
      <c r="T415" s="9">
        <v>0</v>
      </c>
      <c r="U415" s="9">
        <v>27238757.220000003</v>
      </c>
      <c r="V415" s="9">
        <v>21107766</v>
      </c>
      <c r="W415" s="9">
        <v>8068337</v>
      </c>
      <c r="X415" s="9">
        <v>43314</v>
      </c>
      <c r="Y415" s="9">
        <v>535182</v>
      </c>
      <c r="Z415" s="9">
        <v>26824765</v>
      </c>
      <c r="AA415" s="9">
        <v>21271799</v>
      </c>
      <c r="AB415" s="9">
        <v>8111651</v>
      </c>
      <c r="AC415" s="9">
        <v>26774026</v>
      </c>
      <c r="AD415" s="9">
        <v>21942837</v>
      </c>
      <c r="AE415" s="9">
        <v>8226571</v>
      </c>
      <c r="AF415" s="9">
        <v>26448890</v>
      </c>
      <c r="AG415" s="9">
        <v>22380186</v>
      </c>
      <c r="AH415" s="9">
        <v>8295596</v>
      </c>
      <c r="AI415" s="9">
        <v>25789437</v>
      </c>
      <c r="AJ415" s="9">
        <v>21866153</v>
      </c>
      <c r="AK415" s="28">
        <v>8362546</v>
      </c>
      <c r="AL415" s="9">
        <v>25722812</v>
      </c>
      <c r="AM415" s="9">
        <v>21834988</v>
      </c>
      <c r="AN415" s="28">
        <v>8428221</v>
      </c>
      <c r="AO415" s="9">
        <v>24821868</v>
      </c>
      <c r="AP415" s="9">
        <v>20787254</v>
      </c>
      <c r="AQ415" s="28">
        <v>8564841</v>
      </c>
      <c r="AR415" s="9">
        <v>24376762.312073089</v>
      </c>
      <c r="AS415" s="9">
        <v>20355041</v>
      </c>
      <c r="AT415" s="28">
        <v>8636541</v>
      </c>
      <c r="AU415" s="9">
        <v>25305209.704000004</v>
      </c>
      <c r="AV415" s="9">
        <v>20876797</v>
      </c>
      <c r="AW415" s="9">
        <v>8708421</v>
      </c>
      <c r="AX415" s="9">
        <v>25527954.966463432</v>
      </c>
      <c r="AY415" s="9">
        <v>21060563</v>
      </c>
      <c r="AZ415" s="28">
        <v>8777631</v>
      </c>
      <c r="BA415" s="9">
        <v>26062844.622510001</v>
      </c>
      <c r="BB415" s="9">
        <v>21501846</v>
      </c>
      <c r="BC415" s="9">
        <v>8777631</v>
      </c>
      <c r="BD415" s="9">
        <v>24917419.660840005</v>
      </c>
      <c r="BE415" s="9">
        <v>20556872</v>
      </c>
      <c r="BF415" s="9">
        <v>8841441</v>
      </c>
      <c r="BG415" s="9">
        <v>28334955.815970004</v>
      </c>
      <c r="BH415" s="9">
        <v>21719660</v>
      </c>
      <c r="BI415" s="9">
        <v>8973621</v>
      </c>
      <c r="BJ415" s="9">
        <v>30407397.850965925</v>
      </c>
      <c r="BK415" s="9">
        <v>22865013</v>
      </c>
      <c r="BL415" s="9">
        <v>9107060.9999986663</v>
      </c>
      <c r="BM415" s="9"/>
      <c r="BN415" s="9"/>
      <c r="BO415" s="9"/>
      <c r="BP415" s="9"/>
      <c r="BQ415" s="9"/>
      <c r="BR415" s="9"/>
      <c r="BS415" s="9"/>
      <c r="BT415" s="9"/>
      <c r="BU415" s="9"/>
    </row>
    <row r="416" spans="1:73">
      <c r="A416" s="6">
        <v>774</v>
      </c>
      <c r="B416" s="6" t="s">
        <v>1088</v>
      </c>
      <c r="C416" s="421">
        <v>17.5</v>
      </c>
      <c r="D416" s="9">
        <v>2818004</v>
      </c>
      <c r="E416" s="33">
        <v>3631100</v>
      </c>
      <c r="F416" s="9">
        <v>787574.4</v>
      </c>
      <c r="G416" s="9">
        <v>2663328</v>
      </c>
      <c r="H416" s="9">
        <v>3211483</v>
      </c>
      <c r="I416" s="9">
        <v>806324.4</v>
      </c>
      <c r="J416" s="9">
        <v>2717737</v>
      </c>
      <c r="K416" s="9">
        <v>2976843</v>
      </c>
      <c r="L416" s="9">
        <v>824474.4</v>
      </c>
      <c r="M416" s="9">
        <v>2781909</v>
      </c>
      <c r="N416" s="9">
        <v>2936509</v>
      </c>
      <c r="O416" s="9">
        <v>753921.4</v>
      </c>
      <c r="P416" s="9">
        <v>88603</v>
      </c>
      <c r="Q416" s="9">
        <v>2963440.2602870818</v>
      </c>
      <c r="R416" s="9">
        <v>3058634</v>
      </c>
      <c r="S416" s="9">
        <v>825674</v>
      </c>
      <c r="T416" s="9">
        <v>0</v>
      </c>
      <c r="U416" s="9">
        <v>2883583.122</v>
      </c>
      <c r="V416" s="9">
        <v>2954241</v>
      </c>
      <c r="W416" s="9">
        <v>777438</v>
      </c>
      <c r="X416" s="9">
        <v>4174</v>
      </c>
      <c r="Y416" s="9">
        <v>53162</v>
      </c>
      <c r="Z416" s="9">
        <v>2947159</v>
      </c>
      <c r="AA416" s="9">
        <v>2938229</v>
      </c>
      <c r="AB416" s="9">
        <v>781612</v>
      </c>
      <c r="AC416" s="9">
        <v>2938330</v>
      </c>
      <c r="AD416" s="9">
        <v>2789900</v>
      </c>
      <c r="AE416" s="9">
        <v>795572</v>
      </c>
      <c r="AF416" s="9">
        <v>2924404</v>
      </c>
      <c r="AG416" s="9">
        <v>2799531</v>
      </c>
      <c r="AH416" s="9">
        <v>804072</v>
      </c>
      <c r="AI416" s="9">
        <v>3060576</v>
      </c>
      <c r="AJ416" s="9">
        <v>2703741</v>
      </c>
      <c r="AK416" s="28">
        <v>812797</v>
      </c>
      <c r="AL416" s="9">
        <v>3393222</v>
      </c>
      <c r="AM416" s="9">
        <v>2857444</v>
      </c>
      <c r="AN416" s="28">
        <v>821922</v>
      </c>
      <c r="AO416" s="9">
        <v>3590852</v>
      </c>
      <c r="AP416" s="9">
        <v>2932767</v>
      </c>
      <c r="AQ416" s="28">
        <v>842602</v>
      </c>
      <c r="AR416" s="9">
        <v>3842627.4814848243</v>
      </c>
      <c r="AS416" s="9">
        <v>3031561</v>
      </c>
      <c r="AT416" s="28">
        <v>854362</v>
      </c>
      <c r="AU416" s="9">
        <v>4032194.76</v>
      </c>
      <c r="AV416" s="9">
        <v>3211065</v>
      </c>
      <c r="AW416" s="9">
        <v>866452</v>
      </c>
      <c r="AX416" s="9">
        <v>4538258.3027917985</v>
      </c>
      <c r="AY416" s="9">
        <v>3744064</v>
      </c>
      <c r="AZ416" s="28">
        <v>879292</v>
      </c>
      <c r="BA416" s="9">
        <v>4423020.3299557688</v>
      </c>
      <c r="BB416" s="9">
        <v>3648991</v>
      </c>
      <c r="BC416" s="9">
        <v>879292</v>
      </c>
      <c r="BD416" s="9">
        <v>4428346.7900442835</v>
      </c>
      <c r="BE416" s="9">
        <v>3653385</v>
      </c>
      <c r="BF416" s="9">
        <v>891082.00000011793</v>
      </c>
      <c r="BG416" s="9">
        <v>5035196.55</v>
      </c>
      <c r="BH416" s="9">
        <v>4154037</v>
      </c>
      <c r="BI416" s="9">
        <v>915262.00000011793</v>
      </c>
      <c r="BJ416" s="9">
        <v>5529555.0699999994</v>
      </c>
      <c r="BK416" s="9">
        <v>4561883</v>
      </c>
      <c r="BL416" s="9">
        <v>967672</v>
      </c>
      <c r="BM416" s="9"/>
      <c r="BN416" s="9"/>
      <c r="BO416" s="9"/>
      <c r="BP416" s="9"/>
      <c r="BQ416" s="9"/>
      <c r="BR416" s="9"/>
      <c r="BS416" s="9"/>
      <c r="BT416" s="9"/>
      <c r="BU416" s="9"/>
    </row>
    <row r="417" spans="1:73">
      <c r="A417" s="6">
        <v>775</v>
      </c>
      <c r="B417" s="6" t="s">
        <v>1517</v>
      </c>
      <c r="C417" s="421">
        <v>38.21</v>
      </c>
      <c r="D417" s="9">
        <v>48282346</v>
      </c>
      <c r="E417" s="33">
        <v>33777538</v>
      </c>
      <c r="F417" s="9">
        <v>14580116</v>
      </c>
      <c r="G417" s="9">
        <v>51403850</v>
      </c>
      <c r="H417" s="9">
        <v>35230245</v>
      </c>
      <c r="I417" s="9">
        <v>16173605</v>
      </c>
      <c r="J417" s="9">
        <v>54801725</v>
      </c>
      <c r="K417" s="9">
        <v>35455524</v>
      </c>
      <c r="L417" s="9">
        <v>19346201</v>
      </c>
      <c r="M417" s="9">
        <v>58236852</v>
      </c>
      <c r="N417" s="9">
        <v>36308065</v>
      </c>
      <c r="O417" s="9">
        <v>19622662</v>
      </c>
      <c r="P417" s="9">
        <v>2306125</v>
      </c>
      <c r="Q417" s="9">
        <v>59911476.039043061</v>
      </c>
      <c r="R417" s="9">
        <v>37367519</v>
      </c>
      <c r="S417" s="9">
        <v>21490211</v>
      </c>
      <c r="T417" s="9">
        <v>1053746</v>
      </c>
      <c r="U417" s="9">
        <v>59254110.450000003</v>
      </c>
      <c r="V417" s="9">
        <v>37595289</v>
      </c>
      <c r="W417" s="9">
        <v>21243244</v>
      </c>
      <c r="X417" s="9">
        <v>114043</v>
      </c>
      <c r="Y417" s="9">
        <v>1365920</v>
      </c>
      <c r="Z417" s="9">
        <v>60601665</v>
      </c>
      <c r="AA417" s="9">
        <v>38212334</v>
      </c>
      <c r="AB417" s="9">
        <v>22389331</v>
      </c>
      <c r="AC417" s="9">
        <v>63034725</v>
      </c>
      <c r="AD417" s="9">
        <v>39189250</v>
      </c>
      <c r="AE417" s="9">
        <v>24301041.254999999</v>
      </c>
      <c r="AF417" s="9">
        <v>63737669</v>
      </c>
      <c r="AG417" s="9">
        <v>39961275</v>
      </c>
      <c r="AH417" s="9">
        <v>24731803.504425</v>
      </c>
      <c r="AI417" s="9">
        <v>63713837</v>
      </c>
      <c r="AJ417" s="9">
        <v>39643665</v>
      </c>
      <c r="AK417" s="28">
        <v>24988919.504425</v>
      </c>
      <c r="AL417" s="9">
        <v>65656785</v>
      </c>
      <c r="AM417" s="9">
        <v>40218460</v>
      </c>
      <c r="AN417" s="28">
        <v>25438325</v>
      </c>
      <c r="AO417" s="9">
        <v>65958496</v>
      </c>
      <c r="AP417" s="9">
        <v>39859181</v>
      </c>
      <c r="AQ417" s="28">
        <v>26385616</v>
      </c>
      <c r="AR417" s="9">
        <v>67325906.778581902</v>
      </c>
      <c r="AS417" s="9">
        <v>40480754</v>
      </c>
      <c r="AT417" s="28">
        <v>26845153</v>
      </c>
      <c r="AU417" s="9">
        <v>68658655.170000017</v>
      </c>
      <c r="AV417" s="9">
        <v>40985980</v>
      </c>
      <c r="AW417" s="9">
        <v>27699197</v>
      </c>
      <c r="AX417" s="9">
        <v>71271709.733221024</v>
      </c>
      <c r="AY417" s="9">
        <v>42635066</v>
      </c>
      <c r="AZ417" s="28">
        <v>28647835</v>
      </c>
      <c r="BA417" s="9">
        <v>73935156.649260655</v>
      </c>
      <c r="BB417" s="9">
        <v>44374979</v>
      </c>
      <c r="BC417" s="9">
        <v>29560178</v>
      </c>
      <c r="BD417" s="9">
        <v>73176176.700000003</v>
      </c>
      <c r="BE417" s="9">
        <v>45202423</v>
      </c>
      <c r="BF417" s="9">
        <v>29762018</v>
      </c>
      <c r="BG417" s="9">
        <v>79469578.500000015</v>
      </c>
      <c r="BH417" s="9">
        <v>47034063</v>
      </c>
      <c r="BI417" s="9">
        <v>32435516</v>
      </c>
      <c r="BJ417" s="9">
        <v>84952456.879999995</v>
      </c>
      <c r="BK417" s="9">
        <v>49101422</v>
      </c>
      <c r="BL417" s="9">
        <v>35851035</v>
      </c>
      <c r="BM417" s="9"/>
      <c r="BN417" s="9"/>
      <c r="BO417" s="9"/>
      <c r="BP417" s="9"/>
      <c r="BQ417" s="9"/>
      <c r="BR417" s="9"/>
      <c r="BS417" s="9"/>
      <c r="BT417" s="9"/>
      <c r="BU417" s="9"/>
    </row>
    <row r="418" spans="1:73">
      <c r="A418" s="6">
        <v>778</v>
      </c>
      <c r="B418" s="6" t="s">
        <v>1090</v>
      </c>
      <c r="C418" s="421">
        <v>57.65</v>
      </c>
      <c r="D418" s="9">
        <v>11141894</v>
      </c>
      <c r="E418" s="33">
        <v>3567006</v>
      </c>
      <c r="F418" s="9">
        <v>7574888</v>
      </c>
      <c r="G418" s="9">
        <v>11791190</v>
      </c>
      <c r="H418" s="9">
        <v>3881276</v>
      </c>
      <c r="I418" s="9">
        <v>7991217</v>
      </c>
      <c r="J418" s="9">
        <v>12254851</v>
      </c>
      <c r="K418" s="9">
        <v>4136812</v>
      </c>
      <c r="L418" s="9">
        <v>8281608</v>
      </c>
      <c r="M418" s="9">
        <v>12617536</v>
      </c>
      <c r="N418" s="9">
        <v>4373441</v>
      </c>
      <c r="O418" s="9">
        <v>8157632</v>
      </c>
      <c r="P418" s="9">
        <v>347753</v>
      </c>
      <c r="Q418" s="9">
        <v>12703713.843444977</v>
      </c>
      <c r="R418" s="9">
        <v>4409832</v>
      </c>
      <c r="S418" s="9">
        <v>8335277</v>
      </c>
      <c r="T418" s="9">
        <v>0</v>
      </c>
      <c r="U418" s="9">
        <v>12453350.286</v>
      </c>
      <c r="V418" s="9">
        <v>4490234</v>
      </c>
      <c r="W418" s="9">
        <v>7848331</v>
      </c>
      <c r="X418" s="9">
        <v>42133</v>
      </c>
      <c r="Y418" s="9">
        <v>479238</v>
      </c>
      <c r="Z418" s="9">
        <v>13025123</v>
      </c>
      <c r="AA418" s="9">
        <v>4631357</v>
      </c>
      <c r="AB418" s="9">
        <v>8393766</v>
      </c>
      <c r="AC418" s="9">
        <v>12911828</v>
      </c>
      <c r="AD418" s="9">
        <v>4742222</v>
      </c>
      <c r="AE418" s="9">
        <v>8447086</v>
      </c>
      <c r="AF418" s="9">
        <v>13046235</v>
      </c>
      <c r="AG418" s="9">
        <v>4894859</v>
      </c>
      <c r="AH418" s="9">
        <v>8479786</v>
      </c>
      <c r="AI418" s="9">
        <v>13203478</v>
      </c>
      <c r="AJ418" s="9">
        <v>5067470</v>
      </c>
      <c r="AK418" s="28">
        <v>8512186</v>
      </c>
      <c r="AL418" s="9">
        <v>13357209</v>
      </c>
      <c r="AM418" s="9">
        <v>5095756</v>
      </c>
      <c r="AN418" s="28">
        <v>8544111</v>
      </c>
      <c r="AO418" s="9">
        <v>13599319</v>
      </c>
      <c r="AP418" s="9">
        <v>5113624</v>
      </c>
      <c r="AQ418" s="28">
        <v>8615171</v>
      </c>
      <c r="AR418" s="9">
        <v>14168290.710392267</v>
      </c>
      <c r="AS418" s="9">
        <v>5082901</v>
      </c>
      <c r="AT418" s="28">
        <v>9085390</v>
      </c>
      <c r="AU418" s="9">
        <v>13641132.549999999</v>
      </c>
      <c r="AV418" s="9">
        <v>5096479</v>
      </c>
      <c r="AW418" s="9">
        <v>9122230</v>
      </c>
      <c r="AX418" s="9">
        <v>14192752.457797423</v>
      </c>
      <c r="AY418" s="9">
        <v>5363869</v>
      </c>
      <c r="AZ418" s="28">
        <v>9158560</v>
      </c>
      <c r="BA418" s="9">
        <v>14111900.640000004</v>
      </c>
      <c r="BB418" s="9">
        <v>5557868</v>
      </c>
      <c r="BC418" s="9">
        <v>9158560</v>
      </c>
      <c r="BD418" s="9">
        <v>14365916.490000002</v>
      </c>
      <c r="BE418" s="9">
        <v>5833977</v>
      </c>
      <c r="BF418" s="9">
        <v>9192100</v>
      </c>
      <c r="BG418" s="9">
        <v>15230825.089999996</v>
      </c>
      <c r="BH418" s="9">
        <v>6110748</v>
      </c>
      <c r="BI418" s="9">
        <v>9257500</v>
      </c>
      <c r="BJ418" s="9">
        <v>16750016.709999999</v>
      </c>
      <c r="BK418" s="9">
        <v>6411888</v>
      </c>
      <c r="BL418" s="9">
        <v>10338129</v>
      </c>
      <c r="BM418" s="9"/>
      <c r="BN418" s="9"/>
      <c r="BO418" s="9"/>
      <c r="BP418" s="9"/>
      <c r="BQ418" s="9"/>
      <c r="BR418" s="9"/>
      <c r="BS418" s="9"/>
      <c r="BT418" s="9"/>
      <c r="BU418" s="9"/>
    </row>
    <row r="419" spans="1:73">
      <c r="A419" s="6">
        <v>780</v>
      </c>
      <c r="B419" s="6" t="s">
        <v>1518</v>
      </c>
      <c r="C419" s="421">
        <v>45.18</v>
      </c>
      <c r="D419" s="9">
        <v>30538240</v>
      </c>
      <c r="E419" s="33">
        <v>9106058</v>
      </c>
      <c r="F419" s="9">
        <v>21432182</v>
      </c>
      <c r="G419" s="9">
        <v>32259424</v>
      </c>
      <c r="H419" s="9">
        <v>9879380</v>
      </c>
      <c r="I419" s="9">
        <v>22380044</v>
      </c>
      <c r="J419" s="9">
        <v>33351647</v>
      </c>
      <c r="K419" s="9">
        <v>10636667</v>
      </c>
      <c r="L419" s="9">
        <v>22947017</v>
      </c>
      <c r="M419" s="9">
        <v>35222900</v>
      </c>
      <c r="N419" s="9">
        <v>11243141</v>
      </c>
      <c r="O419" s="9">
        <v>21457945</v>
      </c>
      <c r="P419" s="9">
        <v>2521814</v>
      </c>
      <c r="Q419" s="9">
        <v>36937606.644976079</v>
      </c>
      <c r="R419" s="9">
        <v>12830981</v>
      </c>
      <c r="S419" s="9">
        <v>23500164</v>
      </c>
      <c r="T419" s="9">
        <v>606462</v>
      </c>
      <c r="U419" s="9">
        <v>36853531.943999998</v>
      </c>
      <c r="V419" s="9">
        <v>13057622</v>
      </c>
      <c r="W419" s="9">
        <v>23339328</v>
      </c>
      <c r="X419" s="9">
        <v>125296</v>
      </c>
      <c r="Y419" s="9">
        <v>749752</v>
      </c>
      <c r="Z419" s="9">
        <v>36625906</v>
      </c>
      <c r="AA419" s="9">
        <v>13430108</v>
      </c>
      <c r="AB419" s="9">
        <v>23464624</v>
      </c>
      <c r="AC419" s="9">
        <v>37691613</v>
      </c>
      <c r="AD419" s="9">
        <v>14011112</v>
      </c>
      <c r="AE419" s="9">
        <v>23680501</v>
      </c>
      <c r="AF419" s="9">
        <v>38579785</v>
      </c>
      <c r="AG419" s="9">
        <v>14560975</v>
      </c>
      <c r="AH419" s="9">
        <v>24018810</v>
      </c>
      <c r="AI419" s="9">
        <v>38173063</v>
      </c>
      <c r="AJ419" s="9">
        <v>15278470</v>
      </c>
      <c r="AK419" s="28">
        <v>24120485</v>
      </c>
      <c r="AL419" s="9">
        <v>38322360</v>
      </c>
      <c r="AM419" s="9">
        <v>16147370</v>
      </c>
      <c r="AN419" s="28">
        <v>24219585</v>
      </c>
      <c r="AO419" s="9">
        <v>38333512</v>
      </c>
      <c r="AP419" s="9">
        <v>16774824</v>
      </c>
      <c r="AQ419" s="28">
        <v>24436230</v>
      </c>
      <c r="AR419" s="9">
        <v>38233603.852514476</v>
      </c>
      <c r="AS419" s="9">
        <v>17627386</v>
      </c>
      <c r="AT419" s="28">
        <v>24552030</v>
      </c>
      <c r="AU419" s="9">
        <v>38780823.010000005</v>
      </c>
      <c r="AV419" s="9">
        <v>18467197</v>
      </c>
      <c r="AW419" s="9">
        <v>24665460</v>
      </c>
      <c r="AX419" s="9">
        <v>39870087.686414868</v>
      </c>
      <c r="AY419" s="9">
        <v>19523939</v>
      </c>
      <c r="AZ419" s="28">
        <v>24776700</v>
      </c>
      <c r="BA419" s="9">
        <v>40183483.009999998</v>
      </c>
      <c r="BB419" s="9">
        <v>20355354</v>
      </c>
      <c r="BC419" s="9">
        <v>24776700</v>
      </c>
      <c r="BD419" s="9">
        <v>40067180.660000011</v>
      </c>
      <c r="BE419" s="9">
        <v>21155625</v>
      </c>
      <c r="BF419" s="9">
        <v>24882540</v>
      </c>
      <c r="BG419" s="9">
        <v>42679524.109999999</v>
      </c>
      <c r="BH419" s="9">
        <v>22110222</v>
      </c>
      <c r="BI419" s="9">
        <v>25089060</v>
      </c>
      <c r="BJ419" s="9">
        <v>47694959.75</v>
      </c>
      <c r="BK419" s="9">
        <v>23154753</v>
      </c>
      <c r="BL419" s="9">
        <v>25303260</v>
      </c>
      <c r="BM419" s="9"/>
      <c r="BN419" s="9"/>
      <c r="BO419" s="9"/>
      <c r="BP419" s="9"/>
      <c r="BQ419" s="9"/>
      <c r="BR419" s="9"/>
      <c r="BS419" s="9"/>
      <c r="BT419" s="9"/>
      <c r="BU419" s="9"/>
    </row>
    <row r="420" spans="1:73">
      <c r="A420" s="6">
        <v>801</v>
      </c>
      <c r="B420" s="6" t="s">
        <v>1519</v>
      </c>
      <c r="C420" s="421">
        <v>37.43</v>
      </c>
      <c r="D420" s="9">
        <v>8391985</v>
      </c>
      <c r="E420" s="33">
        <v>7333682</v>
      </c>
      <c r="F420" s="9">
        <v>2477600.4</v>
      </c>
      <c r="G420" s="9">
        <v>9303432</v>
      </c>
      <c r="H420" s="9">
        <v>7595626</v>
      </c>
      <c r="I420" s="9">
        <v>2733990.4</v>
      </c>
      <c r="J420" s="9">
        <v>9764859</v>
      </c>
      <c r="K420" s="9">
        <v>7625516</v>
      </c>
      <c r="L420" s="9">
        <v>2878463.4</v>
      </c>
      <c r="M420" s="9">
        <v>9921868</v>
      </c>
      <c r="N420" s="9">
        <v>7323853</v>
      </c>
      <c r="O420" s="9">
        <v>2679432.4</v>
      </c>
      <c r="P420" s="9">
        <v>314896</v>
      </c>
      <c r="Q420" s="9">
        <v>10283013.364976078</v>
      </c>
      <c r="R420" s="9">
        <v>7403603</v>
      </c>
      <c r="S420" s="9">
        <v>2934442</v>
      </c>
      <c r="T420" s="9">
        <v>0</v>
      </c>
      <c r="U420" s="9">
        <v>9970968.1919999998</v>
      </c>
      <c r="V420" s="9">
        <v>7231682</v>
      </c>
      <c r="W420" s="9">
        <v>2763012</v>
      </c>
      <c r="X420" s="9">
        <v>14833</v>
      </c>
      <c r="Y420" s="9">
        <v>173097</v>
      </c>
      <c r="Z420" s="9">
        <v>10706516</v>
      </c>
      <c r="AA420" s="9">
        <v>7640401</v>
      </c>
      <c r="AB420" s="9">
        <v>3066115</v>
      </c>
      <c r="AC420" s="9">
        <v>11638299</v>
      </c>
      <c r="AD420" s="9">
        <v>8079707</v>
      </c>
      <c r="AE420" s="9">
        <v>3688749.9498749999</v>
      </c>
      <c r="AF420" s="9">
        <v>11645533</v>
      </c>
      <c r="AG420" s="9">
        <v>8015009</v>
      </c>
      <c r="AH420" s="9">
        <v>3773901.0669062501</v>
      </c>
      <c r="AI420" s="9">
        <v>11767240</v>
      </c>
      <c r="AJ420" s="9">
        <v>7930239</v>
      </c>
      <c r="AK420" s="28">
        <v>3884226.0669062501</v>
      </c>
      <c r="AL420" s="9">
        <v>12473207</v>
      </c>
      <c r="AM420" s="9">
        <v>8071058</v>
      </c>
      <c r="AN420" s="28">
        <v>4402149</v>
      </c>
      <c r="AO420" s="9">
        <v>12802558</v>
      </c>
      <c r="AP420" s="9">
        <v>8119414</v>
      </c>
      <c r="AQ420" s="28">
        <v>4744172</v>
      </c>
      <c r="AR420" s="9">
        <v>13483457.122205222</v>
      </c>
      <c r="AS420" s="9">
        <v>8363523</v>
      </c>
      <c r="AT420" s="28">
        <v>5119934</v>
      </c>
      <c r="AU420" s="9">
        <v>14604237.100950003</v>
      </c>
      <c r="AV420" s="9">
        <v>8891580</v>
      </c>
      <c r="AW420" s="9">
        <v>5712657</v>
      </c>
      <c r="AX420" s="9">
        <v>15341279.497413153</v>
      </c>
      <c r="AY420" s="9">
        <v>9400672</v>
      </c>
      <c r="AZ420" s="28">
        <v>5955175</v>
      </c>
      <c r="BA420" s="9">
        <v>16217721.547997823</v>
      </c>
      <c r="BB420" s="9">
        <v>10027775</v>
      </c>
      <c r="BC420" s="9">
        <v>6208186</v>
      </c>
      <c r="BD420" s="9">
        <v>17308906.848700002</v>
      </c>
      <c r="BE420" s="9">
        <v>10888732</v>
      </c>
      <c r="BF420" s="9">
        <v>6421072</v>
      </c>
      <c r="BG420" s="9">
        <v>18912027.71474912</v>
      </c>
      <c r="BH420" s="9">
        <v>11434042</v>
      </c>
      <c r="BI420" s="9">
        <v>7477986</v>
      </c>
      <c r="BJ420" s="9">
        <v>21431809.599349998</v>
      </c>
      <c r="BK420" s="9">
        <v>12336877</v>
      </c>
      <c r="BL420" s="9">
        <v>9094933</v>
      </c>
      <c r="BM420" s="9"/>
      <c r="BN420" s="9"/>
      <c r="BO420" s="9"/>
      <c r="BP420" s="9"/>
      <c r="BQ420" s="9"/>
      <c r="BR420" s="9"/>
      <c r="BS420" s="9"/>
      <c r="BT420" s="9"/>
      <c r="BU420" s="9"/>
    </row>
    <row r="421" spans="1:73">
      <c r="A421" s="6">
        <v>805</v>
      </c>
      <c r="B421" s="6" t="s">
        <v>1520</v>
      </c>
      <c r="C421" s="421">
        <v>34.44</v>
      </c>
      <c r="D421" s="9">
        <v>9538740</v>
      </c>
      <c r="E421" s="33">
        <v>4657490</v>
      </c>
      <c r="F421" s="9">
        <v>4881250</v>
      </c>
      <c r="G421" s="9">
        <v>11634064</v>
      </c>
      <c r="H421" s="9">
        <v>5661661</v>
      </c>
      <c r="I421" s="9">
        <v>5972403</v>
      </c>
      <c r="J421" s="9">
        <v>13058784</v>
      </c>
      <c r="K421" s="9">
        <v>6650789</v>
      </c>
      <c r="L421" s="9">
        <v>6607116</v>
      </c>
      <c r="M421" s="9">
        <v>14423992</v>
      </c>
      <c r="N421" s="9">
        <v>7306124</v>
      </c>
      <c r="O421" s="9">
        <v>6462753</v>
      </c>
      <c r="P421" s="9">
        <v>759526</v>
      </c>
      <c r="Q421" s="9">
        <v>15755118.710813399</v>
      </c>
      <c r="R421" s="9">
        <v>8124101</v>
      </c>
      <c r="S421" s="9">
        <v>7077833</v>
      </c>
      <c r="T421" s="9">
        <v>553185</v>
      </c>
      <c r="U421" s="9">
        <v>16047786.84</v>
      </c>
      <c r="V421" s="9">
        <v>8574515</v>
      </c>
      <c r="W421" s="9">
        <v>7329879</v>
      </c>
      <c r="X421" s="9">
        <v>39350</v>
      </c>
      <c r="Y421" s="9">
        <v>290739</v>
      </c>
      <c r="Z421" s="9">
        <v>16495490</v>
      </c>
      <c r="AA421" s="9">
        <v>8881138</v>
      </c>
      <c r="AB421" s="9">
        <v>7614352</v>
      </c>
      <c r="AC421" s="9">
        <v>17182760</v>
      </c>
      <c r="AD421" s="9">
        <v>9269607</v>
      </c>
      <c r="AE421" s="9">
        <v>7913153</v>
      </c>
      <c r="AF421" s="9">
        <v>17574009</v>
      </c>
      <c r="AG421" s="9">
        <v>9547590</v>
      </c>
      <c r="AH421" s="9">
        <v>8026419</v>
      </c>
      <c r="AI421" s="9">
        <v>17695720</v>
      </c>
      <c r="AJ421" s="9">
        <v>9764199</v>
      </c>
      <c r="AK421" s="28">
        <v>8056069</v>
      </c>
      <c r="AL421" s="9">
        <v>18218330</v>
      </c>
      <c r="AM421" s="9">
        <v>10300542</v>
      </c>
      <c r="AN421" s="28">
        <v>8086169</v>
      </c>
      <c r="AO421" s="9">
        <v>18149119</v>
      </c>
      <c r="AP421" s="9">
        <v>10436837</v>
      </c>
      <c r="AQ421" s="28">
        <v>8153324</v>
      </c>
      <c r="AR421" s="9">
        <v>18527694.600344807</v>
      </c>
      <c r="AS421" s="9">
        <v>10824531</v>
      </c>
      <c r="AT421" s="28">
        <v>8190134.0000003679</v>
      </c>
      <c r="AU421" s="9">
        <v>19306561.990193069</v>
      </c>
      <c r="AV421" s="9">
        <v>11314851</v>
      </c>
      <c r="AW421" s="9">
        <v>8227334.0000007395</v>
      </c>
      <c r="AX421" s="9">
        <v>20173355.695973717</v>
      </c>
      <c r="AY421" s="9">
        <v>11937858</v>
      </c>
      <c r="AZ421" s="28">
        <v>8264744</v>
      </c>
      <c r="BA421" s="9">
        <v>20447639.179795522</v>
      </c>
      <c r="BB421" s="9">
        <v>12329585</v>
      </c>
      <c r="BC421" s="9">
        <v>8264744</v>
      </c>
      <c r="BD421" s="9">
        <v>20972471.779999997</v>
      </c>
      <c r="BE421" s="9">
        <v>13049503</v>
      </c>
      <c r="BF421" s="9">
        <v>8302034</v>
      </c>
      <c r="BG421" s="9">
        <v>22300397.41</v>
      </c>
      <c r="BH421" s="9">
        <v>13631634</v>
      </c>
      <c r="BI421" s="9">
        <v>8668763</v>
      </c>
      <c r="BJ421" s="9">
        <v>23489724.719765104</v>
      </c>
      <c r="BK421" s="9">
        <v>14213597</v>
      </c>
      <c r="BL421" s="9">
        <v>9276128</v>
      </c>
      <c r="BM421" s="9"/>
      <c r="BN421" s="9"/>
      <c r="BO421" s="9"/>
      <c r="BP421" s="9"/>
      <c r="BQ421" s="9"/>
      <c r="BR421" s="9"/>
      <c r="BS421" s="9"/>
      <c r="BT421" s="9"/>
      <c r="BU421" s="9"/>
    </row>
    <row r="422" spans="1:73">
      <c r="A422" s="6">
        <v>806</v>
      </c>
      <c r="B422" s="6" t="s">
        <v>1521</v>
      </c>
      <c r="C422" s="421">
        <v>28.62</v>
      </c>
      <c r="D422" s="9">
        <v>8736268</v>
      </c>
      <c r="E422" s="33">
        <v>7619162</v>
      </c>
      <c r="F422" s="9">
        <v>3073959.2</v>
      </c>
      <c r="G422" s="9">
        <v>10491975</v>
      </c>
      <c r="H422" s="9">
        <v>8307024</v>
      </c>
      <c r="I422" s="9">
        <v>3600320.2</v>
      </c>
      <c r="J422" s="9">
        <v>11368895</v>
      </c>
      <c r="K422" s="9">
        <v>8741919</v>
      </c>
      <c r="L422" s="9">
        <v>3875673.2</v>
      </c>
      <c r="M422" s="9">
        <v>12148540</v>
      </c>
      <c r="N422" s="9">
        <v>8967009</v>
      </c>
      <c r="O422" s="9">
        <v>3684433.2</v>
      </c>
      <c r="P422" s="9">
        <v>433008</v>
      </c>
      <c r="Q422" s="9">
        <v>12332269.926889954</v>
      </c>
      <c r="R422" s="9">
        <v>8910498</v>
      </c>
      <c r="S422" s="9">
        <v>4035092</v>
      </c>
      <c r="T422" s="9">
        <v>0</v>
      </c>
      <c r="U422" s="9">
        <v>12217671.845999999</v>
      </c>
      <c r="V422" s="9">
        <v>9020653</v>
      </c>
      <c r="W422" s="9">
        <v>3799362</v>
      </c>
      <c r="X422" s="9">
        <v>20397</v>
      </c>
      <c r="Y422" s="9">
        <v>236383</v>
      </c>
      <c r="Z422" s="9">
        <v>12473226</v>
      </c>
      <c r="AA422" s="9">
        <v>9088881</v>
      </c>
      <c r="AB422" s="9">
        <v>3819759</v>
      </c>
      <c r="AC422" s="9">
        <v>12759498</v>
      </c>
      <c r="AD422" s="9">
        <v>9108222</v>
      </c>
      <c r="AE422" s="9">
        <v>3898019.6005500001</v>
      </c>
      <c r="AF422" s="9">
        <v>13021004</v>
      </c>
      <c r="AG422" s="9">
        <v>9407988</v>
      </c>
      <c r="AH422" s="9">
        <v>3973984.1981125004</v>
      </c>
      <c r="AI422" s="9">
        <v>13656513</v>
      </c>
      <c r="AJ422" s="9">
        <v>9688001</v>
      </c>
      <c r="AK422" s="28">
        <v>4130304.1981125004</v>
      </c>
      <c r="AL422" s="9">
        <v>14060446</v>
      </c>
      <c r="AM422" s="9">
        <v>9823319</v>
      </c>
      <c r="AN422" s="28">
        <v>4237127</v>
      </c>
      <c r="AO422" s="9">
        <v>14501647</v>
      </c>
      <c r="AP422" s="9">
        <v>9816982</v>
      </c>
      <c r="AQ422" s="28">
        <v>4689160</v>
      </c>
      <c r="AR422" s="9">
        <v>14512296.336987162</v>
      </c>
      <c r="AS422" s="9">
        <v>9777318</v>
      </c>
      <c r="AT422" s="28">
        <v>4734978</v>
      </c>
      <c r="AU422" s="9">
        <v>14654739.316559998</v>
      </c>
      <c r="AV422" s="9">
        <v>9802331</v>
      </c>
      <c r="AW422" s="9">
        <v>4852408</v>
      </c>
      <c r="AX422" s="9">
        <v>15320678.136437576</v>
      </c>
      <c r="AY422" s="9">
        <v>10064969</v>
      </c>
      <c r="AZ422" s="28">
        <v>5255709</v>
      </c>
      <c r="BA422" s="9">
        <v>15853872.642718541</v>
      </c>
      <c r="BB422" s="9">
        <v>10498516</v>
      </c>
      <c r="BC422" s="9">
        <v>5377315</v>
      </c>
      <c r="BD422" s="9">
        <v>16985563.998199999</v>
      </c>
      <c r="BE422" s="9">
        <v>11273090</v>
      </c>
      <c r="BF422" s="9">
        <v>5713327</v>
      </c>
      <c r="BG422" s="9">
        <v>18993506.711260065</v>
      </c>
      <c r="BH422" s="9">
        <v>12263867</v>
      </c>
      <c r="BI422" s="9">
        <v>6729640</v>
      </c>
      <c r="BJ422" s="9">
        <v>20180627.194921803</v>
      </c>
      <c r="BK422" s="9">
        <v>12979952</v>
      </c>
      <c r="BL422" s="9">
        <v>7200675</v>
      </c>
      <c r="BM422" s="9"/>
      <c r="BN422" s="9"/>
      <c r="BO422" s="9"/>
      <c r="BP422" s="9"/>
      <c r="BQ422" s="9"/>
      <c r="BR422" s="9"/>
      <c r="BS422" s="9"/>
      <c r="BT422" s="9"/>
      <c r="BU422" s="9"/>
    </row>
    <row r="423" spans="1:73">
      <c r="A423" s="6">
        <v>810</v>
      </c>
      <c r="B423" s="6" t="s">
        <v>1522</v>
      </c>
      <c r="C423" s="421">
        <v>49.1</v>
      </c>
      <c r="D423" s="9">
        <v>11388476</v>
      </c>
      <c r="E423" s="33">
        <v>4427094</v>
      </c>
      <c r="F423" s="9">
        <v>6961382</v>
      </c>
      <c r="G423" s="9">
        <v>13514890</v>
      </c>
      <c r="H423" s="9">
        <v>5510850</v>
      </c>
      <c r="I423" s="9">
        <v>8086042</v>
      </c>
      <c r="J423" s="9">
        <v>14637445</v>
      </c>
      <c r="K423" s="9">
        <v>6248486</v>
      </c>
      <c r="L423" s="9">
        <v>8665617</v>
      </c>
      <c r="M423" s="9">
        <v>15904781</v>
      </c>
      <c r="N423" s="9">
        <v>6720290</v>
      </c>
      <c r="O423" s="9">
        <v>8345601</v>
      </c>
      <c r="P423" s="9">
        <v>980805</v>
      </c>
      <c r="Q423" s="9">
        <v>17087281.950622011</v>
      </c>
      <c r="R423" s="9">
        <v>7152445</v>
      </c>
      <c r="S423" s="9">
        <v>9139878</v>
      </c>
      <c r="T423" s="9">
        <v>794959</v>
      </c>
      <c r="U423" s="9">
        <v>17171584.145999998</v>
      </c>
      <c r="V423" s="9">
        <v>7555546.2191998027</v>
      </c>
      <c r="W423" s="9">
        <v>9422839</v>
      </c>
      <c r="X423" s="9">
        <v>50586</v>
      </c>
      <c r="Y423" s="9">
        <v>492612</v>
      </c>
      <c r="Z423" s="9">
        <v>17835184</v>
      </c>
      <c r="AA423" s="9">
        <v>7974320</v>
      </c>
      <c r="AB423" s="9">
        <v>9860864</v>
      </c>
      <c r="AC423" s="9">
        <v>18840987</v>
      </c>
      <c r="AD423" s="9">
        <v>8467645</v>
      </c>
      <c r="AE423" s="9">
        <v>10373342</v>
      </c>
      <c r="AF423" s="9">
        <v>19809952</v>
      </c>
      <c r="AG423" s="9">
        <v>9275499</v>
      </c>
      <c r="AH423" s="9">
        <v>10562802.050000001</v>
      </c>
      <c r="AI423" s="9">
        <v>19738678</v>
      </c>
      <c r="AJ423" s="9">
        <v>9454533</v>
      </c>
      <c r="AK423" s="28">
        <v>10595527.050000001</v>
      </c>
      <c r="AL423" s="9">
        <v>20776046</v>
      </c>
      <c r="AM423" s="9">
        <v>10001847</v>
      </c>
      <c r="AN423" s="28">
        <v>10774199</v>
      </c>
      <c r="AO423" s="9">
        <v>20622505</v>
      </c>
      <c r="AP423" s="9">
        <v>9983312</v>
      </c>
      <c r="AQ423" s="28">
        <v>10847624</v>
      </c>
      <c r="AR423" s="9">
        <v>21211911.426807255</v>
      </c>
      <c r="AS423" s="9">
        <v>10210686</v>
      </c>
      <c r="AT423" s="28">
        <v>11001225</v>
      </c>
      <c r="AU423" s="9">
        <v>21504737.259999998</v>
      </c>
      <c r="AV423" s="9">
        <v>10229317</v>
      </c>
      <c r="AW423" s="9">
        <v>11289055</v>
      </c>
      <c r="AX423" s="9">
        <v>22657735.468634516</v>
      </c>
      <c r="AY423" s="9">
        <v>10614555</v>
      </c>
      <c r="AZ423" s="28">
        <v>12043180</v>
      </c>
      <c r="BA423" s="9">
        <v>23238134.84</v>
      </c>
      <c r="BB423" s="9">
        <v>11152285</v>
      </c>
      <c r="BC423" s="9">
        <v>12133330</v>
      </c>
      <c r="BD423" s="9">
        <v>24404455.759999998</v>
      </c>
      <c r="BE423" s="9">
        <v>12064493</v>
      </c>
      <c r="BF423" s="9">
        <v>12341965</v>
      </c>
      <c r="BG423" s="9">
        <v>25870713.669741295</v>
      </c>
      <c r="BH423" s="9">
        <v>12269006</v>
      </c>
      <c r="BI423" s="9">
        <v>13601708</v>
      </c>
      <c r="BJ423" s="9">
        <v>26611587.789733887</v>
      </c>
      <c r="BK423" s="9">
        <v>12417077</v>
      </c>
      <c r="BL423" s="9">
        <v>14194511</v>
      </c>
      <c r="BM423" s="9"/>
      <c r="BN423" s="9"/>
      <c r="BO423" s="9"/>
      <c r="BP423" s="9"/>
      <c r="BQ423" s="9"/>
      <c r="BR423" s="9"/>
      <c r="BS423" s="9"/>
      <c r="BT423" s="9"/>
      <c r="BU423" s="9"/>
    </row>
    <row r="424" spans="1:73">
      <c r="A424" s="6">
        <v>815</v>
      </c>
      <c r="B424" s="6" t="s">
        <v>1523</v>
      </c>
      <c r="C424" s="421">
        <v>17.5</v>
      </c>
      <c r="D424" s="9">
        <v>8147786</v>
      </c>
      <c r="E424" s="33">
        <v>7106299</v>
      </c>
      <c r="F424" s="9">
        <v>1812921.2</v>
      </c>
      <c r="G424" s="9">
        <v>8939780</v>
      </c>
      <c r="H424" s="9">
        <v>8238693</v>
      </c>
      <c r="I424" s="9">
        <v>1951441.2</v>
      </c>
      <c r="J424" s="9">
        <v>8959018</v>
      </c>
      <c r="K424" s="9">
        <v>8344063</v>
      </c>
      <c r="L424" s="9">
        <v>1986191.2</v>
      </c>
      <c r="M424" s="9">
        <v>10056493</v>
      </c>
      <c r="N424" s="9">
        <v>8988695</v>
      </c>
      <c r="O424" s="9">
        <v>1949175.2</v>
      </c>
      <c r="P424" s="9">
        <v>229074</v>
      </c>
      <c r="Q424" s="9">
        <v>10128081.632153112</v>
      </c>
      <c r="R424" s="9">
        <v>9004924</v>
      </c>
      <c r="S424" s="9">
        <v>2134684</v>
      </c>
      <c r="T424" s="9">
        <v>0</v>
      </c>
      <c r="U424" s="9">
        <v>9662450.2679999992</v>
      </c>
      <c r="V424" s="9">
        <v>8722672</v>
      </c>
      <c r="W424" s="9">
        <v>2009976</v>
      </c>
      <c r="X424" s="9">
        <v>10791</v>
      </c>
      <c r="Y424" s="9">
        <v>131042</v>
      </c>
      <c r="Z424" s="9">
        <v>9969203</v>
      </c>
      <c r="AA424" s="9">
        <v>9140927</v>
      </c>
      <c r="AB424" s="9">
        <v>2020767</v>
      </c>
      <c r="AC424" s="9">
        <v>10009944</v>
      </c>
      <c r="AD424" s="9">
        <v>9018171</v>
      </c>
      <c r="AE424" s="9">
        <v>2047487</v>
      </c>
      <c r="AF424" s="9">
        <v>9858315</v>
      </c>
      <c r="AG424" s="9">
        <v>8884266</v>
      </c>
      <c r="AH424" s="9">
        <v>2063837</v>
      </c>
      <c r="AI424" s="9">
        <v>10012278</v>
      </c>
      <c r="AJ424" s="9">
        <v>8734661</v>
      </c>
      <c r="AK424" s="28">
        <v>2080187</v>
      </c>
      <c r="AL424" s="9">
        <v>10180996</v>
      </c>
      <c r="AM424" s="9">
        <v>8693872</v>
      </c>
      <c r="AN424" s="28">
        <v>2096487</v>
      </c>
      <c r="AO424" s="9">
        <v>9867056</v>
      </c>
      <c r="AP424" s="9">
        <v>8195699</v>
      </c>
      <c r="AQ424" s="28">
        <v>2130477</v>
      </c>
      <c r="AR424" s="9">
        <v>10216575.999388266</v>
      </c>
      <c r="AS424" s="9">
        <v>8480852</v>
      </c>
      <c r="AT424" s="28">
        <v>2149167</v>
      </c>
      <c r="AU424" s="9">
        <v>9979923.8499999996</v>
      </c>
      <c r="AV424" s="9">
        <v>8211309</v>
      </c>
      <c r="AW424" s="9">
        <v>2166897</v>
      </c>
      <c r="AX424" s="9">
        <v>10322933.41173223</v>
      </c>
      <c r="AY424" s="9">
        <v>8376084</v>
      </c>
      <c r="AZ424" s="28">
        <v>2184147</v>
      </c>
      <c r="BA424" s="9">
        <v>11419229.199999999</v>
      </c>
      <c r="BB424" s="9">
        <v>9275007</v>
      </c>
      <c r="BC424" s="9">
        <v>2184147</v>
      </c>
      <c r="BD424" s="9">
        <v>11917313.979880825</v>
      </c>
      <c r="BE424" s="9">
        <v>9759779</v>
      </c>
      <c r="BF424" s="9">
        <v>2203137</v>
      </c>
      <c r="BG424" s="9">
        <v>13454322.920269083</v>
      </c>
      <c r="BH424" s="9">
        <v>10498402</v>
      </c>
      <c r="BI424" s="9">
        <v>2955921</v>
      </c>
      <c r="BJ424" s="9">
        <v>14522131.980000004</v>
      </c>
      <c r="BK424" s="9">
        <v>11114860</v>
      </c>
      <c r="BL424" s="9">
        <v>3407272</v>
      </c>
      <c r="BM424" s="9"/>
      <c r="BN424" s="9"/>
      <c r="BO424" s="9"/>
      <c r="BP424" s="9"/>
      <c r="BQ424" s="9"/>
      <c r="BR424" s="9"/>
      <c r="BS424" s="9"/>
      <c r="BT424" s="9"/>
      <c r="BU424" s="9"/>
    </row>
    <row r="425" spans="1:73">
      <c r="A425" s="6">
        <v>817</v>
      </c>
      <c r="B425" s="6" t="s">
        <v>1097</v>
      </c>
      <c r="C425" s="421">
        <v>23.21</v>
      </c>
      <c r="D425" s="9">
        <v>5267177</v>
      </c>
      <c r="E425" s="33">
        <v>4108620</v>
      </c>
      <c r="F425" s="9">
        <v>1440224</v>
      </c>
      <c r="G425" s="9">
        <v>5871980</v>
      </c>
      <c r="H425" s="9">
        <v>4830228</v>
      </c>
      <c r="I425" s="9">
        <v>1577696</v>
      </c>
      <c r="J425" s="9">
        <v>6088638</v>
      </c>
      <c r="K425" s="9">
        <v>5073417</v>
      </c>
      <c r="L425" s="9">
        <v>1627614</v>
      </c>
      <c r="M425" s="9">
        <v>6185029</v>
      </c>
      <c r="N425" s="9">
        <v>5030466</v>
      </c>
      <c r="O425" s="9">
        <v>1476268</v>
      </c>
      <c r="P425" s="9">
        <v>173496</v>
      </c>
      <c r="Q425" s="9">
        <v>6597337.6428708136</v>
      </c>
      <c r="R425" s="9">
        <v>5303791</v>
      </c>
      <c r="S425" s="9">
        <v>1616769</v>
      </c>
      <c r="T425" s="9">
        <v>0</v>
      </c>
      <c r="U425" s="9">
        <v>6438150.5279999999</v>
      </c>
      <c r="V425" s="9">
        <v>5257509</v>
      </c>
      <c r="W425" s="9">
        <v>1522317</v>
      </c>
      <c r="X425" s="9">
        <v>8173</v>
      </c>
      <c r="Y425" s="9">
        <v>97479</v>
      </c>
      <c r="Z425" s="9">
        <v>6657128</v>
      </c>
      <c r="AA425" s="9">
        <v>5422037</v>
      </c>
      <c r="AB425" s="9">
        <v>1530490</v>
      </c>
      <c r="AC425" s="9">
        <v>7032311</v>
      </c>
      <c r="AD425" s="9">
        <v>5606831</v>
      </c>
      <c r="AE425" s="9">
        <v>1578772.356525</v>
      </c>
      <c r="AF425" s="9">
        <f>7223671+2406437</f>
        <v>9630108</v>
      </c>
      <c r="AG425" s="9">
        <f>5744390+1758848</f>
        <v>7503238</v>
      </c>
      <c r="AH425" s="9">
        <f>1633572.19536875+736211+279092</f>
        <v>2648875.19536875</v>
      </c>
      <c r="AI425" s="9">
        <v>10537063</v>
      </c>
      <c r="AJ425" s="9">
        <v>8095297</v>
      </c>
      <c r="AK425" s="28">
        <f>2685804.19536875+374740</f>
        <v>3060544.19536875</v>
      </c>
      <c r="AL425" s="9">
        <v>12253746</v>
      </c>
      <c r="AM425" s="9">
        <v>9478745</v>
      </c>
      <c r="AN425" s="28">
        <v>3080269.19536875</v>
      </c>
      <c r="AO425" s="9">
        <v>14380155</v>
      </c>
      <c r="AP425" s="9">
        <v>10925830</v>
      </c>
      <c r="AQ425" s="28">
        <v>3454325</v>
      </c>
      <c r="AR425" s="9">
        <v>16129989.412692271</v>
      </c>
      <c r="AS425" s="9">
        <v>12242834</v>
      </c>
      <c r="AT425" s="28">
        <v>3887155</v>
      </c>
      <c r="AU425" s="9">
        <v>17744843.639999997</v>
      </c>
      <c r="AV425" s="9">
        <v>13488298</v>
      </c>
      <c r="AW425" s="9">
        <v>4256546</v>
      </c>
      <c r="AX425" s="9">
        <v>18580518.657194056</v>
      </c>
      <c r="AY425" s="9">
        <v>13828438</v>
      </c>
      <c r="AZ425" s="28">
        <v>4752081</v>
      </c>
      <c r="BA425" s="9">
        <v>19917637.840199184</v>
      </c>
      <c r="BB425" s="9">
        <v>14966372</v>
      </c>
      <c r="BC425" s="9">
        <v>4972500</v>
      </c>
      <c r="BD425" s="9">
        <v>22210361.840000004</v>
      </c>
      <c r="BE425" s="9">
        <v>16751014</v>
      </c>
      <c r="BF425" s="9">
        <v>5459940</v>
      </c>
      <c r="BG425" s="9">
        <v>24470236.15951059</v>
      </c>
      <c r="BH425" s="9">
        <v>17821075</v>
      </c>
      <c r="BI425" s="9">
        <v>6649161</v>
      </c>
      <c r="BJ425" s="9">
        <v>27035849.729459278</v>
      </c>
      <c r="BK425" s="9">
        <v>19200403</v>
      </c>
      <c r="BL425" s="9">
        <v>7835447</v>
      </c>
      <c r="BM425" s="9"/>
      <c r="BN425" s="9"/>
      <c r="BO425" s="9"/>
      <c r="BP425" s="9"/>
      <c r="BQ425" s="9"/>
      <c r="BR425" s="9"/>
      <c r="BS425" s="9"/>
      <c r="BT425" s="9"/>
      <c r="BU425" s="9"/>
    </row>
    <row r="426" spans="1:73">
      <c r="A426" s="6">
        <v>818</v>
      </c>
      <c r="B426" s="6" t="s">
        <v>1524</v>
      </c>
      <c r="C426" s="421">
        <v>46.39</v>
      </c>
      <c r="D426" s="9">
        <v>5609534</v>
      </c>
      <c r="E426" s="33">
        <v>2938885</v>
      </c>
      <c r="F426" s="9">
        <v>2670649</v>
      </c>
      <c r="G426" s="9">
        <v>6238167</v>
      </c>
      <c r="H426" s="9">
        <v>3104015</v>
      </c>
      <c r="I426" s="9">
        <v>3134152</v>
      </c>
      <c r="J426" s="9">
        <v>6391771</v>
      </c>
      <c r="K426" s="9">
        <v>3127422</v>
      </c>
      <c r="L426" s="9">
        <v>3264349</v>
      </c>
      <c r="M426" s="9">
        <v>6770398</v>
      </c>
      <c r="N426" s="9">
        <v>3246800</v>
      </c>
      <c r="O426" s="9">
        <v>3153041</v>
      </c>
      <c r="P426" s="9">
        <v>370557</v>
      </c>
      <c r="Q426" s="9">
        <v>6937473.1758851679</v>
      </c>
      <c r="R426" s="9">
        <v>3512111</v>
      </c>
      <c r="S426" s="9">
        <v>3453126</v>
      </c>
      <c r="T426" s="9">
        <v>0</v>
      </c>
      <c r="U426" s="9">
        <v>6832233.6720000003</v>
      </c>
      <c r="V426" s="9">
        <v>3565201</v>
      </c>
      <c r="W426" s="9">
        <v>3251395</v>
      </c>
      <c r="X426" s="9">
        <v>17455</v>
      </c>
      <c r="Y426" s="9">
        <v>196151</v>
      </c>
      <c r="Z426" s="9">
        <v>6816703</v>
      </c>
      <c r="AA426" s="9">
        <v>3635743</v>
      </c>
      <c r="AB426" s="9">
        <v>3268850</v>
      </c>
      <c r="AC426" s="9">
        <v>7147655</v>
      </c>
      <c r="AD426" s="9">
        <v>3823257</v>
      </c>
      <c r="AE426" s="9">
        <v>3344405.5191250001</v>
      </c>
      <c r="AF426" s="9">
        <v>7343776</v>
      </c>
      <c r="AG426" s="9">
        <v>3944755</v>
      </c>
      <c r="AH426" s="9">
        <v>3416932.8843999999</v>
      </c>
      <c r="AI426" s="9">
        <v>7425790</v>
      </c>
      <c r="AJ426" s="9">
        <v>4056096</v>
      </c>
      <c r="AK426" s="28">
        <v>3437610.8843999999</v>
      </c>
      <c r="AL426" s="9">
        <v>7597275</v>
      </c>
      <c r="AM426" s="9">
        <v>4196134</v>
      </c>
      <c r="AN426" s="28">
        <v>3449560.8843999999</v>
      </c>
      <c r="AO426" s="9">
        <v>7510077</v>
      </c>
      <c r="AP426" s="9">
        <v>4120671</v>
      </c>
      <c r="AQ426" s="28">
        <v>3475025.8843999999</v>
      </c>
      <c r="AR426" s="9">
        <v>7241932.8547982732</v>
      </c>
      <c r="AS426" s="9">
        <v>3955977</v>
      </c>
      <c r="AT426" s="28">
        <v>3488135.8844003933</v>
      </c>
      <c r="AU426" s="9">
        <v>7536848.149849263</v>
      </c>
      <c r="AV426" s="9">
        <v>4066594</v>
      </c>
      <c r="AW426" s="9">
        <v>3501516</v>
      </c>
      <c r="AX426" s="9">
        <v>8190176.2362149609</v>
      </c>
      <c r="AY426" s="9">
        <v>4215767</v>
      </c>
      <c r="AZ426" s="28">
        <v>3974409</v>
      </c>
      <c r="BA426" s="9">
        <v>8790347.6998241916</v>
      </c>
      <c r="BB426" s="9">
        <v>4547736</v>
      </c>
      <c r="BC426" s="9">
        <v>4242612</v>
      </c>
      <c r="BD426" s="9">
        <v>10081677.069899183</v>
      </c>
      <c r="BE426" s="9">
        <v>5276878</v>
      </c>
      <c r="BF426" s="9">
        <v>4805223</v>
      </c>
      <c r="BG426" s="9">
        <v>10955190.530000001</v>
      </c>
      <c r="BH426" s="9">
        <v>5484326</v>
      </c>
      <c r="BI426" s="9">
        <v>5470865</v>
      </c>
      <c r="BJ426" s="9">
        <v>11960851.490000004</v>
      </c>
      <c r="BK426" s="9">
        <v>6003158</v>
      </c>
      <c r="BL426" s="9">
        <v>5957693</v>
      </c>
      <c r="BM426" s="9"/>
      <c r="BN426" s="9"/>
      <c r="BO426" s="9"/>
      <c r="BP426" s="9"/>
      <c r="BQ426" s="9"/>
      <c r="BR426" s="9"/>
      <c r="BS426" s="9"/>
      <c r="BT426" s="9"/>
      <c r="BU426" s="9"/>
    </row>
    <row r="427" spans="1:73">
      <c r="A427" s="6">
        <v>821</v>
      </c>
      <c r="B427" s="6" t="s">
        <v>1525</v>
      </c>
      <c r="C427" s="421">
        <v>65.06</v>
      </c>
      <c r="D427" s="9">
        <v>14786630</v>
      </c>
      <c r="E427" s="33">
        <v>3199554</v>
      </c>
      <c r="F427" s="9">
        <v>11587076</v>
      </c>
      <c r="G427" s="9">
        <v>17060238</v>
      </c>
      <c r="H427" s="9">
        <v>4544760</v>
      </c>
      <c r="I427" s="9">
        <v>12983299</v>
      </c>
      <c r="J427" s="9">
        <v>18611314</v>
      </c>
      <c r="K427" s="9">
        <v>5287988</v>
      </c>
      <c r="L427" s="9">
        <v>13901536</v>
      </c>
      <c r="M427" s="9">
        <v>19717271</v>
      </c>
      <c r="N427" s="9">
        <v>5629515</v>
      </c>
      <c r="O427" s="9">
        <v>13024771</v>
      </c>
      <c r="P427" s="9">
        <v>1530717</v>
      </c>
      <c r="Q427" s="9">
        <v>20071537.276937805</v>
      </c>
      <c r="R427" s="9">
        <v>5932617</v>
      </c>
      <c r="S427" s="9">
        <v>14264378</v>
      </c>
      <c r="T427" s="9">
        <v>0</v>
      </c>
      <c r="U427" s="9">
        <v>19949613.684</v>
      </c>
      <c r="V427" s="9">
        <v>6306552.870136939</v>
      </c>
      <c r="W427" s="9">
        <v>13431054</v>
      </c>
      <c r="X427" s="9">
        <v>72104</v>
      </c>
      <c r="Y427" s="9">
        <v>796545</v>
      </c>
      <c r="Z427" s="9">
        <v>20383237</v>
      </c>
      <c r="AA427" s="9">
        <v>6467055</v>
      </c>
      <c r="AB427" s="9">
        <v>13916182</v>
      </c>
      <c r="AC427" s="9">
        <v>20957230</v>
      </c>
      <c r="AD427" s="9">
        <v>6715829</v>
      </c>
      <c r="AE427" s="9">
        <v>14241401</v>
      </c>
      <c r="AF427" s="9">
        <v>21919605</v>
      </c>
      <c r="AG427" s="9">
        <v>7123557</v>
      </c>
      <c r="AH427" s="9">
        <v>14796048</v>
      </c>
      <c r="AI427" s="9">
        <v>22550978</v>
      </c>
      <c r="AJ427" s="9">
        <v>7369160</v>
      </c>
      <c r="AK427" s="28">
        <v>15181818</v>
      </c>
      <c r="AL427" s="9">
        <v>23275199</v>
      </c>
      <c r="AM427" s="9">
        <v>7579429</v>
      </c>
      <c r="AN427" s="28">
        <v>15695770</v>
      </c>
      <c r="AO427" s="9">
        <v>23332972</v>
      </c>
      <c r="AP427" s="9">
        <v>7431313</v>
      </c>
      <c r="AQ427" s="28">
        <v>15901659</v>
      </c>
      <c r="AR427" s="9">
        <v>23441355.209892597</v>
      </c>
      <c r="AS427" s="9">
        <v>7581869</v>
      </c>
      <c r="AT427" s="28">
        <v>15945069</v>
      </c>
      <c r="AU427" s="9">
        <v>24261247.829999998</v>
      </c>
      <c r="AV427" s="9">
        <v>7936940</v>
      </c>
      <c r="AW427" s="9">
        <v>16324308</v>
      </c>
      <c r="AX427" s="9">
        <v>25634449.811339363</v>
      </c>
      <c r="AY427" s="9">
        <v>8117565</v>
      </c>
      <c r="AZ427" s="28">
        <v>17516885</v>
      </c>
      <c r="BA427" s="9">
        <v>26716946.030000001</v>
      </c>
      <c r="BB427" s="9">
        <v>8563722</v>
      </c>
      <c r="BC427" s="9">
        <v>18196847</v>
      </c>
      <c r="BD427" s="9">
        <v>28548221.689714517</v>
      </c>
      <c r="BE427" s="9">
        <v>8806953</v>
      </c>
      <c r="BF427" s="9">
        <v>19741656</v>
      </c>
      <c r="BG427" s="9">
        <v>29219681.09</v>
      </c>
      <c r="BH427" s="9">
        <v>8541329</v>
      </c>
      <c r="BI427" s="9">
        <v>20678352</v>
      </c>
      <c r="BJ427" s="9">
        <v>30840956.849999994</v>
      </c>
      <c r="BK427" s="9">
        <v>8881164</v>
      </c>
      <c r="BL427" s="9">
        <v>21959793</v>
      </c>
      <c r="BM427" s="9"/>
      <c r="BN427" s="9"/>
      <c r="BO427" s="9"/>
      <c r="BP427" s="9"/>
      <c r="BQ427" s="9"/>
      <c r="BR427" s="9"/>
      <c r="BS427" s="9"/>
      <c r="BT427" s="9"/>
      <c r="BU427" s="9"/>
    </row>
    <row r="428" spans="1:73">
      <c r="A428" s="6">
        <v>823</v>
      </c>
      <c r="B428" s="6" t="s">
        <v>1526</v>
      </c>
      <c r="C428" s="421">
        <v>73.23</v>
      </c>
      <c r="D428" s="9">
        <v>20801927</v>
      </c>
      <c r="E428" s="33">
        <v>3447460</v>
      </c>
      <c r="F428" s="9">
        <v>17354467</v>
      </c>
      <c r="G428" s="9">
        <v>23397863</v>
      </c>
      <c r="H428" s="9">
        <v>2950685</v>
      </c>
      <c r="I428" s="9">
        <v>20447178</v>
      </c>
      <c r="J428" s="9">
        <v>24270329</v>
      </c>
      <c r="K428" s="9">
        <v>2925720</v>
      </c>
      <c r="L428" s="9">
        <v>21344609</v>
      </c>
      <c r="M428" s="9">
        <v>22243985</v>
      </c>
      <c r="N428" s="9">
        <v>2764043</v>
      </c>
      <c r="O428" s="9">
        <v>19164616</v>
      </c>
      <c r="P428" s="9">
        <v>2252293</v>
      </c>
      <c r="Q428" s="9">
        <v>21086064.186794262</v>
      </c>
      <c r="R428" s="9">
        <v>2952089</v>
      </c>
      <c r="S428" s="9">
        <v>20988571</v>
      </c>
      <c r="T428" s="9">
        <v>0</v>
      </c>
      <c r="U428" s="9">
        <v>21516841.079999998</v>
      </c>
      <c r="V428" s="9">
        <v>3448145</v>
      </c>
      <c r="W428" s="9">
        <v>19762420</v>
      </c>
      <c r="X428" s="9">
        <v>106093</v>
      </c>
      <c r="Y428" s="9">
        <v>1154758</v>
      </c>
      <c r="Z428" s="9">
        <v>22406284</v>
      </c>
      <c r="AA428" s="9">
        <v>3637418</v>
      </c>
      <c r="AB428" s="9">
        <v>19868513</v>
      </c>
      <c r="AC428" s="9">
        <v>23647271</v>
      </c>
      <c r="AD428" s="9">
        <v>3930189</v>
      </c>
      <c r="AE428" s="9">
        <v>19925633</v>
      </c>
      <c r="AF428" s="9">
        <v>24165774</v>
      </c>
      <c r="AG428" s="9">
        <v>3918941</v>
      </c>
      <c r="AH428" s="9">
        <v>20246833</v>
      </c>
      <c r="AI428" s="9">
        <v>25639135</v>
      </c>
      <c r="AJ428" s="9">
        <v>4446591</v>
      </c>
      <c r="AK428" s="28">
        <v>21192544</v>
      </c>
      <c r="AL428" s="9">
        <v>25953903</v>
      </c>
      <c r="AM428" s="9">
        <v>4514175</v>
      </c>
      <c r="AN428" s="28">
        <v>21439728</v>
      </c>
      <c r="AO428" s="9">
        <v>27130809</v>
      </c>
      <c r="AP428" s="9">
        <v>4613664</v>
      </c>
      <c r="AQ428" s="28">
        <v>22517145</v>
      </c>
      <c r="AR428" s="9">
        <v>28198339.274539281</v>
      </c>
      <c r="AS428" s="9">
        <v>4675584</v>
      </c>
      <c r="AT428" s="28">
        <v>23522755</v>
      </c>
      <c r="AU428" s="9">
        <v>29226821.741229992</v>
      </c>
      <c r="AV428" s="9">
        <v>4527429</v>
      </c>
      <c r="AW428" s="9">
        <v>24699393</v>
      </c>
      <c r="AX428" s="9">
        <v>31698687.99088544</v>
      </c>
      <c r="AY428" s="9">
        <v>4601974</v>
      </c>
      <c r="AZ428" s="28">
        <v>27096714</v>
      </c>
      <c r="BA428" s="9">
        <v>32861439.491759997</v>
      </c>
      <c r="BB428" s="9">
        <v>4907043</v>
      </c>
      <c r="BC428" s="9">
        <v>27954396</v>
      </c>
      <c r="BD428" s="9">
        <v>35868845.641520008</v>
      </c>
      <c r="BE428" s="9">
        <v>5883228</v>
      </c>
      <c r="BF428" s="9">
        <v>29985618</v>
      </c>
      <c r="BG428" s="9">
        <v>39053522.538119987</v>
      </c>
      <c r="BH428" s="9">
        <v>6645884</v>
      </c>
      <c r="BI428" s="9">
        <v>32407639</v>
      </c>
      <c r="BJ428" s="9">
        <v>43068009.264110669</v>
      </c>
      <c r="BK428" s="9">
        <v>7518634</v>
      </c>
      <c r="BL428" s="9">
        <v>35549375</v>
      </c>
      <c r="BM428" s="9"/>
      <c r="BN428" s="9"/>
      <c r="BO428" s="9"/>
      <c r="BP428" s="9"/>
      <c r="BQ428" s="9"/>
      <c r="BR428" s="9"/>
      <c r="BS428" s="9"/>
      <c r="BT428" s="9"/>
      <c r="BU428" s="9"/>
    </row>
    <row r="429" spans="1:73">
      <c r="A429" s="6">
        <v>825</v>
      </c>
      <c r="B429" s="6" t="s">
        <v>1527</v>
      </c>
      <c r="C429" s="421">
        <v>65.989999999999995</v>
      </c>
      <c r="D429" s="9">
        <v>22363849</v>
      </c>
      <c r="E429" s="33">
        <v>4239109</v>
      </c>
      <c r="F429" s="9">
        <v>18124740</v>
      </c>
      <c r="G429" s="9">
        <v>25632190</v>
      </c>
      <c r="H429" s="9">
        <v>5757999</v>
      </c>
      <c r="I429" s="9">
        <v>20279884</v>
      </c>
      <c r="J429" s="9">
        <v>27124010</v>
      </c>
      <c r="K429" s="9">
        <v>6752296</v>
      </c>
      <c r="L429" s="9">
        <v>21235693</v>
      </c>
      <c r="M429" s="9">
        <v>28611071</v>
      </c>
      <c r="N429" s="9">
        <v>7172648</v>
      </c>
      <c r="O429" s="9">
        <v>19857283</v>
      </c>
      <c r="P429" s="9">
        <v>2333698</v>
      </c>
      <c r="Q429" s="9">
        <v>30517951.37531101</v>
      </c>
      <c r="R429" s="9">
        <v>7763883</v>
      </c>
      <c r="S429" s="9">
        <v>21747161</v>
      </c>
      <c r="T429" s="9">
        <v>1006907</v>
      </c>
      <c r="U429" s="9">
        <v>30298830.222000003</v>
      </c>
      <c r="V429" s="9">
        <v>8132720</v>
      </c>
      <c r="W429" s="9">
        <v>21740799</v>
      </c>
      <c r="X429" s="9">
        <v>116714</v>
      </c>
      <c r="Y429" s="9">
        <v>949205</v>
      </c>
      <c r="Z429" s="9">
        <v>31299153</v>
      </c>
      <c r="AA429" s="9">
        <v>8624602</v>
      </c>
      <c r="AB429" s="9">
        <v>22674551</v>
      </c>
      <c r="AC429" s="9">
        <v>32530714</v>
      </c>
      <c r="AD429" s="9">
        <v>8972206</v>
      </c>
      <c r="AE429" s="9">
        <v>23558508</v>
      </c>
      <c r="AF429" s="9">
        <v>33301712</v>
      </c>
      <c r="AG429" s="9">
        <v>9217036</v>
      </c>
      <c r="AH429" s="9">
        <v>24084676</v>
      </c>
      <c r="AI429" s="9">
        <v>33725633</v>
      </c>
      <c r="AJ429" s="9">
        <v>9588800</v>
      </c>
      <c r="AK429" s="28">
        <v>24138401</v>
      </c>
      <c r="AL429" s="9">
        <v>34323634</v>
      </c>
      <c r="AM429" s="9">
        <v>9854302</v>
      </c>
      <c r="AN429" s="28">
        <v>24469332</v>
      </c>
      <c r="AO429" s="9">
        <v>34911179</v>
      </c>
      <c r="AP429" s="9">
        <v>10102835</v>
      </c>
      <c r="AQ429" s="28">
        <v>24808344</v>
      </c>
      <c r="AR429" s="9">
        <v>35334771.991298027</v>
      </c>
      <c r="AS429" s="9">
        <v>10506130</v>
      </c>
      <c r="AT429" s="28">
        <v>24873053.999999352</v>
      </c>
      <c r="AU429" s="9">
        <v>36428065.790000007</v>
      </c>
      <c r="AV429" s="9">
        <v>10914841</v>
      </c>
      <c r="AW429" s="9">
        <v>25513225</v>
      </c>
      <c r="AX429" s="9">
        <v>38180025.886437774</v>
      </c>
      <c r="AY429" s="9">
        <v>11239871</v>
      </c>
      <c r="AZ429" s="28">
        <v>26940155</v>
      </c>
      <c r="BA429" s="9">
        <v>38691322.399999999</v>
      </c>
      <c r="BB429" s="9">
        <v>11380986</v>
      </c>
      <c r="BC429" s="9">
        <v>27384112</v>
      </c>
      <c r="BD429" s="9">
        <v>41130342.100000001</v>
      </c>
      <c r="BE429" s="9">
        <v>12175349</v>
      </c>
      <c r="BF429" s="9">
        <v>28956006</v>
      </c>
      <c r="BG429" s="9">
        <v>43594626.830435947</v>
      </c>
      <c r="BH429" s="9">
        <v>12514815</v>
      </c>
      <c r="BI429" s="9">
        <v>31079812</v>
      </c>
      <c r="BJ429" s="9">
        <v>46465556.500000007</v>
      </c>
      <c r="BK429" s="9">
        <v>12909410</v>
      </c>
      <c r="BL429" s="9">
        <v>33556147</v>
      </c>
      <c r="BM429" s="9"/>
      <c r="BN429" s="9"/>
      <c r="BO429" s="9"/>
      <c r="BP429" s="9"/>
      <c r="BQ429" s="9"/>
      <c r="BR429" s="9"/>
      <c r="BS429" s="9"/>
      <c r="BT429" s="9"/>
      <c r="BU429" s="9"/>
    </row>
    <row r="430" spans="1:73">
      <c r="A430" s="6">
        <v>828</v>
      </c>
      <c r="B430" s="6" t="s">
        <v>1528</v>
      </c>
      <c r="C430" s="421">
        <v>65.92</v>
      </c>
      <c r="D430" s="9">
        <v>24208574</v>
      </c>
      <c r="E430" s="33">
        <v>6905055</v>
      </c>
      <c r="F430" s="9">
        <v>17303519</v>
      </c>
      <c r="G430" s="9">
        <v>27036778</v>
      </c>
      <c r="H430" s="9">
        <v>7606125</v>
      </c>
      <c r="I430" s="9">
        <v>19430653</v>
      </c>
      <c r="J430" s="9">
        <v>27800682</v>
      </c>
      <c r="K430" s="9">
        <v>7909037</v>
      </c>
      <c r="L430" s="9">
        <v>19937045</v>
      </c>
      <c r="M430" s="9">
        <v>29465237</v>
      </c>
      <c r="N430" s="9">
        <v>8510997</v>
      </c>
      <c r="O430" s="9">
        <v>18820473</v>
      </c>
      <c r="P430" s="9">
        <v>2211849</v>
      </c>
      <c r="Q430" s="9">
        <v>29630457.502009567</v>
      </c>
      <c r="R430" s="9">
        <v>8466385</v>
      </c>
      <c r="S430" s="9">
        <v>20611676</v>
      </c>
      <c r="T430" s="9">
        <v>552397</v>
      </c>
      <c r="U430" s="9">
        <v>30423897.84</v>
      </c>
      <c r="V430" s="9">
        <v>9232155</v>
      </c>
      <c r="W430" s="9">
        <v>20785128</v>
      </c>
      <c r="X430" s="9">
        <v>111584</v>
      </c>
      <c r="Y430" s="9">
        <v>319986</v>
      </c>
      <c r="Z430" s="9">
        <v>31597336</v>
      </c>
      <c r="AA430" s="9">
        <v>9860549</v>
      </c>
      <c r="AB430" s="9">
        <v>21736787</v>
      </c>
      <c r="AC430" s="9">
        <v>33772319</v>
      </c>
      <c r="AD430" s="9">
        <v>10353219</v>
      </c>
      <c r="AE430" s="9">
        <v>23419100</v>
      </c>
      <c r="AF430" s="9">
        <v>34324570</v>
      </c>
      <c r="AG430" s="9">
        <v>10693693</v>
      </c>
      <c r="AH430" s="9">
        <v>23630877</v>
      </c>
      <c r="AI430" s="9">
        <v>34545660</v>
      </c>
      <c r="AJ430" s="9">
        <v>10980189</v>
      </c>
      <c r="AK430" s="28">
        <v>23685627</v>
      </c>
      <c r="AL430" s="9">
        <v>34992565</v>
      </c>
      <c r="AM430" s="9">
        <v>11434404</v>
      </c>
      <c r="AN430" s="28">
        <v>23740502</v>
      </c>
      <c r="AO430" s="9">
        <v>35531900</v>
      </c>
      <c r="AP430" s="9">
        <v>11891870</v>
      </c>
      <c r="AQ430" s="28">
        <v>23860787</v>
      </c>
      <c r="AR430" s="9">
        <v>37509502.791465104</v>
      </c>
      <c r="AS430" s="9">
        <v>12482002</v>
      </c>
      <c r="AT430" s="28">
        <v>25027501</v>
      </c>
      <c r="AU430" s="9">
        <v>40339926.969999999</v>
      </c>
      <c r="AV430" s="9">
        <v>13264027</v>
      </c>
      <c r="AW430" s="9">
        <v>27075900</v>
      </c>
      <c r="AX430" s="9">
        <v>42372428.797708727</v>
      </c>
      <c r="AY430" s="9">
        <v>13540919</v>
      </c>
      <c r="AZ430" s="28">
        <v>28831510</v>
      </c>
      <c r="BA430" s="9">
        <v>43544496.41956456</v>
      </c>
      <c r="BB430" s="9">
        <v>14050785</v>
      </c>
      <c r="BC430" s="9">
        <v>29582555</v>
      </c>
      <c r="BD430" s="9">
        <v>46396730.020000003</v>
      </c>
      <c r="BE430" s="9">
        <v>14488947</v>
      </c>
      <c r="BF430" s="9">
        <v>31907783</v>
      </c>
      <c r="BG430" s="9">
        <v>49349500.229999997</v>
      </c>
      <c r="BH430" s="9">
        <v>14778865</v>
      </c>
      <c r="BI430" s="9">
        <v>34570635</v>
      </c>
      <c r="BJ430" s="9">
        <v>52221931.380522214</v>
      </c>
      <c r="BK430" s="9">
        <v>14996648</v>
      </c>
      <c r="BL430" s="9">
        <v>37225283</v>
      </c>
      <c r="BM430" s="9"/>
      <c r="BN430" s="9"/>
      <c r="BO430" s="9"/>
      <c r="BP430" s="9"/>
      <c r="BQ430" s="9"/>
      <c r="BR430" s="9"/>
      <c r="BS430" s="9"/>
      <c r="BT430" s="9"/>
      <c r="BU430" s="9"/>
    </row>
    <row r="431" spans="1:73">
      <c r="A431" s="6">
        <v>829</v>
      </c>
      <c r="B431" s="6" t="s">
        <v>1529</v>
      </c>
      <c r="C431" s="421">
        <v>41.92</v>
      </c>
      <c r="D431" s="9">
        <v>8446819</v>
      </c>
      <c r="E431" s="33">
        <v>8588762</v>
      </c>
      <c r="F431" s="9">
        <v>2167094</v>
      </c>
      <c r="G431" s="9">
        <v>9208715</v>
      </c>
      <c r="H431" s="9">
        <v>8268805</v>
      </c>
      <c r="I431" s="9">
        <v>2366025</v>
      </c>
      <c r="J431" s="9">
        <v>9654723</v>
      </c>
      <c r="K431" s="9">
        <v>8165281</v>
      </c>
      <c r="L431" s="9">
        <v>2493762</v>
      </c>
      <c r="M431" s="9">
        <v>9715858</v>
      </c>
      <c r="N431" s="9">
        <v>7715501</v>
      </c>
      <c r="O431" s="9">
        <v>2327422</v>
      </c>
      <c r="P431" s="9">
        <v>273527</v>
      </c>
      <c r="Q431" s="9">
        <v>9614405.0465071779</v>
      </c>
      <c r="R431" s="9">
        <v>7341351</v>
      </c>
      <c r="S431" s="9">
        <v>2548930</v>
      </c>
      <c r="T431" s="9">
        <v>0</v>
      </c>
      <c r="U431" s="9">
        <v>9792459.7200000007</v>
      </c>
      <c r="V431" s="9">
        <v>7492557</v>
      </c>
      <c r="W431" s="9">
        <v>2400022</v>
      </c>
      <c r="X431" s="9">
        <v>12884</v>
      </c>
      <c r="Y431" s="9">
        <v>152274</v>
      </c>
      <c r="Z431" s="9">
        <v>10544997</v>
      </c>
      <c r="AA431" s="9">
        <v>7892246</v>
      </c>
      <c r="AB431" s="9">
        <v>2652751</v>
      </c>
      <c r="AC431" s="9">
        <v>10989581</v>
      </c>
      <c r="AD431" s="9">
        <v>7883290</v>
      </c>
      <c r="AE431" s="9">
        <v>3269602.165025</v>
      </c>
      <c r="AF431" s="9">
        <v>11813873</v>
      </c>
      <c r="AG431" s="9">
        <v>8259858</v>
      </c>
      <c r="AH431" s="9">
        <v>3686820.5708499998</v>
      </c>
      <c r="AI431" s="9">
        <v>11573926</v>
      </c>
      <c r="AJ431" s="9">
        <v>7868569</v>
      </c>
      <c r="AK431" s="28">
        <v>3818290.5708499998</v>
      </c>
      <c r="AL431" s="9">
        <v>11914131</v>
      </c>
      <c r="AM431" s="9">
        <v>7823272</v>
      </c>
      <c r="AN431" s="28">
        <v>4090859</v>
      </c>
      <c r="AO431" s="9">
        <v>11942604</v>
      </c>
      <c r="AP431" s="9">
        <v>7592237</v>
      </c>
      <c r="AQ431" s="28">
        <v>4386161</v>
      </c>
      <c r="AR431" s="9">
        <v>12170547.123704944</v>
      </c>
      <c r="AS431" s="9">
        <v>7850604</v>
      </c>
      <c r="AT431" s="28">
        <v>4407641.0000002151</v>
      </c>
      <c r="AU431" s="9">
        <v>12903118.393199999</v>
      </c>
      <c r="AV431" s="9">
        <v>8092298</v>
      </c>
      <c r="AW431" s="9">
        <v>4810820</v>
      </c>
      <c r="AX431" s="9">
        <v>13895820.049220048</v>
      </c>
      <c r="AY431" s="9">
        <v>8568391</v>
      </c>
      <c r="AZ431" s="28">
        <v>5327429</v>
      </c>
      <c r="BA431" s="9">
        <v>15367478.658029996</v>
      </c>
      <c r="BB431" s="9">
        <v>9170454</v>
      </c>
      <c r="BC431" s="9">
        <v>6197025</v>
      </c>
      <c r="BD431" s="9">
        <v>16551959.786334479</v>
      </c>
      <c r="BE431" s="9">
        <v>10013400</v>
      </c>
      <c r="BF431" s="9">
        <v>6548952</v>
      </c>
      <c r="BG431" s="9">
        <v>18188255.970868111</v>
      </c>
      <c r="BH431" s="9">
        <v>10266168</v>
      </c>
      <c r="BI431" s="9">
        <v>7922088</v>
      </c>
      <c r="BJ431" s="9">
        <v>19205858.345507938</v>
      </c>
      <c r="BK431" s="9">
        <v>10232414</v>
      </c>
      <c r="BL431" s="9">
        <v>8973444</v>
      </c>
      <c r="BM431" s="9"/>
      <c r="BN431" s="9"/>
      <c r="BO431" s="9"/>
      <c r="BP431" s="9"/>
      <c r="BQ431" s="9"/>
      <c r="BR431" s="9"/>
      <c r="BS431" s="9"/>
      <c r="BT431" s="9"/>
      <c r="BU431" s="9"/>
    </row>
    <row r="432" spans="1:73">
      <c r="A432" s="6">
        <v>830</v>
      </c>
      <c r="B432" s="6" t="s">
        <v>1530</v>
      </c>
      <c r="C432" s="421">
        <v>18.899999999999999</v>
      </c>
      <c r="D432" s="9">
        <v>6066584</v>
      </c>
      <c r="E432" s="33">
        <v>5495202</v>
      </c>
      <c r="F432" s="9">
        <v>2078300.4</v>
      </c>
      <c r="G432" s="9">
        <v>6914249</v>
      </c>
      <c r="H432" s="9">
        <v>6039013</v>
      </c>
      <c r="I432" s="9">
        <v>2248003.4</v>
      </c>
      <c r="J432" s="9">
        <v>6679422</v>
      </c>
      <c r="K432" s="9">
        <v>5830500</v>
      </c>
      <c r="L432" s="9">
        <v>2272053.4</v>
      </c>
      <c r="M432" s="9">
        <v>6716739</v>
      </c>
      <c r="N432" s="9">
        <v>5664903</v>
      </c>
      <c r="O432" s="9">
        <v>2053740.4</v>
      </c>
      <c r="P432" s="9">
        <v>241363</v>
      </c>
      <c r="Q432" s="9">
        <v>6448437.4476555018</v>
      </c>
      <c r="R432" s="9">
        <v>5389510</v>
      </c>
      <c r="S432" s="9">
        <v>2249201</v>
      </c>
      <c r="T432" s="9">
        <v>0</v>
      </c>
      <c r="U432" s="9">
        <v>6278768.8019999992</v>
      </c>
      <c r="V432" s="9">
        <v>5380998</v>
      </c>
      <c r="W432" s="9">
        <v>2117803</v>
      </c>
      <c r="X432" s="9">
        <v>11369</v>
      </c>
      <c r="Y432" s="9">
        <v>130554</v>
      </c>
      <c r="Z432" s="9">
        <v>6529848</v>
      </c>
      <c r="AA432" s="9">
        <v>5563357</v>
      </c>
      <c r="AB432" s="9">
        <v>2129172</v>
      </c>
      <c r="AC432" s="9">
        <v>6720937</v>
      </c>
      <c r="AD432" s="9">
        <v>5635287</v>
      </c>
      <c r="AE432" s="9">
        <v>2146052</v>
      </c>
      <c r="AF432" s="9">
        <v>6466600</v>
      </c>
      <c r="AG432" s="9">
        <v>5367418</v>
      </c>
      <c r="AH432" s="9">
        <v>2155902</v>
      </c>
      <c r="AI432" s="9">
        <v>7154168</v>
      </c>
      <c r="AJ432" s="9">
        <v>5853666</v>
      </c>
      <c r="AK432" s="28">
        <v>2166677</v>
      </c>
      <c r="AL432" s="9">
        <v>7012158</v>
      </c>
      <c r="AM432" s="9">
        <v>5684556</v>
      </c>
      <c r="AN432" s="28">
        <v>2177027</v>
      </c>
      <c r="AO432" s="9">
        <v>6744963</v>
      </c>
      <c r="AP432" s="9">
        <v>5436063</v>
      </c>
      <c r="AQ432" s="28">
        <f>2198257-133774</f>
        <v>2064483</v>
      </c>
      <c r="AR432" s="9">
        <v>6331977.4709823718</v>
      </c>
      <c r="AS432" s="9">
        <v>5038148</v>
      </c>
      <c r="AT432" s="28">
        <v>2074863</v>
      </c>
      <c r="AU432" s="9">
        <v>6123549.9733787654</v>
      </c>
      <c r="AV432" s="9">
        <v>4836180</v>
      </c>
      <c r="AW432" s="9">
        <v>2085122.9999998973</v>
      </c>
      <c r="AX432" s="9">
        <v>6695949.827739303</v>
      </c>
      <c r="AY432" s="9">
        <v>5244391</v>
      </c>
      <c r="AZ432" s="424">
        <v>1977748</v>
      </c>
      <c r="BA432" s="9">
        <v>7604263.0698360428</v>
      </c>
      <c r="BB432" s="9">
        <v>5992288</v>
      </c>
      <c r="BC432" s="9">
        <v>1977748</v>
      </c>
      <c r="BD432" s="9">
        <v>9892046.4984500017</v>
      </c>
      <c r="BE432" s="9">
        <v>7861244</v>
      </c>
      <c r="BF432" s="9">
        <v>2031339</v>
      </c>
      <c r="BG432" s="9">
        <v>10873494.496371264</v>
      </c>
      <c r="BH432" s="9">
        <v>8487544</v>
      </c>
      <c r="BI432" s="9">
        <v>2385950</v>
      </c>
      <c r="BJ432" s="9">
        <v>12893971.225288942</v>
      </c>
      <c r="BK432" s="9">
        <v>9915208</v>
      </c>
      <c r="BL432" s="9">
        <v>2978763</v>
      </c>
      <c r="BM432" s="9"/>
      <c r="BN432" s="9"/>
      <c r="BO432" s="9"/>
      <c r="BP432" s="9"/>
      <c r="BQ432" s="9"/>
      <c r="BR432" s="9"/>
      <c r="BS432" s="9"/>
      <c r="BT432" s="9"/>
      <c r="BU432" s="9"/>
    </row>
    <row r="433" spans="1:73">
      <c r="A433" s="6">
        <v>832</v>
      </c>
      <c r="B433" s="6" t="s">
        <v>1531</v>
      </c>
      <c r="C433" s="421">
        <v>56.65</v>
      </c>
      <c r="D433" s="9">
        <v>13742072</v>
      </c>
      <c r="E433" s="33">
        <v>4888977</v>
      </c>
      <c r="F433" s="9">
        <v>8853095</v>
      </c>
      <c r="G433" s="9">
        <v>15840334</v>
      </c>
      <c r="H433" s="9">
        <v>5296832</v>
      </c>
      <c r="I433" s="9">
        <v>10543502</v>
      </c>
      <c r="J433" s="9">
        <v>17251828</v>
      </c>
      <c r="K433" s="9">
        <v>5727859</v>
      </c>
      <c r="L433" s="9">
        <v>11523969</v>
      </c>
      <c r="M433" s="9">
        <v>18210278</v>
      </c>
      <c r="N433" s="9">
        <v>5909892</v>
      </c>
      <c r="O433" s="9">
        <v>11006825</v>
      </c>
      <c r="P433" s="9">
        <v>1293561</v>
      </c>
      <c r="Q433" s="9">
        <v>19239467.091291867</v>
      </c>
      <c r="R433" s="9">
        <v>6487260</v>
      </c>
      <c r="S433" s="9">
        <v>12054378</v>
      </c>
      <c r="T433" s="9">
        <v>697829</v>
      </c>
      <c r="U433" s="9">
        <v>19087950.695999995</v>
      </c>
      <c r="V433" s="9">
        <v>6671879</v>
      </c>
      <c r="W433" s="9">
        <v>12177840</v>
      </c>
      <c r="X433" s="9">
        <v>65376</v>
      </c>
      <c r="Y433" s="9">
        <v>543116</v>
      </c>
      <c r="Z433" s="9">
        <v>19926696</v>
      </c>
      <c r="AA433" s="9">
        <v>7025474</v>
      </c>
      <c r="AB433" s="9">
        <v>12901222</v>
      </c>
      <c r="AC433" s="9">
        <v>21362521</v>
      </c>
      <c r="AD433" s="9">
        <v>7634846</v>
      </c>
      <c r="AE433" s="9">
        <v>13727675</v>
      </c>
      <c r="AF433" s="9">
        <v>21644238</v>
      </c>
      <c r="AG433" s="9">
        <v>8117570</v>
      </c>
      <c r="AH433" s="9">
        <v>13764000</v>
      </c>
      <c r="AI433" s="9">
        <v>22098279</v>
      </c>
      <c r="AJ433" s="9">
        <v>8502935</v>
      </c>
      <c r="AK433" s="28">
        <v>13800675</v>
      </c>
      <c r="AL433" s="9">
        <v>22705864</v>
      </c>
      <c r="AM433" s="9">
        <v>8952868</v>
      </c>
      <c r="AN433" s="28">
        <v>13837825</v>
      </c>
      <c r="AO433" s="9">
        <v>22983366</v>
      </c>
      <c r="AP433" s="9">
        <v>9077316</v>
      </c>
      <c r="AQ433" s="28">
        <v>13920325</v>
      </c>
      <c r="AR433" s="9">
        <v>23339671.662662312</v>
      </c>
      <c r="AS433" s="9">
        <v>9194861</v>
      </c>
      <c r="AT433" s="28">
        <v>14144811</v>
      </c>
      <c r="AU433" s="9">
        <v>24114937.890482295</v>
      </c>
      <c r="AV433" s="9">
        <v>9381190</v>
      </c>
      <c r="AW433" s="9">
        <v>14733748</v>
      </c>
      <c r="AX433" s="9">
        <v>25030257.115778331</v>
      </c>
      <c r="AY433" s="9">
        <v>9604460</v>
      </c>
      <c r="AZ433" s="28">
        <v>15425797</v>
      </c>
      <c r="BA433" s="9">
        <v>25382631.02025383</v>
      </c>
      <c r="BB433" s="9">
        <v>9937436</v>
      </c>
      <c r="BC433" s="9">
        <v>15445809</v>
      </c>
      <c r="BD433" s="9">
        <v>25893443.339741066</v>
      </c>
      <c r="BE433" s="9">
        <v>10458906</v>
      </c>
      <c r="BF433" s="9">
        <v>15489639</v>
      </c>
      <c r="BG433" s="9">
        <v>27936175.670000002</v>
      </c>
      <c r="BH433" s="9">
        <v>10715954</v>
      </c>
      <c r="BI433" s="9">
        <v>17220222</v>
      </c>
      <c r="BJ433" s="9">
        <v>29486021.359115418</v>
      </c>
      <c r="BK433" s="9">
        <v>11167317</v>
      </c>
      <c r="BL433" s="9">
        <v>18318704</v>
      </c>
      <c r="BM433" s="9"/>
      <c r="BN433" s="9"/>
      <c r="BO433" s="9"/>
      <c r="BP433" s="9"/>
      <c r="BQ433" s="9"/>
      <c r="BR433" s="9"/>
      <c r="BS433" s="9"/>
      <c r="BT433" s="9"/>
      <c r="BU433" s="9"/>
    </row>
    <row r="434" spans="1:73">
      <c r="A434" s="6">
        <v>851</v>
      </c>
      <c r="B434" s="6" t="s">
        <v>1532</v>
      </c>
      <c r="C434" s="421">
        <v>61.1</v>
      </c>
      <c r="D434" s="9">
        <v>4866072</v>
      </c>
      <c r="E434" s="33">
        <v>1480368</v>
      </c>
      <c r="F434" s="9">
        <v>3385704</v>
      </c>
      <c r="G434" s="9">
        <v>5410246</v>
      </c>
      <c r="H434" s="9">
        <v>1532260</v>
      </c>
      <c r="I434" s="9">
        <v>3877986</v>
      </c>
      <c r="J434" s="9">
        <v>5840580</v>
      </c>
      <c r="K434" s="9">
        <v>1651415</v>
      </c>
      <c r="L434" s="9">
        <v>4189165</v>
      </c>
      <c r="M434" s="9">
        <v>6022166</v>
      </c>
      <c r="N434" s="9">
        <v>1628309</v>
      </c>
      <c r="O434" s="9">
        <v>3931780</v>
      </c>
      <c r="P434" s="9">
        <v>462077</v>
      </c>
      <c r="Q434" s="9">
        <v>6405552.1010526326</v>
      </c>
      <c r="R434" s="9">
        <v>1973265</v>
      </c>
      <c r="S434" s="9">
        <v>4305980</v>
      </c>
      <c r="T434" s="9">
        <v>126307</v>
      </c>
      <c r="U434" s="9">
        <v>6194470.0919999992</v>
      </c>
      <c r="V434" s="9">
        <v>1959117</v>
      </c>
      <c r="W434" s="9">
        <v>4173354</v>
      </c>
      <c r="X434" s="9">
        <v>22404</v>
      </c>
      <c r="Y434" s="9">
        <v>247404</v>
      </c>
      <c r="Z434" s="9">
        <v>6032835</v>
      </c>
      <c r="AA434" s="9">
        <v>2076564</v>
      </c>
      <c r="AB434" s="9">
        <v>4195758</v>
      </c>
      <c r="AC434" s="9">
        <f>5901249+265615+518532</f>
        <v>6685396</v>
      </c>
      <c r="AD434" s="9">
        <v>2057940</v>
      </c>
      <c r="AE434" s="9">
        <f>4211358+97719+296789</f>
        <v>4605866</v>
      </c>
      <c r="AF434" s="9">
        <v>7074072</v>
      </c>
      <c r="AG434" s="9">
        <v>2680139</v>
      </c>
      <c r="AH434" s="9">
        <v>4617441</v>
      </c>
      <c r="AI434" s="9">
        <v>7193835</v>
      </c>
      <c r="AJ434" s="9">
        <v>2748884</v>
      </c>
      <c r="AK434" s="28">
        <v>4629241</v>
      </c>
      <c r="AL434" s="9">
        <v>7377904</v>
      </c>
      <c r="AM434" s="9">
        <v>2797399</v>
      </c>
      <c r="AN434" s="28">
        <v>4641116</v>
      </c>
      <c r="AO434" s="9">
        <v>7221555</v>
      </c>
      <c r="AP434" s="9">
        <v>2766472</v>
      </c>
      <c r="AQ434" s="28">
        <v>4666196</v>
      </c>
      <c r="AR434" s="9">
        <v>7333874.6106536184</v>
      </c>
      <c r="AS434" s="9">
        <v>2825783</v>
      </c>
      <c r="AT434" s="28">
        <v>4679876</v>
      </c>
      <c r="AU434" s="9">
        <v>7476126.9300747626</v>
      </c>
      <c r="AV434" s="9">
        <v>2937807</v>
      </c>
      <c r="AW434" s="9">
        <v>4693196.0000001332</v>
      </c>
      <c r="AX434" s="9">
        <v>7897883.8046400165</v>
      </c>
      <c r="AY434" s="9">
        <v>3067978</v>
      </c>
      <c r="AZ434" s="28">
        <v>4829906</v>
      </c>
      <c r="BA434" s="9">
        <v>8244375</v>
      </c>
      <c r="BB434" s="9">
        <v>3172855</v>
      </c>
      <c r="BC434" s="9">
        <v>5071520</v>
      </c>
      <c r="BD434" s="9">
        <v>8582446.4999999981</v>
      </c>
      <c r="BE434" s="9">
        <v>3268863</v>
      </c>
      <c r="BF434" s="9">
        <v>5316141</v>
      </c>
      <c r="BG434" s="9">
        <v>9724718.370000001</v>
      </c>
      <c r="BH434" s="9">
        <v>3451123</v>
      </c>
      <c r="BI434" s="9">
        <v>6273595</v>
      </c>
      <c r="BJ434" s="9">
        <v>10599770.639894003</v>
      </c>
      <c r="BK434" s="9">
        <v>3758739</v>
      </c>
      <c r="BL434" s="9">
        <v>6841032</v>
      </c>
      <c r="BM434" s="9"/>
      <c r="BN434" s="9"/>
      <c r="BO434" s="9"/>
      <c r="BP434" s="9"/>
      <c r="BQ434" s="9"/>
      <c r="BR434" s="9"/>
      <c r="BS434" s="9"/>
      <c r="BT434" s="9"/>
      <c r="BU434" s="9"/>
    </row>
    <row r="435" spans="1:73">
      <c r="A435" s="6">
        <v>852</v>
      </c>
      <c r="B435" s="6" t="s">
        <v>1533</v>
      </c>
      <c r="C435" s="421">
        <v>26.98</v>
      </c>
      <c r="D435" s="9">
        <v>5158946</v>
      </c>
      <c r="E435" s="33">
        <v>3321776</v>
      </c>
      <c r="F435" s="9">
        <v>1931065.2</v>
      </c>
      <c r="G435" s="9">
        <v>5389599</v>
      </c>
      <c r="H435" s="9">
        <v>3394928</v>
      </c>
      <c r="I435" s="9">
        <v>2023465</v>
      </c>
      <c r="J435" s="9">
        <v>6238440</v>
      </c>
      <c r="K435" s="9">
        <v>3743767</v>
      </c>
      <c r="L435" s="9">
        <v>2494673</v>
      </c>
      <c r="M435" s="9">
        <v>7033183</v>
      </c>
      <c r="N435" s="9">
        <v>4130123</v>
      </c>
      <c r="O435" s="9">
        <v>2597762</v>
      </c>
      <c r="P435" s="9">
        <v>305298</v>
      </c>
      <c r="Q435" s="9">
        <v>7866987.6486124406</v>
      </c>
      <c r="R435" s="9">
        <v>4598216</v>
      </c>
      <c r="S435" s="9">
        <v>2844999</v>
      </c>
      <c r="T435" s="9">
        <v>423773</v>
      </c>
      <c r="U435" s="9">
        <v>8233340.9220000003</v>
      </c>
      <c r="V435" s="9">
        <v>5083135.795428413</v>
      </c>
      <c r="W435" s="9">
        <v>3080894</v>
      </c>
      <c r="X435" s="9">
        <v>16540</v>
      </c>
      <c r="Y435" s="9">
        <v>185963</v>
      </c>
      <c r="Z435" s="9">
        <v>8193934</v>
      </c>
      <c r="AA435" s="9">
        <v>5151981</v>
      </c>
      <c r="AB435" s="9">
        <v>3097434</v>
      </c>
      <c r="AC435" s="9">
        <f>8811361+786722</f>
        <v>9598083</v>
      </c>
      <c r="AD435" s="9">
        <v>5561630</v>
      </c>
      <c r="AE435" s="9">
        <f>3273055.84085+294572</f>
        <v>3567627.8408499998</v>
      </c>
      <c r="AF435" s="9">
        <v>9643398</v>
      </c>
      <c r="AG435" s="9">
        <v>6347664</v>
      </c>
      <c r="AH435" s="9">
        <v>3583552.8408499998</v>
      </c>
      <c r="AI435" s="9">
        <v>10305011</v>
      </c>
      <c r="AJ435" s="9">
        <v>6808953</v>
      </c>
      <c r="AK435" s="28">
        <v>3602853.8408499998</v>
      </c>
      <c r="AL435" s="9">
        <v>10872297</v>
      </c>
      <c r="AM435" s="9">
        <v>7267551</v>
      </c>
      <c r="AN435" s="28">
        <v>3620453.8408499998</v>
      </c>
      <c r="AO435" s="9">
        <v>10716963</v>
      </c>
      <c r="AP435" s="9">
        <v>7187884</v>
      </c>
      <c r="AQ435" s="28">
        <v>3658183.8408499998</v>
      </c>
      <c r="AR435" s="9">
        <v>10765279.843473723</v>
      </c>
      <c r="AS435" s="9">
        <v>7259409</v>
      </c>
      <c r="AT435" s="28">
        <v>3678433.8408499998</v>
      </c>
      <c r="AU435" s="9">
        <v>10686139.044199999</v>
      </c>
      <c r="AV435" s="9">
        <v>7286534</v>
      </c>
      <c r="AW435" s="9">
        <v>3698114</v>
      </c>
      <c r="AX435" s="9">
        <v>10895286.797909893</v>
      </c>
      <c r="AY435" s="9">
        <v>7517024</v>
      </c>
      <c r="AZ435" s="28">
        <v>3717284</v>
      </c>
      <c r="BA435" s="9">
        <v>11332310.899736676</v>
      </c>
      <c r="BB435" s="9">
        <v>8006848</v>
      </c>
      <c r="BC435" s="9">
        <v>3717284</v>
      </c>
      <c r="BD435" s="9">
        <v>11843081.30975157</v>
      </c>
      <c r="BE435" s="9">
        <v>8677220</v>
      </c>
      <c r="BF435" s="9">
        <v>3737294</v>
      </c>
      <c r="BG435" s="9">
        <v>13039564.664050002</v>
      </c>
      <c r="BH435" s="9">
        <v>9138788</v>
      </c>
      <c r="BI435" s="9">
        <v>3900777</v>
      </c>
      <c r="BJ435" s="9">
        <v>14548100.2422</v>
      </c>
      <c r="BK435" s="9">
        <v>9846166</v>
      </c>
      <c r="BL435" s="9">
        <v>4701934</v>
      </c>
      <c r="BM435" s="9"/>
      <c r="BN435" s="9"/>
      <c r="BO435" s="9"/>
      <c r="BP435" s="9"/>
      <c r="BQ435" s="9"/>
      <c r="BR435" s="9"/>
      <c r="BS435" s="9"/>
      <c r="BT435" s="9"/>
      <c r="BU435" s="9"/>
    </row>
    <row r="436" spans="1:73">
      <c r="A436" s="6">
        <v>853</v>
      </c>
      <c r="B436" s="6" t="s">
        <v>1534</v>
      </c>
      <c r="C436" s="421">
        <v>40.35</v>
      </c>
      <c r="D436" s="9">
        <v>13805435</v>
      </c>
      <c r="E436" s="33">
        <v>8368989</v>
      </c>
      <c r="F436" s="9">
        <v>5436446</v>
      </c>
      <c r="G436" s="9">
        <v>15298678</v>
      </c>
      <c r="H436" s="9">
        <v>8834989</v>
      </c>
      <c r="I436" s="9">
        <v>6463689</v>
      </c>
      <c r="J436" s="9">
        <v>16448129</v>
      </c>
      <c r="K436" s="9">
        <v>9382830</v>
      </c>
      <c r="L436" s="9">
        <v>7065299</v>
      </c>
      <c r="M436" s="9">
        <v>17520203</v>
      </c>
      <c r="N436" s="9">
        <v>9753752</v>
      </c>
      <c r="O436" s="9">
        <v>6949698</v>
      </c>
      <c r="P436" s="9">
        <v>816753</v>
      </c>
      <c r="Q436" s="9">
        <v>18195495.392153114</v>
      </c>
      <c r="R436" s="9">
        <v>9906992</v>
      </c>
      <c r="S436" s="9">
        <v>7611122</v>
      </c>
      <c r="T436" s="9">
        <v>677381</v>
      </c>
      <c r="U436" s="9">
        <v>18075511.403999995</v>
      </c>
      <c r="V436" s="9">
        <v>10403784</v>
      </c>
      <c r="W436" s="9">
        <v>7787386</v>
      </c>
      <c r="X436" s="9">
        <v>41897</v>
      </c>
      <c r="Y436" s="9">
        <v>489726</v>
      </c>
      <c r="Z436" s="9">
        <v>18846605</v>
      </c>
      <c r="AA436" s="9">
        <v>10860660</v>
      </c>
      <c r="AB436" s="9">
        <v>7985945</v>
      </c>
      <c r="AC436" s="9">
        <v>19273753</v>
      </c>
      <c r="AD436" s="9">
        <v>10987834</v>
      </c>
      <c r="AE436" s="9">
        <v>8285919</v>
      </c>
      <c r="AF436" s="9">
        <v>19964083</v>
      </c>
      <c r="AG436" s="9">
        <v>11419748</v>
      </c>
      <c r="AH436" s="9">
        <v>8564871.3160750009</v>
      </c>
      <c r="AI436" s="9">
        <v>20104161</v>
      </c>
      <c r="AJ436" s="9">
        <v>11494298</v>
      </c>
      <c r="AK436" s="28">
        <v>8609863</v>
      </c>
      <c r="AL436" s="9">
        <v>20386925</v>
      </c>
      <c r="AM436" s="9">
        <v>11746592</v>
      </c>
      <c r="AN436" s="28">
        <v>8640688</v>
      </c>
      <c r="AO436" s="9">
        <v>20458840</v>
      </c>
      <c r="AP436" s="9">
        <v>11667126</v>
      </c>
      <c r="AQ436" s="28">
        <v>8818904</v>
      </c>
      <c r="AR436" s="9">
        <v>21001845.715027004</v>
      </c>
      <c r="AS436" s="9">
        <v>11813188</v>
      </c>
      <c r="AT436" s="28">
        <v>9188658</v>
      </c>
      <c r="AU436" s="9">
        <v>21695597.037383042</v>
      </c>
      <c r="AV436" s="9">
        <v>11983464</v>
      </c>
      <c r="AW436" s="9">
        <v>9712133</v>
      </c>
      <c r="AX436" s="9">
        <v>22663144.184447043</v>
      </c>
      <c r="AY436" s="9">
        <v>12097696</v>
      </c>
      <c r="AZ436" s="28">
        <v>10565448</v>
      </c>
      <c r="BA436" s="9">
        <v>23843254.848850004</v>
      </c>
      <c r="BB436" s="9">
        <v>13124735</v>
      </c>
      <c r="BC436" s="9">
        <v>10745350</v>
      </c>
      <c r="BD436" s="9">
        <v>25599015.769705985</v>
      </c>
      <c r="BE436" s="9">
        <v>14354270</v>
      </c>
      <c r="BF436" s="9">
        <v>11244913</v>
      </c>
      <c r="BG436" s="9">
        <v>28012736.845560264</v>
      </c>
      <c r="BH436" s="9">
        <v>15244239</v>
      </c>
      <c r="BI436" s="9">
        <v>12768498</v>
      </c>
      <c r="BJ436" s="9">
        <v>29763086.943302374</v>
      </c>
      <c r="BK436" s="9">
        <v>15690113</v>
      </c>
      <c r="BL436" s="9">
        <v>14072974</v>
      </c>
      <c r="BM436" s="9"/>
      <c r="BN436" s="9"/>
      <c r="BO436" s="9"/>
      <c r="BP436" s="9"/>
      <c r="BQ436" s="9"/>
      <c r="BR436" s="9"/>
      <c r="BS436" s="9"/>
      <c r="BT436" s="9"/>
      <c r="BU436" s="9"/>
    </row>
    <row r="437" spans="1:73">
      <c r="A437" s="6">
        <v>855</v>
      </c>
      <c r="B437" s="6" t="s">
        <v>1535</v>
      </c>
      <c r="C437" s="421">
        <v>33.299999999999997</v>
      </c>
      <c r="D437" s="9">
        <v>4989253</v>
      </c>
      <c r="E437" s="33">
        <v>2641742</v>
      </c>
      <c r="F437" s="9">
        <v>2546991</v>
      </c>
      <c r="G437" s="9">
        <v>5820992</v>
      </c>
      <c r="H437" s="9">
        <v>2972628</v>
      </c>
      <c r="I437" s="9">
        <v>2935912</v>
      </c>
      <c r="J437" s="9">
        <v>6621083</v>
      </c>
      <c r="K437" s="9">
        <v>3475932</v>
      </c>
      <c r="L437" s="9">
        <v>3292273</v>
      </c>
      <c r="M437" s="9">
        <v>6827603</v>
      </c>
      <c r="N437" s="9">
        <v>3546608</v>
      </c>
      <c r="O437" s="9">
        <v>3028077</v>
      </c>
      <c r="P437" s="9">
        <v>355870</v>
      </c>
      <c r="Q437" s="9">
        <v>7042233.7959808633</v>
      </c>
      <c r="R437" s="9">
        <v>3704307</v>
      </c>
      <c r="S437" s="9">
        <v>3316268</v>
      </c>
      <c r="T437" s="9">
        <v>21659</v>
      </c>
      <c r="U437" s="9">
        <v>6779947.8360000001</v>
      </c>
      <c r="V437" s="9">
        <v>3833931.4919956997</v>
      </c>
      <c r="W437" s="9">
        <v>3142926</v>
      </c>
      <c r="X437" s="9">
        <v>16873</v>
      </c>
      <c r="Y437" s="9">
        <v>190453</v>
      </c>
      <c r="Z437" s="9">
        <v>6636605</v>
      </c>
      <c r="AA437" s="9">
        <v>3861415</v>
      </c>
      <c r="AB437" s="9">
        <v>3159799</v>
      </c>
      <c r="AC437" s="9">
        <v>6993936</v>
      </c>
      <c r="AD437" s="9">
        <v>4108774</v>
      </c>
      <c r="AE437" s="9">
        <v>3179079</v>
      </c>
      <c r="AF437" s="9">
        <v>7318581</v>
      </c>
      <c r="AG437" s="9">
        <v>4348047</v>
      </c>
      <c r="AH437" s="9">
        <v>3191479</v>
      </c>
      <c r="AI437" s="9">
        <v>7268292</v>
      </c>
      <c r="AJ437" s="9">
        <v>4341070</v>
      </c>
      <c r="AK437" s="28">
        <v>3203704</v>
      </c>
      <c r="AL437" s="9">
        <v>7329579</v>
      </c>
      <c r="AM437" s="9">
        <v>4522220</v>
      </c>
      <c r="AN437" s="28">
        <v>3215679</v>
      </c>
      <c r="AO437" s="9">
        <v>7070588</v>
      </c>
      <c r="AP437" s="9">
        <v>4320680</v>
      </c>
      <c r="AQ437" s="28">
        <v>3240924</v>
      </c>
      <c r="AR437" s="9">
        <v>7132027.5606843857</v>
      </c>
      <c r="AS437" s="9">
        <v>4376933</v>
      </c>
      <c r="AT437" s="28">
        <v>3254694</v>
      </c>
      <c r="AU437" s="9">
        <v>7339792.9800000004</v>
      </c>
      <c r="AV437" s="9">
        <v>4416012</v>
      </c>
      <c r="AW437" s="9">
        <v>3268404</v>
      </c>
      <c r="AX437" s="9">
        <v>7752983.70072567</v>
      </c>
      <c r="AY437" s="9">
        <v>4672558</v>
      </c>
      <c r="AZ437" s="28">
        <v>3282354</v>
      </c>
      <c r="BA437" s="9">
        <v>7921696.2200000016</v>
      </c>
      <c r="BB437" s="9">
        <v>4845112</v>
      </c>
      <c r="BC437" s="9">
        <v>3282354</v>
      </c>
      <c r="BD437" s="9">
        <v>8771732.7200877182</v>
      </c>
      <c r="BE437" s="9">
        <v>5624848</v>
      </c>
      <c r="BF437" s="9">
        <v>3297294.0000001495</v>
      </c>
      <c r="BG437" s="9">
        <v>9593176.8600959312</v>
      </c>
      <c r="BH437" s="9">
        <v>5909947</v>
      </c>
      <c r="BI437" s="9">
        <v>3683230</v>
      </c>
      <c r="BJ437" s="9">
        <v>10531538.940105317</v>
      </c>
      <c r="BK437" s="9">
        <v>6359936</v>
      </c>
      <c r="BL437" s="9">
        <v>4171603</v>
      </c>
      <c r="BM437" s="9"/>
      <c r="BN437" s="9"/>
      <c r="BO437" s="9"/>
      <c r="BP437" s="9"/>
      <c r="BQ437" s="9"/>
      <c r="BR437" s="9"/>
      <c r="BS437" s="9"/>
      <c r="BT437" s="9"/>
      <c r="BU437" s="9"/>
    </row>
    <row r="438" spans="1:73">
      <c r="A438" s="6">
        <v>860</v>
      </c>
      <c r="B438" s="6" t="s">
        <v>1536</v>
      </c>
      <c r="C438" s="421">
        <v>55.12</v>
      </c>
      <c r="D438" s="9">
        <v>6096738</v>
      </c>
      <c r="E438" s="33">
        <v>2786084</v>
      </c>
      <c r="F438" s="9">
        <v>3310654</v>
      </c>
      <c r="G438" s="9">
        <v>6802165</v>
      </c>
      <c r="H438" s="9">
        <v>2722408</v>
      </c>
      <c r="I438" s="9">
        <v>4079757</v>
      </c>
      <c r="J438" s="9">
        <v>7765674</v>
      </c>
      <c r="K438" s="9">
        <v>2973205</v>
      </c>
      <c r="L438" s="9">
        <v>4792469</v>
      </c>
      <c r="M438" s="9">
        <v>8192718</v>
      </c>
      <c r="N438" s="9">
        <v>3079140</v>
      </c>
      <c r="O438" s="9">
        <v>4575812</v>
      </c>
      <c r="P438" s="9">
        <v>537766</v>
      </c>
      <c r="Q438" s="9">
        <v>7922637.1368421055</v>
      </c>
      <c r="R438" s="9">
        <v>3002367</v>
      </c>
      <c r="S438" s="9">
        <v>5011306</v>
      </c>
      <c r="T438" s="9">
        <v>0</v>
      </c>
      <c r="U438" s="9">
        <v>8264011.2758400002</v>
      </c>
      <c r="V438" s="9">
        <v>3272693.2524828459</v>
      </c>
      <c r="W438" s="9">
        <f>4773477+124459</f>
        <v>4897936</v>
      </c>
      <c r="X438" s="9">
        <v>25626</v>
      </c>
      <c r="Y438" s="9">
        <v>226728</v>
      </c>
      <c r="Z438" s="9">
        <v>8310204</v>
      </c>
      <c r="AA438" s="9">
        <v>3406888</v>
      </c>
      <c r="AB438" s="9">
        <v>4923562</v>
      </c>
      <c r="AC438" s="9">
        <v>9047750</v>
      </c>
      <c r="AD438" s="9">
        <v>3742148</v>
      </c>
      <c r="AE438" s="9">
        <v>5305602</v>
      </c>
      <c r="AF438" s="9">
        <v>9290876</v>
      </c>
      <c r="AG438" s="9">
        <v>3937256</v>
      </c>
      <c r="AH438" s="9">
        <v>5362159.7480999995</v>
      </c>
      <c r="AI438" s="9">
        <v>8740342</v>
      </c>
      <c r="AJ438" s="9">
        <v>3869273</v>
      </c>
      <c r="AK438" s="28">
        <v>5376309.7480999995</v>
      </c>
      <c r="AL438" s="9">
        <v>9330426</v>
      </c>
      <c r="AM438" s="9">
        <v>4172839</v>
      </c>
      <c r="AN438" s="28">
        <v>5391009.7480999995</v>
      </c>
      <c r="AO438" s="9">
        <v>9305841</v>
      </c>
      <c r="AP438" s="9">
        <v>4136686</v>
      </c>
      <c r="AQ438" s="28">
        <v>5422744.7480999995</v>
      </c>
      <c r="AR438" s="9">
        <v>9526647.0681404825</v>
      </c>
      <c r="AS438" s="9">
        <v>4148472</v>
      </c>
      <c r="AT438" s="28">
        <v>5440054.748100346</v>
      </c>
      <c r="AU438" s="9">
        <v>9675019.1999999993</v>
      </c>
      <c r="AV438" s="9">
        <v>4221512</v>
      </c>
      <c r="AW438" s="9">
        <v>5459444</v>
      </c>
      <c r="AX438" s="9">
        <v>10638203.377264135</v>
      </c>
      <c r="AY438" s="9">
        <v>4587025</v>
      </c>
      <c r="AZ438" s="28">
        <v>6051178</v>
      </c>
      <c r="BA438" s="9">
        <v>10484384.559895158</v>
      </c>
      <c r="BB438" s="9">
        <v>4455062</v>
      </c>
      <c r="BC438" s="9">
        <v>6051178</v>
      </c>
      <c r="BD438" s="9">
        <v>10521613.089894783</v>
      </c>
      <c r="BE438" s="9">
        <v>4559455</v>
      </c>
      <c r="BF438" s="9">
        <v>6068008</v>
      </c>
      <c r="BG438" s="9">
        <v>11620603.830116205</v>
      </c>
      <c r="BH438" s="9">
        <v>4877462</v>
      </c>
      <c r="BI438" s="9">
        <v>6743142</v>
      </c>
      <c r="BJ438" s="9">
        <v>12791606.58</v>
      </c>
      <c r="BK438" s="9">
        <v>5336459</v>
      </c>
      <c r="BL438" s="9">
        <v>7455148</v>
      </c>
      <c r="BM438" s="9"/>
      <c r="BN438" s="9"/>
      <c r="BO438" s="9"/>
      <c r="BP438" s="9"/>
      <c r="BQ438" s="9"/>
      <c r="BR438" s="9"/>
      <c r="BS438" s="9"/>
      <c r="BT438" s="9"/>
      <c r="BU438" s="9"/>
    </row>
    <row r="439" spans="1:73">
      <c r="A439" s="6">
        <v>871</v>
      </c>
      <c r="B439" s="6" t="s">
        <v>1537</v>
      </c>
      <c r="C439" s="421">
        <v>17.5</v>
      </c>
      <c r="D439" s="9">
        <v>13777348</v>
      </c>
      <c r="E439" s="33">
        <v>11493572</v>
      </c>
      <c r="F439" s="9">
        <v>3136056.8</v>
      </c>
      <c r="G439" s="9">
        <v>15354177</v>
      </c>
      <c r="H439" s="9">
        <v>11614893</v>
      </c>
      <c r="I439" s="9">
        <v>3739284</v>
      </c>
      <c r="J439" s="9">
        <v>16399600</v>
      </c>
      <c r="K439" s="9">
        <v>11925006</v>
      </c>
      <c r="L439" s="9">
        <v>4474594</v>
      </c>
      <c r="M439" s="9">
        <v>17333155</v>
      </c>
      <c r="N439" s="9">
        <v>11848099</v>
      </c>
      <c r="O439" s="9">
        <v>4908224</v>
      </c>
      <c r="P439" s="9">
        <v>576832</v>
      </c>
      <c r="Q439" s="9">
        <v>18045396.186028711</v>
      </c>
      <c r="R439" s="9">
        <v>12240655</v>
      </c>
      <c r="S439" s="9">
        <v>5375355</v>
      </c>
      <c r="T439" s="9">
        <v>429386</v>
      </c>
      <c r="U439" s="9">
        <v>17891209.259999998</v>
      </c>
      <c r="V439" s="9">
        <v>12538270</v>
      </c>
      <c r="W439" s="9">
        <v>5465628</v>
      </c>
      <c r="X439" s="9">
        <v>29342</v>
      </c>
      <c r="Y439" s="9">
        <v>342521</v>
      </c>
      <c r="Z439" s="9">
        <v>18725824</v>
      </c>
      <c r="AA439" s="9">
        <v>13125229</v>
      </c>
      <c r="AB439" s="9">
        <v>5600595</v>
      </c>
      <c r="AC439" s="9">
        <v>19899113</v>
      </c>
      <c r="AD439" s="9">
        <v>13950931</v>
      </c>
      <c r="AE439" s="9">
        <v>6159525.7945499998</v>
      </c>
      <c r="AF439" s="9">
        <v>20418808</v>
      </c>
      <c r="AG439" s="9">
        <v>14772092</v>
      </c>
      <c r="AH439" s="9">
        <v>6206185.7275124993</v>
      </c>
      <c r="AI439" s="9">
        <v>20894661</v>
      </c>
      <c r="AJ439" s="9">
        <v>15270792</v>
      </c>
      <c r="AK439" s="28">
        <v>6241110.7275124993</v>
      </c>
      <c r="AL439" s="9">
        <v>20905729</v>
      </c>
      <c r="AM439" s="9">
        <v>15410372</v>
      </c>
      <c r="AN439" s="28">
        <v>6275835.7275124993</v>
      </c>
      <c r="AO439" s="9">
        <v>20610764</v>
      </c>
      <c r="AP439" s="9">
        <v>15409506</v>
      </c>
      <c r="AQ439" s="28">
        <v>6350690.7275124993</v>
      </c>
      <c r="AR439" s="9">
        <v>20779974.22357462</v>
      </c>
      <c r="AS439" s="9">
        <v>15673209</v>
      </c>
      <c r="AT439" s="28">
        <v>6391250.7275124993</v>
      </c>
      <c r="AU439" s="9">
        <v>21319072.907946814</v>
      </c>
      <c r="AV439" s="9">
        <v>16426446</v>
      </c>
      <c r="AW439" s="9">
        <v>6431361</v>
      </c>
      <c r="AX439" s="9">
        <v>21756421.654655538</v>
      </c>
      <c r="AY439" s="9">
        <v>17141547</v>
      </c>
      <c r="AZ439" s="28">
        <v>6470511</v>
      </c>
      <c r="BA439" s="9">
        <v>21443569.573314432</v>
      </c>
      <c r="BB439" s="9">
        <v>17321815</v>
      </c>
      <c r="BC439" s="9">
        <v>6470511</v>
      </c>
      <c r="BD439" s="9">
        <v>22505083.522360001</v>
      </c>
      <c r="BE439" s="9">
        <v>18566695</v>
      </c>
      <c r="BF439" s="9">
        <v>6509961</v>
      </c>
      <c r="BG439" s="9">
        <v>24071025.330000002</v>
      </c>
      <c r="BH439" s="9">
        <v>19187031</v>
      </c>
      <c r="BI439" s="9">
        <v>6589341</v>
      </c>
      <c r="BJ439" s="9">
        <v>24972413.579999994</v>
      </c>
      <c r="BK439" s="9">
        <v>19694909</v>
      </c>
      <c r="BL439" s="9">
        <v>6667041</v>
      </c>
      <c r="BM439" s="9"/>
      <c r="BN439" s="9"/>
      <c r="BO439" s="9"/>
      <c r="BP439" s="9"/>
      <c r="BQ439" s="9"/>
      <c r="BR439" s="9"/>
      <c r="BS439" s="9"/>
      <c r="BT439" s="9"/>
      <c r="BU439" s="9"/>
    </row>
    <row r="440" spans="1:73">
      <c r="A440" s="6">
        <v>872</v>
      </c>
      <c r="B440" s="6" t="s">
        <v>1538</v>
      </c>
      <c r="C440" s="421">
        <v>58.31</v>
      </c>
      <c r="D440" s="9">
        <v>14936857</v>
      </c>
      <c r="E440" s="33">
        <v>5393902</v>
      </c>
      <c r="F440" s="9">
        <v>9542955</v>
      </c>
      <c r="G440" s="9">
        <v>16539295</v>
      </c>
      <c r="H440" s="9">
        <v>5950716</v>
      </c>
      <c r="I440" s="9">
        <v>10588579</v>
      </c>
      <c r="J440" s="9">
        <v>17132435</v>
      </c>
      <c r="K440" s="9">
        <v>6118865</v>
      </c>
      <c r="L440" s="9">
        <v>11013570</v>
      </c>
      <c r="M440" s="9">
        <v>18651251</v>
      </c>
      <c r="N440" s="9">
        <v>6606221</v>
      </c>
      <c r="O440" s="9">
        <v>10778323</v>
      </c>
      <c r="P440" s="9">
        <v>1266707</v>
      </c>
      <c r="Q440" s="9">
        <v>19547466.962679427</v>
      </c>
      <c r="R440" s="9">
        <v>6794855</v>
      </c>
      <c r="S440" s="9">
        <v>11804129</v>
      </c>
      <c r="T440" s="9">
        <v>948483</v>
      </c>
      <c r="U440" s="9">
        <v>18976858.698000003</v>
      </c>
      <c r="V440" s="9">
        <v>6830054</v>
      </c>
      <c r="W440" s="9">
        <v>12007606</v>
      </c>
      <c r="X440" s="9">
        <v>64462</v>
      </c>
      <c r="Y440" s="9">
        <v>713969</v>
      </c>
      <c r="Z440" s="9">
        <v>19791640</v>
      </c>
      <c r="AA440" s="9">
        <v>7163181</v>
      </c>
      <c r="AB440" s="9">
        <v>12628459</v>
      </c>
      <c r="AC440" s="9">
        <v>20139028</v>
      </c>
      <c r="AD440" s="9">
        <v>7253938</v>
      </c>
      <c r="AE440" s="9">
        <v>12885090</v>
      </c>
      <c r="AF440" s="9">
        <v>20816397</v>
      </c>
      <c r="AG440" s="9">
        <v>7493594</v>
      </c>
      <c r="AH440" s="9">
        <v>13322803</v>
      </c>
      <c r="AI440" s="9">
        <v>21227292</v>
      </c>
      <c r="AJ440" s="9">
        <v>7726584</v>
      </c>
      <c r="AK440" s="28">
        <v>13500708</v>
      </c>
      <c r="AL440" s="9">
        <v>22565360</v>
      </c>
      <c r="AM440" s="9">
        <v>8283596</v>
      </c>
      <c r="AN440" s="28">
        <v>14281764</v>
      </c>
      <c r="AO440" s="9">
        <v>23532615</v>
      </c>
      <c r="AP440" s="9">
        <v>8586706</v>
      </c>
      <c r="AQ440" s="28">
        <v>14945909</v>
      </c>
      <c r="AR440" s="9">
        <v>24658561.658426791</v>
      </c>
      <c r="AS440" s="9">
        <v>9068356</v>
      </c>
      <c r="AT440" s="28">
        <v>15590206</v>
      </c>
      <c r="AU440" s="9">
        <v>25369687.710253701</v>
      </c>
      <c r="AV440" s="9">
        <v>9264693</v>
      </c>
      <c r="AW440" s="9">
        <v>16104995</v>
      </c>
      <c r="AX440" s="9">
        <v>26705365.084122326</v>
      </c>
      <c r="AY440" s="9">
        <v>9834210</v>
      </c>
      <c r="AZ440" s="28">
        <v>16871155</v>
      </c>
      <c r="BA440" s="9">
        <v>26978734.039999999</v>
      </c>
      <c r="BB440" s="9">
        <v>10323654</v>
      </c>
      <c r="BC440" s="9">
        <v>16871155</v>
      </c>
      <c r="BD440" s="9">
        <v>31199664.219999995</v>
      </c>
      <c r="BE440" s="9">
        <v>11824738</v>
      </c>
      <c r="BF440" s="9">
        <v>19375182</v>
      </c>
      <c r="BG440" s="9">
        <v>32362813.119999997</v>
      </c>
      <c r="BH440" s="9">
        <v>12184542</v>
      </c>
      <c r="BI440" s="9">
        <v>20178271</v>
      </c>
      <c r="BJ440" s="9">
        <v>34786651.119999997</v>
      </c>
      <c r="BK440" s="9">
        <v>12652345</v>
      </c>
      <c r="BL440" s="9">
        <v>22134306</v>
      </c>
      <c r="BM440" s="9"/>
      <c r="BN440" s="9"/>
      <c r="BO440" s="9"/>
      <c r="BP440" s="9"/>
      <c r="BQ440" s="9"/>
      <c r="BR440" s="9"/>
      <c r="BS440" s="9"/>
      <c r="BT440" s="9"/>
      <c r="BU440" s="9"/>
    </row>
    <row r="441" spans="1:73">
      <c r="A441" s="6">
        <v>873</v>
      </c>
      <c r="B441" s="6" t="s">
        <v>1539</v>
      </c>
      <c r="C441" s="421">
        <v>39.06</v>
      </c>
      <c r="D441" s="9">
        <v>5603587</v>
      </c>
      <c r="E441" s="33">
        <v>3304900</v>
      </c>
      <c r="F441" s="9">
        <v>2298687</v>
      </c>
      <c r="G441" s="9">
        <v>6624462</v>
      </c>
      <c r="H441" s="9">
        <v>3491969</v>
      </c>
      <c r="I441" s="9">
        <v>3132493</v>
      </c>
      <c r="J441" s="9">
        <v>7292760</v>
      </c>
      <c r="K441" s="9">
        <v>3896693</v>
      </c>
      <c r="L441" s="9">
        <v>3409503</v>
      </c>
      <c r="M441" s="9">
        <v>8002552</v>
      </c>
      <c r="N441" s="9">
        <v>4267730</v>
      </c>
      <c r="O441" s="9">
        <v>3342052</v>
      </c>
      <c r="P441" s="9">
        <v>392770</v>
      </c>
      <c r="Q441" s="9">
        <v>8068943.0905263163</v>
      </c>
      <c r="R441" s="9">
        <v>4326150</v>
      </c>
      <c r="S441" s="9">
        <v>3660126</v>
      </c>
      <c r="T441" s="9">
        <v>82667</v>
      </c>
      <c r="U441" s="9">
        <v>8159816.8379999995</v>
      </c>
      <c r="V441" s="9">
        <v>4585112</v>
      </c>
      <c r="W441" s="9">
        <v>3524139</v>
      </c>
      <c r="X441" s="9">
        <v>18919</v>
      </c>
      <c r="Y441" s="9">
        <v>214385</v>
      </c>
      <c r="Z441" s="9">
        <v>8361233</v>
      </c>
      <c r="AA441" s="9">
        <v>4747142</v>
      </c>
      <c r="AB441" s="9">
        <v>3614091</v>
      </c>
      <c r="AC441" s="9">
        <v>8898769</v>
      </c>
      <c r="AD441" s="9">
        <v>5090951</v>
      </c>
      <c r="AE441" s="9">
        <v>3814659</v>
      </c>
      <c r="AF441" s="9">
        <v>8843168</v>
      </c>
      <c r="AG441" s="9">
        <v>4991245</v>
      </c>
      <c r="AH441" s="9">
        <v>3851923</v>
      </c>
      <c r="AI441" s="9">
        <v>8975128</v>
      </c>
      <c r="AJ441" s="9">
        <v>5135646</v>
      </c>
      <c r="AK441" s="28">
        <v>3866773</v>
      </c>
      <c r="AL441" s="9">
        <v>9246000</v>
      </c>
      <c r="AM441" s="9">
        <v>5264595</v>
      </c>
      <c r="AN441" s="28">
        <v>3981405</v>
      </c>
      <c r="AO441" s="9">
        <v>9836290</v>
      </c>
      <c r="AP441" s="9">
        <v>5547660</v>
      </c>
      <c r="AQ441" s="28">
        <v>4288630</v>
      </c>
      <c r="AR441" s="9">
        <v>10085090.357912248</v>
      </c>
      <c r="AS441" s="9">
        <v>5811066</v>
      </c>
      <c r="AT441" s="28">
        <v>4307229.9999998137</v>
      </c>
      <c r="AU441" s="9">
        <v>10179751.535079999</v>
      </c>
      <c r="AV441" s="9">
        <v>5849405</v>
      </c>
      <c r="AW441" s="9">
        <v>4342636</v>
      </c>
      <c r="AX441" s="9">
        <v>10278115.468662532</v>
      </c>
      <c r="AY441" s="9">
        <v>5835267</v>
      </c>
      <c r="AZ441" s="28">
        <v>4442848</v>
      </c>
      <c r="BA441" s="9">
        <v>9696307.4090200011</v>
      </c>
      <c r="BB441" s="9">
        <v>5540283</v>
      </c>
      <c r="BC441" s="9">
        <v>4442848</v>
      </c>
      <c r="BD441" s="9">
        <v>10334881.008950002</v>
      </c>
      <c r="BE441" s="9">
        <v>6044013</v>
      </c>
      <c r="BF441" s="9">
        <v>4459678</v>
      </c>
      <c r="BG441" s="9">
        <v>11690753.246806186</v>
      </c>
      <c r="BH441" s="9">
        <v>6690356</v>
      </c>
      <c r="BI441" s="9">
        <v>5000397</v>
      </c>
      <c r="BJ441" s="9">
        <v>12906720.28764</v>
      </c>
      <c r="BK441" s="9">
        <v>7232154</v>
      </c>
      <c r="BL441" s="9">
        <v>5674566</v>
      </c>
      <c r="BM441" s="9"/>
      <c r="BN441" s="9"/>
      <c r="BO441" s="9"/>
      <c r="BP441" s="9"/>
      <c r="BQ441" s="9"/>
      <c r="BR441" s="9"/>
      <c r="BS441" s="9"/>
      <c r="BT441" s="9"/>
      <c r="BU441" s="9"/>
    </row>
    <row r="442" spans="1:73">
      <c r="A442" s="6">
        <v>876</v>
      </c>
      <c r="B442" s="6" t="s">
        <v>1540</v>
      </c>
      <c r="C442" s="421">
        <v>51.94</v>
      </c>
      <c r="D442" s="9">
        <v>9571032</v>
      </c>
      <c r="E442" s="33">
        <v>4238701</v>
      </c>
      <c r="F442" s="9">
        <v>5725706.91653415</v>
      </c>
      <c r="G442" s="9">
        <v>12372691</v>
      </c>
      <c r="H442" s="9">
        <v>5102480</v>
      </c>
      <c r="I442" s="9">
        <v>7282028</v>
      </c>
      <c r="J442" s="9">
        <v>13883285</v>
      </c>
      <c r="K442" s="9">
        <v>5546098</v>
      </c>
      <c r="L442" s="9">
        <v>8337187</v>
      </c>
      <c r="M442" s="9">
        <v>15012157</v>
      </c>
      <c r="N442" s="9">
        <v>5773697</v>
      </c>
      <c r="O442" s="9">
        <v>8266904</v>
      </c>
      <c r="P442" s="9">
        <v>971556</v>
      </c>
      <c r="Q442" s="9">
        <v>15581392.28478469</v>
      </c>
      <c r="R442" s="9">
        <v>6076724</v>
      </c>
      <c r="S442" s="9">
        <v>9053691</v>
      </c>
      <c r="T442" s="9">
        <v>450977</v>
      </c>
      <c r="U442" s="9">
        <v>15894028.614</v>
      </c>
      <c r="V442" s="9">
        <v>6360940</v>
      </c>
      <c r="W442" s="9">
        <v>9350174</v>
      </c>
      <c r="X442" s="9">
        <v>50196</v>
      </c>
      <c r="Y442" s="9">
        <v>132719</v>
      </c>
      <c r="Z442" s="9">
        <v>15689978</v>
      </c>
      <c r="AA442" s="9">
        <v>6367969</v>
      </c>
      <c r="AB442" s="9">
        <v>9400370</v>
      </c>
      <c r="AC442" s="9">
        <v>16052759</v>
      </c>
      <c r="AD442" s="9">
        <v>6598237</v>
      </c>
      <c r="AE442" s="9">
        <v>9454522</v>
      </c>
      <c r="AF442" s="9">
        <v>16721381</v>
      </c>
      <c r="AG442" s="9">
        <v>6992891</v>
      </c>
      <c r="AH442" s="9">
        <v>9728490</v>
      </c>
      <c r="AI442" s="9">
        <v>17132815</v>
      </c>
      <c r="AJ442" s="9">
        <v>7280728</v>
      </c>
      <c r="AK442" s="28">
        <v>9852087</v>
      </c>
      <c r="AL442" s="9">
        <v>17642332</v>
      </c>
      <c r="AM442" s="9">
        <v>7557770</v>
      </c>
      <c r="AN442" s="28">
        <v>10084562</v>
      </c>
      <c r="AO442" s="9">
        <v>17712277</v>
      </c>
      <c r="AP442" s="9">
        <v>7652484</v>
      </c>
      <c r="AQ442" s="28">
        <v>10147042</v>
      </c>
      <c r="AR442" s="9">
        <v>18134754.555626247</v>
      </c>
      <c r="AS442" s="9">
        <v>7810739</v>
      </c>
      <c r="AT442" s="28">
        <v>10324016</v>
      </c>
      <c r="AU442" s="9">
        <v>18654311.879813455</v>
      </c>
      <c r="AV442" s="9">
        <v>8130478</v>
      </c>
      <c r="AW442" s="9">
        <v>10527326</v>
      </c>
      <c r="AX442" s="9">
        <v>19584275.952675201</v>
      </c>
      <c r="AY442" s="9">
        <v>8498663</v>
      </c>
      <c r="AZ442" s="28">
        <v>11085613</v>
      </c>
      <c r="BA442" s="9">
        <v>20163226.599596739</v>
      </c>
      <c r="BB442" s="9">
        <v>8939018</v>
      </c>
      <c r="BC442" s="9">
        <v>11243208</v>
      </c>
      <c r="BD442" s="9">
        <v>21417723.040214177</v>
      </c>
      <c r="BE442" s="9">
        <v>9831831</v>
      </c>
      <c r="BF442" s="9">
        <v>11586540</v>
      </c>
      <c r="BG442" s="9">
        <v>22869920.629999999</v>
      </c>
      <c r="BH442" s="9">
        <v>9976240</v>
      </c>
      <c r="BI442" s="9">
        <v>12893681</v>
      </c>
      <c r="BJ442" s="9">
        <v>24914513.250249147</v>
      </c>
      <c r="BK442" s="9">
        <v>10695233</v>
      </c>
      <c r="BL442" s="9">
        <v>14219280</v>
      </c>
      <c r="BM442" s="9"/>
      <c r="BN442" s="9"/>
      <c r="BO442" s="9"/>
      <c r="BP442" s="9"/>
      <c r="BQ442" s="9"/>
      <c r="BR442" s="9"/>
      <c r="BS442" s="9"/>
      <c r="BT442" s="9"/>
      <c r="BU442" s="9"/>
    </row>
    <row r="443" spans="1:73">
      <c r="A443" s="6">
        <v>878</v>
      </c>
      <c r="B443" s="6" t="s">
        <v>1541</v>
      </c>
      <c r="C443" s="421">
        <v>23.33</v>
      </c>
      <c r="D443" s="9">
        <v>9016173</v>
      </c>
      <c r="E443" s="33">
        <v>5636406</v>
      </c>
      <c r="F443" s="9">
        <v>3446914</v>
      </c>
      <c r="G443" s="9">
        <v>10212901</v>
      </c>
      <c r="H443" s="9">
        <v>5924588</v>
      </c>
      <c r="I443" s="9">
        <v>4288313</v>
      </c>
      <c r="J443" s="9">
        <v>11290959</v>
      </c>
      <c r="K443" s="9">
        <v>6500818</v>
      </c>
      <c r="L443" s="9">
        <v>4790141</v>
      </c>
      <c r="M443" s="9">
        <v>12442959</v>
      </c>
      <c r="N443" s="9">
        <v>7015291</v>
      </c>
      <c r="O443" s="9">
        <v>4856871</v>
      </c>
      <c r="P443" s="9">
        <v>570797</v>
      </c>
      <c r="Q443" s="9">
        <v>12923675.155598087</v>
      </c>
      <c r="R443" s="9">
        <v>7663565</v>
      </c>
      <c r="S443" s="9">
        <v>5319115</v>
      </c>
      <c r="T443" s="9">
        <v>0</v>
      </c>
      <c r="U443" s="9">
        <v>13370766.120000003</v>
      </c>
      <c r="V443" s="9">
        <v>8194447</v>
      </c>
      <c r="W443" s="9">
        <v>5076999</v>
      </c>
      <c r="X443" s="9">
        <v>27256</v>
      </c>
      <c r="Y443" s="9">
        <v>238385</v>
      </c>
      <c r="Z443" s="9">
        <v>13542704</v>
      </c>
      <c r="AA443" s="9">
        <v>8344586</v>
      </c>
      <c r="AB443" s="9">
        <v>5198118</v>
      </c>
      <c r="AC443" s="9">
        <v>14397568</v>
      </c>
      <c r="AD443" s="9">
        <v>8892150</v>
      </c>
      <c r="AE443" s="9">
        <v>5505418</v>
      </c>
      <c r="AF443" s="9">
        <v>14698799</v>
      </c>
      <c r="AG443" s="9">
        <v>9224159</v>
      </c>
      <c r="AH443" s="9">
        <v>5529518</v>
      </c>
      <c r="AI443" s="9">
        <v>15102844</v>
      </c>
      <c r="AJ443" s="9">
        <v>9768353</v>
      </c>
      <c r="AK443" s="28">
        <v>5553893</v>
      </c>
      <c r="AL443" s="9">
        <v>15108183</v>
      </c>
      <c r="AM443" s="9">
        <v>10085613</v>
      </c>
      <c r="AN443" s="28">
        <v>5577743</v>
      </c>
      <c r="AO443" s="9">
        <v>15221337</v>
      </c>
      <c r="AP443" s="9">
        <v>10205482</v>
      </c>
      <c r="AQ443" s="28">
        <v>5630378</v>
      </c>
      <c r="AR443" s="9">
        <v>15811834.242360983</v>
      </c>
      <c r="AS443" s="9">
        <v>10767622</v>
      </c>
      <c r="AT443" s="28">
        <v>5659267.9999997113</v>
      </c>
      <c r="AU443" s="9">
        <v>15797799.39597</v>
      </c>
      <c r="AV443" s="9">
        <v>10833554</v>
      </c>
      <c r="AW443" s="9">
        <v>5687408</v>
      </c>
      <c r="AX443" s="9">
        <v>17150334.906830095</v>
      </c>
      <c r="AY443" s="9">
        <v>11677869</v>
      </c>
      <c r="AZ443" s="28">
        <v>5716838</v>
      </c>
      <c r="BA443" s="9">
        <v>16446455.91653554</v>
      </c>
      <c r="BB443" s="9">
        <v>11583064</v>
      </c>
      <c r="BC443" s="9">
        <v>5716838</v>
      </c>
      <c r="BD443" s="9">
        <v>16893468.743349999</v>
      </c>
      <c r="BE443" s="9">
        <v>12199549</v>
      </c>
      <c r="BF443" s="9">
        <v>5743988</v>
      </c>
      <c r="BG443" s="9">
        <v>17544445.759440001</v>
      </c>
      <c r="BH443" s="9">
        <v>12480824</v>
      </c>
      <c r="BI443" s="9">
        <v>5797748</v>
      </c>
      <c r="BJ443" s="9">
        <v>19173060.333461732</v>
      </c>
      <c r="BK443" s="9">
        <v>13669772</v>
      </c>
      <c r="BL443" s="9">
        <v>5853848.0000005607</v>
      </c>
      <c r="BM443" s="9"/>
      <c r="BN443" s="9"/>
      <c r="BO443" s="9"/>
      <c r="BP443" s="9"/>
      <c r="BQ443" s="9"/>
      <c r="BR443" s="9"/>
      <c r="BS443" s="9"/>
      <c r="BT443" s="9"/>
      <c r="BU443" s="9"/>
    </row>
    <row r="444" spans="1:73">
      <c r="A444" s="6">
        <v>879</v>
      </c>
      <c r="B444" s="6" t="s">
        <v>1542</v>
      </c>
      <c r="C444" s="421">
        <v>23.35</v>
      </c>
      <c r="D444" s="9">
        <v>7297579</v>
      </c>
      <c r="E444" s="33">
        <v>5382948</v>
      </c>
      <c r="F444" s="9">
        <v>2593253</v>
      </c>
      <c r="G444" s="9">
        <v>7871760</v>
      </c>
      <c r="H444" s="9">
        <v>6175413</v>
      </c>
      <c r="I444" s="9">
        <v>2762062</v>
      </c>
      <c r="J444" s="9">
        <v>8334135</v>
      </c>
      <c r="K444" s="9">
        <v>6672582</v>
      </c>
      <c r="L444" s="9">
        <v>2884730</v>
      </c>
      <c r="M444" s="9">
        <v>9055851</v>
      </c>
      <c r="N444" s="9">
        <v>7109422</v>
      </c>
      <c r="O444" s="9">
        <v>2747270</v>
      </c>
      <c r="P444" s="9">
        <v>322869</v>
      </c>
      <c r="Q444" s="9">
        <v>9359958.3663157895</v>
      </c>
      <c r="R444" s="9">
        <v>7254471</v>
      </c>
      <c r="S444" s="9">
        <v>3008736</v>
      </c>
      <c r="T444" s="9">
        <v>0</v>
      </c>
      <c r="U444" s="9">
        <v>9469840.0140000004</v>
      </c>
      <c r="V444" s="9">
        <v>7444031</v>
      </c>
      <c r="W444" s="9">
        <v>2832966</v>
      </c>
      <c r="X444" s="9">
        <v>15209</v>
      </c>
      <c r="Y444" s="9">
        <v>177786</v>
      </c>
      <c r="Z444" s="9">
        <v>9659521</v>
      </c>
      <c r="AA444" s="9">
        <v>7711247</v>
      </c>
      <c r="AB444" s="9">
        <v>2848175</v>
      </c>
      <c r="AC444" s="9">
        <v>9618705</v>
      </c>
      <c r="AD444" s="9">
        <v>7624553</v>
      </c>
      <c r="AE444" s="9">
        <v>2874735</v>
      </c>
      <c r="AF444" s="9">
        <v>10084443</v>
      </c>
      <c r="AG444" s="9">
        <v>8024477</v>
      </c>
      <c r="AH444" s="9">
        <v>2891885</v>
      </c>
      <c r="AI444" s="9">
        <v>10314759</v>
      </c>
      <c r="AJ444" s="9">
        <v>8119608</v>
      </c>
      <c r="AK444" s="28">
        <v>2909460</v>
      </c>
      <c r="AL444" s="9">
        <v>11054587</v>
      </c>
      <c r="AM444" s="9">
        <v>8517332</v>
      </c>
      <c r="AN444" s="28">
        <v>2927510</v>
      </c>
      <c r="AO444" s="9">
        <v>11535664</v>
      </c>
      <c r="AP444" s="9">
        <v>8638647</v>
      </c>
      <c r="AQ444" s="28">
        <v>2968265</v>
      </c>
      <c r="AR444" s="9">
        <v>11636066.279966651</v>
      </c>
      <c r="AS444" s="9">
        <v>8609575</v>
      </c>
      <c r="AT444" s="28">
        <v>3026491</v>
      </c>
      <c r="AU444" s="9">
        <v>12366494.259999998</v>
      </c>
      <c r="AV444" s="9">
        <v>9126256</v>
      </c>
      <c r="AW444" s="9">
        <v>3240238</v>
      </c>
      <c r="AX444" s="9">
        <v>12375568.23018039</v>
      </c>
      <c r="AY444" s="9">
        <v>9213425</v>
      </c>
      <c r="AZ444" s="28">
        <v>3262258</v>
      </c>
      <c r="BA444" s="9">
        <v>12856564.119999999</v>
      </c>
      <c r="BB444" s="9">
        <v>9721410</v>
      </c>
      <c r="BC444" s="9">
        <v>3262258</v>
      </c>
      <c r="BD444" s="9">
        <v>13571524.320135718</v>
      </c>
      <c r="BE444" s="9">
        <v>10320217</v>
      </c>
      <c r="BF444" s="9">
        <v>3285088.0000002282</v>
      </c>
      <c r="BG444" s="9">
        <v>15047376.250150472</v>
      </c>
      <c r="BH444" s="9">
        <v>11135028</v>
      </c>
      <c r="BI444" s="9">
        <v>3912348</v>
      </c>
      <c r="BJ444" s="9">
        <v>16601530.709999997</v>
      </c>
      <c r="BK444" s="9">
        <v>12150289</v>
      </c>
      <c r="BL444" s="9">
        <v>4451242</v>
      </c>
      <c r="BM444" s="9"/>
      <c r="BN444" s="9"/>
      <c r="BO444" s="9"/>
      <c r="BP444" s="9"/>
      <c r="BQ444" s="9"/>
      <c r="BR444" s="9"/>
      <c r="BS444" s="9"/>
      <c r="BT444" s="9"/>
      <c r="BU444" s="9"/>
    </row>
    <row r="445" spans="1:73">
      <c r="A445" s="6">
        <v>885</v>
      </c>
      <c r="B445" s="6" t="s">
        <v>1543</v>
      </c>
      <c r="C445" s="421">
        <v>45.02</v>
      </c>
      <c r="D445" s="9">
        <v>11536179</v>
      </c>
      <c r="E445" s="33">
        <v>7149342</v>
      </c>
      <c r="F445" s="9">
        <v>4829933</v>
      </c>
      <c r="G445" s="9">
        <v>11990774</v>
      </c>
      <c r="H445" s="9">
        <v>6974949</v>
      </c>
      <c r="I445" s="9">
        <v>5032319</v>
      </c>
      <c r="J445" s="9">
        <v>12092901</v>
      </c>
      <c r="K445" s="9">
        <v>6752086</v>
      </c>
      <c r="L445" s="9">
        <v>5340815</v>
      </c>
      <c r="M445" s="9">
        <v>12653763</v>
      </c>
      <c r="N445" s="9">
        <v>7029551</v>
      </c>
      <c r="O445" s="9">
        <v>5032746</v>
      </c>
      <c r="P445" s="9">
        <v>591466</v>
      </c>
      <c r="Q445" s="9">
        <v>14137619.469473682</v>
      </c>
      <c r="R445" s="9">
        <v>7657177</v>
      </c>
      <c r="S445" s="9">
        <v>5511728</v>
      </c>
      <c r="T445" s="9">
        <v>968714</v>
      </c>
      <c r="U445" s="9">
        <v>14275034.699999999</v>
      </c>
      <c r="V445" s="9">
        <v>7892558</v>
      </c>
      <c r="W445" s="9">
        <v>6260014</v>
      </c>
      <c r="X445" s="9">
        <v>33606</v>
      </c>
      <c r="Y445" s="9">
        <v>212122</v>
      </c>
      <c r="Z445" s="9">
        <v>15261656</v>
      </c>
      <c r="AA445" s="9">
        <v>8442171</v>
      </c>
      <c r="AB445" s="9">
        <v>6819485</v>
      </c>
      <c r="AC445" s="9">
        <v>16269465</v>
      </c>
      <c r="AD445" s="9">
        <v>8729868</v>
      </c>
      <c r="AE445" s="9">
        <v>7563919.4677499998</v>
      </c>
      <c r="AF445" s="9">
        <v>16875591</v>
      </c>
      <c r="AG445" s="9">
        <v>9062382</v>
      </c>
      <c r="AH445" s="9">
        <v>7879914.9927000003</v>
      </c>
      <c r="AI445" s="9">
        <v>17494788</v>
      </c>
      <c r="AJ445" s="9">
        <v>9523686</v>
      </c>
      <c r="AK445" s="28">
        <v>8010858.9927000003</v>
      </c>
      <c r="AL445" s="9">
        <v>18310028</v>
      </c>
      <c r="AM445" s="9">
        <v>10028034</v>
      </c>
      <c r="AN445" s="28">
        <v>8281994</v>
      </c>
      <c r="AO445" s="9">
        <v>19322789</v>
      </c>
      <c r="AP445" s="9">
        <v>10384757</v>
      </c>
      <c r="AQ445" s="28">
        <v>8938032</v>
      </c>
      <c r="AR445" s="9">
        <v>19762413.323503122</v>
      </c>
      <c r="AS445" s="9">
        <v>10544137</v>
      </c>
      <c r="AT445" s="28">
        <v>9218276</v>
      </c>
      <c r="AU445" s="9">
        <v>20237272.480202377</v>
      </c>
      <c r="AV445" s="9">
        <v>10694772</v>
      </c>
      <c r="AW445" s="9">
        <v>9542746</v>
      </c>
      <c r="AX445" s="9">
        <v>21419842.533375792</v>
      </c>
      <c r="AY445" s="9">
        <v>11214984</v>
      </c>
      <c r="AZ445" s="28">
        <v>10204859</v>
      </c>
      <c r="BA445" s="9">
        <v>22219393.409999993</v>
      </c>
      <c r="BB445" s="9">
        <v>11408976</v>
      </c>
      <c r="BC445" s="9">
        <v>10835866</v>
      </c>
      <c r="BD445" s="9">
        <v>22987502.880689632</v>
      </c>
      <c r="BE445" s="9">
        <v>11920144</v>
      </c>
      <c r="BF445" s="9">
        <v>11067840</v>
      </c>
      <c r="BG445" s="9">
        <v>24944833.849999998</v>
      </c>
      <c r="BH445" s="9">
        <v>12643217</v>
      </c>
      <c r="BI445" s="9">
        <v>12301617</v>
      </c>
      <c r="BJ445" s="9">
        <v>26519398.819734812</v>
      </c>
      <c r="BK445" s="9">
        <v>13131792</v>
      </c>
      <c r="BL445" s="9">
        <v>13387607</v>
      </c>
      <c r="BM445" s="9"/>
      <c r="BN445" s="9"/>
      <c r="BO445" s="9"/>
      <c r="BP445" s="9"/>
      <c r="BQ445" s="9"/>
      <c r="BR445" s="9"/>
      <c r="BS445" s="9"/>
      <c r="BT445" s="9"/>
      <c r="BU445" s="9"/>
    </row>
    <row r="446" spans="1:73">
      <c r="A446" s="6">
        <v>910</v>
      </c>
      <c r="B446" s="6" t="s">
        <v>1544</v>
      </c>
      <c r="C446" s="421">
        <v>44.37</v>
      </c>
      <c r="D446" s="9">
        <v>4169889</v>
      </c>
      <c r="E446" s="33">
        <v>2377115</v>
      </c>
      <c r="F446" s="9">
        <v>1792774</v>
      </c>
      <c r="G446" s="9">
        <v>4678752</v>
      </c>
      <c r="H446" s="9">
        <v>2165472</v>
      </c>
      <c r="I446" s="9">
        <v>2513280</v>
      </c>
      <c r="J446" s="9">
        <v>4979099</v>
      </c>
      <c r="K446" s="9">
        <v>2115459</v>
      </c>
      <c r="L446" s="9">
        <v>2863640</v>
      </c>
      <c r="M446" s="9">
        <v>5282006</v>
      </c>
      <c r="N446" s="9">
        <v>2203905</v>
      </c>
      <c r="O446" s="9">
        <v>2754395</v>
      </c>
      <c r="P446" s="9">
        <v>323706</v>
      </c>
      <c r="Q446" s="9">
        <v>5380792.1852631588</v>
      </c>
      <c r="R446" s="9">
        <v>2265291</v>
      </c>
      <c r="S446" s="9">
        <v>3016539</v>
      </c>
      <c r="T446" s="9">
        <v>98962</v>
      </c>
      <c r="U446" s="9">
        <v>5285460.1679999996</v>
      </c>
      <c r="V446" s="9">
        <v>2485563.5502734138</v>
      </c>
      <c r="W446" s="9">
        <v>2933494</v>
      </c>
      <c r="X446" s="9">
        <v>15748</v>
      </c>
      <c r="Y446" s="9">
        <v>175709</v>
      </c>
      <c r="Z446" s="9">
        <v>5518473</v>
      </c>
      <c r="AA446" s="9">
        <v>2608341</v>
      </c>
      <c r="AB446" s="9">
        <v>2949242</v>
      </c>
      <c r="AC446" s="9">
        <v>5541328</v>
      </c>
      <c r="AD446" s="9">
        <v>2713112</v>
      </c>
      <c r="AE446" s="9">
        <v>2964202</v>
      </c>
      <c r="AF446" s="9">
        <v>5650536</v>
      </c>
      <c r="AG446" s="9">
        <v>2907343</v>
      </c>
      <c r="AH446" s="9">
        <v>2973677</v>
      </c>
      <c r="AI446" s="9">
        <v>5797631</v>
      </c>
      <c r="AJ446" s="9">
        <v>3091923</v>
      </c>
      <c r="AK446" s="28">
        <v>2983352</v>
      </c>
      <c r="AL446" s="9">
        <v>5839373</v>
      </c>
      <c r="AM446" s="9">
        <v>3169711</v>
      </c>
      <c r="AN446" s="28">
        <v>2992952</v>
      </c>
      <c r="AO446" s="9">
        <v>6281807</v>
      </c>
      <c r="AP446" s="9">
        <v>3336386</v>
      </c>
      <c r="AQ446" s="28">
        <v>3015502</v>
      </c>
      <c r="AR446" s="9">
        <v>6434258.3084468814</v>
      </c>
      <c r="AS446" s="9">
        <v>3461793</v>
      </c>
      <c r="AT446" s="28">
        <v>3027862</v>
      </c>
      <c r="AU446" s="9">
        <v>6272468.1098745503</v>
      </c>
      <c r="AV446" s="9">
        <v>3267780</v>
      </c>
      <c r="AW446" s="9">
        <v>3039532</v>
      </c>
      <c r="AX446" s="9">
        <v>6469200.7539703678</v>
      </c>
      <c r="AY446" s="9">
        <v>3230305</v>
      </c>
      <c r="AZ446" s="28">
        <v>3238896</v>
      </c>
      <c r="BA446" s="9">
        <v>6594994.5600000005</v>
      </c>
      <c r="BB446" s="9">
        <v>3396297</v>
      </c>
      <c r="BC446" s="9">
        <v>3238896</v>
      </c>
      <c r="BD446" s="9">
        <v>6769003.2801353801</v>
      </c>
      <c r="BE446" s="9">
        <v>3495898</v>
      </c>
      <c r="BF446" s="9">
        <v>3291775</v>
      </c>
      <c r="BG446" s="9">
        <v>8260047.1499999994</v>
      </c>
      <c r="BH446" s="9">
        <v>4239142</v>
      </c>
      <c r="BI446" s="9">
        <v>4020905</v>
      </c>
      <c r="BJ446" s="9">
        <v>9916498.0400991645</v>
      </c>
      <c r="BK446" s="9">
        <v>4990303</v>
      </c>
      <c r="BL446" s="9">
        <v>4926195</v>
      </c>
      <c r="BM446" s="9"/>
      <c r="BN446" s="9"/>
      <c r="BO446" s="9"/>
      <c r="BP446" s="9"/>
      <c r="BQ446" s="9"/>
      <c r="BR446" s="9"/>
      <c r="BS446" s="9"/>
      <c r="BT446" s="9"/>
      <c r="BU446" s="9"/>
    </row>
    <row r="447" spans="1:73">
      <c r="A447" s="6">
        <v>915</v>
      </c>
      <c r="B447" s="6" t="s">
        <v>1545</v>
      </c>
      <c r="C447" s="421">
        <v>21.26</v>
      </c>
      <c r="D447" s="9">
        <v>2581809</v>
      </c>
      <c r="E447" s="33">
        <v>2385271</v>
      </c>
      <c r="F447" s="9">
        <v>605727.6</v>
      </c>
      <c r="G447" s="9">
        <v>3153664</v>
      </c>
      <c r="H447" s="9">
        <v>2376238</v>
      </c>
      <c r="I447" s="9">
        <v>777426</v>
      </c>
      <c r="J447" s="9">
        <v>3314326</v>
      </c>
      <c r="K447" s="9">
        <v>2403121</v>
      </c>
      <c r="L447" s="9">
        <v>911205</v>
      </c>
      <c r="M447" s="9">
        <v>3538156</v>
      </c>
      <c r="N447" s="9">
        <v>2513756</v>
      </c>
      <c r="O447" s="9">
        <v>916670</v>
      </c>
      <c r="P447" s="9">
        <v>107730</v>
      </c>
      <c r="Q447" s="9">
        <v>3601674.9504306214</v>
      </c>
      <c r="R447" s="9">
        <v>2554390</v>
      </c>
      <c r="S447" s="9">
        <v>1003912</v>
      </c>
      <c r="T447" s="9">
        <v>43373</v>
      </c>
      <c r="U447" s="9">
        <v>3636172.7040000004</v>
      </c>
      <c r="V447" s="9">
        <v>2694070</v>
      </c>
      <c r="W447" s="9">
        <v>968927</v>
      </c>
      <c r="X447" s="9">
        <v>5294</v>
      </c>
      <c r="Y447" s="9">
        <v>79925</v>
      </c>
      <c r="Z447" s="9">
        <v>3894722</v>
      </c>
      <c r="AA447" s="9">
        <v>2866575</v>
      </c>
      <c r="AB447" s="9">
        <v>1028147</v>
      </c>
      <c r="AC447" s="9">
        <v>4009287</v>
      </c>
      <c r="AD447" s="9">
        <v>2928531</v>
      </c>
      <c r="AE447" s="9">
        <v>1097231.0205000001</v>
      </c>
      <c r="AF447" s="9">
        <v>4057136</v>
      </c>
      <c r="AG447" s="9">
        <v>3005158</v>
      </c>
      <c r="AH447" s="9">
        <v>1109762.7805750002</v>
      </c>
      <c r="AI447" s="9">
        <v>3937649</v>
      </c>
      <c r="AJ447" s="9">
        <v>2863375</v>
      </c>
      <c r="AK447" s="28">
        <v>1119500.7805750002</v>
      </c>
      <c r="AL447" s="9">
        <v>4240624</v>
      </c>
      <c r="AM447" s="9">
        <v>3129643</v>
      </c>
      <c r="AN447" s="28">
        <v>1126275.7805750002</v>
      </c>
      <c r="AO447" s="9">
        <v>4615273</v>
      </c>
      <c r="AP447" s="9">
        <v>3398333</v>
      </c>
      <c r="AQ447" s="28">
        <v>1216940</v>
      </c>
      <c r="AR447" s="9">
        <v>4595770.9606507998</v>
      </c>
      <c r="AS447" s="9">
        <v>3415991</v>
      </c>
      <c r="AT447" s="28">
        <v>1225309.999999749</v>
      </c>
      <c r="AU447" s="9">
        <v>4801803.415529999</v>
      </c>
      <c r="AV447" s="9">
        <v>3550450</v>
      </c>
      <c r="AW447" s="9">
        <v>1251353</v>
      </c>
      <c r="AX447" s="9">
        <v>4971875.5058426186</v>
      </c>
      <c r="AY447" s="9">
        <v>3680317</v>
      </c>
      <c r="AZ447" s="28">
        <v>1291559</v>
      </c>
      <c r="BA447" s="9">
        <v>4921619.8021892179</v>
      </c>
      <c r="BB447" s="9">
        <v>3697896</v>
      </c>
      <c r="BC447" s="9">
        <v>1291559</v>
      </c>
      <c r="BD447" s="9">
        <v>5268916.5291999988</v>
      </c>
      <c r="BE447" s="9">
        <v>3999047</v>
      </c>
      <c r="BF447" s="9">
        <v>1300079</v>
      </c>
      <c r="BG447" s="9">
        <v>5528618.7214800008</v>
      </c>
      <c r="BH447" s="9">
        <v>4095337</v>
      </c>
      <c r="BI447" s="9">
        <v>1433282</v>
      </c>
      <c r="BJ447" s="9">
        <v>5446250.7874944638</v>
      </c>
      <c r="BK447" s="9">
        <v>3980038</v>
      </c>
      <c r="BL447" s="9">
        <v>1466213</v>
      </c>
      <c r="BM447" s="9"/>
      <c r="BN447" s="9"/>
      <c r="BO447" s="9"/>
      <c r="BP447" s="9"/>
      <c r="BQ447" s="9"/>
      <c r="BR447" s="9"/>
      <c r="BS447" s="9"/>
      <c r="BT447" s="9"/>
      <c r="BU447" s="9"/>
    </row>
    <row r="448" spans="1:73" s="10" customFormat="1">
      <c r="A448" s="10">
        <v>999</v>
      </c>
      <c r="B448" s="10" t="s">
        <v>391</v>
      </c>
      <c r="C448" s="323">
        <v>41</v>
      </c>
      <c r="D448" s="79">
        <v>7551933454</v>
      </c>
      <c r="E448" s="79">
        <v>4743946672</v>
      </c>
      <c r="F448" s="79">
        <v>3288603061.8000002</v>
      </c>
      <c r="G448" s="79">
        <v>8014672861.3798904</v>
      </c>
      <c r="H448" s="79">
        <v>4876428772</v>
      </c>
      <c r="I448" s="79">
        <v>3505192038.9270248</v>
      </c>
      <c r="J448" s="79">
        <v>8406096436.3857374</v>
      </c>
      <c r="K448" s="79">
        <v>4997705374</v>
      </c>
      <c r="L448" s="79">
        <v>3725343326.8219399</v>
      </c>
      <c r="M448" s="79">
        <v>8811314229.2926865</v>
      </c>
      <c r="N448" s="79">
        <v>5110365426</v>
      </c>
      <c r="O448" s="79">
        <v>3536496064.2495604</v>
      </c>
      <c r="P448" s="79">
        <v>411999998</v>
      </c>
      <c r="Q448" s="79">
        <v>9088557473.2006893</v>
      </c>
      <c r="R448" s="79">
        <v>5250106061</v>
      </c>
      <c r="S448" s="79">
        <v>3869526145</v>
      </c>
      <c r="T448" s="79">
        <v>173630555</v>
      </c>
      <c r="U448" s="79">
        <v>8921047970</v>
      </c>
      <c r="V448" s="79">
        <v>5302200670.3241692</v>
      </c>
      <c r="W448" s="79">
        <v>3850884455.5488005</v>
      </c>
      <c r="X448" s="79">
        <v>20667814</v>
      </c>
      <c r="Y448" s="79">
        <v>200480583</v>
      </c>
      <c r="Z448" s="79">
        <v>9119340580.3732376</v>
      </c>
      <c r="AA448" s="79">
        <v>5413602268</v>
      </c>
      <c r="AB448" s="79">
        <v>3990504093.3881507</v>
      </c>
      <c r="AC448" s="79">
        <v>9467117140.6663704</v>
      </c>
      <c r="AD448" s="79">
        <v>5582113529</v>
      </c>
      <c r="AE448" s="79">
        <v>4173223954.2949104</v>
      </c>
      <c r="AF448" s="79">
        <v>9711217584.8007889</v>
      </c>
      <c r="AG448" s="79">
        <v>5748475145</v>
      </c>
      <c r="AH448" s="79">
        <v>4300854366.3566036</v>
      </c>
      <c r="AI448" s="79">
        <v>9866011313.0677662</v>
      </c>
      <c r="AJ448" s="79">
        <v>5817618237</v>
      </c>
      <c r="AK448" s="79">
        <v>4400335961.8829308</v>
      </c>
      <c r="AL448" s="79">
        <v>10090177272.100754</v>
      </c>
      <c r="AM448" s="79">
        <v>5943909029</v>
      </c>
      <c r="AN448" s="79">
        <v>4511521973.6381674</v>
      </c>
      <c r="AO448" s="79">
        <v>10128238382.975546</v>
      </c>
      <c r="AP448" s="79">
        <v>5926185567</v>
      </c>
      <c r="AQ448" s="79">
        <v>4627705061.1446953</v>
      </c>
      <c r="AR448" s="79">
        <v>10379173843.167685</v>
      </c>
      <c r="AS448" s="79">
        <v>6046916786</v>
      </c>
      <c r="AT448" s="79">
        <v>4745645155.949439</v>
      </c>
      <c r="AU448" s="79">
        <v>10777588551.40456</v>
      </c>
      <c r="AV448" s="79">
        <v>6246842886</v>
      </c>
      <c r="AW448" s="79">
        <f>SUM(AW10:AW447)</f>
        <v>4906614765.8021221</v>
      </c>
      <c r="AX448" s="79">
        <v>11359048511.850758</v>
      </c>
      <c r="AY448" s="79">
        <v>6513607368</v>
      </c>
      <c r="AZ448" s="79">
        <v>5175694094</v>
      </c>
      <c r="BA448" s="79">
        <v>11626531095.326303</v>
      </c>
      <c r="BB448" s="79">
        <v>6705321561</v>
      </c>
      <c r="BC448" s="79">
        <v>5283343073.4799995</v>
      </c>
      <c r="BD448" s="79">
        <v>11926225791.726231</v>
      </c>
      <c r="BE448" s="79">
        <v>6827673657</v>
      </c>
      <c r="BF448" s="79">
        <v>5502959666.6000013</v>
      </c>
      <c r="BG448" s="79">
        <v>12890335880.607767</v>
      </c>
      <c r="BH448" s="79">
        <v>7166744291</v>
      </c>
      <c r="BI448" s="79">
        <v>5997901328.6000023</v>
      </c>
      <c r="BJ448" s="79">
        <v>13963389872.29413</v>
      </c>
      <c r="BK448" s="79">
        <v>7566302116</v>
      </c>
      <c r="BL448" s="79">
        <v>6592314527.6000013</v>
      </c>
      <c r="BM448" s="79"/>
      <c r="BN448" s="79"/>
      <c r="BO448" s="79"/>
      <c r="BP448" s="79"/>
      <c r="BQ448" s="79"/>
      <c r="BR448" s="79"/>
      <c r="BS448" s="79"/>
      <c r="BT448" s="79"/>
      <c r="BU448" s="79"/>
    </row>
    <row r="449" spans="30:73" s="10" customFormat="1">
      <c r="AD449" s="80"/>
      <c r="AF449" s="80"/>
      <c r="AT449" s="79"/>
      <c r="AW449" s="79"/>
      <c r="AX449" s="79"/>
      <c r="AY449" s="79"/>
      <c r="AZ449" s="79"/>
      <c r="BA449" s="79"/>
      <c r="BB449" s="79"/>
      <c r="BC449" s="79"/>
      <c r="BD449" s="79"/>
      <c r="BE449" s="79"/>
      <c r="BF449" s="79"/>
      <c r="BG449" s="79"/>
      <c r="BH449" s="79"/>
      <c r="BI449" s="79"/>
      <c r="BJ449" s="79"/>
      <c r="BK449" s="79"/>
      <c r="BL449" s="79"/>
      <c r="BR449" s="79"/>
      <c r="BU449" s="79"/>
    </row>
    <row r="450" spans="30:73" s="10" customFormat="1">
      <c r="AW450" s="79"/>
      <c r="AX450" s="79"/>
      <c r="AY450" s="79"/>
      <c r="AZ450" s="79"/>
      <c r="BA450" s="79"/>
      <c r="BB450" s="79"/>
      <c r="BC450" s="79"/>
      <c r="BD450" s="79"/>
      <c r="BE450" s="79"/>
      <c r="BF450" s="79"/>
      <c r="BG450" s="79"/>
      <c r="BH450" s="79"/>
      <c r="BI450" s="79"/>
      <c r="BJ450" s="79"/>
      <c r="BK450" s="79"/>
      <c r="BL450" s="79"/>
    </row>
    <row r="451" spans="30:73" s="10" customFormat="1">
      <c r="AW451" s="79"/>
      <c r="AX451" s="79"/>
      <c r="AY451" s="79"/>
      <c r="AZ451" s="79"/>
      <c r="BA451" s="79"/>
      <c r="BB451" s="79"/>
      <c r="BC451" s="79"/>
      <c r="BD451" s="79"/>
      <c r="BE451" s="79"/>
      <c r="BF451" s="79"/>
      <c r="BG451" s="79"/>
      <c r="BH451" s="79"/>
      <c r="BI451" s="79"/>
      <c r="BJ451" s="79"/>
      <c r="BK451" s="79"/>
      <c r="BL451" s="79"/>
    </row>
    <row r="452" spans="30:73" s="10" customFormat="1">
      <c r="AX452" s="79"/>
      <c r="AY452" s="79"/>
      <c r="AZ452" s="79"/>
      <c r="BA452" s="79"/>
      <c r="BB452" s="79"/>
      <c r="BC452" s="79"/>
      <c r="BD452" s="79"/>
      <c r="BE452" s="79"/>
      <c r="BF452" s="79"/>
      <c r="BG452" s="79"/>
      <c r="BH452" s="79"/>
      <c r="BI452" s="79"/>
      <c r="BJ452" s="79"/>
      <c r="BK452" s="79"/>
      <c r="BL452" s="79"/>
    </row>
    <row r="453" spans="30:73" s="10" customFormat="1">
      <c r="AX453" s="79"/>
      <c r="AY453" s="79"/>
      <c r="AZ453" s="79"/>
      <c r="BA453" s="79"/>
      <c r="BB453" s="79"/>
      <c r="BC453" s="79"/>
      <c r="BD453" s="79"/>
      <c r="BE453" s="79"/>
      <c r="BF453" s="79"/>
      <c r="BG453" s="79"/>
      <c r="BH453" s="79"/>
      <c r="BI453" s="79"/>
      <c r="BJ453" s="79"/>
      <c r="BK453" s="79"/>
      <c r="BL453" s="79"/>
    </row>
    <row r="454" spans="30:73" s="10" customFormat="1">
      <c r="AX454" s="79"/>
      <c r="AY454" s="79"/>
      <c r="AZ454" s="79"/>
      <c r="BA454" s="79"/>
      <c r="BB454" s="79"/>
      <c r="BC454" s="79"/>
      <c r="BD454" s="79"/>
      <c r="BE454" s="79"/>
      <c r="BF454" s="79"/>
      <c r="BG454" s="79"/>
      <c r="BH454" s="79"/>
      <c r="BI454" s="79"/>
      <c r="BJ454" s="79"/>
      <c r="BK454" s="79"/>
      <c r="BL454" s="79"/>
    </row>
    <row r="455" spans="30:73" s="10" customFormat="1">
      <c r="AX455" s="79"/>
      <c r="AY455" s="79"/>
      <c r="AZ455" s="79"/>
      <c r="BA455" s="79"/>
      <c r="BB455" s="79"/>
      <c r="BC455" s="79"/>
      <c r="BD455" s="79"/>
      <c r="BE455" s="79"/>
      <c r="BF455" s="79"/>
      <c r="BG455" s="79"/>
      <c r="BH455" s="79"/>
      <c r="BI455" s="79"/>
      <c r="BJ455" s="79"/>
      <c r="BK455" s="79"/>
      <c r="BL455" s="79"/>
    </row>
    <row r="456" spans="30:73" s="10" customFormat="1">
      <c r="AX456" s="79"/>
      <c r="AY456" s="79"/>
      <c r="AZ456" s="79"/>
      <c r="BA456" s="79"/>
      <c r="BB456" s="79"/>
      <c r="BC456" s="79"/>
      <c r="BD456" s="79"/>
      <c r="BE456" s="79"/>
      <c r="BF456" s="79"/>
      <c r="BG456" s="79"/>
      <c r="BH456" s="79"/>
      <c r="BI456" s="79"/>
      <c r="BJ456" s="79"/>
      <c r="BK456" s="79"/>
      <c r="BL456" s="79"/>
    </row>
    <row r="457" spans="30:73" s="10" customFormat="1">
      <c r="AX457" s="79"/>
      <c r="AY457" s="79"/>
      <c r="AZ457" s="79"/>
      <c r="BA457" s="79"/>
      <c r="BB457" s="79"/>
      <c r="BC457" s="79"/>
      <c r="BD457" s="79"/>
      <c r="BE457" s="79"/>
      <c r="BF457" s="79"/>
      <c r="BG457" s="79"/>
      <c r="BH457" s="79"/>
      <c r="BI457" s="79"/>
      <c r="BJ457" s="79"/>
      <c r="BK457" s="79"/>
      <c r="BL457" s="79"/>
    </row>
    <row r="458" spans="30:73" s="10" customFormat="1">
      <c r="AX458" s="79"/>
      <c r="AY458" s="79"/>
      <c r="AZ458" s="79"/>
      <c r="BA458" s="79"/>
      <c r="BB458" s="79"/>
      <c r="BC458" s="79"/>
      <c r="BD458" s="79"/>
      <c r="BE458" s="79"/>
      <c r="BF458" s="79"/>
      <c r="BG458" s="79"/>
      <c r="BH458" s="79"/>
      <c r="BI458" s="79"/>
      <c r="BJ458" s="79"/>
      <c r="BK458" s="79"/>
      <c r="BL458" s="79"/>
    </row>
    <row r="459" spans="30:73" s="10" customFormat="1">
      <c r="AX459" s="79"/>
      <c r="AY459" s="79"/>
      <c r="AZ459" s="79"/>
      <c r="BA459" s="79"/>
      <c r="BB459" s="79"/>
      <c r="BC459" s="79"/>
      <c r="BD459" s="79"/>
      <c r="BE459" s="79"/>
      <c r="BF459" s="79"/>
      <c r="BG459" s="79"/>
      <c r="BH459" s="79"/>
      <c r="BI459" s="79"/>
      <c r="BJ459" s="79"/>
      <c r="BK459" s="79"/>
      <c r="BL459" s="79"/>
    </row>
    <row r="460" spans="30:73" s="10" customFormat="1">
      <c r="AX460" s="79"/>
      <c r="AY460" s="79"/>
      <c r="AZ460" s="79"/>
      <c r="BA460" s="79"/>
      <c r="BB460" s="79"/>
      <c r="BC460" s="79"/>
      <c r="BD460" s="79"/>
      <c r="BE460" s="79"/>
      <c r="BF460" s="79"/>
      <c r="BG460" s="79"/>
      <c r="BH460" s="79"/>
      <c r="BI460" s="79"/>
      <c r="BJ460" s="79"/>
      <c r="BK460" s="79"/>
      <c r="BL460" s="79"/>
    </row>
    <row r="461" spans="30:73" s="10" customFormat="1">
      <c r="AX461" s="79"/>
      <c r="AY461" s="79"/>
      <c r="AZ461" s="79"/>
      <c r="BA461" s="79"/>
      <c r="BB461" s="79"/>
      <c r="BC461" s="79"/>
      <c r="BD461" s="79"/>
      <c r="BE461" s="79"/>
      <c r="BF461" s="79"/>
      <c r="BG461" s="79"/>
      <c r="BH461" s="79"/>
      <c r="BI461" s="79"/>
      <c r="BJ461" s="79"/>
      <c r="BK461" s="79"/>
      <c r="BL461" s="79"/>
    </row>
    <row r="462" spans="30:73" s="10" customFormat="1">
      <c r="AX462" s="79"/>
      <c r="AY462" s="79"/>
      <c r="AZ462" s="79"/>
      <c r="BA462" s="79"/>
      <c r="BB462" s="79"/>
      <c r="BC462" s="79"/>
      <c r="BD462" s="79"/>
      <c r="BE462" s="79"/>
      <c r="BF462" s="79"/>
      <c r="BG462" s="79"/>
      <c r="BH462" s="79"/>
      <c r="BI462" s="79"/>
      <c r="BJ462" s="79"/>
      <c r="BK462" s="79"/>
      <c r="BL462" s="79"/>
    </row>
    <row r="463" spans="30:73" s="10" customFormat="1">
      <c r="AX463" s="79"/>
      <c r="AY463" s="79"/>
      <c r="AZ463" s="79"/>
      <c r="BA463" s="79"/>
      <c r="BB463" s="79"/>
      <c r="BC463" s="79"/>
      <c r="BD463" s="79"/>
      <c r="BE463" s="79"/>
      <c r="BF463" s="79"/>
      <c r="BG463" s="79"/>
      <c r="BH463" s="79"/>
      <c r="BI463" s="79"/>
      <c r="BJ463" s="79"/>
      <c r="BK463" s="79"/>
      <c r="BL463" s="79"/>
    </row>
    <row r="464" spans="30:73" s="10" customFormat="1">
      <c r="AX464" s="79"/>
      <c r="AY464" s="79"/>
      <c r="AZ464" s="79"/>
      <c r="BA464" s="79"/>
      <c r="BB464" s="79"/>
      <c r="BC464" s="79"/>
      <c r="BD464" s="79"/>
      <c r="BE464" s="79"/>
      <c r="BF464" s="79"/>
      <c r="BG464" s="79"/>
      <c r="BH464" s="79"/>
      <c r="BI464" s="79"/>
      <c r="BJ464" s="79"/>
      <c r="BK464" s="79"/>
      <c r="BL464" s="79"/>
    </row>
    <row r="465" spans="50:64" s="10" customFormat="1">
      <c r="AX465" s="79"/>
      <c r="AY465" s="79"/>
      <c r="AZ465" s="79"/>
      <c r="BA465" s="79"/>
      <c r="BB465" s="79"/>
      <c r="BC465" s="79"/>
      <c r="BD465" s="79"/>
      <c r="BE465" s="79"/>
      <c r="BF465" s="79"/>
      <c r="BG465" s="79"/>
      <c r="BH465" s="79"/>
      <c r="BI465" s="79"/>
      <c r="BJ465" s="79"/>
      <c r="BK465" s="79"/>
      <c r="BL465" s="79"/>
    </row>
    <row r="466" spans="50:64" s="10" customFormat="1">
      <c r="AX466" s="79"/>
      <c r="AY466" s="79"/>
      <c r="AZ466" s="79"/>
      <c r="BA466" s="79"/>
      <c r="BB466" s="79"/>
      <c r="BC466" s="79"/>
      <c r="BD466" s="79"/>
      <c r="BE466" s="79"/>
      <c r="BF466" s="79"/>
      <c r="BG466" s="79"/>
      <c r="BH466" s="79"/>
      <c r="BI466" s="79"/>
      <c r="BJ466" s="79"/>
      <c r="BK466" s="79"/>
      <c r="BL466" s="79"/>
    </row>
    <row r="467" spans="50:64" s="10" customFormat="1">
      <c r="AX467" s="79"/>
      <c r="AY467" s="79"/>
      <c r="AZ467" s="79"/>
      <c r="BA467" s="79"/>
      <c r="BB467" s="79"/>
      <c r="BC467" s="79"/>
      <c r="BD467" s="79"/>
      <c r="BE467" s="79"/>
      <c r="BF467" s="79"/>
      <c r="BG467" s="79"/>
      <c r="BH467" s="79"/>
      <c r="BI467" s="79"/>
      <c r="BJ467" s="79"/>
      <c r="BK467" s="79"/>
      <c r="BL467" s="79"/>
    </row>
    <row r="468" spans="50:64" s="10" customFormat="1">
      <c r="AX468" s="79"/>
      <c r="AY468" s="79"/>
      <c r="AZ468" s="79"/>
      <c r="BA468" s="79"/>
      <c r="BB468" s="79"/>
      <c r="BC468" s="79"/>
      <c r="BD468" s="79"/>
      <c r="BE468" s="79"/>
      <c r="BF468" s="79"/>
      <c r="BG468" s="79"/>
      <c r="BH468" s="79"/>
      <c r="BI468" s="79"/>
      <c r="BJ468" s="79"/>
      <c r="BK468" s="79"/>
      <c r="BL468" s="79"/>
    </row>
    <row r="469" spans="50:64" s="10" customFormat="1">
      <c r="AX469" s="79"/>
      <c r="AY469" s="79"/>
      <c r="AZ469" s="79"/>
      <c r="BA469" s="79"/>
      <c r="BB469" s="79"/>
      <c r="BC469" s="79"/>
      <c r="BD469" s="79"/>
      <c r="BE469" s="79"/>
      <c r="BF469" s="79"/>
      <c r="BG469" s="79"/>
      <c r="BH469" s="79"/>
      <c r="BI469" s="79"/>
      <c r="BJ469" s="79"/>
      <c r="BK469" s="79"/>
      <c r="BL469" s="79"/>
    </row>
    <row r="470" spans="50:64" s="10" customFormat="1">
      <c r="AX470" s="79"/>
      <c r="AY470" s="79"/>
      <c r="AZ470" s="79"/>
      <c r="BA470" s="79"/>
      <c r="BB470" s="79"/>
      <c r="BC470" s="79"/>
      <c r="BD470" s="79"/>
      <c r="BE470" s="79"/>
      <c r="BF470" s="79"/>
      <c r="BG470" s="79"/>
      <c r="BH470" s="79"/>
      <c r="BI470" s="79"/>
      <c r="BJ470" s="79"/>
      <c r="BK470" s="79"/>
      <c r="BL470" s="79"/>
    </row>
    <row r="471" spans="50:64" s="10" customFormat="1">
      <c r="AX471" s="79"/>
      <c r="AY471" s="79"/>
      <c r="AZ471" s="79"/>
      <c r="BA471" s="79"/>
      <c r="BB471" s="79"/>
      <c r="BC471" s="79"/>
      <c r="BD471" s="79"/>
      <c r="BE471" s="79"/>
      <c r="BF471" s="79"/>
      <c r="BG471" s="79"/>
      <c r="BH471" s="79"/>
      <c r="BI471" s="79"/>
      <c r="BJ471" s="79"/>
      <c r="BK471" s="79"/>
      <c r="BL471" s="79"/>
    </row>
    <row r="472" spans="50:64" s="10" customFormat="1">
      <c r="AX472" s="79"/>
      <c r="AY472" s="79"/>
      <c r="AZ472" s="79"/>
      <c r="BA472" s="79"/>
      <c r="BB472" s="79"/>
      <c r="BC472" s="79"/>
      <c r="BD472" s="79"/>
      <c r="BE472" s="79"/>
      <c r="BF472" s="79"/>
      <c r="BG472" s="79"/>
      <c r="BH472" s="79"/>
      <c r="BI472" s="79"/>
      <c r="BJ472" s="79"/>
      <c r="BK472" s="79"/>
      <c r="BL472" s="79"/>
    </row>
    <row r="473" spans="50:64" s="10" customFormat="1">
      <c r="AX473" s="79"/>
      <c r="AY473" s="79"/>
      <c r="AZ473" s="79"/>
      <c r="BA473" s="79"/>
      <c r="BB473" s="79"/>
      <c r="BC473" s="79"/>
      <c r="BD473" s="79"/>
      <c r="BE473" s="79"/>
      <c r="BF473" s="79"/>
      <c r="BG473" s="79"/>
      <c r="BH473" s="79"/>
      <c r="BI473" s="79"/>
      <c r="BJ473" s="79"/>
      <c r="BK473" s="79"/>
      <c r="BL473" s="79"/>
    </row>
    <row r="474" spans="50:64" s="10" customFormat="1">
      <c r="AX474" s="79"/>
      <c r="AY474" s="79"/>
      <c r="AZ474" s="79"/>
      <c r="BA474" s="79"/>
      <c r="BB474" s="79"/>
      <c r="BC474" s="79"/>
      <c r="BD474" s="79"/>
      <c r="BE474" s="79"/>
      <c r="BF474" s="79"/>
      <c r="BG474" s="79"/>
      <c r="BH474" s="79"/>
      <c r="BI474" s="79"/>
      <c r="BJ474" s="79"/>
      <c r="BK474" s="79"/>
      <c r="BL474" s="79"/>
    </row>
    <row r="475" spans="50:64" s="10" customFormat="1">
      <c r="AX475" s="79"/>
      <c r="AY475" s="79"/>
      <c r="AZ475" s="79"/>
      <c r="BA475" s="79"/>
      <c r="BB475" s="79"/>
      <c r="BC475" s="79"/>
      <c r="BD475" s="79"/>
      <c r="BE475" s="79"/>
      <c r="BF475" s="79"/>
      <c r="BG475" s="79"/>
      <c r="BH475" s="79"/>
      <c r="BI475" s="79"/>
      <c r="BJ475" s="79"/>
      <c r="BK475" s="79"/>
      <c r="BL475" s="79"/>
    </row>
    <row r="476" spans="50:64" s="10" customFormat="1">
      <c r="AX476" s="79"/>
      <c r="AY476" s="79"/>
      <c r="AZ476" s="79"/>
      <c r="BA476" s="79"/>
      <c r="BB476" s="79"/>
      <c r="BC476" s="79"/>
      <c r="BD476" s="79"/>
      <c r="BE476" s="79"/>
      <c r="BF476" s="79"/>
      <c r="BG476" s="79"/>
      <c r="BH476" s="79"/>
      <c r="BI476" s="79"/>
      <c r="BJ476" s="79"/>
      <c r="BK476" s="79"/>
      <c r="BL476" s="79"/>
    </row>
    <row r="477" spans="50:64" s="10" customFormat="1">
      <c r="AX477" s="79"/>
      <c r="AY477" s="79"/>
      <c r="AZ477" s="79"/>
      <c r="BA477" s="79"/>
      <c r="BB477" s="79"/>
      <c r="BC477" s="79"/>
      <c r="BD477" s="79"/>
      <c r="BE477" s="79"/>
      <c r="BF477" s="79"/>
      <c r="BG477" s="79"/>
      <c r="BH477" s="79"/>
      <c r="BI477" s="79"/>
      <c r="BJ477" s="79"/>
      <c r="BK477" s="79"/>
      <c r="BL477" s="79"/>
    </row>
    <row r="478" spans="50:64" s="10" customFormat="1">
      <c r="AX478" s="79"/>
      <c r="AY478" s="79"/>
      <c r="AZ478" s="79"/>
      <c r="BA478" s="79"/>
      <c r="BB478" s="79"/>
      <c r="BC478" s="79"/>
      <c r="BD478" s="79"/>
      <c r="BE478" s="79"/>
      <c r="BF478" s="79"/>
      <c r="BG478" s="79"/>
      <c r="BH478" s="79"/>
      <c r="BI478" s="79"/>
      <c r="BJ478" s="79"/>
      <c r="BK478" s="79"/>
      <c r="BL478" s="79"/>
    </row>
    <row r="479" spans="50:64" s="10" customFormat="1">
      <c r="AX479" s="79"/>
      <c r="AY479" s="79"/>
      <c r="AZ479" s="79"/>
      <c r="BA479" s="79"/>
      <c r="BB479" s="79"/>
      <c r="BC479" s="79"/>
      <c r="BD479" s="79"/>
      <c r="BE479" s="79"/>
      <c r="BF479" s="79"/>
      <c r="BG479" s="79"/>
      <c r="BH479" s="79"/>
      <c r="BI479" s="79"/>
      <c r="BJ479" s="79"/>
      <c r="BK479" s="79"/>
      <c r="BL479" s="79"/>
    </row>
    <row r="480" spans="50:64" s="10" customFormat="1">
      <c r="AX480" s="79"/>
      <c r="AY480" s="79"/>
      <c r="AZ480" s="79"/>
      <c r="BA480" s="79"/>
      <c r="BB480" s="79"/>
      <c r="BC480" s="79"/>
      <c r="BD480" s="79"/>
      <c r="BE480" s="79"/>
      <c r="BF480" s="79"/>
      <c r="BG480" s="79"/>
      <c r="BH480" s="79"/>
      <c r="BI480" s="79"/>
      <c r="BJ480" s="79"/>
      <c r="BK480" s="79"/>
      <c r="BL480" s="79"/>
    </row>
    <row r="481" spans="50:64" s="10" customFormat="1">
      <c r="AX481" s="79"/>
      <c r="AY481" s="79"/>
      <c r="AZ481" s="79"/>
      <c r="BA481" s="79"/>
      <c r="BB481" s="79"/>
      <c r="BC481" s="79"/>
      <c r="BD481" s="79"/>
      <c r="BE481" s="79"/>
      <c r="BF481" s="79"/>
      <c r="BG481" s="79"/>
      <c r="BH481" s="79"/>
      <c r="BI481" s="79"/>
      <c r="BJ481" s="79"/>
      <c r="BK481" s="79"/>
      <c r="BL481" s="79"/>
    </row>
    <row r="482" spans="50:64" s="10" customFormat="1">
      <c r="AX482" s="79"/>
      <c r="AY482" s="79"/>
      <c r="AZ482" s="79"/>
      <c r="BA482" s="79"/>
      <c r="BB482" s="79"/>
      <c r="BC482" s="79"/>
      <c r="BD482" s="79"/>
      <c r="BE482" s="79"/>
      <c r="BF482" s="79"/>
      <c r="BG482" s="79"/>
      <c r="BH482" s="79"/>
      <c r="BI482" s="79"/>
      <c r="BJ482" s="79"/>
      <c r="BK482" s="79"/>
      <c r="BL482" s="79"/>
    </row>
    <row r="483" spans="50:64" s="10" customFormat="1">
      <c r="AX483" s="79"/>
      <c r="AY483" s="79"/>
      <c r="AZ483" s="79"/>
      <c r="BA483" s="79"/>
      <c r="BB483" s="79"/>
      <c r="BC483" s="79"/>
      <c r="BD483" s="79"/>
      <c r="BE483" s="79"/>
      <c r="BF483" s="79"/>
      <c r="BG483" s="79"/>
      <c r="BH483" s="79"/>
      <c r="BI483" s="79"/>
      <c r="BJ483" s="79"/>
      <c r="BK483" s="79"/>
      <c r="BL483" s="79"/>
    </row>
    <row r="484" spans="50:64" s="10" customFormat="1">
      <c r="AX484" s="79"/>
      <c r="AY484" s="79"/>
      <c r="AZ484" s="79"/>
      <c r="BA484" s="79"/>
      <c r="BB484" s="79"/>
      <c r="BC484" s="79"/>
      <c r="BD484" s="79"/>
      <c r="BE484" s="79"/>
      <c r="BF484" s="79"/>
      <c r="BG484" s="79"/>
      <c r="BH484" s="79"/>
      <c r="BI484" s="79"/>
      <c r="BJ484" s="79"/>
      <c r="BK484" s="79"/>
      <c r="BL484" s="79"/>
    </row>
    <row r="485" spans="50:64" s="10" customFormat="1">
      <c r="AX485" s="79"/>
      <c r="AY485" s="79"/>
      <c r="AZ485" s="79"/>
      <c r="BA485" s="79"/>
      <c r="BB485" s="79"/>
      <c r="BC485" s="79"/>
      <c r="BD485" s="79"/>
      <c r="BE485" s="79"/>
      <c r="BF485" s="79"/>
      <c r="BG485" s="79"/>
      <c r="BH485" s="79"/>
      <c r="BI485" s="79"/>
      <c r="BJ485" s="79"/>
      <c r="BK485" s="79"/>
      <c r="BL485" s="79"/>
    </row>
    <row r="486" spans="50:64" s="10" customFormat="1">
      <c r="AX486" s="79"/>
      <c r="AY486" s="79"/>
      <c r="AZ486" s="79"/>
      <c r="BA486" s="79"/>
      <c r="BB486" s="79"/>
      <c r="BC486" s="79"/>
      <c r="BD486" s="79"/>
      <c r="BE486" s="79"/>
      <c r="BF486" s="79"/>
      <c r="BG486" s="79"/>
      <c r="BH486" s="79"/>
      <c r="BI486" s="79"/>
      <c r="BJ486" s="79"/>
      <c r="BK486" s="79"/>
      <c r="BL486" s="79"/>
    </row>
    <row r="487" spans="50:64" s="10" customFormat="1">
      <c r="AX487" s="79"/>
      <c r="AY487" s="79"/>
      <c r="AZ487" s="79"/>
      <c r="BA487" s="79"/>
      <c r="BB487" s="79"/>
      <c r="BC487" s="79"/>
      <c r="BD487" s="79"/>
      <c r="BE487" s="79"/>
      <c r="BF487" s="79"/>
      <c r="BG487" s="79"/>
      <c r="BH487" s="79"/>
      <c r="BI487" s="79"/>
      <c r="BJ487" s="79"/>
      <c r="BK487" s="79"/>
      <c r="BL487" s="79"/>
    </row>
    <row r="488" spans="50:64" s="10" customFormat="1">
      <c r="AX488" s="79"/>
      <c r="AY488" s="79"/>
      <c r="AZ488" s="79"/>
      <c r="BA488" s="79"/>
      <c r="BB488" s="79"/>
      <c r="BC488" s="79"/>
      <c r="BD488" s="79"/>
      <c r="BE488" s="79"/>
      <c r="BF488" s="79"/>
      <c r="BG488" s="79"/>
      <c r="BH488" s="79"/>
      <c r="BI488" s="79"/>
      <c r="BJ488" s="79"/>
      <c r="BK488" s="79"/>
      <c r="BL488" s="79"/>
    </row>
    <row r="489" spans="50:64" s="10" customFormat="1">
      <c r="AX489" s="79"/>
      <c r="AY489" s="79"/>
      <c r="AZ489" s="79"/>
      <c r="BA489" s="79"/>
      <c r="BB489" s="79"/>
      <c r="BC489" s="79"/>
      <c r="BD489" s="79"/>
      <c r="BE489" s="79"/>
      <c r="BF489" s="79"/>
      <c r="BG489" s="79"/>
      <c r="BH489" s="79"/>
      <c r="BI489" s="79"/>
      <c r="BJ489" s="79"/>
      <c r="BK489" s="79"/>
      <c r="BL489" s="79"/>
    </row>
    <row r="490" spans="50:64" s="10" customFormat="1">
      <c r="AX490" s="79"/>
      <c r="AY490" s="79"/>
      <c r="AZ490" s="79"/>
      <c r="BA490" s="79"/>
      <c r="BB490" s="79"/>
      <c r="BC490" s="79"/>
      <c r="BD490" s="79"/>
      <c r="BE490" s="79"/>
      <c r="BF490" s="79"/>
      <c r="BG490" s="79"/>
      <c r="BH490" s="79"/>
      <c r="BI490" s="79"/>
      <c r="BJ490" s="79"/>
      <c r="BK490" s="79"/>
      <c r="BL490" s="79"/>
    </row>
    <row r="491" spans="50:64" s="10" customFormat="1">
      <c r="AX491" s="79"/>
      <c r="AY491" s="79"/>
      <c r="AZ491" s="79"/>
      <c r="BA491" s="79"/>
      <c r="BB491" s="79"/>
      <c r="BC491" s="79"/>
      <c r="BD491" s="79"/>
      <c r="BE491" s="79"/>
      <c r="BF491" s="79"/>
      <c r="BG491" s="79"/>
      <c r="BH491" s="79"/>
      <c r="BI491" s="79"/>
      <c r="BJ491" s="79"/>
      <c r="BK491" s="79"/>
      <c r="BL491" s="79"/>
    </row>
    <row r="492" spans="50:64" s="10" customFormat="1">
      <c r="AX492" s="79"/>
      <c r="AY492" s="79"/>
      <c r="AZ492" s="79"/>
      <c r="BA492" s="79"/>
      <c r="BB492" s="79"/>
      <c r="BC492" s="79"/>
      <c r="BD492" s="79"/>
      <c r="BE492" s="79"/>
      <c r="BF492" s="79"/>
      <c r="BG492" s="79"/>
      <c r="BH492" s="79"/>
      <c r="BI492" s="79"/>
      <c r="BJ492" s="79"/>
      <c r="BK492" s="79"/>
      <c r="BL492" s="79"/>
    </row>
    <row r="493" spans="50:64" s="10" customFormat="1">
      <c r="AX493" s="79"/>
      <c r="AY493" s="79"/>
      <c r="AZ493" s="79"/>
      <c r="BA493" s="79"/>
      <c r="BB493" s="79"/>
      <c r="BC493" s="79"/>
      <c r="BD493" s="79"/>
      <c r="BE493" s="79"/>
      <c r="BF493" s="79"/>
      <c r="BG493" s="79"/>
      <c r="BH493" s="79"/>
      <c r="BI493" s="79"/>
      <c r="BJ493" s="79"/>
      <c r="BK493" s="79"/>
      <c r="BL493" s="79"/>
    </row>
    <row r="494" spans="50:64" s="10" customFormat="1">
      <c r="AX494" s="79"/>
      <c r="AY494" s="79"/>
      <c r="AZ494" s="79"/>
      <c r="BA494" s="79"/>
      <c r="BB494" s="79"/>
      <c r="BC494" s="79"/>
      <c r="BD494" s="79"/>
      <c r="BE494" s="79"/>
      <c r="BF494" s="79"/>
      <c r="BG494" s="79"/>
      <c r="BH494" s="79"/>
      <c r="BI494" s="79"/>
      <c r="BJ494" s="79"/>
      <c r="BK494" s="79"/>
      <c r="BL494" s="79"/>
    </row>
    <row r="495" spans="50:64" s="10" customFormat="1">
      <c r="AX495" s="79"/>
      <c r="AY495" s="79"/>
      <c r="AZ495" s="79"/>
      <c r="BA495" s="79"/>
      <c r="BB495" s="79"/>
      <c r="BC495" s="79"/>
      <c r="BD495" s="79"/>
      <c r="BE495" s="79"/>
      <c r="BF495" s="79"/>
      <c r="BG495" s="79"/>
      <c r="BH495" s="79"/>
      <c r="BI495" s="79"/>
      <c r="BJ495" s="79"/>
      <c r="BK495" s="79"/>
      <c r="BL495" s="79"/>
    </row>
    <row r="496" spans="50:64" s="10" customFormat="1">
      <c r="AX496" s="79"/>
      <c r="AY496" s="79"/>
      <c r="AZ496" s="79"/>
      <c r="BA496" s="79"/>
      <c r="BB496" s="79"/>
      <c r="BC496" s="79"/>
      <c r="BD496" s="79"/>
      <c r="BE496" s="79"/>
      <c r="BF496" s="79"/>
      <c r="BG496" s="79"/>
      <c r="BH496" s="79"/>
      <c r="BI496" s="79"/>
      <c r="BJ496" s="79"/>
      <c r="BK496" s="79"/>
      <c r="BL496" s="79"/>
    </row>
    <row r="497" spans="50:64" s="10" customFormat="1">
      <c r="AX497" s="79"/>
      <c r="AY497" s="79"/>
      <c r="AZ497" s="79"/>
      <c r="BA497" s="79"/>
      <c r="BB497" s="79"/>
      <c r="BC497" s="79"/>
      <c r="BD497" s="79"/>
      <c r="BE497" s="79"/>
      <c r="BF497" s="79"/>
      <c r="BG497" s="79"/>
      <c r="BH497" s="79"/>
      <c r="BI497" s="79"/>
      <c r="BJ497" s="79"/>
      <c r="BK497" s="79"/>
      <c r="BL497" s="79"/>
    </row>
    <row r="498" spans="50:64" s="10" customFormat="1">
      <c r="AX498" s="79"/>
      <c r="AY498" s="79"/>
      <c r="AZ498" s="79"/>
      <c r="BA498" s="79"/>
      <c r="BB498" s="79"/>
      <c r="BC498" s="79"/>
      <c r="BD498" s="79"/>
      <c r="BE498" s="79"/>
      <c r="BF498" s="79"/>
      <c r="BG498" s="79"/>
      <c r="BH498" s="79"/>
      <c r="BI498" s="79"/>
      <c r="BJ498" s="79"/>
      <c r="BK498" s="79"/>
      <c r="BL498" s="79"/>
    </row>
    <row r="499" spans="50:64" s="10" customFormat="1">
      <c r="AX499" s="79"/>
      <c r="AY499" s="79"/>
      <c r="AZ499" s="79"/>
      <c r="BA499" s="79"/>
      <c r="BB499" s="79"/>
      <c r="BC499" s="79"/>
      <c r="BD499" s="79"/>
      <c r="BE499" s="79"/>
      <c r="BF499" s="79"/>
      <c r="BG499" s="79"/>
      <c r="BH499" s="79"/>
      <c r="BI499" s="79"/>
      <c r="BJ499" s="79"/>
      <c r="BK499" s="79"/>
      <c r="BL499" s="79"/>
    </row>
    <row r="500" spans="50:64" s="10" customFormat="1">
      <c r="AX500" s="79"/>
      <c r="AY500" s="79"/>
      <c r="AZ500" s="79"/>
      <c r="BA500" s="79"/>
      <c r="BB500" s="79"/>
      <c r="BC500" s="79"/>
      <c r="BD500" s="79"/>
      <c r="BE500" s="79"/>
      <c r="BF500" s="79"/>
      <c r="BG500" s="79"/>
      <c r="BH500" s="79"/>
      <c r="BI500" s="79"/>
      <c r="BJ500" s="79"/>
      <c r="BK500" s="79"/>
      <c r="BL500" s="79"/>
    </row>
    <row r="501" spans="50:64" s="10" customFormat="1">
      <c r="AX501" s="79"/>
      <c r="AY501" s="79"/>
      <c r="AZ501" s="79"/>
      <c r="BA501" s="79"/>
      <c r="BB501" s="79"/>
      <c r="BC501" s="79"/>
      <c r="BD501" s="79"/>
      <c r="BE501" s="79"/>
      <c r="BF501" s="79"/>
      <c r="BG501" s="79"/>
      <c r="BH501" s="79"/>
      <c r="BI501" s="79"/>
      <c r="BJ501" s="79"/>
      <c r="BK501" s="79"/>
      <c r="BL501" s="79"/>
    </row>
    <row r="502" spans="50:64" s="10" customFormat="1">
      <c r="AX502" s="79"/>
      <c r="AY502" s="79"/>
      <c r="AZ502" s="79"/>
      <c r="BA502" s="79"/>
      <c r="BB502" s="79"/>
      <c r="BC502" s="79"/>
      <c r="BD502" s="79"/>
      <c r="BE502" s="79"/>
      <c r="BF502" s="79"/>
      <c r="BG502" s="79"/>
      <c r="BH502" s="79"/>
      <c r="BI502" s="79"/>
      <c r="BJ502" s="79"/>
      <c r="BK502" s="79"/>
      <c r="BL502" s="79"/>
    </row>
    <row r="503" spans="50:64" s="10" customFormat="1">
      <c r="AX503" s="79"/>
      <c r="AY503" s="79"/>
      <c r="AZ503" s="79"/>
      <c r="BA503" s="79"/>
      <c r="BB503" s="79"/>
      <c r="BC503" s="79"/>
      <c r="BD503" s="79"/>
      <c r="BE503" s="79"/>
      <c r="BF503" s="79"/>
      <c r="BG503" s="79"/>
      <c r="BH503" s="79"/>
      <c r="BI503" s="79"/>
      <c r="BJ503" s="79"/>
      <c r="BK503" s="79"/>
      <c r="BL503" s="79"/>
    </row>
    <row r="504" spans="50:64" s="10" customFormat="1">
      <c r="AX504" s="79"/>
      <c r="AY504" s="79"/>
      <c r="AZ504" s="79"/>
      <c r="BA504" s="79"/>
      <c r="BB504" s="79"/>
      <c r="BC504" s="79"/>
      <c r="BD504" s="79"/>
      <c r="BE504" s="79"/>
      <c r="BF504" s="79"/>
      <c r="BG504" s="79"/>
      <c r="BH504" s="79"/>
      <c r="BI504" s="79"/>
      <c r="BJ504" s="79"/>
      <c r="BK504" s="79"/>
      <c r="BL504" s="79"/>
    </row>
    <row r="505" spans="50:64" s="10" customFormat="1">
      <c r="AX505" s="79"/>
      <c r="AY505" s="79"/>
      <c r="AZ505" s="79"/>
      <c r="BA505" s="79"/>
      <c r="BB505" s="79"/>
      <c r="BC505" s="79"/>
      <c r="BD505" s="79"/>
      <c r="BE505" s="79"/>
      <c r="BF505" s="79"/>
      <c r="BG505" s="79"/>
      <c r="BH505" s="79"/>
      <c r="BI505" s="79"/>
      <c r="BJ505" s="79"/>
      <c r="BK505" s="79"/>
      <c r="BL505" s="79"/>
    </row>
    <row r="506" spans="50:64" s="10" customFormat="1">
      <c r="AX506" s="79"/>
      <c r="AY506" s="79"/>
      <c r="AZ506" s="79"/>
      <c r="BA506" s="79"/>
      <c r="BB506" s="79"/>
      <c r="BC506" s="79"/>
      <c r="BD506" s="79"/>
      <c r="BE506" s="79"/>
      <c r="BF506" s="79"/>
      <c r="BG506" s="79"/>
      <c r="BH506" s="79"/>
      <c r="BI506" s="79"/>
      <c r="BJ506" s="79"/>
      <c r="BK506" s="79"/>
      <c r="BL506" s="79"/>
    </row>
    <row r="507" spans="50:64" s="10" customFormat="1">
      <c r="AX507" s="79"/>
      <c r="AY507" s="79"/>
      <c r="AZ507" s="79"/>
      <c r="BA507" s="79"/>
      <c r="BB507" s="79"/>
      <c r="BC507" s="79"/>
      <c r="BD507" s="79"/>
      <c r="BE507" s="79"/>
      <c r="BF507" s="79"/>
      <c r="BG507" s="79"/>
      <c r="BH507" s="79"/>
      <c r="BI507" s="79"/>
      <c r="BJ507" s="79"/>
      <c r="BK507" s="79"/>
      <c r="BL507" s="79"/>
    </row>
    <row r="508" spans="50:64" s="10" customFormat="1">
      <c r="AX508" s="79"/>
      <c r="AY508" s="79"/>
      <c r="AZ508" s="79"/>
      <c r="BA508" s="79"/>
      <c r="BB508" s="79"/>
      <c r="BC508" s="79"/>
      <c r="BD508" s="79"/>
      <c r="BE508" s="79"/>
      <c r="BF508" s="79"/>
      <c r="BG508" s="79"/>
      <c r="BH508" s="79"/>
      <c r="BI508" s="79"/>
      <c r="BJ508" s="79"/>
      <c r="BK508" s="79"/>
      <c r="BL508" s="79"/>
    </row>
    <row r="509" spans="50:64" s="10" customFormat="1">
      <c r="AX509" s="79"/>
      <c r="AY509" s="79"/>
      <c r="AZ509" s="79"/>
      <c r="BA509" s="79"/>
      <c r="BB509" s="79"/>
      <c r="BC509" s="79"/>
      <c r="BD509" s="79"/>
      <c r="BE509" s="79"/>
      <c r="BF509" s="79"/>
      <c r="BG509" s="79"/>
      <c r="BH509" s="79"/>
      <c r="BI509" s="79"/>
      <c r="BJ509" s="79"/>
      <c r="BK509" s="79"/>
      <c r="BL509" s="79"/>
    </row>
    <row r="510" spans="50:64" s="10" customFormat="1">
      <c r="AX510" s="79"/>
      <c r="AY510" s="79"/>
      <c r="AZ510" s="79"/>
      <c r="BA510" s="79"/>
      <c r="BB510" s="79"/>
      <c r="BC510" s="79"/>
      <c r="BD510" s="79"/>
      <c r="BE510" s="79"/>
      <c r="BF510" s="79"/>
      <c r="BG510" s="79"/>
      <c r="BH510" s="79"/>
      <c r="BI510" s="79"/>
      <c r="BJ510" s="79"/>
      <c r="BK510" s="79"/>
      <c r="BL510" s="79"/>
    </row>
    <row r="511" spans="50:64" s="10" customFormat="1">
      <c r="AX511" s="79"/>
      <c r="AY511" s="79"/>
      <c r="AZ511" s="79"/>
      <c r="BA511" s="79"/>
      <c r="BB511" s="79"/>
      <c r="BC511" s="79"/>
      <c r="BD511" s="79"/>
      <c r="BE511" s="79"/>
      <c r="BF511" s="79"/>
      <c r="BG511" s="79"/>
      <c r="BH511" s="79"/>
      <c r="BI511" s="79"/>
      <c r="BJ511" s="79"/>
      <c r="BK511" s="79"/>
      <c r="BL511" s="79"/>
    </row>
    <row r="512" spans="50:64" s="10" customFormat="1">
      <c r="AX512" s="79"/>
      <c r="AY512" s="79"/>
      <c r="AZ512" s="79"/>
      <c r="BA512" s="79"/>
      <c r="BB512" s="79"/>
      <c r="BC512" s="79"/>
      <c r="BD512" s="79"/>
      <c r="BE512" s="79"/>
      <c r="BF512" s="79"/>
      <c r="BG512" s="79"/>
      <c r="BH512" s="79"/>
      <c r="BI512" s="79"/>
      <c r="BJ512" s="79"/>
      <c r="BK512" s="79"/>
      <c r="BL512" s="79"/>
    </row>
    <row r="513" spans="50:64" s="10" customFormat="1">
      <c r="AX513" s="79"/>
      <c r="AY513" s="79"/>
      <c r="AZ513" s="79"/>
      <c r="BA513" s="79"/>
      <c r="BB513" s="79"/>
      <c r="BC513" s="79"/>
      <c r="BD513" s="79"/>
      <c r="BE513" s="79"/>
      <c r="BF513" s="79"/>
      <c r="BG513" s="79"/>
      <c r="BH513" s="79"/>
      <c r="BI513" s="79"/>
      <c r="BJ513" s="79"/>
      <c r="BK513" s="79"/>
      <c r="BL513" s="79"/>
    </row>
    <row r="514" spans="50:64" s="10" customFormat="1">
      <c r="AX514" s="79"/>
      <c r="AY514" s="79"/>
      <c r="AZ514" s="79"/>
      <c r="BA514" s="79"/>
      <c r="BB514" s="79"/>
      <c r="BC514" s="79"/>
      <c r="BD514" s="79"/>
      <c r="BE514" s="79"/>
      <c r="BF514" s="79"/>
      <c r="BG514" s="79"/>
      <c r="BH514" s="79"/>
      <c r="BI514" s="79"/>
      <c r="BJ514" s="79"/>
      <c r="BK514" s="79"/>
      <c r="BL514" s="79"/>
    </row>
    <row r="515" spans="50:64" s="10" customFormat="1">
      <c r="AX515" s="79"/>
      <c r="AY515" s="79"/>
      <c r="AZ515" s="79"/>
      <c r="BA515" s="79"/>
      <c r="BB515" s="79"/>
      <c r="BC515" s="79"/>
      <c r="BD515" s="79"/>
      <c r="BE515" s="79"/>
      <c r="BF515" s="79"/>
      <c r="BG515" s="79"/>
      <c r="BH515" s="79"/>
      <c r="BI515" s="79"/>
      <c r="BJ515" s="79"/>
      <c r="BK515" s="79"/>
      <c r="BL515" s="79"/>
    </row>
    <row r="516" spans="50:64" s="10" customFormat="1">
      <c r="AX516" s="79"/>
      <c r="AY516" s="79"/>
      <c r="AZ516" s="79"/>
      <c r="BA516" s="79"/>
      <c r="BB516" s="79"/>
      <c r="BC516" s="79"/>
      <c r="BD516" s="79"/>
      <c r="BE516" s="79"/>
      <c r="BF516" s="79"/>
      <c r="BG516" s="79"/>
      <c r="BH516" s="79"/>
      <c r="BI516" s="79"/>
      <c r="BJ516" s="79"/>
      <c r="BK516" s="79"/>
      <c r="BL516" s="79"/>
    </row>
    <row r="517" spans="50:64" s="10" customFormat="1">
      <c r="AX517" s="79"/>
      <c r="AY517" s="79"/>
      <c r="AZ517" s="79"/>
      <c r="BA517" s="79"/>
      <c r="BB517" s="79"/>
      <c r="BC517" s="79"/>
      <c r="BD517" s="79"/>
      <c r="BE517" s="79"/>
      <c r="BF517" s="79"/>
      <c r="BG517" s="79"/>
      <c r="BH517" s="79"/>
      <c r="BI517" s="79"/>
      <c r="BJ517" s="79"/>
      <c r="BK517" s="79"/>
      <c r="BL517" s="79"/>
    </row>
    <row r="518" spans="50:64" s="10" customFormat="1">
      <c r="AX518" s="79"/>
      <c r="AY518" s="79"/>
      <c r="AZ518" s="79"/>
      <c r="BA518" s="79"/>
      <c r="BB518" s="79"/>
      <c r="BC518" s="79"/>
      <c r="BD518" s="79"/>
      <c r="BE518" s="79"/>
      <c r="BF518" s="79"/>
      <c r="BG518" s="79"/>
      <c r="BH518" s="79"/>
      <c r="BI518" s="79"/>
      <c r="BJ518" s="79"/>
      <c r="BK518" s="79"/>
      <c r="BL518" s="79"/>
    </row>
    <row r="519" spans="50:64" s="10" customFormat="1">
      <c r="AX519" s="79"/>
      <c r="AY519" s="79"/>
      <c r="AZ519" s="79"/>
      <c r="BA519" s="79"/>
      <c r="BB519" s="79"/>
      <c r="BC519" s="79"/>
      <c r="BD519" s="79"/>
      <c r="BE519" s="79"/>
      <c r="BF519" s="79"/>
      <c r="BG519" s="79"/>
      <c r="BH519" s="79"/>
      <c r="BI519" s="79"/>
      <c r="BJ519" s="79"/>
      <c r="BK519" s="79"/>
      <c r="BL519" s="79"/>
    </row>
    <row r="520" spans="50:64" s="10" customFormat="1">
      <c r="AX520" s="79"/>
      <c r="AY520" s="79"/>
      <c r="AZ520" s="79"/>
      <c r="BA520" s="79"/>
      <c r="BB520" s="79"/>
      <c r="BC520" s="79"/>
      <c r="BD520" s="79"/>
      <c r="BE520" s="79"/>
      <c r="BF520" s="79"/>
      <c r="BG520" s="79"/>
      <c r="BH520" s="79"/>
      <c r="BI520" s="79"/>
      <c r="BJ520" s="79"/>
      <c r="BK520" s="79"/>
      <c r="BL520" s="79"/>
    </row>
    <row r="521" spans="50:64" s="10" customFormat="1">
      <c r="AX521" s="79"/>
      <c r="AY521" s="79"/>
      <c r="AZ521" s="79"/>
      <c r="BA521" s="79"/>
      <c r="BB521" s="79"/>
      <c r="BC521" s="79"/>
      <c r="BD521" s="79"/>
      <c r="BE521" s="79"/>
      <c r="BF521" s="79"/>
      <c r="BG521" s="79"/>
      <c r="BH521" s="79"/>
      <c r="BI521" s="79"/>
      <c r="BJ521" s="79"/>
      <c r="BK521" s="79"/>
      <c r="BL521" s="79"/>
    </row>
    <row r="522" spans="50:64" s="10" customFormat="1">
      <c r="AX522" s="79"/>
      <c r="AY522" s="79"/>
      <c r="AZ522" s="79"/>
      <c r="BA522" s="79"/>
      <c r="BB522" s="79"/>
      <c r="BC522" s="79"/>
      <c r="BD522" s="79"/>
      <c r="BE522" s="79"/>
      <c r="BF522" s="79"/>
      <c r="BG522" s="79"/>
      <c r="BH522" s="79"/>
      <c r="BI522" s="79"/>
      <c r="BJ522" s="79"/>
      <c r="BK522" s="79"/>
      <c r="BL522" s="79"/>
    </row>
    <row r="523" spans="50:64" s="10" customFormat="1">
      <c r="AX523" s="79"/>
      <c r="AY523" s="79"/>
      <c r="AZ523" s="79"/>
      <c r="BA523" s="79"/>
      <c r="BB523" s="79"/>
      <c r="BC523" s="79"/>
      <c r="BD523" s="79"/>
      <c r="BE523" s="79"/>
      <c r="BF523" s="79"/>
      <c r="BG523" s="79"/>
      <c r="BH523" s="79"/>
      <c r="BI523" s="79"/>
      <c r="BJ523" s="79"/>
      <c r="BK523" s="79"/>
      <c r="BL523" s="79"/>
    </row>
    <row r="524" spans="50:64" s="10" customFormat="1">
      <c r="AX524" s="79"/>
      <c r="AY524" s="79"/>
      <c r="AZ524" s="79"/>
      <c r="BA524" s="79"/>
      <c r="BB524" s="79"/>
      <c r="BC524" s="79"/>
      <c r="BD524" s="79"/>
      <c r="BE524" s="79"/>
      <c r="BF524" s="79"/>
      <c r="BG524" s="79"/>
      <c r="BH524" s="79"/>
      <c r="BI524" s="79"/>
      <c r="BJ524" s="79"/>
      <c r="BK524" s="79"/>
      <c r="BL524" s="79"/>
    </row>
    <row r="525" spans="50:64" s="10" customFormat="1">
      <c r="AX525" s="79"/>
      <c r="AY525" s="79"/>
      <c r="AZ525" s="79"/>
      <c r="BA525" s="79"/>
      <c r="BB525" s="79"/>
      <c r="BC525" s="79"/>
      <c r="BD525" s="79"/>
      <c r="BE525" s="79"/>
      <c r="BF525" s="79"/>
      <c r="BG525" s="79"/>
      <c r="BH525" s="79"/>
      <c r="BI525" s="79"/>
      <c r="BJ525" s="79"/>
      <c r="BK525" s="79"/>
      <c r="BL525" s="79"/>
    </row>
    <row r="526" spans="50:64" s="10" customFormat="1">
      <c r="AX526" s="79"/>
      <c r="AY526" s="79"/>
      <c r="AZ526" s="79"/>
      <c r="BA526" s="79"/>
      <c r="BB526" s="79"/>
      <c r="BC526" s="79"/>
      <c r="BD526" s="79"/>
      <c r="BE526" s="79"/>
      <c r="BF526" s="79"/>
      <c r="BG526" s="79"/>
      <c r="BH526" s="79"/>
      <c r="BI526" s="79"/>
      <c r="BJ526" s="79"/>
      <c r="BK526" s="79"/>
      <c r="BL526" s="79"/>
    </row>
  </sheetData>
  <autoFilter ref="A9:AT448" xr:uid="{00000000-0009-0000-0000-00000F000000}"/>
  <sortState xmlns:xlrd2="http://schemas.microsoft.com/office/spreadsheetml/2017/richdata2" ref="A10:AK448">
    <sortCondition ref="A10:A448"/>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ransitionEvaluation="1" codeName="Sheet10"/>
  <dimension ref="A1:AN454"/>
  <sheetViews>
    <sheetView showGridLines="0" zoomScaleNormal="100" workbookViewId="0">
      <pane xSplit="2" ySplit="7" topLeftCell="C8" activePane="bottomRight" state="frozen"/>
      <selection pane="topRight" activeCell="C1" sqref="C1"/>
      <selection pane="bottomLeft" activeCell="A8" sqref="A8"/>
      <selection pane="bottomRight"/>
    </sheetView>
  </sheetViews>
  <sheetFormatPr defaultColWidth="10.875" defaultRowHeight="15.75"/>
  <cols>
    <col min="1" max="1" width="5.125" style="73" customWidth="1"/>
    <col min="2" max="2" width="16.625" style="73" customWidth="1"/>
    <col min="3" max="3" width="9.375" style="73" customWidth="1"/>
    <col min="4" max="5" width="7" style="73" bestFit="1" customWidth="1"/>
    <col min="6" max="6" width="8" style="73" bestFit="1" customWidth="1"/>
    <col min="7" max="7" width="9.375" style="73" customWidth="1"/>
    <col min="8" max="8" width="10.75" style="73" customWidth="1"/>
    <col min="9" max="9" width="8.5" style="73" customWidth="1"/>
    <col min="10" max="10" width="7.75" style="73" customWidth="1"/>
    <col min="11" max="11" width="9.875" style="73" customWidth="1"/>
    <col min="12" max="12" width="5.875" style="73" bestFit="1" customWidth="1"/>
    <col min="13" max="13" width="8.625" style="73" bestFit="1" customWidth="1"/>
    <col min="14" max="14" width="8.75" style="73" customWidth="1"/>
    <col min="15" max="15" width="7.625" style="73" customWidth="1"/>
    <col min="16" max="16" width="9.75" style="73" customWidth="1"/>
    <col min="17" max="17" width="7.125" style="96" customWidth="1"/>
    <col min="18" max="18" width="5.375" style="72" customWidth="1"/>
    <col min="19" max="19" width="10.375" style="72" customWidth="1"/>
    <col min="20" max="20" width="2.375" style="72" customWidth="1"/>
    <col min="21" max="21" width="11.5" style="72" customWidth="1"/>
    <col min="22" max="22" width="10.875" style="72" customWidth="1"/>
    <col min="23" max="23" width="12.125" style="72" customWidth="1"/>
    <col min="24" max="24" width="10.875" style="72" customWidth="1"/>
    <col min="25" max="25" width="12.125" style="72" customWidth="1"/>
    <col min="26" max="26" width="13.375" style="72" customWidth="1"/>
    <col min="27" max="27" width="12.625" style="72" customWidth="1"/>
    <col min="28" max="28" width="10.125" style="72" customWidth="1"/>
    <col min="29" max="29" width="10.75" style="72" customWidth="1"/>
    <col min="30" max="30" width="12.75" style="72" customWidth="1"/>
    <col min="31" max="31" width="10.125" style="72" customWidth="1"/>
    <col min="32" max="32" width="12.125" style="72" customWidth="1"/>
    <col min="33" max="33" width="2.375" style="73" customWidth="1"/>
    <col min="34" max="34" width="5.375" style="73" hidden="1" customWidth="1"/>
    <col min="35" max="35" width="10.125" style="73" customWidth="1"/>
    <col min="36" max="36" width="17.875" style="73" customWidth="1"/>
    <col min="37" max="37" width="10.5" style="73" customWidth="1"/>
    <col min="38" max="38" width="7.125" style="73" customWidth="1"/>
    <col min="39" max="39" width="10.875" style="73"/>
    <col min="40" max="40" width="15.125" style="73" bestFit="1" customWidth="1"/>
    <col min="41" max="16384" width="10.875" style="73"/>
  </cols>
  <sheetData>
    <row r="1" spans="1:39" s="59" customFormat="1" ht="5.45" customHeight="1">
      <c r="B1" s="60"/>
      <c r="Q1" s="338"/>
      <c r="R1" s="61"/>
      <c r="S1" s="61"/>
      <c r="T1" s="61"/>
      <c r="U1" s="61"/>
      <c r="V1" s="61"/>
      <c r="W1" s="61"/>
      <c r="X1" s="61"/>
      <c r="Y1" s="61"/>
      <c r="Z1" s="61"/>
      <c r="AA1" s="61"/>
      <c r="AB1" s="61"/>
      <c r="AC1" s="61"/>
      <c r="AD1" s="61"/>
      <c r="AE1" s="61"/>
      <c r="AF1" s="61"/>
    </row>
    <row r="2" spans="1:39" s="59" customFormat="1">
      <c r="A2" s="62"/>
      <c r="B2" s="59" t="s">
        <v>2344</v>
      </c>
      <c r="C2" s="63"/>
      <c r="D2" s="63"/>
      <c r="E2" s="63"/>
      <c r="F2" s="63"/>
      <c r="G2" s="63"/>
      <c r="H2" s="63"/>
      <c r="I2" s="64"/>
      <c r="J2" s="64"/>
      <c r="K2" s="64"/>
      <c r="L2" s="63"/>
      <c r="M2" s="63"/>
      <c r="N2" s="64"/>
      <c r="Q2" s="338"/>
      <c r="R2" s="61"/>
      <c r="S2" s="61"/>
      <c r="T2" s="61"/>
      <c r="U2" s="61"/>
      <c r="V2" s="61"/>
      <c r="W2" s="61"/>
      <c r="X2" s="61"/>
      <c r="Y2" s="61"/>
      <c r="Z2" s="61"/>
      <c r="AA2" s="61"/>
      <c r="AB2" s="61"/>
      <c r="AC2" s="61"/>
      <c r="AD2" s="61"/>
      <c r="AE2" s="61"/>
      <c r="AF2" s="61"/>
    </row>
    <row r="3" spans="1:39" s="64" customFormat="1" ht="4.5" customHeight="1">
      <c r="A3" s="304"/>
      <c r="B3" s="60"/>
      <c r="Q3" s="339"/>
      <c r="R3" s="643"/>
      <c r="S3" s="643"/>
      <c r="T3" s="65"/>
      <c r="U3" s="643"/>
      <c r="V3" s="643"/>
      <c r="W3" s="61"/>
      <c r="X3" s="61"/>
      <c r="Y3" s="61"/>
      <c r="Z3" s="61"/>
      <c r="AA3" s="61"/>
      <c r="AB3" s="61"/>
      <c r="AC3" s="65"/>
      <c r="AD3" s="65"/>
      <c r="AE3" s="65"/>
      <c r="AF3" s="65"/>
    </row>
    <row r="4" spans="1:39" s="64" customFormat="1" ht="17.100000000000001" customHeight="1">
      <c r="C4" s="66" t="s">
        <v>94</v>
      </c>
      <c r="Q4" s="339"/>
      <c r="U4" s="66" t="s">
        <v>525</v>
      </c>
      <c r="W4" s="61"/>
      <c r="X4" s="61"/>
      <c r="Y4" s="61"/>
      <c r="Z4" s="61"/>
      <c r="AA4" s="61"/>
      <c r="AB4" s="61"/>
    </row>
    <row r="5" spans="1:39" s="67" customFormat="1" ht="12.75" hidden="1">
      <c r="A5" s="306">
        <v>1</v>
      </c>
      <c r="B5" s="306">
        <v>2</v>
      </c>
      <c r="C5" s="306">
        <v>3</v>
      </c>
      <c r="D5" s="306">
        <v>4</v>
      </c>
      <c r="E5" s="306">
        <v>5</v>
      </c>
      <c r="F5" s="306">
        <v>6</v>
      </c>
      <c r="G5" s="306">
        <v>7</v>
      </c>
      <c r="H5" s="306">
        <v>8</v>
      </c>
      <c r="I5" s="306">
        <v>12</v>
      </c>
      <c r="J5" s="306">
        <v>13</v>
      </c>
      <c r="K5" s="306">
        <v>14</v>
      </c>
      <c r="L5" s="306">
        <v>15</v>
      </c>
      <c r="M5" s="306">
        <v>16</v>
      </c>
      <c r="N5" s="306">
        <v>17</v>
      </c>
      <c r="O5" s="306">
        <v>21</v>
      </c>
      <c r="P5" s="306">
        <v>23</v>
      </c>
      <c r="Q5" s="306">
        <v>24</v>
      </c>
      <c r="R5" s="306"/>
      <c r="S5" s="306"/>
      <c r="T5" s="306">
        <v>20</v>
      </c>
      <c r="U5" s="306">
        <v>21</v>
      </c>
      <c r="V5" s="306">
        <v>22</v>
      </c>
      <c r="W5" s="306">
        <v>23</v>
      </c>
      <c r="X5" s="306">
        <v>24</v>
      </c>
      <c r="Y5" s="306">
        <v>25</v>
      </c>
      <c r="Z5" s="306">
        <v>26</v>
      </c>
      <c r="AA5" s="306">
        <v>27</v>
      </c>
      <c r="AB5" s="306">
        <v>28</v>
      </c>
      <c r="AC5" s="306">
        <v>29</v>
      </c>
      <c r="AD5" s="306">
        <v>30</v>
      </c>
      <c r="AE5" s="306">
        <v>31</v>
      </c>
      <c r="AF5" s="306">
        <v>32</v>
      </c>
      <c r="AG5" s="306">
        <v>33</v>
      </c>
      <c r="AH5" s="306">
        <v>34</v>
      </c>
      <c r="AI5" s="306">
        <f t="shared" ref="AI5" si="0">AH5+1</f>
        <v>35</v>
      </c>
      <c r="AJ5" s="306">
        <f t="shared" ref="AJ5" si="1">AI5+1</f>
        <v>36</v>
      </c>
      <c r="AK5" s="306">
        <f t="shared" ref="AK5" si="2">AJ5+1</f>
        <v>37</v>
      </c>
      <c r="AL5" s="306">
        <f t="shared" ref="AL5" si="3">AK5+1</f>
        <v>38</v>
      </c>
    </row>
    <row r="6" spans="1:39" s="67" customFormat="1" ht="12.75">
      <c r="C6" s="69"/>
      <c r="D6" s="69"/>
      <c r="E6" s="69"/>
      <c r="F6" s="69"/>
      <c r="G6" s="69"/>
      <c r="H6" s="69"/>
      <c r="N6" s="69"/>
      <c r="Q6" s="340"/>
      <c r="W6" s="68"/>
      <c r="X6" s="68"/>
      <c r="Y6" s="68"/>
      <c r="Z6" s="68"/>
      <c r="AA6" s="68"/>
      <c r="AB6" s="68"/>
      <c r="AI6" s="615"/>
      <c r="AJ6" s="616" t="s">
        <v>2223</v>
      </c>
      <c r="AK6" s="615"/>
      <c r="AL6" s="615"/>
    </row>
    <row r="7" spans="1:39" s="536" customFormat="1" ht="76.5">
      <c r="A7" s="591" t="s">
        <v>57</v>
      </c>
      <c r="B7" s="591" t="s">
        <v>2123</v>
      </c>
      <c r="C7" s="591" t="s">
        <v>140</v>
      </c>
      <c r="D7" s="591" t="s">
        <v>141</v>
      </c>
      <c r="E7" s="591" t="s">
        <v>2107</v>
      </c>
      <c r="F7" s="591" t="s">
        <v>142</v>
      </c>
      <c r="G7" s="591" t="s">
        <v>2124</v>
      </c>
      <c r="H7" s="591" t="s">
        <v>223</v>
      </c>
      <c r="I7" s="591" t="s">
        <v>224</v>
      </c>
      <c r="J7" s="591" t="s">
        <v>2237</v>
      </c>
      <c r="K7" s="591" t="s">
        <v>2238</v>
      </c>
      <c r="L7" s="591" t="s">
        <v>2125</v>
      </c>
      <c r="M7" s="591" t="s">
        <v>2126</v>
      </c>
      <c r="N7" s="591" t="s">
        <v>2187</v>
      </c>
      <c r="O7" s="591" t="s">
        <v>2186</v>
      </c>
      <c r="P7" s="617" t="s">
        <v>2127</v>
      </c>
      <c r="Q7" s="618" t="s">
        <v>2128</v>
      </c>
      <c r="R7" s="591" t="s">
        <v>2221</v>
      </c>
      <c r="S7" s="614" t="s">
        <v>60</v>
      </c>
      <c r="T7" s="613"/>
      <c r="U7" s="593" t="s">
        <v>221</v>
      </c>
      <c r="V7" s="593" t="s">
        <v>87</v>
      </c>
      <c r="W7" s="593" t="s">
        <v>2129</v>
      </c>
      <c r="X7" s="593" t="s">
        <v>88</v>
      </c>
      <c r="Y7" s="593" t="s">
        <v>89</v>
      </c>
      <c r="Z7" s="593" t="s">
        <v>1578</v>
      </c>
      <c r="AA7" s="593" t="s">
        <v>1579</v>
      </c>
      <c r="AB7" s="593" t="s">
        <v>91</v>
      </c>
      <c r="AC7" s="593" t="s">
        <v>1580</v>
      </c>
      <c r="AD7" s="593" t="s">
        <v>1581</v>
      </c>
      <c r="AE7" s="593" t="s">
        <v>1582</v>
      </c>
      <c r="AF7" s="593" t="s">
        <v>2130</v>
      </c>
      <c r="AI7" s="619" t="s">
        <v>2192</v>
      </c>
      <c r="AJ7" s="619" t="s">
        <v>2244</v>
      </c>
      <c r="AK7" s="619" t="s">
        <v>2222</v>
      </c>
      <c r="AL7" s="619" t="s">
        <v>2232</v>
      </c>
    </row>
    <row r="8" spans="1:39">
      <c r="A8" s="71">
        <v>1</v>
      </c>
      <c r="B8" s="71" t="s">
        <v>1120</v>
      </c>
      <c r="C8" s="28">
        <v>24</v>
      </c>
      <c r="D8" s="28">
        <v>0</v>
      </c>
      <c r="E8" s="28">
        <v>186</v>
      </c>
      <c r="F8" s="28">
        <v>893</v>
      </c>
      <c r="G8" s="28">
        <v>493</v>
      </c>
      <c r="H8" s="28">
        <v>614</v>
      </c>
      <c r="I8" s="28">
        <v>4</v>
      </c>
      <c r="J8" s="28">
        <v>86</v>
      </c>
      <c r="K8" s="28">
        <v>22</v>
      </c>
      <c r="L8" s="28">
        <v>157</v>
      </c>
      <c r="M8" s="28">
        <v>40</v>
      </c>
      <c r="N8" s="28">
        <v>52</v>
      </c>
      <c r="O8" s="28">
        <v>819</v>
      </c>
      <c r="P8" s="516">
        <v>2202</v>
      </c>
      <c r="Q8" s="517">
        <v>1.0329999999999999</v>
      </c>
      <c r="R8" s="6">
        <v>7</v>
      </c>
      <c r="S8" s="369">
        <v>0.38090000000000002</v>
      </c>
      <c r="T8" s="365"/>
      <c r="U8" s="28">
        <v>1476077.0044799999</v>
      </c>
      <c r="V8" s="28">
        <v>2210741.2535399995</v>
      </c>
      <c r="W8" s="28">
        <v>13288178.826509997</v>
      </c>
      <c r="X8" s="28">
        <v>2688660.3150200001</v>
      </c>
      <c r="Y8" s="28">
        <v>554057.77268000005</v>
      </c>
      <c r="Z8" s="28">
        <v>1481273.3599999996</v>
      </c>
      <c r="AA8" s="28">
        <v>1069628.6718200003</v>
      </c>
      <c r="AB8" s="28">
        <v>1348604.8974499998</v>
      </c>
      <c r="AC8" s="28">
        <v>2825061.2505199998</v>
      </c>
      <c r="AD8" s="28">
        <v>4520674.9000000004</v>
      </c>
      <c r="AE8" s="28">
        <v>773426.27999999991</v>
      </c>
      <c r="AF8" s="28">
        <v>32236384.532019995</v>
      </c>
      <c r="AG8" s="147"/>
      <c r="AH8" s="147"/>
      <c r="AI8" s="405">
        <v>819</v>
      </c>
      <c r="AJ8" s="460">
        <v>2150</v>
      </c>
      <c r="AK8" s="417">
        <v>0.38090000000000002</v>
      </c>
      <c r="AL8" s="405">
        <v>7</v>
      </c>
      <c r="AM8" s="147"/>
    </row>
    <row r="9" spans="1:39">
      <c r="A9" s="71">
        <v>2</v>
      </c>
      <c r="B9" s="71" t="s">
        <v>1121</v>
      </c>
      <c r="C9" s="28">
        <v>0</v>
      </c>
      <c r="D9" s="28">
        <v>0</v>
      </c>
      <c r="E9" s="28">
        <v>0</v>
      </c>
      <c r="F9" s="28">
        <v>0</v>
      </c>
      <c r="G9" s="28">
        <v>0</v>
      </c>
      <c r="H9" s="28">
        <v>0</v>
      </c>
      <c r="I9" s="28">
        <v>0</v>
      </c>
      <c r="J9" s="28">
        <v>0</v>
      </c>
      <c r="K9" s="28">
        <v>0</v>
      </c>
      <c r="L9" s="28">
        <v>0</v>
      </c>
      <c r="M9" s="28">
        <v>0</v>
      </c>
      <c r="N9" s="28">
        <v>0</v>
      </c>
      <c r="O9" s="28">
        <v>0</v>
      </c>
      <c r="P9" s="516">
        <v>0</v>
      </c>
      <c r="Q9" s="517">
        <v>1.0569999999999999</v>
      </c>
      <c r="R9" s="6">
        <v>0</v>
      </c>
      <c r="S9" s="369">
        <v>0</v>
      </c>
      <c r="T9" s="94"/>
      <c r="U9" s="28">
        <v>0</v>
      </c>
      <c r="V9" s="28">
        <v>0</v>
      </c>
      <c r="W9" s="28">
        <v>0</v>
      </c>
      <c r="X9" s="28">
        <v>0</v>
      </c>
      <c r="Y9" s="28">
        <v>0</v>
      </c>
      <c r="Z9" s="28">
        <v>0</v>
      </c>
      <c r="AA9" s="28">
        <v>0</v>
      </c>
      <c r="AB9" s="28">
        <v>0</v>
      </c>
      <c r="AC9" s="28">
        <v>0</v>
      </c>
      <c r="AD9" s="28">
        <v>0</v>
      </c>
      <c r="AE9" s="28">
        <v>0</v>
      </c>
      <c r="AF9" s="28">
        <v>0</v>
      </c>
      <c r="AG9" s="147"/>
      <c r="AH9" s="147"/>
      <c r="AI9" s="405">
        <v>0</v>
      </c>
      <c r="AJ9" s="460">
        <v>0</v>
      </c>
      <c r="AK9" s="417">
        <v>0</v>
      </c>
      <c r="AL9" s="405">
        <v>0</v>
      </c>
      <c r="AM9" s="147"/>
    </row>
    <row r="10" spans="1:39">
      <c r="A10" s="71">
        <v>3</v>
      </c>
      <c r="B10" s="71" t="s">
        <v>1122</v>
      </c>
      <c r="C10" s="28">
        <v>24</v>
      </c>
      <c r="D10" s="28">
        <v>0</v>
      </c>
      <c r="E10" s="28">
        <v>102</v>
      </c>
      <c r="F10" s="28">
        <v>511</v>
      </c>
      <c r="G10" s="28">
        <v>309</v>
      </c>
      <c r="H10" s="28">
        <v>239</v>
      </c>
      <c r="I10" s="28">
        <v>0</v>
      </c>
      <c r="J10" s="28">
        <v>46</v>
      </c>
      <c r="K10" s="28">
        <v>12</v>
      </c>
      <c r="L10" s="28">
        <v>1</v>
      </c>
      <c r="M10" s="28">
        <v>0</v>
      </c>
      <c r="N10" s="28">
        <v>0</v>
      </c>
      <c r="O10" s="28">
        <v>337</v>
      </c>
      <c r="P10" s="516">
        <v>1173</v>
      </c>
      <c r="Q10" s="517">
        <v>1</v>
      </c>
      <c r="R10" s="6">
        <v>7</v>
      </c>
      <c r="S10" s="369">
        <v>0.36649999999999999</v>
      </c>
      <c r="T10" s="365"/>
      <c r="U10" s="28">
        <v>739777.64999999991</v>
      </c>
      <c r="V10" s="28">
        <v>1076383.7999999998</v>
      </c>
      <c r="W10" s="28">
        <v>6180103.71</v>
      </c>
      <c r="X10" s="28">
        <v>1383745.41</v>
      </c>
      <c r="Y10" s="28">
        <v>260345.07</v>
      </c>
      <c r="Z10" s="28">
        <v>736971.19999999984</v>
      </c>
      <c r="AA10" s="28">
        <v>520377.78</v>
      </c>
      <c r="AB10" s="28">
        <v>579594.85000000009</v>
      </c>
      <c r="AC10" s="28">
        <v>1409096.15</v>
      </c>
      <c r="AD10" s="28">
        <v>2314557.31</v>
      </c>
      <c r="AE10" s="28">
        <v>421868.88</v>
      </c>
      <c r="AF10" s="28">
        <v>15622821.810000001</v>
      </c>
      <c r="AG10" s="147"/>
      <c r="AH10" s="147"/>
      <c r="AI10" s="405">
        <v>337</v>
      </c>
      <c r="AJ10" s="460">
        <v>919.5</v>
      </c>
      <c r="AK10" s="417">
        <v>0.36649999999999999</v>
      </c>
      <c r="AL10" s="405">
        <v>7</v>
      </c>
      <c r="AM10" s="147"/>
    </row>
    <row r="11" spans="1:39">
      <c r="A11" s="71">
        <v>4</v>
      </c>
      <c r="B11" s="71" t="s">
        <v>1123</v>
      </c>
      <c r="C11" s="28">
        <v>0</v>
      </c>
      <c r="D11" s="28">
        <v>0</v>
      </c>
      <c r="E11" s="28">
        <v>0</v>
      </c>
      <c r="F11" s="28">
        <v>0</v>
      </c>
      <c r="G11" s="28">
        <v>0</v>
      </c>
      <c r="H11" s="28">
        <v>0</v>
      </c>
      <c r="I11" s="28">
        <v>0</v>
      </c>
      <c r="J11" s="28">
        <v>0</v>
      </c>
      <c r="K11" s="28">
        <v>0</v>
      </c>
      <c r="L11" s="28">
        <v>0</v>
      </c>
      <c r="M11" s="28">
        <v>0</v>
      </c>
      <c r="N11" s="28">
        <v>0</v>
      </c>
      <c r="O11" s="28">
        <v>0</v>
      </c>
      <c r="P11" s="516">
        <v>0</v>
      </c>
      <c r="Q11" s="517">
        <v>1</v>
      </c>
      <c r="R11" s="6">
        <v>0</v>
      </c>
      <c r="S11" s="369">
        <v>0</v>
      </c>
      <c r="T11" s="94"/>
      <c r="U11" s="28">
        <v>0</v>
      </c>
      <c r="V11" s="28">
        <v>0</v>
      </c>
      <c r="W11" s="28">
        <v>0</v>
      </c>
      <c r="X11" s="28">
        <v>0</v>
      </c>
      <c r="Y11" s="28">
        <v>0</v>
      </c>
      <c r="Z11" s="28">
        <v>0</v>
      </c>
      <c r="AA11" s="28">
        <v>0</v>
      </c>
      <c r="AB11" s="28">
        <v>0</v>
      </c>
      <c r="AC11" s="28">
        <v>0</v>
      </c>
      <c r="AD11" s="28">
        <v>0</v>
      </c>
      <c r="AE11" s="28">
        <v>0</v>
      </c>
      <c r="AF11" s="28">
        <v>0</v>
      </c>
      <c r="AG11" s="147"/>
      <c r="AH11" s="147"/>
      <c r="AI11" s="405">
        <v>0</v>
      </c>
      <c r="AJ11" s="460">
        <v>0</v>
      </c>
      <c r="AK11" s="417">
        <v>0</v>
      </c>
      <c r="AL11" s="405">
        <v>0</v>
      </c>
      <c r="AM11" s="147"/>
    </row>
    <row r="12" spans="1:39">
      <c r="A12" s="71">
        <v>5</v>
      </c>
      <c r="B12" s="71" t="s">
        <v>1124</v>
      </c>
      <c r="C12" s="28">
        <v>60</v>
      </c>
      <c r="D12" s="28">
        <v>0</v>
      </c>
      <c r="E12" s="28">
        <v>233</v>
      </c>
      <c r="F12" s="28">
        <v>1291</v>
      </c>
      <c r="G12" s="28">
        <v>815</v>
      </c>
      <c r="H12" s="28">
        <v>974</v>
      </c>
      <c r="I12" s="28">
        <v>143</v>
      </c>
      <c r="J12" s="28">
        <v>137</v>
      </c>
      <c r="K12" s="28">
        <v>33</v>
      </c>
      <c r="L12" s="28">
        <v>188</v>
      </c>
      <c r="M12" s="28">
        <v>45</v>
      </c>
      <c r="N12" s="28">
        <v>34</v>
      </c>
      <c r="O12" s="28">
        <v>1637</v>
      </c>
      <c r="P12" s="516">
        <v>3486</v>
      </c>
      <c r="Q12" s="517">
        <v>1</v>
      </c>
      <c r="R12" s="6">
        <v>8</v>
      </c>
      <c r="S12" s="369">
        <v>0.46850000000000003</v>
      </c>
      <c r="T12" s="365"/>
      <c r="U12" s="28">
        <v>2279596.3299999996</v>
      </c>
      <c r="V12" s="28">
        <v>3535165.09</v>
      </c>
      <c r="W12" s="28">
        <v>22478251.200000003</v>
      </c>
      <c r="X12" s="28">
        <v>4040049.1</v>
      </c>
      <c r="Y12" s="28">
        <v>939415.1100000001</v>
      </c>
      <c r="Z12" s="28">
        <v>2472140.65</v>
      </c>
      <c r="AA12" s="28">
        <v>1707616.8599999996</v>
      </c>
      <c r="AB12" s="28">
        <v>2487331.5099999998</v>
      </c>
      <c r="AC12" s="28">
        <v>4426891.41</v>
      </c>
      <c r="AD12" s="28">
        <v>7462181.5700000003</v>
      </c>
      <c r="AE12" s="28">
        <v>1160139.42</v>
      </c>
      <c r="AF12" s="28">
        <v>52988778.250000007</v>
      </c>
      <c r="AG12" s="147"/>
      <c r="AH12" s="147"/>
      <c r="AI12" s="405">
        <v>1637</v>
      </c>
      <c r="AJ12" s="460">
        <v>3494</v>
      </c>
      <c r="AK12" s="417">
        <v>0.46850000000000003</v>
      </c>
      <c r="AL12" s="405">
        <v>8</v>
      </c>
      <c r="AM12" s="147"/>
    </row>
    <row r="13" spans="1:39">
      <c r="A13" s="71">
        <v>6</v>
      </c>
      <c r="B13" s="71" t="s">
        <v>1125</v>
      </c>
      <c r="C13" s="28">
        <v>0</v>
      </c>
      <c r="D13" s="28">
        <v>0</v>
      </c>
      <c r="E13" s="28">
        <v>0</v>
      </c>
      <c r="F13" s="28">
        <v>0</v>
      </c>
      <c r="G13" s="28">
        <v>0</v>
      </c>
      <c r="H13" s="28">
        <v>0</v>
      </c>
      <c r="I13" s="28">
        <v>0</v>
      </c>
      <c r="J13" s="28">
        <v>0</v>
      </c>
      <c r="K13" s="28">
        <v>0</v>
      </c>
      <c r="L13" s="28">
        <v>0</v>
      </c>
      <c r="M13" s="28">
        <v>0</v>
      </c>
      <c r="N13" s="28">
        <v>0</v>
      </c>
      <c r="O13" s="28">
        <v>0</v>
      </c>
      <c r="P13" s="516">
        <v>0</v>
      </c>
      <c r="Q13" s="517">
        <v>1</v>
      </c>
      <c r="R13" s="6">
        <v>0</v>
      </c>
      <c r="S13" s="369">
        <v>0</v>
      </c>
      <c r="T13" s="94"/>
      <c r="U13" s="28">
        <v>0</v>
      </c>
      <c r="V13" s="28">
        <v>0</v>
      </c>
      <c r="W13" s="28">
        <v>0</v>
      </c>
      <c r="X13" s="28">
        <v>0</v>
      </c>
      <c r="Y13" s="28">
        <v>0</v>
      </c>
      <c r="Z13" s="28">
        <v>0</v>
      </c>
      <c r="AA13" s="28">
        <v>0</v>
      </c>
      <c r="AB13" s="28">
        <v>0</v>
      </c>
      <c r="AC13" s="28">
        <v>0</v>
      </c>
      <c r="AD13" s="28">
        <v>0</v>
      </c>
      <c r="AE13" s="28">
        <v>0</v>
      </c>
      <c r="AF13" s="28">
        <v>0</v>
      </c>
      <c r="AG13" s="147"/>
      <c r="AH13" s="147"/>
      <c r="AI13" s="405">
        <v>0</v>
      </c>
      <c r="AJ13" s="460">
        <v>0</v>
      </c>
      <c r="AK13" s="417">
        <v>0</v>
      </c>
      <c r="AL13" s="405">
        <v>0</v>
      </c>
      <c r="AM13" s="147"/>
    </row>
    <row r="14" spans="1:39">
      <c r="A14" s="71">
        <v>7</v>
      </c>
      <c r="B14" s="71" t="s">
        <v>1126</v>
      </c>
      <c r="C14" s="28">
        <v>33</v>
      </c>
      <c r="D14" s="28">
        <v>0</v>
      </c>
      <c r="E14" s="28">
        <v>156</v>
      </c>
      <c r="F14" s="28">
        <v>727</v>
      </c>
      <c r="G14" s="28">
        <v>455</v>
      </c>
      <c r="H14" s="28">
        <v>533</v>
      </c>
      <c r="I14" s="28">
        <v>10</v>
      </c>
      <c r="J14" s="28">
        <v>74</v>
      </c>
      <c r="K14" s="28">
        <v>19</v>
      </c>
      <c r="L14" s="28">
        <v>29</v>
      </c>
      <c r="M14" s="28">
        <v>2</v>
      </c>
      <c r="N14" s="28">
        <v>13</v>
      </c>
      <c r="O14" s="28">
        <v>685</v>
      </c>
      <c r="P14" s="516">
        <v>1898</v>
      </c>
      <c r="Q14" s="517">
        <v>1</v>
      </c>
      <c r="R14" s="6">
        <v>7</v>
      </c>
      <c r="S14" s="369">
        <v>0.36599999999999999</v>
      </c>
      <c r="T14" s="365"/>
      <c r="U14" s="28">
        <v>1209836.5999999999</v>
      </c>
      <c r="V14" s="28">
        <v>1801998.31</v>
      </c>
      <c r="W14" s="28">
        <v>10787174.840000002</v>
      </c>
      <c r="X14" s="28">
        <v>2195337.79</v>
      </c>
      <c r="Y14" s="28">
        <v>449743.89999999991</v>
      </c>
      <c r="Z14" s="28">
        <v>1258836.7600000005</v>
      </c>
      <c r="AA14" s="28">
        <v>876113.78999999992</v>
      </c>
      <c r="AB14" s="28">
        <v>1111824.75</v>
      </c>
      <c r="AC14" s="28">
        <v>2306591.3199999998</v>
      </c>
      <c r="AD14" s="28">
        <v>3830461.14</v>
      </c>
      <c r="AE14" s="28">
        <v>667959.05999999994</v>
      </c>
      <c r="AF14" s="28">
        <v>26495878.260000002</v>
      </c>
      <c r="AG14" s="147"/>
      <c r="AH14" s="147"/>
      <c r="AI14" s="405">
        <v>685</v>
      </c>
      <c r="AJ14" s="460">
        <v>1871.5</v>
      </c>
      <c r="AK14" s="417">
        <v>0.36599999999999999</v>
      </c>
      <c r="AL14" s="405">
        <v>7</v>
      </c>
      <c r="AM14" s="147"/>
    </row>
    <row r="15" spans="1:39">
      <c r="A15" s="71">
        <v>8</v>
      </c>
      <c r="B15" s="71" t="s">
        <v>1127</v>
      </c>
      <c r="C15" s="28">
        <v>62</v>
      </c>
      <c r="D15" s="28">
        <v>0</v>
      </c>
      <c r="E15" s="28">
        <v>114</v>
      </c>
      <c r="F15" s="28">
        <v>704</v>
      </c>
      <c r="G15" s="28">
        <v>135</v>
      </c>
      <c r="H15" s="28">
        <v>0</v>
      </c>
      <c r="I15" s="28">
        <v>0</v>
      </c>
      <c r="J15" s="28">
        <v>37</v>
      </c>
      <c r="K15" s="28">
        <v>10</v>
      </c>
      <c r="L15" s="28">
        <v>117</v>
      </c>
      <c r="M15" s="28">
        <v>15</v>
      </c>
      <c r="N15" s="28">
        <v>0</v>
      </c>
      <c r="O15" s="28">
        <v>364</v>
      </c>
      <c r="P15" s="516">
        <v>984</v>
      </c>
      <c r="Q15" s="517">
        <v>1</v>
      </c>
      <c r="R15" s="6">
        <v>6</v>
      </c>
      <c r="S15" s="369">
        <v>0.35560000000000003</v>
      </c>
      <c r="T15" s="365"/>
      <c r="U15" s="28">
        <v>634315.16999999993</v>
      </c>
      <c r="V15" s="28">
        <v>948642.61</v>
      </c>
      <c r="W15" s="28">
        <v>5379471.3700000001</v>
      </c>
      <c r="X15" s="28">
        <v>1281039.2100000002</v>
      </c>
      <c r="Y15" s="28">
        <v>231384.98999999996</v>
      </c>
      <c r="Z15" s="28">
        <v>572654.04999999993</v>
      </c>
      <c r="AA15" s="28">
        <v>437189.97000000003</v>
      </c>
      <c r="AB15" s="28">
        <v>426130.54000000004</v>
      </c>
      <c r="AC15" s="28">
        <v>1199226.29</v>
      </c>
      <c r="AD15" s="28">
        <v>2014538.1899999997</v>
      </c>
      <c r="AE15" s="28">
        <v>351557.39999999997</v>
      </c>
      <c r="AF15" s="28">
        <v>13476149.789999999</v>
      </c>
      <c r="AG15" s="147"/>
      <c r="AH15" s="147"/>
      <c r="AI15" s="405">
        <v>364</v>
      </c>
      <c r="AJ15" s="460">
        <v>1023.5</v>
      </c>
      <c r="AK15" s="417">
        <v>0.35560000000000003</v>
      </c>
      <c r="AL15" s="405">
        <v>6</v>
      </c>
      <c r="AM15" s="147"/>
    </row>
    <row r="16" spans="1:39">
      <c r="A16" s="71">
        <v>9</v>
      </c>
      <c r="B16" s="71" t="s">
        <v>1128</v>
      </c>
      <c r="C16" s="28">
        <v>83</v>
      </c>
      <c r="D16" s="28">
        <v>0</v>
      </c>
      <c r="E16" s="28">
        <v>333</v>
      </c>
      <c r="F16" s="28">
        <v>2076</v>
      </c>
      <c r="G16" s="28">
        <v>1305</v>
      </c>
      <c r="H16" s="28">
        <v>1705</v>
      </c>
      <c r="I16" s="28">
        <v>4</v>
      </c>
      <c r="J16" s="28">
        <v>213</v>
      </c>
      <c r="K16" s="28">
        <v>54</v>
      </c>
      <c r="L16" s="28">
        <v>146</v>
      </c>
      <c r="M16" s="28">
        <v>25</v>
      </c>
      <c r="N16" s="28">
        <v>25</v>
      </c>
      <c r="O16" s="28">
        <v>770</v>
      </c>
      <c r="P16" s="516">
        <v>5465</v>
      </c>
      <c r="Q16" s="517">
        <v>1.077</v>
      </c>
      <c r="R16" s="6">
        <v>3</v>
      </c>
      <c r="S16" s="369">
        <v>0.14249999999999999</v>
      </c>
      <c r="T16" s="365"/>
      <c r="U16" s="28">
        <v>3640650.5740499999</v>
      </c>
      <c r="V16" s="28">
        <v>5050217.8025400005</v>
      </c>
      <c r="W16" s="28">
        <v>28239742.806570005</v>
      </c>
      <c r="X16" s="28">
        <v>6764074.4182800017</v>
      </c>
      <c r="Y16" s="28">
        <v>1135380.3251100001</v>
      </c>
      <c r="Z16" s="28">
        <v>3628324</v>
      </c>
      <c r="AA16" s="28">
        <v>2516006.5172999999</v>
      </c>
      <c r="AB16" s="28">
        <v>2390384.9141999995</v>
      </c>
      <c r="AC16" s="28">
        <v>7160893.9158899989</v>
      </c>
      <c r="AD16" s="28">
        <v>10170990.24</v>
      </c>
      <c r="AE16" s="28">
        <v>1898409.96</v>
      </c>
      <c r="AF16" s="28">
        <v>72595075.473940015</v>
      </c>
      <c r="AG16" s="147"/>
      <c r="AH16" s="147"/>
      <c r="AI16" s="405">
        <v>770</v>
      </c>
      <c r="AJ16" s="460">
        <v>5403.5</v>
      </c>
      <c r="AK16" s="417">
        <v>0.14249999999999999</v>
      </c>
      <c r="AL16" s="405">
        <v>3</v>
      </c>
      <c r="AM16" s="147"/>
    </row>
    <row r="17" spans="1:39">
      <c r="A17" s="71">
        <v>10</v>
      </c>
      <c r="B17" s="71" t="s">
        <v>1129</v>
      </c>
      <c r="C17" s="28">
        <v>36</v>
      </c>
      <c r="D17" s="28">
        <v>0</v>
      </c>
      <c r="E17" s="28">
        <v>438</v>
      </c>
      <c r="F17" s="28">
        <v>2486</v>
      </c>
      <c r="G17" s="28">
        <v>1435</v>
      </c>
      <c r="H17" s="28">
        <v>1643</v>
      </c>
      <c r="I17" s="28">
        <v>1</v>
      </c>
      <c r="J17" s="28">
        <v>236</v>
      </c>
      <c r="K17" s="28">
        <v>60</v>
      </c>
      <c r="L17" s="28">
        <v>232</v>
      </c>
      <c r="M17" s="28">
        <v>49</v>
      </c>
      <c r="N17" s="28">
        <v>28</v>
      </c>
      <c r="O17" s="28">
        <v>742</v>
      </c>
      <c r="P17" s="516">
        <v>6021</v>
      </c>
      <c r="Q17" s="517">
        <v>1.0429999999999999</v>
      </c>
      <c r="R17" s="6">
        <v>3</v>
      </c>
      <c r="S17" s="369">
        <v>0.1246</v>
      </c>
      <c r="T17" s="365"/>
      <c r="U17" s="28">
        <v>3895122.143149999</v>
      </c>
      <c r="V17" s="28">
        <v>5375993.276709999</v>
      </c>
      <c r="W17" s="28">
        <v>29685723.797379997</v>
      </c>
      <c r="X17" s="28">
        <v>7345860.5042899996</v>
      </c>
      <c r="Y17" s="28">
        <v>1200224.8134099999</v>
      </c>
      <c r="Z17" s="28">
        <v>3929955.9</v>
      </c>
      <c r="AA17" s="28">
        <v>2662085.3424200001</v>
      </c>
      <c r="AB17" s="28">
        <v>2373609.6280399994</v>
      </c>
      <c r="AC17" s="28">
        <v>7661841.2968299994</v>
      </c>
      <c r="AD17" s="28">
        <v>11209659.339999998</v>
      </c>
      <c r="AE17" s="28">
        <v>2109344.4</v>
      </c>
      <c r="AF17" s="28">
        <v>77449420.442229986</v>
      </c>
      <c r="AG17" s="147"/>
      <c r="AH17" s="147"/>
      <c r="AI17" s="405">
        <v>742</v>
      </c>
      <c r="AJ17" s="460">
        <v>5957</v>
      </c>
      <c r="AK17" s="417">
        <v>0.1246</v>
      </c>
      <c r="AL17" s="405">
        <v>3</v>
      </c>
      <c r="AM17" s="147"/>
    </row>
    <row r="18" spans="1:39">
      <c r="A18" s="71">
        <v>11</v>
      </c>
      <c r="B18" s="71" t="s">
        <v>1130</v>
      </c>
      <c r="C18" s="28">
        <v>0</v>
      </c>
      <c r="D18" s="28">
        <v>0</v>
      </c>
      <c r="E18" s="28">
        <v>0</v>
      </c>
      <c r="F18" s="28">
        <v>0</v>
      </c>
      <c r="G18" s="28">
        <v>0</v>
      </c>
      <c r="H18" s="28">
        <v>0</v>
      </c>
      <c r="I18" s="28">
        <v>0</v>
      </c>
      <c r="J18" s="28">
        <v>0</v>
      </c>
      <c r="K18" s="28">
        <v>0</v>
      </c>
      <c r="L18" s="28">
        <v>0</v>
      </c>
      <c r="M18" s="28">
        <v>0</v>
      </c>
      <c r="N18" s="28">
        <v>0</v>
      </c>
      <c r="O18" s="28">
        <v>0</v>
      </c>
      <c r="P18" s="516">
        <v>0</v>
      </c>
      <c r="Q18" s="517">
        <v>1</v>
      </c>
      <c r="R18" s="6">
        <v>0</v>
      </c>
      <c r="S18" s="369">
        <v>0</v>
      </c>
      <c r="T18" s="94"/>
      <c r="U18" s="28">
        <v>0</v>
      </c>
      <c r="V18" s="28">
        <v>0</v>
      </c>
      <c r="W18" s="28">
        <v>0</v>
      </c>
      <c r="X18" s="28">
        <v>0</v>
      </c>
      <c r="Y18" s="28">
        <v>0</v>
      </c>
      <c r="Z18" s="28">
        <v>0</v>
      </c>
      <c r="AA18" s="28">
        <v>0</v>
      </c>
      <c r="AB18" s="28">
        <v>0</v>
      </c>
      <c r="AC18" s="28">
        <v>0</v>
      </c>
      <c r="AD18" s="28">
        <v>0</v>
      </c>
      <c r="AE18" s="28">
        <v>0</v>
      </c>
      <c r="AF18" s="28">
        <v>0</v>
      </c>
      <c r="AG18" s="147"/>
      <c r="AH18" s="147"/>
      <c r="AI18" s="405">
        <v>0</v>
      </c>
      <c r="AJ18" s="460">
        <v>0</v>
      </c>
      <c r="AK18" s="417">
        <v>0</v>
      </c>
      <c r="AL18" s="405">
        <v>0</v>
      </c>
      <c r="AM18" s="147"/>
    </row>
    <row r="19" spans="1:39">
      <c r="A19" s="71">
        <v>12</v>
      </c>
      <c r="B19" s="71" t="s">
        <v>1131</v>
      </c>
      <c r="C19" s="28">
        <v>0</v>
      </c>
      <c r="D19" s="28">
        <v>0</v>
      </c>
      <c r="E19" s="28">
        <v>0</v>
      </c>
      <c r="F19" s="28">
        <v>0</v>
      </c>
      <c r="G19" s="28">
        <v>0</v>
      </c>
      <c r="H19" s="28">
        <v>0</v>
      </c>
      <c r="I19" s="28">
        <v>0</v>
      </c>
      <c r="J19" s="28">
        <v>0</v>
      </c>
      <c r="K19" s="28">
        <v>0</v>
      </c>
      <c r="L19" s="28">
        <v>0</v>
      </c>
      <c r="M19" s="28">
        <v>0</v>
      </c>
      <c r="N19" s="28">
        <v>0</v>
      </c>
      <c r="O19" s="28">
        <v>0</v>
      </c>
      <c r="P19" s="516">
        <v>0</v>
      </c>
      <c r="Q19" s="517">
        <v>1</v>
      </c>
      <c r="R19" s="6">
        <v>0</v>
      </c>
      <c r="S19" s="369">
        <v>0</v>
      </c>
      <c r="T19" s="94"/>
      <c r="U19" s="28">
        <v>0</v>
      </c>
      <c r="V19" s="28">
        <v>0</v>
      </c>
      <c r="W19" s="28">
        <v>0</v>
      </c>
      <c r="X19" s="28">
        <v>0</v>
      </c>
      <c r="Y19" s="28">
        <v>0</v>
      </c>
      <c r="Z19" s="28">
        <v>0</v>
      </c>
      <c r="AA19" s="28">
        <v>0</v>
      </c>
      <c r="AB19" s="28">
        <v>0</v>
      </c>
      <c r="AC19" s="28">
        <v>0</v>
      </c>
      <c r="AD19" s="28">
        <v>0</v>
      </c>
      <c r="AE19" s="28">
        <v>0</v>
      </c>
      <c r="AF19" s="28">
        <v>0</v>
      </c>
      <c r="AG19" s="147"/>
      <c r="AH19" s="147"/>
      <c r="AI19" s="405">
        <v>0</v>
      </c>
      <c r="AJ19" s="460">
        <v>0</v>
      </c>
      <c r="AK19" s="417">
        <v>0</v>
      </c>
      <c r="AL19" s="405">
        <v>0</v>
      </c>
      <c r="AM19" s="147"/>
    </row>
    <row r="20" spans="1:39">
      <c r="A20" s="71">
        <v>13</v>
      </c>
      <c r="B20" s="71" t="s">
        <v>1132</v>
      </c>
      <c r="C20" s="28">
        <v>0</v>
      </c>
      <c r="D20" s="28">
        <v>0</v>
      </c>
      <c r="E20" s="28">
        <v>0</v>
      </c>
      <c r="F20" s="28">
        <v>0</v>
      </c>
      <c r="G20" s="28">
        <v>0</v>
      </c>
      <c r="H20" s="28">
        <v>0</v>
      </c>
      <c r="I20" s="28">
        <v>11</v>
      </c>
      <c r="J20" s="28">
        <v>1</v>
      </c>
      <c r="K20" s="28">
        <v>0</v>
      </c>
      <c r="L20" s="28">
        <v>0</v>
      </c>
      <c r="M20" s="28">
        <v>0</v>
      </c>
      <c r="N20" s="28">
        <v>0</v>
      </c>
      <c r="O20" s="28">
        <v>0</v>
      </c>
      <c r="P20" s="516">
        <v>11</v>
      </c>
      <c r="Q20" s="517">
        <v>1</v>
      </c>
      <c r="R20" s="6">
        <v>0</v>
      </c>
      <c r="S20" s="369">
        <v>0</v>
      </c>
      <c r="T20" s="94"/>
      <c r="U20" s="28">
        <v>8031.5599999999995</v>
      </c>
      <c r="V20" s="28">
        <v>8913.2999999999993</v>
      </c>
      <c r="W20" s="28">
        <v>100130.61000000002</v>
      </c>
      <c r="X20" s="28">
        <v>15821.59</v>
      </c>
      <c r="Y20" s="28">
        <v>3303.49</v>
      </c>
      <c r="Z20" s="28">
        <v>16993.23</v>
      </c>
      <c r="AA20" s="28">
        <v>4962.32</v>
      </c>
      <c r="AB20" s="28">
        <v>6684.2599999999993</v>
      </c>
      <c r="AC20" s="28">
        <v>25786.080000000002</v>
      </c>
      <c r="AD20" s="28">
        <v>26170.809999999998</v>
      </c>
      <c r="AE20" s="28">
        <v>0</v>
      </c>
      <c r="AF20" s="28">
        <v>216797.25000000006</v>
      </c>
      <c r="AG20" s="147"/>
      <c r="AH20" s="147"/>
      <c r="AI20" s="405">
        <v>0</v>
      </c>
      <c r="AJ20" s="460">
        <v>0</v>
      </c>
      <c r="AK20" s="417">
        <v>0</v>
      </c>
      <c r="AL20" s="405">
        <v>0</v>
      </c>
      <c r="AM20" s="147"/>
    </row>
    <row r="21" spans="1:39">
      <c r="A21" s="71">
        <v>14</v>
      </c>
      <c r="B21" s="71" t="s">
        <v>1133</v>
      </c>
      <c r="C21" s="28">
        <v>25</v>
      </c>
      <c r="D21" s="28">
        <v>0</v>
      </c>
      <c r="E21" s="28">
        <v>218</v>
      </c>
      <c r="F21" s="28">
        <v>1065</v>
      </c>
      <c r="G21" s="28">
        <v>684</v>
      </c>
      <c r="H21" s="28">
        <v>875</v>
      </c>
      <c r="I21" s="28">
        <v>2</v>
      </c>
      <c r="J21" s="28">
        <v>112</v>
      </c>
      <c r="K21" s="28">
        <v>28</v>
      </c>
      <c r="L21" s="28">
        <v>122</v>
      </c>
      <c r="M21" s="28">
        <v>31</v>
      </c>
      <c r="N21" s="28">
        <v>39</v>
      </c>
      <c r="O21" s="28">
        <v>719</v>
      </c>
      <c r="P21" s="516">
        <v>2857</v>
      </c>
      <c r="Q21" s="517">
        <v>1</v>
      </c>
      <c r="R21" s="6">
        <v>5</v>
      </c>
      <c r="S21" s="369">
        <v>0.25090000000000001</v>
      </c>
      <c r="T21" s="365"/>
      <c r="U21" s="28">
        <v>1801574.6099999996</v>
      </c>
      <c r="V21" s="28">
        <v>2577840.8699999996</v>
      </c>
      <c r="W21" s="28">
        <v>14879946.949999999</v>
      </c>
      <c r="X21" s="28">
        <v>3313398.8200000003</v>
      </c>
      <c r="Y21" s="28">
        <v>607822.53</v>
      </c>
      <c r="Z21" s="28">
        <v>1912569.2299999997</v>
      </c>
      <c r="AA21" s="28">
        <v>1270720.5200000003</v>
      </c>
      <c r="AB21" s="28">
        <v>1376306.4300000002</v>
      </c>
      <c r="AC21" s="28">
        <v>3508570.7599999993</v>
      </c>
      <c r="AD21" s="28">
        <v>5532233.1299999999</v>
      </c>
      <c r="AE21" s="28">
        <v>984360.72</v>
      </c>
      <c r="AF21" s="28">
        <v>37765344.57</v>
      </c>
      <c r="AG21" s="147"/>
      <c r="AH21" s="147"/>
      <c r="AI21" s="405">
        <v>719</v>
      </c>
      <c r="AJ21" s="460">
        <v>2866</v>
      </c>
      <c r="AK21" s="417">
        <v>0.25090000000000001</v>
      </c>
      <c r="AL21" s="405">
        <v>5</v>
      </c>
      <c r="AM21" s="147"/>
    </row>
    <row r="22" spans="1:39">
      <c r="A22" s="71">
        <v>15</v>
      </c>
      <c r="B22" s="71" t="s">
        <v>1134</v>
      </c>
      <c r="C22" s="28">
        <v>0</v>
      </c>
      <c r="D22" s="28">
        <v>0</v>
      </c>
      <c r="E22" s="28">
        <v>0</v>
      </c>
      <c r="F22" s="28">
        <v>0</v>
      </c>
      <c r="G22" s="28">
        <v>0</v>
      </c>
      <c r="H22" s="28">
        <v>0</v>
      </c>
      <c r="I22" s="28">
        <v>0</v>
      </c>
      <c r="J22" s="28">
        <v>0</v>
      </c>
      <c r="K22" s="28">
        <v>0</v>
      </c>
      <c r="L22" s="28">
        <v>0</v>
      </c>
      <c r="M22" s="28">
        <v>0</v>
      </c>
      <c r="N22" s="28">
        <v>0</v>
      </c>
      <c r="O22" s="28">
        <v>0</v>
      </c>
      <c r="P22" s="516">
        <v>0</v>
      </c>
      <c r="Q22" s="517">
        <v>1</v>
      </c>
      <c r="R22" s="6">
        <v>0</v>
      </c>
      <c r="S22" s="369">
        <v>0</v>
      </c>
      <c r="T22" s="94"/>
      <c r="U22" s="28">
        <v>0</v>
      </c>
      <c r="V22" s="28">
        <v>0</v>
      </c>
      <c r="W22" s="28">
        <v>0</v>
      </c>
      <c r="X22" s="28">
        <v>0</v>
      </c>
      <c r="Y22" s="28">
        <v>0</v>
      </c>
      <c r="Z22" s="28">
        <v>0</v>
      </c>
      <c r="AA22" s="28">
        <v>0</v>
      </c>
      <c r="AB22" s="28">
        <v>0</v>
      </c>
      <c r="AC22" s="28">
        <v>0</v>
      </c>
      <c r="AD22" s="28">
        <v>0</v>
      </c>
      <c r="AE22" s="28">
        <v>0</v>
      </c>
      <c r="AF22" s="28">
        <v>0</v>
      </c>
      <c r="AG22" s="147"/>
      <c r="AH22" s="147"/>
      <c r="AI22" s="405">
        <v>0</v>
      </c>
      <c r="AJ22" s="460">
        <v>0</v>
      </c>
      <c r="AK22" s="417">
        <v>0</v>
      </c>
      <c r="AL22" s="405">
        <v>0</v>
      </c>
      <c r="AM22" s="147"/>
    </row>
    <row r="23" spans="1:39">
      <c r="A23" s="71">
        <v>16</v>
      </c>
      <c r="B23" s="71" t="s">
        <v>1135</v>
      </c>
      <c r="C23" s="28">
        <v>233</v>
      </c>
      <c r="D23" s="28">
        <v>0</v>
      </c>
      <c r="E23" s="28">
        <v>414</v>
      </c>
      <c r="F23" s="28">
        <v>2211</v>
      </c>
      <c r="G23" s="28">
        <v>1429</v>
      </c>
      <c r="H23" s="28">
        <v>573</v>
      </c>
      <c r="I23" s="28">
        <v>1569</v>
      </c>
      <c r="J23" s="28">
        <v>259</v>
      </c>
      <c r="K23" s="28">
        <v>46</v>
      </c>
      <c r="L23" s="28">
        <v>311</v>
      </c>
      <c r="M23" s="28">
        <v>62</v>
      </c>
      <c r="N23" s="28">
        <v>81</v>
      </c>
      <c r="O23" s="28">
        <v>2787</v>
      </c>
      <c r="P23" s="516">
        <v>6313</v>
      </c>
      <c r="Q23" s="517">
        <v>1</v>
      </c>
      <c r="R23" s="6">
        <v>8</v>
      </c>
      <c r="S23" s="369">
        <v>0.45350000000000001</v>
      </c>
      <c r="T23" s="365"/>
      <c r="U23" s="28">
        <v>4092665.1300000004</v>
      </c>
      <c r="V23" s="28">
        <v>6324919.5299999993</v>
      </c>
      <c r="W23" s="28">
        <v>44643289.180000007</v>
      </c>
      <c r="X23" s="28">
        <v>7380649.9000000004</v>
      </c>
      <c r="Y23" s="28">
        <v>1803804.88</v>
      </c>
      <c r="Z23" s="28">
        <v>5356117.8400000008</v>
      </c>
      <c r="AA23" s="28">
        <v>3068975.86</v>
      </c>
      <c r="AB23" s="28">
        <v>4402694.3900000006</v>
      </c>
      <c r="AC23" s="28">
        <v>9285242.2799999993</v>
      </c>
      <c r="AD23" s="28">
        <v>14028980.299999999</v>
      </c>
      <c r="AE23" s="28">
        <v>1617164.0399999998</v>
      </c>
      <c r="AF23" s="28">
        <v>102004503.33000001</v>
      </c>
      <c r="AG23" s="147"/>
      <c r="AH23" s="147"/>
      <c r="AI23" s="405">
        <v>2787</v>
      </c>
      <c r="AJ23" s="460">
        <v>6146</v>
      </c>
      <c r="AK23" s="417">
        <v>0.45350000000000001</v>
      </c>
      <c r="AL23" s="405">
        <v>8</v>
      </c>
      <c r="AM23" s="147"/>
    </row>
    <row r="24" spans="1:39">
      <c r="A24" s="71">
        <v>17</v>
      </c>
      <c r="B24" s="71" t="s">
        <v>1136</v>
      </c>
      <c r="C24" s="28">
        <v>18</v>
      </c>
      <c r="D24" s="28">
        <v>1</v>
      </c>
      <c r="E24" s="28">
        <v>144</v>
      </c>
      <c r="F24" s="28">
        <v>918</v>
      </c>
      <c r="G24" s="28">
        <v>606</v>
      </c>
      <c r="H24" s="28">
        <v>688</v>
      </c>
      <c r="I24" s="28">
        <v>1</v>
      </c>
      <c r="J24" s="28">
        <v>93</v>
      </c>
      <c r="K24" s="28">
        <v>24</v>
      </c>
      <c r="L24" s="28">
        <v>43</v>
      </c>
      <c r="M24" s="28">
        <v>20</v>
      </c>
      <c r="N24" s="28">
        <v>21</v>
      </c>
      <c r="O24" s="28">
        <v>806</v>
      </c>
      <c r="P24" s="516">
        <v>2367</v>
      </c>
      <c r="Q24" s="517">
        <v>1</v>
      </c>
      <c r="R24" s="6">
        <v>6</v>
      </c>
      <c r="S24" s="369">
        <v>0.32819999999999999</v>
      </c>
      <c r="T24" s="365"/>
      <c r="U24" s="28">
        <v>1506995.1799999997</v>
      </c>
      <c r="V24" s="28">
        <v>2212535.0499999998</v>
      </c>
      <c r="W24" s="28">
        <v>13060798.100000001</v>
      </c>
      <c r="X24" s="28">
        <v>2735962.91</v>
      </c>
      <c r="Y24" s="28">
        <v>543022.34000000008</v>
      </c>
      <c r="Z24" s="28">
        <v>1568019.9500000004</v>
      </c>
      <c r="AA24" s="28">
        <v>1081084.1000000001</v>
      </c>
      <c r="AB24" s="28">
        <v>1316039.8999999999</v>
      </c>
      <c r="AC24" s="28">
        <v>2882589.7800000003</v>
      </c>
      <c r="AD24" s="28">
        <v>4719719.1500000004</v>
      </c>
      <c r="AE24" s="28">
        <v>843737.76</v>
      </c>
      <c r="AF24" s="28">
        <v>32470504.220000003</v>
      </c>
      <c r="AG24" s="147"/>
      <c r="AH24" s="147"/>
      <c r="AI24" s="405">
        <v>806</v>
      </c>
      <c r="AJ24" s="460">
        <v>2455.5</v>
      </c>
      <c r="AK24" s="417">
        <v>0.32819999999999999</v>
      </c>
      <c r="AL24" s="405">
        <v>6</v>
      </c>
      <c r="AM24" s="147"/>
    </row>
    <row r="25" spans="1:39">
      <c r="A25" s="71">
        <v>18</v>
      </c>
      <c r="B25" s="71" t="s">
        <v>1137</v>
      </c>
      <c r="C25" s="28">
        <v>17</v>
      </c>
      <c r="D25" s="28">
        <v>0</v>
      </c>
      <c r="E25" s="28">
        <v>41</v>
      </c>
      <c r="F25" s="28">
        <v>220</v>
      </c>
      <c r="G25" s="28">
        <v>152</v>
      </c>
      <c r="H25" s="28">
        <v>150</v>
      </c>
      <c r="I25" s="28">
        <v>0</v>
      </c>
      <c r="J25" s="28">
        <v>22</v>
      </c>
      <c r="K25" s="28">
        <v>6</v>
      </c>
      <c r="L25" s="28">
        <v>55</v>
      </c>
      <c r="M25" s="28">
        <v>15</v>
      </c>
      <c r="N25" s="28">
        <v>22</v>
      </c>
      <c r="O25" s="28">
        <v>379</v>
      </c>
      <c r="P25" s="516">
        <v>572</v>
      </c>
      <c r="Q25" s="517">
        <v>1</v>
      </c>
      <c r="R25" s="6">
        <v>9</v>
      </c>
      <c r="S25" s="369">
        <v>0.51529999999999998</v>
      </c>
      <c r="T25" s="365"/>
      <c r="U25" s="28">
        <v>391789.14999999991</v>
      </c>
      <c r="V25" s="28">
        <v>644634.23</v>
      </c>
      <c r="W25" s="28">
        <v>4164959.4799999995</v>
      </c>
      <c r="X25" s="28">
        <v>675638.34</v>
      </c>
      <c r="Y25" s="28">
        <v>180347.02</v>
      </c>
      <c r="Z25" s="28">
        <v>390357.45000000007</v>
      </c>
      <c r="AA25" s="28">
        <v>304147.00999999995</v>
      </c>
      <c r="AB25" s="28">
        <v>509234.11</v>
      </c>
      <c r="AC25" s="28">
        <v>718856.4</v>
      </c>
      <c r="AD25" s="28">
        <v>1323813.8900000001</v>
      </c>
      <c r="AE25" s="28">
        <v>210934.44</v>
      </c>
      <c r="AF25" s="28">
        <v>9514711.5199999996</v>
      </c>
      <c r="AG25" s="147"/>
      <c r="AH25" s="147"/>
      <c r="AI25" s="405">
        <v>379</v>
      </c>
      <c r="AJ25" s="460">
        <v>735.5</v>
      </c>
      <c r="AK25" s="417">
        <v>0.51529999999999998</v>
      </c>
      <c r="AL25" s="405">
        <v>9</v>
      </c>
      <c r="AM25" s="147"/>
    </row>
    <row r="26" spans="1:39">
      <c r="A26" s="71">
        <v>19</v>
      </c>
      <c r="B26" s="71" t="s">
        <v>1138</v>
      </c>
      <c r="C26" s="28">
        <v>0</v>
      </c>
      <c r="D26" s="28">
        <v>0</v>
      </c>
      <c r="E26" s="28">
        <v>0</v>
      </c>
      <c r="F26" s="28">
        <v>0</v>
      </c>
      <c r="G26" s="28">
        <v>0</v>
      </c>
      <c r="H26" s="28">
        <v>0</v>
      </c>
      <c r="I26" s="28">
        <v>0</v>
      </c>
      <c r="J26" s="28">
        <v>0</v>
      </c>
      <c r="K26" s="28">
        <v>0</v>
      </c>
      <c r="L26" s="28">
        <v>0</v>
      </c>
      <c r="M26" s="28">
        <v>0</v>
      </c>
      <c r="N26" s="28">
        <v>0</v>
      </c>
      <c r="O26" s="28">
        <v>0</v>
      </c>
      <c r="P26" s="516">
        <v>0</v>
      </c>
      <c r="Q26" s="517">
        <v>1</v>
      </c>
      <c r="R26" s="6">
        <v>0</v>
      </c>
      <c r="S26" s="369">
        <v>0</v>
      </c>
      <c r="T26" s="94"/>
      <c r="U26" s="28">
        <v>0</v>
      </c>
      <c r="V26" s="28">
        <v>0</v>
      </c>
      <c r="W26" s="28">
        <v>0</v>
      </c>
      <c r="X26" s="28">
        <v>0</v>
      </c>
      <c r="Y26" s="28">
        <v>0</v>
      </c>
      <c r="Z26" s="28">
        <v>0</v>
      </c>
      <c r="AA26" s="28">
        <v>0</v>
      </c>
      <c r="AB26" s="28">
        <v>0</v>
      </c>
      <c r="AC26" s="28">
        <v>0</v>
      </c>
      <c r="AD26" s="28">
        <v>0</v>
      </c>
      <c r="AE26" s="28">
        <v>0</v>
      </c>
      <c r="AF26" s="28">
        <v>0</v>
      </c>
      <c r="AG26" s="147"/>
      <c r="AH26" s="147"/>
      <c r="AI26" s="405">
        <v>0</v>
      </c>
      <c r="AJ26" s="460">
        <v>0</v>
      </c>
      <c r="AK26" s="417">
        <v>0</v>
      </c>
      <c r="AL26" s="405">
        <v>0</v>
      </c>
      <c r="AM26" s="147"/>
    </row>
    <row r="27" spans="1:39">
      <c r="A27" s="71">
        <v>20</v>
      </c>
      <c r="B27" s="71" t="s">
        <v>1139</v>
      </c>
      <c r="C27" s="28">
        <v>153</v>
      </c>
      <c r="D27" s="28">
        <v>0</v>
      </c>
      <c r="E27" s="28">
        <v>376</v>
      </c>
      <c r="F27" s="28">
        <v>1944</v>
      </c>
      <c r="G27" s="28">
        <v>1160</v>
      </c>
      <c r="H27" s="28">
        <v>1603</v>
      </c>
      <c r="I27" s="28">
        <v>146</v>
      </c>
      <c r="J27" s="28">
        <v>207</v>
      </c>
      <c r="K27" s="28">
        <v>51</v>
      </c>
      <c r="L27" s="28">
        <v>669</v>
      </c>
      <c r="M27" s="28">
        <v>198</v>
      </c>
      <c r="N27" s="28">
        <v>242</v>
      </c>
      <c r="O27" s="28">
        <v>3085</v>
      </c>
      <c r="P27" s="516">
        <v>5306</v>
      </c>
      <c r="Q27" s="517">
        <v>1</v>
      </c>
      <c r="R27" s="6">
        <v>10</v>
      </c>
      <c r="S27" s="369">
        <v>0.60350000000000004</v>
      </c>
      <c r="T27" s="365"/>
      <c r="U27" s="28">
        <v>3636780.26</v>
      </c>
      <c r="V27" s="28">
        <v>5936993.9799999995</v>
      </c>
      <c r="W27" s="28">
        <v>39081397.140000001</v>
      </c>
      <c r="X27" s="28">
        <v>6280593.5399999991</v>
      </c>
      <c r="Y27" s="28">
        <v>1657810.01</v>
      </c>
      <c r="Z27" s="28">
        <v>3863819.19</v>
      </c>
      <c r="AA27" s="28">
        <v>2824867.8</v>
      </c>
      <c r="AB27" s="28">
        <v>4665694.3099999996</v>
      </c>
      <c r="AC27" s="28">
        <v>6906059</v>
      </c>
      <c r="AD27" s="28">
        <v>12232370.479999999</v>
      </c>
      <c r="AE27" s="28">
        <v>1792942.74</v>
      </c>
      <c r="AF27" s="28">
        <v>88879328.449999988</v>
      </c>
      <c r="AG27" s="147"/>
      <c r="AH27" s="147"/>
      <c r="AI27" s="405">
        <v>3085</v>
      </c>
      <c r="AJ27" s="460">
        <v>5111.5</v>
      </c>
      <c r="AK27" s="417">
        <v>0.60350000000000004</v>
      </c>
      <c r="AL27" s="405">
        <v>10</v>
      </c>
      <c r="AM27" s="147"/>
    </row>
    <row r="28" spans="1:39">
      <c r="A28" s="71">
        <v>21</v>
      </c>
      <c r="B28" s="71" t="s">
        <v>1140</v>
      </c>
      <c r="C28" s="28">
        <v>0</v>
      </c>
      <c r="D28" s="28">
        <v>0</v>
      </c>
      <c r="E28" s="28">
        <v>0</v>
      </c>
      <c r="F28" s="28">
        <v>0</v>
      </c>
      <c r="G28" s="28">
        <v>0</v>
      </c>
      <c r="H28" s="28">
        <v>0</v>
      </c>
      <c r="I28" s="28">
        <v>0</v>
      </c>
      <c r="J28" s="28">
        <v>0</v>
      </c>
      <c r="K28" s="28">
        <v>0</v>
      </c>
      <c r="L28" s="28">
        <v>0</v>
      </c>
      <c r="M28" s="28">
        <v>0</v>
      </c>
      <c r="N28" s="28">
        <v>0</v>
      </c>
      <c r="O28" s="28">
        <v>0</v>
      </c>
      <c r="P28" s="516">
        <v>0</v>
      </c>
      <c r="Q28" s="517">
        <v>1</v>
      </c>
      <c r="R28" s="6">
        <v>0</v>
      </c>
      <c r="S28" s="369">
        <v>0</v>
      </c>
      <c r="T28" s="94"/>
      <c r="U28" s="28">
        <v>0</v>
      </c>
      <c r="V28" s="28">
        <v>0</v>
      </c>
      <c r="W28" s="28">
        <v>0</v>
      </c>
      <c r="X28" s="28">
        <v>0</v>
      </c>
      <c r="Y28" s="28">
        <v>0</v>
      </c>
      <c r="Z28" s="28">
        <v>0</v>
      </c>
      <c r="AA28" s="28">
        <v>0</v>
      </c>
      <c r="AB28" s="28">
        <v>0</v>
      </c>
      <c r="AC28" s="28">
        <v>0</v>
      </c>
      <c r="AD28" s="28">
        <v>0</v>
      </c>
      <c r="AE28" s="28">
        <v>0</v>
      </c>
      <c r="AF28" s="28">
        <v>0</v>
      </c>
      <c r="AG28" s="147"/>
      <c r="AH28" s="147"/>
      <c r="AI28" s="405">
        <v>0</v>
      </c>
      <c r="AJ28" s="460">
        <v>0</v>
      </c>
      <c r="AK28" s="417">
        <v>0</v>
      </c>
      <c r="AL28" s="405">
        <v>0</v>
      </c>
      <c r="AM28" s="147"/>
    </row>
    <row r="29" spans="1:39">
      <c r="A29" s="71">
        <v>22</v>
      </c>
      <c r="B29" s="71" t="s">
        <v>1141</v>
      </c>
      <c r="C29" s="28">
        <v>0</v>
      </c>
      <c r="D29" s="28">
        <v>0</v>
      </c>
      <c r="E29" s="28">
        <v>0</v>
      </c>
      <c r="F29" s="28">
        <v>0</v>
      </c>
      <c r="G29" s="28">
        <v>0</v>
      </c>
      <c r="H29" s="28">
        <v>0</v>
      </c>
      <c r="I29" s="28">
        <v>13</v>
      </c>
      <c r="J29" s="28">
        <v>1</v>
      </c>
      <c r="K29" s="28">
        <v>0</v>
      </c>
      <c r="L29" s="28">
        <v>0</v>
      </c>
      <c r="M29" s="28">
        <v>0</v>
      </c>
      <c r="N29" s="28">
        <v>0</v>
      </c>
      <c r="O29" s="28">
        <v>0</v>
      </c>
      <c r="P29" s="516">
        <v>13</v>
      </c>
      <c r="Q29" s="517">
        <v>1</v>
      </c>
      <c r="R29" s="6">
        <v>0</v>
      </c>
      <c r="S29" s="369">
        <v>0</v>
      </c>
      <c r="T29" s="94"/>
      <c r="U29" s="28">
        <v>8928.86</v>
      </c>
      <c r="V29" s="28">
        <v>10533.9</v>
      </c>
      <c r="W29" s="28">
        <v>116478.47</v>
      </c>
      <c r="X29" s="28">
        <v>16963.73</v>
      </c>
      <c r="Y29" s="28">
        <v>3814.51</v>
      </c>
      <c r="Z29" s="28">
        <v>20004.690000000002</v>
      </c>
      <c r="AA29" s="28">
        <v>5864.56</v>
      </c>
      <c r="AB29" s="28">
        <v>7899.58</v>
      </c>
      <c r="AC29" s="28">
        <v>29845.58</v>
      </c>
      <c r="AD29" s="28">
        <v>30184.03</v>
      </c>
      <c r="AE29" s="28">
        <v>0</v>
      </c>
      <c r="AF29" s="28">
        <v>250517.91</v>
      </c>
      <c r="AG29" s="147"/>
      <c r="AH29" s="147"/>
      <c r="AI29" s="405">
        <v>0</v>
      </c>
      <c r="AJ29" s="460">
        <v>0</v>
      </c>
      <c r="AK29" s="417">
        <v>0</v>
      </c>
      <c r="AL29" s="405">
        <v>0</v>
      </c>
      <c r="AM29" s="147"/>
    </row>
    <row r="30" spans="1:39">
      <c r="A30" s="71">
        <v>23</v>
      </c>
      <c r="B30" s="71" t="s">
        <v>1142</v>
      </c>
      <c r="C30" s="28">
        <v>25</v>
      </c>
      <c r="D30" s="28">
        <v>0</v>
      </c>
      <c r="E30" s="28">
        <v>159</v>
      </c>
      <c r="F30" s="28">
        <v>888</v>
      </c>
      <c r="G30" s="28">
        <v>619</v>
      </c>
      <c r="H30" s="28">
        <v>899</v>
      </c>
      <c r="I30" s="28">
        <v>1</v>
      </c>
      <c r="J30" s="28">
        <v>101</v>
      </c>
      <c r="K30" s="28">
        <v>26</v>
      </c>
      <c r="L30" s="28">
        <v>100</v>
      </c>
      <c r="M30" s="28">
        <v>20</v>
      </c>
      <c r="N30" s="28">
        <v>22</v>
      </c>
      <c r="O30" s="28">
        <v>386</v>
      </c>
      <c r="P30" s="516">
        <v>2579</v>
      </c>
      <c r="Q30" s="517">
        <v>1.0820000000000001</v>
      </c>
      <c r="R30" s="6">
        <v>3</v>
      </c>
      <c r="S30" s="369">
        <v>0.15210000000000001</v>
      </c>
      <c r="T30" s="365"/>
      <c r="U30" s="28">
        <v>1737280.64524</v>
      </c>
      <c r="V30" s="28">
        <v>2411983.3852400002</v>
      </c>
      <c r="W30" s="28">
        <v>13643367.056280002</v>
      </c>
      <c r="X30" s="28">
        <v>3182892.7503400007</v>
      </c>
      <c r="Y30" s="28">
        <v>545647.15754000004</v>
      </c>
      <c r="Z30" s="28">
        <v>1749532.72</v>
      </c>
      <c r="AA30" s="28">
        <v>1207614.2165400004</v>
      </c>
      <c r="AB30" s="28">
        <v>1195108.73104</v>
      </c>
      <c r="AC30" s="28">
        <v>3419803.6833400005</v>
      </c>
      <c r="AD30" s="28">
        <v>4820924.9600000009</v>
      </c>
      <c r="AE30" s="28">
        <v>914049.24</v>
      </c>
      <c r="AF30" s="28">
        <v>34828204.54556001</v>
      </c>
      <c r="AG30" s="147"/>
      <c r="AH30" s="147"/>
      <c r="AI30" s="405">
        <v>386</v>
      </c>
      <c r="AJ30" s="460">
        <v>2538.5</v>
      </c>
      <c r="AK30" s="417">
        <v>0.15210000000000001</v>
      </c>
      <c r="AL30" s="405">
        <v>3</v>
      </c>
      <c r="AM30" s="147"/>
    </row>
    <row r="31" spans="1:39">
      <c r="A31" s="71">
        <v>24</v>
      </c>
      <c r="B31" s="71" t="s">
        <v>1143</v>
      </c>
      <c r="C31" s="28">
        <v>64</v>
      </c>
      <c r="D31" s="28">
        <v>0</v>
      </c>
      <c r="E31" s="28">
        <v>134</v>
      </c>
      <c r="F31" s="28">
        <v>805</v>
      </c>
      <c r="G31" s="28">
        <v>510</v>
      </c>
      <c r="H31" s="28">
        <v>610</v>
      </c>
      <c r="I31" s="28">
        <v>15</v>
      </c>
      <c r="J31" s="28">
        <v>82</v>
      </c>
      <c r="K31" s="28">
        <v>21</v>
      </c>
      <c r="L31" s="28">
        <v>40</v>
      </c>
      <c r="M31" s="28">
        <v>5</v>
      </c>
      <c r="N31" s="28">
        <v>12</v>
      </c>
      <c r="O31" s="28">
        <v>585</v>
      </c>
      <c r="P31" s="516">
        <v>2106</v>
      </c>
      <c r="Q31" s="517">
        <v>1</v>
      </c>
      <c r="R31" s="6">
        <v>5</v>
      </c>
      <c r="S31" s="369">
        <v>0.28070000000000001</v>
      </c>
      <c r="T31" s="365"/>
      <c r="U31" s="28">
        <v>1321616.76</v>
      </c>
      <c r="V31" s="28">
        <v>1900571.8</v>
      </c>
      <c r="W31" s="28">
        <v>11031474.75</v>
      </c>
      <c r="X31" s="28">
        <v>2426997.9</v>
      </c>
      <c r="Y31" s="28">
        <v>452342.18</v>
      </c>
      <c r="Z31" s="28">
        <v>1400605.1999999997</v>
      </c>
      <c r="AA31" s="28">
        <v>934900.49000000011</v>
      </c>
      <c r="AB31" s="28">
        <v>1038622.83</v>
      </c>
      <c r="AC31" s="28">
        <v>2567556.39</v>
      </c>
      <c r="AD31" s="28">
        <v>4085332.78</v>
      </c>
      <c r="AE31" s="28">
        <v>738270.53999999992</v>
      </c>
      <c r="AF31" s="28">
        <v>27898291.619999997</v>
      </c>
      <c r="AG31" s="147"/>
      <c r="AH31" s="147"/>
      <c r="AI31" s="405">
        <v>585</v>
      </c>
      <c r="AJ31" s="460">
        <v>2084</v>
      </c>
      <c r="AK31" s="417">
        <v>0.28070000000000001</v>
      </c>
      <c r="AL31" s="405">
        <v>5</v>
      </c>
      <c r="AM31" s="147"/>
    </row>
    <row r="32" spans="1:39">
      <c r="A32" s="71">
        <v>25</v>
      </c>
      <c r="B32" s="71" t="s">
        <v>1144</v>
      </c>
      <c r="C32" s="28">
        <v>55</v>
      </c>
      <c r="D32" s="28">
        <v>1</v>
      </c>
      <c r="E32" s="28">
        <v>153</v>
      </c>
      <c r="F32" s="28">
        <v>803</v>
      </c>
      <c r="G32" s="28">
        <v>508</v>
      </c>
      <c r="H32" s="28">
        <v>663</v>
      </c>
      <c r="I32" s="28">
        <v>19</v>
      </c>
      <c r="J32" s="28">
        <v>85</v>
      </c>
      <c r="K32" s="28">
        <v>21</v>
      </c>
      <c r="L32" s="28">
        <v>78</v>
      </c>
      <c r="M32" s="28">
        <v>13</v>
      </c>
      <c r="N32" s="28">
        <v>11</v>
      </c>
      <c r="O32" s="28">
        <v>751</v>
      </c>
      <c r="P32" s="516">
        <v>2175</v>
      </c>
      <c r="Q32" s="517">
        <v>1</v>
      </c>
      <c r="R32" s="6">
        <v>6</v>
      </c>
      <c r="S32" s="369">
        <v>0.3548</v>
      </c>
      <c r="T32" s="365"/>
      <c r="U32" s="28">
        <v>1382542.6500000001</v>
      </c>
      <c r="V32" s="28">
        <v>2040732.15</v>
      </c>
      <c r="W32" s="28">
        <v>12197376.219999999</v>
      </c>
      <c r="X32" s="28">
        <v>2508005.2199999997</v>
      </c>
      <c r="Y32" s="28">
        <v>503246.13999999996</v>
      </c>
      <c r="Z32" s="28">
        <v>1471277.69</v>
      </c>
      <c r="AA32" s="28">
        <v>998631.89000000013</v>
      </c>
      <c r="AB32" s="28">
        <v>1231877.26</v>
      </c>
      <c r="AC32" s="28">
        <v>2669827.9000000004</v>
      </c>
      <c r="AD32" s="28">
        <v>4346659.93</v>
      </c>
      <c r="AE32" s="28">
        <v>738270.53999999992</v>
      </c>
      <c r="AF32" s="28">
        <v>30088447.590000004</v>
      </c>
      <c r="AG32" s="147"/>
      <c r="AH32" s="147"/>
      <c r="AI32" s="405">
        <v>751</v>
      </c>
      <c r="AJ32" s="460">
        <v>2116.5</v>
      </c>
      <c r="AK32" s="417">
        <v>0.3548</v>
      </c>
      <c r="AL32" s="405">
        <v>6</v>
      </c>
      <c r="AM32" s="147"/>
    </row>
    <row r="33" spans="1:39">
      <c r="A33" s="71">
        <v>26</v>
      </c>
      <c r="B33" s="71" t="s">
        <v>1145</v>
      </c>
      <c r="C33" s="28">
        <v>36</v>
      </c>
      <c r="D33" s="28">
        <v>0</v>
      </c>
      <c r="E33" s="28">
        <v>239</v>
      </c>
      <c r="F33" s="28">
        <v>1661</v>
      </c>
      <c r="G33" s="28">
        <v>1063</v>
      </c>
      <c r="H33" s="28">
        <v>1528</v>
      </c>
      <c r="I33" s="28">
        <v>12</v>
      </c>
      <c r="J33" s="28">
        <v>177</v>
      </c>
      <c r="K33" s="28">
        <v>45</v>
      </c>
      <c r="L33" s="28">
        <v>331</v>
      </c>
      <c r="M33" s="28">
        <v>53</v>
      </c>
      <c r="N33" s="28">
        <v>47</v>
      </c>
      <c r="O33" s="28">
        <v>607</v>
      </c>
      <c r="P33" s="516">
        <v>4521</v>
      </c>
      <c r="Q33" s="517">
        <v>1.0429999999999999</v>
      </c>
      <c r="R33" s="6">
        <v>3</v>
      </c>
      <c r="S33" s="369">
        <v>0.1381</v>
      </c>
      <c r="T33" s="365"/>
      <c r="U33" s="28">
        <v>2950638.6560000004</v>
      </c>
      <c r="V33" s="28">
        <v>4092985.5637299991</v>
      </c>
      <c r="W33" s="28">
        <v>23118029.207559995</v>
      </c>
      <c r="X33" s="28">
        <v>5437383.80822</v>
      </c>
      <c r="Y33" s="28">
        <v>923406.84561999992</v>
      </c>
      <c r="Z33" s="28">
        <v>3085980.8699999992</v>
      </c>
      <c r="AA33" s="28">
        <v>2045191.91576</v>
      </c>
      <c r="AB33" s="28">
        <v>1964487.4961599994</v>
      </c>
      <c r="AC33" s="28">
        <v>5849723.9810100002</v>
      </c>
      <c r="AD33" s="28">
        <v>8483888.4300000016</v>
      </c>
      <c r="AE33" s="28">
        <v>1582008.2999999998</v>
      </c>
      <c r="AF33" s="28">
        <v>59533725.074059986</v>
      </c>
      <c r="AG33" s="147"/>
      <c r="AH33" s="147"/>
      <c r="AI33" s="405">
        <v>607</v>
      </c>
      <c r="AJ33" s="460">
        <v>4396</v>
      </c>
      <c r="AK33" s="417">
        <v>0.1381</v>
      </c>
      <c r="AL33" s="405">
        <v>3</v>
      </c>
      <c r="AM33" s="147"/>
    </row>
    <row r="34" spans="1:39">
      <c r="A34" s="71">
        <v>27</v>
      </c>
      <c r="B34" s="71" t="s">
        <v>1146</v>
      </c>
      <c r="C34" s="28">
        <v>40</v>
      </c>
      <c r="D34" s="28">
        <v>0</v>
      </c>
      <c r="E34" s="28">
        <v>60</v>
      </c>
      <c r="F34" s="28">
        <v>357</v>
      </c>
      <c r="G34" s="28">
        <v>245</v>
      </c>
      <c r="H34" s="28">
        <v>0</v>
      </c>
      <c r="I34" s="28">
        <v>0</v>
      </c>
      <c r="J34" s="28">
        <v>26</v>
      </c>
      <c r="K34" s="28">
        <v>7</v>
      </c>
      <c r="L34" s="28">
        <v>11</v>
      </c>
      <c r="M34" s="28">
        <v>3</v>
      </c>
      <c r="N34" s="28">
        <v>0</v>
      </c>
      <c r="O34" s="28">
        <v>241</v>
      </c>
      <c r="P34" s="516">
        <v>682</v>
      </c>
      <c r="Q34" s="517">
        <v>1</v>
      </c>
      <c r="R34" s="6">
        <v>5</v>
      </c>
      <c r="S34" s="369">
        <v>0.2979</v>
      </c>
      <c r="T34" s="365"/>
      <c r="U34" s="28">
        <v>429859.27</v>
      </c>
      <c r="V34" s="28">
        <v>630611.42000000004</v>
      </c>
      <c r="W34" s="28">
        <v>3444018.8099999996</v>
      </c>
      <c r="X34" s="28">
        <v>835689.39</v>
      </c>
      <c r="Y34" s="28">
        <v>152533.97000000003</v>
      </c>
      <c r="Z34" s="28">
        <v>385375.38</v>
      </c>
      <c r="AA34" s="28">
        <v>296401.11</v>
      </c>
      <c r="AB34" s="28">
        <v>285673.87</v>
      </c>
      <c r="AC34" s="28">
        <v>819562.95</v>
      </c>
      <c r="AD34" s="28">
        <v>1369473.22</v>
      </c>
      <c r="AE34" s="28">
        <v>246090.18</v>
      </c>
      <c r="AF34" s="28">
        <v>8895289.5700000003</v>
      </c>
      <c r="AG34" s="147"/>
      <c r="AH34" s="147"/>
      <c r="AI34" s="405">
        <v>241</v>
      </c>
      <c r="AJ34" s="460">
        <v>809</v>
      </c>
      <c r="AK34" s="417">
        <v>0.2979</v>
      </c>
      <c r="AL34" s="405">
        <v>5</v>
      </c>
      <c r="AM34" s="147"/>
    </row>
    <row r="35" spans="1:39">
      <c r="A35" s="71">
        <v>28</v>
      </c>
      <c r="B35" s="71" t="s">
        <v>1147</v>
      </c>
      <c r="C35" s="28">
        <v>0</v>
      </c>
      <c r="D35" s="28">
        <v>0</v>
      </c>
      <c r="E35" s="28">
        <v>0</v>
      </c>
      <c r="F35" s="28">
        <v>0</v>
      </c>
      <c r="G35" s="28">
        <v>0</v>
      </c>
      <c r="H35" s="28">
        <v>0</v>
      </c>
      <c r="I35" s="28">
        <v>0</v>
      </c>
      <c r="J35" s="28">
        <v>0</v>
      </c>
      <c r="K35" s="28">
        <v>0</v>
      </c>
      <c r="L35" s="28">
        <v>0</v>
      </c>
      <c r="M35" s="28">
        <v>0</v>
      </c>
      <c r="N35" s="28">
        <v>0</v>
      </c>
      <c r="O35" s="28">
        <v>0</v>
      </c>
      <c r="P35" s="516">
        <v>0</v>
      </c>
      <c r="Q35" s="517">
        <v>1.026</v>
      </c>
      <c r="R35" s="6">
        <v>0</v>
      </c>
      <c r="S35" s="369">
        <v>0</v>
      </c>
      <c r="T35" s="365"/>
      <c r="U35" s="28">
        <v>0</v>
      </c>
      <c r="V35" s="28">
        <v>0</v>
      </c>
      <c r="W35" s="28">
        <v>0</v>
      </c>
      <c r="X35" s="28">
        <v>0</v>
      </c>
      <c r="Y35" s="28">
        <v>0</v>
      </c>
      <c r="Z35" s="28">
        <v>0</v>
      </c>
      <c r="AA35" s="28">
        <v>0</v>
      </c>
      <c r="AB35" s="28">
        <v>0</v>
      </c>
      <c r="AC35" s="28">
        <v>0</v>
      </c>
      <c r="AD35" s="28">
        <v>0</v>
      </c>
      <c r="AE35" s="28">
        <v>0</v>
      </c>
      <c r="AF35" s="28">
        <v>0</v>
      </c>
      <c r="AG35" s="147"/>
      <c r="AH35" s="147"/>
      <c r="AI35" s="405">
        <v>0</v>
      </c>
      <c r="AJ35" s="460">
        <v>0</v>
      </c>
      <c r="AK35" s="417">
        <v>0</v>
      </c>
      <c r="AL35" s="405">
        <v>0</v>
      </c>
      <c r="AM35" s="147"/>
    </row>
    <row r="36" spans="1:39">
      <c r="A36" s="71">
        <v>29</v>
      </c>
      <c r="B36" s="71" t="s">
        <v>1148</v>
      </c>
      <c r="C36" s="28">
        <v>0</v>
      </c>
      <c r="D36" s="28">
        <v>0</v>
      </c>
      <c r="E36" s="28">
        <v>0</v>
      </c>
      <c r="F36" s="28">
        <v>0</v>
      </c>
      <c r="G36" s="28">
        <v>0</v>
      </c>
      <c r="H36" s="28">
        <v>0</v>
      </c>
      <c r="I36" s="28">
        <v>0</v>
      </c>
      <c r="J36" s="28">
        <v>0</v>
      </c>
      <c r="K36" s="28">
        <v>0</v>
      </c>
      <c r="L36" s="28">
        <v>0</v>
      </c>
      <c r="M36" s="28">
        <v>0</v>
      </c>
      <c r="N36" s="28">
        <v>0</v>
      </c>
      <c r="O36" s="28">
        <v>0</v>
      </c>
      <c r="P36" s="516">
        <v>0</v>
      </c>
      <c r="Q36" s="517">
        <v>1</v>
      </c>
      <c r="R36" s="6">
        <v>0</v>
      </c>
      <c r="S36" s="369">
        <v>0</v>
      </c>
      <c r="T36" s="94"/>
      <c r="U36" s="28">
        <v>0</v>
      </c>
      <c r="V36" s="28">
        <v>0</v>
      </c>
      <c r="W36" s="28">
        <v>0</v>
      </c>
      <c r="X36" s="28">
        <v>0</v>
      </c>
      <c r="Y36" s="28">
        <v>0</v>
      </c>
      <c r="Z36" s="28">
        <v>0</v>
      </c>
      <c r="AA36" s="28">
        <v>0</v>
      </c>
      <c r="AB36" s="28">
        <v>0</v>
      </c>
      <c r="AC36" s="28">
        <v>0</v>
      </c>
      <c r="AD36" s="28">
        <v>0</v>
      </c>
      <c r="AE36" s="28">
        <v>0</v>
      </c>
      <c r="AF36" s="28">
        <v>0</v>
      </c>
      <c r="AG36" s="147"/>
      <c r="AH36" s="147"/>
      <c r="AI36" s="405">
        <v>0</v>
      </c>
      <c r="AJ36" s="460">
        <v>0</v>
      </c>
      <c r="AK36" s="417">
        <v>0</v>
      </c>
      <c r="AL36" s="405">
        <v>0</v>
      </c>
      <c r="AM36" s="147"/>
    </row>
    <row r="37" spans="1:39">
      <c r="A37" s="71">
        <v>30</v>
      </c>
      <c r="B37" s="71" t="s">
        <v>1149</v>
      </c>
      <c r="C37" s="28">
        <v>112</v>
      </c>
      <c r="D37" s="28">
        <v>0</v>
      </c>
      <c r="E37" s="28">
        <v>332</v>
      </c>
      <c r="F37" s="28">
        <v>1784</v>
      </c>
      <c r="G37" s="28">
        <v>1010</v>
      </c>
      <c r="H37" s="28">
        <v>1265</v>
      </c>
      <c r="I37" s="28">
        <v>19</v>
      </c>
      <c r="J37" s="28">
        <v>174</v>
      </c>
      <c r="K37" s="28">
        <v>44</v>
      </c>
      <c r="L37" s="28">
        <v>147</v>
      </c>
      <c r="M37" s="28">
        <v>40</v>
      </c>
      <c r="N37" s="28">
        <v>48</v>
      </c>
      <c r="O37" s="28">
        <v>1610</v>
      </c>
      <c r="P37" s="516">
        <v>4466</v>
      </c>
      <c r="Q37" s="517">
        <v>1</v>
      </c>
      <c r="R37" s="6">
        <v>7</v>
      </c>
      <c r="S37" s="369">
        <v>0.36070000000000002</v>
      </c>
      <c r="T37" s="365"/>
      <c r="U37" s="28">
        <v>2859268.8099999996</v>
      </c>
      <c r="V37" s="28">
        <v>4266863.04</v>
      </c>
      <c r="W37" s="28">
        <v>25582812.25</v>
      </c>
      <c r="X37" s="28">
        <v>5205796.5999999987</v>
      </c>
      <c r="Y37" s="28">
        <v>1064447.6199999999</v>
      </c>
      <c r="Z37" s="28">
        <v>2980603.4699999997</v>
      </c>
      <c r="AA37" s="28">
        <v>2071673.7300000002</v>
      </c>
      <c r="AB37" s="28">
        <v>2616302.3199999998</v>
      </c>
      <c r="AC37" s="28">
        <v>5464386.3100000005</v>
      </c>
      <c r="AD37" s="28">
        <v>9048083.4100000001</v>
      </c>
      <c r="AE37" s="28">
        <v>1546852.5599999998</v>
      </c>
      <c r="AF37" s="28">
        <v>62707090.120000005</v>
      </c>
      <c r="AG37" s="147"/>
      <c r="AH37" s="147"/>
      <c r="AI37" s="405">
        <v>1610</v>
      </c>
      <c r="AJ37" s="460">
        <v>4463</v>
      </c>
      <c r="AK37" s="417">
        <v>0.36070000000000002</v>
      </c>
      <c r="AL37" s="405">
        <v>7</v>
      </c>
      <c r="AM37" s="147"/>
    </row>
    <row r="38" spans="1:39">
      <c r="A38" s="71">
        <v>31</v>
      </c>
      <c r="B38" s="71" t="s">
        <v>1150</v>
      </c>
      <c r="C38" s="28">
        <v>107</v>
      </c>
      <c r="D38" s="28">
        <v>0</v>
      </c>
      <c r="E38" s="28">
        <v>381</v>
      </c>
      <c r="F38" s="28">
        <v>2014</v>
      </c>
      <c r="G38" s="28">
        <v>1195</v>
      </c>
      <c r="H38" s="28">
        <v>1280</v>
      </c>
      <c r="I38" s="28">
        <v>1</v>
      </c>
      <c r="J38" s="28">
        <v>191</v>
      </c>
      <c r="K38" s="28">
        <v>49</v>
      </c>
      <c r="L38" s="28">
        <v>116</v>
      </c>
      <c r="M38" s="28">
        <v>18</v>
      </c>
      <c r="N38" s="28">
        <v>43</v>
      </c>
      <c r="O38" s="28">
        <v>1442</v>
      </c>
      <c r="P38" s="516">
        <v>4925</v>
      </c>
      <c r="Q38" s="517">
        <v>1</v>
      </c>
      <c r="R38" s="6">
        <v>5</v>
      </c>
      <c r="S38" s="369">
        <v>0.29549999999999998</v>
      </c>
      <c r="T38" s="365"/>
      <c r="U38" s="28">
        <v>3097692.27</v>
      </c>
      <c r="V38" s="28">
        <v>4476256.41</v>
      </c>
      <c r="W38" s="28">
        <v>25763214.079999994</v>
      </c>
      <c r="X38" s="28">
        <v>5745250.1100000003</v>
      </c>
      <c r="Y38" s="28">
        <v>1066110.3999999999</v>
      </c>
      <c r="Z38" s="28">
        <v>3202630.3300000005</v>
      </c>
      <c r="AA38" s="28">
        <v>2186066.75</v>
      </c>
      <c r="AB38" s="28">
        <v>2394634.8199999998</v>
      </c>
      <c r="AC38" s="28">
        <v>5975083.2000000002</v>
      </c>
      <c r="AD38" s="28">
        <v>9602796.4800000004</v>
      </c>
      <c r="AE38" s="28">
        <v>1722631.26</v>
      </c>
      <c r="AF38" s="28">
        <v>65232366.109999992</v>
      </c>
      <c r="AG38" s="147"/>
      <c r="AH38" s="147"/>
      <c r="AI38" s="405">
        <v>1442</v>
      </c>
      <c r="AJ38" s="460">
        <v>4879.5</v>
      </c>
      <c r="AK38" s="417">
        <v>0.29549999999999998</v>
      </c>
      <c r="AL38" s="405">
        <v>5</v>
      </c>
      <c r="AM38" s="147"/>
    </row>
    <row r="39" spans="1:39">
      <c r="A39" s="71">
        <v>32</v>
      </c>
      <c r="B39" s="71" t="s">
        <v>1151</v>
      </c>
      <c r="C39" s="28">
        <v>0</v>
      </c>
      <c r="D39" s="28">
        <v>0</v>
      </c>
      <c r="E39" s="28">
        <v>0</v>
      </c>
      <c r="F39" s="28">
        <v>0</v>
      </c>
      <c r="G39" s="28">
        <v>0</v>
      </c>
      <c r="H39" s="28">
        <v>0</v>
      </c>
      <c r="I39" s="28">
        <v>17</v>
      </c>
      <c r="J39" s="28">
        <v>1</v>
      </c>
      <c r="K39" s="28">
        <v>0</v>
      </c>
      <c r="L39" s="28">
        <v>0</v>
      </c>
      <c r="M39" s="28">
        <v>0</v>
      </c>
      <c r="N39" s="28">
        <v>0</v>
      </c>
      <c r="O39" s="28">
        <v>0</v>
      </c>
      <c r="P39" s="516">
        <v>17</v>
      </c>
      <c r="Q39" s="517">
        <v>1</v>
      </c>
      <c r="R39" s="6">
        <v>0</v>
      </c>
      <c r="S39" s="369">
        <v>0</v>
      </c>
      <c r="T39" s="94"/>
      <c r="U39" s="28">
        <v>10723.46</v>
      </c>
      <c r="V39" s="28">
        <v>13775.099999999999</v>
      </c>
      <c r="W39" s="28">
        <v>149174.19</v>
      </c>
      <c r="X39" s="28">
        <v>19248.010000000002</v>
      </c>
      <c r="Y39" s="28">
        <v>4836.55</v>
      </c>
      <c r="Z39" s="28">
        <v>26027.61</v>
      </c>
      <c r="AA39" s="28">
        <v>7669.04</v>
      </c>
      <c r="AB39" s="28">
        <v>10330.219999999999</v>
      </c>
      <c r="AC39" s="28">
        <v>37964.58</v>
      </c>
      <c r="AD39" s="28">
        <v>38210.469999999994</v>
      </c>
      <c r="AE39" s="28">
        <v>0</v>
      </c>
      <c r="AF39" s="28">
        <v>317959.23</v>
      </c>
      <c r="AG39" s="147"/>
      <c r="AH39" s="147"/>
      <c r="AI39" s="405">
        <v>0</v>
      </c>
      <c r="AJ39" s="460">
        <v>0</v>
      </c>
      <c r="AK39" s="417">
        <v>0</v>
      </c>
      <c r="AL39" s="405">
        <v>0</v>
      </c>
      <c r="AM39" s="147"/>
    </row>
    <row r="40" spans="1:39">
      <c r="A40" s="71">
        <v>33</v>
      </c>
      <c r="B40" s="71" t="s">
        <v>1152</v>
      </c>
      <c r="C40" s="28">
        <v>0</v>
      </c>
      <c r="D40" s="28">
        <v>0</v>
      </c>
      <c r="E40" s="28">
        <v>0</v>
      </c>
      <c r="F40" s="28">
        <v>0</v>
      </c>
      <c r="G40" s="28">
        <v>0</v>
      </c>
      <c r="H40" s="28">
        <v>0</v>
      </c>
      <c r="I40" s="28">
        <v>13</v>
      </c>
      <c r="J40" s="28">
        <v>1</v>
      </c>
      <c r="K40" s="28">
        <v>0</v>
      </c>
      <c r="L40" s="28">
        <v>0</v>
      </c>
      <c r="M40" s="28">
        <v>0</v>
      </c>
      <c r="N40" s="28">
        <v>0</v>
      </c>
      <c r="O40" s="28">
        <v>0</v>
      </c>
      <c r="P40" s="516">
        <v>13</v>
      </c>
      <c r="Q40" s="517">
        <v>1</v>
      </c>
      <c r="R40" s="6">
        <v>0</v>
      </c>
      <c r="S40" s="369">
        <v>0</v>
      </c>
      <c r="T40" s="94"/>
      <c r="U40" s="28">
        <v>8928.86</v>
      </c>
      <c r="V40" s="28">
        <v>10533.9</v>
      </c>
      <c r="W40" s="28">
        <v>116478.47</v>
      </c>
      <c r="X40" s="28">
        <v>16963.73</v>
      </c>
      <c r="Y40" s="28">
        <v>3814.51</v>
      </c>
      <c r="Z40" s="28">
        <v>20004.690000000002</v>
      </c>
      <c r="AA40" s="28">
        <v>5864.56</v>
      </c>
      <c r="AB40" s="28">
        <v>7899.58</v>
      </c>
      <c r="AC40" s="28">
        <v>29845.58</v>
      </c>
      <c r="AD40" s="28">
        <v>30184.03</v>
      </c>
      <c r="AE40" s="28">
        <v>0</v>
      </c>
      <c r="AF40" s="28">
        <v>250517.91</v>
      </c>
      <c r="AG40" s="147"/>
      <c r="AH40" s="147"/>
      <c r="AI40" s="405">
        <v>0</v>
      </c>
      <c r="AJ40" s="460">
        <v>0</v>
      </c>
      <c r="AK40" s="417">
        <v>0</v>
      </c>
      <c r="AL40" s="405">
        <v>0</v>
      </c>
      <c r="AM40" s="147"/>
    </row>
    <row r="41" spans="1:39">
      <c r="A41" s="71">
        <v>34</v>
      </c>
      <c r="B41" s="71" t="s">
        <v>1153</v>
      </c>
      <c r="C41" s="28">
        <v>0</v>
      </c>
      <c r="D41" s="28">
        <v>0</v>
      </c>
      <c r="E41" s="28">
        <v>0</v>
      </c>
      <c r="F41" s="28">
        <v>0</v>
      </c>
      <c r="G41" s="28">
        <v>0</v>
      </c>
      <c r="H41" s="28">
        <v>0</v>
      </c>
      <c r="I41" s="28">
        <v>0</v>
      </c>
      <c r="J41" s="28">
        <v>0</v>
      </c>
      <c r="K41" s="28">
        <v>0</v>
      </c>
      <c r="L41" s="28">
        <v>0</v>
      </c>
      <c r="M41" s="28">
        <v>0</v>
      </c>
      <c r="N41" s="28">
        <v>0</v>
      </c>
      <c r="O41" s="28">
        <v>0</v>
      </c>
      <c r="P41" s="516">
        <v>0</v>
      </c>
      <c r="Q41" s="517">
        <v>1.04</v>
      </c>
      <c r="R41" s="6">
        <v>0</v>
      </c>
      <c r="S41" s="369">
        <v>0</v>
      </c>
      <c r="T41" s="94"/>
      <c r="U41" s="28">
        <v>0</v>
      </c>
      <c r="V41" s="28">
        <v>0</v>
      </c>
      <c r="W41" s="28">
        <v>0</v>
      </c>
      <c r="X41" s="28">
        <v>0</v>
      </c>
      <c r="Y41" s="28">
        <v>0</v>
      </c>
      <c r="Z41" s="28">
        <v>0</v>
      </c>
      <c r="AA41" s="28">
        <v>0</v>
      </c>
      <c r="AB41" s="28">
        <v>0</v>
      </c>
      <c r="AC41" s="28">
        <v>0</v>
      </c>
      <c r="AD41" s="28">
        <v>0</v>
      </c>
      <c r="AE41" s="28">
        <v>0</v>
      </c>
      <c r="AF41" s="28">
        <v>0</v>
      </c>
      <c r="AG41" s="147"/>
      <c r="AH41" s="147"/>
      <c r="AI41" s="405">
        <v>0</v>
      </c>
      <c r="AJ41" s="460">
        <v>0</v>
      </c>
      <c r="AK41" s="417">
        <v>0</v>
      </c>
      <c r="AL41" s="405">
        <v>0</v>
      </c>
      <c r="AM41" s="147"/>
    </row>
    <row r="42" spans="1:39">
      <c r="A42" s="71">
        <v>35</v>
      </c>
      <c r="B42" s="71" t="s">
        <v>1154</v>
      </c>
      <c r="C42" s="28">
        <v>3375</v>
      </c>
      <c r="D42" s="28">
        <v>0</v>
      </c>
      <c r="E42" s="28">
        <v>3993</v>
      </c>
      <c r="F42" s="28">
        <v>20214</v>
      </c>
      <c r="G42" s="28">
        <v>12298</v>
      </c>
      <c r="H42" s="28">
        <v>17393</v>
      </c>
      <c r="I42" s="28">
        <v>1783</v>
      </c>
      <c r="J42" s="28">
        <v>2206</v>
      </c>
      <c r="K42" s="28">
        <v>539</v>
      </c>
      <c r="L42" s="28">
        <v>9523</v>
      </c>
      <c r="M42" s="28">
        <v>2752</v>
      </c>
      <c r="N42" s="28">
        <v>4283</v>
      </c>
      <c r="O42" s="28">
        <v>42721</v>
      </c>
      <c r="P42" s="516">
        <v>57369</v>
      </c>
      <c r="Q42" s="517">
        <v>1.087</v>
      </c>
      <c r="R42" s="6">
        <v>11</v>
      </c>
      <c r="S42" s="369">
        <v>0.75639999999999996</v>
      </c>
      <c r="T42" s="365"/>
      <c r="U42" s="28">
        <v>44579010.904329993</v>
      </c>
      <c r="V42" s="28">
        <v>77472388.30419001</v>
      </c>
      <c r="W42" s="28">
        <v>532423547.64441001</v>
      </c>
      <c r="X42" s="28">
        <v>74469378.808180004</v>
      </c>
      <c r="Y42" s="28">
        <v>22939275.958250001</v>
      </c>
      <c r="Z42" s="28">
        <v>43099961.030000001</v>
      </c>
      <c r="AA42" s="28">
        <v>36289688.703400001</v>
      </c>
      <c r="AB42" s="28">
        <v>68736315.320900008</v>
      </c>
      <c r="AC42" s="28">
        <v>83006308.869550005</v>
      </c>
      <c r="AD42" s="28">
        <v>143984734.72999999</v>
      </c>
      <c r="AE42" s="28">
        <v>18948943.859999999</v>
      </c>
      <c r="AF42" s="28">
        <v>1145949554.1332099</v>
      </c>
      <c r="AG42" s="147"/>
      <c r="AH42" s="147"/>
      <c r="AI42" s="405">
        <v>42721</v>
      </c>
      <c r="AJ42" s="460">
        <v>56481.5</v>
      </c>
      <c r="AK42" s="417">
        <v>0.75639999999999996</v>
      </c>
      <c r="AL42" s="405">
        <v>11</v>
      </c>
      <c r="AM42" s="147"/>
    </row>
    <row r="43" spans="1:39">
      <c r="A43" s="71">
        <v>36</v>
      </c>
      <c r="B43" s="71" t="s">
        <v>1155</v>
      </c>
      <c r="C43" s="28">
        <v>56</v>
      </c>
      <c r="D43" s="28">
        <v>0</v>
      </c>
      <c r="E43" s="28">
        <v>133</v>
      </c>
      <c r="F43" s="28">
        <v>641</v>
      </c>
      <c r="G43" s="28">
        <v>443</v>
      </c>
      <c r="H43" s="28">
        <v>453</v>
      </c>
      <c r="I43" s="28">
        <v>0</v>
      </c>
      <c r="J43" s="28">
        <v>66</v>
      </c>
      <c r="K43" s="28">
        <v>17</v>
      </c>
      <c r="L43" s="28">
        <v>49</v>
      </c>
      <c r="M43" s="28">
        <v>17</v>
      </c>
      <c r="N43" s="28">
        <v>10</v>
      </c>
      <c r="O43" s="28">
        <v>684</v>
      </c>
      <c r="P43" s="516">
        <v>1698</v>
      </c>
      <c r="Q43" s="517">
        <v>1</v>
      </c>
      <c r="R43" s="6">
        <v>7</v>
      </c>
      <c r="S43" s="369">
        <v>0.41610000000000003</v>
      </c>
      <c r="T43" s="365"/>
      <c r="U43" s="28">
        <v>1091690.5699999998</v>
      </c>
      <c r="V43" s="28">
        <v>1646295.9499999997</v>
      </c>
      <c r="W43" s="28">
        <v>9878195.0799999982</v>
      </c>
      <c r="X43" s="28">
        <v>1972691.68</v>
      </c>
      <c r="Y43" s="28">
        <v>416262.76</v>
      </c>
      <c r="Z43" s="28">
        <v>1117109.1099999999</v>
      </c>
      <c r="AA43" s="28">
        <v>796267.12999999989</v>
      </c>
      <c r="AB43" s="28">
        <v>1038999.88</v>
      </c>
      <c r="AC43" s="28">
        <v>2068689.0099999998</v>
      </c>
      <c r="AD43" s="28">
        <v>3485602.88</v>
      </c>
      <c r="AE43" s="28">
        <v>597647.57999999996</v>
      </c>
      <c r="AF43" s="28">
        <v>24109451.629999992</v>
      </c>
      <c r="AG43" s="147"/>
      <c r="AH43" s="147"/>
      <c r="AI43" s="405">
        <v>684</v>
      </c>
      <c r="AJ43" s="460">
        <v>1644</v>
      </c>
      <c r="AK43" s="417">
        <v>0.41610000000000003</v>
      </c>
      <c r="AL43" s="405">
        <v>7</v>
      </c>
      <c r="AM43" s="147"/>
    </row>
    <row r="44" spans="1:39">
      <c r="A44" s="71">
        <v>37</v>
      </c>
      <c r="B44" s="71" t="s">
        <v>1156</v>
      </c>
      <c r="C44" s="28">
        <v>0</v>
      </c>
      <c r="D44" s="28">
        <v>0</v>
      </c>
      <c r="E44" s="28">
        <v>0</v>
      </c>
      <c r="F44" s="28">
        <v>0</v>
      </c>
      <c r="G44" s="28">
        <v>0</v>
      </c>
      <c r="H44" s="28">
        <v>0</v>
      </c>
      <c r="I44" s="28">
        <v>5</v>
      </c>
      <c r="J44" s="28">
        <v>0</v>
      </c>
      <c r="K44" s="28">
        <v>0</v>
      </c>
      <c r="L44" s="28">
        <v>0</v>
      </c>
      <c r="M44" s="28">
        <v>0</v>
      </c>
      <c r="N44" s="28">
        <v>0</v>
      </c>
      <c r="O44" s="28">
        <v>0</v>
      </c>
      <c r="P44" s="516">
        <v>5</v>
      </c>
      <c r="Q44" s="517">
        <v>1.099</v>
      </c>
      <c r="R44" s="6">
        <v>0</v>
      </c>
      <c r="S44" s="369">
        <v>0</v>
      </c>
      <c r="T44" s="94"/>
      <c r="U44" s="28">
        <v>2465.3317499999998</v>
      </c>
      <c r="V44" s="28">
        <v>4452.5985000000001</v>
      </c>
      <c r="W44" s="28">
        <v>44915.745349999997</v>
      </c>
      <c r="X44" s="28">
        <v>3138.0296500000004</v>
      </c>
      <c r="Y44" s="28">
        <v>1404.0274499999998</v>
      </c>
      <c r="Z44" s="28">
        <v>7528.65</v>
      </c>
      <c r="AA44" s="28">
        <v>2478.9043999999999</v>
      </c>
      <c r="AB44" s="28">
        <v>3339.0916999999995</v>
      </c>
      <c r="AC44" s="28">
        <v>11153.47625</v>
      </c>
      <c r="AD44" s="28">
        <v>10033.049999999999</v>
      </c>
      <c r="AE44" s="28">
        <v>0</v>
      </c>
      <c r="AF44" s="28">
        <v>90908.905050000016</v>
      </c>
      <c r="AG44" s="147"/>
      <c r="AH44" s="147"/>
      <c r="AI44" s="405">
        <v>0</v>
      </c>
      <c r="AJ44" s="460">
        <v>0</v>
      </c>
      <c r="AK44" s="417">
        <v>0</v>
      </c>
      <c r="AL44" s="405">
        <v>0</v>
      </c>
      <c r="AM44" s="147"/>
    </row>
    <row r="45" spans="1:39">
      <c r="A45" s="71">
        <v>38</v>
      </c>
      <c r="B45" s="71" t="s">
        <v>1157</v>
      </c>
      <c r="C45" s="28">
        <v>42</v>
      </c>
      <c r="D45" s="28">
        <v>0</v>
      </c>
      <c r="E45" s="28">
        <v>115</v>
      </c>
      <c r="F45" s="28">
        <v>511</v>
      </c>
      <c r="G45" s="28">
        <v>98</v>
      </c>
      <c r="H45" s="28">
        <v>0</v>
      </c>
      <c r="I45" s="28">
        <v>0</v>
      </c>
      <c r="J45" s="28">
        <v>28</v>
      </c>
      <c r="K45" s="28">
        <v>7</v>
      </c>
      <c r="L45" s="28">
        <v>7</v>
      </c>
      <c r="M45" s="28">
        <v>0</v>
      </c>
      <c r="N45" s="28">
        <v>0</v>
      </c>
      <c r="O45" s="28">
        <v>72</v>
      </c>
      <c r="P45" s="516">
        <v>745</v>
      </c>
      <c r="Q45" s="517">
        <v>1.042</v>
      </c>
      <c r="R45" s="6">
        <v>2</v>
      </c>
      <c r="S45" s="369">
        <v>9.7699999999999995E-2</v>
      </c>
      <c r="T45" s="365"/>
      <c r="U45" s="28">
        <v>470823.20898</v>
      </c>
      <c r="V45" s="28">
        <v>651205.19400000002</v>
      </c>
      <c r="W45" s="28">
        <v>3349392.0355000002</v>
      </c>
      <c r="X45" s="28">
        <v>992660.32052000018</v>
      </c>
      <c r="Y45" s="28">
        <v>140019.22932000001</v>
      </c>
      <c r="Z45" s="28">
        <v>415101.97999999992</v>
      </c>
      <c r="AA45" s="28">
        <v>305725.29037999996</v>
      </c>
      <c r="AB45" s="28">
        <v>170892.0638</v>
      </c>
      <c r="AC45" s="28">
        <v>913130.09774</v>
      </c>
      <c r="AD45" s="28">
        <v>1369182.5099999998</v>
      </c>
      <c r="AE45" s="28">
        <v>246090.18</v>
      </c>
      <c r="AF45" s="28">
        <v>9024222.1102399994</v>
      </c>
      <c r="AG45" s="147"/>
      <c r="AH45" s="147"/>
      <c r="AI45" s="405">
        <v>72</v>
      </c>
      <c r="AJ45" s="460">
        <v>737</v>
      </c>
      <c r="AK45" s="417">
        <v>9.7699999999999995E-2</v>
      </c>
      <c r="AL45" s="405">
        <v>2</v>
      </c>
      <c r="AM45" s="147"/>
    </row>
    <row r="46" spans="1:39">
      <c r="A46" s="71">
        <v>39</v>
      </c>
      <c r="B46" s="71" t="s">
        <v>1158</v>
      </c>
      <c r="C46" s="28">
        <v>0</v>
      </c>
      <c r="D46" s="28">
        <v>0</v>
      </c>
      <c r="E46" s="28">
        <v>0</v>
      </c>
      <c r="F46" s="28">
        <v>0</v>
      </c>
      <c r="G46" s="28">
        <v>0</v>
      </c>
      <c r="H46" s="28">
        <v>0</v>
      </c>
      <c r="I46" s="28">
        <v>14</v>
      </c>
      <c r="J46" s="28">
        <v>1</v>
      </c>
      <c r="K46" s="28">
        <v>0</v>
      </c>
      <c r="L46" s="28">
        <v>0</v>
      </c>
      <c r="M46" s="28">
        <v>0</v>
      </c>
      <c r="N46" s="28">
        <v>0</v>
      </c>
      <c r="O46" s="28">
        <v>0</v>
      </c>
      <c r="P46" s="516">
        <v>14</v>
      </c>
      <c r="Q46" s="517">
        <v>1</v>
      </c>
      <c r="R46" s="6">
        <v>0</v>
      </c>
      <c r="S46" s="369">
        <v>0</v>
      </c>
      <c r="T46" s="94"/>
      <c r="U46" s="28">
        <v>9377.5099999999984</v>
      </c>
      <c r="V46" s="28">
        <v>11344.199999999999</v>
      </c>
      <c r="W46" s="28">
        <v>124652.40000000001</v>
      </c>
      <c r="X46" s="28">
        <v>17534.8</v>
      </c>
      <c r="Y46" s="28">
        <v>4070.02</v>
      </c>
      <c r="Z46" s="28">
        <v>21510.420000000002</v>
      </c>
      <c r="AA46" s="28">
        <v>6315.68</v>
      </c>
      <c r="AB46" s="28">
        <v>8507.24</v>
      </c>
      <c r="AC46" s="28">
        <v>31875.33</v>
      </c>
      <c r="AD46" s="28">
        <v>32190.639999999999</v>
      </c>
      <c r="AE46" s="28">
        <v>0</v>
      </c>
      <c r="AF46" s="28">
        <v>267378.24</v>
      </c>
      <c r="AG46" s="147"/>
      <c r="AH46" s="147"/>
      <c r="AI46" s="405">
        <v>0</v>
      </c>
      <c r="AJ46" s="460">
        <v>0</v>
      </c>
      <c r="AK46" s="417">
        <v>0</v>
      </c>
      <c r="AL46" s="405">
        <v>0</v>
      </c>
      <c r="AM46" s="147"/>
    </row>
    <row r="47" spans="1:39">
      <c r="A47" s="71">
        <v>40</v>
      </c>
      <c r="B47" s="71" t="s">
        <v>1159</v>
      </c>
      <c r="C47" s="28">
        <v>112</v>
      </c>
      <c r="D47" s="28">
        <v>311</v>
      </c>
      <c r="E47" s="28">
        <v>29</v>
      </c>
      <c r="F47" s="28">
        <v>2049</v>
      </c>
      <c r="G47" s="28">
        <v>1232</v>
      </c>
      <c r="H47" s="28">
        <v>1659</v>
      </c>
      <c r="I47" s="28">
        <v>0</v>
      </c>
      <c r="J47" s="28">
        <v>201</v>
      </c>
      <c r="K47" s="28">
        <v>51</v>
      </c>
      <c r="L47" s="28">
        <v>273</v>
      </c>
      <c r="M47" s="28">
        <v>40</v>
      </c>
      <c r="N47" s="28">
        <v>48</v>
      </c>
      <c r="O47" s="28">
        <v>1612</v>
      </c>
      <c r="P47" s="516">
        <v>5181</v>
      </c>
      <c r="Q47" s="517">
        <v>1.048</v>
      </c>
      <c r="R47" s="6">
        <v>6</v>
      </c>
      <c r="S47" s="369">
        <v>0.31900000000000001</v>
      </c>
      <c r="T47" s="365"/>
      <c r="U47" s="28">
        <v>3451957.0007999991</v>
      </c>
      <c r="V47" s="28">
        <v>5056976.7769599995</v>
      </c>
      <c r="W47" s="28">
        <v>29860344.255199999</v>
      </c>
      <c r="X47" s="28">
        <v>6253065.0247999998</v>
      </c>
      <c r="Y47" s="28">
        <v>1228408.6516800001</v>
      </c>
      <c r="Z47" s="28">
        <v>3499427.1300000004</v>
      </c>
      <c r="AA47" s="28">
        <v>2482403.6993599995</v>
      </c>
      <c r="AB47" s="28">
        <v>2977041.4851199999</v>
      </c>
      <c r="AC47" s="28">
        <v>6663231.2228800002</v>
      </c>
      <c r="AD47" s="28">
        <v>10266810.819999998</v>
      </c>
      <c r="AE47" s="28">
        <v>1792942.74</v>
      </c>
      <c r="AF47" s="28">
        <v>73532608.806799993</v>
      </c>
      <c r="AG47" s="147"/>
      <c r="AH47" s="147"/>
      <c r="AI47" s="405">
        <v>1612</v>
      </c>
      <c r="AJ47" s="460">
        <v>5053.5</v>
      </c>
      <c r="AK47" s="417">
        <v>0.31900000000000001</v>
      </c>
      <c r="AL47" s="405">
        <v>6</v>
      </c>
      <c r="AM47" s="147"/>
    </row>
    <row r="48" spans="1:39">
      <c r="A48" s="71">
        <v>41</v>
      </c>
      <c r="B48" s="71" t="s">
        <v>1160</v>
      </c>
      <c r="C48" s="28">
        <v>19</v>
      </c>
      <c r="D48" s="28">
        <v>0</v>
      </c>
      <c r="E48" s="28">
        <v>60</v>
      </c>
      <c r="F48" s="28">
        <v>351</v>
      </c>
      <c r="G48" s="28">
        <v>0</v>
      </c>
      <c r="H48" s="28">
        <v>0</v>
      </c>
      <c r="I48" s="28">
        <v>0</v>
      </c>
      <c r="J48" s="28">
        <v>16</v>
      </c>
      <c r="K48" s="28">
        <v>4</v>
      </c>
      <c r="L48" s="28">
        <v>21</v>
      </c>
      <c r="M48" s="28">
        <v>0</v>
      </c>
      <c r="N48" s="28">
        <v>0</v>
      </c>
      <c r="O48" s="28">
        <v>183</v>
      </c>
      <c r="P48" s="516">
        <v>421</v>
      </c>
      <c r="Q48" s="517">
        <v>1</v>
      </c>
      <c r="R48" s="6">
        <v>8</v>
      </c>
      <c r="S48" s="369">
        <v>0.43990000000000001</v>
      </c>
      <c r="T48" s="365"/>
      <c r="U48" s="28">
        <v>270847.67</v>
      </c>
      <c r="V48" s="28">
        <v>418265.89999999997</v>
      </c>
      <c r="W48" s="28">
        <v>2471426.7200000002</v>
      </c>
      <c r="X48" s="28">
        <v>557656.65</v>
      </c>
      <c r="Y48" s="28">
        <v>105667.06</v>
      </c>
      <c r="Z48" s="28">
        <v>241265.29000000004</v>
      </c>
      <c r="AA48" s="28">
        <v>189964.47000000003</v>
      </c>
      <c r="AB48" s="28">
        <v>215556.09</v>
      </c>
      <c r="AC48" s="28">
        <v>496182.08999999997</v>
      </c>
      <c r="AD48" s="28">
        <v>876919.09</v>
      </c>
      <c r="AE48" s="28">
        <v>140622.96</v>
      </c>
      <c r="AF48" s="28">
        <v>5984373.9899999993</v>
      </c>
      <c r="AG48" s="147"/>
      <c r="AH48" s="147"/>
      <c r="AI48" s="405">
        <v>183</v>
      </c>
      <c r="AJ48" s="460">
        <v>416</v>
      </c>
      <c r="AK48" s="417">
        <v>0.43990000000000001</v>
      </c>
      <c r="AL48" s="405">
        <v>8</v>
      </c>
      <c r="AM48" s="147"/>
    </row>
    <row r="49" spans="1:39">
      <c r="A49" s="71">
        <v>42</v>
      </c>
      <c r="B49" s="71" t="s">
        <v>1161</v>
      </c>
      <c r="C49" s="28">
        <v>0</v>
      </c>
      <c r="D49" s="28">
        <v>0</v>
      </c>
      <c r="E49" s="28">
        <v>0</v>
      </c>
      <c r="F49" s="28">
        <v>0</v>
      </c>
      <c r="G49" s="28">
        <v>0</v>
      </c>
      <c r="H49" s="28">
        <v>0</v>
      </c>
      <c r="I49" s="28">
        <v>18</v>
      </c>
      <c r="J49" s="28">
        <v>1</v>
      </c>
      <c r="K49" s="28">
        <v>0</v>
      </c>
      <c r="L49" s="28">
        <v>0</v>
      </c>
      <c r="M49" s="28">
        <v>0</v>
      </c>
      <c r="N49" s="28">
        <v>0</v>
      </c>
      <c r="O49" s="28">
        <v>0</v>
      </c>
      <c r="P49" s="516">
        <v>18</v>
      </c>
      <c r="Q49" s="517">
        <v>1</v>
      </c>
      <c r="R49" s="6">
        <v>0</v>
      </c>
      <c r="S49" s="369">
        <v>0</v>
      </c>
      <c r="T49" s="94"/>
      <c r="U49" s="28">
        <v>11172.11</v>
      </c>
      <c r="V49" s="28">
        <v>14585.4</v>
      </c>
      <c r="W49" s="28">
        <v>157348.12</v>
      </c>
      <c r="X49" s="28">
        <v>19819.080000000002</v>
      </c>
      <c r="Y49" s="28">
        <v>5092.0600000000004</v>
      </c>
      <c r="Z49" s="28">
        <v>27533.34</v>
      </c>
      <c r="AA49" s="28">
        <v>8120.16</v>
      </c>
      <c r="AB49" s="28">
        <v>10937.88</v>
      </c>
      <c r="AC49" s="28">
        <v>39994.33</v>
      </c>
      <c r="AD49" s="28">
        <v>40217.079999999994</v>
      </c>
      <c r="AE49" s="28">
        <v>0</v>
      </c>
      <c r="AF49" s="28">
        <v>334819.56000000006</v>
      </c>
      <c r="AG49" s="147"/>
      <c r="AH49" s="147"/>
      <c r="AI49" s="405">
        <v>0</v>
      </c>
      <c r="AJ49" s="460">
        <v>0</v>
      </c>
      <c r="AK49" s="417">
        <v>0</v>
      </c>
      <c r="AL49" s="405">
        <v>0</v>
      </c>
      <c r="AM49" s="147"/>
    </row>
    <row r="50" spans="1:39">
      <c r="A50" s="71">
        <v>43</v>
      </c>
      <c r="B50" s="71" t="s">
        <v>1162</v>
      </c>
      <c r="C50" s="28">
        <v>4</v>
      </c>
      <c r="D50" s="28">
        <v>0</v>
      </c>
      <c r="E50" s="28">
        <v>38</v>
      </c>
      <c r="F50" s="28">
        <v>182</v>
      </c>
      <c r="G50" s="28">
        <v>46</v>
      </c>
      <c r="H50" s="28">
        <v>0</v>
      </c>
      <c r="I50" s="28">
        <v>2</v>
      </c>
      <c r="J50" s="28">
        <v>10</v>
      </c>
      <c r="K50" s="28">
        <v>3</v>
      </c>
      <c r="L50" s="28">
        <v>3</v>
      </c>
      <c r="M50" s="28">
        <v>0</v>
      </c>
      <c r="N50" s="28">
        <v>0</v>
      </c>
      <c r="O50" s="28">
        <v>102</v>
      </c>
      <c r="P50" s="516">
        <v>270</v>
      </c>
      <c r="Q50" s="517">
        <v>1</v>
      </c>
      <c r="R50" s="6">
        <v>7</v>
      </c>
      <c r="S50" s="369">
        <v>0.37019999999999997</v>
      </c>
      <c r="T50" s="365"/>
      <c r="U50" s="28">
        <v>171571.62999999998</v>
      </c>
      <c r="V50" s="28">
        <v>257412.2</v>
      </c>
      <c r="W50" s="28">
        <v>1469251.8599999999</v>
      </c>
      <c r="X50" s="28">
        <v>340400.90000000008</v>
      </c>
      <c r="Y50" s="28">
        <v>63599.159999999996</v>
      </c>
      <c r="Z50" s="28">
        <v>154614.43999999997</v>
      </c>
      <c r="AA50" s="28">
        <v>119016.09</v>
      </c>
      <c r="AB50" s="28">
        <v>125236.56</v>
      </c>
      <c r="AC50" s="28">
        <v>320143.55</v>
      </c>
      <c r="AD50" s="28">
        <v>549126.84999999986</v>
      </c>
      <c r="AE50" s="28">
        <v>105467.22</v>
      </c>
      <c r="AF50" s="28">
        <v>3675840.4599999995</v>
      </c>
      <c r="AG50" s="147"/>
      <c r="AH50" s="147"/>
      <c r="AI50" s="405">
        <v>102</v>
      </c>
      <c r="AJ50" s="460">
        <v>275.5</v>
      </c>
      <c r="AK50" s="417">
        <v>0.37019999999999997</v>
      </c>
      <c r="AL50" s="405">
        <v>7</v>
      </c>
      <c r="AM50" s="147"/>
    </row>
    <row r="51" spans="1:39">
      <c r="A51" s="71">
        <v>44</v>
      </c>
      <c r="B51" s="71" t="s">
        <v>1163</v>
      </c>
      <c r="C51" s="28">
        <v>497</v>
      </c>
      <c r="D51" s="28">
        <v>0</v>
      </c>
      <c r="E51" s="28">
        <v>1255</v>
      </c>
      <c r="F51" s="28">
        <v>6308</v>
      </c>
      <c r="G51" s="28">
        <v>3970</v>
      </c>
      <c r="H51" s="28">
        <v>4508</v>
      </c>
      <c r="I51" s="28">
        <v>485</v>
      </c>
      <c r="J51" s="28">
        <v>654</v>
      </c>
      <c r="K51" s="28">
        <v>160</v>
      </c>
      <c r="L51" s="28">
        <v>2516</v>
      </c>
      <c r="M51" s="28">
        <v>991</v>
      </c>
      <c r="N51" s="28">
        <v>1340</v>
      </c>
      <c r="O51" s="28">
        <v>12830</v>
      </c>
      <c r="P51" s="516">
        <v>16775</v>
      </c>
      <c r="Q51" s="517">
        <v>1</v>
      </c>
      <c r="R51" s="6">
        <v>11</v>
      </c>
      <c r="S51" s="369">
        <v>0.78520000000000001</v>
      </c>
      <c r="T51" s="365"/>
      <c r="U51" s="28">
        <v>12067353.129999999</v>
      </c>
      <c r="V51" s="28">
        <v>21015238.970000003</v>
      </c>
      <c r="W51" s="28">
        <v>144048152.31</v>
      </c>
      <c r="X51" s="28">
        <v>20258110.050000001</v>
      </c>
      <c r="Y51" s="28">
        <v>6253356.7300000004</v>
      </c>
      <c r="Z51" s="28">
        <v>12401137.93</v>
      </c>
      <c r="AA51" s="28">
        <v>9797942.9299999997</v>
      </c>
      <c r="AB51" s="28">
        <v>18611738.100000001</v>
      </c>
      <c r="AC51" s="28">
        <v>22335041.160000004</v>
      </c>
      <c r="AD51" s="28">
        <v>42506047.729999997</v>
      </c>
      <c r="AE51" s="28">
        <v>5624918.3999999994</v>
      </c>
      <c r="AF51" s="28">
        <v>314919037.44</v>
      </c>
      <c r="AG51" s="147"/>
      <c r="AH51" s="147"/>
      <c r="AI51" s="405">
        <v>12830</v>
      </c>
      <c r="AJ51" s="460">
        <v>16339</v>
      </c>
      <c r="AK51" s="417">
        <v>0.78520000000000001</v>
      </c>
      <c r="AL51" s="405">
        <v>11</v>
      </c>
      <c r="AM51" s="147"/>
    </row>
    <row r="52" spans="1:39">
      <c r="A52" s="71">
        <v>45</v>
      </c>
      <c r="B52" s="71" t="s">
        <v>1164</v>
      </c>
      <c r="C52" s="28">
        <v>2</v>
      </c>
      <c r="D52" s="28">
        <v>0</v>
      </c>
      <c r="E52" s="28">
        <v>24</v>
      </c>
      <c r="F52" s="28">
        <v>169</v>
      </c>
      <c r="G52" s="28">
        <v>31</v>
      </c>
      <c r="H52" s="28">
        <v>0</v>
      </c>
      <c r="I52" s="28">
        <v>0</v>
      </c>
      <c r="J52" s="28">
        <v>9</v>
      </c>
      <c r="K52" s="28">
        <v>2</v>
      </c>
      <c r="L52" s="28">
        <v>3</v>
      </c>
      <c r="M52" s="28">
        <v>0</v>
      </c>
      <c r="N52" s="28">
        <v>0</v>
      </c>
      <c r="O52" s="28">
        <v>115</v>
      </c>
      <c r="P52" s="516">
        <v>225</v>
      </c>
      <c r="Q52" s="517">
        <v>1</v>
      </c>
      <c r="R52" s="6">
        <v>7</v>
      </c>
      <c r="S52" s="369">
        <v>0.39379999999999998</v>
      </c>
      <c r="T52" s="365"/>
      <c r="U52" s="28">
        <v>145606.68999999997</v>
      </c>
      <c r="V52" s="28">
        <v>225797.97999999998</v>
      </c>
      <c r="W52" s="28">
        <v>1336949.83</v>
      </c>
      <c r="X52" s="28">
        <v>292690.40000000002</v>
      </c>
      <c r="Y52" s="28">
        <v>58384.399999999994</v>
      </c>
      <c r="Z52" s="28">
        <v>128400.73999999999</v>
      </c>
      <c r="AA52" s="28">
        <v>103305.45999999999</v>
      </c>
      <c r="AB52" s="28">
        <v>126318.65</v>
      </c>
      <c r="AC52" s="28">
        <v>266958.96999999997</v>
      </c>
      <c r="AD52" s="28">
        <v>477737.60000000003</v>
      </c>
      <c r="AE52" s="28">
        <v>70311.48</v>
      </c>
      <c r="AF52" s="28">
        <v>3232462.2</v>
      </c>
      <c r="AG52" s="147"/>
      <c r="AH52" s="147"/>
      <c r="AI52" s="405">
        <v>115</v>
      </c>
      <c r="AJ52" s="460">
        <v>292</v>
      </c>
      <c r="AK52" s="417">
        <v>0.39379999999999998</v>
      </c>
      <c r="AL52" s="405">
        <v>7</v>
      </c>
      <c r="AM52" s="147"/>
    </row>
    <row r="53" spans="1:39">
      <c r="A53" s="71">
        <v>46</v>
      </c>
      <c r="B53" s="71" t="s">
        <v>1165</v>
      </c>
      <c r="C53" s="28">
        <v>79</v>
      </c>
      <c r="D53" s="28">
        <v>0</v>
      </c>
      <c r="E53" s="28">
        <v>471</v>
      </c>
      <c r="F53" s="28">
        <v>2649</v>
      </c>
      <c r="G53" s="28">
        <v>1515</v>
      </c>
      <c r="H53" s="28">
        <v>2224</v>
      </c>
      <c r="I53" s="28">
        <v>0</v>
      </c>
      <c r="J53" s="28">
        <v>270</v>
      </c>
      <c r="K53" s="28">
        <v>69</v>
      </c>
      <c r="L53" s="28">
        <v>600</v>
      </c>
      <c r="M53" s="28">
        <v>119</v>
      </c>
      <c r="N53" s="28">
        <v>69</v>
      </c>
      <c r="O53" s="28">
        <v>1130</v>
      </c>
      <c r="P53" s="516">
        <v>6899</v>
      </c>
      <c r="Q53" s="517">
        <v>1.044</v>
      </c>
      <c r="R53" s="6">
        <v>3</v>
      </c>
      <c r="S53" s="369">
        <v>0.16350000000000001</v>
      </c>
      <c r="T53" s="365"/>
      <c r="U53" s="28">
        <v>4535983.3521600012</v>
      </c>
      <c r="V53" s="28">
        <v>6339649.9104000004</v>
      </c>
      <c r="W53" s="28">
        <v>35937527.550839998</v>
      </c>
      <c r="X53" s="28">
        <v>8410834.3172400016</v>
      </c>
      <c r="Y53" s="28">
        <v>1442769.18408</v>
      </c>
      <c r="Z53" s="28">
        <v>4679030.51</v>
      </c>
      <c r="AA53" s="28">
        <v>3146621.0216400004</v>
      </c>
      <c r="AB53" s="28">
        <v>3053667.9074399997</v>
      </c>
      <c r="AC53" s="28">
        <v>8945604.9741600007</v>
      </c>
      <c r="AD53" s="28">
        <v>13076316.77</v>
      </c>
      <c r="AE53" s="28">
        <v>2425746.06</v>
      </c>
      <c r="AF53" s="28">
        <v>91993751.557960004</v>
      </c>
      <c r="AG53" s="147"/>
      <c r="AH53" s="147"/>
      <c r="AI53" s="405">
        <v>1130</v>
      </c>
      <c r="AJ53" s="460">
        <v>6912</v>
      </c>
      <c r="AK53" s="417">
        <v>0.16350000000000001</v>
      </c>
      <c r="AL53" s="405">
        <v>3</v>
      </c>
      <c r="AM53" s="147"/>
    </row>
    <row r="54" spans="1:39">
      <c r="A54" s="71">
        <v>47</v>
      </c>
      <c r="B54" s="71" t="s">
        <v>1166</v>
      </c>
      <c r="C54" s="28">
        <v>0</v>
      </c>
      <c r="D54" s="28">
        <v>0</v>
      </c>
      <c r="E54" s="28">
        <v>0</v>
      </c>
      <c r="F54" s="28">
        <v>0</v>
      </c>
      <c r="G54" s="28">
        <v>0</v>
      </c>
      <c r="H54" s="28">
        <v>0</v>
      </c>
      <c r="I54" s="28">
        <v>1</v>
      </c>
      <c r="J54" s="28">
        <v>0</v>
      </c>
      <c r="K54" s="28">
        <v>0</v>
      </c>
      <c r="L54" s="28">
        <v>0</v>
      </c>
      <c r="M54" s="28">
        <v>0</v>
      </c>
      <c r="N54" s="28">
        <v>0</v>
      </c>
      <c r="O54" s="28">
        <v>0</v>
      </c>
      <c r="P54" s="516">
        <v>1</v>
      </c>
      <c r="Q54" s="517">
        <v>1</v>
      </c>
      <c r="R54" s="6">
        <v>0</v>
      </c>
      <c r="S54" s="369">
        <v>0</v>
      </c>
      <c r="T54" s="94"/>
      <c r="U54" s="28">
        <v>448.65</v>
      </c>
      <c r="V54" s="28">
        <v>810.3</v>
      </c>
      <c r="W54" s="28">
        <v>8173.93</v>
      </c>
      <c r="X54" s="28">
        <v>571.07000000000005</v>
      </c>
      <c r="Y54" s="28">
        <v>255.51</v>
      </c>
      <c r="Z54" s="28">
        <v>1505.73</v>
      </c>
      <c r="AA54" s="28">
        <v>451.12</v>
      </c>
      <c r="AB54" s="28">
        <v>607.66</v>
      </c>
      <c r="AC54" s="28">
        <v>2029.75</v>
      </c>
      <c r="AD54" s="28">
        <v>2006.61</v>
      </c>
      <c r="AE54" s="28">
        <v>0</v>
      </c>
      <c r="AF54" s="28">
        <v>16860.330000000002</v>
      </c>
      <c r="AG54" s="147"/>
      <c r="AH54" s="147"/>
      <c r="AI54" s="405">
        <v>0</v>
      </c>
      <c r="AJ54" s="460">
        <v>0</v>
      </c>
      <c r="AK54" s="417">
        <v>0</v>
      </c>
      <c r="AL54" s="405">
        <v>0</v>
      </c>
      <c r="AM54" s="147"/>
    </row>
    <row r="55" spans="1:39">
      <c r="A55" s="71">
        <v>48</v>
      </c>
      <c r="B55" s="71" t="s">
        <v>1167</v>
      </c>
      <c r="C55" s="28">
        <v>41</v>
      </c>
      <c r="D55" s="28">
        <v>0</v>
      </c>
      <c r="E55" s="28">
        <v>276</v>
      </c>
      <c r="F55" s="28">
        <v>1398</v>
      </c>
      <c r="G55" s="28">
        <v>889</v>
      </c>
      <c r="H55" s="28">
        <v>937</v>
      </c>
      <c r="I55" s="28">
        <v>2</v>
      </c>
      <c r="J55" s="28">
        <v>138</v>
      </c>
      <c r="K55" s="28">
        <v>35</v>
      </c>
      <c r="L55" s="28">
        <v>171</v>
      </c>
      <c r="M55" s="28">
        <v>56</v>
      </c>
      <c r="N55" s="28">
        <v>72</v>
      </c>
      <c r="O55" s="28">
        <v>787</v>
      </c>
      <c r="P55" s="516">
        <v>3523</v>
      </c>
      <c r="Q55" s="517">
        <v>1.0880000000000001</v>
      </c>
      <c r="R55" s="6">
        <v>4</v>
      </c>
      <c r="S55" s="369">
        <v>0.2268</v>
      </c>
      <c r="T55" s="365"/>
      <c r="U55" s="28">
        <v>2417432.5638400009</v>
      </c>
      <c r="V55" s="28">
        <v>3428779.5584</v>
      </c>
      <c r="W55" s="28">
        <v>19439289.134720001</v>
      </c>
      <c r="X55" s="28">
        <v>4504433.8048</v>
      </c>
      <c r="Y55" s="28">
        <v>798043.73504000017</v>
      </c>
      <c r="Z55" s="28">
        <v>2318504.54</v>
      </c>
      <c r="AA55" s="28">
        <v>1683792.1619199999</v>
      </c>
      <c r="AB55" s="28">
        <v>1693435.59552</v>
      </c>
      <c r="AC55" s="28">
        <v>4726756.5625599995</v>
      </c>
      <c r="AD55" s="28">
        <v>6792503.8899999997</v>
      </c>
      <c r="AE55" s="28">
        <v>1230450.8999999999</v>
      </c>
      <c r="AF55" s="28">
        <v>49033422.446800001</v>
      </c>
      <c r="AG55" s="147"/>
      <c r="AH55" s="147"/>
      <c r="AI55" s="405">
        <v>787</v>
      </c>
      <c r="AJ55" s="460">
        <v>3469.5</v>
      </c>
      <c r="AK55" s="417">
        <v>0.2268</v>
      </c>
      <c r="AL55" s="405">
        <v>4</v>
      </c>
      <c r="AM55" s="147"/>
    </row>
    <row r="56" spans="1:39">
      <c r="A56" s="71">
        <v>49</v>
      </c>
      <c r="B56" s="71" t="s">
        <v>1168</v>
      </c>
      <c r="C56" s="28">
        <v>505</v>
      </c>
      <c r="D56" s="28">
        <v>0</v>
      </c>
      <c r="E56" s="28">
        <v>635</v>
      </c>
      <c r="F56" s="28">
        <v>2823</v>
      </c>
      <c r="G56" s="28">
        <v>1416</v>
      </c>
      <c r="H56" s="28">
        <v>1447</v>
      </c>
      <c r="I56" s="28">
        <v>723</v>
      </c>
      <c r="J56" s="28">
        <v>284</v>
      </c>
      <c r="K56" s="28">
        <v>63</v>
      </c>
      <c r="L56" s="28">
        <v>571</v>
      </c>
      <c r="M56" s="28">
        <v>106</v>
      </c>
      <c r="N56" s="28">
        <v>118</v>
      </c>
      <c r="O56" s="28">
        <v>2976</v>
      </c>
      <c r="P56" s="516">
        <v>7297</v>
      </c>
      <c r="Q56" s="517">
        <v>1.1120000000000001</v>
      </c>
      <c r="R56" s="6">
        <v>7</v>
      </c>
      <c r="S56" s="369">
        <v>0.4163</v>
      </c>
      <c r="T56" s="365"/>
      <c r="U56" s="28">
        <v>5239141.2070400016</v>
      </c>
      <c r="V56" s="28">
        <v>7985905.6398400012</v>
      </c>
      <c r="W56" s="28">
        <v>51302496.378640004</v>
      </c>
      <c r="X56" s="28">
        <v>9583692.9479200002</v>
      </c>
      <c r="Y56" s="28">
        <v>2102546.8596000001</v>
      </c>
      <c r="Z56" s="28">
        <v>5406949.5199999996</v>
      </c>
      <c r="AA56" s="28">
        <v>3857325.1267200001</v>
      </c>
      <c r="AB56" s="28">
        <v>5054706.7329600006</v>
      </c>
      <c r="AC56" s="28">
        <v>10790796.603360001</v>
      </c>
      <c r="AD56" s="28">
        <v>15425090.509999998</v>
      </c>
      <c r="AE56" s="28">
        <v>2214811.6199999996</v>
      </c>
      <c r="AF56" s="28">
        <v>118963463.14608002</v>
      </c>
      <c r="AG56" s="147"/>
      <c r="AH56" s="147"/>
      <c r="AI56" s="405">
        <v>2976</v>
      </c>
      <c r="AJ56" s="460">
        <v>7149</v>
      </c>
      <c r="AK56" s="417">
        <v>0.4163</v>
      </c>
      <c r="AL56" s="405">
        <v>7</v>
      </c>
      <c r="AM56" s="147"/>
    </row>
    <row r="57" spans="1:39">
      <c r="A57" s="71">
        <v>50</v>
      </c>
      <c r="B57" s="71" t="s">
        <v>1169</v>
      </c>
      <c r="C57" s="28">
        <v>134</v>
      </c>
      <c r="D57" s="28">
        <v>0</v>
      </c>
      <c r="E57" s="28">
        <v>227</v>
      </c>
      <c r="F57" s="28">
        <v>1260</v>
      </c>
      <c r="G57" s="28">
        <v>753</v>
      </c>
      <c r="H57" s="28">
        <v>984</v>
      </c>
      <c r="I57" s="28">
        <v>0</v>
      </c>
      <c r="J57" s="28">
        <v>127</v>
      </c>
      <c r="K57" s="28">
        <v>32</v>
      </c>
      <c r="L57" s="28">
        <v>87</v>
      </c>
      <c r="M57" s="28">
        <v>33</v>
      </c>
      <c r="N57" s="28">
        <v>18</v>
      </c>
      <c r="O57" s="28">
        <v>778</v>
      </c>
      <c r="P57" s="516">
        <v>3291</v>
      </c>
      <c r="Q57" s="517">
        <v>1.0629999999999999</v>
      </c>
      <c r="R57" s="6">
        <v>5</v>
      </c>
      <c r="S57" s="369">
        <v>0.24890000000000001</v>
      </c>
      <c r="T57" s="365"/>
      <c r="U57" s="28">
        <v>2184830.28932</v>
      </c>
      <c r="V57" s="28">
        <v>3122331.28687</v>
      </c>
      <c r="W57" s="28">
        <v>17889678.349799998</v>
      </c>
      <c r="X57" s="28">
        <v>4039870.6857699999</v>
      </c>
      <c r="Y57" s="28">
        <v>729343.42336999997</v>
      </c>
      <c r="Z57" s="28">
        <v>2179359.8199999998</v>
      </c>
      <c r="AA57" s="28">
        <v>1538765.5493599998</v>
      </c>
      <c r="AB57" s="28">
        <v>1630689.1546799997</v>
      </c>
      <c r="AC57" s="28">
        <v>4251517.9932800001</v>
      </c>
      <c r="AD57" s="28">
        <v>6308323.0700000003</v>
      </c>
      <c r="AE57" s="28">
        <v>1124983.68</v>
      </c>
      <c r="AF57" s="28">
        <v>44999693.302450001</v>
      </c>
      <c r="AG57" s="147"/>
      <c r="AH57" s="147"/>
      <c r="AI57" s="405">
        <v>778</v>
      </c>
      <c r="AJ57" s="460">
        <v>3126</v>
      </c>
      <c r="AK57" s="417">
        <v>0.24890000000000001</v>
      </c>
      <c r="AL57" s="405">
        <v>5</v>
      </c>
      <c r="AM57" s="147"/>
    </row>
    <row r="58" spans="1:39">
      <c r="A58" s="71">
        <v>51</v>
      </c>
      <c r="B58" s="71" t="s">
        <v>1170</v>
      </c>
      <c r="C58" s="28">
        <v>15</v>
      </c>
      <c r="D58" s="28">
        <v>66</v>
      </c>
      <c r="E58" s="28">
        <v>3</v>
      </c>
      <c r="F58" s="28">
        <v>330</v>
      </c>
      <c r="G58" s="28">
        <v>196</v>
      </c>
      <c r="H58" s="28">
        <v>0</v>
      </c>
      <c r="I58" s="28">
        <v>1</v>
      </c>
      <c r="J58" s="28">
        <v>22</v>
      </c>
      <c r="K58" s="28">
        <v>6</v>
      </c>
      <c r="L58" s="28">
        <v>5</v>
      </c>
      <c r="M58" s="28">
        <v>2</v>
      </c>
      <c r="N58" s="28">
        <v>0</v>
      </c>
      <c r="O58" s="28">
        <v>30</v>
      </c>
      <c r="P58" s="516">
        <v>571</v>
      </c>
      <c r="Q58" s="517">
        <v>1.052</v>
      </c>
      <c r="R58" s="6">
        <v>1</v>
      </c>
      <c r="S58" s="369">
        <v>5.3100000000000001E-2</v>
      </c>
      <c r="T58" s="365"/>
      <c r="U58" s="28">
        <v>366897.66608</v>
      </c>
      <c r="V58" s="28">
        <v>496131.42664000002</v>
      </c>
      <c r="W58" s="28">
        <v>2470909.3748400002</v>
      </c>
      <c r="X58" s="28">
        <v>739078.18160000013</v>
      </c>
      <c r="Y58" s="28">
        <v>106685.84479999999</v>
      </c>
      <c r="Z58" s="28">
        <v>318795.59000000003</v>
      </c>
      <c r="AA58" s="28">
        <v>237350.94604000001</v>
      </c>
      <c r="AB58" s="28">
        <v>133279.39488000001</v>
      </c>
      <c r="AC58" s="28">
        <v>720705.29616000003</v>
      </c>
      <c r="AD58" s="28">
        <v>1052709.9200000002</v>
      </c>
      <c r="AE58" s="28">
        <v>210934.44</v>
      </c>
      <c r="AF58" s="28">
        <v>6853478.0810400005</v>
      </c>
      <c r="AG58" s="147"/>
      <c r="AH58" s="147"/>
      <c r="AI58" s="405">
        <v>30</v>
      </c>
      <c r="AJ58" s="460">
        <v>565.5</v>
      </c>
      <c r="AK58" s="417">
        <v>5.3100000000000001E-2</v>
      </c>
      <c r="AL58" s="405">
        <v>1</v>
      </c>
      <c r="AM58" s="147"/>
    </row>
    <row r="59" spans="1:39">
      <c r="A59" s="71">
        <v>52</v>
      </c>
      <c r="B59" s="71" t="s">
        <v>1171</v>
      </c>
      <c r="C59" s="28">
        <v>64</v>
      </c>
      <c r="D59" s="28">
        <v>0</v>
      </c>
      <c r="E59" s="28">
        <v>94</v>
      </c>
      <c r="F59" s="28">
        <v>602</v>
      </c>
      <c r="G59" s="28">
        <v>371</v>
      </c>
      <c r="H59" s="28">
        <v>395</v>
      </c>
      <c r="I59" s="28">
        <v>7</v>
      </c>
      <c r="J59" s="28">
        <v>57</v>
      </c>
      <c r="K59" s="28">
        <v>15</v>
      </c>
      <c r="L59" s="28">
        <v>23</v>
      </c>
      <c r="M59" s="28">
        <v>3</v>
      </c>
      <c r="N59" s="28">
        <v>1</v>
      </c>
      <c r="O59" s="28">
        <v>512</v>
      </c>
      <c r="P59" s="516">
        <v>1501</v>
      </c>
      <c r="Q59" s="517">
        <v>1.0329999999999999</v>
      </c>
      <c r="R59" s="6">
        <v>6</v>
      </c>
      <c r="S59" s="369">
        <v>0.3352</v>
      </c>
      <c r="T59" s="365"/>
      <c r="U59" s="28">
        <v>976949.61627</v>
      </c>
      <c r="V59" s="28">
        <v>1444179.90652</v>
      </c>
      <c r="W59" s="28">
        <v>8487686.1918799989</v>
      </c>
      <c r="X59" s="28">
        <v>1784755.0481199997</v>
      </c>
      <c r="Y59" s="28">
        <v>353484.22236999997</v>
      </c>
      <c r="Z59" s="28">
        <v>982546.16999999981</v>
      </c>
      <c r="AA59" s="28">
        <v>702934.92062999995</v>
      </c>
      <c r="AB59" s="28">
        <v>842872.21799999988</v>
      </c>
      <c r="AC59" s="28">
        <v>1874823.4027699998</v>
      </c>
      <c r="AD59" s="28">
        <v>2981113.98</v>
      </c>
      <c r="AE59" s="28">
        <v>527336.1</v>
      </c>
      <c r="AF59" s="28">
        <v>20958681.776560001</v>
      </c>
      <c r="AG59" s="147"/>
      <c r="AH59" s="147"/>
      <c r="AI59" s="405">
        <v>512</v>
      </c>
      <c r="AJ59" s="460">
        <v>1527.5</v>
      </c>
      <c r="AK59" s="417">
        <v>0.3352</v>
      </c>
      <c r="AL59" s="405">
        <v>6</v>
      </c>
      <c r="AM59" s="147"/>
    </row>
    <row r="60" spans="1:39">
      <c r="A60" s="71">
        <v>53</v>
      </c>
      <c r="B60" s="71" t="s">
        <v>1172</v>
      </c>
      <c r="C60" s="28">
        <v>0</v>
      </c>
      <c r="D60" s="28">
        <v>0</v>
      </c>
      <c r="E60" s="28">
        <v>0</v>
      </c>
      <c r="F60" s="28">
        <v>0</v>
      </c>
      <c r="G60" s="28">
        <v>0</v>
      </c>
      <c r="H60" s="28">
        <v>0</v>
      </c>
      <c r="I60" s="28">
        <v>11</v>
      </c>
      <c r="J60" s="28">
        <v>1</v>
      </c>
      <c r="K60" s="28">
        <v>0</v>
      </c>
      <c r="L60" s="28">
        <v>0</v>
      </c>
      <c r="M60" s="28">
        <v>0</v>
      </c>
      <c r="N60" s="28">
        <v>0</v>
      </c>
      <c r="O60" s="28">
        <v>0</v>
      </c>
      <c r="P60" s="516">
        <v>11</v>
      </c>
      <c r="Q60" s="517">
        <v>1</v>
      </c>
      <c r="R60" s="6">
        <v>0</v>
      </c>
      <c r="S60" s="369">
        <v>0</v>
      </c>
      <c r="T60" s="94"/>
      <c r="U60" s="28">
        <v>8031.5599999999995</v>
      </c>
      <c r="V60" s="28">
        <v>8913.2999999999993</v>
      </c>
      <c r="W60" s="28">
        <v>100130.61000000002</v>
      </c>
      <c r="X60" s="28">
        <v>15821.59</v>
      </c>
      <c r="Y60" s="28">
        <v>3303.49</v>
      </c>
      <c r="Z60" s="28">
        <v>16993.23</v>
      </c>
      <c r="AA60" s="28">
        <v>4962.32</v>
      </c>
      <c r="AB60" s="28">
        <v>6684.2599999999993</v>
      </c>
      <c r="AC60" s="28">
        <v>25786.080000000002</v>
      </c>
      <c r="AD60" s="28">
        <v>26170.809999999998</v>
      </c>
      <c r="AE60" s="28">
        <v>0</v>
      </c>
      <c r="AF60" s="28">
        <v>216797.25000000006</v>
      </c>
      <c r="AG60" s="147"/>
      <c r="AH60" s="147"/>
      <c r="AI60" s="405">
        <v>0</v>
      </c>
      <c r="AJ60" s="460">
        <v>0</v>
      </c>
      <c r="AK60" s="417">
        <v>0</v>
      </c>
      <c r="AL60" s="405">
        <v>0</v>
      </c>
      <c r="AM60" s="147"/>
    </row>
    <row r="61" spans="1:39">
      <c r="A61" s="71">
        <v>54</v>
      </c>
      <c r="B61" s="71" t="s">
        <v>1173</v>
      </c>
      <c r="C61" s="28">
        <v>0</v>
      </c>
      <c r="D61" s="28">
        <v>0</v>
      </c>
      <c r="E61" s="28">
        <v>0</v>
      </c>
      <c r="F61" s="28">
        <v>0</v>
      </c>
      <c r="G61" s="28">
        <v>0</v>
      </c>
      <c r="H61" s="28">
        <v>0</v>
      </c>
      <c r="I61" s="28">
        <v>0</v>
      </c>
      <c r="J61" s="28">
        <v>0</v>
      </c>
      <c r="K61" s="28">
        <v>0</v>
      </c>
      <c r="L61" s="28">
        <v>0</v>
      </c>
      <c r="M61" s="28">
        <v>0</v>
      </c>
      <c r="N61" s="28">
        <v>0</v>
      </c>
      <c r="O61" s="28">
        <v>0</v>
      </c>
      <c r="P61" s="516">
        <v>0</v>
      </c>
      <c r="Q61" s="517">
        <v>1</v>
      </c>
      <c r="R61" s="6">
        <v>0</v>
      </c>
      <c r="S61" s="369">
        <v>0</v>
      </c>
      <c r="T61" s="94"/>
      <c r="U61" s="28">
        <v>0</v>
      </c>
      <c r="V61" s="28">
        <v>0</v>
      </c>
      <c r="W61" s="28">
        <v>0</v>
      </c>
      <c r="X61" s="28">
        <v>0</v>
      </c>
      <c r="Y61" s="28">
        <v>0</v>
      </c>
      <c r="Z61" s="28">
        <v>0</v>
      </c>
      <c r="AA61" s="28">
        <v>0</v>
      </c>
      <c r="AB61" s="28">
        <v>0</v>
      </c>
      <c r="AC61" s="28">
        <v>0</v>
      </c>
      <c r="AD61" s="28">
        <v>0</v>
      </c>
      <c r="AE61" s="28">
        <v>0</v>
      </c>
      <c r="AF61" s="28">
        <v>0</v>
      </c>
      <c r="AG61" s="147"/>
      <c r="AH61" s="147"/>
      <c r="AI61" s="405">
        <v>0</v>
      </c>
      <c r="AJ61" s="460">
        <v>0</v>
      </c>
      <c r="AK61" s="417">
        <v>0</v>
      </c>
      <c r="AL61" s="405">
        <v>0</v>
      </c>
      <c r="AM61" s="147"/>
    </row>
    <row r="62" spans="1:39">
      <c r="A62" s="71">
        <v>55</v>
      </c>
      <c r="B62" s="71" t="s">
        <v>1174</v>
      </c>
      <c r="C62" s="28">
        <v>0</v>
      </c>
      <c r="D62" s="28">
        <v>0</v>
      </c>
      <c r="E62" s="28">
        <v>0</v>
      </c>
      <c r="F62" s="28">
        <v>0</v>
      </c>
      <c r="G62" s="28">
        <v>0</v>
      </c>
      <c r="H62" s="28">
        <v>0</v>
      </c>
      <c r="I62" s="28">
        <v>0</v>
      </c>
      <c r="J62" s="28">
        <v>0</v>
      </c>
      <c r="K62" s="28">
        <v>0</v>
      </c>
      <c r="L62" s="28">
        <v>0</v>
      </c>
      <c r="M62" s="28">
        <v>0</v>
      </c>
      <c r="N62" s="28">
        <v>0</v>
      </c>
      <c r="O62" s="28">
        <v>0</v>
      </c>
      <c r="P62" s="516">
        <v>0</v>
      </c>
      <c r="Q62" s="517">
        <v>1</v>
      </c>
      <c r="R62" s="6">
        <v>0</v>
      </c>
      <c r="S62" s="369">
        <v>0</v>
      </c>
      <c r="T62" s="94"/>
      <c r="U62" s="28">
        <v>0</v>
      </c>
      <c r="V62" s="28">
        <v>0</v>
      </c>
      <c r="W62" s="28">
        <v>0</v>
      </c>
      <c r="X62" s="28">
        <v>0</v>
      </c>
      <c r="Y62" s="28">
        <v>0</v>
      </c>
      <c r="Z62" s="28">
        <v>0</v>
      </c>
      <c r="AA62" s="28">
        <v>0</v>
      </c>
      <c r="AB62" s="28">
        <v>0</v>
      </c>
      <c r="AC62" s="28">
        <v>0</v>
      </c>
      <c r="AD62" s="28">
        <v>0</v>
      </c>
      <c r="AE62" s="28">
        <v>0</v>
      </c>
      <c r="AF62" s="28">
        <v>0</v>
      </c>
      <c r="AG62" s="147"/>
      <c r="AH62" s="147"/>
      <c r="AI62" s="405">
        <v>0</v>
      </c>
      <c r="AJ62" s="460">
        <v>0</v>
      </c>
      <c r="AK62" s="417">
        <v>0</v>
      </c>
      <c r="AL62" s="405">
        <v>0</v>
      </c>
      <c r="AM62" s="147"/>
    </row>
    <row r="63" spans="1:39">
      <c r="A63" s="71">
        <v>56</v>
      </c>
      <c r="B63" s="71" t="s">
        <v>1175</v>
      </c>
      <c r="C63" s="28">
        <v>200</v>
      </c>
      <c r="D63" s="28">
        <v>0</v>
      </c>
      <c r="E63" s="28">
        <v>375</v>
      </c>
      <c r="F63" s="28">
        <v>1974</v>
      </c>
      <c r="G63" s="28">
        <v>1236</v>
      </c>
      <c r="H63" s="28">
        <v>1496</v>
      </c>
      <c r="I63" s="28">
        <v>0</v>
      </c>
      <c r="J63" s="28">
        <v>200</v>
      </c>
      <c r="K63" s="28">
        <v>51</v>
      </c>
      <c r="L63" s="28">
        <v>236</v>
      </c>
      <c r="M63" s="28">
        <v>30</v>
      </c>
      <c r="N63" s="28">
        <v>33</v>
      </c>
      <c r="O63" s="28">
        <v>1101</v>
      </c>
      <c r="P63" s="516">
        <v>5181</v>
      </c>
      <c r="Q63" s="517">
        <v>1</v>
      </c>
      <c r="R63" s="6">
        <v>4</v>
      </c>
      <c r="S63" s="369">
        <v>0.21460000000000001</v>
      </c>
      <c r="T63" s="365"/>
      <c r="U63" s="28">
        <v>3236319.9800000009</v>
      </c>
      <c r="V63" s="28">
        <v>4588243.45</v>
      </c>
      <c r="W63" s="28">
        <v>26020537.640000001</v>
      </c>
      <c r="X63" s="28">
        <v>6006193.4300000006</v>
      </c>
      <c r="Y63" s="28">
        <v>1060438.46</v>
      </c>
      <c r="Z63" s="28">
        <v>3421338.7199999993</v>
      </c>
      <c r="AA63" s="28">
        <v>2262883.1300000004</v>
      </c>
      <c r="AB63" s="28">
        <v>2291998.64</v>
      </c>
      <c r="AC63" s="28">
        <v>6325259.6899999995</v>
      </c>
      <c r="AD63" s="28">
        <v>9881344.9800000023</v>
      </c>
      <c r="AE63" s="28">
        <v>1792942.74</v>
      </c>
      <c r="AF63" s="28">
        <v>66887500.860000007</v>
      </c>
      <c r="AG63" s="147"/>
      <c r="AH63" s="147"/>
      <c r="AI63" s="405">
        <v>1101</v>
      </c>
      <c r="AJ63" s="460">
        <v>5131</v>
      </c>
      <c r="AK63" s="417">
        <v>0.21460000000000001</v>
      </c>
      <c r="AL63" s="405">
        <v>4</v>
      </c>
      <c r="AM63" s="147"/>
    </row>
    <row r="64" spans="1:39">
      <c r="A64" s="71">
        <v>57</v>
      </c>
      <c r="B64" s="71" t="s">
        <v>1176</v>
      </c>
      <c r="C64" s="28">
        <v>278</v>
      </c>
      <c r="D64" s="28">
        <v>0</v>
      </c>
      <c r="E64" s="28">
        <v>485</v>
      </c>
      <c r="F64" s="28">
        <v>2577</v>
      </c>
      <c r="G64" s="28">
        <v>1569</v>
      </c>
      <c r="H64" s="28">
        <v>2325</v>
      </c>
      <c r="I64" s="28">
        <v>0</v>
      </c>
      <c r="J64" s="28">
        <v>273</v>
      </c>
      <c r="K64" s="28">
        <v>70</v>
      </c>
      <c r="L64" s="28">
        <v>1685</v>
      </c>
      <c r="M64" s="28">
        <v>478</v>
      </c>
      <c r="N64" s="28">
        <v>729</v>
      </c>
      <c r="O64" s="28">
        <v>5870</v>
      </c>
      <c r="P64" s="516">
        <v>7095</v>
      </c>
      <c r="Q64" s="517">
        <v>1.04</v>
      </c>
      <c r="R64" s="6">
        <v>12</v>
      </c>
      <c r="S64" s="369">
        <v>0.84930000000000005</v>
      </c>
      <c r="T64" s="365"/>
      <c r="U64" s="28">
        <v>5510330.4464000016</v>
      </c>
      <c r="V64" s="28">
        <v>9914647.8807999995</v>
      </c>
      <c r="W64" s="28">
        <v>68960221.11680001</v>
      </c>
      <c r="X64" s="28">
        <v>8996963.5183999985</v>
      </c>
      <c r="Y64" s="28">
        <v>3012075.7160000005</v>
      </c>
      <c r="Z64" s="28">
        <v>5335229.8</v>
      </c>
      <c r="AA64" s="28">
        <v>4593442.2559999991</v>
      </c>
      <c r="AB64" s="28">
        <v>9316183.4272000007</v>
      </c>
      <c r="AC64" s="28">
        <v>9912912.0583999995</v>
      </c>
      <c r="AD64" s="28">
        <v>18912024.849999998</v>
      </c>
      <c r="AE64" s="28">
        <v>2460901.7999999998</v>
      </c>
      <c r="AF64" s="28">
        <v>146924932.87000003</v>
      </c>
      <c r="AG64" s="147"/>
      <c r="AH64" s="147"/>
      <c r="AI64" s="405">
        <v>5870</v>
      </c>
      <c r="AJ64" s="460">
        <v>6911.5</v>
      </c>
      <c r="AK64" s="417">
        <v>0.84930000000000005</v>
      </c>
      <c r="AL64" s="405">
        <v>12</v>
      </c>
      <c r="AM64" s="147"/>
    </row>
    <row r="65" spans="1:39">
      <c r="A65" s="71">
        <v>58</v>
      </c>
      <c r="B65" s="71" t="s">
        <v>1177</v>
      </c>
      <c r="C65" s="28">
        <v>0</v>
      </c>
      <c r="D65" s="28">
        <v>0</v>
      </c>
      <c r="E65" s="28">
        <v>0</v>
      </c>
      <c r="F65" s="28">
        <v>0</v>
      </c>
      <c r="G65" s="28">
        <v>0</v>
      </c>
      <c r="H65" s="28">
        <v>0</v>
      </c>
      <c r="I65" s="28">
        <v>1</v>
      </c>
      <c r="J65" s="28">
        <v>0</v>
      </c>
      <c r="K65" s="28">
        <v>0</v>
      </c>
      <c r="L65" s="28">
        <v>0</v>
      </c>
      <c r="M65" s="28">
        <v>0</v>
      </c>
      <c r="N65" s="28">
        <v>0</v>
      </c>
      <c r="O65" s="28">
        <v>0</v>
      </c>
      <c r="P65" s="516">
        <v>1</v>
      </c>
      <c r="Q65" s="517">
        <v>1</v>
      </c>
      <c r="R65" s="6">
        <v>0</v>
      </c>
      <c r="S65" s="369">
        <v>0</v>
      </c>
      <c r="T65" s="94"/>
      <c r="U65" s="28">
        <v>448.65</v>
      </c>
      <c r="V65" s="28">
        <v>810.3</v>
      </c>
      <c r="W65" s="28">
        <v>8173.93</v>
      </c>
      <c r="X65" s="28">
        <v>571.07000000000005</v>
      </c>
      <c r="Y65" s="28">
        <v>255.51</v>
      </c>
      <c r="Z65" s="28">
        <v>1505.73</v>
      </c>
      <c r="AA65" s="28">
        <v>451.12</v>
      </c>
      <c r="AB65" s="28">
        <v>607.66</v>
      </c>
      <c r="AC65" s="28">
        <v>2029.75</v>
      </c>
      <c r="AD65" s="28">
        <v>2006.61</v>
      </c>
      <c r="AE65" s="28">
        <v>0</v>
      </c>
      <c r="AF65" s="28">
        <v>16860.330000000002</v>
      </c>
      <c r="AG65" s="147"/>
      <c r="AH65" s="147"/>
      <c r="AI65" s="405">
        <v>0</v>
      </c>
      <c r="AJ65" s="460">
        <v>0</v>
      </c>
      <c r="AK65" s="417">
        <v>0</v>
      </c>
      <c r="AL65" s="405">
        <v>0</v>
      </c>
      <c r="AM65" s="147"/>
    </row>
    <row r="66" spans="1:39">
      <c r="A66" s="71">
        <v>59</v>
      </c>
      <c r="B66" s="71" t="s">
        <v>1178</v>
      </c>
      <c r="C66" s="28">
        <v>0</v>
      </c>
      <c r="D66" s="28">
        <v>0</v>
      </c>
      <c r="E66" s="28">
        <v>0</v>
      </c>
      <c r="F66" s="28">
        <v>0</v>
      </c>
      <c r="G66" s="28">
        <v>0</v>
      </c>
      <c r="H66" s="28">
        <v>0</v>
      </c>
      <c r="I66" s="28">
        <v>7</v>
      </c>
      <c r="J66" s="28">
        <v>0</v>
      </c>
      <c r="K66" s="28">
        <v>0</v>
      </c>
      <c r="L66" s="28">
        <v>0</v>
      </c>
      <c r="M66" s="28">
        <v>0</v>
      </c>
      <c r="N66" s="28">
        <v>0</v>
      </c>
      <c r="O66" s="28">
        <v>0</v>
      </c>
      <c r="P66" s="516">
        <v>7</v>
      </c>
      <c r="Q66" s="517">
        <v>1</v>
      </c>
      <c r="R66" s="6">
        <v>0</v>
      </c>
      <c r="S66" s="369">
        <v>0</v>
      </c>
      <c r="T66" s="94"/>
      <c r="U66" s="28">
        <v>3140.5499999999997</v>
      </c>
      <c r="V66" s="28">
        <v>5672.0999999999995</v>
      </c>
      <c r="W66" s="28">
        <v>57217.51</v>
      </c>
      <c r="X66" s="28">
        <v>3997.4900000000002</v>
      </c>
      <c r="Y66" s="28">
        <v>1788.57</v>
      </c>
      <c r="Z66" s="28">
        <v>10540.11</v>
      </c>
      <c r="AA66" s="28">
        <v>3157.84</v>
      </c>
      <c r="AB66" s="28">
        <v>4253.62</v>
      </c>
      <c r="AC66" s="28">
        <v>14208.25</v>
      </c>
      <c r="AD66" s="28">
        <v>14046.269999999999</v>
      </c>
      <c r="AE66" s="28">
        <v>0</v>
      </c>
      <c r="AF66" s="28">
        <v>118022.31000000001</v>
      </c>
      <c r="AG66" s="147"/>
      <c r="AH66" s="147"/>
      <c r="AI66" s="405">
        <v>0</v>
      </c>
      <c r="AJ66" s="460">
        <v>0</v>
      </c>
      <c r="AK66" s="417">
        <v>0</v>
      </c>
      <c r="AL66" s="405">
        <v>0</v>
      </c>
      <c r="AM66" s="147"/>
    </row>
    <row r="67" spans="1:39">
      <c r="A67" s="71">
        <v>60</v>
      </c>
      <c r="B67" s="71" t="s">
        <v>1179</v>
      </c>
      <c r="C67" s="28">
        <v>0</v>
      </c>
      <c r="D67" s="28">
        <v>0</v>
      </c>
      <c r="E67" s="28">
        <v>0</v>
      </c>
      <c r="F67" s="28">
        <v>0</v>
      </c>
      <c r="G67" s="28">
        <v>0</v>
      </c>
      <c r="H67" s="28">
        <v>0</v>
      </c>
      <c r="I67" s="28">
        <v>14</v>
      </c>
      <c r="J67" s="28">
        <v>1</v>
      </c>
      <c r="K67" s="28">
        <v>0</v>
      </c>
      <c r="L67" s="28">
        <v>0</v>
      </c>
      <c r="M67" s="28">
        <v>0</v>
      </c>
      <c r="N67" s="28">
        <v>0</v>
      </c>
      <c r="O67" s="28">
        <v>0</v>
      </c>
      <c r="P67" s="516">
        <v>14</v>
      </c>
      <c r="Q67" s="517">
        <v>1</v>
      </c>
      <c r="R67" s="6">
        <v>0</v>
      </c>
      <c r="S67" s="369">
        <v>0</v>
      </c>
      <c r="T67" s="94"/>
      <c r="U67" s="28">
        <v>9377.5099999999984</v>
      </c>
      <c r="V67" s="28">
        <v>11344.199999999999</v>
      </c>
      <c r="W67" s="28">
        <v>124652.40000000001</v>
      </c>
      <c r="X67" s="28">
        <v>17534.8</v>
      </c>
      <c r="Y67" s="28">
        <v>4070.02</v>
      </c>
      <c r="Z67" s="28">
        <v>21510.420000000002</v>
      </c>
      <c r="AA67" s="28">
        <v>6315.68</v>
      </c>
      <c r="AB67" s="28">
        <v>8507.24</v>
      </c>
      <c r="AC67" s="28">
        <v>31875.33</v>
      </c>
      <c r="AD67" s="28">
        <v>32190.639999999999</v>
      </c>
      <c r="AE67" s="28">
        <v>0</v>
      </c>
      <c r="AF67" s="28">
        <v>267378.24</v>
      </c>
      <c r="AG67" s="147"/>
      <c r="AH67" s="147"/>
      <c r="AI67" s="405">
        <v>0</v>
      </c>
      <c r="AJ67" s="460">
        <v>0</v>
      </c>
      <c r="AK67" s="417">
        <v>0</v>
      </c>
      <c r="AL67" s="405">
        <v>0</v>
      </c>
      <c r="AM67" s="147"/>
    </row>
    <row r="68" spans="1:39">
      <c r="A68" s="71">
        <v>61</v>
      </c>
      <c r="B68" s="71" t="s">
        <v>1180</v>
      </c>
      <c r="C68" s="28">
        <v>330</v>
      </c>
      <c r="D68" s="28">
        <v>0</v>
      </c>
      <c r="E68" s="28">
        <v>455</v>
      </c>
      <c r="F68" s="28">
        <v>2423</v>
      </c>
      <c r="G68" s="28">
        <v>1724</v>
      </c>
      <c r="H68" s="28">
        <v>1793</v>
      </c>
      <c r="I68" s="28">
        <v>642</v>
      </c>
      <c r="J68" s="28">
        <v>283</v>
      </c>
      <c r="K68" s="28">
        <v>64</v>
      </c>
      <c r="L68" s="28">
        <v>293</v>
      </c>
      <c r="M68" s="28">
        <v>107</v>
      </c>
      <c r="N68" s="28">
        <v>127</v>
      </c>
      <c r="O68" s="28">
        <v>4979</v>
      </c>
      <c r="P68" s="516">
        <v>7202</v>
      </c>
      <c r="Q68" s="517">
        <v>1</v>
      </c>
      <c r="R68" s="6">
        <v>11</v>
      </c>
      <c r="S68" s="369">
        <v>0.71179999999999999</v>
      </c>
      <c r="T68" s="365"/>
      <c r="U68" s="28">
        <v>4932519.93</v>
      </c>
      <c r="V68" s="28">
        <v>8438924.3399999999</v>
      </c>
      <c r="W68" s="28">
        <v>58818485.909999996</v>
      </c>
      <c r="X68" s="28">
        <v>8283637.6100000022</v>
      </c>
      <c r="Y68" s="28">
        <v>2515480.7000000002</v>
      </c>
      <c r="Z68" s="28">
        <v>5452507.0399999991</v>
      </c>
      <c r="AA68" s="28">
        <v>3987029.0900000003</v>
      </c>
      <c r="AB68" s="28">
        <v>7533525.040000001</v>
      </c>
      <c r="AC68" s="28">
        <v>9478290.3199999984</v>
      </c>
      <c r="AD68" s="28">
        <v>17467883.780000001</v>
      </c>
      <c r="AE68" s="28">
        <v>2249967.36</v>
      </c>
      <c r="AF68" s="28">
        <v>129158251.12</v>
      </c>
      <c r="AG68" s="147"/>
      <c r="AH68" s="147"/>
      <c r="AI68" s="405">
        <v>4979</v>
      </c>
      <c r="AJ68" s="460">
        <v>6994.5</v>
      </c>
      <c r="AK68" s="417">
        <v>0.71179999999999999</v>
      </c>
      <c r="AL68" s="405">
        <v>11</v>
      </c>
      <c r="AM68" s="147"/>
    </row>
    <row r="69" spans="1:39">
      <c r="A69" s="71">
        <v>62</v>
      </c>
      <c r="B69" s="71" t="s">
        <v>1181</v>
      </c>
      <c r="C69" s="28">
        <v>0</v>
      </c>
      <c r="D69" s="28">
        <v>0</v>
      </c>
      <c r="E69" s="28">
        <v>0</v>
      </c>
      <c r="F69" s="28">
        <v>0</v>
      </c>
      <c r="G69" s="28">
        <v>0</v>
      </c>
      <c r="H69" s="28">
        <v>0</v>
      </c>
      <c r="I69" s="28">
        <v>0</v>
      </c>
      <c r="J69" s="28">
        <v>0</v>
      </c>
      <c r="K69" s="28">
        <v>0</v>
      </c>
      <c r="L69" s="28">
        <v>0</v>
      </c>
      <c r="M69" s="28">
        <v>0</v>
      </c>
      <c r="N69" s="28">
        <v>0</v>
      </c>
      <c r="O69" s="28">
        <v>0</v>
      </c>
      <c r="P69" s="516">
        <v>0</v>
      </c>
      <c r="Q69" s="517">
        <v>1</v>
      </c>
      <c r="R69" s="6">
        <v>0</v>
      </c>
      <c r="S69" s="369">
        <v>0</v>
      </c>
      <c r="T69" s="94"/>
      <c r="U69" s="28">
        <v>0</v>
      </c>
      <c r="V69" s="28">
        <v>0</v>
      </c>
      <c r="W69" s="28">
        <v>0</v>
      </c>
      <c r="X69" s="28">
        <v>0</v>
      </c>
      <c r="Y69" s="28">
        <v>0</v>
      </c>
      <c r="Z69" s="28">
        <v>0</v>
      </c>
      <c r="AA69" s="28">
        <v>0</v>
      </c>
      <c r="AB69" s="28">
        <v>0</v>
      </c>
      <c r="AC69" s="28">
        <v>0</v>
      </c>
      <c r="AD69" s="28">
        <v>0</v>
      </c>
      <c r="AE69" s="28">
        <v>0</v>
      </c>
      <c r="AF69" s="28">
        <v>0</v>
      </c>
      <c r="AG69" s="147"/>
      <c r="AH69" s="147"/>
      <c r="AI69" s="405">
        <v>0</v>
      </c>
      <c r="AJ69" s="460">
        <v>0</v>
      </c>
      <c r="AK69" s="417">
        <v>0</v>
      </c>
      <c r="AL69" s="405">
        <v>0</v>
      </c>
      <c r="AM69" s="147"/>
    </row>
    <row r="70" spans="1:39">
      <c r="A70" s="71">
        <v>63</v>
      </c>
      <c r="B70" s="71" t="s">
        <v>1182</v>
      </c>
      <c r="C70" s="28">
        <v>21</v>
      </c>
      <c r="D70" s="28">
        <v>0</v>
      </c>
      <c r="E70" s="28">
        <v>16</v>
      </c>
      <c r="F70" s="28">
        <v>94</v>
      </c>
      <c r="G70" s="28">
        <v>49</v>
      </c>
      <c r="H70" s="28">
        <v>34</v>
      </c>
      <c r="I70" s="28">
        <v>0</v>
      </c>
      <c r="J70" s="28">
        <v>8</v>
      </c>
      <c r="K70" s="28">
        <v>2</v>
      </c>
      <c r="L70" s="28">
        <v>0</v>
      </c>
      <c r="M70" s="28">
        <v>0</v>
      </c>
      <c r="N70" s="28">
        <v>0</v>
      </c>
      <c r="O70" s="28">
        <v>85</v>
      </c>
      <c r="P70" s="516">
        <v>204</v>
      </c>
      <c r="Q70" s="517">
        <v>1</v>
      </c>
      <c r="R70" s="6">
        <v>8</v>
      </c>
      <c r="S70" s="369">
        <v>0.42820000000000003</v>
      </c>
      <c r="T70" s="365"/>
      <c r="U70" s="28">
        <v>130678.38</v>
      </c>
      <c r="V70" s="28">
        <v>199013.14</v>
      </c>
      <c r="W70" s="28">
        <v>1186185.49</v>
      </c>
      <c r="X70" s="28">
        <v>244289.93</v>
      </c>
      <c r="Y70" s="28">
        <v>50881.96</v>
      </c>
      <c r="Z70" s="28">
        <v>126325.33</v>
      </c>
      <c r="AA70" s="28">
        <v>94450.46</v>
      </c>
      <c r="AB70" s="28">
        <v>121665.17</v>
      </c>
      <c r="AC70" s="28">
        <v>243675.70999999996</v>
      </c>
      <c r="AD70" s="28">
        <v>422241.15999999992</v>
      </c>
      <c r="AE70" s="28">
        <v>70311.48</v>
      </c>
      <c r="AF70" s="28">
        <v>2889718.2099999995</v>
      </c>
      <c r="AG70" s="147"/>
      <c r="AH70" s="147"/>
      <c r="AI70" s="405">
        <v>85</v>
      </c>
      <c r="AJ70" s="460">
        <v>198.5</v>
      </c>
      <c r="AK70" s="417">
        <v>0.42820000000000003</v>
      </c>
      <c r="AL70" s="405">
        <v>8</v>
      </c>
      <c r="AM70" s="147"/>
    </row>
    <row r="71" spans="1:39">
      <c r="A71" s="71">
        <v>64</v>
      </c>
      <c r="B71" s="71" t="s">
        <v>1183</v>
      </c>
      <c r="C71" s="28">
        <v>137</v>
      </c>
      <c r="D71" s="28">
        <v>0</v>
      </c>
      <c r="E71" s="28">
        <v>147</v>
      </c>
      <c r="F71" s="28">
        <v>758</v>
      </c>
      <c r="G71" s="28">
        <v>438</v>
      </c>
      <c r="H71" s="28">
        <v>633</v>
      </c>
      <c r="I71" s="28">
        <v>50</v>
      </c>
      <c r="J71" s="28">
        <v>80</v>
      </c>
      <c r="K71" s="28">
        <v>20</v>
      </c>
      <c r="L71" s="28">
        <v>227</v>
      </c>
      <c r="M71" s="28">
        <v>73</v>
      </c>
      <c r="N71" s="28">
        <v>91</v>
      </c>
      <c r="O71" s="28">
        <v>1161</v>
      </c>
      <c r="P71" s="516">
        <v>2095</v>
      </c>
      <c r="Q71" s="517">
        <v>1</v>
      </c>
      <c r="R71" s="6">
        <v>10</v>
      </c>
      <c r="S71" s="369">
        <v>0.58079999999999998</v>
      </c>
      <c r="T71" s="365"/>
      <c r="U71" s="28">
        <v>1419097.52</v>
      </c>
      <c r="V71" s="28">
        <v>2308448.02</v>
      </c>
      <c r="W71" s="28">
        <v>15066530.430000002</v>
      </c>
      <c r="X71" s="28">
        <v>2461923.14</v>
      </c>
      <c r="Y71" s="28">
        <v>637547.28</v>
      </c>
      <c r="Z71" s="28">
        <v>1508748.91</v>
      </c>
      <c r="AA71" s="28">
        <v>1099777.96</v>
      </c>
      <c r="AB71" s="28">
        <v>1779702.13</v>
      </c>
      <c r="AC71" s="28">
        <v>2695152.59</v>
      </c>
      <c r="AD71" s="28">
        <v>4757977.7899999991</v>
      </c>
      <c r="AE71" s="28">
        <v>703114.79999999993</v>
      </c>
      <c r="AF71" s="28">
        <v>34438020.57</v>
      </c>
      <c r="AG71" s="147"/>
      <c r="AH71" s="147"/>
      <c r="AI71" s="405">
        <v>1161</v>
      </c>
      <c r="AJ71" s="460">
        <v>1999</v>
      </c>
      <c r="AK71" s="417">
        <v>0.58079999999999998</v>
      </c>
      <c r="AL71" s="405">
        <v>10</v>
      </c>
      <c r="AM71" s="147"/>
    </row>
    <row r="72" spans="1:39">
      <c r="A72" s="71">
        <v>65</v>
      </c>
      <c r="B72" s="71" t="s">
        <v>1184</v>
      </c>
      <c r="C72" s="28">
        <v>36</v>
      </c>
      <c r="D72" s="28">
        <v>0</v>
      </c>
      <c r="E72" s="28">
        <v>110</v>
      </c>
      <c r="F72" s="28">
        <v>574</v>
      </c>
      <c r="G72" s="28">
        <v>299</v>
      </c>
      <c r="H72" s="28">
        <v>432</v>
      </c>
      <c r="I72" s="28">
        <v>0</v>
      </c>
      <c r="J72" s="28">
        <v>56</v>
      </c>
      <c r="K72" s="28">
        <v>14</v>
      </c>
      <c r="L72" s="28">
        <v>1</v>
      </c>
      <c r="M72" s="28">
        <v>2</v>
      </c>
      <c r="N72" s="28">
        <v>1</v>
      </c>
      <c r="O72" s="28">
        <v>105</v>
      </c>
      <c r="P72" s="516">
        <v>1433</v>
      </c>
      <c r="Q72" s="517">
        <v>1.036</v>
      </c>
      <c r="R72" s="6">
        <v>2</v>
      </c>
      <c r="S72" s="369">
        <v>7.5200000000000003E-2</v>
      </c>
      <c r="T72" s="365"/>
      <c r="U72" s="28">
        <v>906250.92487999983</v>
      </c>
      <c r="V72" s="28">
        <v>1233921.7290400001</v>
      </c>
      <c r="W72" s="28">
        <v>6759438.5241599996</v>
      </c>
      <c r="X72" s="28">
        <v>1716263.7382800002</v>
      </c>
      <c r="Y72" s="28">
        <v>268570.58872</v>
      </c>
      <c r="Z72" s="28">
        <v>936802.18999999983</v>
      </c>
      <c r="AA72" s="28">
        <v>615979.70000000007</v>
      </c>
      <c r="AB72" s="28">
        <v>525732.38283999998</v>
      </c>
      <c r="AC72" s="28">
        <v>1784350.9636400002</v>
      </c>
      <c r="AD72" s="28">
        <v>2599566.3499999996</v>
      </c>
      <c r="AE72" s="28">
        <v>492180.36</v>
      </c>
      <c r="AF72" s="28">
        <v>17839057.451559998</v>
      </c>
      <c r="AG72" s="147"/>
      <c r="AH72" s="147"/>
      <c r="AI72" s="405">
        <v>105</v>
      </c>
      <c r="AJ72" s="460">
        <v>1397</v>
      </c>
      <c r="AK72" s="417">
        <v>7.5200000000000003E-2</v>
      </c>
      <c r="AL72" s="405">
        <v>2</v>
      </c>
      <c r="AM72" s="147"/>
    </row>
    <row r="73" spans="1:39">
      <c r="A73" s="71">
        <v>66</v>
      </c>
      <c r="B73" s="71" t="s">
        <v>1185</v>
      </c>
      <c r="C73" s="28">
        <v>0</v>
      </c>
      <c r="D73" s="28">
        <v>0</v>
      </c>
      <c r="E73" s="28">
        <v>0</v>
      </c>
      <c r="F73" s="28">
        <v>0</v>
      </c>
      <c r="G73" s="28">
        <v>0</v>
      </c>
      <c r="H73" s="28">
        <v>0</v>
      </c>
      <c r="I73" s="28">
        <v>0</v>
      </c>
      <c r="J73" s="28">
        <v>0</v>
      </c>
      <c r="K73" s="28">
        <v>0</v>
      </c>
      <c r="L73" s="28">
        <v>0</v>
      </c>
      <c r="M73" s="28">
        <v>0</v>
      </c>
      <c r="N73" s="28">
        <v>0</v>
      </c>
      <c r="O73" s="28">
        <v>0</v>
      </c>
      <c r="P73" s="516">
        <v>0</v>
      </c>
      <c r="Q73" s="517">
        <v>1</v>
      </c>
      <c r="R73" s="6">
        <v>0</v>
      </c>
      <c r="S73" s="369">
        <v>0</v>
      </c>
      <c r="T73" s="94"/>
      <c r="U73" s="28">
        <v>0</v>
      </c>
      <c r="V73" s="28">
        <v>0</v>
      </c>
      <c r="W73" s="28">
        <v>0</v>
      </c>
      <c r="X73" s="28">
        <v>0</v>
      </c>
      <c r="Y73" s="28">
        <v>0</v>
      </c>
      <c r="Z73" s="28">
        <v>0</v>
      </c>
      <c r="AA73" s="28">
        <v>0</v>
      </c>
      <c r="AB73" s="28">
        <v>0</v>
      </c>
      <c r="AC73" s="28">
        <v>0</v>
      </c>
      <c r="AD73" s="28">
        <v>0</v>
      </c>
      <c r="AE73" s="28">
        <v>0</v>
      </c>
      <c r="AF73" s="28">
        <v>0</v>
      </c>
      <c r="AG73" s="147"/>
      <c r="AH73" s="147"/>
      <c r="AI73" s="405">
        <v>0</v>
      </c>
      <c r="AJ73" s="460">
        <v>0</v>
      </c>
      <c r="AK73" s="417">
        <v>0</v>
      </c>
      <c r="AL73" s="405">
        <v>0</v>
      </c>
      <c r="AM73" s="147"/>
    </row>
    <row r="74" spans="1:39">
      <c r="A74" s="71">
        <v>67</v>
      </c>
      <c r="B74" s="71" t="s">
        <v>1186</v>
      </c>
      <c r="C74" s="28">
        <v>32</v>
      </c>
      <c r="D74" s="28">
        <v>0</v>
      </c>
      <c r="E74" s="28">
        <v>196</v>
      </c>
      <c r="F74" s="28">
        <v>1062</v>
      </c>
      <c r="G74" s="28">
        <v>669</v>
      </c>
      <c r="H74" s="28">
        <v>0</v>
      </c>
      <c r="I74" s="28">
        <v>0</v>
      </c>
      <c r="J74" s="28">
        <v>76</v>
      </c>
      <c r="K74" s="28">
        <v>19</v>
      </c>
      <c r="L74" s="28">
        <v>45</v>
      </c>
      <c r="M74" s="28">
        <v>9</v>
      </c>
      <c r="N74" s="28">
        <v>0</v>
      </c>
      <c r="O74" s="28">
        <v>233</v>
      </c>
      <c r="P74" s="516">
        <v>1943</v>
      </c>
      <c r="Q74" s="517">
        <v>1.0589999999999999</v>
      </c>
      <c r="R74" s="6">
        <v>3</v>
      </c>
      <c r="S74" s="369">
        <v>0.12</v>
      </c>
      <c r="T74" s="365"/>
      <c r="U74" s="28">
        <v>1268319.07011</v>
      </c>
      <c r="V74" s="28">
        <v>1749732.8347199999</v>
      </c>
      <c r="W74" s="28">
        <v>8925056.8792499993</v>
      </c>
      <c r="X74" s="28">
        <v>2551847.4240899994</v>
      </c>
      <c r="Y74" s="28">
        <v>387888.69851999992</v>
      </c>
      <c r="Z74" s="28">
        <v>1090041.0000000002</v>
      </c>
      <c r="AA74" s="28">
        <v>833015.83871999988</v>
      </c>
      <c r="AB74" s="28">
        <v>540111.24353999982</v>
      </c>
      <c r="AC74" s="28">
        <v>2482056.0517799999</v>
      </c>
      <c r="AD74" s="28">
        <v>3665364.44</v>
      </c>
      <c r="AE74" s="28">
        <v>667959.05999999994</v>
      </c>
      <c r="AF74" s="28">
        <v>24161392.54073</v>
      </c>
      <c r="AG74" s="147"/>
      <c r="AH74" s="147"/>
      <c r="AI74" s="405">
        <v>233</v>
      </c>
      <c r="AJ74" s="460">
        <v>1941.5</v>
      </c>
      <c r="AK74" s="417">
        <v>0.12</v>
      </c>
      <c r="AL74" s="405">
        <v>3</v>
      </c>
      <c r="AM74" s="147"/>
    </row>
    <row r="75" spans="1:39">
      <c r="A75" s="71">
        <v>68</v>
      </c>
      <c r="B75" s="71" t="s">
        <v>1187</v>
      </c>
      <c r="C75" s="28">
        <v>0</v>
      </c>
      <c r="D75" s="28">
        <v>0</v>
      </c>
      <c r="E75" s="28">
        <v>9</v>
      </c>
      <c r="F75" s="28">
        <v>50</v>
      </c>
      <c r="G75" s="28">
        <v>8</v>
      </c>
      <c r="H75" s="28">
        <v>0</v>
      </c>
      <c r="I75" s="28">
        <v>1</v>
      </c>
      <c r="J75" s="28">
        <v>3</v>
      </c>
      <c r="K75" s="28">
        <v>1</v>
      </c>
      <c r="L75" s="28">
        <v>0</v>
      </c>
      <c r="M75" s="28">
        <v>0</v>
      </c>
      <c r="N75" s="28">
        <v>0</v>
      </c>
      <c r="O75" s="28">
        <v>34</v>
      </c>
      <c r="P75" s="516">
        <v>68</v>
      </c>
      <c r="Q75" s="517">
        <v>1</v>
      </c>
      <c r="R75" s="6">
        <v>5</v>
      </c>
      <c r="S75" s="369">
        <v>0.25090000000000001</v>
      </c>
      <c r="T75" s="365"/>
      <c r="U75" s="28">
        <v>45740.11</v>
      </c>
      <c r="V75" s="28">
        <v>65713.5</v>
      </c>
      <c r="W75" s="28">
        <v>387796.47999999998</v>
      </c>
      <c r="X75" s="28">
        <v>90958.39</v>
      </c>
      <c r="Y75" s="28">
        <v>16710.93</v>
      </c>
      <c r="Z75" s="28">
        <v>39597.360000000001</v>
      </c>
      <c r="AA75" s="28">
        <v>30247.949999999997</v>
      </c>
      <c r="AB75" s="28">
        <v>33549.64</v>
      </c>
      <c r="AC75" s="28">
        <v>82226.47</v>
      </c>
      <c r="AD75" s="28">
        <v>141548.35</v>
      </c>
      <c r="AE75" s="28">
        <v>35155.74</v>
      </c>
      <c r="AF75" s="28">
        <v>969244.91999999993</v>
      </c>
      <c r="AG75" s="147"/>
      <c r="AH75" s="147"/>
      <c r="AI75" s="405">
        <v>34</v>
      </c>
      <c r="AJ75" s="460">
        <v>135.5</v>
      </c>
      <c r="AK75" s="417">
        <v>0.25090000000000001</v>
      </c>
      <c r="AL75" s="405">
        <v>5</v>
      </c>
      <c r="AM75" s="147"/>
    </row>
    <row r="76" spans="1:39">
      <c r="A76" s="71">
        <v>69</v>
      </c>
      <c r="B76" s="71" t="s">
        <v>1188</v>
      </c>
      <c r="C76" s="28">
        <v>0</v>
      </c>
      <c r="D76" s="28">
        <v>0</v>
      </c>
      <c r="E76" s="28">
        <v>0</v>
      </c>
      <c r="F76" s="28">
        <v>0</v>
      </c>
      <c r="G76" s="28">
        <v>0</v>
      </c>
      <c r="H76" s="28">
        <v>0</v>
      </c>
      <c r="I76" s="28">
        <v>5</v>
      </c>
      <c r="J76" s="28">
        <v>0</v>
      </c>
      <c r="K76" s="28">
        <v>0</v>
      </c>
      <c r="L76" s="28">
        <v>0</v>
      </c>
      <c r="M76" s="28">
        <v>0</v>
      </c>
      <c r="N76" s="28">
        <v>0</v>
      </c>
      <c r="O76" s="28">
        <v>0</v>
      </c>
      <c r="P76" s="516">
        <v>5</v>
      </c>
      <c r="Q76" s="517">
        <v>1</v>
      </c>
      <c r="R76" s="6">
        <v>0</v>
      </c>
      <c r="S76" s="369">
        <v>0</v>
      </c>
      <c r="T76" s="94"/>
      <c r="U76" s="28">
        <v>2243.25</v>
      </c>
      <c r="V76" s="28">
        <v>4051.5</v>
      </c>
      <c r="W76" s="28">
        <v>40869.65</v>
      </c>
      <c r="X76" s="28">
        <v>2855.3500000000004</v>
      </c>
      <c r="Y76" s="28">
        <v>1277.55</v>
      </c>
      <c r="Z76" s="28">
        <v>7528.65</v>
      </c>
      <c r="AA76" s="28">
        <v>2255.6</v>
      </c>
      <c r="AB76" s="28">
        <v>3038.2999999999997</v>
      </c>
      <c r="AC76" s="28">
        <v>10148.75</v>
      </c>
      <c r="AD76" s="28">
        <v>10033.049999999999</v>
      </c>
      <c r="AE76" s="28">
        <v>0</v>
      </c>
      <c r="AF76" s="28">
        <v>84301.650000000009</v>
      </c>
      <c r="AG76" s="147"/>
      <c r="AH76" s="147"/>
      <c r="AI76" s="405">
        <v>0</v>
      </c>
      <c r="AJ76" s="460">
        <v>0</v>
      </c>
      <c r="AK76" s="417">
        <v>0</v>
      </c>
      <c r="AL76" s="405">
        <v>0</v>
      </c>
      <c r="AM76" s="147"/>
    </row>
    <row r="77" spans="1:39">
      <c r="A77" s="71">
        <v>70</v>
      </c>
      <c r="B77" s="71" t="s">
        <v>1189</v>
      </c>
      <c r="C77" s="28">
        <v>0</v>
      </c>
      <c r="D77" s="28">
        <v>0</v>
      </c>
      <c r="E77" s="28">
        <v>0</v>
      </c>
      <c r="F77" s="28">
        <v>0</v>
      </c>
      <c r="G77" s="28">
        <v>0</v>
      </c>
      <c r="H77" s="28">
        <v>0</v>
      </c>
      <c r="I77" s="28">
        <v>14</v>
      </c>
      <c r="J77" s="28">
        <v>1</v>
      </c>
      <c r="K77" s="28">
        <v>0</v>
      </c>
      <c r="L77" s="28">
        <v>0</v>
      </c>
      <c r="M77" s="28">
        <v>0</v>
      </c>
      <c r="N77" s="28">
        <v>0</v>
      </c>
      <c r="O77" s="28">
        <v>0</v>
      </c>
      <c r="P77" s="516">
        <v>14</v>
      </c>
      <c r="Q77" s="517">
        <v>1</v>
      </c>
      <c r="R77" s="6">
        <v>0</v>
      </c>
      <c r="S77" s="369">
        <v>0</v>
      </c>
      <c r="T77" s="94"/>
      <c r="U77" s="28">
        <v>9377.5099999999984</v>
      </c>
      <c r="V77" s="28">
        <v>11344.199999999999</v>
      </c>
      <c r="W77" s="28">
        <v>124652.40000000001</v>
      </c>
      <c r="X77" s="28">
        <v>17534.8</v>
      </c>
      <c r="Y77" s="28">
        <v>4070.02</v>
      </c>
      <c r="Z77" s="28">
        <v>21510.420000000002</v>
      </c>
      <c r="AA77" s="28">
        <v>6315.68</v>
      </c>
      <c r="AB77" s="28">
        <v>8507.24</v>
      </c>
      <c r="AC77" s="28">
        <v>31875.33</v>
      </c>
      <c r="AD77" s="28">
        <v>32190.639999999999</v>
      </c>
      <c r="AE77" s="28">
        <v>0</v>
      </c>
      <c r="AF77" s="28">
        <v>267378.24</v>
      </c>
      <c r="AG77" s="147"/>
      <c r="AH77" s="147"/>
      <c r="AI77" s="405">
        <v>0</v>
      </c>
      <c r="AJ77" s="460">
        <v>0</v>
      </c>
      <c r="AK77" s="417">
        <v>0</v>
      </c>
      <c r="AL77" s="405">
        <v>0</v>
      </c>
      <c r="AM77" s="147"/>
    </row>
    <row r="78" spans="1:39">
      <c r="A78" s="71">
        <v>71</v>
      </c>
      <c r="B78" s="71" t="s">
        <v>1190</v>
      </c>
      <c r="C78" s="28">
        <v>102</v>
      </c>
      <c r="D78" s="28">
        <v>0</v>
      </c>
      <c r="E78" s="28">
        <v>265</v>
      </c>
      <c r="F78" s="28">
        <v>1386</v>
      </c>
      <c r="G78" s="28">
        <v>776</v>
      </c>
      <c r="H78" s="28">
        <v>871</v>
      </c>
      <c r="I78" s="28">
        <v>0</v>
      </c>
      <c r="J78" s="28">
        <v>130</v>
      </c>
      <c r="K78" s="28">
        <v>33</v>
      </c>
      <c r="L78" s="28">
        <v>95</v>
      </c>
      <c r="M78" s="28">
        <v>16</v>
      </c>
      <c r="N78" s="28">
        <v>28</v>
      </c>
      <c r="O78" s="28">
        <v>963</v>
      </c>
      <c r="P78" s="516">
        <v>3349</v>
      </c>
      <c r="Q78" s="517">
        <v>1</v>
      </c>
      <c r="R78" s="6">
        <v>5</v>
      </c>
      <c r="S78" s="369">
        <v>0.2989</v>
      </c>
      <c r="T78" s="365"/>
      <c r="U78" s="28">
        <v>2106691.41</v>
      </c>
      <c r="V78" s="28">
        <v>3042284.7299999995</v>
      </c>
      <c r="W78" s="28">
        <v>17507363.509999998</v>
      </c>
      <c r="X78" s="28">
        <v>3921657.9700000007</v>
      </c>
      <c r="Y78" s="28">
        <v>722984.63000000012</v>
      </c>
      <c r="Z78" s="28">
        <v>2179757.37</v>
      </c>
      <c r="AA78" s="28">
        <v>1484947.73</v>
      </c>
      <c r="AB78" s="28">
        <v>1612786.19</v>
      </c>
      <c r="AC78" s="28">
        <v>4066233.0100000002</v>
      </c>
      <c r="AD78" s="28">
        <v>6523534.209999999</v>
      </c>
      <c r="AE78" s="28">
        <v>1160139.42</v>
      </c>
      <c r="AF78" s="28">
        <v>44328380.18</v>
      </c>
      <c r="AG78" s="147"/>
      <c r="AH78" s="147"/>
      <c r="AI78" s="405">
        <v>963</v>
      </c>
      <c r="AJ78" s="460">
        <v>3222</v>
      </c>
      <c r="AK78" s="417">
        <v>0.2989</v>
      </c>
      <c r="AL78" s="405">
        <v>5</v>
      </c>
      <c r="AM78" s="147"/>
    </row>
    <row r="79" spans="1:39">
      <c r="A79" s="71">
        <v>72</v>
      </c>
      <c r="B79" s="71" t="s">
        <v>1191</v>
      </c>
      <c r="C79" s="28">
        <v>101</v>
      </c>
      <c r="D79" s="28">
        <v>0</v>
      </c>
      <c r="E79" s="28">
        <v>237</v>
      </c>
      <c r="F79" s="28">
        <v>1312</v>
      </c>
      <c r="G79" s="28">
        <v>814</v>
      </c>
      <c r="H79" s="28">
        <v>870</v>
      </c>
      <c r="I79" s="28">
        <v>0</v>
      </c>
      <c r="J79" s="28">
        <v>127</v>
      </c>
      <c r="K79" s="28">
        <v>32</v>
      </c>
      <c r="L79" s="28">
        <v>47</v>
      </c>
      <c r="M79" s="28">
        <v>10</v>
      </c>
      <c r="N79" s="28">
        <v>8</v>
      </c>
      <c r="O79" s="28">
        <v>1124</v>
      </c>
      <c r="P79" s="516">
        <v>3284</v>
      </c>
      <c r="Q79" s="517">
        <v>1</v>
      </c>
      <c r="R79" s="6">
        <v>6</v>
      </c>
      <c r="S79" s="369">
        <v>0.33979999999999999</v>
      </c>
      <c r="T79" s="365"/>
      <c r="U79" s="28">
        <v>2074052.7999999998</v>
      </c>
      <c r="V79" s="28">
        <v>3061008.78</v>
      </c>
      <c r="W79" s="28">
        <v>17957629.100000001</v>
      </c>
      <c r="X79" s="28">
        <v>3805791.8499999992</v>
      </c>
      <c r="Y79" s="28">
        <v>749149.31</v>
      </c>
      <c r="Z79" s="28">
        <v>2138511.9399999995</v>
      </c>
      <c r="AA79" s="28">
        <v>1489090.75</v>
      </c>
      <c r="AB79" s="28">
        <v>1783344.7</v>
      </c>
      <c r="AC79" s="28">
        <v>3965792.6000000006</v>
      </c>
      <c r="AD79" s="28">
        <v>6529191.9700000007</v>
      </c>
      <c r="AE79" s="28">
        <v>1124983.68</v>
      </c>
      <c r="AF79" s="28">
        <v>44678547.479999989</v>
      </c>
      <c r="AG79" s="147"/>
      <c r="AH79" s="147"/>
      <c r="AI79" s="405">
        <v>1124</v>
      </c>
      <c r="AJ79" s="460">
        <v>3308</v>
      </c>
      <c r="AK79" s="417">
        <v>0.33979999999999999</v>
      </c>
      <c r="AL79" s="405">
        <v>6</v>
      </c>
      <c r="AM79" s="147"/>
    </row>
    <row r="80" spans="1:39">
      <c r="A80" s="71">
        <v>73</v>
      </c>
      <c r="B80" s="71" t="s">
        <v>1192</v>
      </c>
      <c r="C80" s="28">
        <v>106</v>
      </c>
      <c r="D80" s="28">
        <v>0</v>
      </c>
      <c r="E80" s="28">
        <v>241</v>
      </c>
      <c r="F80" s="28">
        <v>1101</v>
      </c>
      <c r="G80" s="28">
        <v>563</v>
      </c>
      <c r="H80" s="28">
        <v>789</v>
      </c>
      <c r="I80" s="28">
        <v>1</v>
      </c>
      <c r="J80" s="28">
        <v>106</v>
      </c>
      <c r="K80" s="28">
        <v>27</v>
      </c>
      <c r="L80" s="28">
        <v>128</v>
      </c>
      <c r="M80" s="28">
        <v>41</v>
      </c>
      <c r="N80" s="28">
        <v>54</v>
      </c>
      <c r="O80" s="28">
        <v>901</v>
      </c>
      <c r="P80" s="516">
        <v>2748</v>
      </c>
      <c r="Q80" s="517">
        <v>1.042</v>
      </c>
      <c r="R80" s="6">
        <v>6</v>
      </c>
      <c r="S80" s="369">
        <v>0.33639999999999998</v>
      </c>
      <c r="T80" s="365"/>
      <c r="U80" s="28">
        <v>1826143.4810600001</v>
      </c>
      <c r="V80" s="28">
        <v>2691066.7825600002</v>
      </c>
      <c r="W80" s="28">
        <v>15898381.239940001</v>
      </c>
      <c r="X80" s="28">
        <v>3360237.3590600002</v>
      </c>
      <c r="Y80" s="28">
        <v>655738.66508000006</v>
      </c>
      <c r="Z80" s="28">
        <v>1833870.29</v>
      </c>
      <c r="AA80" s="28">
        <v>1309346.7736000002</v>
      </c>
      <c r="AB80" s="28">
        <v>1544242.4995200001</v>
      </c>
      <c r="AC80" s="28">
        <v>3512671.9975399999</v>
      </c>
      <c r="AD80" s="28">
        <v>5479984.0800000001</v>
      </c>
      <c r="AE80" s="28">
        <v>949204.98</v>
      </c>
      <c r="AF80" s="28">
        <v>39060888.148359999</v>
      </c>
      <c r="AG80" s="147"/>
      <c r="AH80" s="147"/>
      <c r="AI80" s="405">
        <v>901</v>
      </c>
      <c r="AJ80" s="460">
        <v>2678</v>
      </c>
      <c r="AK80" s="417">
        <v>0.33639999999999998</v>
      </c>
      <c r="AL80" s="405">
        <v>6</v>
      </c>
      <c r="AM80" s="147"/>
    </row>
    <row r="81" spans="1:39">
      <c r="A81" s="71">
        <v>74</v>
      </c>
      <c r="B81" s="71" t="s">
        <v>1193</v>
      </c>
      <c r="C81" s="28">
        <v>11</v>
      </c>
      <c r="D81" s="28">
        <v>0</v>
      </c>
      <c r="E81" s="28">
        <v>31</v>
      </c>
      <c r="F81" s="28">
        <v>188</v>
      </c>
      <c r="G81" s="28">
        <v>53</v>
      </c>
      <c r="H81" s="28">
        <v>0</v>
      </c>
      <c r="I81" s="28">
        <v>1</v>
      </c>
      <c r="J81" s="28">
        <v>11</v>
      </c>
      <c r="K81" s="28">
        <v>3</v>
      </c>
      <c r="L81" s="28">
        <v>2</v>
      </c>
      <c r="M81" s="28">
        <v>1</v>
      </c>
      <c r="N81" s="28">
        <v>0</v>
      </c>
      <c r="O81" s="28">
        <v>74</v>
      </c>
      <c r="P81" s="516">
        <v>279</v>
      </c>
      <c r="Q81" s="517">
        <v>1</v>
      </c>
      <c r="R81" s="6">
        <v>5</v>
      </c>
      <c r="S81" s="369">
        <v>0.24299999999999999</v>
      </c>
      <c r="T81" s="365"/>
      <c r="U81" s="28">
        <v>175333.40999999995</v>
      </c>
      <c r="V81" s="28">
        <v>249363.22999999998</v>
      </c>
      <c r="W81" s="28">
        <v>1357624.0600000003</v>
      </c>
      <c r="X81" s="28">
        <v>356566.20999999996</v>
      </c>
      <c r="Y81" s="28">
        <v>58243.990000000005</v>
      </c>
      <c r="Z81" s="28">
        <v>157571.24000000002</v>
      </c>
      <c r="AA81" s="28">
        <v>116466.36</v>
      </c>
      <c r="AB81" s="28">
        <v>96359.799999999988</v>
      </c>
      <c r="AC81" s="28">
        <v>332003.05</v>
      </c>
      <c r="AD81" s="28">
        <v>542457.28999999992</v>
      </c>
      <c r="AE81" s="28">
        <v>105467.22</v>
      </c>
      <c r="AF81" s="28">
        <v>3547455.8600000003</v>
      </c>
      <c r="AG81" s="147"/>
      <c r="AH81" s="147"/>
      <c r="AI81" s="405">
        <v>74</v>
      </c>
      <c r="AJ81" s="460">
        <v>304.5</v>
      </c>
      <c r="AK81" s="417">
        <v>0.24299999999999999</v>
      </c>
      <c r="AL81" s="405">
        <v>5</v>
      </c>
      <c r="AM81" s="147"/>
    </row>
    <row r="82" spans="1:39">
      <c r="A82" s="71">
        <v>75</v>
      </c>
      <c r="B82" s="71" t="s">
        <v>1194</v>
      </c>
      <c r="C82" s="28">
        <v>0</v>
      </c>
      <c r="D82" s="28">
        <v>0</v>
      </c>
      <c r="E82" s="28">
        <v>0</v>
      </c>
      <c r="F82" s="28">
        <v>0</v>
      </c>
      <c r="G82" s="28">
        <v>0</v>
      </c>
      <c r="H82" s="28">
        <v>0</v>
      </c>
      <c r="I82" s="28">
        <v>0</v>
      </c>
      <c r="J82" s="28">
        <v>0</v>
      </c>
      <c r="K82" s="28">
        <v>0</v>
      </c>
      <c r="L82" s="28">
        <v>0</v>
      </c>
      <c r="M82" s="28">
        <v>0</v>
      </c>
      <c r="N82" s="28">
        <v>0</v>
      </c>
      <c r="O82" s="28">
        <v>0</v>
      </c>
      <c r="P82" s="516">
        <v>0</v>
      </c>
      <c r="Q82" s="517">
        <v>1</v>
      </c>
      <c r="R82" s="6">
        <v>0</v>
      </c>
      <c r="S82" s="369">
        <v>0</v>
      </c>
      <c r="T82" s="94"/>
      <c r="U82" s="28">
        <v>0</v>
      </c>
      <c r="V82" s="28">
        <v>0</v>
      </c>
      <c r="W82" s="28">
        <v>0</v>
      </c>
      <c r="X82" s="28">
        <v>0</v>
      </c>
      <c r="Y82" s="28">
        <v>0</v>
      </c>
      <c r="Z82" s="28">
        <v>0</v>
      </c>
      <c r="AA82" s="28">
        <v>0</v>
      </c>
      <c r="AB82" s="28">
        <v>0</v>
      </c>
      <c r="AC82" s="28">
        <v>0</v>
      </c>
      <c r="AD82" s="28">
        <v>0</v>
      </c>
      <c r="AE82" s="28">
        <v>0</v>
      </c>
      <c r="AF82" s="28">
        <v>0</v>
      </c>
      <c r="AG82" s="147"/>
      <c r="AH82" s="147"/>
      <c r="AI82" s="405">
        <v>0</v>
      </c>
      <c r="AJ82" s="460">
        <v>0</v>
      </c>
      <c r="AK82" s="417">
        <v>0</v>
      </c>
      <c r="AL82" s="405">
        <v>0</v>
      </c>
      <c r="AM82" s="147"/>
    </row>
    <row r="83" spans="1:39">
      <c r="A83" s="71">
        <v>76</v>
      </c>
      <c r="B83" s="71" t="s">
        <v>1195</v>
      </c>
      <c r="C83" s="28">
        <v>0</v>
      </c>
      <c r="D83" s="28">
        <v>0</v>
      </c>
      <c r="E83" s="28">
        <v>0</v>
      </c>
      <c r="F83" s="28">
        <v>0</v>
      </c>
      <c r="G83" s="28">
        <v>0</v>
      </c>
      <c r="H83" s="28">
        <v>0</v>
      </c>
      <c r="I83" s="28">
        <v>1</v>
      </c>
      <c r="J83" s="28">
        <v>0</v>
      </c>
      <c r="K83" s="28">
        <v>0</v>
      </c>
      <c r="L83" s="28">
        <v>0</v>
      </c>
      <c r="M83" s="28">
        <v>0</v>
      </c>
      <c r="N83" s="28">
        <v>0</v>
      </c>
      <c r="O83" s="28">
        <v>0</v>
      </c>
      <c r="P83" s="516">
        <v>1</v>
      </c>
      <c r="Q83" s="517">
        <v>1</v>
      </c>
      <c r="R83" s="6">
        <v>0</v>
      </c>
      <c r="S83" s="369">
        <v>0</v>
      </c>
      <c r="T83" s="94"/>
      <c r="U83" s="28">
        <v>448.65</v>
      </c>
      <c r="V83" s="28">
        <v>810.3</v>
      </c>
      <c r="W83" s="28">
        <v>8173.93</v>
      </c>
      <c r="X83" s="28">
        <v>571.07000000000005</v>
      </c>
      <c r="Y83" s="28">
        <v>255.51</v>
      </c>
      <c r="Z83" s="28">
        <v>1505.73</v>
      </c>
      <c r="AA83" s="28">
        <v>451.12</v>
      </c>
      <c r="AB83" s="28">
        <v>607.66</v>
      </c>
      <c r="AC83" s="28">
        <v>2029.75</v>
      </c>
      <c r="AD83" s="28">
        <v>2006.61</v>
      </c>
      <c r="AE83" s="28">
        <v>0</v>
      </c>
      <c r="AF83" s="28">
        <v>16860.330000000002</v>
      </c>
      <c r="AG83" s="147"/>
      <c r="AH83" s="147"/>
      <c r="AI83" s="405">
        <v>0</v>
      </c>
      <c r="AJ83" s="460">
        <v>0</v>
      </c>
      <c r="AK83" s="417">
        <v>0</v>
      </c>
      <c r="AL83" s="405">
        <v>0</v>
      </c>
      <c r="AM83" s="147"/>
    </row>
    <row r="84" spans="1:39">
      <c r="A84" s="71">
        <v>77</v>
      </c>
      <c r="B84" s="71" t="s">
        <v>1196</v>
      </c>
      <c r="C84" s="28">
        <v>10</v>
      </c>
      <c r="D84" s="28">
        <v>0</v>
      </c>
      <c r="E84" s="28">
        <v>73</v>
      </c>
      <c r="F84" s="28">
        <v>420</v>
      </c>
      <c r="G84" s="28">
        <v>288</v>
      </c>
      <c r="H84" s="28">
        <v>278</v>
      </c>
      <c r="I84" s="28">
        <v>8</v>
      </c>
      <c r="J84" s="28">
        <v>42</v>
      </c>
      <c r="K84" s="28">
        <v>11</v>
      </c>
      <c r="L84" s="28">
        <v>10</v>
      </c>
      <c r="M84" s="28">
        <v>2</v>
      </c>
      <c r="N84" s="28">
        <v>2</v>
      </c>
      <c r="O84" s="28">
        <v>322</v>
      </c>
      <c r="P84" s="516">
        <v>1072</v>
      </c>
      <c r="Q84" s="517">
        <v>1</v>
      </c>
      <c r="R84" s="6">
        <v>5</v>
      </c>
      <c r="S84" s="369">
        <v>0.28549999999999998</v>
      </c>
      <c r="T84" s="365"/>
      <c r="U84" s="28">
        <v>674546.7300000001</v>
      </c>
      <c r="V84" s="28">
        <v>971955.32000000007</v>
      </c>
      <c r="W84" s="28">
        <v>5623907.7899999991</v>
      </c>
      <c r="X84" s="28">
        <v>1239548.3</v>
      </c>
      <c r="Y84" s="28">
        <v>233240.19999999998</v>
      </c>
      <c r="Z84" s="28">
        <v>701295.49</v>
      </c>
      <c r="AA84" s="28">
        <v>476086.67</v>
      </c>
      <c r="AB84" s="28">
        <v>532685.46</v>
      </c>
      <c r="AC84" s="28">
        <v>1303746.0699999998</v>
      </c>
      <c r="AD84" s="28">
        <v>2094140.22</v>
      </c>
      <c r="AE84" s="28">
        <v>386713.13999999996</v>
      </c>
      <c r="AF84" s="28">
        <v>14237865.390000002</v>
      </c>
      <c r="AG84" s="147"/>
      <c r="AH84" s="147"/>
      <c r="AI84" s="405">
        <v>322</v>
      </c>
      <c r="AJ84" s="460">
        <v>1128</v>
      </c>
      <c r="AK84" s="417">
        <v>0.28549999999999998</v>
      </c>
      <c r="AL84" s="405">
        <v>5</v>
      </c>
      <c r="AM84" s="147"/>
    </row>
    <row r="85" spans="1:39">
      <c r="A85" s="71">
        <v>78</v>
      </c>
      <c r="B85" s="71" t="s">
        <v>1197</v>
      </c>
      <c r="C85" s="28">
        <v>24</v>
      </c>
      <c r="D85" s="28">
        <v>0</v>
      </c>
      <c r="E85" s="28">
        <v>61</v>
      </c>
      <c r="F85" s="28">
        <v>418</v>
      </c>
      <c r="G85" s="28">
        <v>0</v>
      </c>
      <c r="H85" s="28">
        <v>0</v>
      </c>
      <c r="I85" s="28">
        <v>0</v>
      </c>
      <c r="J85" s="28">
        <v>19</v>
      </c>
      <c r="K85" s="28">
        <v>5</v>
      </c>
      <c r="L85" s="28">
        <v>8</v>
      </c>
      <c r="M85" s="28">
        <v>0</v>
      </c>
      <c r="N85" s="28">
        <v>0</v>
      </c>
      <c r="O85" s="28">
        <v>20</v>
      </c>
      <c r="P85" s="516">
        <v>491</v>
      </c>
      <c r="Q85" s="517">
        <v>1.0580000000000001</v>
      </c>
      <c r="R85" s="6">
        <v>1</v>
      </c>
      <c r="S85" s="369">
        <v>4.1200000000000001E-2</v>
      </c>
      <c r="T85" s="365"/>
      <c r="U85" s="28">
        <v>317018.88724000001</v>
      </c>
      <c r="V85" s="28">
        <v>428183.24347999995</v>
      </c>
      <c r="W85" s="28">
        <v>2201697.0160600003</v>
      </c>
      <c r="X85" s="28">
        <v>688744.92312000005</v>
      </c>
      <c r="Y85" s="28">
        <v>89414.182680000013</v>
      </c>
      <c r="Z85" s="28">
        <v>273713.8299999999</v>
      </c>
      <c r="AA85" s="28">
        <v>199569.06938000003</v>
      </c>
      <c r="AB85" s="28">
        <v>91397.869200000001</v>
      </c>
      <c r="AC85" s="28">
        <v>608311.19256000011</v>
      </c>
      <c r="AD85" s="28">
        <v>885592.56000000017</v>
      </c>
      <c r="AE85" s="28">
        <v>175778.69999999998</v>
      </c>
      <c r="AF85" s="28">
        <v>5959421.4737200011</v>
      </c>
      <c r="AG85" s="147"/>
      <c r="AH85" s="147"/>
      <c r="AI85" s="405">
        <v>20</v>
      </c>
      <c r="AJ85" s="460">
        <v>485.5</v>
      </c>
      <c r="AK85" s="417">
        <v>4.1200000000000001E-2</v>
      </c>
      <c r="AL85" s="405">
        <v>1</v>
      </c>
      <c r="AM85" s="147"/>
    </row>
    <row r="86" spans="1:39">
      <c r="A86" s="71">
        <v>79</v>
      </c>
      <c r="B86" s="71" t="s">
        <v>1198</v>
      </c>
      <c r="C86" s="28">
        <v>75</v>
      </c>
      <c r="D86" s="28">
        <v>0</v>
      </c>
      <c r="E86" s="28">
        <v>261</v>
      </c>
      <c r="F86" s="28">
        <v>1609</v>
      </c>
      <c r="G86" s="28">
        <v>1014</v>
      </c>
      <c r="H86" s="28">
        <v>914</v>
      </c>
      <c r="I86" s="28">
        <v>1</v>
      </c>
      <c r="J86" s="28">
        <v>149</v>
      </c>
      <c r="K86" s="28">
        <v>38</v>
      </c>
      <c r="L86" s="28">
        <v>145</v>
      </c>
      <c r="M86" s="28">
        <v>54</v>
      </c>
      <c r="N86" s="28">
        <v>53</v>
      </c>
      <c r="O86" s="28">
        <v>1554</v>
      </c>
      <c r="P86" s="516">
        <v>3837</v>
      </c>
      <c r="Q86" s="517">
        <v>1</v>
      </c>
      <c r="R86" s="6">
        <v>7</v>
      </c>
      <c r="S86" s="369">
        <v>0.41389999999999999</v>
      </c>
      <c r="T86" s="365"/>
      <c r="U86" s="28">
        <v>2474874.8399999994</v>
      </c>
      <c r="V86" s="28">
        <v>3739507.45</v>
      </c>
      <c r="W86" s="28">
        <v>22344331.670000002</v>
      </c>
      <c r="X86" s="28">
        <v>4510545.95</v>
      </c>
      <c r="Y86" s="28">
        <v>946168.5</v>
      </c>
      <c r="Z86" s="28">
        <v>2501716.4899999998</v>
      </c>
      <c r="AA86" s="28">
        <v>1800010.68</v>
      </c>
      <c r="AB86" s="28">
        <v>2312882</v>
      </c>
      <c r="AC86" s="28">
        <v>4698491.919999999</v>
      </c>
      <c r="AD86" s="28">
        <v>7918959.2699999996</v>
      </c>
      <c r="AE86" s="28">
        <v>1335918.1199999999</v>
      </c>
      <c r="AF86" s="28">
        <v>54583406.889999993</v>
      </c>
      <c r="AG86" s="147"/>
      <c r="AH86" s="147"/>
      <c r="AI86" s="405">
        <v>1554</v>
      </c>
      <c r="AJ86" s="460">
        <v>3754.5</v>
      </c>
      <c r="AK86" s="417">
        <v>0.41389999999999999</v>
      </c>
      <c r="AL86" s="405">
        <v>7</v>
      </c>
      <c r="AM86" s="147"/>
    </row>
    <row r="87" spans="1:39">
      <c r="A87" s="71">
        <v>80</v>
      </c>
      <c r="B87" s="71" t="s">
        <v>1199</v>
      </c>
      <c r="C87" s="28">
        <v>0</v>
      </c>
      <c r="D87" s="28">
        <v>0</v>
      </c>
      <c r="E87" s="28">
        <v>0</v>
      </c>
      <c r="F87" s="28">
        <v>0</v>
      </c>
      <c r="G87" s="28">
        <v>0</v>
      </c>
      <c r="H87" s="28">
        <v>0</v>
      </c>
      <c r="I87" s="28">
        <v>0</v>
      </c>
      <c r="J87" s="28">
        <v>0</v>
      </c>
      <c r="K87" s="28">
        <v>0</v>
      </c>
      <c r="L87" s="28">
        <v>0</v>
      </c>
      <c r="M87" s="28">
        <v>0</v>
      </c>
      <c r="N87" s="28">
        <v>0</v>
      </c>
      <c r="O87" s="28">
        <v>0</v>
      </c>
      <c r="P87" s="516">
        <v>0</v>
      </c>
      <c r="Q87" s="517">
        <v>1</v>
      </c>
      <c r="R87" s="6">
        <v>0</v>
      </c>
      <c r="S87" s="369">
        <v>0</v>
      </c>
      <c r="T87" s="94"/>
      <c r="U87" s="28">
        <v>0</v>
      </c>
      <c r="V87" s="28">
        <v>0</v>
      </c>
      <c r="W87" s="28">
        <v>0</v>
      </c>
      <c r="X87" s="28">
        <v>0</v>
      </c>
      <c r="Y87" s="28">
        <v>0</v>
      </c>
      <c r="Z87" s="28">
        <v>0</v>
      </c>
      <c r="AA87" s="28">
        <v>0</v>
      </c>
      <c r="AB87" s="28">
        <v>0</v>
      </c>
      <c r="AC87" s="28">
        <v>0</v>
      </c>
      <c r="AD87" s="28">
        <v>0</v>
      </c>
      <c r="AE87" s="28">
        <v>0</v>
      </c>
      <c r="AF87" s="28">
        <v>0</v>
      </c>
      <c r="AG87" s="147"/>
      <c r="AH87" s="147"/>
      <c r="AI87" s="405">
        <v>0</v>
      </c>
      <c r="AJ87" s="460">
        <v>0</v>
      </c>
      <c r="AK87" s="417">
        <v>0</v>
      </c>
      <c r="AL87" s="405">
        <v>0</v>
      </c>
      <c r="AM87" s="147"/>
    </row>
    <row r="88" spans="1:39">
      <c r="A88" s="71">
        <v>81</v>
      </c>
      <c r="B88" s="71" t="s">
        <v>1200</v>
      </c>
      <c r="C88" s="28">
        <v>0</v>
      </c>
      <c r="D88" s="28">
        <v>0</v>
      </c>
      <c r="E88" s="28">
        <v>0</v>
      </c>
      <c r="F88" s="28">
        <v>0</v>
      </c>
      <c r="G88" s="28">
        <v>0</v>
      </c>
      <c r="H88" s="28">
        <v>0</v>
      </c>
      <c r="I88" s="28">
        <v>0</v>
      </c>
      <c r="J88" s="28">
        <v>0</v>
      </c>
      <c r="K88" s="28">
        <v>0</v>
      </c>
      <c r="L88" s="28">
        <v>0</v>
      </c>
      <c r="M88" s="28">
        <v>0</v>
      </c>
      <c r="N88" s="28">
        <v>0</v>
      </c>
      <c r="O88" s="28">
        <v>0</v>
      </c>
      <c r="P88" s="516">
        <v>0</v>
      </c>
      <c r="Q88" s="517">
        <v>1</v>
      </c>
      <c r="R88" s="6">
        <v>0</v>
      </c>
      <c r="S88" s="369">
        <v>0</v>
      </c>
      <c r="T88" s="94"/>
      <c r="U88" s="28">
        <v>0</v>
      </c>
      <c r="V88" s="28">
        <v>0</v>
      </c>
      <c r="W88" s="28">
        <v>0</v>
      </c>
      <c r="X88" s="28">
        <v>0</v>
      </c>
      <c r="Y88" s="28">
        <v>0</v>
      </c>
      <c r="Z88" s="28">
        <v>0</v>
      </c>
      <c r="AA88" s="28">
        <v>0</v>
      </c>
      <c r="AB88" s="28">
        <v>0</v>
      </c>
      <c r="AC88" s="28">
        <v>0</v>
      </c>
      <c r="AD88" s="28">
        <v>0</v>
      </c>
      <c r="AE88" s="28">
        <v>0</v>
      </c>
      <c r="AF88" s="28">
        <v>0</v>
      </c>
      <c r="AG88" s="147"/>
      <c r="AH88" s="147"/>
      <c r="AI88" s="405">
        <v>0</v>
      </c>
      <c r="AJ88" s="460">
        <v>0</v>
      </c>
      <c r="AK88" s="417">
        <v>0</v>
      </c>
      <c r="AL88" s="405">
        <v>0</v>
      </c>
      <c r="AM88" s="147"/>
    </row>
    <row r="89" spans="1:39">
      <c r="A89" s="71">
        <v>82</v>
      </c>
      <c r="B89" s="71" t="s">
        <v>1201</v>
      </c>
      <c r="C89" s="28">
        <v>19</v>
      </c>
      <c r="D89" s="28">
        <v>190</v>
      </c>
      <c r="E89" s="28">
        <v>0</v>
      </c>
      <c r="F89" s="28">
        <v>1032</v>
      </c>
      <c r="G89" s="28">
        <v>633</v>
      </c>
      <c r="H89" s="28">
        <v>885</v>
      </c>
      <c r="I89" s="28">
        <v>3</v>
      </c>
      <c r="J89" s="28">
        <v>104</v>
      </c>
      <c r="K89" s="28">
        <v>26</v>
      </c>
      <c r="L89" s="28">
        <v>12</v>
      </c>
      <c r="M89" s="28">
        <v>2</v>
      </c>
      <c r="N89" s="28">
        <v>3</v>
      </c>
      <c r="O89" s="28">
        <v>263</v>
      </c>
      <c r="P89" s="516">
        <v>2658</v>
      </c>
      <c r="Q89" s="517">
        <v>1.04</v>
      </c>
      <c r="R89" s="6">
        <v>2</v>
      </c>
      <c r="S89" s="369">
        <v>9.9599999999999994E-2</v>
      </c>
      <c r="T89" s="365"/>
      <c r="U89" s="28">
        <v>1693011.7568000003</v>
      </c>
      <c r="V89" s="28">
        <v>2318739.3631999991</v>
      </c>
      <c r="W89" s="28">
        <v>12863604.103999998</v>
      </c>
      <c r="X89" s="28">
        <v>3142226.5263999999</v>
      </c>
      <c r="Y89" s="28">
        <v>511923.84879999998</v>
      </c>
      <c r="Z89" s="28">
        <v>1770031.2899999998</v>
      </c>
      <c r="AA89" s="28">
        <v>1164337.9280000003</v>
      </c>
      <c r="AB89" s="28">
        <v>1075461.0984</v>
      </c>
      <c r="AC89" s="28">
        <v>3340533.3831999996</v>
      </c>
      <c r="AD89" s="28">
        <v>4858794.92</v>
      </c>
      <c r="AE89" s="28">
        <v>914049.24</v>
      </c>
      <c r="AF89" s="28">
        <v>33652713.458800003</v>
      </c>
      <c r="AG89" s="147"/>
      <c r="AH89" s="147"/>
      <c r="AI89" s="405">
        <v>263</v>
      </c>
      <c r="AJ89" s="460">
        <v>2641</v>
      </c>
      <c r="AK89" s="417">
        <v>9.9599999999999994E-2</v>
      </c>
      <c r="AL89" s="405">
        <v>2</v>
      </c>
      <c r="AM89" s="147"/>
    </row>
    <row r="90" spans="1:39">
      <c r="A90" s="71">
        <v>83</v>
      </c>
      <c r="B90" s="71" t="s">
        <v>1202</v>
      </c>
      <c r="C90" s="28">
        <v>17</v>
      </c>
      <c r="D90" s="28">
        <v>0</v>
      </c>
      <c r="E90" s="28">
        <v>130</v>
      </c>
      <c r="F90" s="28">
        <v>735</v>
      </c>
      <c r="G90" s="28">
        <v>504</v>
      </c>
      <c r="H90" s="28">
        <v>574</v>
      </c>
      <c r="I90" s="28">
        <v>11</v>
      </c>
      <c r="J90" s="28">
        <v>77</v>
      </c>
      <c r="K90" s="28">
        <v>19</v>
      </c>
      <c r="L90" s="28">
        <v>42</v>
      </c>
      <c r="M90" s="28">
        <v>8</v>
      </c>
      <c r="N90" s="28">
        <v>13</v>
      </c>
      <c r="O90" s="28">
        <v>626</v>
      </c>
      <c r="P90" s="516">
        <v>1963</v>
      </c>
      <c r="Q90" s="517">
        <v>1</v>
      </c>
      <c r="R90" s="6">
        <v>6</v>
      </c>
      <c r="S90" s="369">
        <v>0.31769999999999998</v>
      </c>
      <c r="T90" s="365"/>
      <c r="U90" s="28">
        <v>1242046.7999999998</v>
      </c>
      <c r="V90" s="28">
        <v>1818681.2300000002</v>
      </c>
      <c r="W90" s="28">
        <v>10724987.260000002</v>
      </c>
      <c r="X90" s="28">
        <v>2260547.6300000004</v>
      </c>
      <c r="Y90" s="28">
        <v>444049.06</v>
      </c>
      <c r="Z90" s="28">
        <v>1309089.8400000001</v>
      </c>
      <c r="AA90" s="28">
        <v>891127.75999999989</v>
      </c>
      <c r="AB90" s="28">
        <v>1066760.3999999999</v>
      </c>
      <c r="AC90" s="28">
        <v>2397905.98</v>
      </c>
      <c r="AD90" s="28">
        <v>3890337.28</v>
      </c>
      <c r="AE90" s="28">
        <v>667959.05999999994</v>
      </c>
      <c r="AF90" s="28">
        <v>26713492.300000004</v>
      </c>
      <c r="AG90" s="147"/>
      <c r="AH90" s="147"/>
      <c r="AI90" s="405">
        <v>626</v>
      </c>
      <c r="AJ90" s="460">
        <v>1970.5</v>
      </c>
      <c r="AK90" s="417">
        <v>0.31769999999999998</v>
      </c>
      <c r="AL90" s="405">
        <v>6</v>
      </c>
      <c r="AM90" s="147"/>
    </row>
    <row r="91" spans="1:39">
      <c r="A91" s="71">
        <v>84</v>
      </c>
      <c r="B91" s="71" t="s">
        <v>1203</v>
      </c>
      <c r="C91" s="28">
        <v>0</v>
      </c>
      <c r="D91" s="28">
        <v>0</v>
      </c>
      <c r="E91" s="28">
        <v>0</v>
      </c>
      <c r="F91" s="28">
        <v>0</v>
      </c>
      <c r="G91" s="28">
        <v>0</v>
      </c>
      <c r="H91" s="28">
        <v>0</v>
      </c>
      <c r="I91" s="28">
        <v>14</v>
      </c>
      <c r="J91" s="28">
        <v>1</v>
      </c>
      <c r="K91" s="28">
        <v>0</v>
      </c>
      <c r="L91" s="28">
        <v>0</v>
      </c>
      <c r="M91" s="28">
        <v>0</v>
      </c>
      <c r="N91" s="28">
        <v>0</v>
      </c>
      <c r="O91" s="28">
        <v>0</v>
      </c>
      <c r="P91" s="516">
        <v>14</v>
      </c>
      <c r="Q91" s="517">
        <v>1</v>
      </c>
      <c r="R91" s="6">
        <v>0</v>
      </c>
      <c r="S91" s="369">
        <v>0</v>
      </c>
      <c r="T91" s="94"/>
      <c r="U91" s="28">
        <v>9377.5099999999984</v>
      </c>
      <c r="V91" s="28">
        <v>11344.199999999999</v>
      </c>
      <c r="W91" s="28">
        <v>124652.40000000001</v>
      </c>
      <c r="X91" s="28">
        <v>17534.8</v>
      </c>
      <c r="Y91" s="28">
        <v>4070.02</v>
      </c>
      <c r="Z91" s="28">
        <v>21510.420000000002</v>
      </c>
      <c r="AA91" s="28">
        <v>6315.68</v>
      </c>
      <c r="AB91" s="28">
        <v>8507.24</v>
      </c>
      <c r="AC91" s="28">
        <v>31875.33</v>
      </c>
      <c r="AD91" s="28">
        <v>32190.639999999999</v>
      </c>
      <c r="AE91" s="28">
        <v>0</v>
      </c>
      <c r="AF91" s="28">
        <v>267378.24</v>
      </c>
      <c r="AG91" s="147"/>
      <c r="AH91" s="147"/>
      <c r="AI91" s="405">
        <v>0</v>
      </c>
      <c r="AJ91" s="460">
        <v>0</v>
      </c>
      <c r="AK91" s="417">
        <v>0</v>
      </c>
      <c r="AL91" s="405">
        <v>0</v>
      </c>
      <c r="AM91" s="147"/>
    </row>
    <row r="92" spans="1:39">
      <c r="A92" s="71">
        <v>85</v>
      </c>
      <c r="B92" s="71" t="s">
        <v>1204</v>
      </c>
      <c r="C92" s="28">
        <v>6</v>
      </c>
      <c r="D92" s="28">
        <v>0</v>
      </c>
      <c r="E92" s="28">
        <v>26</v>
      </c>
      <c r="F92" s="28">
        <v>169</v>
      </c>
      <c r="G92" s="28">
        <v>0</v>
      </c>
      <c r="H92" s="28">
        <v>0</v>
      </c>
      <c r="I92" s="28">
        <v>0</v>
      </c>
      <c r="J92" s="28">
        <v>8</v>
      </c>
      <c r="K92" s="28">
        <v>2</v>
      </c>
      <c r="L92" s="28">
        <v>12</v>
      </c>
      <c r="M92" s="28">
        <v>0</v>
      </c>
      <c r="N92" s="28">
        <v>0</v>
      </c>
      <c r="O92" s="28">
        <v>88</v>
      </c>
      <c r="P92" s="516">
        <v>198</v>
      </c>
      <c r="Q92" s="517">
        <v>1</v>
      </c>
      <c r="R92" s="6">
        <v>9</v>
      </c>
      <c r="S92" s="369">
        <v>0.5161</v>
      </c>
      <c r="T92" s="365"/>
      <c r="U92" s="28">
        <v>130324.21</v>
      </c>
      <c r="V92" s="28">
        <v>200589.25999999995</v>
      </c>
      <c r="W92" s="28">
        <v>1202887.6400000001</v>
      </c>
      <c r="X92" s="28">
        <v>267446.48000000004</v>
      </c>
      <c r="Y92" s="28">
        <v>51632.380000000005</v>
      </c>
      <c r="Z92" s="28">
        <v>114330.77</v>
      </c>
      <c r="AA92" s="28">
        <v>90901.150000000009</v>
      </c>
      <c r="AB92" s="28">
        <v>108394.04000000001</v>
      </c>
      <c r="AC92" s="28">
        <v>235952.21000000002</v>
      </c>
      <c r="AD92" s="28">
        <v>420898</v>
      </c>
      <c r="AE92" s="28">
        <v>70311.48</v>
      </c>
      <c r="AF92" s="28">
        <v>2893667.62</v>
      </c>
      <c r="AG92" s="147"/>
      <c r="AH92" s="147"/>
      <c r="AI92" s="405">
        <v>88</v>
      </c>
      <c r="AJ92" s="460">
        <v>170.5</v>
      </c>
      <c r="AK92" s="417">
        <v>0.5161</v>
      </c>
      <c r="AL92" s="405">
        <v>9</v>
      </c>
      <c r="AM92" s="147"/>
    </row>
    <row r="93" spans="1:39">
      <c r="A93" s="71">
        <v>86</v>
      </c>
      <c r="B93" s="71" t="s">
        <v>1205</v>
      </c>
      <c r="C93" s="28">
        <v>48</v>
      </c>
      <c r="D93" s="28">
        <v>0</v>
      </c>
      <c r="E93" s="28">
        <v>99</v>
      </c>
      <c r="F93" s="28">
        <v>615</v>
      </c>
      <c r="G93" s="28">
        <v>367</v>
      </c>
      <c r="H93" s="28">
        <v>397</v>
      </c>
      <c r="I93" s="28">
        <v>78</v>
      </c>
      <c r="J93" s="28">
        <v>62</v>
      </c>
      <c r="K93" s="28">
        <v>15</v>
      </c>
      <c r="L93" s="28">
        <v>15</v>
      </c>
      <c r="M93" s="28">
        <v>11</v>
      </c>
      <c r="N93" s="28">
        <v>9</v>
      </c>
      <c r="O93" s="28">
        <v>631</v>
      </c>
      <c r="P93" s="516">
        <v>1580</v>
      </c>
      <c r="Q93" s="517">
        <v>1</v>
      </c>
      <c r="R93" s="6">
        <v>8</v>
      </c>
      <c r="S93" s="369">
        <v>0.42320000000000002</v>
      </c>
      <c r="T93" s="365"/>
      <c r="U93" s="28">
        <v>1013952.3899999999</v>
      </c>
      <c r="V93" s="28">
        <v>1540732.9200000002</v>
      </c>
      <c r="W93" s="28">
        <v>9644535.3499999996</v>
      </c>
      <c r="X93" s="28">
        <v>1825787.5299999998</v>
      </c>
      <c r="Y93" s="28">
        <v>400848.80999999994</v>
      </c>
      <c r="Z93" s="28">
        <v>1103469.27</v>
      </c>
      <c r="AA93" s="28">
        <v>746725.99</v>
      </c>
      <c r="AB93" s="28">
        <v>1019046.1699999999</v>
      </c>
      <c r="AC93" s="28">
        <v>1987563.3699999999</v>
      </c>
      <c r="AD93" s="28">
        <v>3287748.83</v>
      </c>
      <c r="AE93" s="28">
        <v>527336.1</v>
      </c>
      <c r="AF93" s="28">
        <v>23097746.730000004</v>
      </c>
      <c r="AG93" s="147"/>
      <c r="AH93" s="147"/>
      <c r="AI93" s="405">
        <v>631</v>
      </c>
      <c r="AJ93" s="460">
        <v>1491</v>
      </c>
      <c r="AK93" s="417">
        <v>0.42320000000000002</v>
      </c>
      <c r="AL93" s="405">
        <v>8</v>
      </c>
      <c r="AM93" s="147"/>
    </row>
    <row r="94" spans="1:39">
      <c r="A94" s="71">
        <v>87</v>
      </c>
      <c r="B94" s="71" t="s">
        <v>1206</v>
      </c>
      <c r="C94" s="28">
        <v>57</v>
      </c>
      <c r="D94" s="28">
        <v>0</v>
      </c>
      <c r="E94" s="28">
        <v>156</v>
      </c>
      <c r="F94" s="28">
        <v>917</v>
      </c>
      <c r="G94" s="28">
        <v>613</v>
      </c>
      <c r="H94" s="28">
        <v>751</v>
      </c>
      <c r="I94" s="28">
        <v>56</v>
      </c>
      <c r="J94" s="28">
        <v>99</v>
      </c>
      <c r="K94" s="28">
        <v>24</v>
      </c>
      <c r="L94" s="28">
        <v>39</v>
      </c>
      <c r="M94" s="28">
        <v>8</v>
      </c>
      <c r="N94" s="28">
        <v>4</v>
      </c>
      <c r="O94" s="28">
        <v>780</v>
      </c>
      <c r="P94" s="516">
        <v>2522</v>
      </c>
      <c r="Q94" s="517">
        <v>1</v>
      </c>
      <c r="R94" s="6">
        <v>6</v>
      </c>
      <c r="S94" s="369">
        <v>0.31269999999999998</v>
      </c>
      <c r="T94" s="365"/>
      <c r="U94" s="28">
        <v>1589204.8399999996</v>
      </c>
      <c r="V94" s="28">
        <v>2322137.6800000002</v>
      </c>
      <c r="W94" s="28">
        <v>13872229.279999999</v>
      </c>
      <c r="X94" s="28">
        <v>2886945.32</v>
      </c>
      <c r="Y94" s="28">
        <v>569041.12</v>
      </c>
      <c r="Z94" s="28">
        <v>1721846.1899999997</v>
      </c>
      <c r="AA94" s="28">
        <v>1141975.42</v>
      </c>
      <c r="AB94" s="28">
        <v>1373349</v>
      </c>
      <c r="AC94" s="28">
        <v>3110031.3099999996</v>
      </c>
      <c r="AD94" s="28">
        <v>4985662.9000000004</v>
      </c>
      <c r="AE94" s="28">
        <v>843737.76</v>
      </c>
      <c r="AF94" s="28">
        <v>34416160.82</v>
      </c>
      <c r="AG94" s="147"/>
      <c r="AH94" s="147"/>
      <c r="AI94" s="405">
        <v>780</v>
      </c>
      <c r="AJ94" s="460">
        <v>2494.5</v>
      </c>
      <c r="AK94" s="417">
        <v>0.31269999999999998</v>
      </c>
      <c r="AL94" s="405">
        <v>6</v>
      </c>
      <c r="AM94" s="147"/>
    </row>
    <row r="95" spans="1:39">
      <c r="A95" s="71">
        <v>88</v>
      </c>
      <c r="B95" s="71" t="s">
        <v>1207</v>
      </c>
      <c r="C95" s="28">
        <v>50</v>
      </c>
      <c r="D95" s="28">
        <v>0</v>
      </c>
      <c r="E95" s="28">
        <v>213</v>
      </c>
      <c r="F95" s="28">
        <v>1215</v>
      </c>
      <c r="G95" s="28">
        <v>829</v>
      </c>
      <c r="H95" s="28">
        <v>1121</v>
      </c>
      <c r="I95" s="28">
        <v>1</v>
      </c>
      <c r="J95" s="28">
        <v>133</v>
      </c>
      <c r="K95" s="28">
        <v>34</v>
      </c>
      <c r="L95" s="28">
        <v>78</v>
      </c>
      <c r="M95" s="28">
        <v>12</v>
      </c>
      <c r="N95" s="28">
        <v>19</v>
      </c>
      <c r="O95" s="28">
        <v>793</v>
      </c>
      <c r="P95" s="516">
        <v>3404</v>
      </c>
      <c r="Q95" s="517">
        <v>1</v>
      </c>
      <c r="R95" s="6">
        <v>4</v>
      </c>
      <c r="S95" s="369">
        <v>0.23530000000000001</v>
      </c>
      <c r="T95" s="365"/>
      <c r="U95" s="28">
        <v>2127682.21</v>
      </c>
      <c r="V95" s="28">
        <v>3018291.73</v>
      </c>
      <c r="W95" s="28">
        <v>17343993.919999998</v>
      </c>
      <c r="X95" s="28">
        <v>3886619.2900000005</v>
      </c>
      <c r="Y95" s="28">
        <v>703869.46</v>
      </c>
      <c r="Z95" s="28">
        <v>2283344.75</v>
      </c>
      <c r="AA95" s="28">
        <v>1498258.55</v>
      </c>
      <c r="AB95" s="28">
        <v>1614180.24</v>
      </c>
      <c r="AC95" s="28">
        <v>4141645.29</v>
      </c>
      <c r="AD95" s="28">
        <v>6495713.9200000009</v>
      </c>
      <c r="AE95" s="28">
        <v>1195295.1599999999</v>
      </c>
      <c r="AF95" s="28">
        <v>44308894.519999996</v>
      </c>
      <c r="AG95" s="147"/>
      <c r="AH95" s="147"/>
      <c r="AI95" s="405">
        <v>793</v>
      </c>
      <c r="AJ95" s="460">
        <v>3370.5</v>
      </c>
      <c r="AK95" s="417">
        <v>0.23530000000000001</v>
      </c>
      <c r="AL95" s="405">
        <v>4</v>
      </c>
      <c r="AM95" s="147"/>
    </row>
    <row r="96" spans="1:39">
      <c r="A96" s="71">
        <v>89</v>
      </c>
      <c r="B96" s="71" t="s">
        <v>1208</v>
      </c>
      <c r="C96" s="28">
        <v>12</v>
      </c>
      <c r="D96" s="28">
        <v>0</v>
      </c>
      <c r="E96" s="28">
        <v>47</v>
      </c>
      <c r="F96" s="28">
        <v>233</v>
      </c>
      <c r="G96" s="28">
        <v>148</v>
      </c>
      <c r="H96" s="28">
        <v>0</v>
      </c>
      <c r="I96" s="28">
        <v>0</v>
      </c>
      <c r="J96" s="28">
        <v>17</v>
      </c>
      <c r="K96" s="28">
        <v>4</v>
      </c>
      <c r="L96" s="28">
        <v>61</v>
      </c>
      <c r="M96" s="28">
        <v>15</v>
      </c>
      <c r="N96" s="28">
        <v>0</v>
      </c>
      <c r="O96" s="28">
        <v>225</v>
      </c>
      <c r="P96" s="516">
        <v>434</v>
      </c>
      <c r="Q96" s="517">
        <v>1</v>
      </c>
      <c r="R96" s="6">
        <v>10</v>
      </c>
      <c r="S96" s="369">
        <v>0.54090000000000005</v>
      </c>
      <c r="T96" s="365"/>
      <c r="U96" s="28">
        <v>292467.25999999995</v>
      </c>
      <c r="V96" s="28">
        <v>469704.32999999996</v>
      </c>
      <c r="W96" s="28">
        <v>2831113.1400000006</v>
      </c>
      <c r="X96" s="28">
        <v>551430.57000000007</v>
      </c>
      <c r="Y96" s="28">
        <v>127107.44</v>
      </c>
      <c r="Z96" s="28">
        <v>258874.83999999997</v>
      </c>
      <c r="AA96" s="28">
        <v>215861.92</v>
      </c>
      <c r="AB96" s="28">
        <v>296140.69</v>
      </c>
      <c r="AC96" s="28">
        <v>545064.21</v>
      </c>
      <c r="AD96" s="28">
        <v>986556.37</v>
      </c>
      <c r="AE96" s="28">
        <v>140622.96</v>
      </c>
      <c r="AF96" s="28">
        <v>6714943.7300000014</v>
      </c>
      <c r="AG96" s="147"/>
      <c r="AH96" s="147"/>
      <c r="AI96" s="405">
        <v>225</v>
      </c>
      <c r="AJ96" s="460">
        <v>416</v>
      </c>
      <c r="AK96" s="417">
        <v>0.54090000000000005</v>
      </c>
      <c r="AL96" s="405">
        <v>10</v>
      </c>
      <c r="AM96" s="147"/>
    </row>
    <row r="97" spans="1:39">
      <c r="A97" s="71">
        <v>90</v>
      </c>
      <c r="B97" s="71" t="s">
        <v>1209</v>
      </c>
      <c r="C97" s="28">
        <v>0</v>
      </c>
      <c r="D97" s="28">
        <v>0</v>
      </c>
      <c r="E97" s="28">
        <v>0</v>
      </c>
      <c r="F97" s="28">
        <v>0</v>
      </c>
      <c r="G97" s="28">
        <v>0</v>
      </c>
      <c r="H97" s="28">
        <v>0</v>
      </c>
      <c r="I97" s="28">
        <v>0</v>
      </c>
      <c r="J97" s="28">
        <v>0</v>
      </c>
      <c r="K97" s="28">
        <v>0</v>
      </c>
      <c r="L97" s="28">
        <v>0</v>
      </c>
      <c r="M97" s="28">
        <v>0</v>
      </c>
      <c r="N97" s="28">
        <v>0</v>
      </c>
      <c r="O97" s="28">
        <v>0</v>
      </c>
      <c r="P97" s="516">
        <v>0</v>
      </c>
      <c r="Q97" s="517">
        <v>1</v>
      </c>
      <c r="R97" s="6">
        <v>0</v>
      </c>
      <c r="S97" s="369">
        <v>0</v>
      </c>
      <c r="T97" s="94"/>
      <c r="U97" s="28">
        <v>0</v>
      </c>
      <c r="V97" s="28">
        <v>0</v>
      </c>
      <c r="W97" s="28">
        <v>0</v>
      </c>
      <c r="X97" s="28">
        <v>0</v>
      </c>
      <c r="Y97" s="28">
        <v>0</v>
      </c>
      <c r="Z97" s="28">
        <v>0</v>
      </c>
      <c r="AA97" s="28">
        <v>0</v>
      </c>
      <c r="AB97" s="28">
        <v>0</v>
      </c>
      <c r="AC97" s="28">
        <v>0</v>
      </c>
      <c r="AD97" s="28">
        <v>0</v>
      </c>
      <c r="AE97" s="28">
        <v>0</v>
      </c>
      <c r="AF97" s="28">
        <v>0</v>
      </c>
      <c r="AG97" s="147"/>
      <c r="AH97" s="147"/>
      <c r="AI97" s="405">
        <v>0</v>
      </c>
      <c r="AJ97" s="460">
        <v>0</v>
      </c>
      <c r="AK97" s="417">
        <v>0</v>
      </c>
      <c r="AL97" s="405">
        <v>0</v>
      </c>
      <c r="AM97" s="147"/>
    </row>
    <row r="98" spans="1:39">
      <c r="A98" s="71">
        <v>91</v>
      </c>
      <c r="B98" s="71" t="s">
        <v>1210</v>
      </c>
      <c r="C98" s="28">
        <v>18</v>
      </c>
      <c r="D98" s="28">
        <v>0</v>
      </c>
      <c r="E98" s="28">
        <v>13</v>
      </c>
      <c r="F98" s="28">
        <v>90</v>
      </c>
      <c r="G98" s="28">
        <v>48</v>
      </c>
      <c r="H98" s="28">
        <v>44</v>
      </c>
      <c r="I98" s="28">
        <v>0</v>
      </c>
      <c r="J98" s="28">
        <v>8</v>
      </c>
      <c r="K98" s="28">
        <v>2</v>
      </c>
      <c r="L98" s="28">
        <v>1</v>
      </c>
      <c r="M98" s="28">
        <v>0</v>
      </c>
      <c r="N98" s="28">
        <v>0</v>
      </c>
      <c r="O98" s="28">
        <v>56</v>
      </c>
      <c r="P98" s="516">
        <v>204</v>
      </c>
      <c r="Q98" s="517">
        <v>1</v>
      </c>
      <c r="R98" s="6">
        <v>9</v>
      </c>
      <c r="S98" s="369">
        <v>0.48699999999999999</v>
      </c>
      <c r="T98" s="365"/>
      <c r="U98" s="28">
        <v>128891.78</v>
      </c>
      <c r="V98" s="28">
        <v>189560.86</v>
      </c>
      <c r="W98" s="28">
        <v>1102649.79</v>
      </c>
      <c r="X98" s="28">
        <v>241409.12000000002</v>
      </c>
      <c r="Y98" s="28">
        <v>46313.46</v>
      </c>
      <c r="Z98" s="28">
        <v>129228.48999999999</v>
      </c>
      <c r="AA98" s="28">
        <v>91445.540000000008</v>
      </c>
      <c r="AB98" s="28">
        <v>105730.29999999999</v>
      </c>
      <c r="AC98" s="28">
        <v>244966.02000000002</v>
      </c>
      <c r="AD98" s="28">
        <v>405644.92999999993</v>
      </c>
      <c r="AE98" s="28">
        <v>70311.48</v>
      </c>
      <c r="AF98" s="28">
        <v>2756151.77</v>
      </c>
      <c r="AG98" s="147"/>
      <c r="AH98" s="147"/>
      <c r="AI98" s="405">
        <v>56</v>
      </c>
      <c r="AJ98" s="460">
        <v>115</v>
      </c>
      <c r="AK98" s="417">
        <v>0.48699999999999999</v>
      </c>
      <c r="AL98" s="405">
        <v>9</v>
      </c>
      <c r="AM98" s="147"/>
    </row>
    <row r="99" spans="1:39">
      <c r="A99" s="71">
        <v>92</v>
      </c>
      <c r="B99" s="71" t="s">
        <v>1211</v>
      </c>
      <c r="C99" s="28">
        <v>0</v>
      </c>
      <c r="D99" s="28">
        <v>0</v>
      </c>
      <c r="E99" s="28">
        <v>0</v>
      </c>
      <c r="F99" s="28">
        <v>0</v>
      </c>
      <c r="G99" s="28">
        <v>0</v>
      </c>
      <c r="H99" s="28">
        <v>0</v>
      </c>
      <c r="I99" s="28">
        <v>0</v>
      </c>
      <c r="J99" s="28">
        <v>0</v>
      </c>
      <c r="K99" s="28">
        <v>0</v>
      </c>
      <c r="L99" s="28">
        <v>0</v>
      </c>
      <c r="M99" s="28">
        <v>0</v>
      </c>
      <c r="N99" s="28">
        <v>0</v>
      </c>
      <c r="O99" s="28">
        <v>0</v>
      </c>
      <c r="P99" s="516">
        <v>0</v>
      </c>
      <c r="Q99" s="517">
        <v>1.0369999999999999</v>
      </c>
      <c r="R99" s="6">
        <v>0</v>
      </c>
      <c r="S99" s="369">
        <v>0</v>
      </c>
      <c r="T99" s="94"/>
      <c r="U99" s="28">
        <v>0</v>
      </c>
      <c r="V99" s="28">
        <v>0</v>
      </c>
      <c r="W99" s="28">
        <v>0</v>
      </c>
      <c r="X99" s="28">
        <v>0</v>
      </c>
      <c r="Y99" s="28">
        <v>0</v>
      </c>
      <c r="Z99" s="28">
        <v>0</v>
      </c>
      <c r="AA99" s="28">
        <v>0</v>
      </c>
      <c r="AB99" s="28">
        <v>0</v>
      </c>
      <c r="AC99" s="28">
        <v>0</v>
      </c>
      <c r="AD99" s="28">
        <v>0</v>
      </c>
      <c r="AE99" s="28">
        <v>0</v>
      </c>
      <c r="AF99" s="28">
        <v>0</v>
      </c>
      <c r="AG99" s="147"/>
      <c r="AH99" s="147"/>
      <c r="AI99" s="405">
        <v>0</v>
      </c>
      <c r="AJ99" s="460">
        <v>0</v>
      </c>
      <c r="AK99" s="417">
        <v>0</v>
      </c>
      <c r="AL99" s="405">
        <v>0</v>
      </c>
      <c r="AM99" s="147"/>
    </row>
    <row r="100" spans="1:39">
      <c r="A100" s="71">
        <v>93</v>
      </c>
      <c r="B100" s="71" t="s">
        <v>1212</v>
      </c>
      <c r="C100" s="28">
        <v>393</v>
      </c>
      <c r="D100" s="28">
        <v>0</v>
      </c>
      <c r="E100" s="28">
        <v>559</v>
      </c>
      <c r="F100" s="28">
        <v>2890</v>
      </c>
      <c r="G100" s="28">
        <v>1807</v>
      </c>
      <c r="H100" s="28">
        <v>1770</v>
      </c>
      <c r="I100" s="28">
        <v>797</v>
      </c>
      <c r="J100" s="28">
        <v>315</v>
      </c>
      <c r="K100" s="28">
        <v>70</v>
      </c>
      <c r="L100" s="28">
        <v>1867</v>
      </c>
      <c r="M100" s="28">
        <v>531</v>
      </c>
      <c r="N100" s="28">
        <v>726</v>
      </c>
      <c r="O100" s="28">
        <v>6180</v>
      </c>
      <c r="P100" s="516">
        <v>8020</v>
      </c>
      <c r="Q100" s="517">
        <v>1.042</v>
      </c>
      <c r="R100" s="6">
        <v>11</v>
      </c>
      <c r="S100" s="369">
        <v>0.78069999999999995</v>
      </c>
      <c r="T100" s="365"/>
      <c r="U100" s="28">
        <v>6094230.5090800002</v>
      </c>
      <c r="V100" s="28">
        <v>10659647.839859998</v>
      </c>
      <c r="W100" s="28">
        <v>75414714.426119998</v>
      </c>
      <c r="X100" s="28">
        <v>10234858.45074</v>
      </c>
      <c r="Y100" s="28">
        <v>3235078.4251799998</v>
      </c>
      <c r="Z100" s="28">
        <v>6468333.1200000001</v>
      </c>
      <c r="AA100" s="28">
        <v>4972639.1209000004</v>
      </c>
      <c r="AB100" s="28">
        <v>9416957.2540000007</v>
      </c>
      <c r="AC100" s="28">
        <v>11978659.007159999</v>
      </c>
      <c r="AD100" s="28">
        <v>20875084.900000002</v>
      </c>
      <c r="AE100" s="28">
        <v>2460901.7999999998</v>
      </c>
      <c r="AF100" s="28">
        <v>161811104.85304004</v>
      </c>
      <c r="AG100" s="147"/>
      <c r="AH100" s="147"/>
      <c r="AI100" s="405">
        <v>6180</v>
      </c>
      <c r="AJ100" s="460">
        <v>7916</v>
      </c>
      <c r="AK100" s="417">
        <v>0.78069999999999995</v>
      </c>
      <c r="AL100" s="405">
        <v>11</v>
      </c>
      <c r="AM100" s="147"/>
    </row>
    <row r="101" spans="1:39">
      <c r="A101" s="71">
        <v>94</v>
      </c>
      <c r="B101" s="71" t="s">
        <v>1213</v>
      </c>
      <c r="C101" s="28">
        <v>21</v>
      </c>
      <c r="D101" s="28">
        <v>0</v>
      </c>
      <c r="E101" s="28">
        <v>106</v>
      </c>
      <c r="F101" s="28">
        <v>597</v>
      </c>
      <c r="G101" s="28">
        <v>443</v>
      </c>
      <c r="H101" s="28">
        <v>438</v>
      </c>
      <c r="I101" s="28">
        <v>0</v>
      </c>
      <c r="J101" s="28">
        <v>62</v>
      </c>
      <c r="K101" s="28">
        <v>16</v>
      </c>
      <c r="L101" s="28">
        <v>28</v>
      </c>
      <c r="M101" s="28">
        <v>2</v>
      </c>
      <c r="N101" s="28">
        <v>6</v>
      </c>
      <c r="O101" s="28">
        <v>764</v>
      </c>
      <c r="P101" s="516">
        <v>1595</v>
      </c>
      <c r="Q101" s="517">
        <v>1</v>
      </c>
      <c r="R101" s="6">
        <v>8</v>
      </c>
      <c r="S101" s="369">
        <v>0.43869999999999998</v>
      </c>
      <c r="T101" s="365"/>
      <c r="U101" s="28">
        <v>1035427.87</v>
      </c>
      <c r="V101" s="28">
        <v>1605865.66</v>
      </c>
      <c r="W101" s="28">
        <v>9882689.3800000008</v>
      </c>
      <c r="X101" s="28">
        <v>1833502.07</v>
      </c>
      <c r="Y101" s="28">
        <v>421049.05</v>
      </c>
      <c r="Z101" s="28">
        <v>1052871.55</v>
      </c>
      <c r="AA101" s="28">
        <v>772899.3899999999</v>
      </c>
      <c r="AB101" s="28">
        <v>1122639.76</v>
      </c>
      <c r="AC101" s="28">
        <v>1933437.8</v>
      </c>
      <c r="AD101" s="28">
        <v>3375180.06</v>
      </c>
      <c r="AE101" s="28">
        <v>562491.84</v>
      </c>
      <c r="AF101" s="28">
        <v>23598054.430000003</v>
      </c>
      <c r="AG101" s="147"/>
      <c r="AH101" s="147"/>
      <c r="AI101" s="405">
        <v>764</v>
      </c>
      <c r="AJ101" s="460">
        <v>1741.5</v>
      </c>
      <c r="AK101" s="417">
        <v>0.43869999999999998</v>
      </c>
      <c r="AL101" s="405">
        <v>8</v>
      </c>
      <c r="AM101" s="147"/>
    </row>
    <row r="102" spans="1:39">
      <c r="A102" s="71">
        <v>95</v>
      </c>
      <c r="B102" s="71" t="s">
        <v>1214</v>
      </c>
      <c r="C102" s="28">
        <v>410</v>
      </c>
      <c r="D102" s="28">
        <v>0</v>
      </c>
      <c r="E102" s="28">
        <v>923</v>
      </c>
      <c r="F102" s="28">
        <v>5012</v>
      </c>
      <c r="G102" s="28">
        <v>3034</v>
      </c>
      <c r="H102" s="28">
        <v>2422</v>
      </c>
      <c r="I102" s="28">
        <v>837</v>
      </c>
      <c r="J102" s="28">
        <v>489</v>
      </c>
      <c r="K102" s="28">
        <v>114</v>
      </c>
      <c r="L102" s="28">
        <v>1537</v>
      </c>
      <c r="M102" s="28">
        <v>552</v>
      </c>
      <c r="N102" s="28">
        <v>650</v>
      </c>
      <c r="O102" s="28">
        <v>9969</v>
      </c>
      <c r="P102" s="516">
        <v>12433</v>
      </c>
      <c r="Q102" s="517">
        <v>1</v>
      </c>
      <c r="R102" s="6">
        <v>12</v>
      </c>
      <c r="S102" s="369">
        <v>0.81820000000000004</v>
      </c>
      <c r="T102" s="365"/>
      <c r="U102" s="28">
        <v>8978384.9199999999</v>
      </c>
      <c r="V102" s="28">
        <v>16059488.809999999</v>
      </c>
      <c r="W102" s="28">
        <v>113101770.93999998</v>
      </c>
      <c r="X102" s="28">
        <v>15022055.250000002</v>
      </c>
      <c r="Y102" s="28">
        <v>4945243.2000000011</v>
      </c>
      <c r="Z102" s="28">
        <v>9280148.5899999999</v>
      </c>
      <c r="AA102" s="28">
        <v>7417873.7799999993</v>
      </c>
      <c r="AB102" s="28">
        <v>14938190.069999998</v>
      </c>
      <c r="AC102" s="28">
        <v>16700618.299999999</v>
      </c>
      <c r="AD102" s="28">
        <v>32601621.549999997</v>
      </c>
      <c r="AE102" s="28">
        <v>4007754.36</v>
      </c>
      <c r="AF102" s="28">
        <v>243053149.76999998</v>
      </c>
      <c r="AG102" s="147"/>
      <c r="AH102" s="147"/>
      <c r="AI102" s="405">
        <v>9969</v>
      </c>
      <c r="AJ102" s="460">
        <v>12184.5</v>
      </c>
      <c r="AK102" s="417">
        <v>0.81820000000000004</v>
      </c>
      <c r="AL102" s="405">
        <v>12</v>
      </c>
      <c r="AM102" s="147"/>
    </row>
    <row r="103" spans="1:39">
      <c r="A103" s="71">
        <v>96</v>
      </c>
      <c r="B103" s="71" t="s">
        <v>1215</v>
      </c>
      <c r="C103" s="28">
        <v>79</v>
      </c>
      <c r="D103" s="28">
        <v>0</v>
      </c>
      <c r="E103" s="28">
        <v>194</v>
      </c>
      <c r="F103" s="28">
        <v>1097</v>
      </c>
      <c r="G103" s="28">
        <v>698</v>
      </c>
      <c r="H103" s="28">
        <v>727</v>
      </c>
      <c r="I103" s="28">
        <v>114</v>
      </c>
      <c r="J103" s="28">
        <v>113</v>
      </c>
      <c r="K103" s="28">
        <v>27</v>
      </c>
      <c r="L103" s="28">
        <v>130</v>
      </c>
      <c r="M103" s="28">
        <v>42</v>
      </c>
      <c r="N103" s="28">
        <v>39</v>
      </c>
      <c r="O103" s="28">
        <v>1311</v>
      </c>
      <c r="P103" s="516">
        <v>2870</v>
      </c>
      <c r="Q103" s="517">
        <v>1</v>
      </c>
      <c r="R103" s="6">
        <v>8</v>
      </c>
      <c r="S103" s="369">
        <v>0.44409999999999999</v>
      </c>
      <c r="T103" s="365"/>
      <c r="U103" s="28">
        <v>1872690.5399999998</v>
      </c>
      <c r="V103" s="28">
        <v>2893978.5500000003</v>
      </c>
      <c r="W103" s="28">
        <v>18242582.100000001</v>
      </c>
      <c r="X103" s="28">
        <v>3349110.0900000003</v>
      </c>
      <c r="Y103" s="28">
        <v>765440.19</v>
      </c>
      <c r="Z103" s="28">
        <v>2005308.3599999996</v>
      </c>
      <c r="AA103" s="28">
        <v>1394374.3399999999</v>
      </c>
      <c r="AB103" s="28">
        <v>1984003.91</v>
      </c>
      <c r="AC103" s="28">
        <v>3637188.62</v>
      </c>
      <c r="AD103" s="28">
        <v>6124581.1999999993</v>
      </c>
      <c r="AE103" s="28">
        <v>949204.98</v>
      </c>
      <c r="AF103" s="28">
        <v>43218462.880000003</v>
      </c>
      <c r="AG103" s="147"/>
      <c r="AH103" s="147"/>
      <c r="AI103" s="405">
        <v>1311</v>
      </c>
      <c r="AJ103" s="460">
        <v>2952</v>
      </c>
      <c r="AK103" s="417">
        <v>0.44409999999999999</v>
      </c>
      <c r="AL103" s="405">
        <v>8</v>
      </c>
      <c r="AM103" s="147"/>
    </row>
    <row r="104" spans="1:39">
      <c r="A104" s="71">
        <v>97</v>
      </c>
      <c r="B104" s="71" t="s">
        <v>1216</v>
      </c>
      <c r="C104" s="28">
        <v>174</v>
      </c>
      <c r="D104" s="28">
        <v>0</v>
      </c>
      <c r="E104" s="28">
        <v>372</v>
      </c>
      <c r="F104" s="28">
        <v>2159</v>
      </c>
      <c r="G104" s="28">
        <v>1338</v>
      </c>
      <c r="H104" s="28">
        <v>1667</v>
      </c>
      <c r="I104" s="28">
        <v>0</v>
      </c>
      <c r="J104" s="28">
        <v>218</v>
      </c>
      <c r="K104" s="28">
        <v>55</v>
      </c>
      <c r="L104" s="28">
        <v>581</v>
      </c>
      <c r="M104" s="28">
        <v>150</v>
      </c>
      <c r="N104" s="28">
        <v>201</v>
      </c>
      <c r="O104" s="28">
        <v>4108</v>
      </c>
      <c r="P104" s="516">
        <v>5623</v>
      </c>
      <c r="Q104" s="517">
        <v>1</v>
      </c>
      <c r="R104" s="6">
        <v>11</v>
      </c>
      <c r="S104" s="369">
        <v>0.78320000000000001</v>
      </c>
      <c r="T104" s="365"/>
      <c r="U104" s="28">
        <v>3943817.4699999993</v>
      </c>
      <c r="V104" s="28">
        <v>6804149.1700000009</v>
      </c>
      <c r="W104" s="28">
        <v>45766635.699999996</v>
      </c>
      <c r="X104" s="28">
        <v>6635975.7000000011</v>
      </c>
      <c r="Y104" s="28">
        <v>1992381.53</v>
      </c>
      <c r="Z104" s="28">
        <v>3939694.88</v>
      </c>
      <c r="AA104" s="28">
        <v>3184300.7800000003</v>
      </c>
      <c r="AB104" s="28">
        <v>6020004.5800000001</v>
      </c>
      <c r="AC104" s="28">
        <v>7082853.3099999987</v>
      </c>
      <c r="AD104" s="28">
        <v>13768462.57</v>
      </c>
      <c r="AE104" s="28">
        <v>1933565.7</v>
      </c>
      <c r="AF104" s="28">
        <v>101071841.39</v>
      </c>
      <c r="AG104" s="147"/>
      <c r="AH104" s="147"/>
      <c r="AI104" s="405">
        <v>4108</v>
      </c>
      <c r="AJ104" s="460">
        <v>5245</v>
      </c>
      <c r="AK104" s="417">
        <v>0.78320000000000001</v>
      </c>
      <c r="AL104" s="405">
        <v>11</v>
      </c>
      <c r="AM104" s="147"/>
    </row>
    <row r="105" spans="1:39">
      <c r="A105" s="71">
        <v>98</v>
      </c>
      <c r="B105" s="71" t="s">
        <v>1217</v>
      </c>
      <c r="C105" s="28">
        <v>7</v>
      </c>
      <c r="D105" s="28">
        <v>0</v>
      </c>
      <c r="E105" s="28">
        <v>5</v>
      </c>
      <c r="F105" s="28">
        <v>25</v>
      </c>
      <c r="G105" s="28">
        <v>15</v>
      </c>
      <c r="H105" s="28">
        <v>6</v>
      </c>
      <c r="I105" s="28">
        <v>0</v>
      </c>
      <c r="J105" s="28">
        <v>2</v>
      </c>
      <c r="K105" s="28">
        <v>1</v>
      </c>
      <c r="L105" s="28">
        <v>0</v>
      </c>
      <c r="M105" s="28">
        <v>0</v>
      </c>
      <c r="N105" s="28">
        <v>0</v>
      </c>
      <c r="O105" s="28">
        <v>36</v>
      </c>
      <c r="P105" s="516">
        <v>55</v>
      </c>
      <c r="Q105" s="517">
        <v>1</v>
      </c>
      <c r="R105" s="6">
        <v>8</v>
      </c>
      <c r="S105" s="369">
        <v>0.45279999999999998</v>
      </c>
      <c r="T105" s="365"/>
      <c r="U105" s="28">
        <v>37396.959999999999</v>
      </c>
      <c r="V105" s="28">
        <v>58610.96</v>
      </c>
      <c r="W105" s="28">
        <v>363851.35</v>
      </c>
      <c r="X105" s="28">
        <v>64775.67</v>
      </c>
      <c r="Y105" s="28">
        <v>16072.39</v>
      </c>
      <c r="Z105" s="28">
        <v>33154.060000000005</v>
      </c>
      <c r="AA105" s="28">
        <v>27225.72</v>
      </c>
      <c r="AB105" s="28">
        <v>42226.080000000002</v>
      </c>
      <c r="AC105" s="28">
        <v>64765.62999999999</v>
      </c>
      <c r="AD105" s="28">
        <v>121831.77999999998</v>
      </c>
      <c r="AE105" s="28">
        <v>35155.74</v>
      </c>
      <c r="AF105" s="28">
        <v>865066.34</v>
      </c>
      <c r="AG105" s="147"/>
      <c r="AH105" s="147"/>
      <c r="AI105" s="405">
        <v>36</v>
      </c>
      <c r="AJ105" s="460">
        <v>79.5</v>
      </c>
      <c r="AK105" s="417">
        <v>0.45279999999999998</v>
      </c>
      <c r="AL105" s="405">
        <v>8</v>
      </c>
      <c r="AM105" s="147"/>
    </row>
    <row r="106" spans="1:39">
      <c r="A106" s="71">
        <v>99</v>
      </c>
      <c r="B106" s="71" t="s">
        <v>1218</v>
      </c>
      <c r="C106" s="28">
        <v>50</v>
      </c>
      <c r="D106" s="28">
        <v>0</v>
      </c>
      <c r="E106" s="28">
        <v>199</v>
      </c>
      <c r="F106" s="28">
        <v>958</v>
      </c>
      <c r="G106" s="28">
        <v>589</v>
      </c>
      <c r="H106" s="28">
        <v>802</v>
      </c>
      <c r="I106" s="28">
        <v>0</v>
      </c>
      <c r="J106" s="28">
        <v>100</v>
      </c>
      <c r="K106" s="28">
        <v>25</v>
      </c>
      <c r="L106" s="28">
        <v>62</v>
      </c>
      <c r="M106" s="28">
        <v>21</v>
      </c>
      <c r="N106" s="28">
        <v>23</v>
      </c>
      <c r="O106" s="28">
        <v>671</v>
      </c>
      <c r="P106" s="516">
        <v>2573</v>
      </c>
      <c r="Q106" s="517">
        <v>1.0640000000000001</v>
      </c>
      <c r="R106" s="6">
        <v>5</v>
      </c>
      <c r="S106" s="369">
        <v>0.26419999999999999</v>
      </c>
      <c r="T106" s="365"/>
      <c r="U106" s="28">
        <v>1716315.77936</v>
      </c>
      <c r="V106" s="28">
        <v>2464069.2412</v>
      </c>
      <c r="W106" s="28">
        <v>14247433.52256</v>
      </c>
      <c r="X106" s="28">
        <v>3155090.8401599997</v>
      </c>
      <c r="Y106" s="28">
        <v>581209.88295999996</v>
      </c>
      <c r="Z106" s="28">
        <v>1716027.89</v>
      </c>
      <c r="AA106" s="28">
        <v>1214869.4756800001</v>
      </c>
      <c r="AB106" s="28">
        <v>1334778.30696</v>
      </c>
      <c r="AC106" s="28">
        <v>3331221.0377599997</v>
      </c>
      <c r="AD106" s="28">
        <v>4964590.3600000003</v>
      </c>
      <c r="AE106" s="28">
        <v>878893.5</v>
      </c>
      <c r="AF106" s="28">
        <v>35604499.836640008</v>
      </c>
      <c r="AG106" s="147"/>
      <c r="AH106" s="147"/>
      <c r="AI106" s="405">
        <v>671</v>
      </c>
      <c r="AJ106" s="460">
        <v>2539.5</v>
      </c>
      <c r="AK106" s="417">
        <v>0.26419999999999999</v>
      </c>
      <c r="AL106" s="405">
        <v>5</v>
      </c>
      <c r="AM106" s="147"/>
    </row>
    <row r="107" spans="1:39">
      <c r="A107" s="71">
        <v>100</v>
      </c>
      <c r="B107" s="71" t="s">
        <v>1219</v>
      </c>
      <c r="C107" s="28">
        <v>201</v>
      </c>
      <c r="D107" s="28">
        <v>0</v>
      </c>
      <c r="E107" s="28">
        <v>679</v>
      </c>
      <c r="F107" s="28">
        <v>3782</v>
      </c>
      <c r="G107" s="28">
        <v>2216</v>
      </c>
      <c r="H107" s="28">
        <v>2729</v>
      </c>
      <c r="I107" s="28">
        <v>14</v>
      </c>
      <c r="J107" s="28">
        <v>371</v>
      </c>
      <c r="K107" s="28">
        <v>94</v>
      </c>
      <c r="L107" s="28">
        <v>2116</v>
      </c>
      <c r="M107" s="28">
        <v>624</v>
      </c>
      <c r="N107" s="28">
        <v>663</v>
      </c>
      <c r="O107" s="28">
        <v>5565</v>
      </c>
      <c r="P107" s="516">
        <v>9521</v>
      </c>
      <c r="Q107" s="517">
        <v>1.0169999999999999</v>
      </c>
      <c r="R107" s="6">
        <v>10</v>
      </c>
      <c r="S107" s="369">
        <v>0.59989999999999999</v>
      </c>
      <c r="T107" s="365"/>
      <c r="U107" s="28">
        <v>6813013.6031399993</v>
      </c>
      <c r="V107" s="28">
        <v>11137507.908569999</v>
      </c>
      <c r="W107" s="28">
        <v>72124414.504830003</v>
      </c>
      <c r="X107" s="28">
        <v>11863862.224469999</v>
      </c>
      <c r="Y107" s="28">
        <v>3087452.2801499995</v>
      </c>
      <c r="Z107" s="28">
        <v>6849661.4300000006</v>
      </c>
      <c r="AA107" s="28">
        <v>5259447.5354999993</v>
      </c>
      <c r="AB107" s="28">
        <v>8420103.7400700003</v>
      </c>
      <c r="AC107" s="28">
        <v>12849631.283339998</v>
      </c>
      <c r="AD107" s="28">
        <v>22374801.579999998</v>
      </c>
      <c r="AE107" s="28">
        <v>3304639.5599999996</v>
      </c>
      <c r="AF107" s="28">
        <v>164084535.65007001</v>
      </c>
      <c r="AG107" s="147"/>
      <c r="AH107" s="147"/>
      <c r="AI107" s="405">
        <v>5565</v>
      </c>
      <c r="AJ107" s="460">
        <v>9276.5</v>
      </c>
      <c r="AK107" s="417">
        <v>0.59989999999999999</v>
      </c>
      <c r="AL107" s="405">
        <v>10</v>
      </c>
      <c r="AM107" s="147"/>
    </row>
    <row r="108" spans="1:39">
      <c r="A108" s="71">
        <v>101</v>
      </c>
      <c r="B108" s="71" t="s">
        <v>1220</v>
      </c>
      <c r="C108" s="28">
        <v>153</v>
      </c>
      <c r="D108" s="28">
        <v>0</v>
      </c>
      <c r="E108" s="28">
        <v>347</v>
      </c>
      <c r="F108" s="28">
        <v>1782</v>
      </c>
      <c r="G108" s="28">
        <v>1213</v>
      </c>
      <c r="H108" s="28">
        <v>1639</v>
      </c>
      <c r="I108" s="28">
        <v>0</v>
      </c>
      <c r="J108" s="28">
        <v>196</v>
      </c>
      <c r="K108" s="28">
        <v>50</v>
      </c>
      <c r="L108" s="28">
        <v>82</v>
      </c>
      <c r="M108" s="28">
        <v>20</v>
      </c>
      <c r="N108" s="28">
        <v>29</v>
      </c>
      <c r="O108" s="28">
        <v>869</v>
      </c>
      <c r="P108" s="516">
        <v>5058</v>
      </c>
      <c r="Q108" s="517">
        <v>1.052</v>
      </c>
      <c r="R108" s="6">
        <v>3</v>
      </c>
      <c r="S108" s="369">
        <v>0.17610000000000001</v>
      </c>
      <c r="T108" s="365"/>
      <c r="U108" s="28">
        <v>3291862.3389199995</v>
      </c>
      <c r="V108" s="28">
        <v>4602853.5982399993</v>
      </c>
      <c r="W108" s="28">
        <v>25959851.464280002</v>
      </c>
      <c r="X108" s="28">
        <v>6068913.4447600003</v>
      </c>
      <c r="Y108" s="28">
        <v>1045525.3082</v>
      </c>
      <c r="Z108" s="28">
        <v>3370053.69</v>
      </c>
      <c r="AA108" s="28">
        <v>2293492.1312000002</v>
      </c>
      <c r="AB108" s="28">
        <v>2280123.69392</v>
      </c>
      <c r="AC108" s="28">
        <v>6452096.0498000011</v>
      </c>
      <c r="AD108" s="28">
        <v>9462015.1899999976</v>
      </c>
      <c r="AE108" s="28">
        <v>1757787</v>
      </c>
      <c r="AF108" s="28">
        <v>66584573.909320004</v>
      </c>
      <c r="AG108" s="147"/>
      <c r="AH108" s="147"/>
      <c r="AI108" s="405">
        <v>869</v>
      </c>
      <c r="AJ108" s="460">
        <v>4935</v>
      </c>
      <c r="AK108" s="417">
        <v>0.17610000000000001</v>
      </c>
      <c r="AL108" s="405">
        <v>3</v>
      </c>
      <c r="AM108" s="147"/>
    </row>
    <row r="109" spans="1:39">
      <c r="A109" s="71">
        <v>102</v>
      </c>
      <c r="B109" s="71" t="s">
        <v>1221</v>
      </c>
      <c r="C109" s="28">
        <v>0</v>
      </c>
      <c r="D109" s="28">
        <v>0</v>
      </c>
      <c r="E109" s="28">
        <v>0</v>
      </c>
      <c r="F109" s="28">
        <v>0</v>
      </c>
      <c r="G109" s="28">
        <v>0</v>
      </c>
      <c r="H109" s="28">
        <v>0</v>
      </c>
      <c r="I109" s="28">
        <v>1</v>
      </c>
      <c r="J109" s="28">
        <v>0</v>
      </c>
      <c r="K109" s="28">
        <v>0</v>
      </c>
      <c r="L109" s="28">
        <v>0</v>
      </c>
      <c r="M109" s="28">
        <v>0</v>
      </c>
      <c r="N109" s="28">
        <v>0</v>
      </c>
      <c r="O109" s="28">
        <v>0</v>
      </c>
      <c r="P109" s="516">
        <v>1</v>
      </c>
      <c r="Q109" s="517">
        <v>1</v>
      </c>
      <c r="R109" s="6">
        <v>0</v>
      </c>
      <c r="S109" s="369">
        <v>0</v>
      </c>
      <c r="T109" s="94"/>
      <c r="U109" s="28">
        <v>448.65</v>
      </c>
      <c r="V109" s="28">
        <v>810.3</v>
      </c>
      <c r="W109" s="28">
        <v>8173.93</v>
      </c>
      <c r="X109" s="28">
        <v>571.07000000000005</v>
      </c>
      <c r="Y109" s="28">
        <v>255.51</v>
      </c>
      <c r="Z109" s="28">
        <v>1505.73</v>
      </c>
      <c r="AA109" s="28">
        <v>451.12</v>
      </c>
      <c r="AB109" s="28">
        <v>607.66</v>
      </c>
      <c r="AC109" s="28">
        <v>2029.75</v>
      </c>
      <c r="AD109" s="28">
        <v>2006.61</v>
      </c>
      <c r="AE109" s="28">
        <v>0</v>
      </c>
      <c r="AF109" s="28">
        <v>16860.330000000002</v>
      </c>
      <c r="AG109" s="147"/>
      <c r="AH109" s="147"/>
      <c r="AI109" s="405">
        <v>0</v>
      </c>
      <c r="AJ109" s="460">
        <v>0</v>
      </c>
      <c r="AK109" s="417">
        <v>0</v>
      </c>
      <c r="AL109" s="405">
        <v>0</v>
      </c>
      <c r="AM109" s="147"/>
    </row>
    <row r="110" spans="1:39">
      <c r="A110" s="71">
        <v>103</v>
      </c>
      <c r="B110" s="71" t="s">
        <v>1222</v>
      </c>
      <c r="C110" s="28">
        <v>55</v>
      </c>
      <c r="D110" s="28">
        <v>0</v>
      </c>
      <c r="E110" s="28">
        <v>202</v>
      </c>
      <c r="F110" s="28">
        <v>980</v>
      </c>
      <c r="G110" s="28">
        <v>532</v>
      </c>
      <c r="H110" s="28">
        <v>711</v>
      </c>
      <c r="I110" s="28">
        <v>0</v>
      </c>
      <c r="J110" s="28">
        <v>95</v>
      </c>
      <c r="K110" s="28">
        <v>24</v>
      </c>
      <c r="L110" s="28">
        <v>151</v>
      </c>
      <c r="M110" s="28">
        <v>36</v>
      </c>
      <c r="N110" s="28">
        <v>30</v>
      </c>
      <c r="O110" s="28">
        <v>1692</v>
      </c>
      <c r="P110" s="516">
        <v>2453</v>
      </c>
      <c r="Q110" s="517">
        <v>1</v>
      </c>
      <c r="R110" s="6">
        <v>10</v>
      </c>
      <c r="S110" s="369">
        <v>0.69699999999999995</v>
      </c>
      <c r="T110" s="365"/>
      <c r="U110" s="28">
        <v>1671756.7799999998</v>
      </c>
      <c r="V110" s="28">
        <v>2805823.94</v>
      </c>
      <c r="W110" s="28">
        <v>18493160.910000004</v>
      </c>
      <c r="X110" s="28">
        <v>2874650.84</v>
      </c>
      <c r="Y110" s="28">
        <v>798832.2</v>
      </c>
      <c r="Z110" s="28">
        <v>1676468.1900000002</v>
      </c>
      <c r="AA110" s="28">
        <v>1320877.4400000002</v>
      </c>
      <c r="AB110" s="28">
        <v>2353313.7600000002</v>
      </c>
      <c r="AC110" s="28">
        <v>3017119.1000000006</v>
      </c>
      <c r="AD110" s="28">
        <v>5730767.2800000003</v>
      </c>
      <c r="AE110" s="28">
        <v>843737.76</v>
      </c>
      <c r="AF110" s="28">
        <v>41586508.200000003</v>
      </c>
      <c r="AG110" s="147"/>
      <c r="AH110" s="147"/>
      <c r="AI110" s="405">
        <v>1692</v>
      </c>
      <c r="AJ110" s="460">
        <v>2427.5</v>
      </c>
      <c r="AK110" s="417">
        <v>0.69699999999999995</v>
      </c>
      <c r="AL110" s="405">
        <v>10</v>
      </c>
      <c r="AM110" s="147"/>
    </row>
    <row r="111" spans="1:39">
      <c r="A111" s="71">
        <v>104</v>
      </c>
      <c r="B111" s="71" t="s">
        <v>785</v>
      </c>
      <c r="C111" s="28">
        <v>0</v>
      </c>
      <c r="D111" s="28">
        <v>0</v>
      </c>
      <c r="E111" s="28">
        <v>0</v>
      </c>
      <c r="F111" s="28">
        <v>0</v>
      </c>
      <c r="G111" s="28">
        <v>0</v>
      </c>
      <c r="H111" s="28">
        <v>0</v>
      </c>
      <c r="I111" s="28">
        <v>0</v>
      </c>
      <c r="J111" s="28">
        <v>0</v>
      </c>
      <c r="K111" s="28">
        <v>0</v>
      </c>
      <c r="L111" s="28">
        <v>0</v>
      </c>
      <c r="M111" s="28">
        <v>0</v>
      </c>
      <c r="N111" s="28">
        <v>0</v>
      </c>
      <c r="O111" s="28">
        <v>0</v>
      </c>
      <c r="P111" s="516">
        <v>0</v>
      </c>
      <c r="Q111" s="517">
        <v>1</v>
      </c>
      <c r="R111" s="6">
        <v>0</v>
      </c>
      <c r="S111" s="369">
        <v>0</v>
      </c>
      <c r="T111" s="94"/>
      <c r="U111" s="28">
        <v>0</v>
      </c>
      <c r="V111" s="28">
        <v>0</v>
      </c>
      <c r="W111" s="28">
        <v>0</v>
      </c>
      <c r="X111" s="28">
        <v>0</v>
      </c>
      <c r="Y111" s="28">
        <v>0</v>
      </c>
      <c r="Z111" s="28">
        <v>0</v>
      </c>
      <c r="AA111" s="28">
        <v>0</v>
      </c>
      <c r="AB111" s="28">
        <v>0</v>
      </c>
      <c r="AC111" s="28">
        <v>0</v>
      </c>
      <c r="AD111" s="28">
        <v>0</v>
      </c>
      <c r="AE111" s="28">
        <v>0</v>
      </c>
      <c r="AF111" s="28">
        <v>0</v>
      </c>
      <c r="AG111" s="147"/>
      <c r="AH111" s="147"/>
      <c r="AI111" s="405">
        <v>0</v>
      </c>
      <c r="AJ111" s="460">
        <v>0</v>
      </c>
      <c r="AK111" s="417">
        <v>0</v>
      </c>
      <c r="AL111" s="405">
        <v>0</v>
      </c>
      <c r="AM111" s="147"/>
    </row>
    <row r="112" spans="1:39">
      <c r="A112" s="71">
        <v>105</v>
      </c>
      <c r="B112" s="71" t="s">
        <v>1223</v>
      </c>
      <c r="C112" s="28">
        <v>2</v>
      </c>
      <c r="D112" s="28">
        <v>0</v>
      </c>
      <c r="E112" s="28">
        <v>87</v>
      </c>
      <c r="F112" s="28">
        <v>507</v>
      </c>
      <c r="G112" s="28">
        <v>308</v>
      </c>
      <c r="H112" s="28">
        <v>280</v>
      </c>
      <c r="I112" s="28">
        <v>13</v>
      </c>
      <c r="J112" s="28">
        <v>47</v>
      </c>
      <c r="K112" s="28">
        <v>12</v>
      </c>
      <c r="L112" s="28">
        <v>8</v>
      </c>
      <c r="M112" s="28">
        <v>3</v>
      </c>
      <c r="N112" s="28">
        <v>9</v>
      </c>
      <c r="O112" s="28">
        <v>215</v>
      </c>
      <c r="P112" s="516">
        <v>1196</v>
      </c>
      <c r="Q112" s="517">
        <v>1</v>
      </c>
      <c r="R112" s="6">
        <v>3</v>
      </c>
      <c r="S112" s="369">
        <v>0.17699999999999999</v>
      </c>
      <c r="T112" s="365"/>
      <c r="U112" s="28">
        <v>742025.60999999987</v>
      </c>
      <c r="V112" s="28">
        <v>1035325.4299999999</v>
      </c>
      <c r="W112" s="28">
        <v>5785222.1600000001</v>
      </c>
      <c r="X112" s="28">
        <v>1398827.5699999998</v>
      </c>
      <c r="Y112" s="28">
        <v>236908.81</v>
      </c>
      <c r="Z112" s="28">
        <v>773802.30999999994</v>
      </c>
      <c r="AA112" s="28">
        <v>509508.47999999992</v>
      </c>
      <c r="AB112" s="28">
        <v>478476.83999999991</v>
      </c>
      <c r="AC112" s="28">
        <v>1458156.75</v>
      </c>
      <c r="AD112" s="28">
        <v>2257716.77</v>
      </c>
      <c r="AE112" s="28">
        <v>421868.88</v>
      </c>
      <c r="AF112" s="28">
        <v>15097839.610000001</v>
      </c>
      <c r="AG112" s="147"/>
      <c r="AH112" s="147"/>
      <c r="AI112" s="405">
        <v>215</v>
      </c>
      <c r="AJ112" s="460">
        <v>1214.5</v>
      </c>
      <c r="AK112" s="417">
        <v>0.17699999999999999</v>
      </c>
      <c r="AL112" s="405">
        <v>3</v>
      </c>
      <c r="AM112" s="147"/>
    </row>
    <row r="113" spans="1:39">
      <c r="A113" s="71">
        <v>106</v>
      </c>
      <c r="B113" s="71" t="s">
        <v>1224</v>
      </c>
      <c r="C113" s="28">
        <v>0</v>
      </c>
      <c r="D113" s="28">
        <v>0</v>
      </c>
      <c r="E113" s="28">
        <v>0</v>
      </c>
      <c r="F113" s="28">
        <v>0</v>
      </c>
      <c r="G113" s="28">
        <v>0</v>
      </c>
      <c r="H113" s="28">
        <v>0</v>
      </c>
      <c r="I113" s="28">
        <v>0</v>
      </c>
      <c r="J113" s="28">
        <v>0</v>
      </c>
      <c r="K113" s="28">
        <v>0</v>
      </c>
      <c r="L113" s="28">
        <v>0</v>
      </c>
      <c r="M113" s="28">
        <v>0</v>
      </c>
      <c r="N113" s="28">
        <v>0</v>
      </c>
      <c r="O113" s="28">
        <v>0</v>
      </c>
      <c r="P113" s="516">
        <v>0</v>
      </c>
      <c r="Q113" s="517">
        <v>1</v>
      </c>
      <c r="R113" s="6">
        <v>0</v>
      </c>
      <c r="S113" s="369">
        <v>0</v>
      </c>
      <c r="T113" s="94"/>
      <c r="U113" s="28">
        <v>0</v>
      </c>
      <c r="V113" s="28">
        <v>0</v>
      </c>
      <c r="W113" s="28">
        <v>0</v>
      </c>
      <c r="X113" s="28">
        <v>0</v>
      </c>
      <c r="Y113" s="28">
        <v>0</v>
      </c>
      <c r="Z113" s="28">
        <v>0</v>
      </c>
      <c r="AA113" s="28">
        <v>0</v>
      </c>
      <c r="AB113" s="28">
        <v>0</v>
      </c>
      <c r="AC113" s="28">
        <v>0</v>
      </c>
      <c r="AD113" s="28">
        <v>0</v>
      </c>
      <c r="AE113" s="28">
        <v>0</v>
      </c>
      <c r="AF113" s="28">
        <v>0</v>
      </c>
      <c r="AG113" s="147"/>
      <c r="AH113" s="147"/>
      <c r="AI113" s="405">
        <v>0</v>
      </c>
      <c r="AJ113" s="460">
        <v>0</v>
      </c>
      <c r="AK113" s="417">
        <v>0</v>
      </c>
      <c r="AL113" s="405">
        <v>0</v>
      </c>
      <c r="AM113" s="147"/>
    </row>
    <row r="114" spans="1:39">
      <c r="A114" s="71">
        <v>107</v>
      </c>
      <c r="B114" s="71" t="s">
        <v>1225</v>
      </c>
      <c r="C114" s="28">
        <v>115</v>
      </c>
      <c r="D114" s="28">
        <v>0</v>
      </c>
      <c r="E114" s="28">
        <v>238</v>
      </c>
      <c r="F114" s="28">
        <v>1145</v>
      </c>
      <c r="G114" s="28">
        <v>702</v>
      </c>
      <c r="H114" s="28">
        <v>741</v>
      </c>
      <c r="I114" s="28">
        <v>180</v>
      </c>
      <c r="J114" s="28">
        <v>120</v>
      </c>
      <c r="K114" s="28">
        <v>28</v>
      </c>
      <c r="L114" s="28">
        <v>155</v>
      </c>
      <c r="M114" s="28">
        <v>52</v>
      </c>
      <c r="N114" s="28">
        <v>87</v>
      </c>
      <c r="O114" s="28">
        <v>1451</v>
      </c>
      <c r="P114" s="516">
        <v>3064</v>
      </c>
      <c r="Q114" s="517">
        <v>1.046</v>
      </c>
      <c r="R114" s="6">
        <v>9</v>
      </c>
      <c r="S114" s="369">
        <v>0.5171</v>
      </c>
      <c r="T114" s="365"/>
      <c r="U114" s="28">
        <v>2108411.0287199998</v>
      </c>
      <c r="V114" s="28">
        <v>3311739.1460599997</v>
      </c>
      <c r="W114" s="28">
        <v>21355093.480100002</v>
      </c>
      <c r="X114" s="28">
        <v>3751767.9575</v>
      </c>
      <c r="Y114" s="28">
        <v>895217.34271999996</v>
      </c>
      <c r="Z114" s="28">
        <v>2200645.4600000004</v>
      </c>
      <c r="AA114" s="28">
        <v>1589657.6841200003</v>
      </c>
      <c r="AB114" s="28">
        <v>2354077.5070599997</v>
      </c>
      <c r="AC114" s="28">
        <v>4140743.9042800004</v>
      </c>
      <c r="AD114" s="28">
        <v>6684232.5899999999</v>
      </c>
      <c r="AE114" s="28">
        <v>984360.72</v>
      </c>
      <c r="AF114" s="28">
        <v>49375946.820559993</v>
      </c>
      <c r="AG114" s="147"/>
      <c r="AH114" s="147"/>
      <c r="AI114" s="405">
        <v>1451</v>
      </c>
      <c r="AJ114" s="460">
        <v>2806</v>
      </c>
      <c r="AK114" s="417">
        <v>0.5171</v>
      </c>
      <c r="AL114" s="405">
        <v>9</v>
      </c>
      <c r="AM114" s="147"/>
    </row>
    <row r="115" spans="1:39">
      <c r="A115" s="71">
        <v>108</v>
      </c>
      <c r="B115" s="71" t="s">
        <v>1226</v>
      </c>
      <c r="C115" s="28">
        <v>0</v>
      </c>
      <c r="D115" s="28">
        <v>0</v>
      </c>
      <c r="E115" s="28">
        <v>0</v>
      </c>
      <c r="F115" s="28">
        <v>0</v>
      </c>
      <c r="G115" s="28">
        <v>0</v>
      </c>
      <c r="H115" s="28">
        <v>0</v>
      </c>
      <c r="I115" s="28">
        <v>9</v>
      </c>
      <c r="J115" s="28">
        <v>0</v>
      </c>
      <c r="K115" s="28">
        <v>0</v>
      </c>
      <c r="L115" s="28">
        <v>0</v>
      </c>
      <c r="M115" s="28">
        <v>0</v>
      </c>
      <c r="N115" s="28">
        <v>0</v>
      </c>
      <c r="O115" s="28">
        <v>0</v>
      </c>
      <c r="P115" s="516">
        <v>9</v>
      </c>
      <c r="Q115" s="517">
        <v>1</v>
      </c>
      <c r="R115" s="6">
        <v>0</v>
      </c>
      <c r="S115" s="369">
        <v>0</v>
      </c>
      <c r="T115" s="94"/>
      <c r="U115" s="28">
        <v>4037.85</v>
      </c>
      <c r="V115" s="28">
        <v>7292.7</v>
      </c>
      <c r="W115" s="28">
        <v>73565.37</v>
      </c>
      <c r="X115" s="28">
        <v>5139.63</v>
      </c>
      <c r="Y115" s="28">
        <v>2299.59</v>
      </c>
      <c r="Z115" s="28">
        <v>13551.57</v>
      </c>
      <c r="AA115" s="28">
        <v>4060.08</v>
      </c>
      <c r="AB115" s="28">
        <v>5468.94</v>
      </c>
      <c r="AC115" s="28">
        <v>18267.75</v>
      </c>
      <c r="AD115" s="28">
        <v>18059.489999999998</v>
      </c>
      <c r="AE115" s="28">
        <v>0</v>
      </c>
      <c r="AF115" s="28">
        <v>151742.96999999997</v>
      </c>
      <c r="AG115" s="147"/>
      <c r="AH115" s="147"/>
      <c r="AI115" s="405">
        <v>0</v>
      </c>
      <c r="AJ115" s="460">
        <v>0</v>
      </c>
      <c r="AK115" s="417">
        <v>0</v>
      </c>
      <c r="AL115" s="405">
        <v>0</v>
      </c>
      <c r="AM115" s="147"/>
    </row>
    <row r="116" spans="1:39">
      <c r="A116" s="71">
        <v>109</v>
      </c>
      <c r="B116" s="71" t="s">
        <v>1227</v>
      </c>
      <c r="C116" s="28">
        <v>0</v>
      </c>
      <c r="D116" s="28">
        <v>0</v>
      </c>
      <c r="E116" s="28">
        <v>0</v>
      </c>
      <c r="F116" s="28">
        <v>0</v>
      </c>
      <c r="G116" s="28">
        <v>0</v>
      </c>
      <c r="H116" s="28">
        <v>0</v>
      </c>
      <c r="I116" s="28">
        <v>0</v>
      </c>
      <c r="J116" s="28">
        <v>0</v>
      </c>
      <c r="K116" s="28">
        <v>0</v>
      </c>
      <c r="L116" s="28">
        <v>0</v>
      </c>
      <c r="M116" s="28">
        <v>0</v>
      </c>
      <c r="N116" s="28">
        <v>0</v>
      </c>
      <c r="O116" s="28">
        <v>0</v>
      </c>
      <c r="P116" s="516">
        <v>0</v>
      </c>
      <c r="Q116" s="517">
        <v>1</v>
      </c>
      <c r="R116" s="6">
        <v>0</v>
      </c>
      <c r="S116" s="369">
        <v>0</v>
      </c>
      <c r="T116" s="365"/>
      <c r="U116" s="28">
        <v>0</v>
      </c>
      <c r="V116" s="28">
        <v>0</v>
      </c>
      <c r="W116" s="28">
        <v>0</v>
      </c>
      <c r="X116" s="28">
        <v>0</v>
      </c>
      <c r="Y116" s="28">
        <v>0</v>
      </c>
      <c r="Z116" s="28">
        <v>0</v>
      </c>
      <c r="AA116" s="28">
        <v>0</v>
      </c>
      <c r="AB116" s="28">
        <v>0</v>
      </c>
      <c r="AC116" s="28">
        <v>0</v>
      </c>
      <c r="AD116" s="28">
        <v>0</v>
      </c>
      <c r="AE116" s="28">
        <v>0</v>
      </c>
      <c r="AF116" s="28">
        <v>0</v>
      </c>
      <c r="AG116" s="147"/>
      <c r="AH116" s="147"/>
      <c r="AI116" s="405">
        <v>0</v>
      </c>
      <c r="AJ116" s="460">
        <v>0</v>
      </c>
      <c r="AK116" s="417">
        <v>0</v>
      </c>
      <c r="AL116" s="405">
        <v>0</v>
      </c>
      <c r="AM116" s="147"/>
    </row>
    <row r="117" spans="1:39">
      <c r="A117" s="71">
        <v>110</v>
      </c>
      <c r="B117" s="71" t="s">
        <v>1228</v>
      </c>
      <c r="C117" s="28">
        <v>47</v>
      </c>
      <c r="D117" s="28">
        <v>6</v>
      </c>
      <c r="E117" s="28">
        <v>189</v>
      </c>
      <c r="F117" s="28">
        <v>1098</v>
      </c>
      <c r="G117" s="28">
        <v>683</v>
      </c>
      <c r="H117" s="28">
        <v>899</v>
      </c>
      <c r="I117" s="28">
        <v>6</v>
      </c>
      <c r="J117" s="28">
        <v>113</v>
      </c>
      <c r="K117" s="28">
        <v>29</v>
      </c>
      <c r="L117" s="28">
        <v>47</v>
      </c>
      <c r="M117" s="28">
        <v>14</v>
      </c>
      <c r="N117" s="28">
        <v>16</v>
      </c>
      <c r="O117" s="28">
        <v>556</v>
      </c>
      <c r="P117" s="516">
        <v>2902</v>
      </c>
      <c r="Q117" s="517">
        <v>1</v>
      </c>
      <c r="R117" s="6">
        <v>4</v>
      </c>
      <c r="S117" s="369">
        <v>0.18540000000000001</v>
      </c>
      <c r="T117" s="365"/>
      <c r="U117" s="28">
        <v>1803182.52</v>
      </c>
      <c r="V117" s="28">
        <v>2533657.1399999997</v>
      </c>
      <c r="W117" s="28">
        <v>14378648.370000001</v>
      </c>
      <c r="X117" s="28">
        <v>3332251.4000000004</v>
      </c>
      <c r="Y117" s="28">
        <v>581693.54</v>
      </c>
      <c r="Z117" s="28">
        <v>1928072.2899999998</v>
      </c>
      <c r="AA117" s="28">
        <v>1257105.6800000002</v>
      </c>
      <c r="AB117" s="28">
        <v>1275447.0399999998</v>
      </c>
      <c r="AC117" s="28">
        <v>3523859.11</v>
      </c>
      <c r="AD117" s="28">
        <v>5474290.2600000007</v>
      </c>
      <c r="AE117" s="28">
        <v>1019516.46</v>
      </c>
      <c r="AF117" s="28">
        <v>37107723.809999995</v>
      </c>
      <c r="AG117" s="147"/>
      <c r="AH117" s="147"/>
      <c r="AI117" s="405">
        <v>556</v>
      </c>
      <c r="AJ117" s="460">
        <v>2999</v>
      </c>
      <c r="AK117" s="417">
        <v>0.18540000000000001</v>
      </c>
      <c r="AL117" s="405">
        <v>4</v>
      </c>
      <c r="AM117" s="147"/>
    </row>
    <row r="118" spans="1:39">
      <c r="A118" s="71">
        <v>111</v>
      </c>
      <c r="B118" s="71" t="s">
        <v>1229</v>
      </c>
      <c r="C118" s="28">
        <v>33</v>
      </c>
      <c r="D118" s="28">
        <v>0</v>
      </c>
      <c r="E118" s="28">
        <v>43</v>
      </c>
      <c r="F118" s="28">
        <v>264</v>
      </c>
      <c r="G118" s="28">
        <v>152</v>
      </c>
      <c r="H118" s="28">
        <v>176</v>
      </c>
      <c r="I118" s="28">
        <v>3</v>
      </c>
      <c r="J118" s="28">
        <v>25</v>
      </c>
      <c r="K118" s="28">
        <v>6</v>
      </c>
      <c r="L118" s="28">
        <v>26</v>
      </c>
      <c r="M118" s="28">
        <v>7</v>
      </c>
      <c r="N118" s="28">
        <v>3</v>
      </c>
      <c r="O118" s="28">
        <v>301</v>
      </c>
      <c r="P118" s="516">
        <v>655</v>
      </c>
      <c r="Q118" s="517">
        <v>1</v>
      </c>
      <c r="R118" s="6">
        <v>8</v>
      </c>
      <c r="S118" s="369">
        <v>0.42880000000000001</v>
      </c>
      <c r="T118" s="365"/>
      <c r="U118" s="28">
        <v>422865.4800000001</v>
      </c>
      <c r="V118" s="28">
        <v>658324.6399999999</v>
      </c>
      <c r="W118" s="28">
        <v>4054678.02</v>
      </c>
      <c r="X118" s="28">
        <v>760769.02</v>
      </c>
      <c r="Y118" s="28">
        <v>171345.06</v>
      </c>
      <c r="Z118" s="28">
        <v>436309.11000000004</v>
      </c>
      <c r="AA118" s="28">
        <v>316115.16999999993</v>
      </c>
      <c r="AB118" s="28">
        <v>446997.57</v>
      </c>
      <c r="AC118" s="28">
        <v>799505.35</v>
      </c>
      <c r="AD118" s="28">
        <v>1380364.9200000002</v>
      </c>
      <c r="AE118" s="28">
        <v>210934.44</v>
      </c>
      <c r="AF118" s="28">
        <v>9658208.7799999993</v>
      </c>
      <c r="AG118" s="147"/>
      <c r="AH118" s="147"/>
      <c r="AI118" s="405">
        <v>301</v>
      </c>
      <c r="AJ118" s="460">
        <v>702</v>
      </c>
      <c r="AK118" s="417">
        <v>0.42880000000000001</v>
      </c>
      <c r="AL118" s="405">
        <v>8</v>
      </c>
      <c r="AM118" s="147"/>
    </row>
    <row r="119" spans="1:39">
      <c r="A119" s="71">
        <v>112</v>
      </c>
      <c r="B119" s="71" t="s">
        <v>1230</v>
      </c>
      <c r="C119" s="28">
        <v>0</v>
      </c>
      <c r="D119" s="28">
        <v>0</v>
      </c>
      <c r="E119" s="28">
        <v>0</v>
      </c>
      <c r="F119" s="28">
        <v>0</v>
      </c>
      <c r="G119" s="28">
        <v>0</v>
      </c>
      <c r="H119" s="28">
        <v>0</v>
      </c>
      <c r="I119" s="28">
        <v>0</v>
      </c>
      <c r="J119" s="28">
        <v>0</v>
      </c>
      <c r="K119" s="28">
        <v>0</v>
      </c>
      <c r="L119" s="28">
        <v>0</v>
      </c>
      <c r="M119" s="28">
        <v>0</v>
      </c>
      <c r="N119" s="28">
        <v>0</v>
      </c>
      <c r="O119" s="28">
        <v>0</v>
      </c>
      <c r="P119" s="516">
        <v>0</v>
      </c>
      <c r="Q119" s="517">
        <v>1</v>
      </c>
      <c r="R119" s="6">
        <v>0</v>
      </c>
      <c r="S119" s="369">
        <v>0</v>
      </c>
      <c r="T119" s="94"/>
      <c r="U119" s="28">
        <v>0</v>
      </c>
      <c r="V119" s="28">
        <v>0</v>
      </c>
      <c r="W119" s="28">
        <v>0</v>
      </c>
      <c r="X119" s="28">
        <v>0</v>
      </c>
      <c r="Y119" s="28">
        <v>0</v>
      </c>
      <c r="Z119" s="28">
        <v>0</v>
      </c>
      <c r="AA119" s="28">
        <v>0</v>
      </c>
      <c r="AB119" s="28">
        <v>0</v>
      </c>
      <c r="AC119" s="28">
        <v>0</v>
      </c>
      <c r="AD119" s="28">
        <v>0</v>
      </c>
      <c r="AE119" s="28">
        <v>0</v>
      </c>
      <c r="AF119" s="28">
        <v>0</v>
      </c>
      <c r="AG119" s="147"/>
      <c r="AH119" s="147"/>
      <c r="AI119" s="405">
        <v>0</v>
      </c>
      <c r="AJ119" s="460">
        <v>0</v>
      </c>
      <c r="AK119" s="417">
        <v>0</v>
      </c>
      <c r="AL119" s="405">
        <v>0</v>
      </c>
      <c r="AM119" s="147"/>
    </row>
    <row r="120" spans="1:39">
      <c r="A120" s="71">
        <v>113</v>
      </c>
      <c r="B120" s="71" t="s">
        <v>1231</v>
      </c>
      <c r="C120" s="28">
        <v>0</v>
      </c>
      <c r="D120" s="28">
        <v>0</v>
      </c>
      <c r="E120" s="28">
        <v>0</v>
      </c>
      <c r="F120" s="28">
        <v>0</v>
      </c>
      <c r="G120" s="28">
        <v>0</v>
      </c>
      <c r="H120" s="28">
        <v>0</v>
      </c>
      <c r="I120" s="28">
        <v>0</v>
      </c>
      <c r="J120" s="28">
        <v>0</v>
      </c>
      <c r="K120" s="28">
        <v>0</v>
      </c>
      <c r="L120" s="28">
        <v>0</v>
      </c>
      <c r="M120" s="28">
        <v>0</v>
      </c>
      <c r="N120" s="28">
        <v>0</v>
      </c>
      <c r="O120" s="28">
        <v>0</v>
      </c>
      <c r="P120" s="516">
        <v>0</v>
      </c>
      <c r="Q120" s="517">
        <v>1</v>
      </c>
      <c r="R120" s="6">
        <v>0</v>
      </c>
      <c r="S120" s="369">
        <v>0</v>
      </c>
      <c r="T120" s="94"/>
      <c r="U120" s="28">
        <v>0</v>
      </c>
      <c r="V120" s="28">
        <v>0</v>
      </c>
      <c r="W120" s="28">
        <v>0</v>
      </c>
      <c r="X120" s="28">
        <v>0</v>
      </c>
      <c r="Y120" s="28">
        <v>0</v>
      </c>
      <c r="Z120" s="28">
        <v>0</v>
      </c>
      <c r="AA120" s="28">
        <v>0</v>
      </c>
      <c r="AB120" s="28">
        <v>0</v>
      </c>
      <c r="AC120" s="28">
        <v>0</v>
      </c>
      <c r="AD120" s="28">
        <v>0</v>
      </c>
      <c r="AE120" s="28">
        <v>0</v>
      </c>
      <c r="AF120" s="28">
        <v>0</v>
      </c>
      <c r="AG120" s="147"/>
      <c r="AH120" s="147"/>
      <c r="AI120" s="405">
        <v>0</v>
      </c>
      <c r="AJ120" s="460">
        <v>0</v>
      </c>
      <c r="AK120" s="417">
        <v>0</v>
      </c>
      <c r="AL120" s="405">
        <v>0</v>
      </c>
      <c r="AM120" s="147"/>
    </row>
    <row r="121" spans="1:39">
      <c r="A121" s="71">
        <v>114</v>
      </c>
      <c r="B121" s="71" t="s">
        <v>1232</v>
      </c>
      <c r="C121" s="28">
        <v>74</v>
      </c>
      <c r="D121" s="28">
        <v>0</v>
      </c>
      <c r="E121" s="28">
        <v>109</v>
      </c>
      <c r="F121" s="28">
        <v>700</v>
      </c>
      <c r="G121" s="28">
        <v>435</v>
      </c>
      <c r="H121" s="28">
        <v>477</v>
      </c>
      <c r="I121" s="28">
        <v>1</v>
      </c>
      <c r="J121" s="28">
        <v>68</v>
      </c>
      <c r="K121" s="28">
        <v>17</v>
      </c>
      <c r="L121" s="28">
        <v>57</v>
      </c>
      <c r="M121" s="28">
        <v>30</v>
      </c>
      <c r="N121" s="28">
        <v>37</v>
      </c>
      <c r="O121" s="28">
        <v>975</v>
      </c>
      <c r="P121" s="516">
        <v>1759</v>
      </c>
      <c r="Q121" s="517">
        <v>1</v>
      </c>
      <c r="R121" s="6">
        <v>10</v>
      </c>
      <c r="S121" s="369">
        <v>0.65790000000000004</v>
      </c>
      <c r="T121" s="365"/>
      <c r="U121" s="28">
        <v>1171511.71</v>
      </c>
      <c r="V121" s="28">
        <v>1897461.1500000001</v>
      </c>
      <c r="W121" s="28">
        <v>12100552.6</v>
      </c>
      <c r="X121" s="28">
        <v>2052724.4900000002</v>
      </c>
      <c r="Y121" s="28">
        <v>520022.35</v>
      </c>
      <c r="Z121" s="28">
        <v>1180701.0999999999</v>
      </c>
      <c r="AA121" s="28">
        <v>901017.66999999993</v>
      </c>
      <c r="AB121" s="28">
        <v>1454788.37</v>
      </c>
      <c r="AC121" s="28">
        <v>2157659.08</v>
      </c>
      <c r="AD121" s="28">
        <v>3926864.4999999995</v>
      </c>
      <c r="AE121" s="28">
        <v>597647.57999999996</v>
      </c>
      <c r="AF121" s="28">
        <v>27960950.600000009</v>
      </c>
      <c r="AG121" s="147"/>
      <c r="AH121" s="147"/>
      <c r="AI121" s="405">
        <v>975</v>
      </c>
      <c r="AJ121" s="460">
        <v>1482</v>
      </c>
      <c r="AK121" s="417">
        <v>0.65790000000000004</v>
      </c>
      <c r="AL121" s="405">
        <v>10</v>
      </c>
      <c r="AM121" s="147"/>
    </row>
    <row r="122" spans="1:39">
      <c r="A122" s="71">
        <v>115</v>
      </c>
      <c r="B122" s="71" t="s">
        <v>1233</v>
      </c>
      <c r="C122" s="28">
        <v>0</v>
      </c>
      <c r="D122" s="28">
        <v>0</v>
      </c>
      <c r="E122" s="28">
        <v>0</v>
      </c>
      <c r="F122" s="28">
        <v>0</v>
      </c>
      <c r="G122" s="28">
        <v>0</v>
      </c>
      <c r="H122" s="28">
        <v>0</v>
      </c>
      <c r="I122" s="28">
        <v>0</v>
      </c>
      <c r="J122" s="28">
        <v>0</v>
      </c>
      <c r="K122" s="28">
        <v>0</v>
      </c>
      <c r="L122" s="28">
        <v>0</v>
      </c>
      <c r="M122" s="28">
        <v>0</v>
      </c>
      <c r="N122" s="28">
        <v>0</v>
      </c>
      <c r="O122" s="28">
        <v>0</v>
      </c>
      <c r="P122" s="516">
        <v>0</v>
      </c>
      <c r="Q122" s="517">
        <v>1</v>
      </c>
      <c r="R122" s="6">
        <v>0</v>
      </c>
      <c r="S122" s="369">
        <v>0</v>
      </c>
      <c r="T122" s="94"/>
      <c r="U122" s="28">
        <v>0</v>
      </c>
      <c r="V122" s="28">
        <v>0</v>
      </c>
      <c r="W122" s="28">
        <v>0</v>
      </c>
      <c r="X122" s="28">
        <v>0</v>
      </c>
      <c r="Y122" s="28">
        <v>0</v>
      </c>
      <c r="Z122" s="28">
        <v>0</v>
      </c>
      <c r="AA122" s="28">
        <v>0</v>
      </c>
      <c r="AB122" s="28">
        <v>0</v>
      </c>
      <c r="AC122" s="28">
        <v>0</v>
      </c>
      <c r="AD122" s="28">
        <v>0</v>
      </c>
      <c r="AE122" s="28">
        <v>0</v>
      </c>
      <c r="AF122" s="28">
        <v>0</v>
      </c>
      <c r="AG122" s="147"/>
      <c r="AH122" s="147"/>
      <c r="AI122" s="405">
        <v>0</v>
      </c>
      <c r="AJ122" s="460">
        <v>0</v>
      </c>
      <c r="AK122" s="417">
        <v>0</v>
      </c>
      <c r="AL122" s="405">
        <v>0</v>
      </c>
      <c r="AM122" s="147"/>
    </row>
    <row r="123" spans="1:39">
      <c r="A123" s="71">
        <v>116</v>
      </c>
      <c r="B123" s="71" t="s">
        <v>1234</v>
      </c>
      <c r="C123" s="28">
        <v>0</v>
      </c>
      <c r="D123" s="28">
        <v>0</v>
      </c>
      <c r="E123" s="28">
        <v>0</v>
      </c>
      <c r="F123" s="28">
        <v>0</v>
      </c>
      <c r="G123" s="28">
        <v>0</v>
      </c>
      <c r="H123" s="28">
        <v>0</v>
      </c>
      <c r="I123" s="28">
        <v>10</v>
      </c>
      <c r="J123" s="28">
        <v>0</v>
      </c>
      <c r="K123" s="28">
        <v>0</v>
      </c>
      <c r="L123" s="28">
        <v>0</v>
      </c>
      <c r="M123" s="28">
        <v>0</v>
      </c>
      <c r="N123" s="28">
        <v>0</v>
      </c>
      <c r="O123" s="28">
        <v>0</v>
      </c>
      <c r="P123" s="516">
        <v>10</v>
      </c>
      <c r="Q123" s="517">
        <v>1</v>
      </c>
      <c r="R123" s="6">
        <v>0</v>
      </c>
      <c r="S123" s="369">
        <v>0</v>
      </c>
      <c r="T123" s="94"/>
      <c r="U123" s="28">
        <v>4486.5</v>
      </c>
      <c r="V123" s="28">
        <v>8103</v>
      </c>
      <c r="W123" s="28">
        <v>81739.3</v>
      </c>
      <c r="X123" s="28">
        <v>5710.7000000000007</v>
      </c>
      <c r="Y123" s="28">
        <v>2555.1</v>
      </c>
      <c r="Z123" s="28">
        <v>15057.3</v>
      </c>
      <c r="AA123" s="28">
        <v>4511.2</v>
      </c>
      <c r="AB123" s="28">
        <v>6076.5999999999995</v>
      </c>
      <c r="AC123" s="28">
        <v>20297.5</v>
      </c>
      <c r="AD123" s="28">
        <v>20066.099999999999</v>
      </c>
      <c r="AE123" s="28">
        <v>0</v>
      </c>
      <c r="AF123" s="28">
        <v>168603.30000000002</v>
      </c>
      <c r="AG123" s="147"/>
      <c r="AH123" s="147"/>
      <c r="AI123" s="405">
        <v>0</v>
      </c>
      <c r="AJ123" s="460">
        <v>0</v>
      </c>
      <c r="AK123" s="417">
        <v>0</v>
      </c>
      <c r="AL123" s="405">
        <v>0</v>
      </c>
      <c r="AM123" s="147"/>
    </row>
    <row r="124" spans="1:39">
      <c r="A124" s="71">
        <v>117</v>
      </c>
      <c r="B124" s="71" t="s">
        <v>1235</v>
      </c>
      <c r="C124" s="28">
        <v>10</v>
      </c>
      <c r="D124" s="28">
        <v>0</v>
      </c>
      <c r="E124" s="28">
        <v>36</v>
      </c>
      <c r="F124" s="28">
        <v>141</v>
      </c>
      <c r="G124" s="28">
        <v>100</v>
      </c>
      <c r="H124" s="28">
        <v>153</v>
      </c>
      <c r="I124" s="28">
        <v>14</v>
      </c>
      <c r="J124" s="28">
        <v>18</v>
      </c>
      <c r="K124" s="28">
        <v>4</v>
      </c>
      <c r="L124" s="28">
        <v>14</v>
      </c>
      <c r="M124" s="28">
        <v>3</v>
      </c>
      <c r="N124" s="28">
        <v>3</v>
      </c>
      <c r="O124" s="28">
        <v>151</v>
      </c>
      <c r="P124" s="516">
        <v>449</v>
      </c>
      <c r="Q124" s="517">
        <v>1</v>
      </c>
      <c r="R124" s="6">
        <v>5</v>
      </c>
      <c r="S124" s="369">
        <v>0.28839999999999999</v>
      </c>
      <c r="T124" s="365"/>
      <c r="U124" s="28">
        <v>284228.52</v>
      </c>
      <c r="V124" s="28">
        <v>414967.13</v>
      </c>
      <c r="W124" s="28">
        <v>2525339.9799999995</v>
      </c>
      <c r="X124" s="28">
        <v>513352.44999999995</v>
      </c>
      <c r="Y124" s="28">
        <v>102262.05999999998</v>
      </c>
      <c r="Z124" s="28">
        <v>318403.23999999993</v>
      </c>
      <c r="AA124" s="28">
        <v>205421.57</v>
      </c>
      <c r="AB124" s="28">
        <v>252376.46999999997</v>
      </c>
      <c r="AC124" s="28">
        <v>563105.97</v>
      </c>
      <c r="AD124" s="28">
        <v>890670.97000000009</v>
      </c>
      <c r="AE124" s="28">
        <v>140622.96</v>
      </c>
      <c r="AF124" s="28">
        <v>6210751.3199999984</v>
      </c>
      <c r="AG124" s="147"/>
      <c r="AH124" s="147"/>
      <c r="AI124" s="405">
        <v>151</v>
      </c>
      <c r="AJ124" s="460">
        <v>523.5</v>
      </c>
      <c r="AK124" s="417">
        <v>0.28839999999999999</v>
      </c>
      <c r="AL124" s="405">
        <v>5</v>
      </c>
      <c r="AM124" s="147"/>
    </row>
    <row r="125" spans="1:39">
      <c r="A125" s="71">
        <v>118</v>
      </c>
      <c r="B125" s="71" t="s">
        <v>1236</v>
      </c>
      <c r="C125" s="28">
        <v>0</v>
      </c>
      <c r="D125" s="28">
        <v>0</v>
      </c>
      <c r="E125" s="28">
        <v>91</v>
      </c>
      <c r="F125" s="28">
        <v>374</v>
      </c>
      <c r="G125" s="28">
        <v>98</v>
      </c>
      <c r="H125" s="28">
        <v>0</v>
      </c>
      <c r="I125" s="28">
        <v>1</v>
      </c>
      <c r="J125" s="28">
        <v>22</v>
      </c>
      <c r="K125" s="28">
        <v>6</v>
      </c>
      <c r="L125" s="28">
        <v>6</v>
      </c>
      <c r="M125" s="28">
        <v>0</v>
      </c>
      <c r="N125" s="28">
        <v>0</v>
      </c>
      <c r="O125" s="28">
        <v>170</v>
      </c>
      <c r="P125" s="516">
        <v>564</v>
      </c>
      <c r="Q125" s="517">
        <v>1.028</v>
      </c>
      <c r="R125" s="6">
        <v>6</v>
      </c>
      <c r="S125" s="369">
        <v>0.30630000000000002</v>
      </c>
      <c r="T125" s="365"/>
      <c r="U125" s="28">
        <v>366387.95855999994</v>
      </c>
      <c r="V125" s="28">
        <v>531239.04600000009</v>
      </c>
      <c r="W125" s="28">
        <v>2941302.9704800001</v>
      </c>
      <c r="X125" s="28">
        <v>742520.29827999999</v>
      </c>
      <c r="Y125" s="28">
        <v>126621.05244000001</v>
      </c>
      <c r="Z125" s="28">
        <v>318822.77999999997</v>
      </c>
      <c r="AA125" s="28">
        <v>246884.223</v>
      </c>
      <c r="AB125" s="28">
        <v>223152.21592000002</v>
      </c>
      <c r="AC125" s="28">
        <v>688238.7217600001</v>
      </c>
      <c r="AD125" s="28">
        <v>1115656.8499999999</v>
      </c>
      <c r="AE125" s="28">
        <v>210934.44</v>
      </c>
      <c r="AF125" s="28">
        <v>7511760.5564400004</v>
      </c>
      <c r="AG125" s="147"/>
      <c r="AH125" s="147"/>
      <c r="AI125" s="405">
        <v>170</v>
      </c>
      <c r="AJ125" s="460">
        <v>555</v>
      </c>
      <c r="AK125" s="417">
        <v>0.30630000000000002</v>
      </c>
      <c r="AL125" s="405">
        <v>6</v>
      </c>
      <c r="AM125" s="147"/>
    </row>
    <row r="126" spans="1:39">
      <c r="A126" s="71">
        <v>119</v>
      </c>
      <c r="B126" s="71" t="s">
        <v>1237</v>
      </c>
      <c r="C126" s="28">
        <v>0</v>
      </c>
      <c r="D126" s="28">
        <v>0</v>
      </c>
      <c r="E126" s="28">
        <v>0</v>
      </c>
      <c r="F126" s="28">
        <v>0</v>
      </c>
      <c r="G126" s="28">
        <v>0</v>
      </c>
      <c r="H126" s="28">
        <v>0</v>
      </c>
      <c r="I126" s="28">
        <v>0</v>
      </c>
      <c r="J126" s="28">
        <v>0</v>
      </c>
      <c r="K126" s="28">
        <v>0</v>
      </c>
      <c r="L126" s="28">
        <v>0</v>
      </c>
      <c r="M126" s="28">
        <v>0</v>
      </c>
      <c r="N126" s="28">
        <v>0</v>
      </c>
      <c r="O126" s="28">
        <v>0</v>
      </c>
      <c r="P126" s="516">
        <v>0</v>
      </c>
      <c r="Q126" s="517">
        <v>1.04</v>
      </c>
      <c r="R126" s="6">
        <v>0</v>
      </c>
      <c r="S126" s="369">
        <v>0</v>
      </c>
      <c r="T126" s="94"/>
      <c r="U126" s="28">
        <v>0</v>
      </c>
      <c r="V126" s="28">
        <v>0</v>
      </c>
      <c r="W126" s="28">
        <v>0</v>
      </c>
      <c r="X126" s="28">
        <v>0</v>
      </c>
      <c r="Y126" s="28">
        <v>0</v>
      </c>
      <c r="Z126" s="28">
        <v>0</v>
      </c>
      <c r="AA126" s="28">
        <v>0</v>
      </c>
      <c r="AB126" s="28">
        <v>0</v>
      </c>
      <c r="AC126" s="28">
        <v>0</v>
      </c>
      <c r="AD126" s="28">
        <v>0</v>
      </c>
      <c r="AE126" s="28">
        <v>0</v>
      </c>
      <c r="AF126" s="28">
        <v>0</v>
      </c>
      <c r="AG126" s="147"/>
      <c r="AH126" s="147"/>
      <c r="AI126" s="405">
        <v>0</v>
      </c>
      <c r="AJ126" s="460">
        <v>0</v>
      </c>
      <c r="AK126" s="417">
        <v>0</v>
      </c>
      <c r="AL126" s="405">
        <v>0</v>
      </c>
      <c r="AM126" s="147"/>
    </row>
    <row r="127" spans="1:39">
      <c r="A127" s="71">
        <v>120</v>
      </c>
      <c r="B127" s="71" t="s">
        <v>1238</v>
      </c>
      <c r="C127" s="28">
        <v>0</v>
      </c>
      <c r="D127" s="28">
        <v>0</v>
      </c>
      <c r="E127" s="28">
        <v>0</v>
      </c>
      <c r="F127" s="28">
        <v>0</v>
      </c>
      <c r="G127" s="28">
        <v>0</v>
      </c>
      <c r="H127" s="28">
        <v>0</v>
      </c>
      <c r="I127" s="28">
        <v>0</v>
      </c>
      <c r="J127" s="28">
        <v>0</v>
      </c>
      <c r="K127" s="28">
        <v>0</v>
      </c>
      <c r="L127" s="28">
        <v>0</v>
      </c>
      <c r="M127" s="28">
        <v>0</v>
      </c>
      <c r="N127" s="28">
        <v>0</v>
      </c>
      <c r="O127" s="28">
        <v>0</v>
      </c>
      <c r="P127" s="516">
        <v>0</v>
      </c>
      <c r="Q127" s="517">
        <v>1</v>
      </c>
      <c r="R127" s="6">
        <v>0</v>
      </c>
      <c r="S127" s="369">
        <v>0</v>
      </c>
      <c r="T127" s="94"/>
      <c r="U127" s="28">
        <v>0</v>
      </c>
      <c r="V127" s="28">
        <v>0</v>
      </c>
      <c r="W127" s="28">
        <v>0</v>
      </c>
      <c r="X127" s="28">
        <v>0</v>
      </c>
      <c r="Y127" s="28">
        <v>0</v>
      </c>
      <c r="Z127" s="28">
        <v>0</v>
      </c>
      <c r="AA127" s="28">
        <v>0</v>
      </c>
      <c r="AB127" s="28">
        <v>0</v>
      </c>
      <c r="AC127" s="28">
        <v>0</v>
      </c>
      <c r="AD127" s="28">
        <v>0</v>
      </c>
      <c r="AE127" s="28">
        <v>0</v>
      </c>
      <c r="AF127" s="28">
        <v>0</v>
      </c>
      <c r="AG127" s="147"/>
      <c r="AH127" s="147"/>
      <c r="AI127" s="405">
        <v>0</v>
      </c>
      <c r="AJ127" s="460">
        <v>0</v>
      </c>
      <c r="AK127" s="417">
        <v>0</v>
      </c>
      <c r="AL127" s="405">
        <v>0</v>
      </c>
      <c r="AM127" s="147"/>
    </row>
    <row r="128" spans="1:39">
      <c r="A128" s="71">
        <v>121</v>
      </c>
      <c r="B128" s="71" t="s">
        <v>1239</v>
      </c>
      <c r="C128" s="28">
        <v>6</v>
      </c>
      <c r="D128" s="28">
        <v>0</v>
      </c>
      <c r="E128" s="28">
        <v>7</v>
      </c>
      <c r="F128" s="28">
        <v>29</v>
      </c>
      <c r="G128" s="28">
        <v>17</v>
      </c>
      <c r="H128" s="28">
        <v>18</v>
      </c>
      <c r="I128" s="28">
        <v>11</v>
      </c>
      <c r="J128" s="28">
        <v>4</v>
      </c>
      <c r="K128" s="28">
        <v>1</v>
      </c>
      <c r="L128" s="28">
        <v>0</v>
      </c>
      <c r="M128" s="28">
        <v>0</v>
      </c>
      <c r="N128" s="28">
        <v>0</v>
      </c>
      <c r="O128" s="28">
        <v>26</v>
      </c>
      <c r="P128" s="516">
        <v>85</v>
      </c>
      <c r="Q128" s="517">
        <v>1</v>
      </c>
      <c r="R128" s="6">
        <v>9</v>
      </c>
      <c r="S128" s="369">
        <v>0.49059999999999998</v>
      </c>
      <c r="T128" s="365"/>
      <c r="U128" s="28">
        <v>56581.88</v>
      </c>
      <c r="V128" s="28">
        <v>80048.679999999993</v>
      </c>
      <c r="W128" s="28">
        <v>526886.05000000005</v>
      </c>
      <c r="X128" s="28">
        <v>103603.06999999999</v>
      </c>
      <c r="Y128" s="28">
        <v>21299.13</v>
      </c>
      <c r="Z128" s="28">
        <v>64697.36</v>
      </c>
      <c r="AA128" s="28">
        <v>39205.15</v>
      </c>
      <c r="AB128" s="28">
        <v>50806.2</v>
      </c>
      <c r="AC128" s="28">
        <v>114936.45000000001</v>
      </c>
      <c r="AD128" s="28">
        <v>177463.02999999997</v>
      </c>
      <c r="AE128" s="28">
        <v>35155.74</v>
      </c>
      <c r="AF128" s="28">
        <v>1270682.74</v>
      </c>
      <c r="AG128" s="147"/>
      <c r="AH128" s="147"/>
      <c r="AI128" s="405">
        <v>26</v>
      </c>
      <c r="AJ128" s="460">
        <v>53</v>
      </c>
      <c r="AK128" s="417">
        <v>0.49059999999999998</v>
      </c>
      <c r="AL128" s="405">
        <v>9</v>
      </c>
      <c r="AM128" s="147"/>
    </row>
    <row r="129" spans="1:39">
      <c r="A129" s="71">
        <v>122</v>
      </c>
      <c r="B129" s="71" t="s">
        <v>1240</v>
      </c>
      <c r="C129" s="28">
        <v>42</v>
      </c>
      <c r="D129" s="28">
        <v>203</v>
      </c>
      <c r="E129" s="28">
        <v>5</v>
      </c>
      <c r="F129" s="28">
        <v>1032</v>
      </c>
      <c r="G129" s="28">
        <v>612</v>
      </c>
      <c r="H129" s="28">
        <v>721</v>
      </c>
      <c r="I129" s="28">
        <v>4</v>
      </c>
      <c r="J129" s="28">
        <v>97</v>
      </c>
      <c r="K129" s="28">
        <v>25</v>
      </c>
      <c r="L129" s="28">
        <v>36</v>
      </c>
      <c r="M129" s="28">
        <v>3</v>
      </c>
      <c r="N129" s="28">
        <v>2</v>
      </c>
      <c r="O129" s="28">
        <v>327</v>
      </c>
      <c r="P129" s="516">
        <v>2497</v>
      </c>
      <c r="Q129" s="517">
        <v>1.0369999999999999</v>
      </c>
      <c r="R129" s="6">
        <v>3</v>
      </c>
      <c r="S129" s="369">
        <v>0.1321</v>
      </c>
      <c r="T129" s="365"/>
      <c r="U129" s="28">
        <v>1594382.5949899999</v>
      </c>
      <c r="V129" s="28">
        <v>2203960.5939399996</v>
      </c>
      <c r="W129" s="28">
        <v>12212647.851019997</v>
      </c>
      <c r="X129" s="28">
        <v>2979937.6039299998</v>
      </c>
      <c r="Y129" s="28">
        <v>492856.15143999987</v>
      </c>
      <c r="Z129" s="28">
        <v>1633380.1899999997</v>
      </c>
      <c r="AA129" s="28">
        <v>1095770.7928200001</v>
      </c>
      <c r="AB129" s="28">
        <v>1013112.1035399999</v>
      </c>
      <c r="AC129" s="28">
        <v>3131967.8600099999</v>
      </c>
      <c r="AD129" s="28">
        <v>4624657.3399999989</v>
      </c>
      <c r="AE129" s="28">
        <v>878893.5</v>
      </c>
      <c r="AF129" s="28">
        <v>31861566.581689995</v>
      </c>
      <c r="AG129" s="147"/>
      <c r="AH129" s="147"/>
      <c r="AI129" s="405">
        <v>327</v>
      </c>
      <c r="AJ129" s="460">
        <v>2474.5</v>
      </c>
      <c r="AK129" s="417">
        <v>0.1321</v>
      </c>
      <c r="AL129" s="405">
        <v>3</v>
      </c>
      <c r="AM129" s="147"/>
    </row>
    <row r="130" spans="1:39">
      <c r="A130" s="71">
        <v>123</v>
      </c>
      <c r="B130" s="71" t="s">
        <v>1241</v>
      </c>
      <c r="C130" s="28">
        <v>0</v>
      </c>
      <c r="D130" s="28">
        <v>0</v>
      </c>
      <c r="E130" s="28">
        <v>0</v>
      </c>
      <c r="F130" s="28">
        <v>0</v>
      </c>
      <c r="G130" s="28">
        <v>0</v>
      </c>
      <c r="H130" s="28">
        <v>0</v>
      </c>
      <c r="I130" s="28">
        <v>6</v>
      </c>
      <c r="J130" s="28">
        <v>0</v>
      </c>
      <c r="K130" s="28">
        <v>0</v>
      </c>
      <c r="L130" s="28">
        <v>0</v>
      </c>
      <c r="M130" s="28">
        <v>0</v>
      </c>
      <c r="N130" s="28">
        <v>0</v>
      </c>
      <c r="O130" s="28">
        <v>0</v>
      </c>
      <c r="P130" s="516">
        <v>6</v>
      </c>
      <c r="Q130" s="517">
        <v>1</v>
      </c>
      <c r="R130" s="6">
        <v>0</v>
      </c>
      <c r="S130" s="369">
        <v>0</v>
      </c>
      <c r="T130" s="94"/>
      <c r="U130" s="28">
        <v>2691.8999999999996</v>
      </c>
      <c r="V130" s="28">
        <v>4861.7999999999993</v>
      </c>
      <c r="W130" s="28">
        <v>49043.58</v>
      </c>
      <c r="X130" s="28">
        <v>3426.42</v>
      </c>
      <c r="Y130" s="28">
        <v>1533.06</v>
      </c>
      <c r="Z130" s="28">
        <v>9034.380000000001</v>
      </c>
      <c r="AA130" s="28">
        <v>2706.7200000000003</v>
      </c>
      <c r="AB130" s="28">
        <v>3645.96</v>
      </c>
      <c r="AC130" s="28">
        <v>12178.5</v>
      </c>
      <c r="AD130" s="28">
        <v>12039.66</v>
      </c>
      <c r="AE130" s="28">
        <v>0</v>
      </c>
      <c r="AF130" s="28">
        <v>101161.98000000001</v>
      </c>
      <c r="AG130" s="147"/>
      <c r="AH130" s="147"/>
      <c r="AI130" s="405">
        <v>0</v>
      </c>
      <c r="AJ130" s="460">
        <v>0</v>
      </c>
      <c r="AK130" s="417">
        <v>0</v>
      </c>
      <c r="AL130" s="405">
        <v>0</v>
      </c>
      <c r="AM130" s="147"/>
    </row>
    <row r="131" spans="1:39">
      <c r="A131" s="71">
        <v>124</v>
      </c>
      <c r="B131" s="71" t="s">
        <v>1242</v>
      </c>
      <c r="C131" s="28">
        <v>0</v>
      </c>
      <c r="D131" s="28">
        <v>0</v>
      </c>
      <c r="E131" s="28">
        <v>0</v>
      </c>
      <c r="F131" s="28">
        <v>0</v>
      </c>
      <c r="G131" s="28">
        <v>0</v>
      </c>
      <c r="H131" s="28">
        <v>0</v>
      </c>
      <c r="I131" s="28">
        <v>0</v>
      </c>
      <c r="J131" s="28">
        <v>0</v>
      </c>
      <c r="K131" s="28">
        <v>0</v>
      </c>
      <c r="L131" s="28">
        <v>0</v>
      </c>
      <c r="M131" s="28">
        <v>0</v>
      </c>
      <c r="N131" s="28">
        <v>0</v>
      </c>
      <c r="O131" s="28">
        <v>0</v>
      </c>
      <c r="P131" s="516">
        <v>0</v>
      </c>
      <c r="Q131" s="517">
        <v>1</v>
      </c>
      <c r="R131" s="6">
        <v>0</v>
      </c>
      <c r="S131" s="369">
        <v>0</v>
      </c>
      <c r="T131" s="94"/>
      <c r="U131" s="28">
        <v>0</v>
      </c>
      <c r="V131" s="28">
        <v>0</v>
      </c>
      <c r="W131" s="28">
        <v>0</v>
      </c>
      <c r="X131" s="28">
        <v>0</v>
      </c>
      <c r="Y131" s="28">
        <v>0</v>
      </c>
      <c r="Z131" s="28">
        <v>0</v>
      </c>
      <c r="AA131" s="28">
        <v>0</v>
      </c>
      <c r="AB131" s="28">
        <v>0</v>
      </c>
      <c r="AC131" s="28">
        <v>0</v>
      </c>
      <c r="AD131" s="28">
        <v>0</v>
      </c>
      <c r="AE131" s="28">
        <v>0</v>
      </c>
      <c r="AF131" s="28">
        <v>0</v>
      </c>
      <c r="AG131" s="147"/>
      <c r="AH131" s="147"/>
      <c r="AI131" s="405">
        <v>0</v>
      </c>
      <c r="AJ131" s="460">
        <v>0</v>
      </c>
      <c r="AK131" s="417">
        <v>0</v>
      </c>
      <c r="AL131" s="405">
        <v>0</v>
      </c>
      <c r="AM131" s="147"/>
    </row>
    <row r="132" spans="1:39">
      <c r="A132" s="71">
        <v>125</v>
      </c>
      <c r="B132" s="71" t="s">
        <v>1243</v>
      </c>
      <c r="C132" s="28">
        <v>8</v>
      </c>
      <c r="D132" s="28">
        <v>53</v>
      </c>
      <c r="E132" s="28">
        <v>7</v>
      </c>
      <c r="F132" s="28">
        <v>320</v>
      </c>
      <c r="G132" s="28">
        <v>223</v>
      </c>
      <c r="H132" s="28">
        <v>300</v>
      </c>
      <c r="I132" s="28">
        <v>0</v>
      </c>
      <c r="J132" s="28">
        <v>34</v>
      </c>
      <c r="K132" s="28">
        <v>9</v>
      </c>
      <c r="L132" s="28">
        <v>22</v>
      </c>
      <c r="M132" s="28">
        <v>5</v>
      </c>
      <c r="N132" s="28">
        <v>9</v>
      </c>
      <c r="O132" s="28">
        <v>104</v>
      </c>
      <c r="P132" s="516">
        <v>881</v>
      </c>
      <c r="Q132" s="517">
        <v>1</v>
      </c>
      <c r="R132" s="6">
        <v>2</v>
      </c>
      <c r="S132" s="369">
        <v>0.10349999999999999</v>
      </c>
      <c r="T132" s="365"/>
      <c r="U132" s="28">
        <v>543889.21</v>
      </c>
      <c r="V132" s="28">
        <v>749554.46</v>
      </c>
      <c r="W132" s="28">
        <v>4179292.0100000002</v>
      </c>
      <c r="X132" s="28">
        <v>997140.37000000011</v>
      </c>
      <c r="Y132" s="28">
        <v>166946.35999999996</v>
      </c>
      <c r="Z132" s="28">
        <v>592236.34</v>
      </c>
      <c r="AA132" s="28">
        <v>376245.7</v>
      </c>
      <c r="AB132" s="28">
        <v>356872.37999999995</v>
      </c>
      <c r="AC132" s="28">
        <v>1073760.8700000001</v>
      </c>
      <c r="AD132" s="28">
        <v>1626511.7300000002</v>
      </c>
      <c r="AE132" s="28">
        <v>316401.65999999997</v>
      </c>
      <c r="AF132" s="28">
        <v>10978851.09</v>
      </c>
      <c r="AG132" s="147"/>
      <c r="AH132" s="147"/>
      <c r="AI132" s="405">
        <v>104</v>
      </c>
      <c r="AJ132" s="460">
        <v>1004.5</v>
      </c>
      <c r="AK132" s="417">
        <v>0.10349999999999999</v>
      </c>
      <c r="AL132" s="405">
        <v>2</v>
      </c>
      <c r="AM132" s="147"/>
    </row>
    <row r="133" spans="1:39">
      <c r="A133" s="71">
        <v>126</v>
      </c>
      <c r="B133" s="71" t="s">
        <v>1244</v>
      </c>
      <c r="C133" s="28">
        <v>0</v>
      </c>
      <c r="D133" s="28">
        <v>0</v>
      </c>
      <c r="E133" s="28">
        <v>0</v>
      </c>
      <c r="F133" s="28">
        <v>0</v>
      </c>
      <c r="G133" s="28">
        <v>0</v>
      </c>
      <c r="H133" s="28">
        <v>0</v>
      </c>
      <c r="I133" s="28">
        <v>0</v>
      </c>
      <c r="J133" s="28">
        <v>0</v>
      </c>
      <c r="K133" s="28">
        <v>0</v>
      </c>
      <c r="L133" s="28">
        <v>0</v>
      </c>
      <c r="M133" s="28">
        <v>0</v>
      </c>
      <c r="N133" s="28">
        <v>0</v>
      </c>
      <c r="O133" s="28">
        <v>0</v>
      </c>
      <c r="P133" s="516">
        <v>0</v>
      </c>
      <c r="Q133" s="517">
        <v>1</v>
      </c>
      <c r="R133" s="6">
        <v>0</v>
      </c>
      <c r="S133" s="369">
        <v>0</v>
      </c>
      <c r="T133" s="94"/>
      <c r="U133" s="28">
        <v>0</v>
      </c>
      <c r="V133" s="28">
        <v>0</v>
      </c>
      <c r="W133" s="28">
        <v>0</v>
      </c>
      <c r="X133" s="28">
        <v>0</v>
      </c>
      <c r="Y133" s="28">
        <v>0</v>
      </c>
      <c r="Z133" s="28">
        <v>0</v>
      </c>
      <c r="AA133" s="28">
        <v>0</v>
      </c>
      <c r="AB133" s="28">
        <v>0</v>
      </c>
      <c r="AC133" s="28">
        <v>0</v>
      </c>
      <c r="AD133" s="28">
        <v>0</v>
      </c>
      <c r="AE133" s="28">
        <v>0</v>
      </c>
      <c r="AF133" s="28">
        <v>0</v>
      </c>
      <c r="AG133" s="147"/>
      <c r="AH133" s="147"/>
      <c r="AI133" s="405">
        <v>0</v>
      </c>
      <c r="AJ133" s="460">
        <v>0</v>
      </c>
      <c r="AK133" s="417">
        <v>0</v>
      </c>
      <c r="AL133" s="405">
        <v>0</v>
      </c>
      <c r="AM133" s="147"/>
    </row>
    <row r="134" spans="1:39">
      <c r="A134" s="71">
        <v>127</v>
      </c>
      <c r="B134" s="71" t="s">
        <v>1245</v>
      </c>
      <c r="C134" s="28">
        <v>18</v>
      </c>
      <c r="D134" s="28">
        <v>0</v>
      </c>
      <c r="E134" s="28">
        <v>23</v>
      </c>
      <c r="F134" s="28">
        <v>111</v>
      </c>
      <c r="G134" s="28">
        <v>59</v>
      </c>
      <c r="H134" s="28">
        <v>82</v>
      </c>
      <c r="I134" s="28">
        <v>26</v>
      </c>
      <c r="J134" s="28">
        <v>12</v>
      </c>
      <c r="K134" s="28">
        <v>3</v>
      </c>
      <c r="L134" s="28">
        <v>1</v>
      </c>
      <c r="M134" s="28">
        <v>0</v>
      </c>
      <c r="N134" s="28">
        <v>0</v>
      </c>
      <c r="O134" s="28">
        <v>74</v>
      </c>
      <c r="P134" s="516">
        <v>310</v>
      </c>
      <c r="Q134" s="517">
        <v>1</v>
      </c>
      <c r="R134" s="6">
        <v>4</v>
      </c>
      <c r="S134" s="369">
        <v>0.2266</v>
      </c>
      <c r="T134" s="365"/>
      <c r="U134" s="28">
        <v>192148.73999999993</v>
      </c>
      <c r="V134" s="28">
        <v>273612.37999999995</v>
      </c>
      <c r="W134" s="28">
        <v>1671927.52</v>
      </c>
      <c r="X134" s="28">
        <v>353260.36000000004</v>
      </c>
      <c r="Y134" s="28">
        <v>66241</v>
      </c>
      <c r="Z134" s="28">
        <v>225247.13</v>
      </c>
      <c r="AA134" s="28">
        <v>135817.12</v>
      </c>
      <c r="AB134" s="28">
        <v>148201.42000000001</v>
      </c>
      <c r="AC134" s="28">
        <v>397074.33</v>
      </c>
      <c r="AD134" s="28">
        <v>598875.59000000008</v>
      </c>
      <c r="AE134" s="28">
        <v>105467.22</v>
      </c>
      <c r="AF134" s="28">
        <v>4167872.81</v>
      </c>
      <c r="AG134" s="147"/>
      <c r="AH134" s="147"/>
      <c r="AI134" s="405">
        <v>74</v>
      </c>
      <c r="AJ134" s="460">
        <v>326.5</v>
      </c>
      <c r="AK134" s="417">
        <v>0.2266</v>
      </c>
      <c r="AL134" s="405">
        <v>4</v>
      </c>
      <c r="AM134" s="147"/>
    </row>
    <row r="135" spans="1:39">
      <c r="A135" s="71">
        <v>128</v>
      </c>
      <c r="B135" s="71" t="s">
        <v>1246</v>
      </c>
      <c r="C135" s="28">
        <v>302</v>
      </c>
      <c r="D135" s="28">
        <v>0</v>
      </c>
      <c r="E135" s="28">
        <v>623</v>
      </c>
      <c r="F135" s="28">
        <v>3183</v>
      </c>
      <c r="G135" s="28">
        <v>2133</v>
      </c>
      <c r="H135" s="28">
        <v>2167</v>
      </c>
      <c r="I135" s="28">
        <v>144</v>
      </c>
      <c r="J135" s="28">
        <v>326</v>
      </c>
      <c r="K135" s="28">
        <v>81</v>
      </c>
      <c r="L135" s="28">
        <v>627</v>
      </c>
      <c r="M135" s="28">
        <v>196</v>
      </c>
      <c r="N135" s="28">
        <v>236</v>
      </c>
      <c r="O135" s="28">
        <v>5384</v>
      </c>
      <c r="P135" s="516">
        <v>8401</v>
      </c>
      <c r="Q135" s="517">
        <v>1</v>
      </c>
      <c r="R135" s="6">
        <v>10</v>
      </c>
      <c r="S135" s="369">
        <v>0.66210000000000002</v>
      </c>
      <c r="T135" s="365"/>
      <c r="U135" s="28">
        <v>5721737.0499999989</v>
      </c>
      <c r="V135" s="28">
        <v>9488538.2400000002</v>
      </c>
      <c r="W135" s="28">
        <v>62183510.180000007</v>
      </c>
      <c r="X135" s="28">
        <v>9883078.8900000006</v>
      </c>
      <c r="Y135" s="28">
        <v>2683575.0500000003</v>
      </c>
      <c r="Z135" s="28">
        <v>5829103.5499999989</v>
      </c>
      <c r="AA135" s="28">
        <v>4478543.3199999994</v>
      </c>
      <c r="AB135" s="28">
        <v>7659885.1999999993</v>
      </c>
      <c r="AC135" s="28">
        <v>10606622.68</v>
      </c>
      <c r="AD135" s="28">
        <v>19539493.239999998</v>
      </c>
      <c r="AE135" s="28">
        <v>2847614.94</v>
      </c>
      <c r="AF135" s="28">
        <v>140921702.34</v>
      </c>
      <c r="AG135" s="147"/>
      <c r="AH135" s="147"/>
      <c r="AI135" s="405">
        <v>5384</v>
      </c>
      <c r="AJ135" s="460">
        <v>8132</v>
      </c>
      <c r="AK135" s="417">
        <v>0.66210000000000002</v>
      </c>
      <c r="AL135" s="405">
        <v>10</v>
      </c>
      <c r="AM135" s="147"/>
    </row>
    <row r="136" spans="1:39">
      <c r="A136" s="71">
        <v>129</v>
      </c>
      <c r="B136" s="71" t="s">
        <v>1247</v>
      </c>
      <c r="C136" s="28">
        <v>0</v>
      </c>
      <c r="D136" s="28">
        <v>0</v>
      </c>
      <c r="E136" s="28">
        <v>0</v>
      </c>
      <c r="F136" s="28">
        <v>0</v>
      </c>
      <c r="G136" s="28">
        <v>0</v>
      </c>
      <c r="H136" s="28">
        <v>0</v>
      </c>
      <c r="I136" s="28">
        <v>4</v>
      </c>
      <c r="J136" s="28">
        <v>0</v>
      </c>
      <c r="K136" s="28">
        <v>0</v>
      </c>
      <c r="L136" s="28">
        <v>0</v>
      </c>
      <c r="M136" s="28">
        <v>0</v>
      </c>
      <c r="N136" s="28">
        <v>0</v>
      </c>
      <c r="O136" s="28">
        <v>0</v>
      </c>
      <c r="P136" s="516">
        <v>4</v>
      </c>
      <c r="Q136" s="517">
        <v>1</v>
      </c>
      <c r="R136" s="6">
        <v>0</v>
      </c>
      <c r="S136" s="369">
        <v>0</v>
      </c>
      <c r="T136" s="94"/>
      <c r="U136" s="28">
        <v>1794.6</v>
      </c>
      <c r="V136" s="28">
        <v>3241.2</v>
      </c>
      <c r="W136" s="28">
        <v>32695.72</v>
      </c>
      <c r="X136" s="28">
        <v>2284.2800000000002</v>
      </c>
      <c r="Y136" s="28">
        <v>1022.04</v>
      </c>
      <c r="Z136" s="28">
        <v>6022.92</v>
      </c>
      <c r="AA136" s="28">
        <v>1804.48</v>
      </c>
      <c r="AB136" s="28">
        <v>2430.64</v>
      </c>
      <c r="AC136" s="28">
        <v>8119</v>
      </c>
      <c r="AD136" s="28">
        <v>8026.44</v>
      </c>
      <c r="AE136" s="28">
        <v>0</v>
      </c>
      <c r="AF136" s="28">
        <v>67441.320000000007</v>
      </c>
      <c r="AG136" s="147"/>
      <c r="AH136" s="147"/>
      <c r="AI136" s="405">
        <v>0</v>
      </c>
      <c r="AJ136" s="460">
        <v>0</v>
      </c>
      <c r="AK136" s="417">
        <v>0</v>
      </c>
      <c r="AL136" s="405">
        <v>0</v>
      </c>
      <c r="AM136" s="147"/>
    </row>
    <row r="137" spans="1:39">
      <c r="A137" s="71">
        <v>130</v>
      </c>
      <c r="B137" s="71" t="s">
        <v>1248</v>
      </c>
      <c r="C137" s="28">
        <v>0</v>
      </c>
      <c r="D137" s="28">
        <v>0</v>
      </c>
      <c r="E137" s="28">
        <v>0</v>
      </c>
      <c r="F137" s="28">
        <v>0</v>
      </c>
      <c r="G137" s="28">
        <v>0</v>
      </c>
      <c r="H137" s="28">
        <v>0</v>
      </c>
      <c r="I137" s="28">
        <v>0</v>
      </c>
      <c r="J137" s="28">
        <v>0</v>
      </c>
      <c r="K137" s="28">
        <v>0</v>
      </c>
      <c r="L137" s="28">
        <v>0</v>
      </c>
      <c r="M137" s="28">
        <v>0</v>
      </c>
      <c r="N137" s="28">
        <v>0</v>
      </c>
      <c r="O137" s="28">
        <v>0</v>
      </c>
      <c r="P137" s="516">
        <v>0</v>
      </c>
      <c r="Q137" s="517">
        <v>1</v>
      </c>
      <c r="R137" s="6">
        <v>0</v>
      </c>
      <c r="S137" s="369">
        <v>0</v>
      </c>
      <c r="T137" s="94"/>
      <c r="U137" s="28">
        <v>0</v>
      </c>
      <c r="V137" s="28">
        <v>0</v>
      </c>
      <c r="W137" s="28">
        <v>0</v>
      </c>
      <c r="X137" s="28">
        <v>0</v>
      </c>
      <c r="Y137" s="28">
        <v>0</v>
      </c>
      <c r="Z137" s="28">
        <v>0</v>
      </c>
      <c r="AA137" s="28">
        <v>0</v>
      </c>
      <c r="AB137" s="28">
        <v>0</v>
      </c>
      <c r="AC137" s="28">
        <v>0</v>
      </c>
      <c r="AD137" s="28">
        <v>0</v>
      </c>
      <c r="AE137" s="28">
        <v>0</v>
      </c>
      <c r="AF137" s="28">
        <v>0</v>
      </c>
      <c r="AG137" s="147"/>
      <c r="AH137" s="147"/>
      <c r="AI137" s="405">
        <v>0</v>
      </c>
      <c r="AJ137" s="460">
        <v>0</v>
      </c>
      <c r="AK137" s="417">
        <v>0</v>
      </c>
      <c r="AL137" s="405">
        <v>0</v>
      </c>
      <c r="AM137" s="147"/>
    </row>
    <row r="138" spans="1:39">
      <c r="A138" s="71">
        <v>131</v>
      </c>
      <c r="B138" s="71" t="s">
        <v>1249</v>
      </c>
      <c r="C138" s="28">
        <v>45</v>
      </c>
      <c r="D138" s="28">
        <v>203</v>
      </c>
      <c r="E138" s="28">
        <v>40</v>
      </c>
      <c r="F138" s="28">
        <v>1446</v>
      </c>
      <c r="G138" s="28">
        <v>856</v>
      </c>
      <c r="H138" s="28">
        <v>1136</v>
      </c>
      <c r="I138" s="28">
        <v>3</v>
      </c>
      <c r="J138" s="28">
        <v>141</v>
      </c>
      <c r="K138" s="28">
        <v>36</v>
      </c>
      <c r="L138" s="28">
        <v>19</v>
      </c>
      <c r="M138" s="28">
        <v>4</v>
      </c>
      <c r="N138" s="28">
        <v>1</v>
      </c>
      <c r="O138" s="28">
        <v>329</v>
      </c>
      <c r="P138" s="516">
        <v>3606</v>
      </c>
      <c r="Q138" s="517">
        <v>1.0529999999999999</v>
      </c>
      <c r="R138" s="6">
        <v>2</v>
      </c>
      <c r="S138" s="369">
        <v>9.2100000000000001E-2</v>
      </c>
      <c r="T138" s="365"/>
      <c r="U138" s="28">
        <v>2326289.4006299991</v>
      </c>
      <c r="V138" s="28">
        <v>3176805.8509199996</v>
      </c>
      <c r="W138" s="28">
        <v>17511069.930119999</v>
      </c>
      <c r="X138" s="28">
        <v>4342329.6625800002</v>
      </c>
      <c r="Y138" s="28">
        <v>698618.86262999987</v>
      </c>
      <c r="Z138" s="28">
        <v>2378746.7700000005</v>
      </c>
      <c r="AA138" s="28">
        <v>1590967.6438499999</v>
      </c>
      <c r="AB138" s="28">
        <v>1428155.4163499998</v>
      </c>
      <c r="AC138" s="28">
        <v>4583162.2718699994</v>
      </c>
      <c r="AD138" s="28">
        <v>6582913.54</v>
      </c>
      <c r="AE138" s="28">
        <v>1265606.6399999999</v>
      </c>
      <c r="AF138" s="28">
        <v>45884665.988949992</v>
      </c>
      <c r="AG138" s="147"/>
      <c r="AH138" s="147"/>
      <c r="AI138" s="405">
        <v>329</v>
      </c>
      <c r="AJ138" s="460">
        <v>3573</v>
      </c>
      <c r="AK138" s="417">
        <v>9.2100000000000001E-2</v>
      </c>
      <c r="AL138" s="405">
        <v>2</v>
      </c>
      <c r="AM138" s="147"/>
    </row>
    <row r="139" spans="1:39">
      <c r="A139" s="71">
        <v>132</v>
      </c>
      <c r="B139" s="71" t="s">
        <v>1250</v>
      </c>
      <c r="C139" s="28">
        <v>0</v>
      </c>
      <c r="D139" s="28">
        <v>0</v>
      </c>
      <c r="E139" s="28">
        <v>0</v>
      </c>
      <c r="F139" s="28">
        <v>0</v>
      </c>
      <c r="G139" s="28">
        <v>0</v>
      </c>
      <c r="H139" s="28">
        <v>0</v>
      </c>
      <c r="I139" s="28">
        <v>10</v>
      </c>
      <c r="J139" s="28">
        <v>0</v>
      </c>
      <c r="K139" s="28">
        <v>0</v>
      </c>
      <c r="L139" s="28">
        <v>0</v>
      </c>
      <c r="M139" s="28">
        <v>0</v>
      </c>
      <c r="N139" s="28">
        <v>0</v>
      </c>
      <c r="O139" s="28">
        <v>0</v>
      </c>
      <c r="P139" s="516">
        <v>10</v>
      </c>
      <c r="Q139" s="517">
        <v>1</v>
      </c>
      <c r="R139" s="6">
        <v>0</v>
      </c>
      <c r="S139" s="369">
        <v>0</v>
      </c>
      <c r="T139" s="94"/>
      <c r="U139" s="28">
        <v>4486.5</v>
      </c>
      <c r="V139" s="28">
        <v>8103</v>
      </c>
      <c r="W139" s="28">
        <v>81739.3</v>
      </c>
      <c r="X139" s="28">
        <v>5710.7000000000007</v>
      </c>
      <c r="Y139" s="28">
        <v>2555.1</v>
      </c>
      <c r="Z139" s="28">
        <v>15057.3</v>
      </c>
      <c r="AA139" s="28">
        <v>4511.2</v>
      </c>
      <c r="AB139" s="28">
        <v>6076.5999999999995</v>
      </c>
      <c r="AC139" s="28">
        <v>20297.5</v>
      </c>
      <c r="AD139" s="28">
        <v>20066.099999999999</v>
      </c>
      <c r="AE139" s="28">
        <v>0</v>
      </c>
      <c r="AF139" s="28">
        <v>168603.30000000002</v>
      </c>
      <c r="AG139" s="147"/>
      <c r="AH139" s="147"/>
      <c r="AI139" s="405">
        <v>0</v>
      </c>
      <c r="AJ139" s="460">
        <v>0</v>
      </c>
      <c r="AK139" s="417">
        <v>0</v>
      </c>
      <c r="AL139" s="405">
        <v>0</v>
      </c>
      <c r="AM139" s="147"/>
    </row>
    <row r="140" spans="1:39">
      <c r="A140" s="71">
        <v>133</v>
      </c>
      <c r="B140" s="71" t="s">
        <v>1251</v>
      </c>
      <c r="C140" s="28">
        <v>32</v>
      </c>
      <c r="D140" s="28">
        <v>0</v>
      </c>
      <c r="E140" s="28">
        <v>92</v>
      </c>
      <c r="F140" s="28">
        <v>567</v>
      </c>
      <c r="G140" s="28">
        <v>363</v>
      </c>
      <c r="H140" s="28">
        <v>317</v>
      </c>
      <c r="I140" s="28">
        <v>0</v>
      </c>
      <c r="J140" s="28">
        <v>53</v>
      </c>
      <c r="K140" s="28">
        <v>13</v>
      </c>
      <c r="L140" s="28">
        <v>73</v>
      </c>
      <c r="M140" s="28">
        <v>18</v>
      </c>
      <c r="N140" s="28">
        <v>31</v>
      </c>
      <c r="O140" s="28">
        <v>665</v>
      </c>
      <c r="P140" s="516">
        <v>1355</v>
      </c>
      <c r="Q140" s="517">
        <v>1.04</v>
      </c>
      <c r="R140" s="6">
        <v>9</v>
      </c>
      <c r="S140" s="369">
        <v>0.49790000000000001</v>
      </c>
      <c r="T140" s="365"/>
      <c r="U140" s="28">
        <v>930436.09359999991</v>
      </c>
      <c r="V140" s="28">
        <v>1464867.5287999997</v>
      </c>
      <c r="W140" s="28">
        <v>9072702.5896000024</v>
      </c>
      <c r="X140" s="28">
        <v>1668589.2287999999</v>
      </c>
      <c r="Y140" s="28">
        <v>389628.16880000004</v>
      </c>
      <c r="Z140" s="28">
        <v>892207.79999999981</v>
      </c>
      <c r="AA140" s="28">
        <v>697174.83680000016</v>
      </c>
      <c r="AB140" s="28">
        <v>1021191.7352000001</v>
      </c>
      <c r="AC140" s="28">
        <v>1738938.7808000001</v>
      </c>
      <c r="AD140" s="28">
        <v>2945758.09</v>
      </c>
      <c r="AE140" s="28">
        <v>457024.62</v>
      </c>
      <c r="AF140" s="28">
        <v>21278519.472400002</v>
      </c>
      <c r="AG140" s="147"/>
      <c r="AH140" s="147"/>
      <c r="AI140" s="405">
        <v>665</v>
      </c>
      <c r="AJ140" s="460">
        <v>1335.5</v>
      </c>
      <c r="AK140" s="417">
        <v>0.49790000000000001</v>
      </c>
      <c r="AL140" s="405">
        <v>9</v>
      </c>
      <c r="AM140" s="147"/>
    </row>
    <row r="141" spans="1:39">
      <c r="A141" s="71">
        <v>134</v>
      </c>
      <c r="B141" s="71" t="s">
        <v>1252</v>
      </c>
      <c r="C141" s="28">
        <v>0</v>
      </c>
      <c r="D141" s="28">
        <v>0</v>
      </c>
      <c r="E141" s="28">
        <v>0</v>
      </c>
      <c r="F141" s="28">
        <v>0</v>
      </c>
      <c r="G141" s="28">
        <v>0</v>
      </c>
      <c r="H141" s="28">
        <v>0</v>
      </c>
      <c r="I141" s="28">
        <v>2</v>
      </c>
      <c r="J141" s="28">
        <v>0</v>
      </c>
      <c r="K141" s="28">
        <v>0</v>
      </c>
      <c r="L141" s="28">
        <v>0</v>
      </c>
      <c r="M141" s="28">
        <v>0</v>
      </c>
      <c r="N141" s="28">
        <v>0</v>
      </c>
      <c r="O141" s="28">
        <v>0</v>
      </c>
      <c r="P141" s="516">
        <v>2</v>
      </c>
      <c r="Q141" s="517">
        <v>1</v>
      </c>
      <c r="R141" s="6">
        <v>0</v>
      </c>
      <c r="S141" s="369">
        <v>0</v>
      </c>
      <c r="T141" s="94"/>
      <c r="U141" s="28">
        <v>897.3</v>
      </c>
      <c r="V141" s="28">
        <v>1620.6</v>
      </c>
      <c r="W141" s="28">
        <v>16347.86</v>
      </c>
      <c r="X141" s="28">
        <v>1142.1400000000001</v>
      </c>
      <c r="Y141" s="28">
        <v>511.02</v>
      </c>
      <c r="Z141" s="28">
        <v>3011.46</v>
      </c>
      <c r="AA141" s="28">
        <v>902.24</v>
      </c>
      <c r="AB141" s="28">
        <v>1215.32</v>
      </c>
      <c r="AC141" s="28">
        <v>4059.5</v>
      </c>
      <c r="AD141" s="28">
        <v>4013.22</v>
      </c>
      <c r="AE141" s="28">
        <v>0</v>
      </c>
      <c r="AF141" s="28">
        <v>33720.660000000003</v>
      </c>
      <c r="AG141" s="147"/>
      <c r="AH141" s="147"/>
      <c r="AI141" s="405">
        <v>0</v>
      </c>
      <c r="AJ141" s="460">
        <v>0</v>
      </c>
      <c r="AK141" s="417">
        <v>0</v>
      </c>
      <c r="AL141" s="405">
        <v>0</v>
      </c>
      <c r="AM141" s="147"/>
    </row>
    <row r="142" spans="1:39">
      <c r="A142" s="71">
        <v>135</v>
      </c>
      <c r="B142" s="71" t="s">
        <v>1253</v>
      </c>
      <c r="C142" s="28">
        <v>2</v>
      </c>
      <c r="D142" s="28">
        <v>0</v>
      </c>
      <c r="E142" s="28">
        <v>14</v>
      </c>
      <c r="F142" s="28">
        <v>119</v>
      </c>
      <c r="G142" s="28">
        <v>23</v>
      </c>
      <c r="H142" s="28">
        <v>0</v>
      </c>
      <c r="I142" s="28">
        <v>0</v>
      </c>
      <c r="J142" s="28">
        <v>6</v>
      </c>
      <c r="K142" s="28">
        <v>2</v>
      </c>
      <c r="L142" s="28">
        <v>2</v>
      </c>
      <c r="M142" s="28">
        <v>0</v>
      </c>
      <c r="N142" s="28">
        <v>0</v>
      </c>
      <c r="O142" s="28">
        <v>91</v>
      </c>
      <c r="P142" s="516">
        <v>157</v>
      </c>
      <c r="Q142" s="517">
        <v>1</v>
      </c>
      <c r="R142" s="6">
        <v>8</v>
      </c>
      <c r="S142" s="369">
        <v>0.43440000000000001</v>
      </c>
      <c r="T142" s="365"/>
      <c r="U142" s="28">
        <v>104353.73999999999</v>
      </c>
      <c r="V142" s="28">
        <v>164131.46</v>
      </c>
      <c r="W142" s="28">
        <v>993652.84000000008</v>
      </c>
      <c r="X142" s="28">
        <v>201212.3</v>
      </c>
      <c r="Y142" s="28">
        <v>43735.270000000004</v>
      </c>
      <c r="Z142" s="28">
        <v>89941.38999999997</v>
      </c>
      <c r="AA142" s="28">
        <v>74723.340000000011</v>
      </c>
      <c r="AB142" s="28">
        <v>101951.91</v>
      </c>
      <c r="AC142" s="28">
        <v>185397.27</v>
      </c>
      <c r="AD142" s="28">
        <v>343330.1</v>
      </c>
      <c r="AE142" s="28">
        <v>70311.48</v>
      </c>
      <c r="AF142" s="28">
        <v>2372741.1</v>
      </c>
      <c r="AG142" s="147"/>
      <c r="AH142" s="147"/>
      <c r="AI142" s="405">
        <v>91</v>
      </c>
      <c r="AJ142" s="460">
        <v>209.5</v>
      </c>
      <c r="AK142" s="417">
        <v>0.43440000000000001</v>
      </c>
      <c r="AL142" s="405">
        <v>8</v>
      </c>
      <c r="AM142" s="147"/>
    </row>
    <row r="143" spans="1:39">
      <c r="A143" s="71">
        <v>136</v>
      </c>
      <c r="B143" s="71" t="s">
        <v>1254</v>
      </c>
      <c r="C143" s="28">
        <v>25</v>
      </c>
      <c r="D143" s="28">
        <v>1</v>
      </c>
      <c r="E143" s="28">
        <v>159</v>
      </c>
      <c r="F143" s="28">
        <v>987</v>
      </c>
      <c r="G143" s="28">
        <v>666</v>
      </c>
      <c r="H143" s="28">
        <v>806</v>
      </c>
      <c r="I143" s="28">
        <v>20</v>
      </c>
      <c r="J143" s="28">
        <v>104</v>
      </c>
      <c r="K143" s="28">
        <v>26</v>
      </c>
      <c r="L143" s="28">
        <v>59</v>
      </c>
      <c r="M143" s="28">
        <v>14</v>
      </c>
      <c r="N143" s="28">
        <v>9</v>
      </c>
      <c r="O143" s="28">
        <v>344</v>
      </c>
      <c r="P143" s="516">
        <v>2652</v>
      </c>
      <c r="Q143" s="517">
        <v>1.0089999999999999</v>
      </c>
      <c r="R143" s="6">
        <v>3</v>
      </c>
      <c r="S143" s="369">
        <v>0.12770000000000001</v>
      </c>
      <c r="T143" s="365"/>
      <c r="U143" s="28">
        <v>1652708.2287699999</v>
      </c>
      <c r="V143" s="28">
        <v>2284095.7502499991</v>
      </c>
      <c r="W143" s="28">
        <v>12782598.763769995</v>
      </c>
      <c r="X143" s="28">
        <v>3070385.1535299998</v>
      </c>
      <c r="Y143" s="28">
        <v>513764.03259999986</v>
      </c>
      <c r="Z143" s="28">
        <v>1768677.2900000003</v>
      </c>
      <c r="AA143" s="28">
        <v>1139764.1499299996</v>
      </c>
      <c r="AB143" s="28">
        <v>1070912.6839599998</v>
      </c>
      <c r="AC143" s="28">
        <v>3272393.0478899996</v>
      </c>
      <c r="AD143" s="28">
        <v>4930757.9000000004</v>
      </c>
      <c r="AE143" s="28">
        <v>914049.24</v>
      </c>
      <c r="AF143" s="28">
        <v>33400106.240699988</v>
      </c>
      <c r="AG143" s="147"/>
      <c r="AH143" s="147"/>
      <c r="AI143" s="405">
        <v>344</v>
      </c>
      <c r="AJ143" s="460">
        <v>2693</v>
      </c>
      <c r="AK143" s="417">
        <v>0.12770000000000001</v>
      </c>
      <c r="AL143" s="405">
        <v>3</v>
      </c>
      <c r="AM143" s="147"/>
    </row>
    <row r="144" spans="1:39">
      <c r="A144" s="71">
        <v>137</v>
      </c>
      <c r="B144" s="71" t="s">
        <v>1255</v>
      </c>
      <c r="C144" s="28">
        <v>344</v>
      </c>
      <c r="D144" s="28">
        <v>0</v>
      </c>
      <c r="E144" s="28">
        <v>401</v>
      </c>
      <c r="F144" s="28">
        <v>2085</v>
      </c>
      <c r="G144" s="28">
        <v>1328</v>
      </c>
      <c r="H144" s="28">
        <v>1464</v>
      </c>
      <c r="I144" s="28">
        <v>400</v>
      </c>
      <c r="J144" s="28">
        <v>227</v>
      </c>
      <c r="K144" s="28">
        <v>53</v>
      </c>
      <c r="L144" s="28">
        <v>411</v>
      </c>
      <c r="M144" s="28">
        <v>190</v>
      </c>
      <c r="N144" s="28">
        <v>314</v>
      </c>
      <c r="O144" s="28">
        <v>4764</v>
      </c>
      <c r="P144" s="516">
        <v>5850</v>
      </c>
      <c r="Q144" s="517">
        <v>1</v>
      </c>
      <c r="R144" s="6">
        <v>12</v>
      </c>
      <c r="S144" s="369">
        <v>0.8831</v>
      </c>
      <c r="T144" s="365"/>
      <c r="U144" s="28">
        <v>4179146.9599999995</v>
      </c>
      <c r="V144" s="28">
        <v>7522981.3199999994</v>
      </c>
      <c r="W144" s="28">
        <v>53488565.390000001</v>
      </c>
      <c r="X144" s="28">
        <v>6865775.0600000005</v>
      </c>
      <c r="Y144" s="28">
        <v>2325169.2599999998</v>
      </c>
      <c r="Z144" s="28">
        <v>4426370.28</v>
      </c>
      <c r="AA144" s="28">
        <v>3495664.6900000004</v>
      </c>
      <c r="AB144" s="28">
        <v>7235417.1799999997</v>
      </c>
      <c r="AC144" s="28">
        <v>7736320.7599999988</v>
      </c>
      <c r="AD144" s="28">
        <v>15236212.949999999</v>
      </c>
      <c r="AE144" s="28">
        <v>1863254.22</v>
      </c>
      <c r="AF144" s="28">
        <v>114374878.07000002</v>
      </c>
      <c r="AG144" s="147"/>
      <c r="AH144" s="147"/>
      <c r="AI144" s="405">
        <v>4764</v>
      </c>
      <c r="AJ144" s="460">
        <v>5394.5</v>
      </c>
      <c r="AK144" s="417">
        <v>0.8831</v>
      </c>
      <c r="AL144" s="405">
        <v>12</v>
      </c>
      <c r="AM144" s="147"/>
    </row>
    <row r="145" spans="1:39">
      <c r="A145" s="71">
        <v>138</v>
      </c>
      <c r="B145" s="71" t="s">
        <v>1256</v>
      </c>
      <c r="C145" s="28">
        <v>11</v>
      </c>
      <c r="D145" s="28">
        <v>0</v>
      </c>
      <c r="E145" s="28">
        <v>54</v>
      </c>
      <c r="F145" s="28">
        <v>347</v>
      </c>
      <c r="G145" s="28">
        <v>212</v>
      </c>
      <c r="H145" s="28">
        <v>243</v>
      </c>
      <c r="I145" s="28">
        <v>3</v>
      </c>
      <c r="J145" s="28">
        <v>34</v>
      </c>
      <c r="K145" s="28">
        <v>9</v>
      </c>
      <c r="L145" s="28">
        <v>43</v>
      </c>
      <c r="M145" s="28">
        <v>9</v>
      </c>
      <c r="N145" s="28">
        <v>4</v>
      </c>
      <c r="O145" s="28">
        <v>265</v>
      </c>
      <c r="P145" s="516">
        <v>865</v>
      </c>
      <c r="Q145" s="517">
        <v>1</v>
      </c>
      <c r="R145" s="6">
        <v>5</v>
      </c>
      <c r="S145" s="369">
        <v>0.25090000000000001</v>
      </c>
      <c r="T145" s="365"/>
      <c r="U145" s="28">
        <v>550267.11</v>
      </c>
      <c r="V145" s="28">
        <v>794332.67999999993</v>
      </c>
      <c r="W145" s="28">
        <v>4629024.6400000006</v>
      </c>
      <c r="X145" s="28">
        <v>1009252.48</v>
      </c>
      <c r="Y145" s="28">
        <v>190990.11999999997</v>
      </c>
      <c r="Z145" s="28">
        <v>574775.54999999993</v>
      </c>
      <c r="AA145" s="28">
        <v>388893.75</v>
      </c>
      <c r="AB145" s="28">
        <v>439225.66999999993</v>
      </c>
      <c r="AC145" s="28">
        <v>1062797.9400000002</v>
      </c>
      <c r="AD145" s="28">
        <v>1701675.8</v>
      </c>
      <c r="AE145" s="28">
        <v>316401.65999999997</v>
      </c>
      <c r="AF145" s="28">
        <v>11657637.4</v>
      </c>
      <c r="AG145" s="147"/>
      <c r="AH145" s="147"/>
      <c r="AI145" s="405">
        <v>265</v>
      </c>
      <c r="AJ145" s="460">
        <v>1056</v>
      </c>
      <c r="AK145" s="417">
        <v>0.25090000000000001</v>
      </c>
      <c r="AL145" s="405">
        <v>5</v>
      </c>
      <c r="AM145" s="147"/>
    </row>
    <row r="146" spans="1:39">
      <c r="A146" s="71">
        <v>139</v>
      </c>
      <c r="B146" s="71" t="s">
        <v>1257</v>
      </c>
      <c r="C146" s="28">
        <v>39</v>
      </c>
      <c r="D146" s="28">
        <v>0</v>
      </c>
      <c r="E146" s="28">
        <v>272</v>
      </c>
      <c r="F146" s="28">
        <v>1628</v>
      </c>
      <c r="G146" s="28">
        <v>973</v>
      </c>
      <c r="H146" s="28">
        <v>1270</v>
      </c>
      <c r="I146" s="28">
        <v>2</v>
      </c>
      <c r="J146" s="28">
        <v>163</v>
      </c>
      <c r="K146" s="28">
        <v>41</v>
      </c>
      <c r="L146" s="28">
        <v>180</v>
      </c>
      <c r="M146" s="28">
        <v>11</v>
      </c>
      <c r="N146" s="28">
        <v>20</v>
      </c>
      <c r="O146" s="28">
        <v>336</v>
      </c>
      <c r="P146" s="516">
        <v>4165</v>
      </c>
      <c r="Q146" s="517">
        <v>1.038</v>
      </c>
      <c r="R146" s="6">
        <v>2</v>
      </c>
      <c r="S146" s="369">
        <v>8.1100000000000005E-2</v>
      </c>
      <c r="T146" s="365"/>
      <c r="U146" s="28">
        <v>2665984.6161000002</v>
      </c>
      <c r="V146" s="28">
        <v>3642522.3109800001</v>
      </c>
      <c r="W146" s="28">
        <v>20034122.32344</v>
      </c>
      <c r="X146" s="28">
        <v>5005279.5337200006</v>
      </c>
      <c r="Y146" s="28">
        <v>799667.68488000007</v>
      </c>
      <c r="Z146" s="28">
        <v>2757903.0200000005</v>
      </c>
      <c r="AA146" s="28">
        <v>1819031.7754200001</v>
      </c>
      <c r="AB146" s="28">
        <v>1578032.24664</v>
      </c>
      <c r="AC146" s="28">
        <v>5278666.9460999994</v>
      </c>
      <c r="AD146" s="28">
        <v>7646161.459999999</v>
      </c>
      <c r="AE146" s="28">
        <v>1441385.3399999999</v>
      </c>
      <c r="AF146" s="28">
        <v>52668757.257279992</v>
      </c>
      <c r="AG146" s="147"/>
      <c r="AH146" s="147"/>
      <c r="AI146" s="405">
        <v>336</v>
      </c>
      <c r="AJ146" s="460">
        <v>4142</v>
      </c>
      <c r="AK146" s="417">
        <v>8.1100000000000005E-2</v>
      </c>
      <c r="AL146" s="405">
        <v>2</v>
      </c>
      <c r="AM146" s="147"/>
    </row>
    <row r="147" spans="1:39">
      <c r="A147" s="71">
        <v>140</v>
      </c>
      <c r="B147" s="71" t="s">
        <v>1258</v>
      </c>
      <c r="C147" s="28">
        <v>0</v>
      </c>
      <c r="D147" s="28">
        <v>0</v>
      </c>
      <c r="E147" s="28">
        <v>0</v>
      </c>
      <c r="F147" s="28">
        <v>0</v>
      </c>
      <c r="G147" s="28">
        <v>0</v>
      </c>
      <c r="H147" s="28">
        <v>0</v>
      </c>
      <c r="I147" s="28">
        <v>0</v>
      </c>
      <c r="J147" s="28">
        <v>0</v>
      </c>
      <c r="K147" s="28">
        <v>0</v>
      </c>
      <c r="L147" s="28">
        <v>0</v>
      </c>
      <c r="M147" s="28">
        <v>0</v>
      </c>
      <c r="N147" s="28">
        <v>0</v>
      </c>
      <c r="O147" s="28">
        <v>0</v>
      </c>
      <c r="P147" s="516">
        <v>0</v>
      </c>
      <c r="Q147" s="517">
        <v>1</v>
      </c>
      <c r="R147" s="6">
        <v>0</v>
      </c>
      <c r="S147" s="369">
        <v>0</v>
      </c>
      <c r="T147" s="94"/>
      <c r="U147" s="28">
        <v>0</v>
      </c>
      <c r="V147" s="28">
        <v>0</v>
      </c>
      <c r="W147" s="28">
        <v>0</v>
      </c>
      <c r="X147" s="28">
        <v>0</v>
      </c>
      <c r="Y147" s="28">
        <v>0</v>
      </c>
      <c r="Z147" s="28">
        <v>0</v>
      </c>
      <c r="AA147" s="28">
        <v>0</v>
      </c>
      <c r="AB147" s="28">
        <v>0</v>
      </c>
      <c r="AC147" s="28">
        <v>0</v>
      </c>
      <c r="AD147" s="28">
        <v>0</v>
      </c>
      <c r="AE147" s="28">
        <v>0</v>
      </c>
      <c r="AF147" s="28">
        <v>0</v>
      </c>
      <c r="AG147" s="147"/>
      <c r="AH147" s="147"/>
      <c r="AI147" s="405">
        <v>0</v>
      </c>
      <c r="AJ147" s="460">
        <v>0</v>
      </c>
      <c r="AK147" s="417">
        <v>0</v>
      </c>
      <c r="AL147" s="405">
        <v>0</v>
      </c>
      <c r="AM147" s="147"/>
    </row>
    <row r="148" spans="1:39">
      <c r="A148" s="71">
        <v>141</v>
      </c>
      <c r="B148" s="71" t="s">
        <v>1259</v>
      </c>
      <c r="C148" s="28">
        <v>36</v>
      </c>
      <c r="D148" s="28">
        <v>0</v>
      </c>
      <c r="E148" s="28">
        <v>181</v>
      </c>
      <c r="F148" s="28">
        <v>882</v>
      </c>
      <c r="G148" s="28">
        <v>614</v>
      </c>
      <c r="H148" s="28">
        <v>711</v>
      </c>
      <c r="I148" s="28">
        <v>1</v>
      </c>
      <c r="J148" s="28">
        <v>94</v>
      </c>
      <c r="K148" s="28">
        <v>24</v>
      </c>
      <c r="L148" s="28">
        <v>263</v>
      </c>
      <c r="M148" s="28">
        <v>62</v>
      </c>
      <c r="N148" s="28">
        <v>67</v>
      </c>
      <c r="O148" s="28">
        <v>1003</v>
      </c>
      <c r="P148" s="516">
        <v>2407</v>
      </c>
      <c r="Q148" s="517">
        <v>1.002</v>
      </c>
      <c r="R148" s="6">
        <v>7</v>
      </c>
      <c r="S148" s="369">
        <v>0.39689999999999998</v>
      </c>
      <c r="T148" s="365"/>
      <c r="U148" s="28">
        <v>1587005.1850199995</v>
      </c>
      <c r="V148" s="28">
        <v>2408157.1709399996</v>
      </c>
      <c r="W148" s="28">
        <v>14644403.366040001</v>
      </c>
      <c r="X148" s="28">
        <v>2840510.8523400002</v>
      </c>
      <c r="Y148" s="28">
        <v>614209.66740000003</v>
      </c>
      <c r="Z148" s="28">
        <v>1648678.77</v>
      </c>
      <c r="AA148" s="28">
        <v>1165157.7141000002</v>
      </c>
      <c r="AB148" s="28">
        <v>1540990.3791</v>
      </c>
      <c r="AC148" s="28">
        <v>3041520.1585199996</v>
      </c>
      <c r="AD148" s="28">
        <v>5051664.209999999</v>
      </c>
      <c r="AE148" s="28">
        <v>843737.76</v>
      </c>
      <c r="AF148" s="28">
        <v>35386035.233459994</v>
      </c>
      <c r="AG148" s="147"/>
      <c r="AH148" s="147"/>
      <c r="AI148" s="405">
        <v>1003</v>
      </c>
      <c r="AJ148" s="460">
        <v>2527</v>
      </c>
      <c r="AK148" s="417">
        <v>0.39689999999999998</v>
      </c>
      <c r="AL148" s="405">
        <v>7</v>
      </c>
      <c r="AM148" s="147"/>
    </row>
    <row r="149" spans="1:39">
      <c r="A149" s="71">
        <v>142</v>
      </c>
      <c r="B149" s="71" t="s">
        <v>1260</v>
      </c>
      <c r="C149" s="28">
        <v>61</v>
      </c>
      <c r="D149" s="28">
        <v>0</v>
      </c>
      <c r="E149" s="28">
        <v>45</v>
      </c>
      <c r="F149" s="28">
        <v>258</v>
      </c>
      <c r="G149" s="28">
        <v>167</v>
      </c>
      <c r="H149" s="28">
        <v>253</v>
      </c>
      <c r="I149" s="28">
        <v>3</v>
      </c>
      <c r="J149" s="28">
        <v>28</v>
      </c>
      <c r="K149" s="28">
        <v>7</v>
      </c>
      <c r="L149" s="28">
        <v>3</v>
      </c>
      <c r="M149" s="28">
        <v>1</v>
      </c>
      <c r="N149" s="28">
        <v>8</v>
      </c>
      <c r="O149" s="28">
        <v>276</v>
      </c>
      <c r="P149" s="516">
        <v>757</v>
      </c>
      <c r="Q149" s="517">
        <v>1.0309999999999999</v>
      </c>
      <c r="R149" s="6">
        <v>7</v>
      </c>
      <c r="S149" s="369">
        <v>0.373</v>
      </c>
      <c r="T149" s="365"/>
      <c r="U149" s="28">
        <v>489949.81985999993</v>
      </c>
      <c r="V149" s="28">
        <v>740783.71721000003</v>
      </c>
      <c r="W149" s="28">
        <v>4469563.8991200002</v>
      </c>
      <c r="X149" s="28">
        <v>874940.39617999992</v>
      </c>
      <c r="Y149" s="28">
        <v>184352.69759999996</v>
      </c>
      <c r="Z149" s="28">
        <v>512708.16000000003</v>
      </c>
      <c r="AA149" s="28">
        <v>362633.02170999994</v>
      </c>
      <c r="AB149" s="28">
        <v>475445.01077999995</v>
      </c>
      <c r="AC149" s="28">
        <v>940885.2594199999</v>
      </c>
      <c r="AD149" s="28">
        <v>1515766.0499999998</v>
      </c>
      <c r="AE149" s="28">
        <v>246090.18</v>
      </c>
      <c r="AF149" s="28">
        <v>10813118.211879998</v>
      </c>
      <c r="AG149" s="147"/>
      <c r="AH149" s="147"/>
      <c r="AI149" s="405">
        <v>276</v>
      </c>
      <c r="AJ149" s="460">
        <v>740</v>
      </c>
      <c r="AK149" s="417">
        <v>0.373</v>
      </c>
      <c r="AL149" s="405">
        <v>7</v>
      </c>
      <c r="AM149" s="147"/>
    </row>
    <row r="150" spans="1:39">
      <c r="A150" s="71">
        <v>143</v>
      </c>
      <c r="B150" s="71" t="s">
        <v>1261</v>
      </c>
      <c r="C150" s="28">
        <v>0</v>
      </c>
      <c r="D150" s="28">
        <v>0</v>
      </c>
      <c r="E150" s="28">
        <v>0</v>
      </c>
      <c r="F150" s="28">
        <v>0</v>
      </c>
      <c r="G150" s="28">
        <v>0</v>
      </c>
      <c r="H150" s="28">
        <v>0</v>
      </c>
      <c r="I150" s="28">
        <v>37</v>
      </c>
      <c r="J150" s="28">
        <v>2</v>
      </c>
      <c r="K150" s="28">
        <v>0</v>
      </c>
      <c r="L150" s="28">
        <v>0</v>
      </c>
      <c r="M150" s="28">
        <v>0</v>
      </c>
      <c r="N150" s="28">
        <v>0</v>
      </c>
      <c r="O150" s="28">
        <v>0</v>
      </c>
      <c r="P150" s="516">
        <v>37</v>
      </c>
      <c r="Q150" s="517">
        <v>1</v>
      </c>
      <c r="R150" s="6">
        <v>0</v>
      </c>
      <c r="S150" s="369">
        <v>0</v>
      </c>
      <c r="T150" s="94"/>
      <c r="U150" s="28">
        <v>22792.87</v>
      </c>
      <c r="V150" s="28">
        <v>29981.1</v>
      </c>
      <c r="W150" s="28">
        <v>322870.17000000004</v>
      </c>
      <c r="X150" s="28">
        <v>40209.229999999996</v>
      </c>
      <c r="Y150" s="28">
        <v>10439.629999999999</v>
      </c>
      <c r="Z150" s="28">
        <v>56572.41</v>
      </c>
      <c r="AA150" s="28">
        <v>16691.439999999999</v>
      </c>
      <c r="AB150" s="28">
        <v>22483.42</v>
      </c>
      <c r="AC150" s="28">
        <v>82018.41</v>
      </c>
      <c r="AD150" s="28">
        <v>82440.76999999999</v>
      </c>
      <c r="AE150" s="28">
        <v>0</v>
      </c>
      <c r="AF150" s="28">
        <v>686499.45000000007</v>
      </c>
      <c r="AG150" s="147"/>
      <c r="AH150" s="147"/>
      <c r="AI150" s="405">
        <v>0</v>
      </c>
      <c r="AJ150" s="460">
        <v>0</v>
      </c>
      <c r="AK150" s="417">
        <v>0</v>
      </c>
      <c r="AL150" s="405">
        <v>0</v>
      </c>
      <c r="AM150" s="147"/>
    </row>
    <row r="151" spans="1:39">
      <c r="A151" s="71">
        <v>144</v>
      </c>
      <c r="B151" s="71" t="s">
        <v>1262</v>
      </c>
      <c r="C151" s="28">
        <v>34</v>
      </c>
      <c r="D151" s="28">
        <v>0</v>
      </c>
      <c r="E151" s="28">
        <v>121</v>
      </c>
      <c r="F151" s="28">
        <v>548</v>
      </c>
      <c r="G151" s="28">
        <v>369</v>
      </c>
      <c r="H151" s="28">
        <v>482</v>
      </c>
      <c r="I151" s="28">
        <v>14</v>
      </c>
      <c r="J151" s="28">
        <v>61</v>
      </c>
      <c r="K151" s="28">
        <v>15</v>
      </c>
      <c r="L151" s="28">
        <v>32</v>
      </c>
      <c r="M151" s="28">
        <v>7</v>
      </c>
      <c r="N151" s="28">
        <v>9</v>
      </c>
      <c r="O151" s="28">
        <v>337</v>
      </c>
      <c r="P151" s="516">
        <v>1551</v>
      </c>
      <c r="Q151" s="517">
        <v>1.0589999999999999</v>
      </c>
      <c r="R151" s="6">
        <v>4</v>
      </c>
      <c r="S151" s="369">
        <v>0.21460000000000001</v>
      </c>
      <c r="T151" s="365"/>
      <c r="U151" s="28">
        <v>1024227.4596600001</v>
      </c>
      <c r="V151" s="28">
        <v>1448347.0685999999</v>
      </c>
      <c r="W151" s="28">
        <v>8330274.9301499994</v>
      </c>
      <c r="X151" s="28">
        <v>1887706.4500199999</v>
      </c>
      <c r="Y151" s="28">
        <v>337300.82979000005</v>
      </c>
      <c r="Z151" s="28">
        <v>1043641.8699999999</v>
      </c>
      <c r="AA151" s="28">
        <v>718306.49427000002</v>
      </c>
      <c r="AB151" s="28">
        <v>753119.1601199999</v>
      </c>
      <c r="AC151" s="28">
        <v>2011273.1010299998</v>
      </c>
      <c r="AD151" s="28">
        <v>2955351.7400000007</v>
      </c>
      <c r="AE151" s="28">
        <v>527336.1</v>
      </c>
      <c r="AF151" s="28">
        <v>21036885.203640003</v>
      </c>
      <c r="AG151" s="147"/>
      <c r="AH151" s="147"/>
      <c r="AI151" s="405">
        <v>337</v>
      </c>
      <c r="AJ151" s="460">
        <v>1570.5</v>
      </c>
      <c r="AK151" s="417">
        <v>0.21460000000000001</v>
      </c>
      <c r="AL151" s="405">
        <v>4</v>
      </c>
      <c r="AM151" s="147"/>
    </row>
    <row r="152" spans="1:39">
      <c r="A152" s="71">
        <v>145</v>
      </c>
      <c r="B152" s="71" t="s">
        <v>1263</v>
      </c>
      <c r="C152" s="28">
        <v>0</v>
      </c>
      <c r="D152" s="28">
        <v>0</v>
      </c>
      <c r="E152" s="28">
        <v>161</v>
      </c>
      <c r="F152" s="28">
        <v>831</v>
      </c>
      <c r="G152" s="28">
        <v>154</v>
      </c>
      <c r="H152" s="28">
        <v>0</v>
      </c>
      <c r="I152" s="28">
        <v>5</v>
      </c>
      <c r="J152" s="28">
        <v>45</v>
      </c>
      <c r="K152" s="28">
        <v>11</v>
      </c>
      <c r="L152" s="28">
        <v>66</v>
      </c>
      <c r="M152" s="28">
        <v>4</v>
      </c>
      <c r="N152" s="28">
        <v>0</v>
      </c>
      <c r="O152" s="28">
        <v>254</v>
      </c>
      <c r="P152" s="516">
        <v>1151</v>
      </c>
      <c r="Q152" s="517">
        <v>1.034</v>
      </c>
      <c r="R152" s="6">
        <v>4</v>
      </c>
      <c r="S152" s="369">
        <v>0.2104</v>
      </c>
      <c r="T152" s="365"/>
      <c r="U152" s="28">
        <v>744863.53127999988</v>
      </c>
      <c r="V152" s="28">
        <v>1057368.0070799999</v>
      </c>
      <c r="W152" s="28">
        <v>5718173.5283200005</v>
      </c>
      <c r="X152" s="28">
        <v>1548295.8521799999</v>
      </c>
      <c r="Y152" s="28">
        <v>241845.53777999998</v>
      </c>
      <c r="Z152" s="28">
        <v>658463.82999999984</v>
      </c>
      <c r="AA152" s="28">
        <v>492884.30751999997</v>
      </c>
      <c r="AB152" s="28">
        <v>365662.49851999996</v>
      </c>
      <c r="AC152" s="28">
        <v>1432025.3956800001</v>
      </c>
      <c r="AD152" s="28">
        <v>2219832.5700000003</v>
      </c>
      <c r="AE152" s="28">
        <v>386713.13999999996</v>
      </c>
      <c r="AF152" s="28">
        <v>14866128.19836</v>
      </c>
      <c r="AG152" s="147"/>
      <c r="AH152" s="147"/>
      <c r="AI152" s="405">
        <v>254</v>
      </c>
      <c r="AJ152" s="460">
        <v>1207</v>
      </c>
      <c r="AK152" s="417">
        <v>0.2104</v>
      </c>
      <c r="AL152" s="405">
        <v>4</v>
      </c>
      <c r="AM152" s="147"/>
    </row>
    <row r="153" spans="1:39">
      <c r="A153" s="71">
        <v>146</v>
      </c>
      <c r="B153" s="71" t="s">
        <v>1264</v>
      </c>
      <c r="C153" s="28">
        <v>0</v>
      </c>
      <c r="D153" s="28">
        <v>0</v>
      </c>
      <c r="E153" s="28">
        <v>0</v>
      </c>
      <c r="F153" s="28">
        <v>0</v>
      </c>
      <c r="G153" s="28">
        <v>0</v>
      </c>
      <c r="H153" s="28">
        <v>0</v>
      </c>
      <c r="I153" s="28">
        <v>14</v>
      </c>
      <c r="J153" s="28">
        <v>1</v>
      </c>
      <c r="K153" s="28">
        <v>0</v>
      </c>
      <c r="L153" s="28">
        <v>0</v>
      </c>
      <c r="M153" s="28">
        <v>0</v>
      </c>
      <c r="N153" s="28">
        <v>0</v>
      </c>
      <c r="O153" s="28">
        <v>0</v>
      </c>
      <c r="P153" s="516">
        <v>14</v>
      </c>
      <c r="Q153" s="517">
        <v>1</v>
      </c>
      <c r="R153" s="6">
        <v>0</v>
      </c>
      <c r="S153" s="369">
        <v>0</v>
      </c>
      <c r="T153" s="94"/>
      <c r="U153" s="28">
        <v>9377.5099999999984</v>
      </c>
      <c r="V153" s="28">
        <v>11344.199999999999</v>
      </c>
      <c r="W153" s="28">
        <v>124652.40000000001</v>
      </c>
      <c r="X153" s="28">
        <v>17534.8</v>
      </c>
      <c r="Y153" s="28">
        <v>4070.02</v>
      </c>
      <c r="Z153" s="28">
        <v>21510.420000000002</v>
      </c>
      <c r="AA153" s="28">
        <v>6315.68</v>
      </c>
      <c r="AB153" s="28">
        <v>8507.24</v>
      </c>
      <c r="AC153" s="28">
        <v>31875.33</v>
      </c>
      <c r="AD153" s="28">
        <v>32190.639999999999</v>
      </c>
      <c r="AE153" s="28">
        <v>0</v>
      </c>
      <c r="AF153" s="28">
        <v>267378.24</v>
      </c>
      <c r="AG153" s="147"/>
      <c r="AH153" s="147"/>
      <c r="AI153" s="405">
        <v>0</v>
      </c>
      <c r="AJ153" s="460">
        <v>0</v>
      </c>
      <c r="AK153" s="417">
        <v>0</v>
      </c>
      <c r="AL153" s="405">
        <v>0</v>
      </c>
      <c r="AM153" s="147"/>
    </row>
    <row r="154" spans="1:39">
      <c r="A154" s="71">
        <v>147</v>
      </c>
      <c r="B154" s="71" t="s">
        <v>1265</v>
      </c>
      <c r="C154" s="28">
        <v>0</v>
      </c>
      <c r="D154" s="28">
        <v>0</v>
      </c>
      <c r="E154" s="28">
        <v>0</v>
      </c>
      <c r="F154" s="28">
        <v>0</v>
      </c>
      <c r="G154" s="28">
        <v>0</v>
      </c>
      <c r="H154" s="28">
        <v>0</v>
      </c>
      <c r="I154" s="28">
        <v>2</v>
      </c>
      <c r="J154" s="28">
        <v>0</v>
      </c>
      <c r="K154" s="28">
        <v>0</v>
      </c>
      <c r="L154" s="28">
        <v>0</v>
      </c>
      <c r="M154" s="28">
        <v>0</v>
      </c>
      <c r="N154" s="28">
        <v>0</v>
      </c>
      <c r="O154" s="28">
        <v>0</v>
      </c>
      <c r="P154" s="516">
        <v>2</v>
      </c>
      <c r="Q154" s="517">
        <v>1</v>
      </c>
      <c r="R154" s="6">
        <v>0</v>
      </c>
      <c r="S154" s="369">
        <v>0</v>
      </c>
      <c r="T154" s="94"/>
      <c r="U154" s="28">
        <v>897.3</v>
      </c>
      <c r="V154" s="28">
        <v>1620.6</v>
      </c>
      <c r="W154" s="28">
        <v>16347.86</v>
      </c>
      <c r="X154" s="28">
        <v>1142.1400000000001</v>
      </c>
      <c r="Y154" s="28">
        <v>511.02</v>
      </c>
      <c r="Z154" s="28">
        <v>3011.46</v>
      </c>
      <c r="AA154" s="28">
        <v>902.24</v>
      </c>
      <c r="AB154" s="28">
        <v>1215.32</v>
      </c>
      <c r="AC154" s="28">
        <v>4059.5</v>
      </c>
      <c r="AD154" s="28">
        <v>4013.22</v>
      </c>
      <c r="AE154" s="28">
        <v>0</v>
      </c>
      <c r="AF154" s="28">
        <v>33720.660000000003</v>
      </c>
      <c r="AG154" s="147"/>
      <c r="AH154" s="147"/>
      <c r="AI154" s="405">
        <v>0</v>
      </c>
      <c r="AJ154" s="460">
        <v>0</v>
      </c>
      <c r="AK154" s="417">
        <v>0</v>
      </c>
      <c r="AL154" s="405">
        <v>0</v>
      </c>
      <c r="AM154" s="147"/>
    </row>
    <row r="155" spans="1:39">
      <c r="A155" s="71">
        <v>148</v>
      </c>
      <c r="B155" s="71" t="s">
        <v>1266</v>
      </c>
      <c r="C155" s="28">
        <v>0</v>
      </c>
      <c r="D155" s="28">
        <v>0</v>
      </c>
      <c r="E155" s="28">
        <v>0</v>
      </c>
      <c r="F155" s="28">
        <v>0</v>
      </c>
      <c r="G155" s="28">
        <v>0</v>
      </c>
      <c r="H155" s="28">
        <v>0</v>
      </c>
      <c r="I155" s="28">
        <v>0</v>
      </c>
      <c r="J155" s="28">
        <v>0</v>
      </c>
      <c r="K155" s="28">
        <v>0</v>
      </c>
      <c r="L155" s="28">
        <v>0</v>
      </c>
      <c r="M155" s="28">
        <v>0</v>
      </c>
      <c r="N155" s="28">
        <v>0</v>
      </c>
      <c r="O155" s="28">
        <v>0</v>
      </c>
      <c r="P155" s="516">
        <v>0</v>
      </c>
      <c r="Q155" s="517">
        <v>1</v>
      </c>
      <c r="R155" s="6">
        <v>0</v>
      </c>
      <c r="S155" s="369">
        <v>0</v>
      </c>
      <c r="T155" s="94"/>
      <c r="U155" s="28">
        <v>0</v>
      </c>
      <c r="V155" s="28">
        <v>0</v>
      </c>
      <c r="W155" s="28">
        <v>0</v>
      </c>
      <c r="X155" s="28">
        <v>0</v>
      </c>
      <c r="Y155" s="28">
        <v>0</v>
      </c>
      <c r="Z155" s="28">
        <v>0</v>
      </c>
      <c r="AA155" s="28">
        <v>0</v>
      </c>
      <c r="AB155" s="28">
        <v>0</v>
      </c>
      <c r="AC155" s="28">
        <v>0</v>
      </c>
      <c r="AD155" s="28">
        <v>0</v>
      </c>
      <c r="AE155" s="28">
        <v>0</v>
      </c>
      <c r="AF155" s="28">
        <v>0</v>
      </c>
      <c r="AG155" s="147"/>
      <c r="AH155" s="147"/>
      <c r="AI155" s="405">
        <v>0</v>
      </c>
      <c r="AJ155" s="460">
        <v>0</v>
      </c>
      <c r="AK155" s="417">
        <v>0</v>
      </c>
      <c r="AL155" s="405">
        <v>0</v>
      </c>
      <c r="AM155" s="147"/>
    </row>
    <row r="156" spans="1:39">
      <c r="A156" s="71">
        <v>149</v>
      </c>
      <c r="B156" s="71" t="s">
        <v>1267</v>
      </c>
      <c r="C156" s="28">
        <v>678</v>
      </c>
      <c r="D156" s="28">
        <v>0</v>
      </c>
      <c r="E156" s="28">
        <v>1125</v>
      </c>
      <c r="F156" s="28">
        <v>5876</v>
      </c>
      <c r="G156" s="28">
        <v>3733</v>
      </c>
      <c r="H156" s="28">
        <v>3672</v>
      </c>
      <c r="I156" s="28">
        <v>71</v>
      </c>
      <c r="J156" s="28">
        <v>570</v>
      </c>
      <c r="K156" s="28">
        <v>144</v>
      </c>
      <c r="L156" s="28">
        <v>3129</v>
      </c>
      <c r="M156" s="28">
        <v>1189</v>
      </c>
      <c r="N156" s="28">
        <v>1581</v>
      </c>
      <c r="O156" s="28">
        <v>12987</v>
      </c>
      <c r="P156" s="516">
        <v>14816</v>
      </c>
      <c r="Q156" s="517">
        <v>1</v>
      </c>
      <c r="R156" s="6">
        <v>12</v>
      </c>
      <c r="S156" s="369">
        <v>0.89419999999999999</v>
      </c>
      <c r="T156" s="365"/>
      <c r="U156" s="28">
        <v>11126446.119999997</v>
      </c>
      <c r="V156" s="28">
        <v>20281476.190000001</v>
      </c>
      <c r="W156" s="28">
        <v>140997824.29000002</v>
      </c>
      <c r="X156" s="28">
        <v>18343732.710000005</v>
      </c>
      <c r="Y156" s="28">
        <v>6233741.3300000001</v>
      </c>
      <c r="Z156" s="28">
        <v>10840358.069999998</v>
      </c>
      <c r="AA156" s="28">
        <v>9303104.8800000008</v>
      </c>
      <c r="AB156" s="28">
        <v>19059761.75</v>
      </c>
      <c r="AC156" s="28">
        <v>19912135.68</v>
      </c>
      <c r="AD156" s="28">
        <v>40293140.839999996</v>
      </c>
      <c r="AE156" s="28">
        <v>5062426.5599999996</v>
      </c>
      <c r="AF156" s="28">
        <v>301454148.42000002</v>
      </c>
      <c r="AG156" s="147"/>
      <c r="AH156" s="147"/>
      <c r="AI156" s="405">
        <v>12987</v>
      </c>
      <c r="AJ156" s="460">
        <v>14523</v>
      </c>
      <c r="AK156" s="417">
        <v>0.89419999999999999</v>
      </c>
      <c r="AL156" s="405">
        <v>12</v>
      </c>
      <c r="AM156" s="147"/>
    </row>
    <row r="157" spans="1:39">
      <c r="A157" s="71">
        <v>150</v>
      </c>
      <c r="B157" s="71" t="s">
        <v>1268</v>
      </c>
      <c r="C157" s="28">
        <v>17</v>
      </c>
      <c r="D157" s="28">
        <v>0</v>
      </c>
      <c r="E157" s="28">
        <v>38</v>
      </c>
      <c r="F157" s="28">
        <v>186</v>
      </c>
      <c r="G157" s="28">
        <v>135</v>
      </c>
      <c r="H157" s="28">
        <v>170</v>
      </c>
      <c r="I157" s="28">
        <v>11</v>
      </c>
      <c r="J157" s="28">
        <v>22</v>
      </c>
      <c r="K157" s="28">
        <v>5</v>
      </c>
      <c r="L157" s="28">
        <v>25</v>
      </c>
      <c r="M157" s="28">
        <v>4</v>
      </c>
      <c r="N157" s="28">
        <v>7</v>
      </c>
      <c r="O157" s="28">
        <v>305</v>
      </c>
      <c r="P157" s="516">
        <v>549</v>
      </c>
      <c r="Q157" s="517">
        <v>1</v>
      </c>
      <c r="R157" s="6">
        <v>8</v>
      </c>
      <c r="S157" s="369">
        <v>0.47810000000000002</v>
      </c>
      <c r="T157" s="365"/>
      <c r="U157" s="28">
        <v>362696.7</v>
      </c>
      <c r="V157" s="28">
        <v>574110.92999999993</v>
      </c>
      <c r="W157" s="28">
        <v>3683063.38</v>
      </c>
      <c r="X157" s="28">
        <v>634928.67000000004</v>
      </c>
      <c r="Y157" s="28">
        <v>155675.01</v>
      </c>
      <c r="Z157" s="28">
        <v>383991.21</v>
      </c>
      <c r="AA157" s="28">
        <v>276292.45</v>
      </c>
      <c r="AB157" s="28">
        <v>433060.27</v>
      </c>
      <c r="AC157" s="28">
        <v>686081.43</v>
      </c>
      <c r="AD157" s="28">
        <v>1200691.45</v>
      </c>
      <c r="AE157" s="28">
        <v>175778.69999999998</v>
      </c>
      <c r="AF157" s="28">
        <v>8566370.1999999974</v>
      </c>
      <c r="AG157" s="147"/>
      <c r="AH157" s="147"/>
      <c r="AI157" s="405">
        <v>305</v>
      </c>
      <c r="AJ157" s="460">
        <v>638</v>
      </c>
      <c r="AK157" s="417">
        <v>0.47810000000000002</v>
      </c>
      <c r="AL157" s="405">
        <v>8</v>
      </c>
      <c r="AM157" s="147"/>
    </row>
    <row r="158" spans="1:39">
      <c r="A158" s="71">
        <v>151</v>
      </c>
      <c r="B158" s="71" t="s">
        <v>1269</v>
      </c>
      <c r="C158" s="28">
        <v>34</v>
      </c>
      <c r="D158" s="28">
        <v>0</v>
      </c>
      <c r="E158" s="28">
        <v>84</v>
      </c>
      <c r="F158" s="28">
        <v>516</v>
      </c>
      <c r="G158" s="28">
        <v>318</v>
      </c>
      <c r="H158" s="28">
        <v>351</v>
      </c>
      <c r="I158" s="28">
        <v>119</v>
      </c>
      <c r="J158" s="28">
        <v>56</v>
      </c>
      <c r="K158" s="28">
        <v>13</v>
      </c>
      <c r="L158" s="28">
        <v>59</v>
      </c>
      <c r="M158" s="28">
        <v>20</v>
      </c>
      <c r="N158" s="28">
        <v>19</v>
      </c>
      <c r="O158" s="28">
        <v>606</v>
      </c>
      <c r="P158" s="516">
        <v>1405</v>
      </c>
      <c r="Q158" s="517">
        <v>1</v>
      </c>
      <c r="R158" s="6">
        <v>8</v>
      </c>
      <c r="S158" s="369">
        <v>0.4572</v>
      </c>
      <c r="T158" s="365"/>
      <c r="U158" s="28">
        <v>914556.50999999989</v>
      </c>
      <c r="V158" s="28">
        <v>1401530.37</v>
      </c>
      <c r="W158" s="28">
        <v>9077894.7899999991</v>
      </c>
      <c r="X158" s="28">
        <v>1629295.9700000002</v>
      </c>
      <c r="Y158" s="28">
        <v>374514.98</v>
      </c>
      <c r="Z158" s="28">
        <v>1039917.92</v>
      </c>
      <c r="AA158" s="28">
        <v>680102.77</v>
      </c>
      <c r="AB158" s="28">
        <v>965952.78</v>
      </c>
      <c r="AC158" s="28">
        <v>1842153.3099999998</v>
      </c>
      <c r="AD158" s="28">
        <v>2997898.2</v>
      </c>
      <c r="AE158" s="28">
        <v>457024.62</v>
      </c>
      <c r="AF158" s="28">
        <v>21380842.219999999</v>
      </c>
      <c r="AG158" s="147"/>
      <c r="AH158" s="147"/>
      <c r="AI158" s="405">
        <v>606</v>
      </c>
      <c r="AJ158" s="460">
        <v>1325.5</v>
      </c>
      <c r="AK158" s="417">
        <v>0.4572</v>
      </c>
      <c r="AL158" s="405">
        <v>8</v>
      </c>
      <c r="AM158" s="147"/>
    </row>
    <row r="159" spans="1:39">
      <c r="A159" s="71">
        <v>152</v>
      </c>
      <c r="B159" s="71" t="s">
        <v>1270</v>
      </c>
      <c r="C159" s="28">
        <v>25</v>
      </c>
      <c r="D159" s="28">
        <v>0</v>
      </c>
      <c r="E159" s="28">
        <v>31</v>
      </c>
      <c r="F159" s="28">
        <v>156</v>
      </c>
      <c r="G159" s="28">
        <v>118</v>
      </c>
      <c r="H159" s="28">
        <v>156</v>
      </c>
      <c r="I159" s="28">
        <v>8</v>
      </c>
      <c r="J159" s="28">
        <v>18</v>
      </c>
      <c r="K159" s="28">
        <v>5</v>
      </c>
      <c r="L159" s="28">
        <v>20</v>
      </c>
      <c r="M159" s="28">
        <v>3</v>
      </c>
      <c r="N159" s="28">
        <v>9</v>
      </c>
      <c r="O159" s="28">
        <v>205</v>
      </c>
      <c r="P159" s="516">
        <v>482</v>
      </c>
      <c r="Q159" s="517">
        <v>1</v>
      </c>
      <c r="R159" s="6">
        <v>5</v>
      </c>
      <c r="S159" s="369">
        <v>0.26640000000000003</v>
      </c>
      <c r="T159" s="365"/>
      <c r="U159" s="28">
        <v>307497.21999999997</v>
      </c>
      <c r="V159" s="28">
        <v>460655.44999999995</v>
      </c>
      <c r="W159" s="28">
        <v>2796624.5600000005</v>
      </c>
      <c r="X159" s="28">
        <v>543217.2100000002</v>
      </c>
      <c r="Y159" s="28">
        <v>115330.92</v>
      </c>
      <c r="Z159" s="28">
        <v>334048.23</v>
      </c>
      <c r="AA159" s="28">
        <v>225777.18000000002</v>
      </c>
      <c r="AB159" s="28">
        <v>292965.30999999994</v>
      </c>
      <c r="AC159" s="28">
        <v>596651.31000000006</v>
      </c>
      <c r="AD159" s="28">
        <v>975063.98</v>
      </c>
      <c r="AE159" s="28">
        <v>175778.69999999998</v>
      </c>
      <c r="AF159" s="28">
        <v>6823610.0699999994</v>
      </c>
      <c r="AG159" s="147"/>
      <c r="AH159" s="147"/>
      <c r="AI159" s="405">
        <v>205</v>
      </c>
      <c r="AJ159" s="460">
        <v>769.5</v>
      </c>
      <c r="AK159" s="417">
        <v>0.26640000000000003</v>
      </c>
      <c r="AL159" s="405">
        <v>5</v>
      </c>
      <c r="AM159" s="147"/>
    </row>
    <row r="160" spans="1:39">
      <c r="A160" s="71">
        <v>153</v>
      </c>
      <c r="B160" s="71" t="s">
        <v>1271</v>
      </c>
      <c r="C160" s="28">
        <v>130</v>
      </c>
      <c r="D160" s="28">
        <v>0</v>
      </c>
      <c r="E160" s="28">
        <v>383</v>
      </c>
      <c r="F160" s="28">
        <v>2169</v>
      </c>
      <c r="G160" s="28">
        <v>1367</v>
      </c>
      <c r="H160" s="28">
        <v>1286</v>
      </c>
      <c r="I160" s="28">
        <v>739</v>
      </c>
      <c r="J160" s="28">
        <v>241</v>
      </c>
      <c r="K160" s="28">
        <v>52</v>
      </c>
      <c r="L160" s="28">
        <v>533</v>
      </c>
      <c r="M160" s="28">
        <v>143</v>
      </c>
      <c r="N160" s="28">
        <v>219</v>
      </c>
      <c r="O160" s="28">
        <v>3623</v>
      </c>
      <c r="P160" s="516">
        <v>6009</v>
      </c>
      <c r="Q160" s="517">
        <v>1</v>
      </c>
      <c r="R160" s="6">
        <v>10</v>
      </c>
      <c r="S160" s="369">
        <v>0.60050000000000003</v>
      </c>
      <c r="T160" s="365"/>
      <c r="U160" s="28">
        <v>4088872.58</v>
      </c>
      <c r="V160" s="28">
        <v>6710577.6999999993</v>
      </c>
      <c r="W160" s="28">
        <v>46353249.579999998</v>
      </c>
      <c r="X160" s="28">
        <v>7071820.5300000003</v>
      </c>
      <c r="Y160" s="28">
        <v>1946964.87</v>
      </c>
      <c r="Z160" s="28">
        <v>4715726.6899999995</v>
      </c>
      <c r="AA160" s="28">
        <v>3196411.2300000004</v>
      </c>
      <c r="AB160" s="28">
        <v>5423868.6699999999</v>
      </c>
      <c r="AC160" s="28">
        <v>8268958.2800000003</v>
      </c>
      <c r="AD160" s="28">
        <v>14130213.050000001</v>
      </c>
      <c r="AE160" s="28">
        <v>1828098.48</v>
      </c>
      <c r="AF160" s="28">
        <v>103734761.66000001</v>
      </c>
      <c r="AG160" s="147"/>
      <c r="AH160" s="147"/>
      <c r="AI160" s="405">
        <v>3623</v>
      </c>
      <c r="AJ160" s="460">
        <v>6033.5</v>
      </c>
      <c r="AK160" s="417">
        <v>0.60050000000000003</v>
      </c>
      <c r="AL160" s="405">
        <v>10</v>
      </c>
      <c r="AM160" s="147"/>
    </row>
    <row r="161" spans="1:39">
      <c r="A161" s="71">
        <v>154</v>
      </c>
      <c r="B161" s="71" t="s">
        <v>1272</v>
      </c>
      <c r="C161" s="28">
        <v>10</v>
      </c>
      <c r="D161" s="28">
        <v>0</v>
      </c>
      <c r="E161" s="28">
        <v>13</v>
      </c>
      <c r="F161" s="28">
        <v>69</v>
      </c>
      <c r="G161" s="28">
        <v>18</v>
      </c>
      <c r="H161" s="28">
        <v>0</v>
      </c>
      <c r="I161" s="28">
        <v>0</v>
      </c>
      <c r="J161" s="28">
        <v>4</v>
      </c>
      <c r="K161" s="28">
        <v>1</v>
      </c>
      <c r="L161" s="28">
        <v>0</v>
      </c>
      <c r="M161" s="28">
        <v>0</v>
      </c>
      <c r="N161" s="28">
        <v>0</v>
      </c>
      <c r="O161" s="28">
        <v>41</v>
      </c>
      <c r="P161" s="516">
        <v>105</v>
      </c>
      <c r="Q161" s="517">
        <v>1</v>
      </c>
      <c r="R161" s="6">
        <v>6</v>
      </c>
      <c r="S161" s="369">
        <v>0.30480000000000002</v>
      </c>
      <c r="T161" s="365"/>
      <c r="U161" s="28">
        <v>66179.039999999994</v>
      </c>
      <c r="V161" s="28">
        <v>99212.87</v>
      </c>
      <c r="W161" s="28">
        <v>560911.94999999995</v>
      </c>
      <c r="X161" s="28">
        <v>133469.06</v>
      </c>
      <c r="Y161" s="28">
        <v>24324.510000000002</v>
      </c>
      <c r="Z161" s="28">
        <v>59212.73</v>
      </c>
      <c r="AA161" s="28">
        <v>45870.66</v>
      </c>
      <c r="AB161" s="28">
        <v>46836.68</v>
      </c>
      <c r="AC161" s="28">
        <v>123729.23999999999</v>
      </c>
      <c r="AD161" s="28">
        <v>212230.43999999997</v>
      </c>
      <c r="AE161" s="28">
        <v>35155.74</v>
      </c>
      <c r="AF161" s="28">
        <v>1407132.92</v>
      </c>
      <c r="AG161" s="147"/>
      <c r="AH161" s="147"/>
      <c r="AI161" s="405">
        <v>41</v>
      </c>
      <c r="AJ161" s="460">
        <v>134.5</v>
      </c>
      <c r="AK161" s="417">
        <v>0.30480000000000002</v>
      </c>
      <c r="AL161" s="405">
        <v>6</v>
      </c>
      <c r="AM161" s="147"/>
    </row>
    <row r="162" spans="1:39">
      <c r="A162" s="71">
        <v>155</v>
      </c>
      <c r="B162" s="71" t="s">
        <v>1273</v>
      </c>
      <c r="C162" s="28">
        <v>40</v>
      </c>
      <c r="D162" s="28">
        <v>0</v>
      </c>
      <c r="E162" s="28">
        <v>363</v>
      </c>
      <c r="F162" s="28">
        <v>2330</v>
      </c>
      <c r="G162" s="28">
        <v>1758</v>
      </c>
      <c r="H162" s="28">
        <v>2380</v>
      </c>
      <c r="I162" s="28">
        <v>0</v>
      </c>
      <c r="J162" s="28">
        <v>268</v>
      </c>
      <c r="K162" s="28">
        <v>68</v>
      </c>
      <c r="L162" s="28">
        <v>389</v>
      </c>
      <c r="M162" s="28">
        <v>106</v>
      </c>
      <c r="N162" s="28">
        <v>92</v>
      </c>
      <c r="O162" s="28">
        <v>681</v>
      </c>
      <c r="P162" s="516">
        <v>6851</v>
      </c>
      <c r="Q162" s="517">
        <v>1.085</v>
      </c>
      <c r="R162" s="6">
        <v>2</v>
      </c>
      <c r="S162" s="369">
        <v>0.10059999999999999</v>
      </c>
      <c r="T162" s="365"/>
      <c r="U162" s="28">
        <v>4624821.7442000005</v>
      </c>
      <c r="V162" s="28">
        <v>6355678.7031499995</v>
      </c>
      <c r="W162" s="28">
        <v>35452089.493100002</v>
      </c>
      <c r="X162" s="28">
        <v>8494363.7478</v>
      </c>
      <c r="Y162" s="28">
        <v>1412642.5277999998</v>
      </c>
      <c r="Z162" s="28">
        <v>4665396.2399999993</v>
      </c>
      <c r="AA162" s="28">
        <v>3193874.2681999994</v>
      </c>
      <c r="AB162" s="28">
        <v>2962576.6481499993</v>
      </c>
      <c r="AC162" s="28">
        <v>9196254.1103999987</v>
      </c>
      <c r="AD162" s="28">
        <v>12710630.120000001</v>
      </c>
      <c r="AE162" s="28">
        <v>2390590.3199999998</v>
      </c>
      <c r="AF162" s="28">
        <v>91458917.922800004</v>
      </c>
      <c r="AG162" s="147"/>
      <c r="AH162" s="147"/>
      <c r="AI162" s="405">
        <v>681</v>
      </c>
      <c r="AJ162" s="460">
        <v>6771.5</v>
      </c>
      <c r="AK162" s="417">
        <v>0.10059999999999999</v>
      </c>
      <c r="AL162" s="405">
        <v>2</v>
      </c>
      <c r="AM162" s="147"/>
    </row>
    <row r="163" spans="1:39">
      <c r="A163" s="71">
        <v>156</v>
      </c>
      <c r="B163" s="71" t="s">
        <v>1274</v>
      </c>
      <c r="C163" s="28">
        <v>0</v>
      </c>
      <c r="D163" s="28">
        <v>0</v>
      </c>
      <c r="E163" s="28">
        <v>0</v>
      </c>
      <c r="F163" s="28">
        <v>0</v>
      </c>
      <c r="G163" s="28">
        <v>0</v>
      </c>
      <c r="H163" s="28">
        <v>0</v>
      </c>
      <c r="I163" s="28">
        <v>0</v>
      </c>
      <c r="J163" s="28">
        <v>0</v>
      </c>
      <c r="K163" s="28">
        <v>0</v>
      </c>
      <c r="L163" s="28">
        <v>0</v>
      </c>
      <c r="M163" s="28">
        <v>0</v>
      </c>
      <c r="N163" s="28">
        <v>0</v>
      </c>
      <c r="O163" s="28">
        <v>0</v>
      </c>
      <c r="P163" s="516">
        <v>0</v>
      </c>
      <c r="Q163" s="517">
        <v>1</v>
      </c>
      <c r="R163" s="6">
        <v>0</v>
      </c>
      <c r="S163" s="369">
        <v>0</v>
      </c>
      <c r="T163" s="94"/>
      <c r="U163" s="28">
        <v>0</v>
      </c>
      <c r="V163" s="28">
        <v>0</v>
      </c>
      <c r="W163" s="28">
        <v>0</v>
      </c>
      <c r="X163" s="28">
        <v>0</v>
      </c>
      <c r="Y163" s="28">
        <v>0</v>
      </c>
      <c r="Z163" s="28">
        <v>0</v>
      </c>
      <c r="AA163" s="28">
        <v>0</v>
      </c>
      <c r="AB163" s="28">
        <v>0</v>
      </c>
      <c r="AC163" s="28">
        <v>0</v>
      </c>
      <c r="AD163" s="28">
        <v>0</v>
      </c>
      <c r="AE163" s="28">
        <v>0</v>
      </c>
      <c r="AF163" s="28">
        <v>0</v>
      </c>
      <c r="AG163" s="147"/>
      <c r="AH163" s="147"/>
      <c r="AI163" s="405">
        <v>0</v>
      </c>
      <c r="AJ163" s="460">
        <v>0</v>
      </c>
      <c r="AK163" s="417">
        <v>0</v>
      </c>
      <c r="AL163" s="405">
        <v>0</v>
      </c>
      <c r="AM163" s="147"/>
    </row>
    <row r="164" spans="1:39">
      <c r="A164" s="71">
        <v>157</v>
      </c>
      <c r="B164" s="71" t="s">
        <v>1275</v>
      </c>
      <c r="C164" s="28">
        <v>14</v>
      </c>
      <c r="D164" s="28">
        <v>0</v>
      </c>
      <c r="E164" s="28">
        <v>65</v>
      </c>
      <c r="F164" s="28">
        <v>324</v>
      </c>
      <c r="G164" s="28">
        <v>189</v>
      </c>
      <c r="H164" s="28">
        <v>0</v>
      </c>
      <c r="I164" s="28">
        <v>0</v>
      </c>
      <c r="J164" s="28">
        <v>23</v>
      </c>
      <c r="K164" s="28">
        <v>6</v>
      </c>
      <c r="L164" s="28">
        <v>22</v>
      </c>
      <c r="M164" s="28">
        <v>2</v>
      </c>
      <c r="N164" s="28">
        <v>0</v>
      </c>
      <c r="O164" s="28">
        <v>120</v>
      </c>
      <c r="P164" s="516">
        <v>585</v>
      </c>
      <c r="Q164" s="517">
        <v>1.048</v>
      </c>
      <c r="R164" s="6">
        <v>4</v>
      </c>
      <c r="S164" s="369">
        <v>0.21240000000000001</v>
      </c>
      <c r="T164" s="365"/>
      <c r="U164" s="28">
        <v>383758.28535999998</v>
      </c>
      <c r="V164" s="28">
        <v>539465.06351999997</v>
      </c>
      <c r="W164" s="28">
        <v>2838935.7307200003</v>
      </c>
      <c r="X164" s="28">
        <v>766570.05904000008</v>
      </c>
      <c r="Y164" s="28">
        <v>123762.30240000003</v>
      </c>
      <c r="Z164" s="28">
        <v>330455.87999999995</v>
      </c>
      <c r="AA164" s="28">
        <v>255028.70399999997</v>
      </c>
      <c r="AB164" s="28">
        <v>193372.01344000001</v>
      </c>
      <c r="AC164" s="28">
        <v>741522.20928000007</v>
      </c>
      <c r="AD164" s="28">
        <v>1131557.54</v>
      </c>
      <c r="AE164" s="28">
        <v>210934.44</v>
      </c>
      <c r="AF164" s="28">
        <v>7515362.2277600011</v>
      </c>
      <c r="AG164" s="147"/>
      <c r="AH164" s="147"/>
      <c r="AI164" s="405">
        <v>120</v>
      </c>
      <c r="AJ164" s="460">
        <v>565</v>
      </c>
      <c r="AK164" s="417">
        <v>0.21240000000000001</v>
      </c>
      <c r="AL164" s="405">
        <v>4</v>
      </c>
      <c r="AM164" s="147"/>
    </row>
    <row r="165" spans="1:39">
      <c r="A165" s="71">
        <v>158</v>
      </c>
      <c r="B165" s="71" t="s">
        <v>1276</v>
      </c>
      <c r="C165" s="28">
        <v>44</v>
      </c>
      <c r="D165" s="28">
        <v>0</v>
      </c>
      <c r="E165" s="28">
        <v>127</v>
      </c>
      <c r="F165" s="28">
        <v>602</v>
      </c>
      <c r="G165" s="28">
        <v>392</v>
      </c>
      <c r="H165" s="28">
        <v>493</v>
      </c>
      <c r="I165" s="28">
        <v>0</v>
      </c>
      <c r="J165" s="28">
        <v>63</v>
      </c>
      <c r="K165" s="28">
        <v>16</v>
      </c>
      <c r="L165" s="28">
        <v>28</v>
      </c>
      <c r="M165" s="28">
        <v>4</v>
      </c>
      <c r="N165" s="28">
        <v>4</v>
      </c>
      <c r="O165" s="28">
        <v>195</v>
      </c>
      <c r="P165" s="516">
        <v>1636</v>
      </c>
      <c r="Q165" s="517">
        <v>1</v>
      </c>
      <c r="R165" s="6">
        <v>2</v>
      </c>
      <c r="S165" s="369">
        <v>0.1148</v>
      </c>
      <c r="T165" s="365"/>
      <c r="U165" s="28">
        <v>1003788.21</v>
      </c>
      <c r="V165" s="28">
        <v>1386767.0499999998</v>
      </c>
      <c r="W165" s="28">
        <v>7662904.7600000007</v>
      </c>
      <c r="X165" s="28">
        <v>1875170.59</v>
      </c>
      <c r="Y165" s="28">
        <v>307745.63000000006</v>
      </c>
      <c r="Z165" s="28">
        <v>1074990.1800000002</v>
      </c>
      <c r="AA165" s="28">
        <v>691178.65</v>
      </c>
      <c r="AB165" s="28">
        <v>627871.44999999995</v>
      </c>
      <c r="AC165" s="28">
        <v>1978139.9100000001</v>
      </c>
      <c r="AD165" s="28">
        <v>3014550.76</v>
      </c>
      <c r="AE165" s="28">
        <v>562491.84</v>
      </c>
      <c r="AF165" s="28">
        <v>20185599.029999997</v>
      </c>
      <c r="AG165" s="147"/>
      <c r="AH165" s="147"/>
      <c r="AI165" s="405">
        <v>195</v>
      </c>
      <c r="AJ165" s="460">
        <v>1698</v>
      </c>
      <c r="AK165" s="417">
        <v>0.1148</v>
      </c>
      <c r="AL165" s="405">
        <v>2</v>
      </c>
      <c r="AM165" s="147"/>
    </row>
    <row r="166" spans="1:39">
      <c r="A166" s="71">
        <v>159</v>
      </c>
      <c r="B166" s="71" t="s">
        <v>1277</v>
      </c>
      <c r="C166" s="28">
        <v>28</v>
      </c>
      <c r="D166" s="28">
        <v>0</v>
      </c>
      <c r="E166" s="28">
        <v>172</v>
      </c>
      <c r="F166" s="28">
        <v>985</v>
      </c>
      <c r="G166" s="28">
        <v>622</v>
      </c>
      <c r="H166" s="28">
        <v>906</v>
      </c>
      <c r="I166" s="28">
        <v>24</v>
      </c>
      <c r="J166" s="28">
        <v>107</v>
      </c>
      <c r="K166" s="28">
        <v>27</v>
      </c>
      <c r="L166" s="28">
        <v>20</v>
      </c>
      <c r="M166" s="28">
        <v>2</v>
      </c>
      <c r="N166" s="28">
        <v>5</v>
      </c>
      <c r="O166" s="28">
        <v>382</v>
      </c>
      <c r="P166" s="516">
        <v>2723</v>
      </c>
      <c r="Q166" s="517">
        <v>1</v>
      </c>
      <c r="R166" s="6">
        <v>3</v>
      </c>
      <c r="S166" s="369">
        <v>0.1394</v>
      </c>
      <c r="T166" s="365"/>
      <c r="U166" s="28">
        <v>1679316.64</v>
      </c>
      <c r="V166" s="28">
        <v>2322076.21</v>
      </c>
      <c r="W166" s="28">
        <v>13143837.58</v>
      </c>
      <c r="X166" s="28">
        <v>3101365.83</v>
      </c>
      <c r="Y166" s="28">
        <v>523952.27999999997</v>
      </c>
      <c r="Z166" s="28">
        <v>1837798.24</v>
      </c>
      <c r="AA166" s="28">
        <v>1162728.1299999999</v>
      </c>
      <c r="AB166" s="28">
        <v>1135100.7399999998</v>
      </c>
      <c r="AC166" s="28">
        <v>3314544.44</v>
      </c>
      <c r="AD166" s="28">
        <v>5048240.6700000009</v>
      </c>
      <c r="AE166" s="28">
        <v>949204.98</v>
      </c>
      <c r="AF166" s="28">
        <v>34218165.739999995</v>
      </c>
      <c r="AG166" s="147"/>
      <c r="AH166" s="147"/>
      <c r="AI166" s="405">
        <v>382</v>
      </c>
      <c r="AJ166" s="460">
        <v>2740.5</v>
      </c>
      <c r="AK166" s="417">
        <v>0.1394</v>
      </c>
      <c r="AL166" s="405">
        <v>3</v>
      </c>
      <c r="AM166" s="147"/>
    </row>
    <row r="167" spans="1:39">
      <c r="A167" s="71">
        <v>160</v>
      </c>
      <c r="B167" s="71" t="s">
        <v>1278</v>
      </c>
      <c r="C167" s="28">
        <v>662</v>
      </c>
      <c r="D167" s="28">
        <v>0</v>
      </c>
      <c r="E167" s="28">
        <v>1210</v>
      </c>
      <c r="F167" s="28">
        <v>6675</v>
      </c>
      <c r="G167" s="28">
        <v>4059</v>
      </c>
      <c r="H167" s="28">
        <v>3729</v>
      </c>
      <c r="I167" s="28">
        <v>502</v>
      </c>
      <c r="J167" s="28">
        <v>641</v>
      </c>
      <c r="K167" s="28">
        <v>157</v>
      </c>
      <c r="L167" s="28">
        <v>2844</v>
      </c>
      <c r="M167" s="28">
        <v>1019</v>
      </c>
      <c r="N167" s="28">
        <v>964</v>
      </c>
      <c r="O167" s="28">
        <v>12522</v>
      </c>
      <c r="P167" s="516">
        <v>16506</v>
      </c>
      <c r="Q167" s="517">
        <v>1</v>
      </c>
      <c r="R167" s="6">
        <v>11</v>
      </c>
      <c r="S167" s="369">
        <v>0.77159999999999995</v>
      </c>
      <c r="T167" s="365"/>
      <c r="U167" s="28">
        <v>11855022.380000001</v>
      </c>
      <c r="V167" s="28">
        <v>20629410.529999997</v>
      </c>
      <c r="W167" s="28">
        <v>140498337.87</v>
      </c>
      <c r="X167" s="28">
        <v>20131413.520000007</v>
      </c>
      <c r="Y167" s="28">
        <v>6127475.7800000003</v>
      </c>
      <c r="Z167" s="28">
        <v>11995147.100000001</v>
      </c>
      <c r="AA167" s="28">
        <v>9576687.0100000016</v>
      </c>
      <c r="AB167" s="28">
        <v>17916274.140000001</v>
      </c>
      <c r="AC167" s="28">
        <v>21972846.060000002</v>
      </c>
      <c r="AD167" s="28">
        <v>41818518.870000005</v>
      </c>
      <c r="AE167" s="28">
        <v>5519451.1799999997</v>
      </c>
      <c r="AF167" s="28">
        <v>308040584.44</v>
      </c>
      <c r="AG167" s="147"/>
      <c r="AH167" s="147"/>
      <c r="AI167" s="405">
        <v>12522</v>
      </c>
      <c r="AJ167" s="460">
        <v>16228.5</v>
      </c>
      <c r="AK167" s="417">
        <v>0.77159999999999995</v>
      </c>
      <c r="AL167" s="405">
        <v>11</v>
      </c>
      <c r="AM167" s="147"/>
    </row>
    <row r="168" spans="1:39">
      <c r="A168" s="71">
        <v>161</v>
      </c>
      <c r="B168" s="71" t="s">
        <v>1279</v>
      </c>
      <c r="C168" s="28">
        <v>41</v>
      </c>
      <c r="D168" s="28">
        <v>0</v>
      </c>
      <c r="E168" s="28">
        <v>135</v>
      </c>
      <c r="F168" s="28">
        <v>768</v>
      </c>
      <c r="G168" s="28">
        <v>524</v>
      </c>
      <c r="H168" s="28">
        <v>671</v>
      </c>
      <c r="I168" s="28">
        <v>102</v>
      </c>
      <c r="J168" s="28">
        <v>87</v>
      </c>
      <c r="K168" s="28">
        <v>21</v>
      </c>
      <c r="L168" s="28">
        <v>107</v>
      </c>
      <c r="M168" s="28">
        <v>22</v>
      </c>
      <c r="N168" s="28">
        <v>18</v>
      </c>
      <c r="O168" s="28">
        <v>963</v>
      </c>
      <c r="P168" s="516">
        <v>2221</v>
      </c>
      <c r="Q168" s="517">
        <v>1</v>
      </c>
      <c r="R168" s="6">
        <v>8</v>
      </c>
      <c r="S168" s="369">
        <v>0.43169999999999997</v>
      </c>
      <c r="T168" s="365"/>
      <c r="U168" s="28">
        <v>1441728.47</v>
      </c>
      <c r="V168" s="28">
        <v>2215145.7199999997</v>
      </c>
      <c r="W168" s="28">
        <v>14072074.529999999</v>
      </c>
      <c r="X168" s="28">
        <v>2541428.0399999996</v>
      </c>
      <c r="Y168" s="28">
        <v>583388.15</v>
      </c>
      <c r="Z168" s="28">
        <v>1595806.0899999994</v>
      </c>
      <c r="AA168" s="28">
        <v>1077668.77</v>
      </c>
      <c r="AB168" s="28">
        <v>1546562.91</v>
      </c>
      <c r="AC168" s="28">
        <v>2824886.29</v>
      </c>
      <c r="AD168" s="28">
        <v>4691437</v>
      </c>
      <c r="AE168" s="28">
        <v>738270.53999999992</v>
      </c>
      <c r="AF168" s="28">
        <v>33328396.509999994</v>
      </c>
      <c r="AG168" s="147"/>
      <c r="AH168" s="147"/>
      <c r="AI168" s="405">
        <v>963</v>
      </c>
      <c r="AJ168" s="460">
        <v>2230.5</v>
      </c>
      <c r="AK168" s="417">
        <v>0.43169999999999997</v>
      </c>
      <c r="AL168" s="405">
        <v>8</v>
      </c>
      <c r="AM168" s="147"/>
    </row>
    <row r="169" spans="1:39">
      <c r="A169" s="71">
        <v>162</v>
      </c>
      <c r="B169" s="71" t="s">
        <v>1280</v>
      </c>
      <c r="C169" s="28">
        <v>47</v>
      </c>
      <c r="D169" s="28">
        <v>0</v>
      </c>
      <c r="E169" s="28">
        <v>109</v>
      </c>
      <c r="F169" s="28">
        <v>622</v>
      </c>
      <c r="G169" s="28">
        <v>386</v>
      </c>
      <c r="H169" s="28">
        <v>492</v>
      </c>
      <c r="I169" s="28">
        <v>0</v>
      </c>
      <c r="J169" s="28">
        <v>63</v>
      </c>
      <c r="K169" s="28">
        <v>16</v>
      </c>
      <c r="L169" s="28">
        <v>34</v>
      </c>
      <c r="M169" s="28">
        <v>5</v>
      </c>
      <c r="N169" s="28">
        <v>5</v>
      </c>
      <c r="O169" s="28">
        <v>455</v>
      </c>
      <c r="P169" s="516">
        <v>1633</v>
      </c>
      <c r="Q169" s="517">
        <v>1</v>
      </c>
      <c r="R169" s="6">
        <v>5</v>
      </c>
      <c r="S169" s="369">
        <v>0.28739999999999999</v>
      </c>
      <c r="T169" s="365"/>
      <c r="U169" s="28">
        <v>1021716.9099999999</v>
      </c>
      <c r="V169" s="28">
        <v>1473595.93</v>
      </c>
      <c r="W169" s="28">
        <v>8522388.1799999997</v>
      </c>
      <c r="X169" s="28">
        <v>1875414.03</v>
      </c>
      <c r="Y169" s="28">
        <v>349315.88</v>
      </c>
      <c r="Z169" s="28">
        <v>1080317.33</v>
      </c>
      <c r="AA169" s="28">
        <v>725099.06</v>
      </c>
      <c r="AB169" s="28">
        <v>808262.40999999992</v>
      </c>
      <c r="AC169" s="28">
        <v>1976689.84</v>
      </c>
      <c r="AD169" s="28">
        <v>3157958.7999999993</v>
      </c>
      <c r="AE169" s="28">
        <v>562491.84</v>
      </c>
      <c r="AF169" s="28">
        <v>21553250.210000001</v>
      </c>
      <c r="AG169" s="147"/>
      <c r="AH169" s="147"/>
      <c r="AI169" s="405">
        <v>455</v>
      </c>
      <c r="AJ169" s="460">
        <v>1583</v>
      </c>
      <c r="AK169" s="417">
        <v>0.28739999999999999</v>
      </c>
      <c r="AL169" s="405">
        <v>5</v>
      </c>
      <c r="AM169" s="147"/>
    </row>
    <row r="170" spans="1:39">
      <c r="A170" s="71">
        <v>163</v>
      </c>
      <c r="B170" s="71" t="s">
        <v>1281</v>
      </c>
      <c r="C170" s="28">
        <v>314</v>
      </c>
      <c r="D170" s="28">
        <v>0</v>
      </c>
      <c r="E170" s="28">
        <v>1246</v>
      </c>
      <c r="F170" s="28">
        <v>6618</v>
      </c>
      <c r="G170" s="28">
        <v>3930</v>
      </c>
      <c r="H170" s="28">
        <v>5311</v>
      </c>
      <c r="I170" s="28">
        <v>881</v>
      </c>
      <c r="J170" s="28">
        <v>715</v>
      </c>
      <c r="K170" s="28">
        <v>171</v>
      </c>
      <c r="L170" s="28">
        <v>4577</v>
      </c>
      <c r="M170" s="28">
        <v>987</v>
      </c>
      <c r="N170" s="28">
        <v>1644</v>
      </c>
      <c r="O170" s="28">
        <v>14165</v>
      </c>
      <c r="P170" s="516">
        <v>18143</v>
      </c>
      <c r="Q170" s="517">
        <v>1</v>
      </c>
      <c r="R170" s="6">
        <v>11</v>
      </c>
      <c r="S170" s="369">
        <v>0.79530000000000001</v>
      </c>
      <c r="T170" s="365"/>
      <c r="U170" s="28">
        <v>13319208.760000002</v>
      </c>
      <c r="V170" s="28">
        <v>23260624.469999999</v>
      </c>
      <c r="W170" s="28">
        <v>162220488.24999997</v>
      </c>
      <c r="X170" s="28">
        <v>22164858.870000001</v>
      </c>
      <c r="Y170" s="28">
        <v>6983575.0500000007</v>
      </c>
      <c r="Z170" s="28">
        <v>14188034.879999999</v>
      </c>
      <c r="AA170" s="28">
        <v>10866589.149999999</v>
      </c>
      <c r="AB170" s="28">
        <v>20810353.960000001</v>
      </c>
      <c r="AC170" s="28">
        <v>25193127.029999997</v>
      </c>
      <c r="AD170" s="28">
        <v>46948956.920000002</v>
      </c>
      <c r="AE170" s="28">
        <v>6011631.54</v>
      </c>
      <c r="AF170" s="28">
        <v>351967448.88</v>
      </c>
      <c r="AG170" s="147"/>
      <c r="AH170" s="147"/>
      <c r="AI170" s="405">
        <v>14165</v>
      </c>
      <c r="AJ170" s="460">
        <v>17812</v>
      </c>
      <c r="AK170" s="417">
        <v>0.79530000000000001</v>
      </c>
      <c r="AL170" s="405">
        <v>11</v>
      </c>
      <c r="AM170" s="147"/>
    </row>
    <row r="171" spans="1:39">
      <c r="A171" s="71">
        <v>164</v>
      </c>
      <c r="B171" s="71" t="s">
        <v>1282</v>
      </c>
      <c r="C171" s="28">
        <v>23</v>
      </c>
      <c r="D171" s="28">
        <v>0</v>
      </c>
      <c r="E171" s="28">
        <v>159</v>
      </c>
      <c r="F171" s="28">
        <v>889</v>
      </c>
      <c r="G171" s="28">
        <v>544</v>
      </c>
      <c r="H171" s="28">
        <v>591</v>
      </c>
      <c r="I171" s="28">
        <v>0</v>
      </c>
      <c r="J171" s="28">
        <v>86</v>
      </c>
      <c r="K171" s="28">
        <v>22</v>
      </c>
      <c r="L171" s="28">
        <v>37</v>
      </c>
      <c r="M171" s="28">
        <v>9</v>
      </c>
      <c r="N171" s="28">
        <v>8</v>
      </c>
      <c r="O171" s="28">
        <v>262</v>
      </c>
      <c r="P171" s="516">
        <v>2195</v>
      </c>
      <c r="Q171" s="517">
        <v>1.042</v>
      </c>
      <c r="R171" s="6">
        <v>3</v>
      </c>
      <c r="S171" s="369">
        <v>0.1206</v>
      </c>
      <c r="T171" s="365"/>
      <c r="U171" s="28">
        <v>1411343.6000599999</v>
      </c>
      <c r="V171" s="28">
        <v>1942942.1155000001</v>
      </c>
      <c r="W171" s="28">
        <v>10679643.997</v>
      </c>
      <c r="X171" s="28">
        <v>2660031.7399399998</v>
      </c>
      <c r="Y171" s="28">
        <v>432544.94301999995</v>
      </c>
      <c r="Z171" s="28">
        <v>1421043.0299999998</v>
      </c>
      <c r="AA171" s="28">
        <v>963195.55105999997</v>
      </c>
      <c r="AB171" s="28">
        <v>855537.35103999986</v>
      </c>
      <c r="AC171" s="28">
        <v>2770234.67068</v>
      </c>
      <c r="AD171" s="28">
        <v>4065095.9200000004</v>
      </c>
      <c r="AE171" s="28">
        <v>773426.27999999991</v>
      </c>
      <c r="AF171" s="28">
        <v>27975039.198300004</v>
      </c>
      <c r="AG171" s="147"/>
      <c r="AH171" s="147"/>
      <c r="AI171" s="405">
        <v>262</v>
      </c>
      <c r="AJ171" s="460">
        <v>2172.5</v>
      </c>
      <c r="AK171" s="417">
        <v>0.1206</v>
      </c>
      <c r="AL171" s="405">
        <v>3</v>
      </c>
      <c r="AM171" s="147"/>
    </row>
    <row r="172" spans="1:39">
      <c r="A172" s="71">
        <v>165</v>
      </c>
      <c r="B172" s="71" t="s">
        <v>1283</v>
      </c>
      <c r="C172" s="28">
        <v>253</v>
      </c>
      <c r="D172" s="28">
        <v>0</v>
      </c>
      <c r="E172" s="28">
        <v>450</v>
      </c>
      <c r="F172" s="28">
        <v>2521</v>
      </c>
      <c r="G172" s="28">
        <v>1588</v>
      </c>
      <c r="H172" s="28">
        <v>2168</v>
      </c>
      <c r="I172" s="28">
        <v>9</v>
      </c>
      <c r="J172" s="28">
        <v>264</v>
      </c>
      <c r="K172" s="28">
        <v>67</v>
      </c>
      <c r="L172" s="28">
        <v>1005</v>
      </c>
      <c r="M172" s="28">
        <v>285</v>
      </c>
      <c r="N172" s="28">
        <v>379</v>
      </c>
      <c r="O172" s="28">
        <v>4481</v>
      </c>
      <c r="P172" s="516">
        <v>6863</v>
      </c>
      <c r="Q172" s="517">
        <v>1.038</v>
      </c>
      <c r="R172" s="6">
        <v>10</v>
      </c>
      <c r="S172" s="369">
        <v>0.66369999999999996</v>
      </c>
      <c r="T172" s="365"/>
      <c r="U172" s="28">
        <v>4952314.1928000003</v>
      </c>
      <c r="V172" s="28">
        <v>8254022.0646000011</v>
      </c>
      <c r="W172" s="28">
        <v>54290766.846420005</v>
      </c>
      <c r="X172" s="28">
        <v>8454518.9267999995</v>
      </c>
      <c r="Y172" s="28">
        <v>2330156.9157600002</v>
      </c>
      <c r="Z172" s="28">
        <v>4902982.1599999992</v>
      </c>
      <c r="AA172" s="28">
        <v>3902486.8263600003</v>
      </c>
      <c r="AB172" s="28">
        <v>6720833.4005400008</v>
      </c>
      <c r="AC172" s="28">
        <v>9170523.0954599977</v>
      </c>
      <c r="AD172" s="28">
        <v>16193712.109999999</v>
      </c>
      <c r="AE172" s="28">
        <v>2355434.58</v>
      </c>
      <c r="AF172" s="28">
        <v>121527751.11873999</v>
      </c>
      <c r="AG172" s="147"/>
      <c r="AH172" s="147"/>
      <c r="AI172" s="405">
        <v>4481</v>
      </c>
      <c r="AJ172" s="460">
        <v>6752</v>
      </c>
      <c r="AK172" s="417">
        <v>0.66369999999999996</v>
      </c>
      <c r="AL172" s="405">
        <v>10</v>
      </c>
      <c r="AM172" s="147"/>
    </row>
    <row r="173" spans="1:39">
      <c r="A173" s="71">
        <v>166</v>
      </c>
      <c r="B173" s="71" t="s">
        <v>1284</v>
      </c>
      <c r="C173" s="28">
        <v>0</v>
      </c>
      <c r="D173" s="28">
        <v>0</v>
      </c>
      <c r="E173" s="28">
        <v>0</v>
      </c>
      <c r="F173" s="28">
        <v>0</v>
      </c>
      <c r="G173" s="28">
        <v>0</v>
      </c>
      <c r="H173" s="28">
        <v>0</v>
      </c>
      <c r="I173" s="28">
        <v>0</v>
      </c>
      <c r="J173" s="28">
        <v>0</v>
      </c>
      <c r="K173" s="28">
        <v>0</v>
      </c>
      <c r="L173" s="28">
        <v>0</v>
      </c>
      <c r="M173" s="28">
        <v>0</v>
      </c>
      <c r="N173" s="28">
        <v>0</v>
      </c>
      <c r="O173" s="28">
        <v>0</v>
      </c>
      <c r="P173" s="516">
        <v>0</v>
      </c>
      <c r="Q173" s="517">
        <v>1.0429999999999999</v>
      </c>
      <c r="R173" s="6">
        <v>0</v>
      </c>
      <c r="S173" s="369">
        <v>0</v>
      </c>
      <c r="T173" s="94"/>
      <c r="U173" s="28">
        <v>0</v>
      </c>
      <c r="V173" s="28">
        <v>0</v>
      </c>
      <c r="W173" s="28">
        <v>0</v>
      </c>
      <c r="X173" s="28">
        <v>0</v>
      </c>
      <c r="Y173" s="28">
        <v>0</v>
      </c>
      <c r="Z173" s="28">
        <v>0</v>
      </c>
      <c r="AA173" s="28">
        <v>0</v>
      </c>
      <c r="AB173" s="28">
        <v>0</v>
      </c>
      <c r="AC173" s="28">
        <v>0</v>
      </c>
      <c r="AD173" s="28">
        <v>0</v>
      </c>
      <c r="AE173" s="28">
        <v>0</v>
      </c>
      <c r="AF173" s="28">
        <v>0</v>
      </c>
      <c r="AG173" s="147"/>
      <c r="AH173" s="147"/>
      <c r="AI173" s="405">
        <v>0</v>
      </c>
      <c r="AJ173" s="460">
        <v>0</v>
      </c>
      <c r="AK173" s="417">
        <v>0</v>
      </c>
      <c r="AL173" s="405">
        <v>0</v>
      </c>
      <c r="AM173" s="147"/>
    </row>
    <row r="174" spans="1:39">
      <c r="A174" s="71">
        <v>167</v>
      </c>
      <c r="B174" s="71" t="s">
        <v>1285</v>
      </c>
      <c r="C174" s="28">
        <v>102</v>
      </c>
      <c r="D174" s="28">
        <v>0</v>
      </c>
      <c r="E174" s="28">
        <v>217</v>
      </c>
      <c r="F174" s="28">
        <v>1275</v>
      </c>
      <c r="G174" s="28">
        <v>805</v>
      </c>
      <c r="H174" s="28">
        <v>1064</v>
      </c>
      <c r="I174" s="28">
        <v>0</v>
      </c>
      <c r="J174" s="28">
        <v>132</v>
      </c>
      <c r="K174" s="28">
        <v>34</v>
      </c>
      <c r="L174" s="28">
        <v>61</v>
      </c>
      <c r="M174" s="28">
        <v>16</v>
      </c>
      <c r="N174" s="28">
        <v>7</v>
      </c>
      <c r="O174" s="28">
        <v>797</v>
      </c>
      <c r="P174" s="516">
        <v>3412</v>
      </c>
      <c r="Q174" s="517">
        <v>1.056</v>
      </c>
      <c r="R174" s="6">
        <v>4</v>
      </c>
      <c r="S174" s="369">
        <v>0.23680000000000001</v>
      </c>
      <c r="T174" s="365"/>
      <c r="U174" s="28">
        <v>2244519.4358400004</v>
      </c>
      <c r="V174" s="28">
        <v>3190002.0662400001</v>
      </c>
      <c r="W174" s="28">
        <v>18251065.926719997</v>
      </c>
      <c r="X174" s="28">
        <v>4126972.3651200002</v>
      </c>
      <c r="Y174" s="28">
        <v>742175.99808000005</v>
      </c>
      <c r="Z174" s="28">
        <v>2264273.3200000003</v>
      </c>
      <c r="AA174" s="28">
        <v>1578333.2928000002</v>
      </c>
      <c r="AB174" s="28">
        <v>1676135.5987199999</v>
      </c>
      <c r="AC174" s="28">
        <v>4362905.5324800005</v>
      </c>
      <c r="AD174" s="28">
        <v>6499864.1900000004</v>
      </c>
      <c r="AE174" s="28">
        <v>1195295.1599999999</v>
      </c>
      <c r="AF174" s="28">
        <v>46131542.886</v>
      </c>
      <c r="AG174" s="147"/>
      <c r="AH174" s="147"/>
      <c r="AI174" s="405">
        <v>797</v>
      </c>
      <c r="AJ174" s="460">
        <v>3365</v>
      </c>
      <c r="AK174" s="417">
        <v>0.23680000000000001</v>
      </c>
      <c r="AL174" s="405">
        <v>4</v>
      </c>
      <c r="AM174" s="147"/>
    </row>
    <row r="175" spans="1:39">
      <c r="A175" s="71">
        <v>168</v>
      </c>
      <c r="B175" s="71" t="s">
        <v>1286</v>
      </c>
      <c r="C175" s="28">
        <v>10</v>
      </c>
      <c r="D175" s="28">
        <v>159</v>
      </c>
      <c r="E175" s="28">
        <v>6</v>
      </c>
      <c r="F175" s="28">
        <v>945</v>
      </c>
      <c r="G175" s="28">
        <v>656</v>
      </c>
      <c r="H175" s="28">
        <v>883</v>
      </c>
      <c r="I175" s="28">
        <v>13</v>
      </c>
      <c r="J175" s="28">
        <v>102</v>
      </c>
      <c r="K175" s="28">
        <v>26</v>
      </c>
      <c r="L175" s="28">
        <v>75</v>
      </c>
      <c r="M175" s="28">
        <v>25</v>
      </c>
      <c r="N175" s="28">
        <v>21</v>
      </c>
      <c r="O175" s="28">
        <v>399</v>
      </c>
      <c r="P175" s="516">
        <v>2588</v>
      </c>
      <c r="Q175" s="517">
        <v>1</v>
      </c>
      <c r="R175" s="6">
        <v>3</v>
      </c>
      <c r="S175" s="369">
        <v>0.1552</v>
      </c>
      <c r="T175" s="365"/>
      <c r="U175" s="28">
        <v>1611233.54</v>
      </c>
      <c r="V175" s="28">
        <v>2236184.5499999998</v>
      </c>
      <c r="W175" s="28">
        <v>12680855.84</v>
      </c>
      <c r="X175" s="28">
        <v>2947391.31</v>
      </c>
      <c r="Y175" s="28">
        <v>508365.25</v>
      </c>
      <c r="Z175" s="28">
        <v>1758635.5899999999</v>
      </c>
      <c r="AA175" s="28">
        <v>1120062.67</v>
      </c>
      <c r="AB175" s="28">
        <v>1119462.2399999998</v>
      </c>
      <c r="AC175" s="28">
        <v>3180781.4200000004</v>
      </c>
      <c r="AD175" s="28">
        <v>4849160.01</v>
      </c>
      <c r="AE175" s="28">
        <v>914049.24</v>
      </c>
      <c r="AF175" s="28">
        <v>32926181.66</v>
      </c>
      <c r="AG175" s="147"/>
      <c r="AH175" s="147"/>
      <c r="AI175" s="405">
        <v>399</v>
      </c>
      <c r="AJ175" s="460">
        <v>2570.5</v>
      </c>
      <c r="AK175" s="417">
        <v>0.1552</v>
      </c>
      <c r="AL175" s="405">
        <v>3</v>
      </c>
      <c r="AM175" s="147"/>
    </row>
    <row r="176" spans="1:39">
      <c r="A176" s="71">
        <v>169</v>
      </c>
      <c r="B176" s="71" t="s">
        <v>1287</v>
      </c>
      <c r="C176" s="28">
        <v>23</v>
      </c>
      <c r="D176" s="28">
        <v>0</v>
      </c>
      <c r="E176" s="28">
        <v>36</v>
      </c>
      <c r="F176" s="28">
        <v>275</v>
      </c>
      <c r="G176" s="28">
        <v>62</v>
      </c>
      <c r="H176" s="28">
        <v>3</v>
      </c>
      <c r="I176" s="28">
        <v>0</v>
      </c>
      <c r="J176" s="28">
        <v>15</v>
      </c>
      <c r="K176" s="28">
        <v>4</v>
      </c>
      <c r="L176" s="28">
        <v>5</v>
      </c>
      <c r="M176" s="28">
        <v>1</v>
      </c>
      <c r="N176" s="28">
        <v>0</v>
      </c>
      <c r="O176" s="28">
        <v>127</v>
      </c>
      <c r="P176" s="516">
        <v>388</v>
      </c>
      <c r="Q176" s="517">
        <v>1</v>
      </c>
      <c r="R176" s="6">
        <v>6</v>
      </c>
      <c r="S176" s="369">
        <v>0.33639999999999998</v>
      </c>
      <c r="T176" s="365"/>
      <c r="U176" s="28">
        <v>245020.85</v>
      </c>
      <c r="V176" s="28">
        <v>358943.00000000006</v>
      </c>
      <c r="W176" s="28">
        <v>2004176.29</v>
      </c>
      <c r="X176" s="28">
        <v>496069.09000000008</v>
      </c>
      <c r="Y176" s="28">
        <v>86223.959999999992</v>
      </c>
      <c r="Z176" s="28">
        <v>219827.27000000002</v>
      </c>
      <c r="AA176" s="28">
        <v>166563.5</v>
      </c>
      <c r="AB176" s="28">
        <v>157712.24</v>
      </c>
      <c r="AC176" s="28">
        <v>459238.24</v>
      </c>
      <c r="AD176" s="28">
        <v>771444.60000000009</v>
      </c>
      <c r="AE176" s="28">
        <v>140622.96</v>
      </c>
      <c r="AF176" s="28">
        <v>5105842.0000000009</v>
      </c>
      <c r="AG176" s="147"/>
      <c r="AH176" s="147"/>
      <c r="AI176" s="405">
        <v>127</v>
      </c>
      <c r="AJ176" s="460">
        <v>377.5</v>
      </c>
      <c r="AK176" s="417">
        <v>0.33639999999999998</v>
      </c>
      <c r="AL176" s="405">
        <v>6</v>
      </c>
      <c r="AM176" s="147"/>
    </row>
    <row r="177" spans="1:39">
      <c r="A177" s="71">
        <v>170</v>
      </c>
      <c r="B177" s="71" t="s">
        <v>1288</v>
      </c>
      <c r="C177" s="28">
        <v>231</v>
      </c>
      <c r="D177" s="28">
        <v>0</v>
      </c>
      <c r="E177" s="28">
        <v>416</v>
      </c>
      <c r="F177" s="28">
        <v>2171</v>
      </c>
      <c r="G177" s="28">
        <v>1254</v>
      </c>
      <c r="H177" s="28">
        <v>1387</v>
      </c>
      <c r="I177" s="28">
        <v>1</v>
      </c>
      <c r="J177" s="28">
        <v>205</v>
      </c>
      <c r="K177" s="28">
        <v>52</v>
      </c>
      <c r="L177" s="28">
        <v>1029</v>
      </c>
      <c r="M177" s="28">
        <v>259</v>
      </c>
      <c r="N177" s="28">
        <v>263</v>
      </c>
      <c r="O177" s="28">
        <v>3199</v>
      </c>
      <c r="P177" s="516">
        <v>5345</v>
      </c>
      <c r="Q177" s="517">
        <v>1.02</v>
      </c>
      <c r="R177" s="6">
        <v>10</v>
      </c>
      <c r="S177" s="369">
        <v>0.62119999999999997</v>
      </c>
      <c r="T177" s="365"/>
      <c r="U177" s="28">
        <v>3786930.4175999993</v>
      </c>
      <c r="V177" s="28">
        <v>6230243.4971999982</v>
      </c>
      <c r="W177" s="28">
        <v>40190108.146200001</v>
      </c>
      <c r="X177" s="28">
        <v>6628733.1089999992</v>
      </c>
      <c r="Y177" s="28">
        <v>1729947.693</v>
      </c>
      <c r="Z177" s="28">
        <v>3740000.54</v>
      </c>
      <c r="AA177" s="28">
        <v>2931763.8864000002</v>
      </c>
      <c r="AB177" s="28">
        <v>4728672.2741999999</v>
      </c>
      <c r="AC177" s="28">
        <v>7079832.0054000011</v>
      </c>
      <c r="AD177" s="28">
        <v>12492206.459999999</v>
      </c>
      <c r="AE177" s="28">
        <v>1828098.48</v>
      </c>
      <c r="AF177" s="28">
        <v>91366536.508999988</v>
      </c>
      <c r="AG177" s="147"/>
      <c r="AH177" s="147"/>
      <c r="AI177" s="405">
        <v>3199</v>
      </c>
      <c r="AJ177" s="460">
        <v>5149.5</v>
      </c>
      <c r="AK177" s="417">
        <v>0.62119999999999997</v>
      </c>
      <c r="AL177" s="405">
        <v>10</v>
      </c>
      <c r="AM177" s="147"/>
    </row>
    <row r="178" spans="1:39">
      <c r="A178" s="71">
        <v>171</v>
      </c>
      <c r="B178" s="71" t="s">
        <v>1289</v>
      </c>
      <c r="C178" s="28">
        <v>81</v>
      </c>
      <c r="D178" s="28">
        <v>0</v>
      </c>
      <c r="E178" s="28">
        <v>262</v>
      </c>
      <c r="F178" s="28">
        <v>1294</v>
      </c>
      <c r="G178" s="28">
        <v>862</v>
      </c>
      <c r="H178" s="28">
        <v>1015</v>
      </c>
      <c r="I178" s="28">
        <v>195</v>
      </c>
      <c r="J178" s="28">
        <v>145</v>
      </c>
      <c r="K178" s="28">
        <v>34</v>
      </c>
      <c r="L178" s="28">
        <v>61</v>
      </c>
      <c r="M178" s="28">
        <v>18</v>
      </c>
      <c r="N178" s="28">
        <v>22</v>
      </c>
      <c r="O178" s="28">
        <v>778</v>
      </c>
      <c r="P178" s="516">
        <v>3669</v>
      </c>
      <c r="Q178" s="517">
        <v>1.036</v>
      </c>
      <c r="R178" s="6">
        <v>4</v>
      </c>
      <c r="S178" s="369">
        <v>0.21340000000000001</v>
      </c>
      <c r="T178" s="365"/>
      <c r="U178" s="28">
        <v>2363900.8839599998</v>
      </c>
      <c r="V178" s="28">
        <v>3342874.4815199999</v>
      </c>
      <c r="W178" s="28">
        <v>19818655.84048</v>
      </c>
      <c r="X178" s="28">
        <v>4360873.1837999998</v>
      </c>
      <c r="Y178" s="28">
        <v>794399.54747999983</v>
      </c>
      <c r="Z178" s="28">
        <v>2583005</v>
      </c>
      <c r="AA178" s="28">
        <v>1661097.4738400001</v>
      </c>
      <c r="AB178" s="28">
        <v>1747295.2845600001</v>
      </c>
      <c r="AC178" s="28">
        <v>4811734.0434799995</v>
      </c>
      <c r="AD178" s="28">
        <v>7051203.7899999991</v>
      </c>
      <c r="AE178" s="28">
        <v>1195295.1599999999</v>
      </c>
      <c r="AF178" s="28">
        <v>49730334.689119995</v>
      </c>
      <c r="AG178" s="147"/>
      <c r="AH178" s="147"/>
      <c r="AI178" s="405">
        <v>778</v>
      </c>
      <c r="AJ178" s="460">
        <v>3645</v>
      </c>
      <c r="AK178" s="417">
        <v>0.21340000000000001</v>
      </c>
      <c r="AL178" s="405">
        <v>4</v>
      </c>
      <c r="AM178" s="147"/>
    </row>
    <row r="179" spans="1:39">
      <c r="A179" s="71">
        <v>172</v>
      </c>
      <c r="B179" s="71" t="s">
        <v>1290</v>
      </c>
      <c r="C179" s="28">
        <v>96</v>
      </c>
      <c r="D179" s="28">
        <v>0</v>
      </c>
      <c r="E179" s="28">
        <v>93</v>
      </c>
      <c r="F179" s="28">
        <v>503</v>
      </c>
      <c r="G179" s="28">
        <v>326</v>
      </c>
      <c r="H179" s="28">
        <v>446</v>
      </c>
      <c r="I179" s="28">
        <v>0</v>
      </c>
      <c r="J179" s="28">
        <v>54</v>
      </c>
      <c r="K179" s="28">
        <v>14</v>
      </c>
      <c r="L179" s="28">
        <v>79</v>
      </c>
      <c r="M179" s="28">
        <v>15</v>
      </c>
      <c r="N179" s="28">
        <v>13</v>
      </c>
      <c r="O179" s="28">
        <v>682</v>
      </c>
      <c r="P179" s="516">
        <v>1416</v>
      </c>
      <c r="Q179" s="517">
        <v>1</v>
      </c>
      <c r="R179" s="6">
        <v>8</v>
      </c>
      <c r="S179" s="369">
        <v>0.4768</v>
      </c>
      <c r="T179" s="365"/>
      <c r="U179" s="28">
        <v>924310.55</v>
      </c>
      <c r="V179" s="28">
        <v>1442470.2600000002</v>
      </c>
      <c r="W179" s="28">
        <v>8976456.3900000006</v>
      </c>
      <c r="X179" s="28">
        <v>1629305.5200000003</v>
      </c>
      <c r="Y179" s="28">
        <v>377929.42999999993</v>
      </c>
      <c r="Z179" s="28">
        <v>963739.05</v>
      </c>
      <c r="AA179" s="28">
        <v>695474.08000000007</v>
      </c>
      <c r="AB179" s="28">
        <v>1018556.9</v>
      </c>
      <c r="AC179" s="28">
        <v>1736140.54</v>
      </c>
      <c r="AD179" s="28">
        <v>3008055.5600000005</v>
      </c>
      <c r="AE179" s="28">
        <v>492180.36</v>
      </c>
      <c r="AF179" s="28">
        <v>21264618.640000001</v>
      </c>
      <c r="AG179" s="147"/>
      <c r="AH179" s="147"/>
      <c r="AI179" s="405">
        <v>682</v>
      </c>
      <c r="AJ179" s="460">
        <v>1430.5</v>
      </c>
      <c r="AK179" s="417">
        <v>0.4768</v>
      </c>
      <c r="AL179" s="405">
        <v>8</v>
      </c>
      <c r="AM179" s="147"/>
    </row>
    <row r="180" spans="1:39">
      <c r="A180" s="71">
        <v>173</v>
      </c>
      <c r="B180" s="71" t="s">
        <v>1291</v>
      </c>
      <c r="C180" s="28">
        <v>24</v>
      </c>
      <c r="D180" s="28">
        <v>0</v>
      </c>
      <c r="E180" s="28">
        <v>41</v>
      </c>
      <c r="F180" s="28">
        <v>262</v>
      </c>
      <c r="G180" s="28">
        <v>63</v>
      </c>
      <c r="H180" s="28">
        <v>2</v>
      </c>
      <c r="I180" s="28">
        <v>3</v>
      </c>
      <c r="J180" s="28">
        <v>14</v>
      </c>
      <c r="K180" s="28">
        <v>4</v>
      </c>
      <c r="L180" s="28">
        <v>2</v>
      </c>
      <c r="M180" s="28">
        <v>0</v>
      </c>
      <c r="N180" s="28">
        <v>0</v>
      </c>
      <c r="O180" s="28">
        <v>105</v>
      </c>
      <c r="P180" s="516">
        <v>383</v>
      </c>
      <c r="Q180" s="517">
        <v>1</v>
      </c>
      <c r="R180" s="6">
        <v>5</v>
      </c>
      <c r="S180" s="369">
        <v>0.27060000000000001</v>
      </c>
      <c r="T180" s="365"/>
      <c r="U180" s="28">
        <v>237133.43</v>
      </c>
      <c r="V180" s="28">
        <v>343509.20999999996</v>
      </c>
      <c r="W180" s="28">
        <v>1876195.6300000001</v>
      </c>
      <c r="X180" s="28">
        <v>480420.23</v>
      </c>
      <c r="Y180" s="28">
        <v>79966.75</v>
      </c>
      <c r="Z180" s="28">
        <v>218194.50999999998</v>
      </c>
      <c r="AA180" s="28">
        <v>160349.87</v>
      </c>
      <c r="AB180" s="28">
        <v>134984.50999999998</v>
      </c>
      <c r="AC180" s="28">
        <v>452810.26</v>
      </c>
      <c r="AD180" s="28">
        <v>741728.71999999986</v>
      </c>
      <c r="AE180" s="28">
        <v>140622.96</v>
      </c>
      <c r="AF180" s="28">
        <v>4865916.0799999991</v>
      </c>
      <c r="AG180" s="147"/>
      <c r="AH180" s="147"/>
      <c r="AI180" s="405">
        <v>105</v>
      </c>
      <c r="AJ180" s="460">
        <v>388</v>
      </c>
      <c r="AK180" s="417">
        <v>0.27060000000000001</v>
      </c>
      <c r="AL180" s="405">
        <v>5</v>
      </c>
      <c r="AM180" s="147"/>
    </row>
    <row r="181" spans="1:39">
      <c r="A181" s="71">
        <v>174</v>
      </c>
      <c r="B181" s="71" t="s">
        <v>1292</v>
      </c>
      <c r="C181" s="28">
        <v>17</v>
      </c>
      <c r="D181" s="28">
        <v>0</v>
      </c>
      <c r="E181" s="28">
        <v>108</v>
      </c>
      <c r="F181" s="28">
        <v>468</v>
      </c>
      <c r="G181" s="28">
        <v>315</v>
      </c>
      <c r="H181" s="28">
        <v>301</v>
      </c>
      <c r="I181" s="28">
        <v>57</v>
      </c>
      <c r="J181" s="28">
        <v>50</v>
      </c>
      <c r="K181" s="28">
        <v>12</v>
      </c>
      <c r="L181" s="28">
        <v>65</v>
      </c>
      <c r="M181" s="28">
        <v>10</v>
      </c>
      <c r="N181" s="28">
        <v>13</v>
      </c>
      <c r="O181" s="28">
        <v>350</v>
      </c>
      <c r="P181" s="516">
        <v>1258</v>
      </c>
      <c r="Q181" s="517">
        <v>1.0660000000000001</v>
      </c>
      <c r="R181" s="6">
        <v>5</v>
      </c>
      <c r="S181" s="369">
        <v>0.27910000000000001</v>
      </c>
      <c r="T181" s="365"/>
      <c r="U181" s="28">
        <v>849112.1410200001</v>
      </c>
      <c r="V181" s="28">
        <v>1221416.1801400001</v>
      </c>
      <c r="W181" s="28">
        <v>7265059.1756600011</v>
      </c>
      <c r="X181" s="28">
        <v>1569982.1794800002</v>
      </c>
      <c r="Y181" s="28">
        <v>297033.78978000005</v>
      </c>
      <c r="Z181" s="28">
        <v>870540.4</v>
      </c>
      <c r="AA181" s="28">
        <v>599231.20894000016</v>
      </c>
      <c r="AB181" s="28">
        <v>656125.28123999992</v>
      </c>
      <c r="AC181" s="28">
        <v>1706253.69252</v>
      </c>
      <c r="AD181" s="28">
        <v>2486779.3200000003</v>
      </c>
      <c r="AE181" s="28">
        <v>421868.88</v>
      </c>
      <c r="AF181" s="28">
        <v>17943402.248780001</v>
      </c>
      <c r="AG181" s="147"/>
      <c r="AH181" s="147"/>
      <c r="AI181" s="405">
        <v>350</v>
      </c>
      <c r="AJ181" s="460">
        <v>1254</v>
      </c>
      <c r="AK181" s="417">
        <v>0.27910000000000001</v>
      </c>
      <c r="AL181" s="405">
        <v>5</v>
      </c>
      <c r="AM181" s="147"/>
    </row>
    <row r="182" spans="1:39">
      <c r="A182" s="71">
        <v>175</v>
      </c>
      <c r="B182" s="71" t="s">
        <v>1293</v>
      </c>
      <c r="C182" s="28">
        <v>0</v>
      </c>
      <c r="D182" s="28">
        <v>186</v>
      </c>
      <c r="E182" s="28">
        <v>7</v>
      </c>
      <c r="F182" s="28">
        <v>972</v>
      </c>
      <c r="G182" s="28">
        <v>589</v>
      </c>
      <c r="H182" s="28">
        <v>710</v>
      </c>
      <c r="I182" s="28">
        <v>0</v>
      </c>
      <c r="J182" s="28">
        <v>93</v>
      </c>
      <c r="K182" s="28">
        <v>24</v>
      </c>
      <c r="L182" s="28">
        <v>18</v>
      </c>
      <c r="M182" s="28">
        <v>5</v>
      </c>
      <c r="N182" s="28">
        <v>4</v>
      </c>
      <c r="O182" s="28">
        <v>231</v>
      </c>
      <c r="P182" s="516">
        <v>2371</v>
      </c>
      <c r="Q182" s="517">
        <v>1.042</v>
      </c>
      <c r="R182" s="6">
        <v>2</v>
      </c>
      <c r="S182" s="369">
        <v>9.6799999999999997E-2</v>
      </c>
      <c r="T182" s="365"/>
      <c r="U182" s="28">
        <v>1518371.9631800002</v>
      </c>
      <c r="V182" s="28">
        <v>2074164.12436</v>
      </c>
      <c r="W182" s="28">
        <v>11393882.407259999</v>
      </c>
      <c r="X182" s="28">
        <v>2839483.0418200004</v>
      </c>
      <c r="Y182" s="28">
        <v>457317.38849999994</v>
      </c>
      <c r="Z182" s="28">
        <v>1552652.67</v>
      </c>
      <c r="AA182" s="28">
        <v>1035989.33762</v>
      </c>
      <c r="AB182" s="28">
        <v>923498.87302000006</v>
      </c>
      <c r="AC182" s="28">
        <v>2986168.2577399998</v>
      </c>
      <c r="AD182" s="28">
        <v>4346434.43</v>
      </c>
      <c r="AE182" s="28">
        <v>843737.76</v>
      </c>
      <c r="AF182" s="28">
        <v>29971700.2535</v>
      </c>
      <c r="AG182" s="147"/>
      <c r="AH182" s="147"/>
      <c r="AI182" s="405">
        <v>231</v>
      </c>
      <c r="AJ182" s="460">
        <v>2385.5</v>
      </c>
      <c r="AK182" s="417">
        <v>9.6799999999999997E-2</v>
      </c>
      <c r="AL182" s="405">
        <v>2</v>
      </c>
      <c r="AM182" s="147"/>
    </row>
    <row r="183" spans="1:39">
      <c r="A183" s="71">
        <v>176</v>
      </c>
      <c r="B183" s="71" t="s">
        <v>1294</v>
      </c>
      <c r="C183" s="28">
        <v>120</v>
      </c>
      <c r="D183" s="28">
        <v>0</v>
      </c>
      <c r="E183" s="28">
        <v>373</v>
      </c>
      <c r="F183" s="28">
        <v>1780</v>
      </c>
      <c r="G183" s="28">
        <v>998</v>
      </c>
      <c r="H183" s="28">
        <v>636</v>
      </c>
      <c r="I183" s="28">
        <v>677</v>
      </c>
      <c r="J183" s="28">
        <v>182</v>
      </c>
      <c r="K183" s="28">
        <v>38</v>
      </c>
      <c r="L183" s="28">
        <v>384</v>
      </c>
      <c r="M183" s="28">
        <v>98</v>
      </c>
      <c r="N183" s="28">
        <v>138</v>
      </c>
      <c r="O183" s="28">
        <v>1920</v>
      </c>
      <c r="P183" s="516">
        <v>4524</v>
      </c>
      <c r="Q183" s="517">
        <v>1.052</v>
      </c>
      <c r="R183" s="6">
        <v>8</v>
      </c>
      <c r="S183" s="369">
        <v>0.43109999999999998</v>
      </c>
      <c r="T183" s="365"/>
      <c r="U183" s="28">
        <v>3122702.9586399999</v>
      </c>
      <c r="V183" s="28">
        <v>4799211.8809599997</v>
      </c>
      <c r="W183" s="28">
        <v>31915993.517760005</v>
      </c>
      <c r="X183" s="28">
        <v>5688391.41084</v>
      </c>
      <c r="Y183" s="28">
        <v>1311070.6853199999</v>
      </c>
      <c r="Z183" s="28">
        <v>3517314.26</v>
      </c>
      <c r="AA183" s="28">
        <v>2310248.0400400003</v>
      </c>
      <c r="AB183" s="28">
        <v>3151217.8394399998</v>
      </c>
      <c r="AC183" s="28">
        <v>6636145.9430400012</v>
      </c>
      <c r="AD183" s="28">
        <v>9893390.8900000006</v>
      </c>
      <c r="AE183" s="28">
        <v>1335918.1199999999</v>
      </c>
      <c r="AF183" s="28">
        <v>73681605.546039999</v>
      </c>
      <c r="AG183" s="147"/>
      <c r="AH183" s="147"/>
      <c r="AI183" s="405">
        <v>1920</v>
      </c>
      <c r="AJ183" s="460">
        <v>4454</v>
      </c>
      <c r="AK183" s="417">
        <v>0.43109999999999998</v>
      </c>
      <c r="AL183" s="405">
        <v>8</v>
      </c>
      <c r="AM183" s="147"/>
    </row>
    <row r="184" spans="1:39">
      <c r="A184" s="71">
        <v>177</v>
      </c>
      <c r="B184" s="71" t="s">
        <v>1295</v>
      </c>
      <c r="C184" s="28">
        <v>46</v>
      </c>
      <c r="D184" s="28">
        <v>1</v>
      </c>
      <c r="E184" s="28">
        <v>164</v>
      </c>
      <c r="F184" s="28">
        <v>851</v>
      </c>
      <c r="G184" s="28">
        <v>507</v>
      </c>
      <c r="H184" s="28">
        <v>611</v>
      </c>
      <c r="I184" s="28">
        <v>0</v>
      </c>
      <c r="J184" s="28">
        <v>84</v>
      </c>
      <c r="K184" s="28">
        <v>21</v>
      </c>
      <c r="L184" s="28">
        <v>73</v>
      </c>
      <c r="M184" s="28">
        <v>11</v>
      </c>
      <c r="N184" s="28">
        <v>15</v>
      </c>
      <c r="O184" s="28">
        <v>400</v>
      </c>
      <c r="P184" s="516">
        <v>2157</v>
      </c>
      <c r="Q184" s="517">
        <v>1.0369999999999999</v>
      </c>
      <c r="R184" s="6">
        <v>4</v>
      </c>
      <c r="S184" s="369">
        <v>0.18540000000000001</v>
      </c>
      <c r="T184" s="365"/>
      <c r="U184" s="28">
        <v>1391693.6859899997</v>
      </c>
      <c r="V184" s="28">
        <v>1957174.1932399997</v>
      </c>
      <c r="W184" s="28">
        <v>11016548.967399999</v>
      </c>
      <c r="X184" s="28">
        <v>2601491.3707199995</v>
      </c>
      <c r="Y184" s="28">
        <v>447864.09168999997</v>
      </c>
      <c r="Z184" s="28">
        <v>1415834.2000000002</v>
      </c>
      <c r="AA184" s="28">
        <v>966259.16802999983</v>
      </c>
      <c r="AB184" s="28">
        <v>945664.54505999992</v>
      </c>
      <c r="AC184" s="28">
        <v>2722814.3457500003</v>
      </c>
      <c r="AD184" s="28">
        <v>4078790.83</v>
      </c>
      <c r="AE184" s="28">
        <v>738270.53999999992</v>
      </c>
      <c r="AF184" s="28">
        <v>28282405.937880002</v>
      </c>
      <c r="AG184" s="147"/>
      <c r="AH184" s="147"/>
      <c r="AI184" s="405">
        <v>400</v>
      </c>
      <c r="AJ184" s="460">
        <v>2158</v>
      </c>
      <c r="AK184" s="417">
        <v>0.18540000000000001</v>
      </c>
      <c r="AL184" s="405">
        <v>4</v>
      </c>
      <c r="AM184" s="147"/>
    </row>
    <row r="185" spans="1:39">
      <c r="A185" s="71">
        <v>178</v>
      </c>
      <c r="B185" s="71" t="s">
        <v>1296</v>
      </c>
      <c r="C185" s="28">
        <v>219</v>
      </c>
      <c r="D185" s="28">
        <v>0</v>
      </c>
      <c r="E185" s="28">
        <v>343</v>
      </c>
      <c r="F185" s="28">
        <v>1631</v>
      </c>
      <c r="G185" s="28">
        <v>979</v>
      </c>
      <c r="H185" s="28">
        <v>1041</v>
      </c>
      <c r="I185" s="28">
        <v>8</v>
      </c>
      <c r="J185" s="28">
        <v>157</v>
      </c>
      <c r="K185" s="28">
        <v>40</v>
      </c>
      <c r="L185" s="28">
        <v>142</v>
      </c>
      <c r="M185" s="28">
        <v>28</v>
      </c>
      <c r="N185" s="28">
        <v>26</v>
      </c>
      <c r="O185" s="28">
        <v>737</v>
      </c>
      <c r="P185" s="516">
        <v>4112</v>
      </c>
      <c r="Q185" s="517">
        <v>1.0349999999999999</v>
      </c>
      <c r="R185" s="6">
        <v>4</v>
      </c>
      <c r="S185" s="369">
        <v>0.1827</v>
      </c>
      <c r="T185" s="365"/>
      <c r="U185" s="28">
        <v>2637151.5892499993</v>
      </c>
      <c r="V185" s="28">
        <v>3717785.3912999989</v>
      </c>
      <c r="W185" s="28">
        <v>20753540.239499997</v>
      </c>
      <c r="X185" s="28">
        <v>4963087.3103999998</v>
      </c>
      <c r="Y185" s="28">
        <v>847361.08260000008</v>
      </c>
      <c r="Z185" s="28">
        <v>2666241.7399999993</v>
      </c>
      <c r="AA185" s="28">
        <v>1827839.0007</v>
      </c>
      <c r="AB185" s="28">
        <v>1725813.6479999998</v>
      </c>
      <c r="AC185" s="28">
        <v>5175054.6169499988</v>
      </c>
      <c r="AD185" s="28">
        <v>7767950.4400000004</v>
      </c>
      <c r="AE185" s="28">
        <v>1406229.5999999999</v>
      </c>
      <c r="AF185" s="28">
        <v>53488054.658699989</v>
      </c>
      <c r="AG185" s="147"/>
      <c r="AH185" s="147"/>
      <c r="AI185" s="405">
        <v>737</v>
      </c>
      <c r="AJ185" s="460">
        <v>4034</v>
      </c>
      <c r="AK185" s="417">
        <v>0.1827</v>
      </c>
      <c r="AL185" s="405">
        <v>4</v>
      </c>
      <c r="AM185" s="147"/>
    </row>
    <row r="186" spans="1:39">
      <c r="A186" s="71">
        <v>179</v>
      </c>
      <c r="B186" s="71" t="s">
        <v>1297</v>
      </c>
      <c r="C186" s="28">
        <v>0</v>
      </c>
      <c r="D186" s="28">
        <v>0</v>
      </c>
      <c r="E186" s="28">
        <v>0</v>
      </c>
      <c r="F186" s="28">
        <v>0</v>
      </c>
      <c r="G186" s="28">
        <v>0</v>
      </c>
      <c r="H186" s="28">
        <v>0</v>
      </c>
      <c r="I186" s="28">
        <v>10</v>
      </c>
      <c r="J186" s="28">
        <v>0</v>
      </c>
      <c r="K186" s="28">
        <v>0</v>
      </c>
      <c r="L186" s="28">
        <v>0</v>
      </c>
      <c r="M186" s="28">
        <v>0</v>
      </c>
      <c r="N186" s="28">
        <v>0</v>
      </c>
      <c r="O186" s="28">
        <v>0</v>
      </c>
      <c r="P186" s="516">
        <v>10</v>
      </c>
      <c r="Q186" s="517">
        <v>1</v>
      </c>
      <c r="R186" s="6">
        <v>0</v>
      </c>
      <c r="S186" s="369">
        <v>0</v>
      </c>
      <c r="T186" s="94"/>
      <c r="U186" s="28">
        <v>4486.5</v>
      </c>
      <c r="V186" s="28">
        <v>8103</v>
      </c>
      <c r="W186" s="28">
        <v>81739.3</v>
      </c>
      <c r="X186" s="28">
        <v>5710.7000000000007</v>
      </c>
      <c r="Y186" s="28">
        <v>2555.1</v>
      </c>
      <c r="Z186" s="28">
        <v>15057.3</v>
      </c>
      <c r="AA186" s="28">
        <v>4511.2</v>
      </c>
      <c r="AB186" s="28">
        <v>6076.5999999999995</v>
      </c>
      <c r="AC186" s="28">
        <v>20297.5</v>
      </c>
      <c r="AD186" s="28">
        <v>20066.099999999999</v>
      </c>
      <c r="AE186" s="28">
        <v>0</v>
      </c>
      <c r="AF186" s="28">
        <v>168603.30000000002</v>
      </c>
      <c r="AG186" s="147"/>
      <c r="AH186" s="147"/>
      <c r="AI186" s="405">
        <v>0</v>
      </c>
      <c r="AJ186" s="460">
        <v>0</v>
      </c>
      <c r="AK186" s="417">
        <v>0</v>
      </c>
      <c r="AL186" s="405">
        <v>0</v>
      </c>
      <c r="AM186" s="147"/>
    </row>
    <row r="187" spans="1:39">
      <c r="A187" s="71">
        <v>180</v>
      </c>
      <c r="B187" s="71" t="s">
        <v>1298</v>
      </c>
      <c r="C187" s="28">
        <v>0</v>
      </c>
      <c r="D187" s="28">
        <v>0</v>
      </c>
      <c r="E187" s="28">
        <v>0</v>
      </c>
      <c r="F187" s="28">
        <v>0</v>
      </c>
      <c r="G187" s="28">
        <v>0</v>
      </c>
      <c r="H187" s="28">
        <v>0</v>
      </c>
      <c r="I187" s="28">
        <v>8</v>
      </c>
      <c r="J187" s="28">
        <v>0</v>
      </c>
      <c r="K187" s="28">
        <v>0</v>
      </c>
      <c r="L187" s="28">
        <v>0</v>
      </c>
      <c r="M187" s="28">
        <v>0</v>
      </c>
      <c r="N187" s="28">
        <v>0</v>
      </c>
      <c r="O187" s="28">
        <v>0</v>
      </c>
      <c r="P187" s="516">
        <v>8</v>
      </c>
      <c r="Q187" s="517">
        <v>1</v>
      </c>
      <c r="R187" s="6">
        <v>0</v>
      </c>
      <c r="S187" s="369">
        <v>0</v>
      </c>
      <c r="T187" s="94"/>
      <c r="U187" s="28">
        <v>3589.2</v>
      </c>
      <c r="V187" s="28">
        <v>6482.4</v>
      </c>
      <c r="W187" s="28">
        <v>65391.44</v>
      </c>
      <c r="X187" s="28">
        <v>4568.5600000000004</v>
      </c>
      <c r="Y187" s="28">
        <v>2044.08</v>
      </c>
      <c r="Z187" s="28">
        <v>12045.84</v>
      </c>
      <c r="AA187" s="28">
        <v>3608.96</v>
      </c>
      <c r="AB187" s="28">
        <v>4861.28</v>
      </c>
      <c r="AC187" s="28">
        <v>16238</v>
      </c>
      <c r="AD187" s="28">
        <v>16052.88</v>
      </c>
      <c r="AE187" s="28">
        <v>0</v>
      </c>
      <c r="AF187" s="28">
        <v>134882.64000000001</v>
      </c>
      <c r="AG187" s="147"/>
      <c r="AH187" s="147"/>
      <c r="AI187" s="405">
        <v>0</v>
      </c>
      <c r="AJ187" s="460">
        <v>0</v>
      </c>
      <c r="AK187" s="417">
        <v>0</v>
      </c>
      <c r="AL187" s="405">
        <v>0</v>
      </c>
      <c r="AM187" s="147"/>
    </row>
    <row r="188" spans="1:39">
      <c r="A188" s="71">
        <v>181</v>
      </c>
      <c r="B188" s="71" t="s">
        <v>1299</v>
      </c>
      <c r="C188" s="28">
        <v>154</v>
      </c>
      <c r="D188" s="28">
        <v>0</v>
      </c>
      <c r="E188" s="28">
        <v>446</v>
      </c>
      <c r="F188" s="28">
        <v>2577</v>
      </c>
      <c r="G188" s="28">
        <v>1701</v>
      </c>
      <c r="H188" s="28">
        <v>1526</v>
      </c>
      <c r="I188" s="28">
        <v>533</v>
      </c>
      <c r="J188" s="28">
        <v>272</v>
      </c>
      <c r="K188" s="28">
        <v>63</v>
      </c>
      <c r="L188" s="28">
        <v>755</v>
      </c>
      <c r="M188" s="28">
        <v>201</v>
      </c>
      <c r="N188" s="28">
        <v>266</v>
      </c>
      <c r="O188" s="28">
        <v>3959</v>
      </c>
      <c r="P188" s="516">
        <v>6860</v>
      </c>
      <c r="Q188" s="517">
        <v>1</v>
      </c>
      <c r="R188" s="6">
        <v>10</v>
      </c>
      <c r="S188" s="369">
        <v>0.59950000000000003</v>
      </c>
      <c r="T188" s="365"/>
      <c r="U188" s="28">
        <v>4677355.9600000009</v>
      </c>
      <c r="V188" s="28">
        <v>7619648.6699999999</v>
      </c>
      <c r="W188" s="28">
        <v>50988344.570000008</v>
      </c>
      <c r="X188" s="28">
        <v>8142564.6600000001</v>
      </c>
      <c r="Y188" s="28">
        <v>2162584.19</v>
      </c>
      <c r="Z188" s="28">
        <v>5122758.21</v>
      </c>
      <c r="AA188" s="28">
        <v>3619940.42</v>
      </c>
      <c r="AB188" s="28">
        <v>5931960.6100000003</v>
      </c>
      <c r="AC188" s="28">
        <v>9202680.4399999995</v>
      </c>
      <c r="AD188" s="28">
        <v>15940158.880000001</v>
      </c>
      <c r="AE188" s="28">
        <v>2214811.6199999996</v>
      </c>
      <c r="AF188" s="28">
        <v>115622808.23</v>
      </c>
      <c r="AG188" s="147"/>
      <c r="AH188" s="147"/>
      <c r="AI188" s="405">
        <v>3959</v>
      </c>
      <c r="AJ188" s="460">
        <v>6604</v>
      </c>
      <c r="AK188" s="417">
        <v>0.59950000000000003</v>
      </c>
      <c r="AL188" s="405">
        <v>10</v>
      </c>
      <c r="AM188" s="147"/>
    </row>
    <row r="189" spans="1:39">
      <c r="A189" s="71">
        <v>182</v>
      </c>
      <c r="B189" s="71" t="s">
        <v>1300</v>
      </c>
      <c r="C189" s="28">
        <v>35</v>
      </c>
      <c r="D189" s="28">
        <v>0</v>
      </c>
      <c r="E189" s="28">
        <v>203</v>
      </c>
      <c r="F189" s="28">
        <v>1219</v>
      </c>
      <c r="G189" s="28">
        <v>744</v>
      </c>
      <c r="H189" s="28">
        <v>878</v>
      </c>
      <c r="I189" s="28">
        <v>24</v>
      </c>
      <c r="J189" s="28">
        <v>121</v>
      </c>
      <c r="K189" s="28">
        <v>30</v>
      </c>
      <c r="L189" s="28">
        <v>61</v>
      </c>
      <c r="M189" s="28">
        <v>22</v>
      </c>
      <c r="N189" s="28">
        <v>18</v>
      </c>
      <c r="O189" s="28">
        <v>1358</v>
      </c>
      <c r="P189" s="516">
        <v>3086</v>
      </c>
      <c r="Q189" s="517">
        <v>1</v>
      </c>
      <c r="R189" s="6">
        <v>8</v>
      </c>
      <c r="S189" s="369">
        <v>0.45200000000000001</v>
      </c>
      <c r="T189" s="365"/>
      <c r="U189" s="28">
        <v>1996767.73</v>
      </c>
      <c r="V189" s="28">
        <v>3065657.98</v>
      </c>
      <c r="W189" s="28">
        <v>18898764.740000002</v>
      </c>
      <c r="X189" s="28">
        <v>3573649.35</v>
      </c>
      <c r="Y189" s="28">
        <v>795674.02999999991</v>
      </c>
      <c r="Z189" s="28">
        <v>2072019.3099999998</v>
      </c>
      <c r="AA189" s="28">
        <v>1479879.3199999996</v>
      </c>
      <c r="AB189" s="28">
        <v>2087052.16</v>
      </c>
      <c r="AC189" s="28">
        <v>3771781.2700000005</v>
      </c>
      <c r="AD189" s="28">
        <v>6459916.8899999987</v>
      </c>
      <c r="AE189" s="28">
        <v>1054672.2</v>
      </c>
      <c r="AF189" s="28">
        <v>45255834.980000012</v>
      </c>
      <c r="AG189" s="147"/>
      <c r="AH189" s="147"/>
      <c r="AI189" s="405">
        <v>1358</v>
      </c>
      <c r="AJ189" s="460">
        <v>3004.5</v>
      </c>
      <c r="AK189" s="417">
        <v>0.45200000000000001</v>
      </c>
      <c r="AL189" s="405">
        <v>8</v>
      </c>
      <c r="AM189" s="147"/>
    </row>
    <row r="190" spans="1:39">
      <c r="A190" s="71">
        <v>183</v>
      </c>
      <c r="B190" s="71" t="s">
        <v>1301</v>
      </c>
      <c r="C190" s="28">
        <v>0</v>
      </c>
      <c r="D190" s="28">
        <v>0</v>
      </c>
      <c r="E190" s="28">
        <v>0</v>
      </c>
      <c r="F190" s="28">
        <v>0</v>
      </c>
      <c r="G190" s="28">
        <v>0</v>
      </c>
      <c r="H190" s="28">
        <v>0</v>
      </c>
      <c r="I190" s="28">
        <v>2</v>
      </c>
      <c r="J190" s="28">
        <v>0</v>
      </c>
      <c r="K190" s="28">
        <v>0</v>
      </c>
      <c r="L190" s="28">
        <v>0</v>
      </c>
      <c r="M190" s="28">
        <v>0</v>
      </c>
      <c r="N190" s="28">
        <v>0</v>
      </c>
      <c r="O190" s="28">
        <v>0</v>
      </c>
      <c r="P190" s="516">
        <v>2</v>
      </c>
      <c r="Q190" s="517">
        <v>1</v>
      </c>
      <c r="R190" s="6">
        <v>0</v>
      </c>
      <c r="S190" s="369">
        <v>0</v>
      </c>
      <c r="T190" s="94"/>
      <c r="U190" s="28">
        <v>897.3</v>
      </c>
      <c r="V190" s="28">
        <v>1620.6</v>
      </c>
      <c r="W190" s="28">
        <v>16347.86</v>
      </c>
      <c r="X190" s="28">
        <v>1142.1400000000001</v>
      </c>
      <c r="Y190" s="28">
        <v>511.02</v>
      </c>
      <c r="Z190" s="28">
        <v>3011.46</v>
      </c>
      <c r="AA190" s="28">
        <v>902.24</v>
      </c>
      <c r="AB190" s="28">
        <v>1215.32</v>
      </c>
      <c r="AC190" s="28">
        <v>4059.5</v>
      </c>
      <c r="AD190" s="28">
        <v>4013.22</v>
      </c>
      <c r="AE190" s="28">
        <v>0</v>
      </c>
      <c r="AF190" s="28">
        <v>33720.660000000003</v>
      </c>
      <c r="AG190" s="147"/>
      <c r="AH190" s="147"/>
      <c r="AI190" s="405">
        <v>0</v>
      </c>
      <c r="AJ190" s="460">
        <v>0</v>
      </c>
      <c r="AK190" s="417">
        <v>0</v>
      </c>
      <c r="AL190" s="405">
        <v>0</v>
      </c>
      <c r="AM190" s="147"/>
    </row>
    <row r="191" spans="1:39">
      <c r="A191" s="71">
        <v>184</v>
      </c>
      <c r="B191" s="71" t="s">
        <v>1302</v>
      </c>
      <c r="C191" s="28">
        <v>55</v>
      </c>
      <c r="D191" s="28">
        <v>0</v>
      </c>
      <c r="E191" s="28">
        <v>86</v>
      </c>
      <c r="F191" s="28">
        <v>502</v>
      </c>
      <c r="G191" s="28">
        <v>86</v>
      </c>
      <c r="H191" s="28">
        <v>0</v>
      </c>
      <c r="I191" s="28">
        <v>0</v>
      </c>
      <c r="J191" s="28">
        <v>26</v>
      </c>
      <c r="K191" s="28">
        <v>7</v>
      </c>
      <c r="L191" s="28">
        <v>29</v>
      </c>
      <c r="M191" s="28">
        <v>0</v>
      </c>
      <c r="N191" s="28">
        <v>0</v>
      </c>
      <c r="O191" s="28">
        <v>89</v>
      </c>
      <c r="P191" s="516">
        <v>702</v>
      </c>
      <c r="Q191" s="517">
        <v>1.0449999999999999</v>
      </c>
      <c r="R191" s="6">
        <v>3</v>
      </c>
      <c r="S191" s="369">
        <v>0.128</v>
      </c>
      <c r="T191" s="365"/>
      <c r="U191" s="28">
        <v>449135.82725000003</v>
      </c>
      <c r="V191" s="28">
        <v>626730.04515000002</v>
      </c>
      <c r="W191" s="28">
        <v>3264374.8142499998</v>
      </c>
      <c r="X191" s="28">
        <v>940078.43654999998</v>
      </c>
      <c r="Y191" s="28">
        <v>136678.39239999998</v>
      </c>
      <c r="Z191" s="28">
        <v>394320.93999999994</v>
      </c>
      <c r="AA191" s="28">
        <v>293316.06534999993</v>
      </c>
      <c r="AB191" s="28">
        <v>177026.03049999999</v>
      </c>
      <c r="AC191" s="28">
        <v>868203.38879999996</v>
      </c>
      <c r="AD191" s="28">
        <v>1305841.48</v>
      </c>
      <c r="AE191" s="28">
        <v>246090.18</v>
      </c>
      <c r="AF191" s="28">
        <v>8701795.6002499983</v>
      </c>
      <c r="AG191" s="147"/>
      <c r="AH191" s="147"/>
      <c r="AI191" s="405">
        <v>89</v>
      </c>
      <c r="AJ191" s="460">
        <v>695.5</v>
      </c>
      <c r="AK191" s="417">
        <v>0.128</v>
      </c>
      <c r="AL191" s="405">
        <v>3</v>
      </c>
      <c r="AM191" s="147"/>
    </row>
    <row r="192" spans="1:39">
      <c r="A192" s="71">
        <v>185</v>
      </c>
      <c r="B192" s="71" t="s">
        <v>1303</v>
      </c>
      <c r="C192" s="28">
        <v>74</v>
      </c>
      <c r="D192" s="28">
        <v>0</v>
      </c>
      <c r="E192" s="28">
        <v>362</v>
      </c>
      <c r="F192" s="28">
        <v>1806</v>
      </c>
      <c r="G192" s="28">
        <v>1062</v>
      </c>
      <c r="H192" s="28">
        <v>1395</v>
      </c>
      <c r="I192" s="28">
        <v>18</v>
      </c>
      <c r="J192" s="28">
        <v>183</v>
      </c>
      <c r="K192" s="28">
        <v>46</v>
      </c>
      <c r="L192" s="28">
        <v>969</v>
      </c>
      <c r="M192" s="28">
        <v>203</v>
      </c>
      <c r="N192" s="28">
        <v>297</v>
      </c>
      <c r="O192" s="28">
        <v>2724</v>
      </c>
      <c r="P192" s="516">
        <v>4680</v>
      </c>
      <c r="Q192" s="517">
        <v>1.0029999999999999</v>
      </c>
      <c r="R192" s="6">
        <v>10</v>
      </c>
      <c r="S192" s="369">
        <v>0.60760000000000003</v>
      </c>
      <c r="T192" s="365"/>
      <c r="U192" s="28">
        <v>3279119.2038100003</v>
      </c>
      <c r="V192" s="28">
        <v>5352344.32596</v>
      </c>
      <c r="W192" s="28">
        <v>34748353.701319993</v>
      </c>
      <c r="X192" s="28">
        <v>5698364.3311099987</v>
      </c>
      <c r="Y192" s="28">
        <v>1483918.98162</v>
      </c>
      <c r="Z192" s="28">
        <v>3365210.25</v>
      </c>
      <c r="AA192" s="28">
        <v>2533651.4195999997</v>
      </c>
      <c r="AB192" s="28">
        <v>4090457.5686999992</v>
      </c>
      <c r="AC192" s="28">
        <v>6171591.6367199989</v>
      </c>
      <c r="AD192" s="28">
        <v>10920008.83</v>
      </c>
      <c r="AE192" s="28">
        <v>1617164.0399999998</v>
      </c>
      <c r="AF192" s="28">
        <v>79260184.288840011</v>
      </c>
      <c r="AG192" s="147"/>
      <c r="AH192" s="147"/>
      <c r="AI192" s="405">
        <v>2724</v>
      </c>
      <c r="AJ192" s="460">
        <v>4483</v>
      </c>
      <c r="AK192" s="417">
        <v>0.60760000000000003</v>
      </c>
      <c r="AL192" s="405">
        <v>10</v>
      </c>
      <c r="AM192" s="147"/>
    </row>
    <row r="193" spans="1:39">
      <c r="A193" s="71">
        <v>186</v>
      </c>
      <c r="B193" s="71" t="s">
        <v>1304</v>
      </c>
      <c r="C193" s="28">
        <v>89</v>
      </c>
      <c r="D193" s="28">
        <v>0</v>
      </c>
      <c r="E193" s="28">
        <v>110</v>
      </c>
      <c r="F193" s="28">
        <v>611</v>
      </c>
      <c r="G193" s="28">
        <v>371</v>
      </c>
      <c r="H193" s="28">
        <v>505</v>
      </c>
      <c r="I193" s="28">
        <v>4</v>
      </c>
      <c r="J193" s="28">
        <v>63</v>
      </c>
      <c r="K193" s="28">
        <v>16</v>
      </c>
      <c r="L193" s="28">
        <v>47</v>
      </c>
      <c r="M193" s="28">
        <v>18</v>
      </c>
      <c r="N193" s="28">
        <v>24</v>
      </c>
      <c r="O193" s="28">
        <v>633</v>
      </c>
      <c r="P193" s="516">
        <v>1646</v>
      </c>
      <c r="Q193" s="517">
        <v>1</v>
      </c>
      <c r="R193" s="6">
        <v>7</v>
      </c>
      <c r="S193" s="369">
        <v>0.39229999999999998</v>
      </c>
      <c r="T193" s="365"/>
      <c r="U193" s="28">
        <v>1052800.3699999999</v>
      </c>
      <c r="V193" s="28">
        <v>1587655.1199999999</v>
      </c>
      <c r="W193" s="28">
        <v>9593997.7999999989</v>
      </c>
      <c r="X193" s="28">
        <v>1894746.32</v>
      </c>
      <c r="Y193" s="28">
        <v>398824.93999999994</v>
      </c>
      <c r="Z193" s="28">
        <v>1108942.33</v>
      </c>
      <c r="AA193" s="28">
        <v>772041.75</v>
      </c>
      <c r="AB193" s="28">
        <v>1009857.0900000001</v>
      </c>
      <c r="AC193" s="28">
        <v>2009648.59</v>
      </c>
      <c r="AD193" s="28">
        <v>3350573.75</v>
      </c>
      <c r="AE193" s="28">
        <v>562491.84</v>
      </c>
      <c r="AF193" s="28">
        <v>23341579.899999999</v>
      </c>
      <c r="AG193" s="147"/>
      <c r="AH193" s="147"/>
      <c r="AI193" s="405">
        <v>633</v>
      </c>
      <c r="AJ193" s="460">
        <v>1613.5</v>
      </c>
      <c r="AK193" s="417">
        <v>0.39229999999999998</v>
      </c>
      <c r="AL193" s="405">
        <v>7</v>
      </c>
      <c r="AM193" s="147"/>
    </row>
    <row r="194" spans="1:39">
      <c r="A194" s="71">
        <v>187</v>
      </c>
      <c r="B194" s="71" t="s">
        <v>1305</v>
      </c>
      <c r="C194" s="28">
        <v>14</v>
      </c>
      <c r="D194" s="28">
        <v>69</v>
      </c>
      <c r="E194" s="28">
        <v>17</v>
      </c>
      <c r="F194" s="28">
        <v>442</v>
      </c>
      <c r="G194" s="28">
        <v>265</v>
      </c>
      <c r="H194" s="28">
        <v>320</v>
      </c>
      <c r="I194" s="28">
        <v>0</v>
      </c>
      <c r="J194" s="28">
        <v>42</v>
      </c>
      <c r="K194" s="28">
        <v>11</v>
      </c>
      <c r="L194" s="28">
        <v>29</v>
      </c>
      <c r="M194" s="28">
        <v>4</v>
      </c>
      <c r="N194" s="28">
        <v>4</v>
      </c>
      <c r="O194" s="28">
        <v>240</v>
      </c>
      <c r="P194" s="516">
        <v>1086</v>
      </c>
      <c r="Q194" s="517">
        <v>1.036</v>
      </c>
      <c r="R194" s="6">
        <v>4</v>
      </c>
      <c r="S194" s="369">
        <v>0.21299999999999999</v>
      </c>
      <c r="T194" s="365"/>
      <c r="U194" s="28">
        <v>701584.23495999991</v>
      </c>
      <c r="V194" s="28">
        <v>993538.56615999993</v>
      </c>
      <c r="W194" s="28">
        <v>5645013.0444400003</v>
      </c>
      <c r="X194" s="28">
        <v>1295123.4394000003</v>
      </c>
      <c r="Y194" s="28">
        <v>230219.82675999997</v>
      </c>
      <c r="Z194" s="28">
        <v>715547.85</v>
      </c>
      <c r="AA194" s="28">
        <v>490742.21839999995</v>
      </c>
      <c r="AB194" s="28">
        <v>508660.14919999999</v>
      </c>
      <c r="AC194" s="28">
        <v>1365151.5278800002</v>
      </c>
      <c r="AD194" s="28">
        <v>2067010.7099999997</v>
      </c>
      <c r="AE194" s="28">
        <v>386713.13999999996</v>
      </c>
      <c r="AF194" s="28">
        <v>14399304.707199998</v>
      </c>
      <c r="AG194" s="147"/>
      <c r="AH194" s="147"/>
      <c r="AI194" s="405">
        <v>240</v>
      </c>
      <c r="AJ194" s="460">
        <v>1127</v>
      </c>
      <c r="AK194" s="417">
        <v>0.21299999999999999</v>
      </c>
      <c r="AL194" s="405">
        <v>4</v>
      </c>
      <c r="AM194" s="147"/>
    </row>
    <row r="195" spans="1:39">
      <c r="A195" s="71">
        <v>188</v>
      </c>
      <c r="B195" s="71" t="s">
        <v>1306</v>
      </c>
      <c r="C195" s="28">
        <v>0</v>
      </c>
      <c r="D195" s="28">
        <v>0</v>
      </c>
      <c r="E195" s="28">
        <v>0</v>
      </c>
      <c r="F195" s="28">
        <v>0</v>
      </c>
      <c r="G195" s="28">
        <v>0</v>
      </c>
      <c r="H195" s="28">
        <v>0</v>
      </c>
      <c r="I195" s="28">
        <v>5</v>
      </c>
      <c r="J195" s="28">
        <v>0</v>
      </c>
      <c r="K195" s="28">
        <v>0</v>
      </c>
      <c r="L195" s="28">
        <v>0</v>
      </c>
      <c r="M195" s="28">
        <v>0</v>
      </c>
      <c r="N195" s="28">
        <v>0</v>
      </c>
      <c r="O195" s="28">
        <v>0</v>
      </c>
      <c r="P195" s="516">
        <v>5</v>
      </c>
      <c r="Q195" s="517">
        <v>1</v>
      </c>
      <c r="R195" s="6">
        <v>0</v>
      </c>
      <c r="S195" s="369">
        <v>0</v>
      </c>
      <c r="T195" s="94"/>
      <c r="U195" s="28">
        <v>2243.25</v>
      </c>
      <c r="V195" s="28">
        <v>4051.5</v>
      </c>
      <c r="W195" s="28">
        <v>40869.65</v>
      </c>
      <c r="X195" s="28">
        <v>2855.3500000000004</v>
      </c>
      <c r="Y195" s="28">
        <v>1277.55</v>
      </c>
      <c r="Z195" s="28">
        <v>7528.65</v>
      </c>
      <c r="AA195" s="28">
        <v>2255.6</v>
      </c>
      <c r="AB195" s="28">
        <v>3038.2999999999997</v>
      </c>
      <c r="AC195" s="28">
        <v>10148.75</v>
      </c>
      <c r="AD195" s="28">
        <v>10033.049999999999</v>
      </c>
      <c r="AE195" s="28">
        <v>0</v>
      </c>
      <c r="AF195" s="28">
        <v>84301.650000000009</v>
      </c>
      <c r="AG195" s="147"/>
      <c r="AH195" s="147"/>
      <c r="AI195" s="405">
        <v>0</v>
      </c>
      <c r="AJ195" s="460">
        <v>0</v>
      </c>
      <c r="AK195" s="417">
        <v>0</v>
      </c>
      <c r="AL195" s="405">
        <v>0</v>
      </c>
      <c r="AM195" s="147"/>
    </row>
    <row r="196" spans="1:39">
      <c r="A196" s="71">
        <v>189</v>
      </c>
      <c r="B196" s="71" t="s">
        <v>1307</v>
      </c>
      <c r="C196" s="28">
        <v>53</v>
      </c>
      <c r="D196" s="28">
        <v>0</v>
      </c>
      <c r="E196" s="28">
        <v>328</v>
      </c>
      <c r="F196" s="28">
        <v>1835</v>
      </c>
      <c r="G196" s="28">
        <v>984</v>
      </c>
      <c r="H196" s="28">
        <v>1129</v>
      </c>
      <c r="I196" s="28">
        <v>0</v>
      </c>
      <c r="J196" s="28">
        <v>168</v>
      </c>
      <c r="K196" s="28">
        <v>43</v>
      </c>
      <c r="L196" s="28">
        <v>82</v>
      </c>
      <c r="M196" s="28">
        <v>22</v>
      </c>
      <c r="N196" s="28">
        <v>24</v>
      </c>
      <c r="O196" s="28">
        <v>685</v>
      </c>
      <c r="P196" s="516">
        <v>4303</v>
      </c>
      <c r="Q196" s="517">
        <v>1.042</v>
      </c>
      <c r="R196" s="6">
        <v>3</v>
      </c>
      <c r="S196" s="369">
        <v>0.16009999999999999</v>
      </c>
      <c r="T196" s="365"/>
      <c r="U196" s="28">
        <v>2778175.6901600002</v>
      </c>
      <c r="V196" s="28">
        <v>3865586.1022599996</v>
      </c>
      <c r="W196" s="28">
        <v>21472621.738779999</v>
      </c>
      <c r="X196" s="28">
        <v>5248702.5058399998</v>
      </c>
      <c r="Y196" s="28">
        <v>872192.18930000009</v>
      </c>
      <c r="Z196" s="28">
        <v>2783090.1499999994</v>
      </c>
      <c r="AA196" s="28">
        <v>1906019.6582599999</v>
      </c>
      <c r="AB196" s="28">
        <v>1760094.77932</v>
      </c>
      <c r="AC196" s="28">
        <v>5428165.6135800006</v>
      </c>
      <c r="AD196" s="28">
        <v>8051089.1799999997</v>
      </c>
      <c r="AE196" s="28">
        <v>1511696.8199999998</v>
      </c>
      <c r="AF196" s="28">
        <v>55677434.427500002</v>
      </c>
      <c r="AG196" s="147"/>
      <c r="AH196" s="147"/>
      <c r="AI196" s="405">
        <v>685</v>
      </c>
      <c r="AJ196" s="460">
        <v>4278</v>
      </c>
      <c r="AK196" s="417">
        <v>0.16009999999999999</v>
      </c>
      <c r="AL196" s="405">
        <v>3</v>
      </c>
      <c r="AM196" s="147"/>
    </row>
    <row r="197" spans="1:39">
      <c r="A197" s="71">
        <v>190</v>
      </c>
      <c r="B197" s="71" t="s">
        <v>1308</v>
      </c>
      <c r="C197" s="28">
        <v>1</v>
      </c>
      <c r="D197" s="28">
        <v>0</v>
      </c>
      <c r="E197" s="28">
        <v>2</v>
      </c>
      <c r="F197" s="28">
        <v>8</v>
      </c>
      <c r="G197" s="28">
        <v>5</v>
      </c>
      <c r="H197" s="28">
        <v>3</v>
      </c>
      <c r="I197" s="28">
        <v>0</v>
      </c>
      <c r="J197" s="28">
        <v>1</v>
      </c>
      <c r="K197" s="28">
        <v>0</v>
      </c>
      <c r="L197" s="28">
        <v>0</v>
      </c>
      <c r="M197" s="28">
        <v>0</v>
      </c>
      <c r="N197" s="28">
        <v>0</v>
      </c>
      <c r="O197" s="28">
        <v>0</v>
      </c>
      <c r="P197" s="516">
        <v>19</v>
      </c>
      <c r="Q197" s="517">
        <v>1</v>
      </c>
      <c r="R197" s="6">
        <v>0</v>
      </c>
      <c r="S197" s="369">
        <v>0</v>
      </c>
      <c r="T197" s="94"/>
      <c r="U197" s="28">
        <v>11396.439999999999</v>
      </c>
      <c r="V197" s="28">
        <v>14990.539999999999</v>
      </c>
      <c r="W197" s="28">
        <v>80001.540000000008</v>
      </c>
      <c r="X197" s="28">
        <v>24688.78</v>
      </c>
      <c r="Y197" s="28">
        <v>3297.26</v>
      </c>
      <c r="Z197" s="28">
        <v>11346.880000000001</v>
      </c>
      <c r="AA197" s="28">
        <v>7370.08</v>
      </c>
      <c r="AB197" s="28">
        <v>4700.0200000000004</v>
      </c>
      <c r="AC197" s="28">
        <v>23138.190000000002</v>
      </c>
      <c r="AD197" s="28">
        <v>34393.370000000003</v>
      </c>
      <c r="AE197" s="28">
        <v>0</v>
      </c>
      <c r="AF197" s="28">
        <v>215323.09999999998</v>
      </c>
      <c r="AG197" s="147"/>
      <c r="AH197" s="147"/>
      <c r="AI197" s="405">
        <v>0</v>
      </c>
      <c r="AJ197" s="460">
        <v>0</v>
      </c>
      <c r="AK197" s="417">
        <v>0</v>
      </c>
      <c r="AL197" s="405">
        <v>0</v>
      </c>
      <c r="AM197" s="147"/>
    </row>
    <row r="198" spans="1:39">
      <c r="A198" s="71">
        <v>191</v>
      </c>
      <c r="B198" s="71" t="s">
        <v>1309</v>
      </c>
      <c r="C198" s="28">
        <v>65</v>
      </c>
      <c r="D198" s="28">
        <v>0</v>
      </c>
      <c r="E198" s="28">
        <v>61</v>
      </c>
      <c r="F198" s="28">
        <v>328</v>
      </c>
      <c r="G198" s="28">
        <v>204</v>
      </c>
      <c r="H198" s="28">
        <v>185</v>
      </c>
      <c r="I198" s="28">
        <v>0</v>
      </c>
      <c r="J198" s="28">
        <v>31</v>
      </c>
      <c r="K198" s="28">
        <v>8</v>
      </c>
      <c r="L198" s="28">
        <v>6</v>
      </c>
      <c r="M198" s="28">
        <v>1</v>
      </c>
      <c r="N198" s="28">
        <v>1</v>
      </c>
      <c r="O198" s="28">
        <v>364</v>
      </c>
      <c r="P198" s="516">
        <v>811</v>
      </c>
      <c r="Q198" s="517">
        <v>1</v>
      </c>
      <c r="R198" s="6">
        <v>8</v>
      </c>
      <c r="S198" s="369">
        <v>0.44690000000000002</v>
      </c>
      <c r="T198" s="365"/>
      <c r="U198" s="28">
        <v>520991.58</v>
      </c>
      <c r="V198" s="28">
        <v>804444.98</v>
      </c>
      <c r="W198" s="28">
        <v>4876702.9000000004</v>
      </c>
      <c r="X198" s="28">
        <v>945032.84</v>
      </c>
      <c r="Y198" s="28">
        <v>208005.93</v>
      </c>
      <c r="Z198" s="28">
        <v>520637.94999999995</v>
      </c>
      <c r="AA198" s="28">
        <v>384763.11</v>
      </c>
      <c r="AB198" s="28">
        <v>529471.43999999994</v>
      </c>
      <c r="AC198" s="28">
        <v>973648.8899999999</v>
      </c>
      <c r="AD198" s="28">
        <v>1694658.8199999998</v>
      </c>
      <c r="AE198" s="28">
        <v>281245.92</v>
      </c>
      <c r="AF198" s="28">
        <v>11739604.360000001</v>
      </c>
      <c r="AG198" s="147"/>
      <c r="AH198" s="147"/>
      <c r="AI198" s="405">
        <v>364</v>
      </c>
      <c r="AJ198" s="460">
        <v>814.5</v>
      </c>
      <c r="AK198" s="417">
        <v>0.44690000000000002</v>
      </c>
      <c r="AL198" s="405">
        <v>8</v>
      </c>
      <c r="AM198" s="147"/>
    </row>
    <row r="199" spans="1:39">
      <c r="A199" s="71">
        <v>192</v>
      </c>
      <c r="B199" s="71" t="s">
        <v>1310</v>
      </c>
      <c r="C199" s="28">
        <v>0</v>
      </c>
      <c r="D199" s="28">
        <v>0</v>
      </c>
      <c r="E199" s="28">
        <v>0</v>
      </c>
      <c r="F199" s="28">
        <v>0</v>
      </c>
      <c r="G199" s="28">
        <v>0</v>
      </c>
      <c r="H199" s="28">
        <v>0</v>
      </c>
      <c r="I199" s="28">
        <v>1</v>
      </c>
      <c r="J199" s="28">
        <v>0</v>
      </c>
      <c r="K199" s="28">
        <v>0</v>
      </c>
      <c r="L199" s="28">
        <v>0</v>
      </c>
      <c r="M199" s="28">
        <v>0</v>
      </c>
      <c r="N199" s="28">
        <v>0</v>
      </c>
      <c r="O199" s="28">
        <v>0</v>
      </c>
      <c r="P199" s="516">
        <v>1</v>
      </c>
      <c r="Q199" s="517">
        <v>1</v>
      </c>
      <c r="R199" s="6">
        <v>0</v>
      </c>
      <c r="S199" s="369">
        <v>0</v>
      </c>
      <c r="T199" s="94"/>
      <c r="U199" s="28">
        <v>448.65</v>
      </c>
      <c r="V199" s="28">
        <v>810.3</v>
      </c>
      <c r="W199" s="28">
        <v>8173.93</v>
      </c>
      <c r="X199" s="28">
        <v>571.07000000000005</v>
      </c>
      <c r="Y199" s="28">
        <v>255.51</v>
      </c>
      <c r="Z199" s="28">
        <v>1505.73</v>
      </c>
      <c r="AA199" s="28">
        <v>451.12</v>
      </c>
      <c r="AB199" s="28">
        <v>607.66</v>
      </c>
      <c r="AC199" s="28">
        <v>2029.75</v>
      </c>
      <c r="AD199" s="28">
        <v>2006.61</v>
      </c>
      <c r="AE199" s="28">
        <v>0</v>
      </c>
      <c r="AF199" s="28">
        <v>16860.330000000002</v>
      </c>
      <c r="AG199" s="147"/>
      <c r="AH199" s="147"/>
      <c r="AI199" s="405">
        <v>0</v>
      </c>
      <c r="AJ199" s="460">
        <v>0</v>
      </c>
      <c r="AK199" s="417">
        <v>0</v>
      </c>
      <c r="AL199" s="405">
        <v>0</v>
      </c>
      <c r="AM199" s="147"/>
    </row>
    <row r="200" spans="1:39">
      <c r="A200" s="71">
        <v>193</v>
      </c>
      <c r="B200" s="71" t="s">
        <v>1311</v>
      </c>
      <c r="C200" s="28">
        <v>0</v>
      </c>
      <c r="D200" s="28">
        <v>0</v>
      </c>
      <c r="E200" s="28">
        <v>0</v>
      </c>
      <c r="F200" s="28">
        <v>0</v>
      </c>
      <c r="G200" s="28">
        <v>0</v>
      </c>
      <c r="H200" s="28">
        <v>0</v>
      </c>
      <c r="I200" s="28">
        <v>0</v>
      </c>
      <c r="J200" s="28">
        <v>0</v>
      </c>
      <c r="K200" s="28">
        <v>0</v>
      </c>
      <c r="L200" s="28">
        <v>0</v>
      </c>
      <c r="M200" s="28">
        <v>0</v>
      </c>
      <c r="N200" s="28">
        <v>0</v>
      </c>
      <c r="O200" s="28">
        <v>0</v>
      </c>
      <c r="P200" s="516">
        <v>0</v>
      </c>
      <c r="Q200" s="517">
        <v>1</v>
      </c>
      <c r="R200" s="6">
        <v>0</v>
      </c>
      <c r="S200" s="369">
        <v>0</v>
      </c>
      <c r="T200" s="94"/>
      <c r="U200" s="28">
        <v>0</v>
      </c>
      <c r="V200" s="28">
        <v>0</v>
      </c>
      <c r="W200" s="28">
        <v>0</v>
      </c>
      <c r="X200" s="28">
        <v>0</v>
      </c>
      <c r="Y200" s="28">
        <v>0</v>
      </c>
      <c r="Z200" s="28">
        <v>0</v>
      </c>
      <c r="AA200" s="28">
        <v>0</v>
      </c>
      <c r="AB200" s="28">
        <v>0</v>
      </c>
      <c r="AC200" s="28">
        <v>0</v>
      </c>
      <c r="AD200" s="28">
        <v>0</v>
      </c>
      <c r="AE200" s="28">
        <v>0</v>
      </c>
      <c r="AF200" s="28">
        <v>0</v>
      </c>
      <c r="AG200" s="147"/>
      <c r="AH200" s="147"/>
      <c r="AI200" s="405">
        <v>0</v>
      </c>
      <c r="AJ200" s="460">
        <v>0</v>
      </c>
      <c r="AK200" s="417">
        <v>0</v>
      </c>
      <c r="AL200" s="405">
        <v>0</v>
      </c>
      <c r="AM200" s="147"/>
    </row>
    <row r="201" spans="1:39">
      <c r="A201" s="71">
        <v>194</v>
      </c>
      <c r="B201" s="71" t="s">
        <v>1312</v>
      </c>
      <c r="C201" s="28">
        <v>0</v>
      </c>
      <c r="D201" s="28">
        <v>0</v>
      </c>
      <c r="E201" s="28">
        <v>0</v>
      </c>
      <c r="F201" s="28">
        <v>0</v>
      </c>
      <c r="G201" s="28">
        <v>0</v>
      </c>
      <c r="H201" s="28">
        <v>0</v>
      </c>
      <c r="I201" s="28">
        <v>5</v>
      </c>
      <c r="J201" s="28">
        <v>0</v>
      </c>
      <c r="K201" s="28">
        <v>0</v>
      </c>
      <c r="L201" s="28">
        <v>0</v>
      </c>
      <c r="M201" s="28">
        <v>0</v>
      </c>
      <c r="N201" s="28">
        <v>0</v>
      </c>
      <c r="O201" s="28">
        <v>0</v>
      </c>
      <c r="P201" s="516">
        <v>5</v>
      </c>
      <c r="Q201" s="517">
        <v>1</v>
      </c>
      <c r="R201" s="6">
        <v>0</v>
      </c>
      <c r="S201" s="369">
        <v>0</v>
      </c>
      <c r="T201" s="94"/>
      <c r="U201" s="28">
        <v>2243.25</v>
      </c>
      <c r="V201" s="28">
        <v>4051.5</v>
      </c>
      <c r="W201" s="28">
        <v>40869.65</v>
      </c>
      <c r="X201" s="28">
        <v>2855.3500000000004</v>
      </c>
      <c r="Y201" s="28">
        <v>1277.55</v>
      </c>
      <c r="Z201" s="28">
        <v>7528.65</v>
      </c>
      <c r="AA201" s="28">
        <v>2255.6</v>
      </c>
      <c r="AB201" s="28">
        <v>3038.2999999999997</v>
      </c>
      <c r="AC201" s="28">
        <v>10148.75</v>
      </c>
      <c r="AD201" s="28">
        <v>10033.049999999999</v>
      </c>
      <c r="AE201" s="28">
        <v>0</v>
      </c>
      <c r="AF201" s="28">
        <v>84301.650000000009</v>
      </c>
      <c r="AG201" s="147"/>
      <c r="AH201" s="147"/>
      <c r="AI201" s="405">
        <v>0</v>
      </c>
      <c r="AJ201" s="460">
        <v>0</v>
      </c>
      <c r="AK201" s="417">
        <v>0</v>
      </c>
      <c r="AL201" s="405">
        <v>0</v>
      </c>
      <c r="AM201" s="147"/>
    </row>
    <row r="202" spans="1:39">
      <c r="A202" s="71">
        <v>195</v>
      </c>
      <c r="B202" s="71" t="s">
        <v>1313</v>
      </c>
      <c r="C202" s="28">
        <v>0</v>
      </c>
      <c r="D202" s="28">
        <v>0</v>
      </c>
      <c r="E202" s="28">
        <v>1</v>
      </c>
      <c r="F202" s="28">
        <v>4</v>
      </c>
      <c r="G202" s="28">
        <v>0</v>
      </c>
      <c r="H202" s="28">
        <v>2</v>
      </c>
      <c r="I202" s="28">
        <v>0</v>
      </c>
      <c r="J202" s="28">
        <v>0</v>
      </c>
      <c r="K202" s="28">
        <v>0</v>
      </c>
      <c r="L202" s="28">
        <v>0</v>
      </c>
      <c r="M202" s="28">
        <v>0</v>
      </c>
      <c r="N202" s="28">
        <v>0</v>
      </c>
      <c r="O202" s="28">
        <v>0</v>
      </c>
      <c r="P202" s="516">
        <v>7</v>
      </c>
      <c r="Q202" s="517">
        <v>1</v>
      </c>
      <c r="R202" s="6">
        <v>0</v>
      </c>
      <c r="S202" s="369">
        <v>0</v>
      </c>
      <c r="T202" s="94"/>
      <c r="U202" s="28">
        <v>3140.55</v>
      </c>
      <c r="V202" s="28">
        <v>5672.1</v>
      </c>
      <c r="W202" s="28">
        <v>28193.37</v>
      </c>
      <c r="X202" s="28">
        <v>5906.8400000000011</v>
      </c>
      <c r="Y202" s="28">
        <v>1044.28</v>
      </c>
      <c r="Z202" s="28">
        <v>4409.6899999999996</v>
      </c>
      <c r="AA202" s="28">
        <v>2794.99</v>
      </c>
      <c r="AB202" s="28">
        <v>1968.1599999999999</v>
      </c>
      <c r="AC202" s="28">
        <v>7327.7099999999991</v>
      </c>
      <c r="AD202" s="28">
        <v>11183.92</v>
      </c>
      <c r="AE202" s="28">
        <v>0</v>
      </c>
      <c r="AF202" s="28">
        <v>71641.610000000015</v>
      </c>
      <c r="AG202" s="147"/>
      <c r="AH202" s="147"/>
      <c r="AI202" s="405">
        <v>0</v>
      </c>
      <c r="AJ202" s="460">
        <v>0</v>
      </c>
      <c r="AK202" s="417">
        <v>0</v>
      </c>
      <c r="AL202" s="405">
        <v>0</v>
      </c>
      <c r="AM202" s="147"/>
    </row>
    <row r="203" spans="1:39">
      <c r="A203" s="71">
        <v>196</v>
      </c>
      <c r="B203" s="71" t="s">
        <v>1314</v>
      </c>
      <c r="C203" s="28">
        <v>0</v>
      </c>
      <c r="D203" s="28">
        <v>0</v>
      </c>
      <c r="E203" s="28">
        <v>28</v>
      </c>
      <c r="F203" s="28">
        <v>94</v>
      </c>
      <c r="G203" s="28">
        <v>54</v>
      </c>
      <c r="H203" s="28">
        <v>60</v>
      </c>
      <c r="I203" s="28">
        <v>2</v>
      </c>
      <c r="J203" s="28">
        <v>9</v>
      </c>
      <c r="K203" s="28">
        <v>2</v>
      </c>
      <c r="L203" s="28">
        <v>0</v>
      </c>
      <c r="M203" s="28">
        <v>0</v>
      </c>
      <c r="N203" s="28">
        <v>0</v>
      </c>
      <c r="O203" s="28">
        <v>27</v>
      </c>
      <c r="P203" s="516">
        <v>238</v>
      </c>
      <c r="Q203" s="517">
        <v>1</v>
      </c>
      <c r="R203" s="6">
        <v>4</v>
      </c>
      <c r="S203" s="369">
        <v>0.1908</v>
      </c>
      <c r="T203" s="365"/>
      <c r="U203" s="28">
        <v>143763.43999999997</v>
      </c>
      <c r="V203" s="28">
        <v>200960.58</v>
      </c>
      <c r="W203" s="28">
        <v>1105791.3500000001</v>
      </c>
      <c r="X203" s="28">
        <v>274679.44</v>
      </c>
      <c r="Y203" s="28">
        <v>44605.259999999995</v>
      </c>
      <c r="Z203" s="28">
        <v>153744.57999999999</v>
      </c>
      <c r="AA203" s="28">
        <v>99411.040000000008</v>
      </c>
      <c r="AB203" s="28">
        <v>86737.060000000012</v>
      </c>
      <c r="AC203" s="28">
        <v>286531.91000000003</v>
      </c>
      <c r="AD203" s="28">
        <v>438001.93</v>
      </c>
      <c r="AE203" s="28">
        <v>70311.48</v>
      </c>
      <c r="AF203" s="28">
        <v>2904538.0700000003</v>
      </c>
      <c r="AG203" s="147"/>
      <c r="AH203" s="147"/>
      <c r="AI203" s="405">
        <v>27</v>
      </c>
      <c r="AJ203" s="460">
        <v>141.5</v>
      </c>
      <c r="AK203" s="417">
        <v>0.1908</v>
      </c>
      <c r="AL203" s="405">
        <v>4</v>
      </c>
      <c r="AM203" s="147"/>
    </row>
    <row r="204" spans="1:39">
      <c r="A204" s="71">
        <v>197</v>
      </c>
      <c r="B204" s="71" t="s">
        <v>1315</v>
      </c>
      <c r="C204" s="28">
        <v>22</v>
      </c>
      <c r="D204" s="28">
        <v>0</v>
      </c>
      <c r="E204" s="28">
        <v>108</v>
      </c>
      <c r="F204" s="28">
        <v>587</v>
      </c>
      <c r="G204" s="28">
        <v>357</v>
      </c>
      <c r="H204" s="28">
        <v>605</v>
      </c>
      <c r="I204" s="28">
        <v>0</v>
      </c>
      <c r="J204" s="28">
        <v>65</v>
      </c>
      <c r="K204" s="28">
        <v>17</v>
      </c>
      <c r="L204" s="28">
        <v>203</v>
      </c>
      <c r="M204" s="28">
        <v>38</v>
      </c>
      <c r="N204" s="28">
        <v>78</v>
      </c>
      <c r="O204" s="28">
        <v>758</v>
      </c>
      <c r="P204" s="516">
        <v>1668</v>
      </c>
      <c r="Q204" s="517">
        <v>1</v>
      </c>
      <c r="R204" s="6">
        <v>8</v>
      </c>
      <c r="S204" s="369">
        <v>0.45610000000000001</v>
      </c>
      <c r="T204" s="365"/>
      <c r="U204" s="28">
        <v>1113712.8700000001</v>
      </c>
      <c r="V204" s="28">
        <v>1720457.1</v>
      </c>
      <c r="W204" s="28">
        <v>10785836.190000001</v>
      </c>
      <c r="X204" s="28">
        <v>1948848.11</v>
      </c>
      <c r="Y204" s="28">
        <v>448798.25</v>
      </c>
      <c r="Z204" s="28">
        <v>1188422.7999999996</v>
      </c>
      <c r="AA204" s="28">
        <v>833940.93</v>
      </c>
      <c r="AB204" s="28">
        <v>1203373.2999999998</v>
      </c>
      <c r="AC204" s="28">
        <v>2119471.4599999995</v>
      </c>
      <c r="AD204" s="28">
        <v>3574614.92</v>
      </c>
      <c r="AE204" s="28">
        <v>597647.57999999996</v>
      </c>
      <c r="AF204" s="28">
        <v>25535123.509999998</v>
      </c>
      <c r="AG204" s="147"/>
      <c r="AH204" s="147"/>
      <c r="AI204" s="405">
        <v>758</v>
      </c>
      <c r="AJ204" s="460">
        <v>1662</v>
      </c>
      <c r="AK204" s="417">
        <v>0.45610000000000001</v>
      </c>
      <c r="AL204" s="405">
        <v>8</v>
      </c>
      <c r="AM204" s="147"/>
    </row>
    <row r="205" spans="1:39">
      <c r="A205" s="71">
        <v>198</v>
      </c>
      <c r="B205" s="71" t="s">
        <v>1316</v>
      </c>
      <c r="C205" s="28">
        <v>40</v>
      </c>
      <c r="D205" s="28">
        <v>0</v>
      </c>
      <c r="E205" s="28">
        <v>360</v>
      </c>
      <c r="F205" s="28">
        <v>1984</v>
      </c>
      <c r="G205" s="28">
        <v>1243</v>
      </c>
      <c r="H205" s="28">
        <v>1677</v>
      </c>
      <c r="I205" s="28">
        <v>9</v>
      </c>
      <c r="J205" s="28">
        <v>207</v>
      </c>
      <c r="K205" s="28">
        <v>53</v>
      </c>
      <c r="L205" s="28">
        <v>167</v>
      </c>
      <c r="M205" s="28">
        <v>35</v>
      </c>
      <c r="N205" s="28">
        <v>37</v>
      </c>
      <c r="O205" s="28">
        <v>832</v>
      </c>
      <c r="P205" s="516">
        <v>5293</v>
      </c>
      <c r="Q205" s="517">
        <v>1.0129999999999999</v>
      </c>
      <c r="R205" s="6">
        <v>3</v>
      </c>
      <c r="S205" s="369">
        <v>0.15840000000000001</v>
      </c>
      <c r="T205" s="365"/>
      <c r="U205" s="28">
        <v>3332718.9144099988</v>
      </c>
      <c r="V205" s="28">
        <v>4636389.1648000004</v>
      </c>
      <c r="W205" s="28">
        <v>26113020.277239997</v>
      </c>
      <c r="X205" s="28">
        <v>6173122.8070400003</v>
      </c>
      <c r="Y205" s="28">
        <v>1050066.36897</v>
      </c>
      <c r="Z205" s="28">
        <v>3536915.4699999993</v>
      </c>
      <c r="AA205" s="28">
        <v>2308153.7973099998</v>
      </c>
      <c r="AB205" s="28">
        <v>2241692.2551199999</v>
      </c>
      <c r="AC205" s="28">
        <v>6548509.5585899986</v>
      </c>
      <c r="AD205" s="28">
        <v>9910288.3399999999</v>
      </c>
      <c r="AE205" s="28">
        <v>1863254.22</v>
      </c>
      <c r="AF205" s="28">
        <v>67714131.173480004</v>
      </c>
      <c r="AG205" s="147"/>
      <c r="AH205" s="147"/>
      <c r="AI205" s="405">
        <v>832</v>
      </c>
      <c r="AJ205" s="460">
        <v>5251</v>
      </c>
      <c r="AK205" s="417">
        <v>0.15840000000000001</v>
      </c>
      <c r="AL205" s="405">
        <v>3</v>
      </c>
      <c r="AM205" s="147"/>
    </row>
    <row r="206" spans="1:39">
      <c r="A206" s="71">
        <v>199</v>
      </c>
      <c r="B206" s="71" t="s">
        <v>1317</v>
      </c>
      <c r="C206" s="28">
        <v>41</v>
      </c>
      <c r="D206" s="28">
        <v>0</v>
      </c>
      <c r="E206" s="28">
        <v>378</v>
      </c>
      <c r="F206" s="28">
        <v>2146</v>
      </c>
      <c r="G206" s="28">
        <v>1360</v>
      </c>
      <c r="H206" s="28">
        <v>1677</v>
      </c>
      <c r="I206" s="28">
        <v>0</v>
      </c>
      <c r="J206" s="28">
        <v>219</v>
      </c>
      <c r="K206" s="28">
        <v>56</v>
      </c>
      <c r="L206" s="28">
        <v>114</v>
      </c>
      <c r="M206" s="28">
        <v>22</v>
      </c>
      <c r="N206" s="28">
        <v>17</v>
      </c>
      <c r="O206" s="28">
        <v>508</v>
      </c>
      <c r="P206" s="516">
        <v>5582</v>
      </c>
      <c r="Q206" s="517">
        <v>1.083</v>
      </c>
      <c r="R206" s="6">
        <v>2</v>
      </c>
      <c r="S206" s="369">
        <v>9.2299999999999993E-2</v>
      </c>
      <c r="T206" s="365"/>
      <c r="U206" s="28">
        <v>3721942.3419899992</v>
      </c>
      <c r="V206" s="28">
        <v>5083323.3332699984</v>
      </c>
      <c r="W206" s="28">
        <v>27927283.950569998</v>
      </c>
      <c r="X206" s="28">
        <v>6972619.4541300014</v>
      </c>
      <c r="Y206" s="28">
        <v>1119063.3151799999</v>
      </c>
      <c r="Z206" s="28">
        <v>3668839.1199999996</v>
      </c>
      <c r="AA206" s="28">
        <v>2538322.8263699999</v>
      </c>
      <c r="AB206" s="28">
        <v>2230520.4614399998</v>
      </c>
      <c r="AC206" s="28">
        <v>7337242.6811699988</v>
      </c>
      <c r="AD206" s="28">
        <v>10241638.860000001</v>
      </c>
      <c r="AE206" s="28">
        <v>1968721.44</v>
      </c>
      <c r="AF206" s="28">
        <v>72809517.784119993</v>
      </c>
      <c r="AG206" s="147"/>
      <c r="AH206" s="147"/>
      <c r="AI206" s="405">
        <v>508</v>
      </c>
      <c r="AJ206" s="460">
        <v>5504</v>
      </c>
      <c r="AK206" s="417">
        <v>9.2299999999999993E-2</v>
      </c>
      <c r="AL206" s="405">
        <v>2</v>
      </c>
      <c r="AM206" s="147"/>
    </row>
    <row r="207" spans="1:39">
      <c r="A207" s="71">
        <v>200</v>
      </c>
      <c r="B207" s="71" t="s">
        <v>1318</v>
      </c>
      <c r="C207" s="28">
        <v>0</v>
      </c>
      <c r="D207" s="28">
        <v>0</v>
      </c>
      <c r="E207" s="28">
        <v>0</v>
      </c>
      <c r="F207" s="28">
        <v>3</v>
      </c>
      <c r="G207" s="28">
        <v>7</v>
      </c>
      <c r="H207" s="28">
        <v>5</v>
      </c>
      <c r="I207" s="28">
        <v>0</v>
      </c>
      <c r="J207" s="28">
        <v>1</v>
      </c>
      <c r="K207" s="28">
        <v>0</v>
      </c>
      <c r="L207" s="28">
        <v>0</v>
      </c>
      <c r="M207" s="28">
        <v>0</v>
      </c>
      <c r="N207" s="28">
        <v>0</v>
      </c>
      <c r="O207" s="28">
        <v>0</v>
      </c>
      <c r="P207" s="516">
        <v>15</v>
      </c>
      <c r="Q207" s="517">
        <v>1</v>
      </c>
      <c r="R207" s="6">
        <v>0</v>
      </c>
      <c r="S207" s="369">
        <v>0</v>
      </c>
      <c r="T207" s="94"/>
      <c r="U207" s="28">
        <v>9826.16</v>
      </c>
      <c r="V207" s="28">
        <v>12154.5</v>
      </c>
      <c r="W207" s="28">
        <v>68291.37000000001</v>
      </c>
      <c r="X207" s="28">
        <v>20055.849999999999</v>
      </c>
      <c r="Y207" s="28">
        <v>2822.41</v>
      </c>
      <c r="Z207" s="28">
        <v>10110</v>
      </c>
      <c r="AA207" s="28">
        <v>6249.98</v>
      </c>
      <c r="AB207" s="28">
        <v>5366.9</v>
      </c>
      <c r="AC207" s="28">
        <v>19806.309999999998</v>
      </c>
      <c r="AD207" s="28">
        <v>28766.449999999997</v>
      </c>
      <c r="AE207" s="28">
        <v>0</v>
      </c>
      <c r="AF207" s="28">
        <v>183449.93</v>
      </c>
      <c r="AG207" s="147"/>
      <c r="AH207" s="147"/>
      <c r="AI207" s="405">
        <v>0</v>
      </c>
      <c r="AJ207" s="460">
        <v>0</v>
      </c>
      <c r="AK207" s="417">
        <v>0</v>
      </c>
      <c r="AL207" s="405">
        <v>0</v>
      </c>
      <c r="AM207" s="147"/>
    </row>
    <row r="208" spans="1:39">
      <c r="A208" s="71">
        <v>201</v>
      </c>
      <c r="B208" s="71" t="s">
        <v>1319</v>
      </c>
      <c r="C208" s="28">
        <v>532</v>
      </c>
      <c r="D208" s="28">
        <v>0</v>
      </c>
      <c r="E208" s="28">
        <v>1121</v>
      </c>
      <c r="F208" s="28">
        <v>5751</v>
      </c>
      <c r="G208" s="28">
        <v>3506</v>
      </c>
      <c r="H208" s="28">
        <v>3410</v>
      </c>
      <c r="I208" s="28">
        <v>56</v>
      </c>
      <c r="J208" s="28">
        <v>545</v>
      </c>
      <c r="K208" s="28">
        <v>138</v>
      </c>
      <c r="L208" s="28">
        <v>2157</v>
      </c>
      <c r="M208" s="28">
        <v>516</v>
      </c>
      <c r="N208" s="28">
        <v>789</v>
      </c>
      <c r="O208" s="28">
        <v>11654</v>
      </c>
      <c r="P208" s="516">
        <v>14110</v>
      </c>
      <c r="Q208" s="517">
        <v>1</v>
      </c>
      <c r="R208" s="6">
        <v>12</v>
      </c>
      <c r="S208" s="369">
        <v>0.84570000000000001</v>
      </c>
      <c r="T208" s="365"/>
      <c r="U208" s="28">
        <v>10268918.560000001</v>
      </c>
      <c r="V208" s="28">
        <v>18479712.530000001</v>
      </c>
      <c r="W208" s="28">
        <v>127255039.07000001</v>
      </c>
      <c r="X208" s="28">
        <v>17094588.229999997</v>
      </c>
      <c r="Y208" s="28">
        <v>5623543.7000000002</v>
      </c>
      <c r="Z208" s="28">
        <v>9938275.790000001</v>
      </c>
      <c r="AA208" s="28">
        <v>8506129.8900000006</v>
      </c>
      <c r="AB208" s="28">
        <v>17240413.699999999</v>
      </c>
      <c r="AC208" s="28">
        <v>18184916.400000002</v>
      </c>
      <c r="AD208" s="28">
        <v>36988832.399999999</v>
      </c>
      <c r="AE208" s="28">
        <v>4851492.12</v>
      </c>
      <c r="AF208" s="28">
        <v>274431862.38999999</v>
      </c>
      <c r="AG208" s="147"/>
      <c r="AH208" s="147"/>
      <c r="AI208" s="405">
        <v>11654</v>
      </c>
      <c r="AJ208" s="460">
        <v>13780</v>
      </c>
      <c r="AK208" s="417">
        <v>0.84570000000000001</v>
      </c>
      <c r="AL208" s="405">
        <v>12</v>
      </c>
      <c r="AM208" s="147"/>
    </row>
    <row r="209" spans="1:39">
      <c r="A209" s="71">
        <v>202</v>
      </c>
      <c r="B209" s="71" t="s">
        <v>1320</v>
      </c>
      <c r="C209" s="28">
        <v>0</v>
      </c>
      <c r="D209" s="28">
        <v>0</v>
      </c>
      <c r="E209" s="28">
        <v>0</v>
      </c>
      <c r="F209" s="28">
        <v>0</v>
      </c>
      <c r="G209" s="28">
        <v>0</v>
      </c>
      <c r="H209" s="28">
        <v>0</v>
      </c>
      <c r="I209" s="28">
        <v>1</v>
      </c>
      <c r="J209" s="28">
        <v>0</v>
      </c>
      <c r="K209" s="28">
        <v>0</v>
      </c>
      <c r="L209" s="28">
        <v>0</v>
      </c>
      <c r="M209" s="28">
        <v>0</v>
      </c>
      <c r="N209" s="28">
        <v>0</v>
      </c>
      <c r="O209" s="28">
        <v>0</v>
      </c>
      <c r="P209" s="516">
        <v>1</v>
      </c>
      <c r="Q209" s="517">
        <v>1</v>
      </c>
      <c r="R209" s="6">
        <v>0</v>
      </c>
      <c r="S209" s="369">
        <v>0</v>
      </c>
      <c r="T209" s="94"/>
      <c r="U209" s="28">
        <v>448.65</v>
      </c>
      <c r="V209" s="28">
        <v>810.3</v>
      </c>
      <c r="W209" s="28">
        <v>8173.93</v>
      </c>
      <c r="X209" s="28">
        <v>571.07000000000005</v>
      </c>
      <c r="Y209" s="28">
        <v>255.51</v>
      </c>
      <c r="Z209" s="28">
        <v>1505.73</v>
      </c>
      <c r="AA209" s="28">
        <v>451.12</v>
      </c>
      <c r="AB209" s="28">
        <v>607.66</v>
      </c>
      <c r="AC209" s="28">
        <v>2029.75</v>
      </c>
      <c r="AD209" s="28">
        <v>2006.61</v>
      </c>
      <c r="AE209" s="28">
        <v>0</v>
      </c>
      <c r="AF209" s="28">
        <v>16860.330000000002</v>
      </c>
      <c r="AG209" s="147"/>
      <c r="AH209" s="147"/>
      <c r="AI209" s="405">
        <v>0</v>
      </c>
      <c r="AJ209" s="460">
        <v>0</v>
      </c>
      <c r="AK209" s="417">
        <v>0</v>
      </c>
      <c r="AL209" s="405">
        <v>0</v>
      </c>
      <c r="AM209" s="147"/>
    </row>
    <row r="210" spans="1:39">
      <c r="A210" s="71">
        <v>203</v>
      </c>
      <c r="B210" s="71" t="s">
        <v>1321</v>
      </c>
      <c r="C210" s="28">
        <v>0</v>
      </c>
      <c r="D210" s="28">
        <v>0</v>
      </c>
      <c r="E210" s="28">
        <v>0</v>
      </c>
      <c r="F210" s="28">
        <v>0</v>
      </c>
      <c r="G210" s="28">
        <v>0</v>
      </c>
      <c r="H210" s="28">
        <v>0</v>
      </c>
      <c r="I210" s="28">
        <v>3</v>
      </c>
      <c r="J210" s="28">
        <v>0</v>
      </c>
      <c r="K210" s="28">
        <v>0</v>
      </c>
      <c r="L210" s="28">
        <v>0</v>
      </c>
      <c r="M210" s="28">
        <v>0</v>
      </c>
      <c r="N210" s="28">
        <v>0</v>
      </c>
      <c r="O210" s="28">
        <v>0</v>
      </c>
      <c r="P210" s="516">
        <v>3</v>
      </c>
      <c r="Q210" s="517">
        <v>1.036</v>
      </c>
      <c r="R210" s="6">
        <v>0</v>
      </c>
      <c r="S210" s="369">
        <v>0</v>
      </c>
      <c r="T210" s="94"/>
      <c r="U210" s="28">
        <v>1394.4041999999999</v>
      </c>
      <c r="V210" s="28">
        <v>2518.4123999999997</v>
      </c>
      <c r="W210" s="28">
        <v>25404.57444</v>
      </c>
      <c r="X210" s="28">
        <v>1774.8855600000002</v>
      </c>
      <c r="Y210" s="28">
        <v>794.12508000000003</v>
      </c>
      <c r="Z210" s="28">
        <v>4517.1900000000005</v>
      </c>
      <c r="AA210" s="28">
        <v>1402.0809600000002</v>
      </c>
      <c r="AB210" s="28">
        <v>1888.6072800000002</v>
      </c>
      <c r="AC210" s="28">
        <v>6308.4630000000006</v>
      </c>
      <c r="AD210" s="28">
        <v>6019.83</v>
      </c>
      <c r="AE210" s="28">
        <v>0</v>
      </c>
      <c r="AF210" s="28">
        <v>52022.572920000006</v>
      </c>
      <c r="AG210" s="147"/>
      <c r="AH210" s="147"/>
      <c r="AI210" s="405">
        <v>0</v>
      </c>
      <c r="AJ210" s="460">
        <v>0</v>
      </c>
      <c r="AK210" s="417">
        <v>0</v>
      </c>
      <c r="AL210" s="405">
        <v>0</v>
      </c>
      <c r="AM210" s="147"/>
    </row>
    <row r="211" spans="1:39">
      <c r="A211" s="71">
        <v>204</v>
      </c>
      <c r="B211" s="71" t="s">
        <v>1322</v>
      </c>
      <c r="C211" s="28">
        <v>66</v>
      </c>
      <c r="D211" s="28">
        <v>0</v>
      </c>
      <c r="E211" s="28">
        <v>158</v>
      </c>
      <c r="F211" s="28">
        <v>748</v>
      </c>
      <c r="G211" s="28">
        <v>489</v>
      </c>
      <c r="H211" s="28">
        <v>751</v>
      </c>
      <c r="I211" s="28">
        <v>6</v>
      </c>
      <c r="J211" s="28">
        <v>84</v>
      </c>
      <c r="K211" s="28">
        <v>21</v>
      </c>
      <c r="L211" s="28">
        <v>46</v>
      </c>
      <c r="M211" s="28">
        <v>14</v>
      </c>
      <c r="N211" s="28">
        <v>22</v>
      </c>
      <c r="O211" s="28">
        <v>310</v>
      </c>
      <c r="P211" s="516">
        <v>2185</v>
      </c>
      <c r="Q211" s="517">
        <v>1</v>
      </c>
      <c r="R211" s="6">
        <v>3</v>
      </c>
      <c r="S211" s="369">
        <v>0.13869999999999999</v>
      </c>
      <c r="T211" s="365"/>
      <c r="U211" s="28">
        <v>1346587.5399999998</v>
      </c>
      <c r="V211" s="28">
        <v>1876669.14</v>
      </c>
      <c r="W211" s="28">
        <v>10595986.910000002</v>
      </c>
      <c r="X211" s="28">
        <v>2481806.19</v>
      </c>
      <c r="Y211" s="28">
        <v>422141.18999999994</v>
      </c>
      <c r="Z211" s="28">
        <v>1477717.5699999996</v>
      </c>
      <c r="AA211" s="28">
        <v>939179.57</v>
      </c>
      <c r="AB211" s="28">
        <v>916177.41999999993</v>
      </c>
      <c r="AC211" s="28">
        <v>2661615.69</v>
      </c>
      <c r="AD211" s="28">
        <v>4057213.93</v>
      </c>
      <c r="AE211" s="28">
        <v>738270.53999999992</v>
      </c>
      <c r="AF211" s="28">
        <v>27513365.690000001</v>
      </c>
      <c r="AG211" s="147"/>
      <c r="AH211" s="147"/>
      <c r="AI211" s="405">
        <v>310</v>
      </c>
      <c r="AJ211" s="460">
        <v>2235</v>
      </c>
      <c r="AK211" s="417">
        <v>0.13869999999999999</v>
      </c>
      <c r="AL211" s="405">
        <v>3</v>
      </c>
      <c r="AM211" s="147"/>
    </row>
    <row r="212" spans="1:39">
      <c r="A212" s="71">
        <v>205</v>
      </c>
      <c r="B212" s="71" t="s">
        <v>1323</v>
      </c>
      <c r="C212" s="28">
        <v>0</v>
      </c>
      <c r="D212" s="28">
        <v>0</v>
      </c>
      <c r="E212" s="28">
        <v>0</v>
      </c>
      <c r="F212" s="28">
        <v>0</v>
      </c>
      <c r="G212" s="28">
        <v>0</v>
      </c>
      <c r="H212" s="28">
        <v>0</v>
      </c>
      <c r="I212" s="28">
        <v>0</v>
      </c>
      <c r="J212" s="28">
        <v>0</v>
      </c>
      <c r="K212" s="28">
        <v>0</v>
      </c>
      <c r="L212" s="28">
        <v>0</v>
      </c>
      <c r="M212" s="28">
        <v>0</v>
      </c>
      <c r="N212" s="28">
        <v>0</v>
      </c>
      <c r="O212" s="28">
        <v>0</v>
      </c>
      <c r="P212" s="516">
        <v>0</v>
      </c>
      <c r="Q212" s="517">
        <v>1</v>
      </c>
      <c r="R212" s="6">
        <v>0</v>
      </c>
      <c r="S212" s="369">
        <v>0</v>
      </c>
      <c r="T212" s="94"/>
      <c r="U212" s="28">
        <v>0</v>
      </c>
      <c r="V212" s="28">
        <v>0</v>
      </c>
      <c r="W212" s="28">
        <v>0</v>
      </c>
      <c r="X212" s="28">
        <v>0</v>
      </c>
      <c r="Y212" s="28">
        <v>0</v>
      </c>
      <c r="Z212" s="28">
        <v>0</v>
      </c>
      <c r="AA212" s="28">
        <v>0</v>
      </c>
      <c r="AB212" s="28">
        <v>0</v>
      </c>
      <c r="AC212" s="28">
        <v>0</v>
      </c>
      <c r="AD212" s="28">
        <v>0</v>
      </c>
      <c r="AE212" s="28">
        <v>0</v>
      </c>
      <c r="AF212" s="28">
        <v>0</v>
      </c>
      <c r="AG212" s="147"/>
      <c r="AH212" s="147"/>
      <c r="AI212" s="405">
        <v>0</v>
      </c>
      <c r="AJ212" s="460">
        <v>0</v>
      </c>
      <c r="AK212" s="417">
        <v>0</v>
      </c>
      <c r="AL212" s="405">
        <v>0</v>
      </c>
      <c r="AM212" s="147"/>
    </row>
    <row r="213" spans="1:39">
      <c r="A213" s="71">
        <v>206</v>
      </c>
      <c r="B213" s="71" t="s">
        <v>1324</v>
      </c>
      <c r="C213" s="28">
        <v>0</v>
      </c>
      <c r="D213" s="28">
        <v>0</v>
      </c>
      <c r="E213" s="28">
        <v>0</v>
      </c>
      <c r="F213" s="28">
        <v>0</v>
      </c>
      <c r="G213" s="28">
        <v>0</v>
      </c>
      <c r="H213" s="28">
        <v>0</v>
      </c>
      <c r="I213" s="28">
        <v>0</v>
      </c>
      <c r="J213" s="28">
        <v>0</v>
      </c>
      <c r="K213" s="28">
        <v>0</v>
      </c>
      <c r="L213" s="28">
        <v>0</v>
      </c>
      <c r="M213" s="28">
        <v>0</v>
      </c>
      <c r="N213" s="28">
        <v>0</v>
      </c>
      <c r="O213" s="28">
        <v>0</v>
      </c>
      <c r="P213" s="516">
        <v>0</v>
      </c>
      <c r="Q213" s="517">
        <v>1</v>
      </c>
      <c r="R213" s="6">
        <v>0</v>
      </c>
      <c r="S213" s="369">
        <v>0</v>
      </c>
      <c r="T213" s="94"/>
      <c r="U213" s="28">
        <v>0</v>
      </c>
      <c r="V213" s="28">
        <v>0</v>
      </c>
      <c r="W213" s="28">
        <v>0</v>
      </c>
      <c r="X213" s="28">
        <v>0</v>
      </c>
      <c r="Y213" s="28">
        <v>0</v>
      </c>
      <c r="Z213" s="28">
        <v>0</v>
      </c>
      <c r="AA213" s="28">
        <v>0</v>
      </c>
      <c r="AB213" s="28">
        <v>0</v>
      </c>
      <c r="AC213" s="28">
        <v>0</v>
      </c>
      <c r="AD213" s="28">
        <v>0</v>
      </c>
      <c r="AE213" s="28">
        <v>0</v>
      </c>
      <c r="AF213" s="28">
        <v>0</v>
      </c>
      <c r="AG213" s="147"/>
      <c r="AH213" s="147"/>
      <c r="AI213" s="405">
        <v>0</v>
      </c>
      <c r="AJ213" s="460">
        <v>0</v>
      </c>
      <c r="AK213" s="417">
        <v>0</v>
      </c>
      <c r="AL213" s="405">
        <v>0</v>
      </c>
      <c r="AM213" s="147"/>
    </row>
    <row r="214" spans="1:39">
      <c r="A214" s="71">
        <v>207</v>
      </c>
      <c r="B214" s="71" t="s">
        <v>1325</v>
      </c>
      <c r="C214" s="28">
        <v>110</v>
      </c>
      <c r="D214" s="28">
        <v>0</v>
      </c>
      <c r="E214" s="28">
        <v>703</v>
      </c>
      <c r="F214" s="28">
        <v>4236</v>
      </c>
      <c r="G214" s="28">
        <v>2692</v>
      </c>
      <c r="H214" s="28">
        <v>3599</v>
      </c>
      <c r="I214" s="28">
        <v>472</v>
      </c>
      <c r="J214" s="28">
        <v>464</v>
      </c>
      <c r="K214" s="28">
        <v>112</v>
      </c>
      <c r="L214" s="28">
        <v>571</v>
      </c>
      <c r="M214" s="28">
        <v>122</v>
      </c>
      <c r="N214" s="28">
        <v>138</v>
      </c>
      <c r="O214" s="28">
        <v>1804</v>
      </c>
      <c r="P214" s="516">
        <v>11757</v>
      </c>
      <c r="Q214" s="517">
        <v>1.06</v>
      </c>
      <c r="R214" s="6">
        <v>3</v>
      </c>
      <c r="S214" s="369">
        <v>0.1547</v>
      </c>
      <c r="T214" s="365"/>
      <c r="U214" s="28">
        <v>7771306.0797999995</v>
      </c>
      <c r="V214" s="28">
        <v>10826909.069599999</v>
      </c>
      <c r="W214" s="28">
        <v>63079535.007400014</v>
      </c>
      <c r="X214" s="28">
        <v>14341944.721800001</v>
      </c>
      <c r="Y214" s="28">
        <v>2504843.017</v>
      </c>
      <c r="Z214" s="28">
        <v>8297236.9699999988</v>
      </c>
      <c r="AA214" s="28">
        <v>5409846.2524000006</v>
      </c>
      <c r="AB214" s="28">
        <v>5343486.8816</v>
      </c>
      <c r="AC214" s="28">
        <v>15810664.2706</v>
      </c>
      <c r="AD214" s="28">
        <v>22286515.219999995</v>
      </c>
      <c r="AE214" s="28">
        <v>3937442.88</v>
      </c>
      <c r="AF214" s="28">
        <v>159609730.37020001</v>
      </c>
      <c r="AG214" s="147"/>
      <c r="AH214" s="147"/>
      <c r="AI214" s="405">
        <v>1804</v>
      </c>
      <c r="AJ214" s="460">
        <v>11662.5</v>
      </c>
      <c r="AK214" s="417">
        <v>0.1547</v>
      </c>
      <c r="AL214" s="405">
        <v>3</v>
      </c>
      <c r="AM214" s="147"/>
    </row>
    <row r="215" spans="1:39">
      <c r="A215" s="71">
        <v>208</v>
      </c>
      <c r="B215" s="71" t="s">
        <v>1326</v>
      </c>
      <c r="C215" s="28">
        <v>66</v>
      </c>
      <c r="D215" s="28">
        <v>0</v>
      </c>
      <c r="E215" s="28">
        <v>168</v>
      </c>
      <c r="F215" s="28">
        <v>698</v>
      </c>
      <c r="G215" s="28">
        <v>132</v>
      </c>
      <c r="H215" s="28">
        <v>0</v>
      </c>
      <c r="I215" s="28">
        <v>0</v>
      </c>
      <c r="J215" s="28">
        <v>39</v>
      </c>
      <c r="K215" s="28">
        <v>10</v>
      </c>
      <c r="L215" s="28">
        <v>33</v>
      </c>
      <c r="M215" s="28">
        <v>1</v>
      </c>
      <c r="N215" s="28">
        <v>0</v>
      </c>
      <c r="O215" s="28">
        <v>87</v>
      </c>
      <c r="P215" s="516">
        <v>1031</v>
      </c>
      <c r="Q215" s="517">
        <v>1.048</v>
      </c>
      <c r="R215" s="6">
        <v>2</v>
      </c>
      <c r="S215" s="369">
        <v>8.5000000000000006E-2</v>
      </c>
      <c r="T215" s="365"/>
      <c r="U215" s="28">
        <v>659413.21184</v>
      </c>
      <c r="V215" s="28">
        <v>907687.99600000004</v>
      </c>
      <c r="W215" s="28">
        <v>4665250.2122400003</v>
      </c>
      <c r="X215" s="28">
        <v>1390152.8949600002</v>
      </c>
      <c r="Y215" s="28">
        <v>194652.30264000001</v>
      </c>
      <c r="Z215" s="28">
        <v>577695.01</v>
      </c>
      <c r="AA215" s="28">
        <v>426093.28287999996</v>
      </c>
      <c r="AB215" s="28">
        <v>229929.86903999999</v>
      </c>
      <c r="AC215" s="28">
        <v>1280044.5234399999</v>
      </c>
      <c r="AD215" s="28">
        <v>1897468.7199999997</v>
      </c>
      <c r="AE215" s="28">
        <v>351557.39999999997</v>
      </c>
      <c r="AF215" s="28">
        <v>12579945.423040001</v>
      </c>
      <c r="AG215" s="147"/>
      <c r="AH215" s="147"/>
      <c r="AI215" s="405">
        <v>87</v>
      </c>
      <c r="AJ215" s="460">
        <v>1023</v>
      </c>
      <c r="AK215" s="417">
        <v>8.5000000000000006E-2</v>
      </c>
      <c r="AL215" s="405">
        <v>2</v>
      </c>
      <c r="AM215" s="147"/>
    </row>
    <row r="216" spans="1:39">
      <c r="A216" s="71">
        <v>209</v>
      </c>
      <c r="B216" s="71" t="s">
        <v>1327</v>
      </c>
      <c r="C216" s="28">
        <v>87</v>
      </c>
      <c r="D216" s="28">
        <v>0</v>
      </c>
      <c r="E216" s="28">
        <v>97</v>
      </c>
      <c r="F216" s="28">
        <v>531</v>
      </c>
      <c r="G216" s="28">
        <v>298</v>
      </c>
      <c r="H216" s="28">
        <v>308</v>
      </c>
      <c r="I216" s="28">
        <v>2</v>
      </c>
      <c r="J216" s="28">
        <v>48</v>
      </c>
      <c r="K216" s="28">
        <v>12</v>
      </c>
      <c r="L216" s="28">
        <v>5</v>
      </c>
      <c r="M216" s="28">
        <v>1</v>
      </c>
      <c r="N216" s="28">
        <v>0</v>
      </c>
      <c r="O216" s="28">
        <v>928</v>
      </c>
      <c r="P216" s="516">
        <v>1280</v>
      </c>
      <c r="Q216" s="517">
        <v>1</v>
      </c>
      <c r="R216" s="6">
        <v>11</v>
      </c>
      <c r="S216" s="369">
        <v>0.75480000000000003</v>
      </c>
      <c r="T216" s="365"/>
      <c r="U216" s="28">
        <v>865965</v>
      </c>
      <c r="V216" s="28">
        <v>1503144.71</v>
      </c>
      <c r="W216" s="28">
        <v>10006327.280000001</v>
      </c>
      <c r="X216" s="28">
        <v>1481120.18</v>
      </c>
      <c r="Y216" s="28">
        <v>438640.98</v>
      </c>
      <c r="Z216" s="28">
        <v>844649.02999999991</v>
      </c>
      <c r="AA216" s="28">
        <v>700131.73</v>
      </c>
      <c r="AB216" s="28">
        <v>1323367.8600000001</v>
      </c>
      <c r="AC216" s="28">
        <v>1532265.59</v>
      </c>
      <c r="AD216" s="28">
        <v>3057503.03</v>
      </c>
      <c r="AE216" s="28">
        <v>421868.88</v>
      </c>
      <c r="AF216" s="28">
        <v>22174984.270000003</v>
      </c>
      <c r="AG216" s="147"/>
      <c r="AH216" s="147"/>
      <c r="AI216" s="405">
        <v>928</v>
      </c>
      <c r="AJ216" s="460">
        <v>1229.5</v>
      </c>
      <c r="AK216" s="417">
        <v>0.75480000000000003</v>
      </c>
      <c r="AL216" s="405">
        <v>11</v>
      </c>
      <c r="AM216" s="147"/>
    </row>
    <row r="217" spans="1:39">
      <c r="A217" s="71">
        <v>210</v>
      </c>
      <c r="B217" s="71" t="s">
        <v>1328</v>
      </c>
      <c r="C217" s="28">
        <v>61</v>
      </c>
      <c r="D217" s="28">
        <v>0</v>
      </c>
      <c r="E217" s="28">
        <v>160</v>
      </c>
      <c r="F217" s="28">
        <v>905</v>
      </c>
      <c r="G217" s="28">
        <v>616</v>
      </c>
      <c r="H217" s="28">
        <v>888</v>
      </c>
      <c r="I217" s="28">
        <v>0</v>
      </c>
      <c r="J217" s="28">
        <v>101</v>
      </c>
      <c r="K217" s="28">
        <v>26</v>
      </c>
      <c r="L217" s="28">
        <v>77</v>
      </c>
      <c r="M217" s="28">
        <v>18</v>
      </c>
      <c r="N217" s="28">
        <v>28</v>
      </c>
      <c r="O217" s="28">
        <v>890</v>
      </c>
      <c r="P217" s="516">
        <v>2600</v>
      </c>
      <c r="Q217" s="517">
        <v>1</v>
      </c>
      <c r="R217" s="6">
        <v>6</v>
      </c>
      <c r="S217" s="369">
        <v>0.33639999999999998</v>
      </c>
      <c r="T217" s="365"/>
      <c r="U217" s="28">
        <v>1654245.84</v>
      </c>
      <c r="V217" s="28">
        <v>2438035.7199999997</v>
      </c>
      <c r="W217" s="28">
        <v>14554731.43</v>
      </c>
      <c r="X217" s="28">
        <v>2963515.9499999997</v>
      </c>
      <c r="Y217" s="28">
        <v>598665.32999999996</v>
      </c>
      <c r="Z217" s="28">
        <v>1767960.1799999997</v>
      </c>
      <c r="AA217" s="28">
        <v>1198790.7900000003</v>
      </c>
      <c r="AB217" s="28">
        <v>1502057.1</v>
      </c>
      <c r="AC217" s="28">
        <v>3174367.14</v>
      </c>
      <c r="AD217" s="28">
        <v>5175418.75</v>
      </c>
      <c r="AE217" s="28">
        <v>914049.24</v>
      </c>
      <c r="AF217" s="28">
        <v>35941837.469999999</v>
      </c>
      <c r="AG217" s="147"/>
      <c r="AH217" s="147"/>
      <c r="AI217" s="405">
        <v>890</v>
      </c>
      <c r="AJ217" s="460">
        <v>2645.5</v>
      </c>
      <c r="AK217" s="417">
        <v>0.33639999999999998</v>
      </c>
      <c r="AL217" s="405">
        <v>6</v>
      </c>
      <c r="AM217" s="147"/>
    </row>
    <row r="218" spans="1:39">
      <c r="A218" s="71">
        <v>211</v>
      </c>
      <c r="B218" s="71" t="s">
        <v>1329</v>
      </c>
      <c r="C218" s="28">
        <v>2</v>
      </c>
      <c r="D218" s="28">
        <v>0</v>
      </c>
      <c r="E218" s="28">
        <v>289</v>
      </c>
      <c r="F218" s="28">
        <v>1663</v>
      </c>
      <c r="G218" s="28">
        <v>1034</v>
      </c>
      <c r="H218" s="28">
        <v>1446</v>
      </c>
      <c r="I218" s="28">
        <v>27</v>
      </c>
      <c r="J218" s="28">
        <v>175</v>
      </c>
      <c r="K218" s="28">
        <v>44</v>
      </c>
      <c r="L218" s="28">
        <v>116</v>
      </c>
      <c r="M218" s="28">
        <v>36</v>
      </c>
      <c r="N218" s="28">
        <v>28</v>
      </c>
      <c r="O218" s="28">
        <v>1124</v>
      </c>
      <c r="P218" s="516">
        <v>4460</v>
      </c>
      <c r="Q218" s="517">
        <v>1</v>
      </c>
      <c r="R218" s="6">
        <v>5</v>
      </c>
      <c r="S218" s="369">
        <v>0.2555</v>
      </c>
      <c r="T218" s="365"/>
      <c r="U218" s="28">
        <v>2800514.2399999998</v>
      </c>
      <c r="V218" s="28">
        <v>4001005.38</v>
      </c>
      <c r="W218" s="28">
        <v>23276786.34</v>
      </c>
      <c r="X218" s="28">
        <v>5119749.1500000013</v>
      </c>
      <c r="Y218" s="28">
        <v>945111.63</v>
      </c>
      <c r="Z218" s="28">
        <v>3017758.51</v>
      </c>
      <c r="AA218" s="28">
        <v>1980291.84</v>
      </c>
      <c r="AB218" s="28">
        <v>2192879.7000000002</v>
      </c>
      <c r="AC218" s="28">
        <v>5461921.8999999994</v>
      </c>
      <c r="AD218" s="28">
        <v>8597330.2899999991</v>
      </c>
      <c r="AE218" s="28">
        <v>1546852.5599999998</v>
      </c>
      <c r="AF218" s="28">
        <v>58940201.540000007</v>
      </c>
      <c r="AG218" s="147"/>
      <c r="AH218" s="147"/>
      <c r="AI218" s="405">
        <v>1124</v>
      </c>
      <c r="AJ218" s="460">
        <v>4399</v>
      </c>
      <c r="AK218" s="417">
        <v>0.2555</v>
      </c>
      <c r="AL218" s="405">
        <v>5</v>
      </c>
      <c r="AM218" s="147"/>
    </row>
    <row r="219" spans="1:39">
      <c r="A219" s="71">
        <v>212</v>
      </c>
      <c r="B219" s="71" t="s">
        <v>1330</v>
      </c>
      <c r="C219" s="28">
        <v>149</v>
      </c>
      <c r="D219" s="28">
        <v>0</v>
      </c>
      <c r="E219" s="28">
        <v>262</v>
      </c>
      <c r="F219" s="28">
        <v>1516</v>
      </c>
      <c r="G219" s="28">
        <v>994</v>
      </c>
      <c r="H219" s="28">
        <v>1127</v>
      </c>
      <c r="I219" s="28">
        <v>0</v>
      </c>
      <c r="J219" s="28">
        <v>153</v>
      </c>
      <c r="K219" s="28">
        <v>39</v>
      </c>
      <c r="L219" s="28">
        <v>116</v>
      </c>
      <c r="M219" s="28">
        <v>21</v>
      </c>
      <c r="N219" s="28">
        <v>22</v>
      </c>
      <c r="O219" s="28">
        <v>1123</v>
      </c>
      <c r="P219" s="516">
        <v>3974</v>
      </c>
      <c r="Q219" s="517">
        <v>1</v>
      </c>
      <c r="R219" s="6">
        <v>5</v>
      </c>
      <c r="S219" s="369">
        <v>0.2858</v>
      </c>
      <c r="T219" s="365"/>
      <c r="U219" s="28">
        <v>2493011.7700000005</v>
      </c>
      <c r="V219" s="28">
        <v>3602046.24</v>
      </c>
      <c r="W219" s="28">
        <v>20759238.229999997</v>
      </c>
      <c r="X219" s="28">
        <v>4584352.91</v>
      </c>
      <c r="Y219" s="28">
        <v>855493.75</v>
      </c>
      <c r="Z219" s="28">
        <v>2614416.3499999996</v>
      </c>
      <c r="AA219" s="28">
        <v>1767799.79</v>
      </c>
      <c r="AB219" s="28">
        <v>1952098.3299999996</v>
      </c>
      <c r="AC219" s="28">
        <v>4829028.3000000007</v>
      </c>
      <c r="AD219" s="28">
        <v>7722431.2200000007</v>
      </c>
      <c r="AE219" s="28">
        <v>1371073.8599999999</v>
      </c>
      <c r="AF219" s="28">
        <v>52550990.75</v>
      </c>
      <c r="AG219" s="147"/>
      <c r="AH219" s="147"/>
      <c r="AI219" s="405">
        <v>1123</v>
      </c>
      <c r="AJ219" s="460">
        <v>3929.5</v>
      </c>
      <c r="AK219" s="417">
        <v>0.2858</v>
      </c>
      <c r="AL219" s="405">
        <v>5</v>
      </c>
      <c r="AM219" s="147"/>
    </row>
    <row r="220" spans="1:39">
      <c r="A220" s="71">
        <v>213</v>
      </c>
      <c r="B220" s="71" t="s">
        <v>1331</v>
      </c>
      <c r="C220" s="28">
        <v>30</v>
      </c>
      <c r="D220" s="28">
        <v>0</v>
      </c>
      <c r="E220" s="28">
        <v>141</v>
      </c>
      <c r="F220" s="28">
        <v>923</v>
      </c>
      <c r="G220" s="28">
        <v>578</v>
      </c>
      <c r="H220" s="28">
        <v>9</v>
      </c>
      <c r="I220" s="28">
        <v>1</v>
      </c>
      <c r="J220" s="28">
        <v>65</v>
      </c>
      <c r="K220" s="28">
        <v>17</v>
      </c>
      <c r="L220" s="28">
        <v>79</v>
      </c>
      <c r="M220" s="28">
        <v>21</v>
      </c>
      <c r="N220" s="28">
        <v>0</v>
      </c>
      <c r="O220" s="28">
        <v>366</v>
      </c>
      <c r="P220" s="516">
        <v>1667</v>
      </c>
      <c r="Q220" s="517">
        <v>1</v>
      </c>
      <c r="R220" s="6">
        <v>4</v>
      </c>
      <c r="S220" s="369">
        <v>0.224</v>
      </c>
      <c r="T220" s="365"/>
      <c r="U220" s="28">
        <v>1046573.16</v>
      </c>
      <c r="V220" s="28">
        <v>1480396.5299999998</v>
      </c>
      <c r="W220" s="28">
        <v>7825290.580000001</v>
      </c>
      <c r="X220" s="28">
        <v>2071180.9100000001</v>
      </c>
      <c r="Y220" s="28">
        <v>342145.95</v>
      </c>
      <c r="Z220" s="28">
        <v>950347.49</v>
      </c>
      <c r="AA220" s="28">
        <v>700910.99999999988</v>
      </c>
      <c r="AB220" s="28">
        <v>552669.05999999994</v>
      </c>
      <c r="AC220" s="28">
        <v>2030130.67</v>
      </c>
      <c r="AD220" s="28">
        <v>3248748.3299999996</v>
      </c>
      <c r="AE220" s="28">
        <v>597647.57999999996</v>
      </c>
      <c r="AF220" s="28">
        <v>20846041.259999998</v>
      </c>
      <c r="AG220" s="147"/>
      <c r="AH220" s="147"/>
      <c r="AI220" s="405">
        <v>366</v>
      </c>
      <c r="AJ220" s="460">
        <v>1634</v>
      </c>
      <c r="AK220" s="417">
        <v>0.224</v>
      </c>
      <c r="AL220" s="405">
        <v>4</v>
      </c>
      <c r="AM220" s="147"/>
    </row>
    <row r="221" spans="1:39">
      <c r="A221" s="71">
        <v>214</v>
      </c>
      <c r="B221" s="71" t="s">
        <v>1332</v>
      </c>
      <c r="C221" s="28">
        <v>32</v>
      </c>
      <c r="D221" s="28">
        <v>0</v>
      </c>
      <c r="E221" s="28">
        <v>175</v>
      </c>
      <c r="F221" s="28">
        <v>719</v>
      </c>
      <c r="G221" s="28">
        <v>464</v>
      </c>
      <c r="H221" s="28">
        <v>532</v>
      </c>
      <c r="I221" s="28">
        <v>12</v>
      </c>
      <c r="J221" s="28">
        <v>75</v>
      </c>
      <c r="K221" s="28">
        <v>19</v>
      </c>
      <c r="L221" s="28">
        <v>46</v>
      </c>
      <c r="M221" s="28">
        <v>13</v>
      </c>
      <c r="N221" s="28">
        <v>11</v>
      </c>
      <c r="O221" s="28">
        <v>790</v>
      </c>
      <c r="P221" s="516">
        <v>1918</v>
      </c>
      <c r="Q221" s="517">
        <v>1</v>
      </c>
      <c r="R221" s="6">
        <v>8</v>
      </c>
      <c r="S221" s="369">
        <v>0.43380000000000002</v>
      </c>
      <c r="T221" s="365"/>
      <c r="U221" s="28">
        <v>1238064.6900000002</v>
      </c>
      <c r="V221" s="28">
        <v>1885317.82</v>
      </c>
      <c r="W221" s="28">
        <v>11514375.009999998</v>
      </c>
      <c r="X221" s="28">
        <v>2226765.2399999998</v>
      </c>
      <c r="Y221" s="28">
        <v>484197.89</v>
      </c>
      <c r="Z221" s="28">
        <v>1280052.1499999997</v>
      </c>
      <c r="AA221" s="28">
        <v>910754.83</v>
      </c>
      <c r="AB221" s="28">
        <v>1242699.08</v>
      </c>
      <c r="AC221" s="28">
        <v>2342730.9000000004</v>
      </c>
      <c r="AD221" s="28">
        <v>3980940.23</v>
      </c>
      <c r="AE221" s="28">
        <v>667959.05999999994</v>
      </c>
      <c r="AF221" s="28">
        <v>27773856.899999991</v>
      </c>
      <c r="AG221" s="147"/>
      <c r="AH221" s="147"/>
      <c r="AI221" s="405">
        <v>790</v>
      </c>
      <c r="AJ221" s="460">
        <v>1821</v>
      </c>
      <c r="AK221" s="417">
        <v>0.43380000000000002</v>
      </c>
      <c r="AL221" s="405">
        <v>8</v>
      </c>
      <c r="AM221" s="147"/>
    </row>
    <row r="222" spans="1:39">
      <c r="A222" s="71">
        <v>215</v>
      </c>
      <c r="B222" s="71" t="s">
        <v>1333</v>
      </c>
      <c r="C222" s="28">
        <v>28</v>
      </c>
      <c r="D222" s="28">
        <v>0</v>
      </c>
      <c r="E222" s="28">
        <v>37</v>
      </c>
      <c r="F222" s="28">
        <v>225</v>
      </c>
      <c r="G222" s="28">
        <v>143</v>
      </c>
      <c r="H222" s="28">
        <v>146</v>
      </c>
      <c r="I222" s="28">
        <v>0</v>
      </c>
      <c r="J222" s="28">
        <v>22</v>
      </c>
      <c r="K222" s="28">
        <v>6</v>
      </c>
      <c r="L222" s="28">
        <v>11</v>
      </c>
      <c r="M222" s="28">
        <v>3</v>
      </c>
      <c r="N222" s="28">
        <v>4</v>
      </c>
      <c r="O222" s="28">
        <v>220</v>
      </c>
      <c r="P222" s="516">
        <v>565</v>
      </c>
      <c r="Q222" s="517">
        <v>1</v>
      </c>
      <c r="R222" s="6">
        <v>9</v>
      </c>
      <c r="S222" s="369">
        <v>0.5353</v>
      </c>
      <c r="T222" s="365"/>
      <c r="U222" s="28">
        <v>365862.79999999993</v>
      </c>
      <c r="V222" s="28">
        <v>556008.56999999995</v>
      </c>
      <c r="W222" s="28">
        <v>3368222.64</v>
      </c>
      <c r="X222" s="28">
        <v>658344.19000000006</v>
      </c>
      <c r="Y222" s="28">
        <v>142596.09000000003</v>
      </c>
      <c r="Z222" s="28">
        <v>369877.19000000006</v>
      </c>
      <c r="AA222" s="28">
        <v>267677.09000000003</v>
      </c>
      <c r="AB222" s="28">
        <v>362900.98</v>
      </c>
      <c r="AC222" s="28">
        <v>685392.74</v>
      </c>
      <c r="AD222" s="28">
        <v>1173612.3900000001</v>
      </c>
      <c r="AE222" s="28">
        <v>210934.44</v>
      </c>
      <c r="AF222" s="28">
        <v>8161429.120000002</v>
      </c>
      <c r="AG222" s="147"/>
      <c r="AH222" s="147"/>
      <c r="AI222" s="405">
        <v>220</v>
      </c>
      <c r="AJ222" s="460">
        <v>411</v>
      </c>
      <c r="AK222" s="417">
        <v>0.5353</v>
      </c>
      <c r="AL222" s="405">
        <v>9</v>
      </c>
      <c r="AM222" s="147"/>
    </row>
    <row r="223" spans="1:39">
      <c r="A223" s="71">
        <v>216</v>
      </c>
      <c r="B223" s="71" t="s">
        <v>1334</v>
      </c>
      <c r="C223" s="28">
        <v>0</v>
      </c>
      <c r="D223" s="28">
        <v>0</v>
      </c>
      <c r="E223" s="28">
        <v>0</v>
      </c>
      <c r="F223" s="28">
        <v>0</v>
      </c>
      <c r="G223" s="28">
        <v>0</v>
      </c>
      <c r="H223" s="28">
        <v>0</v>
      </c>
      <c r="I223" s="28">
        <v>0</v>
      </c>
      <c r="J223" s="28">
        <v>0</v>
      </c>
      <c r="K223" s="28">
        <v>0</v>
      </c>
      <c r="L223" s="28">
        <v>0</v>
      </c>
      <c r="M223" s="28">
        <v>0</v>
      </c>
      <c r="N223" s="28">
        <v>0</v>
      </c>
      <c r="O223" s="28">
        <v>0</v>
      </c>
      <c r="P223" s="516">
        <v>0</v>
      </c>
      <c r="Q223" s="517">
        <v>1</v>
      </c>
      <c r="R223" s="6">
        <v>0</v>
      </c>
      <c r="S223" s="369">
        <v>0</v>
      </c>
      <c r="T223" s="94"/>
      <c r="U223" s="28">
        <v>0</v>
      </c>
      <c r="V223" s="28">
        <v>0</v>
      </c>
      <c r="W223" s="28">
        <v>0</v>
      </c>
      <c r="X223" s="28">
        <v>0</v>
      </c>
      <c r="Y223" s="28">
        <v>0</v>
      </c>
      <c r="Z223" s="28">
        <v>0</v>
      </c>
      <c r="AA223" s="28">
        <v>0</v>
      </c>
      <c r="AB223" s="28">
        <v>0</v>
      </c>
      <c r="AC223" s="28">
        <v>0</v>
      </c>
      <c r="AD223" s="28">
        <v>0</v>
      </c>
      <c r="AE223" s="28">
        <v>0</v>
      </c>
      <c r="AF223" s="28">
        <v>0</v>
      </c>
      <c r="AG223" s="147"/>
      <c r="AH223" s="147"/>
      <c r="AI223" s="405">
        <v>0</v>
      </c>
      <c r="AJ223" s="460">
        <v>0</v>
      </c>
      <c r="AK223" s="417">
        <v>0</v>
      </c>
      <c r="AL223" s="405">
        <v>0</v>
      </c>
      <c r="AM223" s="147"/>
    </row>
    <row r="224" spans="1:39">
      <c r="A224" s="71">
        <v>217</v>
      </c>
      <c r="B224" s="71" t="s">
        <v>1335</v>
      </c>
      <c r="C224" s="28">
        <v>46</v>
      </c>
      <c r="D224" s="28">
        <v>167</v>
      </c>
      <c r="E224" s="28">
        <v>10</v>
      </c>
      <c r="F224" s="28">
        <v>938</v>
      </c>
      <c r="G224" s="28">
        <v>551</v>
      </c>
      <c r="H224" s="28">
        <v>648</v>
      </c>
      <c r="I224" s="28">
        <v>6</v>
      </c>
      <c r="J224" s="28">
        <v>88</v>
      </c>
      <c r="K224" s="28">
        <v>22</v>
      </c>
      <c r="L224" s="28">
        <v>16</v>
      </c>
      <c r="M224" s="28">
        <v>2</v>
      </c>
      <c r="N224" s="28">
        <v>4</v>
      </c>
      <c r="O224" s="28">
        <v>297</v>
      </c>
      <c r="P224" s="516">
        <v>2260</v>
      </c>
      <c r="Q224" s="517">
        <v>1.0780000000000001</v>
      </c>
      <c r="R224" s="6">
        <v>3</v>
      </c>
      <c r="S224" s="369">
        <v>0.1343</v>
      </c>
      <c r="T224" s="365"/>
      <c r="U224" s="28">
        <v>1496561.4309799999</v>
      </c>
      <c r="V224" s="28">
        <v>2070811.9016199999</v>
      </c>
      <c r="W224" s="28">
        <v>11481436.511160003</v>
      </c>
      <c r="X224" s="28">
        <v>2804401.76786</v>
      </c>
      <c r="Y224" s="28">
        <v>463282.94011999998</v>
      </c>
      <c r="Z224" s="28">
        <v>1477203.7099999997</v>
      </c>
      <c r="AA224" s="28">
        <v>1029488.6525</v>
      </c>
      <c r="AB224" s="28">
        <v>951979.94584000006</v>
      </c>
      <c r="AC224" s="28">
        <v>2944188.9169000001</v>
      </c>
      <c r="AD224" s="28">
        <v>4183171.9499999997</v>
      </c>
      <c r="AE224" s="28">
        <v>773426.27999999991</v>
      </c>
      <c r="AF224" s="28">
        <v>29675954.006980006</v>
      </c>
      <c r="AG224" s="147"/>
      <c r="AH224" s="147"/>
      <c r="AI224" s="405">
        <v>297</v>
      </c>
      <c r="AJ224" s="460">
        <v>2212</v>
      </c>
      <c r="AK224" s="417">
        <v>0.1343</v>
      </c>
      <c r="AL224" s="405">
        <v>3</v>
      </c>
      <c r="AM224" s="147"/>
    </row>
    <row r="225" spans="1:39">
      <c r="A225" s="71">
        <v>218</v>
      </c>
      <c r="B225" s="71" t="s">
        <v>1336</v>
      </c>
      <c r="C225" s="28">
        <v>41</v>
      </c>
      <c r="D225" s="28">
        <v>0</v>
      </c>
      <c r="E225" s="28">
        <v>171</v>
      </c>
      <c r="F225" s="28">
        <v>820</v>
      </c>
      <c r="G225" s="28">
        <v>519</v>
      </c>
      <c r="H225" s="28">
        <v>605</v>
      </c>
      <c r="I225" s="28">
        <v>37</v>
      </c>
      <c r="J225" s="28">
        <v>85</v>
      </c>
      <c r="K225" s="28">
        <v>21</v>
      </c>
      <c r="L225" s="28">
        <v>38</v>
      </c>
      <c r="M225" s="28">
        <v>11</v>
      </c>
      <c r="N225" s="28">
        <v>14</v>
      </c>
      <c r="O225" s="28">
        <v>704</v>
      </c>
      <c r="P225" s="516">
        <v>2173</v>
      </c>
      <c r="Q225" s="517">
        <v>1</v>
      </c>
      <c r="R225" s="6">
        <v>5</v>
      </c>
      <c r="S225" s="369">
        <v>0.29249999999999998</v>
      </c>
      <c r="T225" s="365"/>
      <c r="U225" s="28">
        <v>1369321.64</v>
      </c>
      <c r="V225" s="28">
        <v>1992899.1099999999</v>
      </c>
      <c r="W225" s="28">
        <v>11769504.380000003</v>
      </c>
      <c r="X225" s="28">
        <v>2511390.1800000002</v>
      </c>
      <c r="Y225" s="28">
        <v>484022.54</v>
      </c>
      <c r="Z225" s="28">
        <v>1460962.2</v>
      </c>
      <c r="AA225" s="28">
        <v>976815.39999999991</v>
      </c>
      <c r="AB225" s="28">
        <v>1132972.2000000002</v>
      </c>
      <c r="AC225" s="28">
        <v>2671238.5599999996</v>
      </c>
      <c r="AD225" s="28">
        <v>4279500.2799999993</v>
      </c>
      <c r="AE225" s="28">
        <v>738270.53999999992</v>
      </c>
      <c r="AF225" s="28">
        <v>29386897.029999994</v>
      </c>
      <c r="AG225" s="147"/>
      <c r="AH225" s="147"/>
      <c r="AI225" s="405">
        <v>704</v>
      </c>
      <c r="AJ225" s="460">
        <v>2407</v>
      </c>
      <c r="AK225" s="417">
        <v>0.29249999999999998</v>
      </c>
      <c r="AL225" s="405">
        <v>5</v>
      </c>
      <c r="AM225" s="147"/>
    </row>
    <row r="226" spans="1:39">
      <c r="A226" s="71">
        <v>219</v>
      </c>
      <c r="B226" s="71" t="s">
        <v>1337</v>
      </c>
      <c r="C226" s="28">
        <v>29</v>
      </c>
      <c r="D226" s="28">
        <v>155</v>
      </c>
      <c r="E226" s="28">
        <v>4</v>
      </c>
      <c r="F226" s="28">
        <v>881</v>
      </c>
      <c r="G226" s="28">
        <v>507</v>
      </c>
      <c r="H226" s="28">
        <v>629</v>
      </c>
      <c r="I226" s="28">
        <v>1</v>
      </c>
      <c r="J226" s="28">
        <v>82</v>
      </c>
      <c r="K226" s="28">
        <v>21</v>
      </c>
      <c r="L226" s="28">
        <v>7</v>
      </c>
      <c r="M226" s="28">
        <v>1</v>
      </c>
      <c r="N226" s="28">
        <v>2</v>
      </c>
      <c r="O226" s="28">
        <v>144</v>
      </c>
      <c r="P226" s="516">
        <v>2115</v>
      </c>
      <c r="Q226" s="517">
        <v>1.0589999999999999</v>
      </c>
      <c r="R226" s="6">
        <v>2</v>
      </c>
      <c r="S226" s="369">
        <v>6.9099999999999995E-2</v>
      </c>
      <c r="T226" s="365"/>
      <c r="U226" s="28">
        <v>1365760.1381700002</v>
      </c>
      <c r="V226" s="28">
        <v>1858365.0017699997</v>
      </c>
      <c r="W226" s="28">
        <v>10125108.700439999</v>
      </c>
      <c r="X226" s="28">
        <v>2567067.9863100001</v>
      </c>
      <c r="Y226" s="28">
        <v>404310.70683000004</v>
      </c>
      <c r="Z226" s="28">
        <v>1380363.7899999998</v>
      </c>
      <c r="AA226" s="28">
        <v>929499.63431999995</v>
      </c>
      <c r="AB226" s="28">
        <v>795317.62026</v>
      </c>
      <c r="AC226" s="28">
        <v>2696597.4109499999</v>
      </c>
      <c r="AD226" s="28">
        <v>3836983.93</v>
      </c>
      <c r="AE226" s="28">
        <v>738270.53999999992</v>
      </c>
      <c r="AF226" s="28">
        <v>26697645.459049996</v>
      </c>
      <c r="AG226" s="147"/>
      <c r="AH226" s="147"/>
      <c r="AI226" s="405">
        <v>144</v>
      </c>
      <c r="AJ226" s="460">
        <v>2084.5</v>
      </c>
      <c r="AK226" s="417">
        <v>6.9099999999999995E-2</v>
      </c>
      <c r="AL226" s="405">
        <v>2</v>
      </c>
      <c r="AM226" s="147"/>
    </row>
    <row r="227" spans="1:39">
      <c r="A227" s="71">
        <v>220</v>
      </c>
      <c r="B227" s="71" t="s">
        <v>1338</v>
      </c>
      <c r="C227" s="28">
        <v>59</v>
      </c>
      <c r="D227" s="28">
        <v>0</v>
      </c>
      <c r="E227" s="28">
        <v>303</v>
      </c>
      <c r="F227" s="28">
        <v>1421</v>
      </c>
      <c r="G227" s="28">
        <v>826</v>
      </c>
      <c r="H227" s="28">
        <v>1016</v>
      </c>
      <c r="I227" s="28">
        <v>0</v>
      </c>
      <c r="J227" s="28">
        <v>140</v>
      </c>
      <c r="K227" s="28">
        <v>36</v>
      </c>
      <c r="L227" s="28">
        <v>409</v>
      </c>
      <c r="M227" s="28">
        <v>73</v>
      </c>
      <c r="N227" s="28">
        <v>89</v>
      </c>
      <c r="O227" s="28">
        <v>1601</v>
      </c>
      <c r="P227" s="516">
        <v>3596</v>
      </c>
      <c r="Q227" s="517">
        <v>1.06</v>
      </c>
      <c r="R227" s="6">
        <v>8</v>
      </c>
      <c r="S227" s="369">
        <v>0.45290000000000002</v>
      </c>
      <c r="T227" s="365"/>
      <c r="U227" s="28">
        <v>2523759.9360000002</v>
      </c>
      <c r="V227" s="28">
        <v>3890625.5264000003</v>
      </c>
      <c r="W227" s="28">
        <v>23961092.632199999</v>
      </c>
      <c r="X227" s="28">
        <v>4525962.2101999996</v>
      </c>
      <c r="Y227" s="28">
        <v>1009655.6286000001</v>
      </c>
      <c r="Z227" s="28">
        <v>2449938.0299999998</v>
      </c>
      <c r="AA227" s="28">
        <v>1868227.3902000003</v>
      </c>
      <c r="AB227" s="28">
        <v>2582514.0082</v>
      </c>
      <c r="AC227" s="28">
        <v>4786107.1981999995</v>
      </c>
      <c r="AD227" s="28">
        <v>7671827.0600000005</v>
      </c>
      <c r="AE227" s="28">
        <v>1265606.6399999999</v>
      </c>
      <c r="AF227" s="28">
        <v>56535316.259999998</v>
      </c>
      <c r="AG227" s="147"/>
      <c r="AH227" s="147"/>
      <c r="AI227" s="405">
        <v>1601</v>
      </c>
      <c r="AJ227" s="460">
        <v>3535</v>
      </c>
      <c r="AK227" s="417">
        <v>0.45290000000000002</v>
      </c>
      <c r="AL227" s="405">
        <v>8</v>
      </c>
      <c r="AM227" s="147"/>
    </row>
    <row r="228" spans="1:39">
      <c r="A228" s="71">
        <v>221</v>
      </c>
      <c r="B228" s="71" t="s">
        <v>1339</v>
      </c>
      <c r="C228" s="28">
        <v>15</v>
      </c>
      <c r="D228" s="28">
        <v>0</v>
      </c>
      <c r="E228" s="28">
        <v>42</v>
      </c>
      <c r="F228" s="28">
        <v>234</v>
      </c>
      <c r="G228" s="28">
        <v>137</v>
      </c>
      <c r="H228" s="28">
        <v>0</v>
      </c>
      <c r="I228" s="28">
        <v>0</v>
      </c>
      <c r="J228" s="28">
        <v>16</v>
      </c>
      <c r="K228" s="28">
        <v>4</v>
      </c>
      <c r="L228" s="28">
        <v>77</v>
      </c>
      <c r="M228" s="28">
        <v>22</v>
      </c>
      <c r="N228" s="28">
        <v>0</v>
      </c>
      <c r="O228" s="28">
        <v>195</v>
      </c>
      <c r="P228" s="516">
        <v>421</v>
      </c>
      <c r="Q228" s="517">
        <v>1</v>
      </c>
      <c r="R228" s="6">
        <v>8</v>
      </c>
      <c r="S228" s="369">
        <v>0.44879999999999998</v>
      </c>
      <c r="T228" s="365"/>
      <c r="U228" s="28">
        <v>280686.61000000004</v>
      </c>
      <c r="V228" s="28">
        <v>438520.48</v>
      </c>
      <c r="W228" s="28">
        <v>2565430.0700000003</v>
      </c>
      <c r="X228" s="28">
        <v>536521.18999999994</v>
      </c>
      <c r="Y228" s="28">
        <v>114049.94</v>
      </c>
      <c r="Z228" s="28">
        <v>252641.35</v>
      </c>
      <c r="AA228" s="28">
        <v>202572.59</v>
      </c>
      <c r="AB228" s="28">
        <v>242732.16999999998</v>
      </c>
      <c r="AC228" s="28">
        <v>534537.04</v>
      </c>
      <c r="AD228" s="28">
        <v>925535.45</v>
      </c>
      <c r="AE228" s="28">
        <v>140622.96</v>
      </c>
      <c r="AF228" s="28">
        <v>6233849.8500000006</v>
      </c>
      <c r="AG228" s="147"/>
      <c r="AH228" s="147"/>
      <c r="AI228" s="405">
        <v>195</v>
      </c>
      <c r="AJ228" s="460">
        <v>434.5</v>
      </c>
      <c r="AK228" s="417">
        <v>0.44879999999999998</v>
      </c>
      <c r="AL228" s="405">
        <v>8</v>
      </c>
      <c r="AM228" s="147"/>
    </row>
    <row r="229" spans="1:39">
      <c r="A229" s="71">
        <v>222</v>
      </c>
      <c r="B229" s="71" t="s">
        <v>1340</v>
      </c>
      <c r="C229" s="28">
        <v>0</v>
      </c>
      <c r="D229" s="28">
        <v>0</v>
      </c>
      <c r="E229" s="28">
        <v>0</v>
      </c>
      <c r="F229" s="28">
        <v>0</v>
      </c>
      <c r="G229" s="28">
        <v>0</v>
      </c>
      <c r="H229" s="28">
        <v>0</v>
      </c>
      <c r="I229" s="28">
        <v>0</v>
      </c>
      <c r="J229" s="28">
        <v>0</v>
      </c>
      <c r="K229" s="28">
        <v>0</v>
      </c>
      <c r="L229" s="28">
        <v>0</v>
      </c>
      <c r="M229" s="28">
        <v>0</v>
      </c>
      <c r="N229" s="28">
        <v>0</v>
      </c>
      <c r="O229" s="28">
        <v>0</v>
      </c>
      <c r="P229" s="516">
        <v>0</v>
      </c>
      <c r="Q229" s="517">
        <v>1</v>
      </c>
      <c r="R229" s="6">
        <v>0</v>
      </c>
      <c r="S229" s="369">
        <v>0</v>
      </c>
      <c r="T229" s="94"/>
      <c r="U229" s="28">
        <v>0</v>
      </c>
      <c r="V229" s="28">
        <v>0</v>
      </c>
      <c r="W229" s="28">
        <v>0</v>
      </c>
      <c r="X229" s="28">
        <v>0</v>
      </c>
      <c r="Y229" s="28">
        <v>0</v>
      </c>
      <c r="Z229" s="28">
        <v>0</v>
      </c>
      <c r="AA229" s="28">
        <v>0</v>
      </c>
      <c r="AB229" s="28">
        <v>0</v>
      </c>
      <c r="AC229" s="28">
        <v>0</v>
      </c>
      <c r="AD229" s="28">
        <v>0</v>
      </c>
      <c r="AE229" s="28">
        <v>0</v>
      </c>
      <c r="AF229" s="28">
        <v>0</v>
      </c>
      <c r="AG229" s="147"/>
      <c r="AH229" s="147"/>
      <c r="AI229" s="405">
        <v>0</v>
      </c>
      <c r="AJ229" s="460">
        <v>0</v>
      </c>
      <c r="AK229" s="417">
        <v>0</v>
      </c>
      <c r="AL229" s="405">
        <v>0</v>
      </c>
      <c r="AM229" s="147"/>
    </row>
    <row r="230" spans="1:39">
      <c r="A230" s="71">
        <v>223</v>
      </c>
      <c r="B230" s="71" t="s">
        <v>1341</v>
      </c>
      <c r="C230" s="28">
        <v>45</v>
      </c>
      <c r="D230" s="28">
        <v>0</v>
      </c>
      <c r="E230" s="28">
        <v>71</v>
      </c>
      <c r="F230" s="28">
        <v>391</v>
      </c>
      <c r="G230" s="28">
        <v>88</v>
      </c>
      <c r="H230" s="28">
        <v>0</v>
      </c>
      <c r="I230" s="28">
        <v>0</v>
      </c>
      <c r="J230" s="28">
        <v>22</v>
      </c>
      <c r="K230" s="28">
        <v>6</v>
      </c>
      <c r="L230" s="28">
        <v>4</v>
      </c>
      <c r="M230" s="28">
        <v>0</v>
      </c>
      <c r="N230" s="28">
        <v>0</v>
      </c>
      <c r="O230" s="28">
        <v>371</v>
      </c>
      <c r="P230" s="516">
        <v>573</v>
      </c>
      <c r="Q230" s="517">
        <v>1</v>
      </c>
      <c r="R230" s="6">
        <v>11</v>
      </c>
      <c r="S230" s="369">
        <v>0.73760000000000003</v>
      </c>
      <c r="T230" s="365"/>
      <c r="U230" s="28">
        <v>386886.08999999997</v>
      </c>
      <c r="V230" s="28">
        <v>650648.77999999991</v>
      </c>
      <c r="W230" s="28">
        <v>4133544.84</v>
      </c>
      <c r="X230" s="28">
        <v>733057.77</v>
      </c>
      <c r="Y230" s="28">
        <v>184403.57</v>
      </c>
      <c r="Z230" s="28">
        <v>331393.10000000003</v>
      </c>
      <c r="AA230" s="28">
        <v>293192.46000000002</v>
      </c>
      <c r="AB230" s="28">
        <v>478436.82</v>
      </c>
      <c r="AC230" s="28">
        <v>675730.43</v>
      </c>
      <c r="AD230" s="28">
        <v>1339940.33</v>
      </c>
      <c r="AE230" s="28">
        <v>210934.44</v>
      </c>
      <c r="AF230" s="28">
        <v>9418168.6300000008</v>
      </c>
      <c r="AG230" s="147"/>
      <c r="AH230" s="147"/>
      <c r="AI230" s="405">
        <v>371</v>
      </c>
      <c r="AJ230" s="460">
        <v>503</v>
      </c>
      <c r="AK230" s="417">
        <v>0.73760000000000003</v>
      </c>
      <c r="AL230" s="405">
        <v>11</v>
      </c>
      <c r="AM230" s="147"/>
    </row>
    <row r="231" spans="1:39">
      <c r="A231" s="71">
        <v>224</v>
      </c>
      <c r="B231" s="71" t="s">
        <v>1342</v>
      </c>
      <c r="C231" s="28">
        <v>0</v>
      </c>
      <c r="D231" s="28">
        <v>0</v>
      </c>
      <c r="E231" s="28">
        <v>29</v>
      </c>
      <c r="F231" s="28">
        <v>116</v>
      </c>
      <c r="G231" s="28">
        <v>0</v>
      </c>
      <c r="H231" s="28">
        <v>0</v>
      </c>
      <c r="I231" s="28">
        <v>0</v>
      </c>
      <c r="J231" s="28">
        <v>6</v>
      </c>
      <c r="K231" s="28">
        <v>1</v>
      </c>
      <c r="L231" s="28">
        <v>8</v>
      </c>
      <c r="M231" s="28">
        <v>0</v>
      </c>
      <c r="N231" s="28">
        <v>0</v>
      </c>
      <c r="O231" s="28">
        <v>61</v>
      </c>
      <c r="P231" s="516">
        <v>145</v>
      </c>
      <c r="Q231" s="517">
        <v>1</v>
      </c>
      <c r="R231" s="6">
        <v>8</v>
      </c>
      <c r="S231" s="369">
        <v>0.42959999999999998</v>
      </c>
      <c r="T231" s="365"/>
      <c r="U231" s="28">
        <v>93392.109999999986</v>
      </c>
      <c r="V231" s="28">
        <v>143532.87999999998</v>
      </c>
      <c r="W231" s="28">
        <v>849939.27999999991</v>
      </c>
      <c r="X231" s="28">
        <v>197026.98000000004</v>
      </c>
      <c r="Y231" s="28">
        <v>36317.31</v>
      </c>
      <c r="Z231" s="28">
        <v>83446.719999999987</v>
      </c>
      <c r="AA231" s="28">
        <v>65234.490000000005</v>
      </c>
      <c r="AB231" s="28">
        <v>72346.05</v>
      </c>
      <c r="AC231" s="28">
        <v>173019.83000000002</v>
      </c>
      <c r="AD231" s="28">
        <v>303199.86</v>
      </c>
      <c r="AE231" s="28">
        <v>35155.74</v>
      </c>
      <c r="AF231" s="28">
        <v>2052611.2499999998</v>
      </c>
      <c r="AG231" s="147"/>
      <c r="AH231" s="147"/>
      <c r="AI231" s="405">
        <v>61</v>
      </c>
      <c r="AJ231" s="460">
        <v>142</v>
      </c>
      <c r="AK231" s="417">
        <v>0.42959999999999998</v>
      </c>
      <c r="AL231" s="405">
        <v>8</v>
      </c>
      <c r="AM231" s="147"/>
    </row>
    <row r="232" spans="1:39">
      <c r="A232" s="71">
        <v>225</v>
      </c>
      <c r="B232" s="71" t="s">
        <v>1343</v>
      </c>
      <c r="C232" s="28">
        <v>0</v>
      </c>
      <c r="D232" s="28">
        <v>0</v>
      </c>
      <c r="E232" s="28">
        <v>0</v>
      </c>
      <c r="F232" s="28">
        <v>0</v>
      </c>
      <c r="G232" s="28">
        <v>0</v>
      </c>
      <c r="H232" s="28">
        <v>0</v>
      </c>
      <c r="I232" s="28">
        <v>0</v>
      </c>
      <c r="J232" s="28">
        <v>0</v>
      </c>
      <c r="K232" s="28">
        <v>0</v>
      </c>
      <c r="L232" s="28">
        <v>0</v>
      </c>
      <c r="M232" s="28">
        <v>0</v>
      </c>
      <c r="N232" s="28">
        <v>0</v>
      </c>
      <c r="O232" s="28">
        <v>0</v>
      </c>
      <c r="P232" s="516">
        <v>0</v>
      </c>
      <c r="Q232" s="517">
        <v>1</v>
      </c>
      <c r="R232" s="6">
        <v>0</v>
      </c>
      <c r="S232" s="369">
        <v>0</v>
      </c>
      <c r="T232" s="94"/>
      <c r="U232" s="28">
        <v>0</v>
      </c>
      <c r="V232" s="28">
        <v>0</v>
      </c>
      <c r="W232" s="28">
        <v>0</v>
      </c>
      <c r="X232" s="28">
        <v>0</v>
      </c>
      <c r="Y232" s="28">
        <v>0</v>
      </c>
      <c r="Z232" s="28">
        <v>0</v>
      </c>
      <c r="AA232" s="28">
        <v>0</v>
      </c>
      <c r="AB232" s="28">
        <v>0</v>
      </c>
      <c r="AC232" s="28">
        <v>0</v>
      </c>
      <c r="AD232" s="28">
        <v>0</v>
      </c>
      <c r="AE232" s="28">
        <v>0</v>
      </c>
      <c r="AF232" s="28">
        <v>0</v>
      </c>
      <c r="AG232" s="147"/>
      <c r="AH232" s="147"/>
      <c r="AI232" s="405">
        <v>0</v>
      </c>
      <c r="AJ232" s="460">
        <v>0</v>
      </c>
      <c r="AK232" s="417">
        <v>0</v>
      </c>
      <c r="AL232" s="405">
        <v>0</v>
      </c>
      <c r="AM232" s="147"/>
    </row>
    <row r="233" spans="1:39">
      <c r="A233" s="71">
        <v>226</v>
      </c>
      <c r="B233" s="71" t="s">
        <v>1344</v>
      </c>
      <c r="C233" s="28">
        <v>35</v>
      </c>
      <c r="D233" s="28">
        <v>0</v>
      </c>
      <c r="E233" s="28">
        <v>105</v>
      </c>
      <c r="F233" s="28">
        <v>565</v>
      </c>
      <c r="G233" s="28">
        <v>419</v>
      </c>
      <c r="H233" s="28">
        <v>461</v>
      </c>
      <c r="I233" s="28">
        <v>1</v>
      </c>
      <c r="J233" s="28">
        <v>61</v>
      </c>
      <c r="K233" s="28">
        <v>16</v>
      </c>
      <c r="L233" s="28">
        <v>50</v>
      </c>
      <c r="M233" s="28">
        <v>7</v>
      </c>
      <c r="N233" s="28">
        <v>18</v>
      </c>
      <c r="O233" s="28">
        <v>773</v>
      </c>
      <c r="P233" s="516">
        <v>1569</v>
      </c>
      <c r="Q233" s="517">
        <v>1</v>
      </c>
      <c r="R233" s="6">
        <v>9</v>
      </c>
      <c r="S233" s="369">
        <v>0.5181</v>
      </c>
      <c r="T233" s="365"/>
      <c r="U233" s="28">
        <v>1030608.1900000001</v>
      </c>
      <c r="V233" s="28">
        <v>1618306.1099999999</v>
      </c>
      <c r="W233" s="28">
        <v>10121232.559999999</v>
      </c>
      <c r="X233" s="28">
        <v>1804401.38</v>
      </c>
      <c r="Y233" s="28">
        <v>431087.68000000005</v>
      </c>
      <c r="Z233" s="28">
        <v>1054382.3199999998</v>
      </c>
      <c r="AA233" s="28">
        <v>777592.93999999983</v>
      </c>
      <c r="AB233" s="28">
        <v>1179976.3500000001</v>
      </c>
      <c r="AC233" s="28">
        <v>1916952.4500000002</v>
      </c>
      <c r="AD233" s="28">
        <v>3380612.54</v>
      </c>
      <c r="AE233" s="28">
        <v>562491.84</v>
      </c>
      <c r="AF233" s="28">
        <v>23877644.359999999</v>
      </c>
      <c r="AG233" s="147"/>
      <c r="AH233" s="147"/>
      <c r="AI233" s="405">
        <v>773</v>
      </c>
      <c r="AJ233" s="460">
        <v>1492</v>
      </c>
      <c r="AK233" s="417">
        <v>0.5181</v>
      </c>
      <c r="AL233" s="405">
        <v>9</v>
      </c>
      <c r="AM233" s="147"/>
    </row>
    <row r="234" spans="1:39">
      <c r="A234" s="71">
        <v>227</v>
      </c>
      <c r="B234" s="71" t="s">
        <v>1345</v>
      </c>
      <c r="C234" s="28">
        <v>11</v>
      </c>
      <c r="D234" s="28">
        <v>0</v>
      </c>
      <c r="E234" s="28">
        <v>98</v>
      </c>
      <c r="F234" s="28">
        <v>484</v>
      </c>
      <c r="G234" s="28">
        <v>324</v>
      </c>
      <c r="H234" s="28">
        <v>283</v>
      </c>
      <c r="I234" s="28">
        <v>1</v>
      </c>
      <c r="J234" s="28">
        <v>47</v>
      </c>
      <c r="K234" s="28">
        <v>12</v>
      </c>
      <c r="L234" s="28">
        <v>28</v>
      </c>
      <c r="M234" s="28">
        <v>8</v>
      </c>
      <c r="N234" s="28">
        <v>11</v>
      </c>
      <c r="O234" s="28">
        <v>697</v>
      </c>
      <c r="P234" s="516">
        <v>1196</v>
      </c>
      <c r="Q234" s="517">
        <v>1</v>
      </c>
      <c r="R234" s="6">
        <v>10</v>
      </c>
      <c r="S234" s="369">
        <v>0.63939999999999997</v>
      </c>
      <c r="T234" s="365"/>
      <c r="U234" s="28">
        <v>799162.5</v>
      </c>
      <c r="V234" s="28">
        <v>1297548.1299999999</v>
      </c>
      <c r="W234" s="28">
        <v>8274949.5500000007</v>
      </c>
      <c r="X234" s="28">
        <v>1402882.58</v>
      </c>
      <c r="Y234" s="28">
        <v>359120.45999999996</v>
      </c>
      <c r="Z234" s="28">
        <v>785396.33</v>
      </c>
      <c r="AA234" s="28">
        <v>613135.18999999994</v>
      </c>
      <c r="AB234" s="28">
        <v>1004372.21</v>
      </c>
      <c r="AC234" s="28">
        <v>1456410.76</v>
      </c>
      <c r="AD234" s="28">
        <v>2692104.73</v>
      </c>
      <c r="AE234" s="28">
        <v>421868.88</v>
      </c>
      <c r="AF234" s="28">
        <v>19106951.319999997</v>
      </c>
      <c r="AG234" s="147"/>
      <c r="AH234" s="147"/>
      <c r="AI234" s="405">
        <v>697</v>
      </c>
      <c r="AJ234" s="460">
        <v>1090</v>
      </c>
      <c r="AK234" s="417">
        <v>0.63939999999999997</v>
      </c>
      <c r="AL234" s="405">
        <v>10</v>
      </c>
      <c r="AM234" s="147"/>
    </row>
    <row r="235" spans="1:39">
      <c r="A235" s="71">
        <v>228</v>
      </c>
      <c r="B235" s="71" t="s">
        <v>1346</v>
      </c>
      <c r="C235" s="28">
        <v>0</v>
      </c>
      <c r="D235" s="28">
        <v>0</v>
      </c>
      <c r="E235" s="28">
        <v>0</v>
      </c>
      <c r="F235" s="28">
        <v>0</v>
      </c>
      <c r="G235" s="28">
        <v>0</v>
      </c>
      <c r="H235" s="28">
        <v>0</v>
      </c>
      <c r="I235" s="28">
        <v>0</v>
      </c>
      <c r="J235" s="28">
        <v>0</v>
      </c>
      <c r="K235" s="28">
        <v>0</v>
      </c>
      <c r="L235" s="28">
        <v>0</v>
      </c>
      <c r="M235" s="28">
        <v>0</v>
      </c>
      <c r="N235" s="28">
        <v>0</v>
      </c>
      <c r="O235" s="28">
        <v>0</v>
      </c>
      <c r="P235" s="516">
        <v>0</v>
      </c>
      <c r="Q235" s="517">
        <v>1</v>
      </c>
      <c r="R235" s="6">
        <v>0</v>
      </c>
      <c r="S235" s="369">
        <v>0</v>
      </c>
      <c r="T235" s="94"/>
      <c r="U235" s="28">
        <v>0</v>
      </c>
      <c r="V235" s="28">
        <v>0</v>
      </c>
      <c r="W235" s="28">
        <v>0</v>
      </c>
      <c r="X235" s="28">
        <v>0</v>
      </c>
      <c r="Y235" s="28">
        <v>0</v>
      </c>
      <c r="Z235" s="28">
        <v>0</v>
      </c>
      <c r="AA235" s="28">
        <v>0</v>
      </c>
      <c r="AB235" s="28">
        <v>0</v>
      </c>
      <c r="AC235" s="28">
        <v>0</v>
      </c>
      <c r="AD235" s="28">
        <v>0</v>
      </c>
      <c r="AE235" s="28">
        <v>0</v>
      </c>
      <c r="AF235" s="28">
        <v>0</v>
      </c>
      <c r="AG235" s="147"/>
      <c r="AH235" s="147"/>
      <c r="AI235" s="405">
        <v>0</v>
      </c>
      <c r="AJ235" s="460">
        <v>0</v>
      </c>
      <c r="AK235" s="417">
        <v>0</v>
      </c>
      <c r="AL235" s="405">
        <v>0</v>
      </c>
      <c r="AM235" s="147"/>
    </row>
    <row r="236" spans="1:39">
      <c r="A236" s="71">
        <v>229</v>
      </c>
      <c r="B236" s="71" t="s">
        <v>1347</v>
      </c>
      <c r="C236" s="28">
        <v>257</v>
      </c>
      <c r="D236" s="28">
        <v>0</v>
      </c>
      <c r="E236" s="28">
        <v>471</v>
      </c>
      <c r="F236" s="28">
        <v>2412</v>
      </c>
      <c r="G236" s="28">
        <v>1363</v>
      </c>
      <c r="H236" s="28">
        <v>1175</v>
      </c>
      <c r="I236" s="28">
        <v>431</v>
      </c>
      <c r="J236" s="28">
        <v>234</v>
      </c>
      <c r="K236" s="28">
        <v>54</v>
      </c>
      <c r="L236" s="28">
        <v>534</v>
      </c>
      <c r="M236" s="28">
        <v>196</v>
      </c>
      <c r="N236" s="28">
        <v>197</v>
      </c>
      <c r="O236" s="28">
        <v>3010</v>
      </c>
      <c r="P236" s="516">
        <v>5981</v>
      </c>
      <c r="Q236" s="517">
        <v>1</v>
      </c>
      <c r="R236" s="6">
        <v>9</v>
      </c>
      <c r="S236" s="369">
        <v>0.51549999999999996</v>
      </c>
      <c r="T236" s="365"/>
      <c r="U236" s="28">
        <v>3988141.35</v>
      </c>
      <c r="V236" s="28">
        <v>6327582.4099999992</v>
      </c>
      <c r="W236" s="28">
        <v>41152505.720000006</v>
      </c>
      <c r="X236" s="28">
        <v>7145343.3799999999</v>
      </c>
      <c r="Y236" s="28">
        <v>1733403.5900000003</v>
      </c>
      <c r="Z236" s="28">
        <v>4341306.87</v>
      </c>
      <c r="AA236" s="28">
        <v>3013042.65</v>
      </c>
      <c r="AB236" s="28">
        <v>4472490.92</v>
      </c>
      <c r="AC236" s="28">
        <v>7912507.9600000009</v>
      </c>
      <c r="AD236" s="28">
        <v>13344917.949999999</v>
      </c>
      <c r="AE236" s="28">
        <v>1898409.96</v>
      </c>
      <c r="AF236" s="28">
        <v>95329652.76000002</v>
      </c>
      <c r="AG236" s="147"/>
      <c r="AH236" s="147"/>
      <c r="AI236" s="405">
        <v>3010</v>
      </c>
      <c r="AJ236" s="460">
        <v>5839.5</v>
      </c>
      <c r="AK236" s="417">
        <v>0.51549999999999996</v>
      </c>
      <c r="AL236" s="405">
        <v>9</v>
      </c>
      <c r="AM236" s="147"/>
    </row>
    <row r="237" spans="1:39">
      <c r="A237" s="71">
        <v>230</v>
      </c>
      <c r="B237" s="71" t="s">
        <v>1348</v>
      </c>
      <c r="C237" s="28">
        <v>0</v>
      </c>
      <c r="D237" s="28">
        <v>0</v>
      </c>
      <c r="E237" s="28">
        <v>11</v>
      </c>
      <c r="F237" s="28">
        <v>44</v>
      </c>
      <c r="G237" s="28">
        <v>8</v>
      </c>
      <c r="H237" s="28">
        <v>0</v>
      </c>
      <c r="I237" s="28">
        <v>0</v>
      </c>
      <c r="J237" s="28">
        <v>2</v>
      </c>
      <c r="K237" s="28">
        <v>1</v>
      </c>
      <c r="L237" s="28">
        <v>1</v>
      </c>
      <c r="M237" s="28">
        <v>2</v>
      </c>
      <c r="N237" s="28">
        <v>0</v>
      </c>
      <c r="O237" s="28">
        <v>38</v>
      </c>
      <c r="P237" s="516">
        <v>63</v>
      </c>
      <c r="Q237" s="517">
        <v>1</v>
      </c>
      <c r="R237" s="6">
        <v>5</v>
      </c>
      <c r="S237" s="369">
        <v>0.2923</v>
      </c>
      <c r="T237" s="365"/>
      <c r="U237" s="28">
        <v>41011.540000000008</v>
      </c>
      <c r="V237" s="28">
        <v>63518.78</v>
      </c>
      <c r="W237" s="28">
        <v>370989.71</v>
      </c>
      <c r="X237" s="28">
        <v>77643.919999999984</v>
      </c>
      <c r="Y237" s="28">
        <v>16139.460000000001</v>
      </c>
      <c r="Z237" s="28">
        <v>36035.389999999992</v>
      </c>
      <c r="AA237" s="28">
        <v>29036.84</v>
      </c>
      <c r="AB237" s="28">
        <v>34840.76</v>
      </c>
      <c r="AC237" s="28">
        <v>73653.56</v>
      </c>
      <c r="AD237" s="28">
        <v>132050.75</v>
      </c>
      <c r="AE237" s="28">
        <v>35155.74</v>
      </c>
      <c r="AF237" s="28">
        <v>910076.45</v>
      </c>
      <c r="AG237" s="147"/>
      <c r="AH237" s="147"/>
      <c r="AI237" s="405">
        <v>38</v>
      </c>
      <c r="AJ237" s="460">
        <v>130</v>
      </c>
      <c r="AK237" s="417">
        <v>0.2923</v>
      </c>
      <c r="AL237" s="405">
        <v>5</v>
      </c>
      <c r="AM237" s="147"/>
    </row>
    <row r="238" spans="1:39">
      <c r="A238" s="71">
        <v>231</v>
      </c>
      <c r="B238" s="71" t="s">
        <v>1349</v>
      </c>
      <c r="C238" s="28">
        <v>30</v>
      </c>
      <c r="D238" s="28">
        <v>0</v>
      </c>
      <c r="E238" s="28">
        <v>164</v>
      </c>
      <c r="F238" s="28">
        <v>926</v>
      </c>
      <c r="G238" s="28">
        <v>567</v>
      </c>
      <c r="H238" s="28">
        <v>771</v>
      </c>
      <c r="I238" s="28">
        <v>40</v>
      </c>
      <c r="J238" s="28">
        <v>97</v>
      </c>
      <c r="K238" s="28">
        <v>24</v>
      </c>
      <c r="L238" s="28">
        <v>32</v>
      </c>
      <c r="M238" s="28">
        <v>7</v>
      </c>
      <c r="N238" s="28">
        <v>6</v>
      </c>
      <c r="O238" s="28">
        <v>517</v>
      </c>
      <c r="P238" s="516">
        <v>2483</v>
      </c>
      <c r="Q238" s="517">
        <v>1.0389999999999999</v>
      </c>
      <c r="R238" s="6">
        <v>4</v>
      </c>
      <c r="S238" s="369">
        <v>0.2135</v>
      </c>
      <c r="T238" s="365"/>
      <c r="U238" s="28">
        <v>1601236.1272199994</v>
      </c>
      <c r="V238" s="28">
        <v>2261124.4045699993</v>
      </c>
      <c r="W238" s="28">
        <v>13053251.930539999</v>
      </c>
      <c r="X238" s="28">
        <v>2951598.22364</v>
      </c>
      <c r="Y238" s="28">
        <v>525879.56390000007</v>
      </c>
      <c r="Z238" s="28">
        <v>1682192.1699999997</v>
      </c>
      <c r="AA238" s="28">
        <v>1123105.3668200001</v>
      </c>
      <c r="AB238" s="28">
        <v>1175198.8111599998</v>
      </c>
      <c r="AC238" s="28">
        <v>3161220.3698900002</v>
      </c>
      <c r="AD238" s="28">
        <v>4710745.9799999995</v>
      </c>
      <c r="AE238" s="28">
        <v>843737.76</v>
      </c>
      <c r="AF238" s="28">
        <v>33089290.707739998</v>
      </c>
      <c r="AG238" s="147"/>
      <c r="AH238" s="147"/>
      <c r="AI238" s="405">
        <v>517</v>
      </c>
      <c r="AJ238" s="460">
        <v>2421</v>
      </c>
      <c r="AK238" s="417">
        <v>0.2135</v>
      </c>
      <c r="AL238" s="405">
        <v>4</v>
      </c>
      <c r="AM238" s="147"/>
    </row>
    <row r="239" spans="1:39">
      <c r="A239" s="71">
        <v>232</v>
      </c>
      <c r="B239" s="71" t="s">
        <v>1350</v>
      </c>
      <c r="C239" s="28">
        <v>0</v>
      </c>
      <c r="D239" s="28">
        <v>0</v>
      </c>
      <c r="E239" s="28">
        <v>0</v>
      </c>
      <c r="F239" s="28">
        <v>0</v>
      </c>
      <c r="G239" s="28">
        <v>0</v>
      </c>
      <c r="H239" s="28">
        <v>0</v>
      </c>
      <c r="I239" s="28">
        <v>0</v>
      </c>
      <c r="J239" s="28">
        <v>0</v>
      </c>
      <c r="K239" s="28">
        <v>0</v>
      </c>
      <c r="L239" s="28">
        <v>0</v>
      </c>
      <c r="M239" s="28">
        <v>0</v>
      </c>
      <c r="N239" s="28">
        <v>0</v>
      </c>
      <c r="O239" s="28">
        <v>0</v>
      </c>
      <c r="P239" s="516">
        <v>0</v>
      </c>
      <c r="Q239" s="517">
        <v>1</v>
      </c>
      <c r="R239" s="6">
        <v>0</v>
      </c>
      <c r="S239" s="369">
        <v>0</v>
      </c>
      <c r="T239" s="94"/>
      <c r="U239" s="28">
        <v>0</v>
      </c>
      <c r="V239" s="28">
        <v>0</v>
      </c>
      <c r="W239" s="28">
        <v>0</v>
      </c>
      <c r="X239" s="28">
        <v>0</v>
      </c>
      <c r="Y239" s="28">
        <v>0</v>
      </c>
      <c r="Z239" s="28">
        <v>0</v>
      </c>
      <c r="AA239" s="28">
        <v>0</v>
      </c>
      <c r="AB239" s="28">
        <v>0</v>
      </c>
      <c r="AC239" s="28">
        <v>0</v>
      </c>
      <c r="AD239" s="28">
        <v>0</v>
      </c>
      <c r="AE239" s="28">
        <v>0</v>
      </c>
      <c r="AF239" s="28">
        <v>0</v>
      </c>
      <c r="AG239" s="147"/>
      <c r="AH239" s="147"/>
      <c r="AI239" s="405">
        <v>0</v>
      </c>
      <c r="AJ239" s="460">
        <v>0</v>
      </c>
      <c r="AK239" s="417">
        <v>0</v>
      </c>
      <c r="AL239" s="405">
        <v>0</v>
      </c>
      <c r="AM239" s="147"/>
    </row>
    <row r="240" spans="1:39">
      <c r="A240" s="71">
        <v>233</v>
      </c>
      <c r="B240" s="71" t="s">
        <v>1351</v>
      </c>
      <c r="C240" s="28">
        <v>0</v>
      </c>
      <c r="D240" s="28">
        <v>0</v>
      </c>
      <c r="E240" s="28">
        <v>0</v>
      </c>
      <c r="F240" s="28">
        <v>0</v>
      </c>
      <c r="G240" s="28">
        <v>0</v>
      </c>
      <c r="H240" s="28">
        <v>0</v>
      </c>
      <c r="I240" s="28">
        <v>8</v>
      </c>
      <c r="J240" s="28">
        <v>0</v>
      </c>
      <c r="K240" s="28">
        <v>0</v>
      </c>
      <c r="L240" s="28">
        <v>0</v>
      </c>
      <c r="M240" s="28">
        <v>0</v>
      </c>
      <c r="N240" s="28">
        <v>0</v>
      </c>
      <c r="O240" s="28">
        <v>0</v>
      </c>
      <c r="P240" s="516">
        <v>8</v>
      </c>
      <c r="Q240" s="517">
        <v>1</v>
      </c>
      <c r="R240" s="6">
        <v>0</v>
      </c>
      <c r="S240" s="369">
        <v>0</v>
      </c>
      <c r="T240" s="94"/>
      <c r="U240" s="28">
        <v>3589.2</v>
      </c>
      <c r="V240" s="28">
        <v>6482.4</v>
      </c>
      <c r="W240" s="28">
        <v>65391.44</v>
      </c>
      <c r="X240" s="28">
        <v>4568.5600000000004</v>
      </c>
      <c r="Y240" s="28">
        <v>2044.08</v>
      </c>
      <c r="Z240" s="28">
        <v>12045.84</v>
      </c>
      <c r="AA240" s="28">
        <v>3608.96</v>
      </c>
      <c r="AB240" s="28">
        <v>4861.28</v>
      </c>
      <c r="AC240" s="28">
        <v>16238</v>
      </c>
      <c r="AD240" s="28">
        <v>16052.88</v>
      </c>
      <c r="AE240" s="28">
        <v>0</v>
      </c>
      <c r="AF240" s="28">
        <v>134882.64000000001</v>
      </c>
      <c r="AG240" s="147"/>
      <c r="AH240" s="147"/>
      <c r="AI240" s="405">
        <v>0</v>
      </c>
      <c r="AJ240" s="460">
        <v>0</v>
      </c>
      <c r="AK240" s="417">
        <v>0</v>
      </c>
      <c r="AL240" s="405">
        <v>0</v>
      </c>
      <c r="AM240" s="147"/>
    </row>
    <row r="241" spans="1:39">
      <c r="A241" s="71">
        <v>234</v>
      </c>
      <c r="B241" s="71" t="s">
        <v>1352</v>
      </c>
      <c r="C241" s="28">
        <v>0</v>
      </c>
      <c r="D241" s="28">
        <v>0</v>
      </c>
      <c r="E241" s="28">
        <v>11</v>
      </c>
      <c r="F241" s="28">
        <v>68</v>
      </c>
      <c r="G241" s="28">
        <v>4</v>
      </c>
      <c r="H241" s="28">
        <v>0</v>
      </c>
      <c r="I241" s="28">
        <v>0</v>
      </c>
      <c r="J241" s="28">
        <v>3</v>
      </c>
      <c r="K241" s="28">
        <v>1</v>
      </c>
      <c r="L241" s="28">
        <v>3</v>
      </c>
      <c r="M241" s="28">
        <v>1</v>
      </c>
      <c r="N241" s="28">
        <v>0</v>
      </c>
      <c r="O241" s="28">
        <v>46</v>
      </c>
      <c r="P241" s="516">
        <v>83</v>
      </c>
      <c r="Q241" s="517">
        <v>1</v>
      </c>
      <c r="R241" s="6">
        <v>6</v>
      </c>
      <c r="S241" s="369">
        <v>0.34589999999999999</v>
      </c>
      <c r="T241" s="365"/>
      <c r="U241" s="28">
        <v>54027.489999999991</v>
      </c>
      <c r="V241" s="28">
        <v>83899.81</v>
      </c>
      <c r="W241" s="28">
        <v>497550.6100000001</v>
      </c>
      <c r="X241" s="28">
        <v>107492.29000000001</v>
      </c>
      <c r="Y241" s="28">
        <v>21466.41</v>
      </c>
      <c r="Z241" s="28">
        <v>47641.189999999995</v>
      </c>
      <c r="AA241" s="28">
        <v>38144.65</v>
      </c>
      <c r="AB241" s="28">
        <v>45886.060000000005</v>
      </c>
      <c r="AC241" s="28">
        <v>97711.66</v>
      </c>
      <c r="AD241" s="28">
        <v>175115.66999999998</v>
      </c>
      <c r="AE241" s="28">
        <v>35155.74</v>
      </c>
      <c r="AF241" s="28">
        <v>1204091.5800000003</v>
      </c>
      <c r="AG241" s="147"/>
      <c r="AH241" s="147"/>
      <c r="AI241" s="405">
        <v>46</v>
      </c>
      <c r="AJ241" s="460">
        <v>133</v>
      </c>
      <c r="AK241" s="417">
        <v>0.34589999999999999</v>
      </c>
      <c r="AL241" s="405">
        <v>6</v>
      </c>
      <c r="AM241" s="147"/>
    </row>
    <row r="242" spans="1:39">
      <c r="A242" s="71">
        <v>235</v>
      </c>
      <c r="B242" s="71" t="s">
        <v>1353</v>
      </c>
      <c r="C242" s="28">
        <v>0</v>
      </c>
      <c r="D242" s="28">
        <v>0</v>
      </c>
      <c r="E242" s="28">
        <v>0</v>
      </c>
      <c r="F242" s="28">
        <v>0</v>
      </c>
      <c r="G242" s="28">
        <v>0</v>
      </c>
      <c r="H242" s="28">
        <v>0</v>
      </c>
      <c r="I242" s="28">
        <v>0</v>
      </c>
      <c r="J242" s="28">
        <v>0</v>
      </c>
      <c r="K242" s="28">
        <v>0</v>
      </c>
      <c r="L242" s="28">
        <v>0</v>
      </c>
      <c r="M242" s="28">
        <v>0</v>
      </c>
      <c r="N242" s="28">
        <v>0</v>
      </c>
      <c r="O242" s="28">
        <v>0</v>
      </c>
      <c r="P242" s="516">
        <v>0</v>
      </c>
      <c r="Q242" s="517">
        <v>1</v>
      </c>
      <c r="R242" s="6">
        <v>0</v>
      </c>
      <c r="S242" s="369">
        <v>0</v>
      </c>
      <c r="T242" s="94"/>
      <c r="U242" s="28">
        <v>0</v>
      </c>
      <c r="V242" s="28">
        <v>0</v>
      </c>
      <c r="W242" s="28">
        <v>0</v>
      </c>
      <c r="X242" s="28">
        <v>0</v>
      </c>
      <c r="Y242" s="28">
        <v>0</v>
      </c>
      <c r="Z242" s="28">
        <v>0</v>
      </c>
      <c r="AA242" s="28">
        <v>0</v>
      </c>
      <c r="AB242" s="28">
        <v>0</v>
      </c>
      <c r="AC242" s="28">
        <v>0</v>
      </c>
      <c r="AD242" s="28">
        <v>0</v>
      </c>
      <c r="AE242" s="28">
        <v>0</v>
      </c>
      <c r="AF242" s="28">
        <v>0</v>
      </c>
      <c r="AG242" s="147"/>
      <c r="AH242" s="147"/>
      <c r="AI242" s="405">
        <v>0</v>
      </c>
      <c r="AJ242" s="460">
        <v>0</v>
      </c>
      <c r="AK242" s="417">
        <v>0</v>
      </c>
      <c r="AL242" s="405">
        <v>0</v>
      </c>
      <c r="AM242" s="147"/>
    </row>
    <row r="243" spans="1:39">
      <c r="A243" s="71">
        <v>236</v>
      </c>
      <c r="B243" s="71" t="s">
        <v>1354</v>
      </c>
      <c r="C243" s="28">
        <v>157</v>
      </c>
      <c r="D243" s="28">
        <v>0</v>
      </c>
      <c r="E243" s="28">
        <v>399</v>
      </c>
      <c r="F243" s="28">
        <v>1972</v>
      </c>
      <c r="G243" s="28">
        <v>1241</v>
      </c>
      <c r="H243" s="28">
        <v>1247</v>
      </c>
      <c r="I243" s="28">
        <v>620</v>
      </c>
      <c r="J243" s="28">
        <v>222</v>
      </c>
      <c r="K243" s="28">
        <v>49</v>
      </c>
      <c r="L243" s="28">
        <v>237</v>
      </c>
      <c r="M243" s="28">
        <v>92</v>
      </c>
      <c r="N243" s="28">
        <v>113</v>
      </c>
      <c r="O243" s="28">
        <v>3490</v>
      </c>
      <c r="P243" s="516">
        <v>5558</v>
      </c>
      <c r="Q243" s="517">
        <v>1</v>
      </c>
      <c r="R243" s="6">
        <v>11</v>
      </c>
      <c r="S243" s="369">
        <v>0.7026</v>
      </c>
      <c r="T243" s="365"/>
      <c r="U243" s="28">
        <v>3782985.97</v>
      </c>
      <c r="V243" s="28">
        <v>6342885.8699999992</v>
      </c>
      <c r="W243" s="28">
        <v>44199782.989999995</v>
      </c>
      <c r="X243" s="28">
        <v>6462501.7300000004</v>
      </c>
      <c r="Y243" s="28">
        <v>1872797.6799999997</v>
      </c>
      <c r="Z243" s="28">
        <v>4278047.62</v>
      </c>
      <c r="AA243" s="28">
        <v>3006500.12</v>
      </c>
      <c r="AB243" s="28">
        <v>5437408.2200000007</v>
      </c>
      <c r="AC243" s="28">
        <v>7448609.2199999997</v>
      </c>
      <c r="AD243" s="28">
        <v>13261523.59</v>
      </c>
      <c r="AE243" s="28">
        <v>1722631.26</v>
      </c>
      <c r="AF243" s="28">
        <v>97815674.270000011</v>
      </c>
      <c r="AG243" s="147"/>
      <c r="AH243" s="147"/>
      <c r="AI243" s="405">
        <v>3490</v>
      </c>
      <c r="AJ243" s="460">
        <v>4967</v>
      </c>
      <c r="AK243" s="417">
        <v>0.7026</v>
      </c>
      <c r="AL243" s="405">
        <v>11</v>
      </c>
      <c r="AM243" s="147"/>
    </row>
    <row r="244" spans="1:39">
      <c r="A244" s="71">
        <v>237</v>
      </c>
      <c r="B244" s="71" t="s">
        <v>1355</v>
      </c>
      <c r="C244" s="28">
        <v>0</v>
      </c>
      <c r="D244" s="28">
        <v>0</v>
      </c>
      <c r="E244" s="28">
        <v>0</v>
      </c>
      <c r="F244" s="28">
        <v>0</v>
      </c>
      <c r="G244" s="28">
        <v>0</v>
      </c>
      <c r="H244" s="28">
        <v>0</v>
      </c>
      <c r="I244" s="28">
        <v>7</v>
      </c>
      <c r="J244" s="28">
        <v>0</v>
      </c>
      <c r="K244" s="28">
        <v>0</v>
      </c>
      <c r="L244" s="28">
        <v>0</v>
      </c>
      <c r="M244" s="28">
        <v>0</v>
      </c>
      <c r="N244" s="28">
        <v>0</v>
      </c>
      <c r="O244" s="28">
        <v>0</v>
      </c>
      <c r="P244" s="516">
        <v>7</v>
      </c>
      <c r="Q244" s="517">
        <v>1</v>
      </c>
      <c r="R244" s="6">
        <v>0</v>
      </c>
      <c r="S244" s="369">
        <v>0</v>
      </c>
      <c r="T244" s="94"/>
      <c r="U244" s="28">
        <v>3140.5499999999997</v>
      </c>
      <c r="V244" s="28">
        <v>5672.0999999999995</v>
      </c>
      <c r="W244" s="28">
        <v>57217.51</v>
      </c>
      <c r="X244" s="28">
        <v>3997.4900000000002</v>
      </c>
      <c r="Y244" s="28">
        <v>1788.57</v>
      </c>
      <c r="Z244" s="28">
        <v>10540.11</v>
      </c>
      <c r="AA244" s="28">
        <v>3157.84</v>
      </c>
      <c r="AB244" s="28">
        <v>4253.62</v>
      </c>
      <c r="AC244" s="28">
        <v>14208.25</v>
      </c>
      <c r="AD244" s="28">
        <v>14046.269999999999</v>
      </c>
      <c r="AE244" s="28">
        <v>0</v>
      </c>
      <c r="AF244" s="28">
        <v>118022.31000000001</v>
      </c>
      <c r="AG244" s="147"/>
      <c r="AH244" s="147"/>
      <c r="AI244" s="405">
        <v>0</v>
      </c>
      <c r="AJ244" s="460">
        <v>0</v>
      </c>
      <c r="AK244" s="417">
        <v>0</v>
      </c>
      <c r="AL244" s="405">
        <v>0</v>
      </c>
      <c r="AM244" s="147"/>
    </row>
    <row r="245" spans="1:39">
      <c r="A245" s="71">
        <v>238</v>
      </c>
      <c r="B245" s="71" t="s">
        <v>1356</v>
      </c>
      <c r="C245" s="28">
        <v>23</v>
      </c>
      <c r="D245" s="28">
        <v>0</v>
      </c>
      <c r="E245" s="28">
        <v>99</v>
      </c>
      <c r="F245" s="28">
        <v>432</v>
      </c>
      <c r="G245" s="28">
        <v>90</v>
      </c>
      <c r="H245" s="28">
        <v>0</v>
      </c>
      <c r="I245" s="28">
        <v>0</v>
      </c>
      <c r="J245" s="28">
        <v>24</v>
      </c>
      <c r="K245" s="28">
        <v>6</v>
      </c>
      <c r="L245" s="28">
        <v>49</v>
      </c>
      <c r="M245" s="28">
        <v>1</v>
      </c>
      <c r="N245" s="28">
        <v>0</v>
      </c>
      <c r="O245" s="28">
        <v>200</v>
      </c>
      <c r="P245" s="516">
        <v>633</v>
      </c>
      <c r="Q245" s="517">
        <v>1</v>
      </c>
      <c r="R245" s="6">
        <v>6</v>
      </c>
      <c r="S245" s="369">
        <v>0.31419999999999998</v>
      </c>
      <c r="T245" s="365"/>
      <c r="U245" s="28">
        <v>400411.28999999992</v>
      </c>
      <c r="V245" s="28">
        <v>591181.01</v>
      </c>
      <c r="W245" s="28">
        <v>3296138.0400000005</v>
      </c>
      <c r="X245" s="28">
        <v>817735.22000000009</v>
      </c>
      <c r="Y245" s="28">
        <v>141365.96</v>
      </c>
      <c r="Z245" s="28">
        <v>362420.92</v>
      </c>
      <c r="AA245" s="28">
        <v>273537.22000000003</v>
      </c>
      <c r="AB245" s="28">
        <v>248274.74</v>
      </c>
      <c r="AC245" s="28">
        <v>760076.28000000014</v>
      </c>
      <c r="AD245" s="28">
        <v>1265177.17</v>
      </c>
      <c r="AE245" s="28">
        <v>210934.44</v>
      </c>
      <c r="AF245" s="28">
        <v>8367252.290000001</v>
      </c>
      <c r="AG245" s="147"/>
      <c r="AH245" s="147"/>
      <c r="AI245" s="405">
        <v>200</v>
      </c>
      <c r="AJ245" s="460">
        <v>636.5</v>
      </c>
      <c r="AK245" s="417">
        <v>0.31419999999999998</v>
      </c>
      <c r="AL245" s="405">
        <v>6</v>
      </c>
      <c r="AM245" s="147"/>
    </row>
    <row r="246" spans="1:39">
      <c r="A246" s="71">
        <v>239</v>
      </c>
      <c r="B246" s="71" t="s">
        <v>1357</v>
      </c>
      <c r="C246" s="28">
        <v>222</v>
      </c>
      <c r="D246" s="28">
        <v>0</v>
      </c>
      <c r="E246" s="28">
        <v>514</v>
      </c>
      <c r="F246" s="28">
        <v>2671</v>
      </c>
      <c r="G246" s="28">
        <v>1657</v>
      </c>
      <c r="H246" s="28">
        <v>1946</v>
      </c>
      <c r="I246" s="28">
        <v>692</v>
      </c>
      <c r="J246" s="28">
        <v>301</v>
      </c>
      <c r="K246" s="28">
        <v>68</v>
      </c>
      <c r="L246" s="28">
        <v>240</v>
      </c>
      <c r="M246" s="28">
        <v>55</v>
      </c>
      <c r="N246" s="28">
        <v>102</v>
      </c>
      <c r="O246" s="28">
        <v>2635</v>
      </c>
      <c r="P246" s="516">
        <v>7591</v>
      </c>
      <c r="Q246" s="517">
        <v>1.036</v>
      </c>
      <c r="R246" s="6">
        <v>6</v>
      </c>
      <c r="S246" s="369">
        <v>0.3569</v>
      </c>
      <c r="T246" s="365"/>
      <c r="U246" s="28">
        <v>5001058.5679599987</v>
      </c>
      <c r="V246" s="28">
        <v>7396891.0439200001</v>
      </c>
      <c r="W246" s="28">
        <v>46809132.128920004</v>
      </c>
      <c r="X246" s="28">
        <v>9054676.1667600013</v>
      </c>
      <c r="Y246" s="28">
        <v>1893596.32448</v>
      </c>
      <c r="Z246" s="28">
        <v>5632971.6500000004</v>
      </c>
      <c r="AA246" s="28">
        <v>3634306.9484399999</v>
      </c>
      <c r="AB246" s="28">
        <v>4573698.6119999997</v>
      </c>
      <c r="AC246" s="28">
        <v>10306586.502520001</v>
      </c>
      <c r="AD246" s="28">
        <v>15477302.219999999</v>
      </c>
      <c r="AE246" s="28">
        <v>2390590.3199999998</v>
      </c>
      <c r="AF246" s="28">
        <v>112170810.485</v>
      </c>
      <c r="AG246" s="147"/>
      <c r="AH246" s="147"/>
      <c r="AI246" s="405">
        <v>2635</v>
      </c>
      <c r="AJ246" s="460">
        <v>7382.5</v>
      </c>
      <c r="AK246" s="417">
        <v>0.3569</v>
      </c>
      <c r="AL246" s="405">
        <v>6</v>
      </c>
      <c r="AM246" s="147"/>
    </row>
    <row r="247" spans="1:39">
      <c r="A247" s="71">
        <v>240</v>
      </c>
      <c r="B247" s="71" t="s">
        <v>1358</v>
      </c>
      <c r="C247" s="28">
        <v>0</v>
      </c>
      <c r="D247" s="28">
        <v>0</v>
      </c>
      <c r="E247" s="28">
        <v>36</v>
      </c>
      <c r="F247" s="28">
        <v>193</v>
      </c>
      <c r="G247" s="28">
        <v>33</v>
      </c>
      <c r="H247" s="28">
        <v>0</v>
      </c>
      <c r="I247" s="28">
        <v>1</v>
      </c>
      <c r="J247" s="28">
        <v>10</v>
      </c>
      <c r="K247" s="28">
        <v>3</v>
      </c>
      <c r="L247" s="28">
        <v>3</v>
      </c>
      <c r="M247" s="28">
        <v>0</v>
      </c>
      <c r="N247" s="28">
        <v>0</v>
      </c>
      <c r="O247" s="28">
        <v>62</v>
      </c>
      <c r="P247" s="516">
        <v>263</v>
      </c>
      <c r="Q247" s="517">
        <v>1.052</v>
      </c>
      <c r="R247" s="6">
        <v>5</v>
      </c>
      <c r="S247" s="369">
        <v>0.2422</v>
      </c>
      <c r="T247" s="365"/>
      <c r="U247" s="28">
        <v>173038.38831999997</v>
      </c>
      <c r="V247" s="28">
        <v>245163.76079999996</v>
      </c>
      <c r="W247" s="28">
        <v>1327708.8122400001</v>
      </c>
      <c r="X247" s="28">
        <v>355137.05300000001</v>
      </c>
      <c r="Y247" s="28">
        <v>56227.285480000006</v>
      </c>
      <c r="Z247" s="28">
        <v>148524.91</v>
      </c>
      <c r="AA247" s="28">
        <v>114158.88459999999</v>
      </c>
      <c r="AB247" s="28">
        <v>88522.24424</v>
      </c>
      <c r="AC247" s="28">
        <v>326956.47675999999</v>
      </c>
      <c r="AD247" s="28">
        <v>504768.07999999996</v>
      </c>
      <c r="AE247" s="28">
        <v>105467.22</v>
      </c>
      <c r="AF247" s="28">
        <v>3445673.1154400003</v>
      </c>
      <c r="AG247" s="147"/>
      <c r="AH247" s="147"/>
      <c r="AI247" s="405">
        <v>62</v>
      </c>
      <c r="AJ247" s="460">
        <v>256</v>
      </c>
      <c r="AK247" s="417">
        <v>0.2422</v>
      </c>
      <c r="AL247" s="405">
        <v>5</v>
      </c>
      <c r="AM247" s="147"/>
    </row>
    <row r="248" spans="1:39">
      <c r="A248" s="71">
        <v>241</v>
      </c>
      <c r="B248" s="71" t="s">
        <v>1359</v>
      </c>
      <c r="C248" s="28">
        <v>0</v>
      </c>
      <c r="D248" s="28">
        <v>0</v>
      </c>
      <c r="E248" s="28">
        <v>0</v>
      </c>
      <c r="F248" s="28">
        <v>0</v>
      </c>
      <c r="G248" s="28">
        <v>0</v>
      </c>
      <c r="H248" s="28">
        <v>0</v>
      </c>
      <c r="I248" s="28">
        <v>0</v>
      </c>
      <c r="J248" s="28">
        <v>0</v>
      </c>
      <c r="K248" s="28">
        <v>0</v>
      </c>
      <c r="L248" s="28">
        <v>0</v>
      </c>
      <c r="M248" s="28">
        <v>0</v>
      </c>
      <c r="N248" s="28">
        <v>0</v>
      </c>
      <c r="O248" s="28">
        <v>0</v>
      </c>
      <c r="P248" s="516">
        <v>0</v>
      </c>
      <c r="Q248" s="517">
        <v>1</v>
      </c>
      <c r="R248" s="6">
        <v>0</v>
      </c>
      <c r="S248" s="369">
        <v>0</v>
      </c>
      <c r="T248" s="94"/>
      <c r="U248" s="28">
        <v>0</v>
      </c>
      <c r="V248" s="28">
        <v>0</v>
      </c>
      <c r="W248" s="28">
        <v>0</v>
      </c>
      <c r="X248" s="28">
        <v>0</v>
      </c>
      <c r="Y248" s="28">
        <v>0</v>
      </c>
      <c r="Z248" s="28">
        <v>0</v>
      </c>
      <c r="AA248" s="28">
        <v>0</v>
      </c>
      <c r="AB248" s="28">
        <v>0</v>
      </c>
      <c r="AC248" s="28">
        <v>0</v>
      </c>
      <c r="AD248" s="28">
        <v>0</v>
      </c>
      <c r="AE248" s="28">
        <v>0</v>
      </c>
      <c r="AF248" s="28">
        <v>0</v>
      </c>
      <c r="AG248" s="147"/>
      <c r="AH248" s="147"/>
      <c r="AI248" s="405">
        <v>0</v>
      </c>
      <c r="AJ248" s="460">
        <v>0</v>
      </c>
      <c r="AK248" s="417">
        <v>0</v>
      </c>
      <c r="AL248" s="405">
        <v>0</v>
      </c>
      <c r="AM248" s="147"/>
    </row>
    <row r="249" spans="1:39">
      <c r="A249" s="71">
        <v>242</v>
      </c>
      <c r="B249" s="71" t="s">
        <v>1360</v>
      </c>
      <c r="C249" s="28">
        <v>12</v>
      </c>
      <c r="D249" s="28">
        <v>0</v>
      </c>
      <c r="E249" s="28">
        <v>10</v>
      </c>
      <c r="F249" s="28">
        <v>24</v>
      </c>
      <c r="G249" s="28">
        <v>25</v>
      </c>
      <c r="H249" s="28">
        <v>22</v>
      </c>
      <c r="I249" s="28">
        <v>0</v>
      </c>
      <c r="J249" s="28">
        <v>3</v>
      </c>
      <c r="K249" s="28">
        <v>1</v>
      </c>
      <c r="L249" s="28">
        <v>14</v>
      </c>
      <c r="M249" s="28">
        <v>3</v>
      </c>
      <c r="N249" s="28">
        <v>0</v>
      </c>
      <c r="O249" s="28">
        <v>73</v>
      </c>
      <c r="P249" s="516">
        <v>87</v>
      </c>
      <c r="Q249" s="517">
        <v>1</v>
      </c>
      <c r="R249" s="6">
        <v>10</v>
      </c>
      <c r="S249" s="369">
        <v>0.57250000000000001</v>
      </c>
      <c r="T249" s="365"/>
      <c r="U249" s="28">
        <v>60992.22</v>
      </c>
      <c r="V249" s="28">
        <v>107279.55</v>
      </c>
      <c r="W249" s="28">
        <v>716634.02</v>
      </c>
      <c r="X249" s="28">
        <v>99848.689999999988</v>
      </c>
      <c r="Y249" s="28">
        <v>31536.28</v>
      </c>
      <c r="Z249" s="28">
        <v>59989.789999999994</v>
      </c>
      <c r="AA249" s="28">
        <v>49927.520000000004</v>
      </c>
      <c r="AB249" s="28">
        <v>94715.87</v>
      </c>
      <c r="AC249" s="28">
        <v>109197.92</v>
      </c>
      <c r="AD249" s="28">
        <v>215630.87999999998</v>
      </c>
      <c r="AE249" s="28">
        <v>35155.74</v>
      </c>
      <c r="AF249" s="28">
        <v>1580908.4799999997</v>
      </c>
      <c r="AG249" s="147"/>
      <c r="AH249" s="147"/>
      <c r="AI249" s="405">
        <v>73</v>
      </c>
      <c r="AJ249" s="460">
        <v>127.5</v>
      </c>
      <c r="AK249" s="417">
        <v>0.57250000000000001</v>
      </c>
      <c r="AL249" s="405">
        <v>10</v>
      </c>
      <c r="AM249" s="147"/>
    </row>
    <row r="250" spans="1:39">
      <c r="A250" s="71">
        <v>243</v>
      </c>
      <c r="B250" s="71" t="s">
        <v>1361</v>
      </c>
      <c r="C250" s="28">
        <v>303</v>
      </c>
      <c r="D250" s="28">
        <v>0</v>
      </c>
      <c r="E250" s="28">
        <v>684</v>
      </c>
      <c r="F250" s="28">
        <v>3636</v>
      </c>
      <c r="G250" s="28">
        <v>2217</v>
      </c>
      <c r="H250" s="28">
        <v>1829</v>
      </c>
      <c r="I250" s="28">
        <v>1281</v>
      </c>
      <c r="J250" s="28">
        <v>392</v>
      </c>
      <c r="K250" s="28">
        <v>84</v>
      </c>
      <c r="L250" s="28">
        <v>1095</v>
      </c>
      <c r="M250" s="28">
        <v>271</v>
      </c>
      <c r="N250" s="28">
        <v>288</v>
      </c>
      <c r="O250" s="28">
        <v>5063</v>
      </c>
      <c r="P250" s="516">
        <v>9799</v>
      </c>
      <c r="Q250" s="517">
        <v>1.05</v>
      </c>
      <c r="R250" s="6">
        <v>9</v>
      </c>
      <c r="S250" s="369">
        <v>0.52749999999999997</v>
      </c>
      <c r="T250" s="365"/>
      <c r="U250" s="28">
        <v>6898853.2514999993</v>
      </c>
      <c r="V250" s="28">
        <v>10970745.334500002</v>
      </c>
      <c r="W250" s="28">
        <v>74236901.371500015</v>
      </c>
      <c r="X250" s="28">
        <v>12216859.977</v>
      </c>
      <c r="Y250" s="28">
        <v>3086480.7960000001</v>
      </c>
      <c r="Z250" s="28">
        <v>7663689.3199999994</v>
      </c>
      <c r="AA250" s="28">
        <v>5253945.3854999999</v>
      </c>
      <c r="AB250" s="28">
        <v>8050545.7935000006</v>
      </c>
      <c r="AC250" s="28">
        <v>14283443.7585</v>
      </c>
      <c r="AD250" s="28">
        <v>22262548.709999997</v>
      </c>
      <c r="AE250" s="28">
        <v>2953082.1599999997</v>
      </c>
      <c r="AF250" s="28">
        <v>167877095.85800001</v>
      </c>
      <c r="AG250" s="147"/>
      <c r="AH250" s="147"/>
      <c r="AI250" s="405">
        <v>5063</v>
      </c>
      <c r="AJ250" s="460">
        <v>9598.5</v>
      </c>
      <c r="AK250" s="417">
        <v>0.52749999999999997</v>
      </c>
      <c r="AL250" s="405">
        <v>9</v>
      </c>
      <c r="AM250" s="147"/>
    </row>
    <row r="251" spans="1:39">
      <c r="A251" s="71">
        <v>244</v>
      </c>
      <c r="B251" s="71" t="s">
        <v>1362</v>
      </c>
      <c r="C251" s="28">
        <v>83</v>
      </c>
      <c r="D251" s="28">
        <v>0</v>
      </c>
      <c r="E251" s="28">
        <v>218</v>
      </c>
      <c r="F251" s="28">
        <v>1217</v>
      </c>
      <c r="G251" s="28">
        <v>730</v>
      </c>
      <c r="H251" s="28">
        <v>897</v>
      </c>
      <c r="I251" s="28">
        <v>1</v>
      </c>
      <c r="J251" s="28">
        <v>120</v>
      </c>
      <c r="K251" s="28">
        <v>31</v>
      </c>
      <c r="L251" s="28">
        <v>322</v>
      </c>
      <c r="M251" s="28">
        <v>85</v>
      </c>
      <c r="N251" s="28">
        <v>118</v>
      </c>
      <c r="O251" s="28">
        <v>1947</v>
      </c>
      <c r="P251" s="516">
        <v>3105</v>
      </c>
      <c r="Q251" s="517">
        <v>1.04</v>
      </c>
      <c r="R251" s="6">
        <v>10</v>
      </c>
      <c r="S251" s="369">
        <v>0.66069999999999995</v>
      </c>
      <c r="T251" s="365"/>
      <c r="U251" s="28">
        <v>2213334.7392000002</v>
      </c>
      <c r="V251" s="28">
        <v>3654413.7031999999</v>
      </c>
      <c r="W251" s="28">
        <v>23785986.172000002</v>
      </c>
      <c r="X251" s="28">
        <v>3820435.1951999995</v>
      </c>
      <c r="Y251" s="28">
        <v>1023635.2152</v>
      </c>
      <c r="Z251" s="28">
        <v>2152239.19</v>
      </c>
      <c r="AA251" s="28">
        <v>1726716.2536000002</v>
      </c>
      <c r="AB251" s="28">
        <v>2921893.4056000002</v>
      </c>
      <c r="AC251" s="28">
        <v>4068600.3176000006</v>
      </c>
      <c r="AD251" s="28">
        <v>7196385.2799999993</v>
      </c>
      <c r="AE251" s="28">
        <v>1089827.94</v>
      </c>
      <c r="AF251" s="28">
        <v>53653467.411599994</v>
      </c>
      <c r="AG251" s="147"/>
      <c r="AH251" s="147"/>
      <c r="AI251" s="405">
        <v>1947</v>
      </c>
      <c r="AJ251" s="460">
        <v>2947</v>
      </c>
      <c r="AK251" s="417">
        <v>0.66069999999999995</v>
      </c>
      <c r="AL251" s="405">
        <v>10</v>
      </c>
      <c r="AM251" s="147"/>
    </row>
    <row r="252" spans="1:39">
      <c r="A252" s="71">
        <v>245</v>
      </c>
      <c r="B252" s="71" t="s">
        <v>1363</v>
      </c>
      <c r="C252" s="28">
        <v>0</v>
      </c>
      <c r="D252" s="28">
        <v>0</v>
      </c>
      <c r="E252" s="28">
        <v>0</v>
      </c>
      <c r="F252" s="28">
        <v>0</v>
      </c>
      <c r="G252" s="28">
        <v>0</v>
      </c>
      <c r="H252" s="28">
        <v>0</v>
      </c>
      <c r="I252" s="28">
        <v>0</v>
      </c>
      <c r="J252" s="28">
        <v>0</v>
      </c>
      <c r="K252" s="28">
        <v>0</v>
      </c>
      <c r="L252" s="28">
        <v>0</v>
      </c>
      <c r="M252" s="28">
        <v>0</v>
      </c>
      <c r="N252" s="28">
        <v>0</v>
      </c>
      <c r="O252" s="28">
        <v>0</v>
      </c>
      <c r="P252" s="516">
        <v>0</v>
      </c>
      <c r="Q252" s="517">
        <v>1</v>
      </c>
      <c r="R252" s="6">
        <v>0</v>
      </c>
      <c r="S252" s="369">
        <v>0</v>
      </c>
      <c r="T252" s="94"/>
      <c r="U252" s="28">
        <v>0</v>
      </c>
      <c r="V252" s="28">
        <v>0</v>
      </c>
      <c r="W252" s="28">
        <v>0</v>
      </c>
      <c r="X252" s="28">
        <v>0</v>
      </c>
      <c r="Y252" s="28">
        <v>0</v>
      </c>
      <c r="Z252" s="28">
        <v>0</v>
      </c>
      <c r="AA252" s="28">
        <v>0</v>
      </c>
      <c r="AB252" s="28">
        <v>0</v>
      </c>
      <c r="AC252" s="28">
        <v>0</v>
      </c>
      <c r="AD252" s="28">
        <v>0</v>
      </c>
      <c r="AE252" s="28">
        <v>0</v>
      </c>
      <c r="AF252" s="28">
        <v>0</v>
      </c>
      <c r="AG252" s="147"/>
      <c r="AH252" s="147"/>
      <c r="AI252" s="405">
        <v>0</v>
      </c>
      <c r="AJ252" s="460">
        <v>0</v>
      </c>
      <c r="AK252" s="417">
        <v>0</v>
      </c>
      <c r="AL252" s="405">
        <v>0</v>
      </c>
      <c r="AM252" s="147"/>
    </row>
    <row r="253" spans="1:39">
      <c r="A253" s="71">
        <v>246</v>
      </c>
      <c r="B253" s="71" t="s">
        <v>1364</v>
      </c>
      <c r="C253" s="28">
        <v>42</v>
      </c>
      <c r="D253" s="28">
        <v>289</v>
      </c>
      <c r="E253" s="28">
        <v>8</v>
      </c>
      <c r="F253" s="28">
        <v>1487</v>
      </c>
      <c r="G253" s="28">
        <v>863</v>
      </c>
      <c r="H253" s="28">
        <v>1141</v>
      </c>
      <c r="I253" s="28">
        <v>11</v>
      </c>
      <c r="J253" s="28">
        <v>144</v>
      </c>
      <c r="K253" s="28">
        <v>36</v>
      </c>
      <c r="L253" s="28">
        <v>49</v>
      </c>
      <c r="M253" s="28">
        <v>9</v>
      </c>
      <c r="N253" s="28">
        <v>10</v>
      </c>
      <c r="O253" s="28">
        <v>457</v>
      </c>
      <c r="P253" s="516">
        <v>3676</v>
      </c>
      <c r="Q253" s="517">
        <v>1.038</v>
      </c>
      <c r="R253" s="6">
        <v>3</v>
      </c>
      <c r="S253" s="369">
        <v>0.12509999999999999</v>
      </c>
      <c r="T253" s="365"/>
      <c r="U253" s="28">
        <v>2349823.6007400001</v>
      </c>
      <c r="V253" s="28">
        <v>3242420.1766799996</v>
      </c>
      <c r="W253" s="28">
        <v>18082788.562740002</v>
      </c>
      <c r="X253" s="28">
        <v>4382020.9868400004</v>
      </c>
      <c r="Y253" s="28">
        <v>724681.08054000011</v>
      </c>
      <c r="Z253" s="28">
        <v>2436600.7099999995</v>
      </c>
      <c r="AA253" s="28">
        <v>1617892.5054000001</v>
      </c>
      <c r="AB253" s="28">
        <v>1514193.6066000001</v>
      </c>
      <c r="AC253" s="28">
        <v>4629110.7418800006</v>
      </c>
      <c r="AD253" s="28">
        <v>6795818.9800000004</v>
      </c>
      <c r="AE253" s="28">
        <v>1265606.6399999999</v>
      </c>
      <c r="AF253" s="28">
        <v>47040957.59142001</v>
      </c>
      <c r="AG253" s="147"/>
      <c r="AH253" s="147"/>
      <c r="AI253" s="405">
        <v>457</v>
      </c>
      <c r="AJ253" s="460">
        <v>3653.5</v>
      </c>
      <c r="AK253" s="417">
        <v>0.12509999999999999</v>
      </c>
      <c r="AL253" s="405">
        <v>3</v>
      </c>
      <c r="AM253" s="147"/>
    </row>
    <row r="254" spans="1:39">
      <c r="A254" s="71">
        <v>247</v>
      </c>
      <c r="B254" s="71" t="s">
        <v>1365</v>
      </c>
      <c r="C254" s="28">
        <v>0</v>
      </c>
      <c r="D254" s="28">
        <v>0</v>
      </c>
      <c r="E254" s="28">
        <v>0</v>
      </c>
      <c r="F254" s="28">
        <v>0</v>
      </c>
      <c r="G254" s="28">
        <v>0</v>
      </c>
      <c r="H254" s="28">
        <v>0</v>
      </c>
      <c r="I254" s="28">
        <v>0</v>
      </c>
      <c r="J254" s="28">
        <v>0</v>
      </c>
      <c r="K254" s="28">
        <v>0</v>
      </c>
      <c r="L254" s="28">
        <v>0</v>
      </c>
      <c r="M254" s="28">
        <v>0</v>
      </c>
      <c r="N254" s="28">
        <v>0</v>
      </c>
      <c r="O254" s="28">
        <v>0</v>
      </c>
      <c r="P254" s="516">
        <v>0</v>
      </c>
      <c r="Q254" s="517">
        <v>1</v>
      </c>
      <c r="R254" s="6">
        <v>0</v>
      </c>
      <c r="S254" s="369">
        <v>0</v>
      </c>
      <c r="T254" s="94"/>
      <c r="U254" s="28">
        <v>0</v>
      </c>
      <c r="V254" s="28">
        <v>0</v>
      </c>
      <c r="W254" s="28">
        <v>0</v>
      </c>
      <c r="X254" s="28">
        <v>0</v>
      </c>
      <c r="Y254" s="28">
        <v>0</v>
      </c>
      <c r="Z254" s="28">
        <v>0</v>
      </c>
      <c r="AA254" s="28">
        <v>0</v>
      </c>
      <c r="AB254" s="28">
        <v>0</v>
      </c>
      <c r="AC254" s="28">
        <v>0</v>
      </c>
      <c r="AD254" s="28">
        <v>0</v>
      </c>
      <c r="AE254" s="28">
        <v>0</v>
      </c>
      <c r="AF254" s="28">
        <v>0</v>
      </c>
      <c r="AG254" s="147"/>
      <c r="AH254" s="147"/>
      <c r="AI254" s="405">
        <v>0</v>
      </c>
      <c r="AJ254" s="460">
        <v>0</v>
      </c>
      <c r="AK254" s="417">
        <v>0</v>
      </c>
      <c r="AL254" s="405">
        <v>0</v>
      </c>
      <c r="AM254" s="147"/>
    </row>
    <row r="255" spans="1:39">
      <c r="A255" s="71">
        <v>248</v>
      </c>
      <c r="B255" s="71" t="s">
        <v>1366</v>
      </c>
      <c r="C255" s="28">
        <v>80</v>
      </c>
      <c r="D255" s="28">
        <v>0</v>
      </c>
      <c r="E255" s="28">
        <v>539</v>
      </c>
      <c r="F255" s="28">
        <v>3057</v>
      </c>
      <c r="G255" s="28">
        <v>1903</v>
      </c>
      <c r="H255" s="28">
        <v>2464</v>
      </c>
      <c r="I255" s="28">
        <v>7</v>
      </c>
      <c r="J255" s="28">
        <v>313</v>
      </c>
      <c r="K255" s="28">
        <v>80</v>
      </c>
      <c r="L255" s="28">
        <v>1629</v>
      </c>
      <c r="M255" s="28">
        <v>448</v>
      </c>
      <c r="N255" s="28">
        <v>539</v>
      </c>
      <c r="O255" s="28">
        <v>5748</v>
      </c>
      <c r="P255" s="516">
        <v>8010</v>
      </c>
      <c r="Q255" s="517">
        <v>1.0289999999999999</v>
      </c>
      <c r="R255" s="6">
        <v>11</v>
      </c>
      <c r="S255" s="369">
        <v>0.73370000000000002</v>
      </c>
      <c r="T255" s="365"/>
      <c r="U255" s="28">
        <v>5936809.3054199992</v>
      </c>
      <c r="V255" s="28">
        <v>10187935.434809998</v>
      </c>
      <c r="W255" s="28">
        <v>68597349.73161</v>
      </c>
      <c r="X255" s="28">
        <v>9982187.8829399999</v>
      </c>
      <c r="Y255" s="28">
        <v>2974311.0921299993</v>
      </c>
      <c r="Z255" s="28">
        <v>5830935.2699999996</v>
      </c>
      <c r="AA255" s="28">
        <v>4768325.8652400002</v>
      </c>
      <c r="AB255" s="28">
        <v>8800528.4476200007</v>
      </c>
      <c r="AC255" s="28">
        <v>10861895.428229999</v>
      </c>
      <c r="AD255" s="28">
        <v>19963670.890000001</v>
      </c>
      <c r="AE255" s="28">
        <v>2812459.1999999997</v>
      </c>
      <c r="AF255" s="28">
        <v>150716408.54799998</v>
      </c>
      <c r="AG255" s="147"/>
      <c r="AH255" s="147"/>
      <c r="AI255" s="405">
        <v>5748</v>
      </c>
      <c r="AJ255" s="460">
        <v>7834</v>
      </c>
      <c r="AK255" s="417">
        <v>0.73370000000000002</v>
      </c>
      <c r="AL255" s="405">
        <v>11</v>
      </c>
      <c r="AM255" s="147"/>
    </row>
    <row r="256" spans="1:39">
      <c r="A256" s="71">
        <v>249</v>
      </c>
      <c r="B256" s="71" t="s">
        <v>1367</v>
      </c>
      <c r="C256" s="28">
        <v>0</v>
      </c>
      <c r="D256" s="28">
        <v>0</v>
      </c>
      <c r="E256" s="28">
        <v>7</v>
      </c>
      <c r="F256" s="28">
        <v>48</v>
      </c>
      <c r="G256" s="28">
        <v>27</v>
      </c>
      <c r="H256" s="28">
        <v>32</v>
      </c>
      <c r="I256" s="28">
        <v>8</v>
      </c>
      <c r="J256" s="28">
        <v>4</v>
      </c>
      <c r="K256" s="28">
        <v>1</v>
      </c>
      <c r="L256" s="28">
        <v>0</v>
      </c>
      <c r="M256" s="28">
        <v>0</v>
      </c>
      <c r="N256" s="28">
        <v>0</v>
      </c>
      <c r="O256" s="28">
        <v>42</v>
      </c>
      <c r="P256" s="516">
        <v>122</v>
      </c>
      <c r="Q256" s="517">
        <v>1</v>
      </c>
      <c r="R256" s="6">
        <v>5</v>
      </c>
      <c r="S256" s="369">
        <v>0.27910000000000001</v>
      </c>
      <c r="T256" s="365"/>
      <c r="U256" s="28">
        <v>73590.659999999989</v>
      </c>
      <c r="V256" s="28">
        <v>111966.89999999998</v>
      </c>
      <c r="W256" s="28">
        <v>680730.22</v>
      </c>
      <c r="X256" s="28">
        <v>131991.79999999999</v>
      </c>
      <c r="Y256" s="28">
        <v>27560.799999999999</v>
      </c>
      <c r="Z256" s="28">
        <v>86348.94</v>
      </c>
      <c r="AA256" s="28">
        <v>55073.959999999992</v>
      </c>
      <c r="AB256" s="28">
        <v>66846.859999999986</v>
      </c>
      <c r="AC256" s="28">
        <v>151723.47</v>
      </c>
      <c r="AD256" s="28">
        <v>239458.04</v>
      </c>
      <c r="AE256" s="28">
        <v>35155.74</v>
      </c>
      <c r="AF256" s="28">
        <v>1660447.3899999997</v>
      </c>
      <c r="AG256" s="147"/>
      <c r="AH256" s="147"/>
      <c r="AI256" s="405">
        <v>42</v>
      </c>
      <c r="AJ256" s="460">
        <v>150.5</v>
      </c>
      <c r="AK256" s="417">
        <v>0.27910000000000001</v>
      </c>
      <c r="AL256" s="405">
        <v>5</v>
      </c>
      <c r="AM256" s="147"/>
    </row>
    <row r="257" spans="1:39">
      <c r="A257" s="71">
        <v>250</v>
      </c>
      <c r="B257" s="71" t="s">
        <v>1368</v>
      </c>
      <c r="C257" s="28">
        <v>19</v>
      </c>
      <c r="D257" s="28">
        <v>0</v>
      </c>
      <c r="E257" s="28">
        <v>62</v>
      </c>
      <c r="F257" s="28">
        <v>327</v>
      </c>
      <c r="G257" s="28">
        <v>92</v>
      </c>
      <c r="H257" s="28">
        <v>2</v>
      </c>
      <c r="I257" s="28">
        <v>7</v>
      </c>
      <c r="J257" s="28">
        <v>19</v>
      </c>
      <c r="K257" s="28">
        <v>5</v>
      </c>
      <c r="L257" s="28">
        <v>7</v>
      </c>
      <c r="M257" s="28">
        <v>0</v>
      </c>
      <c r="N257" s="28">
        <v>0</v>
      </c>
      <c r="O257" s="28">
        <v>117</v>
      </c>
      <c r="P257" s="516">
        <v>500</v>
      </c>
      <c r="Q257" s="517">
        <v>1</v>
      </c>
      <c r="R257" s="6">
        <v>5</v>
      </c>
      <c r="S257" s="369">
        <v>0.24149999999999999</v>
      </c>
      <c r="T257" s="365"/>
      <c r="U257" s="28">
        <v>309931.94999999995</v>
      </c>
      <c r="V257" s="28">
        <v>442627.00999999989</v>
      </c>
      <c r="W257" s="28">
        <v>2408402.7800000003</v>
      </c>
      <c r="X257" s="28">
        <v>630896.18000000005</v>
      </c>
      <c r="Y257" s="28">
        <v>102404.66</v>
      </c>
      <c r="Z257" s="28">
        <v>287833.75</v>
      </c>
      <c r="AA257" s="28">
        <v>207503.84000000003</v>
      </c>
      <c r="AB257" s="28">
        <v>165365.93</v>
      </c>
      <c r="AC257" s="28">
        <v>598476.16999999993</v>
      </c>
      <c r="AD257" s="28">
        <v>963725.64999999991</v>
      </c>
      <c r="AE257" s="28">
        <v>175778.69999999998</v>
      </c>
      <c r="AF257" s="28">
        <v>6292946.6200000001</v>
      </c>
      <c r="AG257" s="147"/>
      <c r="AH257" s="147"/>
      <c r="AI257" s="405">
        <v>117</v>
      </c>
      <c r="AJ257" s="460">
        <v>484.5</v>
      </c>
      <c r="AK257" s="417">
        <v>0.24149999999999999</v>
      </c>
      <c r="AL257" s="405">
        <v>5</v>
      </c>
      <c r="AM257" s="147"/>
    </row>
    <row r="258" spans="1:39">
      <c r="A258" s="71">
        <v>251</v>
      </c>
      <c r="B258" s="71" t="s">
        <v>1369</v>
      </c>
      <c r="C258" s="28">
        <v>63</v>
      </c>
      <c r="D258" s="28">
        <v>0</v>
      </c>
      <c r="E258" s="28">
        <v>164</v>
      </c>
      <c r="F258" s="28">
        <v>841</v>
      </c>
      <c r="G258" s="28">
        <v>547</v>
      </c>
      <c r="H258" s="28">
        <v>590</v>
      </c>
      <c r="I258" s="28">
        <v>12</v>
      </c>
      <c r="J258" s="28">
        <v>85</v>
      </c>
      <c r="K258" s="28">
        <v>21</v>
      </c>
      <c r="L258" s="28">
        <v>165</v>
      </c>
      <c r="M258" s="28">
        <v>43</v>
      </c>
      <c r="N258" s="28">
        <v>46</v>
      </c>
      <c r="O258" s="28">
        <v>1130</v>
      </c>
      <c r="P258" s="516">
        <v>2186</v>
      </c>
      <c r="Q258" s="517">
        <v>1.0609999999999999</v>
      </c>
      <c r="R258" s="6">
        <v>9</v>
      </c>
      <c r="S258" s="369">
        <v>0.51129999999999998</v>
      </c>
      <c r="T258" s="365"/>
      <c r="U258" s="28">
        <v>1541860.8497499996</v>
      </c>
      <c r="V258" s="28">
        <v>2448463.8751099999</v>
      </c>
      <c r="W258" s="28">
        <v>15428594.438520001</v>
      </c>
      <c r="X258" s="28">
        <v>2726756.2069999999</v>
      </c>
      <c r="Y258" s="28">
        <v>658165.58891999989</v>
      </c>
      <c r="Z258" s="28">
        <v>1485638.8700000003</v>
      </c>
      <c r="AA258" s="28">
        <v>1168390.25027</v>
      </c>
      <c r="AB258" s="28">
        <v>1773386.0416799998</v>
      </c>
      <c r="AC258" s="28">
        <v>2893539.9428499993</v>
      </c>
      <c r="AD258" s="28">
        <v>4802824.05</v>
      </c>
      <c r="AE258" s="28">
        <v>738270.53999999992</v>
      </c>
      <c r="AF258" s="28">
        <v>35665890.654100001</v>
      </c>
      <c r="AG258" s="147"/>
      <c r="AH258" s="147"/>
      <c r="AI258" s="405">
        <v>1130</v>
      </c>
      <c r="AJ258" s="460">
        <v>2210</v>
      </c>
      <c r="AK258" s="417">
        <v>0.51129999999999998</v>
      </c>
      <c r="AL258" s="405">
        <v>9</v>
      </c>
      <c r="AM258" s="147"/>
    </row>
    <row r="259" spans="1:39">
      <c r="A259" s="71">
        <v>252</v>
      </c>
      <c r="B259" s="71" t="s">
        <v>1370</v>
      </c>
      <c r="C259" s="28">
        <v>21</v>
      </c>
      <c r="D259" s="28">
        <v>0</v>
      </c>
      <c r="E259" s="28">
        <v>32</v>
      </c>
      <c r="F259" s="28">
        <v>186</v>
      </c>
      <c r="G259" s="28">
        <v>147</v>
      </c>
      <c r="H259" s="28">
        <v>179</v>
      </c>
      <c r="I259" s="28">
        <v>0</v>
      </c>
      <c r="J259" s="28">
        <v>21</v>
      </c>
      <c r="K259" s="28">
        <v>5</v>
      </c>
      <c r="L259" s="28">
        <v>2</v>
      </c>
      <c r="M259" s="28">
        <v>0</v>
      </c>
      <c r="N259" s="28">
        <v>1</v>
      </c>
      <c r="O259" s="28">
        <v>196</v>
      </c>
      <c r="P259" s="516">
        <v>555</v>
      </c>
      <c r="Q259" s="517">
        <v>1.0309999999999999</v>
      </c>
      <c r="R259" s="6">
        <v>5</v>
      </c>
      <c r="S259" s="369">
        <v>0.29670000000000002</v>
      </c>
      <c r="T259" s="365"/>
      <c r="U259" s="28">
        <v>356289.24777999992</v>
      </c>
      <c r="V259" s="28">
        <v>526947.40950999991</v>
      </c>
      <c r="W259" s="28">
        <v>3099546.1489200001</v>
      </c>
      <c r="X259" s="28">
        <v>641319.78615000006</v>
      </c>
      <c r="Y259" s="28">
        <v>128041.78703999998</v>
      </c>
      <c r="Z259" s="28">
        <v>369859.20999999996</v>
      </c>
      <c r="AA259" s="28">
        <v>259532.10411999997</v>
      </c>
      <c r="AB259" s="28">
        <v>317384.64835999999</v>
      </c>
      <c r="AC259" s="28">
        <v>688693.55568999983</v>
      </c>
      <c r="AD259" s="28">
        <v>1089411.72</v>
      </c>
      <c r="AE259" s="28">
        <v>175778.69999999998</v>
      </c>
      <c r="AF259" s="28">
        <v>7652804.31757</v>
      </c>
      <c r="AG259" s="147"/>
      <c r="AH259" s="147"/>
      <c r="AI259" s="405">
        <v>196</v>
      </c>
      <c r="AJ259" s="460">
        <v>660.5</v>
      </c>
      <c r="AK259" s="417">
        <v>0.29670000000000002</v>
      </c>
      <c r="AL259" s="405">
        <v>5</v>
      </c>
      <c r="AM259" s="147"/>
    </row>
    <row r="260" spans="1:39">
      <c r="A260" s="71">
        <v>253</v>
      </c>
      <c r="B260" s="71" t="s">
        <v>1371</v>
      </c>
      <c r="C260" s="28">
        <v>6</v>
      </c>
      <c r="D260" s="28">
        <v>0</v>
      </c>
      <c r="E260" s="28">
        <v>2</v>
      </c>
      <c r="F260" s="28">
        <v>13</v>
      </c>
      <c r="G260" s="28">
        <v>9</v>
      </c>
      <c r="H260" s="28">
        <v>10</v>
      </c>
      <c r="I260" s="28">
        <v>8</v>
      </c>
      <c r="J260" s="28">
        <v>1</v>
      </c>
      <c r="K260" s="28">
        <v>0</v>
      </c>
      <c r="L260" s="28">
        <v>0</v>
      </c>
      <c r="M260" s="28">
        <v>0</v>
      </c>
      <c r="N260" s="28">
        <v>0</v>
      </c>
      <c r="O260" s="28">
        <v>34</v>
      </c>
      <c r="P260" s="516">
        <v>45</v>
      </c>
      <c r="Q260" s="517">
        <v>1</v>
      </c>
      <c r="R260" s="6">
        <v>10</v>
      </c>
      <c r="S260" s="369">
        <v>0.58620000000000005</v>
      </c>
      <c r="T260" s="365"/>
      <c r="U260" s="28">
        <v>26572.81</v>
      </c>
      <c r="V260" s="28">
        <v>52038.840000000004</v>
      </c>
      <c r="W260" s="28">
        <v>372039.65</v>
      </c>
      <c r="X260" s="28">
        <v>43145.700000000004</v>
      </c>
      <c r="Y260" s="28">
        <v>15539.56</v>
      </c>
      <c r="Z260" s="28">
        <v>36730.78</v>
      </c>
      <c r="AA260" s="28">
        <v>24766.260000000002</v>
      </c>
      <c r="AB260" s="28">
        <v>47936.7</v>
      </c>
      <c r="AC260" s="28">
        <v>59179.979999999996</v>
      </c>
      <c r="AD260" s="28">
        <v>106293</v>
      </c>
      <c r="AE260" s="28">
        <v>0</v>
      </c>
      <c r="AF260" s="28">
        <v>784243.28</v>
      </c>
      <c r="AG260" s="147"/>
      <c r="AH260" s="147"/>
      <c r="AI260" s="405">
        <v>34</v>
      </c>
      <c r="AJ260" s="460">
        <v>58</v>
      </c>
      <c r="AK260" s="417">
        <v>0.58620000000000005</v>
      </c>
      <c r="AL260" s="405">
        <v>10</v>
      </c>
      <c r="AM260" s="147"/>
    </row>
    <row r="261" spans="1:39">
      <c r="A261" s="71">
        <v>254</v>
      </c>
      <c r="B261" s="71" t="s">
        <v>1372</v>
      </c>
      <c r="C261" s="28">
        <v>0</v>
      </c>
      <c r="D261" s="28">
        <v>0</v>
      </c>
      <c r="E261" s="28">
        <v>0</v>
      </c>
      <c r="F261" s="28">
        <v>0</v>
      </c>
      <c r="G261" s="28">
        <v>0</v>
      </c>
      <c r="H261" s="28">
        <v>0</v>
      </c>
      <c r="I261" s="28">
        <v>5</v>
      </c>
      <c r="J261" s="28">
        <v>0</v>
      </c>
      <c r="K261" s="28">
        <v>0</v>
      </c>
      <c r="L261" s="28">
        <v>0</v>
      </c>
      <c r="M261" s="28">
        <v>0</v>
      </c>
      <c r="N261" s="28">
        <v>0</v>
      </c>
      <c r="O261" s="28">
        <v>0</v>
      </c>
      <c r="P261" s="516">
        <v>5</v>
      </c>
      <c r="Q261" s="517">
        <v>1.038</v>
      </c>
      <c r="R261" s="6">
        <v>0</v>
      </c>
      <c r="S261" s="369">
        <v>0</v>
      </c>
      <c r="T261" s="94"/>
      <c r="U261" s="28">
        <v>2328.4935</v>
      </c>
      <c r="V261" s="28">
        <v>4205.4570000000003</v>
      </c>
      <c r="W261" s="28">
        <v>42422.6967</v>
      </c>
      <c r="X261" s="28">
        <v>2963.8533000000007</v>
      </c>
      <c r="Y261" s="28">
        <v>1326.0969</v>
      </c>
      <c r="Z261" s="28">
        <v>7528.65</v>
      </c>
      <c r="AA261" s="28">
        <v>2341.3128000000002</v>
      </c>
      <c r="AB261" s="28">
        <v>3153.7554</v>
      </c>
      <c r="AC261" s="28">
        <v>10534.4025</v>
      </c>
      <c r="AD261" s="28">
        <v>10033.049999999999</v>
      </c>
      <c r="AE261" s="28">
        <v>0</v>
      </c>
      <c r="AF261" s="28">
        <v>86837.768100000001</v>
      </c>
      <c r="AG261" s="147"/>
      <c r="AH261" s="147"/>
      <c r="AI261" s="405">
        <v>0</v>
      </c>
      <c r="AJ261" s="460">
        <v>0</v>
      </c>
      <c r="AK261" s="417">
        <v>0</v>
      </c>
      <c r="AL261" s="405">
        <v>0</v>
      </c>
      <c r="AM261" s="147"/>
    </row>
    <row r="262" spans="1:39">
      <c r="A262" s="71">
        <v>255</v>
      </c>
      <c r="B262" s="71" t="s">
        <v>1373</v>
      </c>
      <c r="C262" s="28">
        <v>0</v>
      </c>
      <c r="D262" s="28">
        <v>0</v>
      </c>
      <c r="E262" s="28">
        <v>0</v>
      </c>
      <c r="F262" s="28">
        <v>0</v>
      </c>
      <c r="G262" s="28">
        <v>0</v>
      </c>
      <c r="H262" s="28">
        <v>0</v>
      </c>
      <c r="I262" s="28">
        <v>0</v>
      </c>
      <c r="J262" s="28">
        <v>0</v>
      </c>
      <c r="K262" s="28">
        <v>0</v>
      </c>
      <c r="L262" s="28">
        <v>0</v>
      </c>
      <c r="M262" s="28">
        <v>0</v>
      </c>
      <c r="N262" s="28">
        <v>0</v>
      </c>
      <c r="O262" s="28">
        <v>0</v>
      </c>
      <c r="P262" s="516">
        <v>0</v>
      </c>
      <c r="Q262" s="517">
        <v>1</v>
      </c>
      <c r="R262" s="6">
        <v>0</v>
      </c>
      <c r="S262" s="369">
        <v>0</v>
      </c>
      <c r="T262" s="94"/>
      <c r="U262" s="28">
        <v>0</v>
      </c>
      <c r="V262" s="28">
        <v>0</v>
      </c>
      <c r="W262" s="28">
        <v>0</v>
      </c>
      <c r="X262" s="28">
        <v>0</v>
      </c>
      <c r="Y262" s="28">
        <v>0</v>
      </c>
      <c r="Z262" s="28">
        <v>0</v>
      </c>
      <c r="AA262" s="28">
        <v>0</v>
      </c>
      <c r="AB262" s="28">
        <v>0</v>
      </c>
      <c r="AC262" s="28">
        <v>0</v>
      </c>
      <c r="AD262" s="28">
        <v>0</v>
      </c>
      <c r="AE262" s="28">
        <v>0</v>
      </c>
      <c r="AF262" s="28">
        <v>0</v>
      </c>
      <c r="AG262" s="147"/>
      <c r="AH262" s="147"/>
      <c r="AI262" s="405">
        <v>0</v>
      </c>
      <c r="AJ262" s="460">
        <v>0</v>
      </c>
      <c r="AK262" s="417">
        <v>0</v>
      </c>
      <c r="AL262" s="405">
        <v>0</v>
      </c>
      <c r="AM262" s="147"/>
    </row>
    <row r="263" spans="1:39">
      <c r="A263" s="71">
        <v>256</v>
      </c>
      <c r="B263" s="71" t="s">
        <v>1374</v>
      </c>
      <c r="C263" s="28">
        <v>0</v>
      </c>
      <c r="D263" s="28">
        <v>0</v>
      </c>
      <c r="E263" s="28">
        <v>0</v>
      </c>
      <c r="F263" s="28">
        <v>0</v>
      </c>
      <c r="G263" s="28">
        <v>0</v>
      </c>
      <c r="H263" s="28">
        <v>0</v>
      </c>
      <c r="I263" s="28">
        <v>14</v>
      </c>
      <c r="J263" s="28">
        <v>1</v>
      </c>
      <c r="K263" s="28">
        <v>0</v>
      </c>
      <c r="L263" s="28">
        <v>0</v>
      </c>
      <c r="M263" s="28">
        <v>0</v>
      </c>
      <c r="N263" s="28">
        <v>0</v>
      </c>
      <c r="O263" s="28">
        <v>0</v>
      </c>
      <c r="P263" s="516">
        <v>14</v>
      </c>
      <c r="Q263" s="517">
        <v>1</v>
      </c>
      <c r="R263" s="6">
        <v>0</v>
      </c>
      <c r="S263" s="369">
        <v>0</v>
      </c>
      <c r="T263" s="94"/>
      <c r="U263" s="28">
        <v>9377.5099999999984</v>
      </c>
      <c r="V263" s="28">
        <v>11344.199999999999</v>
      </c>
      <c r="W263" s="28">
        <v>124652.40000000001</v>
      </c>
      <c r="X263" s="28">
        <v>17534.8</v>
      </c>
      <c r="Y263" s="28">
        <v>4070.02</v>
      </c>
      <c r="Z263" s="28">
        <v>21510.420000000002</v>
      </c>
      <c r="AA263" s="28">
        <v>6315.68</v>
      </c>
      <c r="AB263" s="28">
        <v>8507.24</v>
      </c>
      <c r="AC263" s="28">
        <v>31875.33</v>
      </c>
      <c r="AD263" s="28">
        <v>32190.639999999999</v>
      </c>
      <c r="AE263" s="28">
        <v>0</v>
      </c>
      <c r="AF263" s="28">
        <v>267378.24</v>
      </c>
      <c r="AG263" s="147"/>
      <c r="AH263" s="147"/>
      <c r="AI263" s="405">
        <v>0</v>
      </c>
      <c r="AJ263" s="460">
        <v>0</v>
      </c>
      <c r="AK263" s="417">
        <v>0</v>
      </c>
      <c r="AL263" s="405">
        <v>0</v>
      </c>
      <c r="AM263" s="147"/>
    </row>
    <row r="264" spans="1:39">
      <c r="A264" s="71">
        <v>257</v>
      </c>
      <c r="B264" s="71" t="s">
        <v>1375</v>
      </c>
      <c r="C264" s="28">
        <v>0</v>
      </c>
      <c r="D264" s="28">
        <v>0</v>
      </c>
      <c r="E264" s="28">
        <v>0</v>
      </c>
      <c r="F264" s="28">
        <v>0</v>
      </c>
      <c r="G264" s="28">
        <v>0</v>
      </c>
      <c r="H264" s="28">
        <v>0</v>
      </c>
      <c r="I264" s="28">
        <v>0</v>
      </c>
      <c r="J264" s="28">
        <v>0</v>
      </c>
      <c r="K264" s="28">
        <v>0</v>
      </c>
      <c r="L264" s="28">
        <v>0</v>
      </c>
      <c r="M264" s="28">
        <v>0</v>
      </c>
      <c r="N264" s="28">
        <v>0</v>
      </c>
      <c r="O264" s="28">
        <v>0</v>
      </c>
      <c r="P264" s="516">
        <v>0</v>
      </c>
      <c r="Q264" s="517">
        <v>1</v>
      </c>
      <c r="R264" s="6">
        <v>0</v>
      </c>
      <c r="S264" s="369">
        <v>0</v>
      </c>
      <c r="T264" s="94"/>
      <c r="U264" s="28">
        <v>0</v>
      </c>
      <c r="V264" s="28">
        <v>0</v>
      </c>
      <c r="W264" s="28">
        <v>0</v>
      </c>
      <c r="X264" s="28">
        <v>0</v>
      </c>
      <c r="Y264" s="28">
        <v>0</v>
      </c>
      <c r="Z264" s="28">
        <v>0</v>
      </c>
      <c r="AA264" s="28">
        <v>0</v>
      </c>
      <c r="AB264" s="28">
        <v>0</v>
      </c>
      <c r="AC264" s="28">
        <v>0</v>
      </c>
      <c r="AD264" s="28">
        <v>0</v>
      </c>
      <c r="AE264" s="28">
        <v>0</v>
      </c>
      <c r="AF264" s="28">
        <v>0</v>
      </c>
      <c r="AG264" s="147"/>
      <c r="AH264" s="147"/>
      <c r="AI264" s="405">
        <v>0</v>
      </c>
      <c r="AJ264" s="460">
        <v>0</v>
      </c>
      <c r="AK264" s="417">
        <v>0</v>
      </c>
      <c r="AL264" s="405">
        <v>0</v>
      </c>
      <c r="AM264" s="147"/>
    </row>
    <row r="265" spans="1:39">
      <c r="A265" s="71">
        <v>258</v>
      </c>
      <c r="B265" s="71" t="s">
        <v>1376</v>
      </c>
      <c r="C265" s="28">
        <v>180</v>
      </c>
      <c r="D265" s="28">
        <v>0</v>
      </c>
      <c r="E265" s="28">
        <v>310</v>
      </c>
      <c r="F265" s="28">
        <v>1575</v>
      </c>
      <c r="G265" s="28">
        <v>1004</v>
      </c>
      <c r="H265" s="28">
        <v>825</v>
      </c>
      <c r="I265" s="28">
        <v>486</v>
      </c>
      <c r="J265" s="28">
        <v>170</v>
      </c>
      <c r="K265" s="28">
        <v>37</v>
      </c>
      <c r="L265" s="28">
        <v>449</v>
      </c>
      <c r="M265" s="28">
        <v>158</v>
      </c>
      <c r="N265" s="28">
        <v>169</v>
      </c>
      <c r="O265" s="28">
        <v>2761</v>
      </c>
      <c r="P265" s="516">
        <v>4290</v>
      </c>
      <c r="Q265" s="517">
        <v>1</v>
      </c>
      <c r="R265" s="6">
        <v>10</v>
      </c>
      <c r="S265" s="369">
        <v>0.65549999999999997</v>
      </c>
      <c r="T265" s="365"/>
      <c r="U265" s="28">
        <v>2945021.8499999996</v>
      </c>
      <c r="V265" s="28">
        <v>4898469.55</v>
      </c>
      <c r="W265" s="28">
        <v>33746069.790000007</v>
      </c>
      <c r="X265" s="28">
        <v>5100781.96</v>
      </c>
      <c r="Y265" s="28">
        <v>1429864.5399999998</v>
      </c>
      <c r="Z265" s="28">
        <v>3321080.1000000006</v>
      </c>
      <c r="AA265" s="28">
        <v>2316523.6800000002</v>
      </c>
      <c r="AB265" s="28">
        <v>3978779.6900000004</v>
      </c>
      <c r="AC265" s="28">
        <v>5899803.1500000004</v>
      </c>
      <c r="AD265" s="28">
        <v>10253811.690000001</v>
      </c>
      <c r="AE265" s="28">
        <v>1300762.3799999999</v>
      </c>
      <c r="AF265" s="28">
        <v>75190968.379999995</v>
      </c>
      <c r="AG265" s="147"/>
      <c r="AH265" s="147"/>
      <c r="AI265" s="405">
        <v>2761</v>
      </c>
      <c r="AJ265" s="460">
        <v>4212</v>
      </c>
      <c r="AK265" s="417">
        <v>0.65549999999999997</v>
      </c>
      <c r="AL265" s="405">
        <v>10</v>
      </c>
      <c r="AM265" s="147"/>
    </row>
    <row r="266" spans="1:39">
      <c r="A266" s="71">
        <v>259</v>
      </c>
      <c r="B266" s="71" t="s">
        <v>1377</v>
      </c>
      <c r="C266" s="28">
        <v>0</v>
      </c>
      <c r="D266" s="28">
        <v>0</v>
      </c>
      <c r="E266" s="28">
        <v>0</v>
      </c>
      <c r="F266" s="28">
        <v>0</v>
      </c>
      <c r="G266" s="28">
        <v>0</v>
      </c>
      <c r="H266" s="28">
        <v>0</v>
      </c>
      <c r="I266" s="28">
        <v>3</v>
      </c>
      <c r="J266" s="28">
        <v>0</v>
      </c>
      <c r="K266" s="28">
        <v>0</v>
      </c>
      <c r="L266" s="28">
        <v>0</v>
      </c>
      <c r="M266" s="28">
        <v>0</v>
      </c>
      <c r="N266" s="28">
        <v>0</v>
      </c>
      <c r="O266" s="28">
        <v>0</v>
      </c>
      <c r="P266" s="516">
        <v>3</v>
      </c>
      <c r="Q266" s="517">
        <v>1</v>
      </c>
      <c r="R266" s="6">
        <v>0</v>
      </c>
      <c r="S266" s="369">
        <v>0</v>
      </c>
      <c r="T266" s="94"/>
      <c r="U266" s="28">
        <v>1345.9499999999998</v>
      </c>
      <c r="V266" s="28">
        <v>2430.8999999999996</v>
      </c>
      <c r="W266" s="28">
        <v>24521.79</v>
      </c>
      <c r="X266" s="28">
        <v>1713.21</v>
      </c>
      <c r="Y266" s="28">
        <v>766.53</v>
      </c>
      <c r="Z266" s="28">
        <v>4517.1900000000005</v>
      </c>
      <c r="AA266" s="28">
        <v>1353.3600000000001</v>
      </c>
      <c r="AB266" s="28">
        <v>1822.98</v>
      </c>
      <c r="AC266" s="28">
        <v>6089.25</v>
      </c>
      <c r="AD266" s="28">
        <v>6019.83</v>
      </c>
      <c r="AE266" s="28">
        <v>0</v>
      </c>
      <c r="AF266" s="28">
        <v>50580.990000000005</v>
      </c>
      <c r="AG266" s="147"/>
      <c r="AH266" s="147"/>
      <c r="AI266" s="405">
        <v>0</v>
      </c>
      <c r="AJ266" s="460">
        <v>0</v>
      </c>
      <c r="AK266" s="417">
        <v>0</v>
      </c>
      <c r="AL266" s="405">
        <v>0</v>
      </c>
      <c r="AM266" s="147"/>
    </row>
    <row r="267" spans="1:39">
      <c r="A267" s="71">
        <v>260</v>
      </c>
      <c r="B267" s="71" t="s">
        <v>1378</v>
      </c>
      <c r="C267" s="28">
        <v>0</v>
      </c>
      <c r="D267" s="28">
        <v>0</v>
      </c>
      <c r="E267" s="28">
        <v>0</v>
      </c>
      <c r="F267" s="28">
        <v>0</v>
      </c>
      <c r="G267" s="28">
        <v>0</v>
      </c>
      <c r="H267" s="28">
        <v>0</v>
      </c>
      <c r="I267" s="28">
        <v>0</v>
      </c>
      <c r="J267" s="28">
        <v>0</v>
      </c>
      <c r="K267" s="28">
        <v>0</v>
      </c>
      <c r="L267" s="28">
        <v>0</v>
      </c>
      <c r="M267" s="28">
        <v>0</v>
      </c>
      <c r="N267" s="28">
        <v>0</v>
      </c>
      <c r="O267" s="28">
        <v>0</v>
      </c>
      <c r="P267" s="516">
        <v>0</v>
      </c>
      <c r="Q267" s="517">
        <v>1</v>
      </c>
      <c r="R267" s="6">
        <v>0</v>
      </c>
      <c r="S267" s="369">
        <v>0</v>
      </c>
      <c r="T267" s="94"/>
      <c r="U267" s="28">
        <v>0</v>
      </c>
      <c r="V267" s="28">
        <v>0</v>
      </c>
      <c r="W267" s="28">
        <v>0</v>
      </c>
      <c r="X267" s="28">
        <v>0</v>
      </c>
      <c r="Y267" s="28">
        <v>0</v>
      </c>
      <c r="Z267" s="28">
        <v>0</v>
      </c>
      <c r="AA267" s="28">
        <v>0</v>
      </c>
      <c r="AB267" s="28">
        <v>0</v>
      </c>
      <c r="AC267" s="28">
        <v>0</v>
      </c>
      <c r="AD267" s="28">
        <v>0</v>
      </c>
      <c r="AE267" s="28">
        <v>0</v>
      </c>
      <c r="AF267" s="28">
        <v>0</v>
      </c>
      <c r="AG267" s="147"/>
      <c r="AH267" s="147"/>
      <c r="AI267" s="405">
        <v>0</v>
      </c>
      <c r="AJ267" s="460">
        <v>0</v>
      </c>
      <c r="AK267" s="417">
        <v>0</v>
      </c>
      <c r="AL267" s="405">
        <v>0</v>
      </c>
      <c r="AM267" s="147"/>
    </row>
    <row r="268" spans="1:39">
      <c r="A268" s="71">
        <v>261</v>
      </c>
      <c r="B268" s="71" t="s">
        <v>1379</v>
      </c>
      <c r="C268" s="28">
        <v>87</v>
      </c>
      <c r="D268" s="28">
        <v>0</v>
      </c>
      <c r="E268" s="28">
        <v>140</v>
      </c>
      <c r="F268" s="28">
        <v>795</v>
      </c>
      <c r="G268" s="28">
        <v>552</v>
      </c>
      <c r="H268" s="28">
        <v>696</v>
      </c>
      <c r="I268" s="28">
        <v>0</v>
      </c>
      <c r="J268" s="28">
        <v>86</v>
      </c>
      <c r="K268" s="28">
        <v>22</v>
      </c>
      <c r="L268" s="28">
        <v>27</v>
      </c>
      <c r="M268" s="28">
        <v>12</v>
      </c>
      <c r="N268" s="28">
        <v>11</v>
      </c>
      <c r="O268" s="28">
        <v>634</v>
      </c>
      <c r="P268" s="516">
        <v>2227</v>
      </c>
      <c r="Q268" s="517">
        <v>1</v>
      </c>
      <c r="R268" s="6">
        <v>5</v>
      </c>
      <c r="S268" s="369">
        <v>0.28179999999999999</v>
      </c>
      <c r="T268" s="365"/>
      <c r="U268" s="28">
        <v>1394252.4499999997</v>
      </c>
      <c r="V268" s="28">
        <v>2012207.2299999995</v>
      </c>
      <c r="W268" s="28">
        <v>11668633.050000001</v>
      </c>
      <c r="X268" s="28">
        <v>2540416.6199999996</v>
      </c>
      <c r="Y268" s="28">
        <v>478440.37</v>
      </c>
      <c r="Z268" s="28">
        <v>1480536.8499999999</v>
      </c>
      <c r="AA268" s="28">
        <v>992410.09000000008</v>
      </c>
      <c r="AB268" s="28">
        <v>1124334.5799999998</v>
      </c>
      <c r="AC268" s="28">
        <v>2696701.0700000003</v>
      </c>
      <c r="AD268" s="28">
        <v>4312075.16</v>
      </c>
      <c r="AE268" s="28">
        <v>773426.27999999991</v>
      </c>
      <c r="AF268" s="28">
        <v>29473433.750000004</v>
      </c>
      <c r="AG268" s="147"/>
      <c r="AH268" s="147"/>
      <c r="AI268" s="405">
        <v>634</v>
      </c>
      <c r="AJ268" s="460">
        <v>2250</v>
      </c>
      <c r="AK268" s="417">
        <v>0.28179999999999999</v>
      </c>
      <c r="AL268" s="405">
        <v>5</v>
      </c>
      <c r="AM268" s="147"/>
    </row>
    <row r="269" spans="1:39">
      <c r="A269" s="71">
        <v>262</v>
      </c>
      <c r="B269" s="71" t="s">
        <v>1380</v>
      </c>
      <c r="C269" s="28">
        <v>92</v>
      </c>
      <c r="D269" s="28">
        <v>0</v>
      </c>
      <c r="E269" s="28">
        <v>186</v>
      </c>
      <c r="F269" s="28">
        <v>1133</v>
      </c>
      <c r="G269" s="28">
        <v>716</v>
      </c>
      <c r="H269" s="28">
        <v>877</v>
      </c>
      <c r="I269" s="28">
        <v>19</v>
      </c>
      <c r="J269" s="28">
        <v>115</v>
      </c>
      <c r="K269" s="28">
        <v>29</v>
      </c>
      <c r="L269" s="28">
        <v>245</v>
      </c>
      <c r="M269" s="28">
        <v>55</v>
      </c>
      <c r="N269" s="28">
        <v>76</v>
      </c>
      <c r="O269" s="28">
        <v>1503</v>
      </c>
      <c r="P269" s="516">
        <v>2977</v>
      </c>
      <c r="Q269" s="517">
        <v>1</v>
      </c>
      <c r="R269" s="6">
        <v>9</v>
      </c>
      <c r="S269" s="369">
        <v>0.5252</v>
      </c>
      <c r="T269" s="365"/>
      <c r="U269" s="28">
        <v>1978776.33</v>
      </c>
      <c r="V269" s="28">
        <v>3134030.4700000007</v>
      </c>
      <c r="W269" s="28">
        <v>19795912.129999999</v>
      </c>
      <c r="X269" s="28">
        <v>3478190.2700000005</v>
      </c>
      <c r="Y269" s="28">
        <v>839459.39000000013</v>
      </c>
      <c r="Z269" s="28">
        <v>2052834.1900000002</v>
      </c>
      <c r="AA269" s="28">
        <v>1501159.5400000003</v>
      </c>
      <c r="AB269" s="28">
        <v>2278425.5499999998</v>
      </c>
      <c r="AC269" s="28">
        <v>3726694.68</v>
      </c>
      <c r="AD269" s="28">
        <v>6514898.7899999991</v>
      </c>
      <c r="AE269" s="28">
        <v>1019516.46</v>
      </c>
      <c r="AF269" s="28">
        <v>46319897.799999997</v>
      </c>
      <c r="AG269" s="147"/>
      <c r="AH269" s="147"/>
      <c r="AI269" s="405">
        <v>1503</v>
      </c>
      <c r="AJ269" s="460">
        <v>2861.5</v>
      </c>
      <c r="AK269" s="417">
        <v>0.5252</v>
      </c>
      <c r="AL269" s="405">
        <v>9</v>
      </c>
      <c r="AM269" s="147"/>
    </row>
    <row r="270" spans="1:39">
      <c r="A270" s="71">
        <v>263</v>
      </c>
      <c r="B270" s="71" t="s">
        <v>1381</v>
      </c>
      <c r="C270" s="28">
        <v>5</v>
      </c>
      <c r="D270" s="28">
        <v>0</v>
      </c>
      <c r="E270" s="28">
        <v>1</v>
      </c>
      <c r="F270" s="28">
        <v>16</v>
      </c>
      <c r="G270" s="28">
        <v>11</v>
      </c>
      <c r="H270" s="28">
        <v>4</v>
      </c>
      <c r="I270" s="28">
        <v>0</v>
      </c>
      <c r="J270" s="28">
        <v>1</v>
      </c>
      <c r="K270" s="28">
        <v>0</v>
      </c>
      <c r="L270" s="28">
        <v>0</v>
      </c>
      <c r="M270" s="28">
        <v>0</v>
      </c>
      <c r="N270" s="28">
        <v>0</v>
      </c>
      <c r="O270" s="28">
        <v>32</v>
      </c>
      <c r="P270" s="516">
        <v>35</v>
      </c>
      <c r="Q270" s="517">
        <v>1</v>
      </c>
      <c r="R270" s="6">
        <v>11</v>
      </c>
      <c r="S270" s="369">
        <v>0.72729999999999995</v>
      </c>
      <c r="T270" s="365"/>
      <c r="U270" s="28">
        <v>21960.46</v>
      </c>
      <c r="V270" s="28">
        <v>43996.259999999995</v>
      </c>
      <c r="W270" s="28">
        <v>294457.15000000002</v>
      </c>
      <c r="X270" s="28">
        <v>37952.11</v>
      </c>
      <c r="Y270" s="28">
        <v>13328.07</v>
      </c>
      <c r="Z270" s="28">
        <v>21438.269999999997</v>
      </c>
      <c r="AA270" s="28">
        <v>20019.27</v>
      </c>
      <c r="AB270" s="28">
        <v>41235.960000000006</v>
      </c>
      <c r="AC270" s="28">
        <v>40219.430000000008</v>
      </c>
      <c r="AD270" s="28">
        <v>87686.579999999987</v>
      </c>
      <c r="AE270" s="28">
        <v>0</v>
      </c>
      <c r="AF270" s="28">
        <v>622293.56000000006</v>
      </c>
      <c r="AG270" s="147"/>
      <c r="AH270" s="147"/>
      <c r="AI270" s="405">
        <v>32</v>
      </c>
      <c r="AJ270" s="460">
        <v>44</v>
      </c>
      <c r="AK270" s="417">
        <v>0.72729999999999995</v>
      </c>
      <c r="AL270" s="405">
        <v>11</v>
      </c>
      <c r="AM270" s="147"/>
    </row>
    <row r="271" spans="1:39">
      <c r="A271" s="71">
        <v>264</v>
      </c>
      <c r="B271" s="71" t="s">
        <v>1382</v>
      </c>
      <c r="C271" s="28">
        <v>78</v>
      </c>
      <c r="D271" s="28">
        <v>0</v>
      </c>
      <c r="E271" s="28">
        <v>197</v>
      </c>
      <c r="F271" s="28">
        <v>1116</v>
      </c>
      <c r="G271" s="28">
        <v>622</v>
      </c>
      <c r="H271" s="28">
        <v>778</v>
      </c>
      <c r="I271" s="28">
        <v>0</v>
      </c>
      <c r="J271" s="28">
        <v>107</v>
      </c>
      <c r="K271" s="28">
        <v>27</v>
      </c>
      <c r="L271" s="28">
        <v>9</v>
      </c>
      <c r="M271" s="28">
        <v>2</v>
      </c>
      <c r="N271" s="28">
        <v>1</v>
      </c>
      <c r="O271" s="28">
        <v>374</v>
      </c>
      <c r="P271" s="516">
        <v>2752</v>
      </c>
      <c r="Q271" s="517">
        <v>1.038</v>
      </c>
      <c r="R271" s="6">
        <v>3</v>
      </c>
      <c r="S271" s="369">
        <v>0.13739999999999999</v>
      </c>
      <c r="T271" s="365"/>
      <c r="U271" s="28">
        <v>1754335.7473800003</v>
      </c>
      <c r="V271" s="28">
        <v>2429169.4210200002</v>
      </c>
      <c r="W271" s="28">
        <v>13453513.858380003</v>
      </c>
      <c r="X271" s="28">
        <v>3305011.1511000004</v>
      </c>
      <c r="Y271" s="28">
        <v>542553.48635999998</v>
      </c>
      <c r="Z271" s="28">
        <v>1786533.86</v>
      </c>
      <c r="AA271" s="28">
        <v>1204563.7702800001</v>
      </c>
      <c r="AB271" s="28">
        <v>1104507.6079199999</v>
      </c>
      <c r="AC271" s="28">
        <v>3434292.4110599998</v>
      </c>
      <c r="AD271" s="28">
        <v>5087952.3200000012</v>
      </c>
      <c r="AE271" s="28">
        <v>949204.98</v>
      </c>
      <c r="AF271" s="28">
        <v>35051638.613499999</v>
      </c>
      <c r="AG271" s="147"/>
      <c r="AH271" s="147"/>
      <c r="AI271" s="405">
        <v>374</v>
      </c>
      <c r="AJ271" s="460">
        <v>2722.5</v>
      </c>
      <c r="AK271" s="417">
        <v>0.13739999999999999</v>
      </c>
      <c r="AL271" s="405">
        <v>3</v>
      </c>
      <c r="AM271" s="147"/>
    </row>
    <row r="272" spans="1:39">
      <c r="A272" s="71">
        <v>265</v>
      </c>
      <c r="B272" s="71" t="s">
        <v>1383</v>
      </c>
      <c r="C272" s="28">
        <v>18</v>
      </c>
      <c r="D272" s="28">
        <v>0</v>
      </c>
      <c r="E272" s="28">
        <v>150</v>
      </c>
      <c r="F272" s="28">
        <v>848</v>
      </c>
      <c r="G272" s="28">
        <v>523</v>
      </c>
      <c r="H272" s="28">
        <v>546</v>
      </c>
      <c r="I272" s="28">
        <v>0</v>
      </c>
      <c r="J272" s="28">
        <v>81</v>
      </c>
      <c r="K272" s="28">
        <v>21</v>
      </c>
      <c r="L272" s="28">
        <v>53</v>
      </c>
      <c r="M272" s="28">
        <v>13</v>
      </c>
      <c r="N272" s="28">
        <v>10</v>
      </c>
      <c r="O272" s="28">
        <v>481</v>
      </c>
      <c r="P272" s="516">
        <v>2076</v>
      </c>
      <c r="Q272" s="517">
        <v>1</v>
      </c>
      <c r="R272" s="6">
        <v>4</v>
      </c>
      <c r="S272" s="369">
        <v>0.2356</v>
      </c>
      <c r="T272" s="365"/>
      <c r="U272" s="28">
        <v>1299147.9400000002</v>
      </c>
      <c r="V272" s="28">
        <v>1841857.63</v>
      </c>
      <c r="W272" s="28">
        <v>10420971.559999999</v>
      </c>
      <c r="X272" s="28">
        <v>2419306.63</v>
      </c>
      <c r="Y272" s="28">
        <v>428491.98999999993</v>
      </c>
      <c r="Z272" s="28">
        <v>1348773.5099999998</v>
      </c>
      <c r="AA272" s="28">
        <v>904722.51</v>
      </c>
      <c r="AB272" s="28">
        <v>922406.87999999989</v>
      </c>
      <c r="AC272" s="28">
        <v>2522333.13</v>
      </c>
      <c r="AD272" s="28">
        <v>3976159.94</v>
      </c>
      <c r="AE272" s="28">
        <v>738270.53999999992</v>
      </c>
      <c r="AF272" s="28">
        <v>26822442.259999998</v>
      </c>
      <c r="AG272" s="147"/>
      <c r="AH272" s="147"/>
      <c r="AI272" s="405">
        <v>481</v>
      </c>
      <c r="AJ272" s="460">
        <v>2041.5</v>
      </c>
      <c r="AK272" s="417">
        <v>0.2356</v>
      </c>
      <c r="AL272" s="405">
        <v>4</v>
      </c>
      <c r="AM272" s="147"/>
    </row>
    <row r="273" spans="1:39">
      <c r="A273" s="71">
        <v>266</v>
      </c>
      <c r="B273" s="71" t="s">
        <v>1384</v>
      </c>
      <c r="C273" s="28">
        <v>21</v>
      </c>
      <c r="D273" s="28">
        <v>1</v>
      </c>
      <c r="E273" s="28">
        <v>192</v>
      </c>
      <c r="F273" s="28">
        <v>1295</v>
      </c>
      <c r="G273" s="28">
        <v>827</v>
      </c>
      <c r="H273" s="28">
        <v>1192</v>
      </c>
      <c r="I273" s="28">
        <v>0</v>
      </c>
      <c r="J273" s="28">
        <v>138</v>
      </c>
      <c r="K273" s="28">
        <v>35</v>
      </c>
      <c r="L273" s="28">
        <v>77</v>
      </c>
      <c r="M273" s="28">
        <v>11</v>
      </c>
      <c r="N273" s="28">
        <v>15</v>
      </c>
      <c r="O273" s="28">
        <v>480</v>
      </c>
      <c r="P273" s="516">
        <v>3518</v>
      </c>
      <c r="Q273" s="517">
        <v>1.0429999999999999</v>
      </c>
      <c r="R273" s="6">
        <v>3</v>
      </c>
      <c r="S273" s="369">
        <v>0.14000000000000001</v>
      </c>
      <c r="T273" s="365"/>
      <c r="U273" s="28">
        <v>2269345.6428300003</v>
      </c>
      <c r="V273" s="28">
        <v>3138274.272559999</v>
      </c>
      <c r="W273" s="28">
        <v>17633879.250609998</v>
      </c>
      <c r="X273" s="28">
        <v>4187198.5751399999</v>
      </c>
      <c r="Y273" s="28">
        <v>704837.25710999989</v>
      </c>
      <c r="Z273" s="28">
        <v>2360052.4699999997</v>
      </c>
      <c r="AA273" s="28">
        <v>1570864.1774000002</v>
      </c>
      <c r="AB273" s="28">
        <v>1523210.0497599996</v>
      </c>
      <c r="AC273" s="28">
        <v>4459756.0965299997</v>
      </c>
      <c r="AD273" s="28">
        <v>6524361.6800000006</v>
      </c>
      <c r="AE273" s="28">
        <v>1230450.8999999999</v>
      </c>
      <c r="AF273" s="28">
        <v>45602230.371939994</v>
      </c>
      <c r="AG273" s="147"/>
      <c r="AH273" s="147"/>
      <c r="AI273" s="405">
        <v>480</v>
      </c>
      <c r="AJ273" s="460">
        <v>3428</v>
      </c>
      <c r="AK273" s="417">
        <v>0.14000000000000001</v>
      </c>
      <c r="AL273" s="405">
        <v>3</v>
      </c>
      <c r="AM273" s="147"/>
    </row>
    <row r="274" spans="1:39">
      <c r="A274" s="71">
        <v>267</v>
      </c>
      <c r="B274" s="71" t="s">
        <v>1385</v>
      </c>
      <c r="C274" s="28">
        <v>0</v>
      </c>
      <c r="D274" s="28">
        <v>0</v>
      </c>
      <c r="E274" s="28">
        <v>0</v>
      </c>
      <c r="F274" s="28">
        <v>0</v>
      </c>
      <c r="G274" s="28">
        <v>0</v>
      </c>
      <c r="H274" s="28">
        <v>4</v>
      </c>
      <c r="I274" s="28">
        <v>0</v>
      </c>
      <c r="J274" s="28">
        <v>0</v>
      </c>
      <c r="K274" s="28">
        <v>0</v>
      </c>
      <c r="L274" s="28">
        <v>0</v>
      </c>
      <c r="M274" s="28">
        <v>0</v>
      </c>
      <c r="N274" s="28">
        <v>0</v>
      </c>
      <c r="O274" s="28">
        <v>0</v>
      </c>
      <c r="P274" s="516">
        <v>4</v>
      </c>
      <c r="Q274" s="517">
        <v>1</v>
      </c>
      <c r="R274" s="6">
        <v>0</v>
      </c>
      <c r="S274" s="369">
        <v>0</v>
      </c>
      <c r="T274" s="94"/>
      <c r="U274" s="28">
        <v>1794.6</v>
      </c>
      <c r="V274" s="28">
        <v>3241.2</v>
      </c>
      <c r="W274" s="28">
        <v>19232.64</v>
      </c>
      <c r="X274" s="28">
        <v>2284.2800000000002</v>
      </c>
      <c r="Y274" s="28">
        <v>618.20000000000005</v>
      </c>
      <c r="Z274" s="28">
        <v>3441.68</v>
      </c>
      <c r="AA274" s="28">
        <v>1804.48</v>
      </c>
      <c r="AB274" s="28">
        <v>2430.64</v>
      </c>
      <c r="AC274" s="28">
        <v>4338.12</v>
      </c>
      <c r="AD274" s="28">
        <v>6149.88</v>
      </c>
      <c r="AE274" s="28">
        <v>0</v>
      </c>
      <c r="AF274" s="28">
        <v>45335.72</v>
      </c>
      <c r="AG274" s="147"/>
      <c r="AH274" s="147"/>
      <c r="AI274" s="405">
        <v>0</v>
      </c>
      <c r="AJ274" s="460">
        <v>0</v>
      </c>
      <c r="AK274" s="417">
        <v>0</v>
      </c>
      <c r="AL274" s="405">
        <v>0</v>
      </c>
      <c r="AM274" s="147"/>
    </row>
    <row r="275" spans="1:39">
      <c r="A275" s="71">
        <v>268</v>
      </c>
      <c r="B275" s="71" t="s">
        <v>1386</v>
      </c>
      <c r="C275" s="28">
        <v>0</v>
      </c>
      <c r="D275" s="28">
        <v>0</v>
      </c>
      <c r="E275" s="28">
        <v>0</v>
      </c>
      <c r="F275" s="28">
        <v>0</v>
      </c>
      <c r="G275" s="28">
        <v>0</v>
      </c>
      <c r="H275" s="28">
        <v>0</v>
      </c>
      <c r="I275" s="28">
        <v>0</v>
      </c>
      <c r="J275" s="28">
        <v>0</v>
      </c>
      <c r="K275" s="28">
        <v>0</v>
      </c>
      <c r="L275" s="28">
        <v>0</v>
      </c>
      <c r="M275" s="28">
        <v>0</v>
      </c>
      <c r="N275" s="28">
        <v>0</v>
      </c>
      <c r="O275" s="28">
        <v>0</v>
      </c>
      <c r="P275" s="516">
        <v>0</v>
      </c>
      <c r="Q275" s="517">
        <v>1</v>
      </c>
      <c r="R275" s="6">
        <v>0</v>
      </c>
      <c r="S275" s="369">
        <v>0</v>
      </c>
      <c r="T275" s="94"/>
      <c r="U275" s="28">
        <v>0</v>
      </c>
      <c r="V275" s="28">
        <v>0</v>
      </c>
      <c r="W275" s="28">
        <v>0</v>
      </c>
      <c r="X275" s="28">
        <v>0</v>
      </c>
      <c r="Y275" s="28">
        <v>0</v>
      </c>
      <c r="Z275" s="28">
        <v>0</v>
      </c>
      <c r="AA275" s="28">
        <v>0</v>
      </c>
      <c r="AB275" s="28">
        <v>0</v>
      </c>
      <c r="AC275" s="28">
        <v>0</v>
      </c>
      <c r="AD275" s="28">
        <v>0</v>
      </c>
      <c r="AE275" s="28">
        <v>0</v>
      </c>
      <c r="AF275" s="28">
        <v>0</v>
      </c>
      <c r="AG275" s="147"/>
      <c r="AH275" s="147"/>
      <c r="AI275" s="405">
        <v>0</v>
      </c>
      <c r="AJ275" s="460">
        <v>0</v>
      </c>
      <c r="AK275" s="417">
        <v>0</v>
      </c>
      <c r="AL275" s="405">
        <v>0</v>
      </c>
      <c r="AM275" s="147"/>
    </row>
    <row r="276" spans="1:39">
      <c r="A276" s="71">
        <v>269</v>
      </c>
      <c r="B276" s="71" t="s">
        <v>1387</v>
      </c>
      <c r="C276" s="28">
        <v>12</v>
      </c>
      <c r="D276" s="28">
        <v>0</v>
      </c>
      <c r="E276" s="28">
        <v>50</v>
      </c>
      <c r="F276" s="28">
        <v>346</v>
      </c>
      <c r="G276" s="28">
        <v>0</v>
      </c>
      <c r="H276" s="28">
        <v>0</v>
      </c>
      <c r="I276" s="28">
        <v>0</v>
      </c>
      <c r="J276" s="28">
        <v>16</v>
      </c>
      <c r="K276" s="28">
        <v>4</v>
      </c>
      <c r="L276" s="28">
        <v>5</v>
      </c>
      <c r="M276" s="28">
        <v>0</v>
      </c>
      <c r="N276" s="28">
        <v>0</v>
      </c>
      <c r="O276" s="28">
        <v>24</v>
      </c>
      <c r="P276" s="516">
        <v>402</v>
      </c>
      <c r="Q276" s="517">
        <v>1.0429999999999999</v>
      </c>
      <c r="R276" s="6">
        <v>2</v>
      </c>
      <c r="S276" s="369">
        <v>6.08E-2</v>
      </c>
      <c r="T276" s="365"/>
      <c r="U276" s="28">
        <v>257274.73442999998</v>
      </c>
      <c r="V276" s="28">
        <v>347687.72135999991</v>
      </c>
      <c r="W276" s="28">
        <v>1803038.8769400001</v>
      </c>
      <c r="X276" s="28">
        <v>560004.43099999998</v>
      </c>
      <c r="Y276" s="28">
        <v>73445.661099999998</v>
      </c>
      <c r="Z276" s="28">
        <v>224242.92</v>
      </c>
      <c r="AA276" s="28">
        <v>161893.11452999999</v>
      </c>
      <c r="AB276" s="28">
        <v>78871.263660000011</v>
      </c>
      <c r="AC276" s="28">
        <v>492048.86115000001</v>
      </c>
      <c r="AD276" s="28">
        <v>730231.63</v>
      </c>
      <c r="AE276" s="28">
        <v>140622.96</v>
      </c>
      <c r="AF276" s="28">
        <v>4869362.1741699995</v>
      </c>
      <c r="AG276" s="147"/>
      <c r="AH276" s="147"/>
      <c r="AI276" s="405">
        <v>24</v>
      </c>
      <c r="AJ276" s="460">
        <v>395</v>
      </c>
      <c r="AK276" s="417">
        <v>6.08E-2</v>
      </c>
      <c r="AL276" s="405">
        <v>2</v>
      </c>
      <c r="AM276" s="147"/>
    </row>
    <row r="277" spans="1:39">
      <c r="A277" s="71">
        <v>270</v>
      </c>
      <c r="B277" s="71" t="s">
        <v>1388</v>
      </c>
      <c r="C277" s="28">
        <v>0</v>
      </c>
      <c r="D277" s="28">
        <v>0</v>
      </c>
      <c r="E277" s="28">
        <v>0</v>
      </c>
      <c r="F277" s="28">
        <v>0</v>
      </c>
      <c r="G277" s="28">
        <v>0</v>
      </c>
      <c r="H277" s="28">
        <v>0</v>
      </c>
      <c r="I277" s="28">
        <v>0</v>
      </c>
      <c r="J277" s="28">
        <v>0</v>
      </c>
      <c r="K277" s="28">
        <v>0</v>
      </c>
      <c r="L277" s="28">
        <v>0</v>
      </c>
      <c r="M277" s="28">
        <v>0</v>
      </c>
      <c r="N277" s="28">
        <v>0</v>
      </c>
      <c r="O277" s="28">
        <v>0</v>
      </c>
      <c r="P277" s="516">
        <v>0</v>
      </c>
      <c r="Q277" s="517">
        <v>1</v>
      </c>
      <c r="R277" s="6">
        <v>0</v>
      </c>
      <c r="S277" s="369">
        <v>0</v>
      </c>
      <c r="T277" s="94"/>
      <c r="U277" s="28">
        <v>0</v>
      </c>
      <c r="V277" s="28">
        <v>0</v>
      </c>
      <c r="W277" s="28">
        <v>0</v>
      </c>
      <c r="X277" s="28">
        <v>0</v>
      </c>
      <c r="Y277" s="28">
        <v>0</v>
      </c>
      <c r="Z277" s="28">
        <v>0</v>
      </c>
      <c r="AA277" s="28">
        <v>0</v>
      </c>
      <c r="AB277" s="28">
        <v>0</v>
      </c>
      <c r="AC277" s="28">
        <v>0</v>
      </c>
      <c r="AD277" s="28">
        <v>0</v>
      </c>
      <c r="AE277" s="28">
        <v>0</v>
      </c>
      <c r="AF277" s="28">
        <v>0</v>
      </c>
      <c r="AG277" s="147"/>
      <c r="AH277" s="147"/>
      <c r="AI277" s="405">
        <v>0</v>
      </c>
      <c r="AJ277" s="460">
        <v>0</v>
      </c>
      <c r="AK277" s="417">
        <v>0</v>
      </c>
      <c r="AL277" s="405">
        <v>0</v>
      </c>
      <c r="AM277" s="147"/>
    </row>
    <row r="278" spans="1:39">
      <c r="A278" s="71">
        <v>271</v>
      </c>
      <c r="B278" s="71" t="s">
        <v>1389</v>
      </c>
      <c r="C278" s="28">
        <v>198</v>
      </c>
      <c r="D278" s="28">
        <v>0</v>
      </c>
      <c r="E278" s="28">
        <v>360</v>
      </c>
      <c r="F278" s="28">
        <v>2105</v>
      </c>
      <c r="G278" s="28">
        <v>1420</v>
      </c>
      <c r="H278" s="28">
        <v>1965</v>
      </c>
      <c r="I278" s="28">
        <v>49</v>
      </c>
      <c r="J278" s="28">
        <v>232</v>
      </c>
      <c r="K278" s="28">
        <v>59</v>
      </c>
      <c r="L278" s="28">
        <v>181</v>
      </c>
      <c r="M278" s="28">
        <v>55</v>
      </c>
      <c r="N278" s="28">
        <v>60</v>
      </c>
      <c r="O278" s="28">
        <v>1216</v>
      </c>
      <c r="P278" s="516">
        <v>5998</v>
      </c>
      <c r="Q278" s="517">
        <v>1</v>
      </c>
      <c r="R278" s="6">
        <v>4</v>
      </c>
      <c r="S278" s="369">
        <v>0.20799999999999999</v>
      </c>
      <c r="T278" s="365"/>
      <c r="U278" s="28">
        <v>3739133.18</v>
      </c>
      <c r="V278" s="28">
        <v>5285268.41</v>
      </c>
      <c r="W278" s="28">
        <v>30372376.350000001</v>
      </c>
      <c r="X278" s="28">
        <v>6844013.6100000003</v>
      </c>
      <c r="Y278" s="28">
        <v>1223942.3900000001</v>
      </c>
      <c r="Z278" s="28">
        <v>4076060.1199999996</v>
      </c>
      <c r="AA278" s="28">
        <v>2629094.9699999993</v>
      </c>
      <c r="AB278" s="28">
        <v>2745676.7</v>
      </c>
      <c r="AC278" s="28">
        <v>7369308.3699999982</v>
      </c>
      <c r="AD278" s="28">
        <v>11395288.410000004</v>
      </c>
      <c r="AE278" s="28">
        <v>2074188.66</v>
      </c>
      <c r="AF278" s="28">
        <v>77754351.169999987</v>
      </c>
      <c r="AG278" s="147"/>
      <c r="AH278" s="147"/>
      <c r="AI278" s="405">
        <v>1216</v>
      </c>
      <c r="AJ278" s="460">
        <v>5845.5</v>
      </c>
      <c r="AK278" s="417">
        <v>0.20799999999999999</v>
      </c>
      <c r="AL278" s="405">
        <v>4</v>
      </c>
      <c r="AM278" s="147"/>
    </row>
    <row r="279" spans="1:39">
      <c r="A279" s="71">
        <v>272</v>
      </c>
      <c r="B279" s="71" t="s">
        <v>1390</v>
      </c>
      <c r="C279" s="28">
        <v>8</v>
      </c>
      <c r="D279" s="28">
        <v>0</v>
      </c>
      <c r="E279" s="28">
        <v>14</v>
      </c>
      <c r="F279" s="28">
        <v>65</v>
      </c>
      <c r="G279" s="28">
        <v>16</v>
      </c>
      <c r="H279" s="28">
        <v>0</v>
      </c>
      <c r="I279" s="28">
        <v>0</v>
      </c>
      <c r="J279" s="28">
        <v>4</v>
      </c>
      <c r="K279" s="28">
        <v>1</v>
      </c>
      <c r="L279" s="28">
        <v>1</v>
      </c>
      <c r="M279" s="28">
        <v>0</v>
      </c>
      <c r="N279" s="28">
        <v>0</v>
      </c>
      <c r="O279" s="28">
        <v>37</v>
      </c>
      <c r="P279" s="516">
        <v>99</v>
      </c>
      <c r="Q279" s="517">
        <v>1</v>
      </c>
      <c r="R279" s="6">
        <v>6</v>
      </c>
      <c r="S279" s="369">
        <v>0.34739999999999999</v>
      </c>
      <c r="T279" s="365"/>
      <c r="U279" s="28">
        <v>63307.259999999995</v>
      </c>
      <c r="V279" s="28">
        <v>93166.81</v>
      </c>
      <c r="W279" s="28">
        <v>527413.48</v>
      </c>
      <c r="X279" s="28">
        <v>128479.78</v>
      </c>
      <c r="Y279" s="28">
        <v>22820.289999999997</v>
      </c>
      <c r="Z279" s="28">
        <v>56024.859999999993</v>
      </c>
      <c r="AA279" s="28">
        <v>43078.039999999994</v>
      </c>
      <c r="AB279" s="28">
        <v>42860.34</v>
      </c>
      <c r="AC279" s="28">
        <v>117698.52000000002</v>
      </c>
      <c r="AD279" s="28">
        <v>200303.33</v>
      </c>
      <c r="AE279" s="28">
        <v>35155.74</v>
      </c>
      <c r="AF279" s="28">
        <v>1330308.4500000002</v>
      </c>
      <c r="AG279" s="147"/>
      <c r="AH279" s="147"/>
      <c r="AI279" s="405">
        <v>37</v>
      </c>
      <c r="AJ279" s="460">
        <v>106.5</v>
      </c>
      <c r="AK279" s="417">
        <v>0.34739999999999999</v>
      </c>
      <c r="AL279" s="405">
        <v>6</v>
      </c>
      <c r="AM279" s="147"/>
    </row>
    <row r="280" spans="1:39">
      <c r="A280" s="71">
        <v>273</v>
      </c>
      <c r="B280" s="71" t="s">
        <v>1391</v>
      </c>
      <c r="C280" s="28">
        <v>51</v>
      </c>
      <c r="D280" s="28">
        <v>0</v>
      </c>
      <c r="E280" s="28">
        <v>141</v>
      </c>
      <c r="F280" s="28">
        <v>841</v>
      </c>
      <c r="G280" s="28">
        <v>579</v>
      </c>
      <c r="H280" s="28">
        <v>0</v>
      </c>
      <c r="I280" s="28">
        <v>0</v>
      </c>
      <c r="J280" s="28">
        <v>61</v>
      </c>
      <c r="K280" s="28">
        <v>16</v>
      </c>
      <c r="L280" s="28">
        <v>30</v>
      </c>
      <c r="M280" s="28">
        <v>12</v>
      </c>
      <c r="N280" s="28">
        <v>0</v>
      </c>
      <c r="O280" s="28">
        <v>552</v>
      </c>
      <c r="P280" s="516">
        <v>1587</v>
      </c>
      <c r="Q280" s="517">
        <v>1</v>
      </c>
      <c r="R280" s="6">
        <v>6</v>
      </c>
      <c r="S280" s="369">
        <v>0.3518</v>
      </c>
      <c r="T280" s="365"/>
      <c r="U280" s="28">
        <v>1004812.71</v>
      </c>
      <c r="V280" s="28">
        <v>1484112.96</v>
      </c>
      <c r="W280" s="28">
        <v>8175087.21</v>
      </c>
      <c r="X280" s="28">
        <v>1948417.1099999999</v>
      </c>
      <c r="Y280" s="28">
        <v>362962.61</v>
      </c>
      <c r="Z280" s="28">
        <v>899168.66</v>
      </c>
      <c r="AA280" s="28">
        <v>696614.5</v>
      </c>
      <c r="AB280" s="28">
        <v>698137.96</v>
      </c>
      <c r="AC280" s="28">
        <v>1912333.48</v>
      </c>
      <c r="AD280" s="28">
        <v>3217454.8</v>
      </c>
      <c r="AE280" s="28">
        <v>562491.84</v>
      </c>
      <c r="AF280" s="28">
        <v>20961593.84</v>
      </c>
      <c r="AG280" s="147"/>
      <c r="AH280" s="147"/>
      <c r="AI280" s="405">
        <v>552</v>
      </c>
      <c r="AJ280" s="460">
        <v>1569</v>
      </c>
      <c r="AK280" s="417">
        <v>0.3518</v>
      </c>
      <c r="AL280" s="405">
        <v>6</v>
      </c>
      <c r="AM280" s="147"/>
    </row>
    <row r="281" spans="1:39">
      <c r="A281" s="71">
        <v>274</v>
      </c>
      <c r="B281" s="71" t="s">
        <v>1392</v>
      </c>
      <c r="C281" s="28">
        <v>314</v>
      </c>
      <c r="D281" s="28">
        <v>0</v>
      </c>
      <c r="E281" s="28">
        <v>392</v>
      </c>
      <c r="F281" s="28">
        <v>1991</v>
      </c>
      <c r="G281" s="28">
        <v>1048</v>
      </c>
      <c r="H281" s="28">
        <v>747</v>
      </c>
      <c r="I281" s="28">
        <v>811</v>
      </c>
      <c r="J281" s="28">
        <v>204</v>
      </c>
      <c r="K281" s="28">
        <v>42</v>
      </c>
      <c r="L281" s="28">
        <v>755</v>
      </c>
      <c r="M281" s="28">
        <v>190</v>
      </c>
      <c r="N281" s="28">
        <v>262</v>
      </c>
      <c r="O281" s="28">
        <v>2789</v>
      </c>
      <c r="P281" s="516">
        <v>5146</v>
      </c>
      <c r="Q281" s="517">
        <v>1.054</v>
      </c>
      <c r="R281" s="6">
        <v>10</v>
      </c>
      <c r="S281" s="369">
        <v>0.55010000000000003</v>
      </c>
      <c r="T281" s="365"/>
      <c r="U281" s="28">
        <v>3694410.6668400001</v>
      </c>
      <c r="V281" s="28">
        <v>5999001.840400001</v>
      </c>
      <c r="W281" s="28">
        <v>41475328.493160002</v>
      </c>
      <c r="X281" s="28">
        <v>6557782.7440400003</v>
      </c>
      <c r="Y281" s="28">
        <v>1727027.4734599998</v>
      </c>
      <c r="Z281" s="28">
        <v>4148339.3000000007</v>
      </c>
      <c r="AA281" s="28">
        <v>2847952.8371600001</v>
      </c>
      <c r="AB281" s="28">
        <v>4492507.1715799998</v>
      </c>
      <c r="AC281" s="28">
        <v>7771476.4763599997</v>
      </c>
      <c r="AD281" s="28">
        <v>12083334.030000001</v>
      </c>
      <c r="AE281" s="28">
        <v>1476541.0799999998</v>
      </c>
      <c r="AF281" s="28">
        <v>92273702.112999991</v>
      </c>
      <c r="AG281" s="147"/>
      <c r="AH281" s="147"/>
      <c r="AI281" s="405">
        <v>2789</v>
      </c>
      <c r="AJ281" s="460">
        <v>5070</v>
      </c>
      <c r="AK281" s="417">
        <v>0.55010000000000003</v>
      </c>
      <c r="AL281" s="405">
        <v>10</v>
      </c>
      <c r="AM281" s="147"/>
    </row>
    <row r="282" spans="1:39">
      <c r="A282" s="71">
        <v>275</v>
      </c>
      <c r="B282" s="71" t="s">
        <v>1393</v>
      </c>
      <c r="C282" s="28">
        <v>32</v>
      </c>
      <c r="D282" s="28">
        <v>0</v>
      </c>
      <c r="E282" s="28">
        <v>54</v>
      </c>
      <c r="F282" s="28">
        <v>288</v>
      </c>
      <c r="G282" s="28">
        <v>50</v>
      </c>
      <c r="H282" s="28">
        <v>0</v>
      </c>
      <c r="I282" s="28">
        <v>55</v>
      </c>
      <c r="J282" s="28">
        <v>18</v>
      </c>
      <c r="K282" s="28">
        <v>4</v>
      </c>
      <c r="L282" s="28">
        <v>10</v>
      </c>
      <c r="M282" s="28">
        <v>0</v>
      </c>
      <c r="N282" s="28">
        <v>0</v>
      </c>
      <c r="O282" s="28">
        <v>93</v>
      </c>
      <c r="P282" s="516">
        <v>463</v>
      </c>
      <c r="Q282" s="517">
        <v>1</v>
      </c>
      <c r="R282" s="6">
        <v>4</v>
      </c>
      <c r="S282" s="369">
        <v>0.2031</v>
      </c>
      <c r="T282" s="365"/>
      <c r="U282" s="28">
        <v>285277.7</v>
      </c>
      <c r="V282" s="28">
        <v>405044.19999999995</v>
      </c>
      <c r="W282" s="28">
        <v>2413345.86</v>
      </c>
      <c r="X282" s="28">
        <v>580746.73</v>
      </c>
      <c r="Y282" s="28">
        <v>97315.25</v>
      </c>
      <c r="Z282" s="28">
        <v>313384.23</v>
      </c>
      <c r="AA282" s="28">
        <v>192625.90000000002</v>
      </c>
      <c r="AB282" s="28">
        <v>158235.51999999999</v>
      </c>
      <c r="AC282" s="28">
        <v>602513.18999999994</v>
      </c>
      <c r="AD282" s="28">
        <v>901123.59999999986</v>
      </c>
      <c r="AE282" s="28">
        <v>140622.96</v>
      </c>
      <c r="AF282" s="28">
        <v>6090235.1399999997</v>
      </c>
      <c r="AG282" s="147"/>
      <c r="AH282" s="147"/>
      <c r="AI282" s="405">
        <v>93</v>
      </c>
      <c r="AJ282" s="460">
        <v>458</v>
      </c>
      <c r="AK282" s="417">
        <v>0.2031</v>
      </c>
      <c r="AL282" s="405">
        <v>4</v>
      </c>
      <c r="AM282" s="147"/>
    </row>
    <row r="283" spans="1:39">
      <c r="A283" s="71">
        <v>276</v>
      </c>
      <c r="B283" s="71" t="s">
        <v>1394</v>
      </c>
      <c r="C283" s="28">
        <v>11</v>
      </c>
      <c r="D283" s="28">
        <v>0</v>
      </c>
      <c r="E283" s="28">
        <v>109</v>
      </c>
      <c r="F283" s="28">
        <v>685</v>
      </c>
      <c r="G283" s="28">
        <v>415</v>
      </c>
      <c r="H283" s="28">
        <v>7</v>
      </c>
      <c r="I283" s="28">
        <v>1</v>
      </c>
      <c r="J283" s="28">
        <v>48</v>
      </c>
      <c r="K283" s="28">
        <v>12</v>
      </c>
      <c r="L283" s="28">
        <v>80</v>
      </c>
      <c r="M283" s="28">
        <v>9</v>
      </c>
      <c r="N283" s="28">
        <v>0</v>
      </c>
      <c r="O283" s="28">
        <v>109</v>
      </c>
      <c r="P283" s="516">
        <v>1223</v>
      </c>
      <c r="Q283" s="517">
        <v>1.0269999999999999</v>
      </c>
      <c r="R283" s="6">
        <v>2</v>
      </c>
      <c r="S283" s="369">
        <v>8.7099999999999997E-2</v>
      </c>
      <c r="T283" s="365"/>
      <c r="U283" s="28">
        <v>778314.45588000002</v>
      </c>
      <c r="V283" s="28">
        <v>1066197.55008</v>
      </c>
      <c r="W283" s="28">
        <v>5418381.9277899992</v>
      </c>
      <c r="X283" s="28">
        <v>1568362.1608200001</v>
      </c>
      <c r="Y283" s="28">
        <v>234109.55906</v>
      </c>
      <c r="Z283" s="28">
        <v>695926.79999999993</v>
      </c>
      <c r="AA283" s="28">
        <v>508495.15171000001</v>
      </c>
      <c r="AB283" s="28">
        <v>309622.47615</v>
      </c>
      <c r="AC283" s="28">
        <v>1534904.2056399998</v>
      </c>
      <c r="AD283" s="28">
        <v>2303656.19</v>
      </c>
      <c r="AE283" s="28">
        <v>421868.88</v>
      </c>
      <c r="AF283" s="28">
        <v>14839839.35713</v>
      </c>
      <c r="AG283" s="147"/>
      <c r="AH283" s="147"/>
      <c r="AI283" s="405">
        <v>109</v>
      </c>
      <c r="AJ283" s="460">
        <v>1251.5</v>
      </c>
      <c r="AK283" s="417">
        <v>8.7099999999999997E-2</v>
      </c>
      <c r="AL283" s="405">
        <v>2</v>
      </c>
      <c r="AM283" s="147"/>
    </row>
    <row r="284" spans="1:39">
      <c r="A284" s="71">
        <v>277</v>
      </c>
      <c r="B284" s="71" t="s">
        <v>1395</v>
      </c>
      <c r="C284" s="28">
        <v>50</v>
      </c>
      <c r="D284" s="28">
        <v>0</v>
      </c>
      <c r="E284" s="28">
        <v>190</v>
      </c>
      <c r="F284" s="28">
        <v>871</v>
      </c>
      <c r="G284" s="28">
        <v>563</v>
      </c>
      <c r="H284" s="28">
        <v>599</v>
      </c>
      <c r="I284" s="28">
        <v>0</v>
      </c>
      <c r="J284" s="28">
        <v>87</v>
      </c>
      <c r="K284" s="28">
        <v>22</v>
      </c>
      <c r="L284" s="28">
        <v>182</v>
      </c>
      <c r="M284" s="28">
        <v>80</v>
      </c>
      <c r="N284" s="28">
        <v>116</v>
      </c>
      <c r="O284" s="28">
        <v>1707</v>
      </c>
      <c r="P284" s="516">
        <v>2248</v>
      </c>
      <c r="Q284" s="517">
        <v>1</v>
      </c>
      <c r="R284" s="6">
        <v>12</v>
      </c>
      <c r="S284" s="369">
        <v>0.85289999999999999</v>
      </c>
      <c r="T284" s="365"/>
      <c r="U284" s="28">
        <v>1599966.3399999996</v>
      </c>
      <c r="V284" s="28">
        <v>2828633.11</v>
      </c>
      <c r="W284" s="28">
        <v>19261148.969999999</v>
      </c>
      <c r="X284" s="28">
        <v>2672047.09</v>
      </c>
      <c r="Y284" s="28">
        <v>847205.20000000007</v>
      </c>
      <c r="Z284" s="28">
        <v>1562552.4699999997</v>
      </c>
      <c r="AA284" s="28">
        <v>1311915.3400000001</v>
      </c>
      <c r="AB284" s="28">
        <v>2596105.63</v>
      </c>
      <c r="AC284" s="28">
        <v>2833882.01</v>
      </c>
      <c r="AD284" s="28">
        <v>5693507.0599999996</v>
      </c>
      <c r="AE284" s="28">
        <v>773426.27999999991</v>
      </c>
      <c r="AF284" s="28">
        <v>41980389.5</v>
      </c>
      <c r="AG284" s="147"/>
      <c r="AH284" s="147"/>
      <c r="AI284" s="405">
        <v>1707</v>
      </c>
      <c r="AJ284" s="460">
        <v>2001.5</v>
      </c>
      <c r="AK284" s="417">
        <v>0.85289999999999999</v>
      </c>
      <c r="AL284" s="405">
        <v>12</v>
      </c>
      <c r="AM284" s="147"/>
    </row>
    <row r="285" spans="1:39">
      <c r="A285" s="71">
        <v>278</v>
      </c>
      <c r="B285" s="71" t="s">
        <v>1396</v>
      </c>
      <c r="C285" s="28">
        <v>36</v>
      </c>
      <c r="D285" s="28">
        <v>0</v>
      </c>
      <c r="E285" s="28">
        <v>115</v>
      </c>
      <c r="F285" s="28">
        <v>661</v>
      </c>
      <c r="G285" s="28">
        <v>426</v>
      </c>
      <c r="H285" s="28">
        <v>522</v>
      </c>
      <c r="I285" s="28">
        <v>75</v>
      </c>
      <c r="J285" s="28">
        <v>72</v>
      </c>
      <c r="K285" s="28">
        <v>17</v>
      </c>
      <c r="L285" s="28">
        <v>39</v>
      </c>
      <c r="M285" s="28">
        <v>18</v>
      </c>
      <c r="N285" s="28">
        <v>18</v>
      </c>
      <c r="O285" s="28">
        <v>679</v>
      </c>
      <c r="P285" s="516">
        <v>1817</v>
      </c>
      <c r="Q285" s="517">
        <v>1</v>
      </c>
      <c r="R285" s="6">
        <v>7</v>
      </c>
      <c r="S285" s="369">
        <v>0.38540000000000002</v>
      </c>
      <c r="T285" s="365"/>
      <c r="U285" s="28">
        <v>1163286.21</v>
      </c>
      <c r="V285" s="28">
        <v>1740894.5999999999</v>
      </c>
      <c r="W285" s="28">
        <v>10781057.68</v>
      </c>
      <c r="X285" s="28">
        <v>2092917.7500000002</v>
      </c>
      <c r="Y285" s="28">
        <v>444290.27</v>
      </c>
      <c r="Z285" s="28">
        <v>1278436.83</v>
      </c>
      <c r="AA285" s="28">
        <v>850536.44</v>
      </c>
      <c r="AB285" s="28">
        <v>1118412.51</v>
      </c>
      <c r="AC285" s="28">
        <v>2289301.9200000004</v>
      </c>
      <c r="AD285" s="28">
        <v>3721324.67</v>
      </c>
      <c r="AE285" s="28">
        <v>597647.57999999996</v>
      </c>
      <c r="AF285" s="28">
        <v>26078106.460000001</v>
      </c>
      <c r="AG285" s="147"/>
      <c r="AH285" s="147"/>
      <c r="AI285" s="405">
        <v>679</v>
      </c>
      <c r="AJ285" s="460">
        <v>1762</v>
      </c>
      <c r="AK285" s="417">
        <v>0.38540000000000002</v>
      </c>
      <c r="AL285" s="405">
        <v>7</v>
      </c>
      <c r="AM285" s="147"/>
    </row>
    <row r="286" spans="1:39">
      <c r="A286" s="71">
        <v>279</v>
      </c>
      <c r="B286" s="71" t="s">
        <v>1397</v>
      </c>
      <c r="C286" s="28">
        <v>0</v>
      </c>
      <c r="D286" s="28">
        <v>0</v>
      </c>
      <c r="E286" s="28">
        <v>0</v>
      </c>
      <c r="F286" s="28">
        <v>0</v>
      </c>
      <c r="G286" s="28">
        <v>0</v>
      </c>
      <c r="H286" s="28">
        <v>0</v>
      </c>
      <c r="I286" s="28">
        <v>0</v>
      </c>
      <c r="J286" s="28">
        <v>0</v>
      </c>
      <c r="K286" s="28">
        <v>0</v>
      </c>
      <c r="L286" s="28">
        <v>0</v>
      </c>
      <c r="M286" s="28">
        <v>0</v>
      </c>
      <c r="N286" s="28">
        <v>0</v>
      </c>
      <c r="O286" s="28">
        <v>0</v>
      </c>
      <c r="P286" s="516">
        <v>0</v>
      </c>
      <c r="Q286" s="517">
        <v>1</v>
      </c>
      <c r="R286" s="6">
        <v>0</v>
      </c>
      <c r="S286" s="369">
        <v>0</v>
      </c>
      <c r="T286" s="94"/>
      <c r="U286" s="28">
        <v>0</v>
      </c>
      <c r="V286" s="28">
        <v>0</v>
      </c>
      <c r="W286" s="28">
        <v>0</v>
      </c>
      <c r="X286" s="28">
        <v>0</v>
      </c>
      <c r="Y286" s="28">
        <v>0</v>
      </c>
      <c r="Z286" s="28">
        <v>0</v>
      </c>
      <c r="AA286" s="28">
        <v>0</v>
      </c>
      <c r="AB286" s="28">
        <v>0</v>
      </c>
      <c r="AC286" s="28">
        <v>0</v>
      </c>
      <c r="AD286" s="28">
        <v>0</v>
      </c>
      <c r="AE286" s="28">
        <v>0</v>
      </c>
      <c r="AF286" s="28">
        <v>0</v>
      </c>
      <c r="AG286" s="147"/>
      <c r="AH286" s="147"/>
      <c r="AI286" s="405">
        <v>0</v>
      </c>
      <c r="AJ286" s="460">
        <v>0</v>
      </c>
      <c r="AK286" s="417">
        <v>0</v>
      </c>
      <c r="AL286" s="405">
        <v>0</v>
      </c>
      <c r="AM286" s="147"/>
    </row>
    <row r="287" spans="1:39">
      <c r="A287" s="71">
        <v>280</v>
      </c>
      <c r="B287" s="71" t="s">
        <v>1398</v>
      </c>
      <c r="C287" s="28">
        <v>0</v>
      </c>
      <c r="D287" s="28">
        <v>0</v>
      </c>
      <c r="E287" s="28">
        <v>0</v>
      </c>
      <c r="F287" s="28">
        <v>0</v>
      </c>
      <c r="G287" s="28">
        <v>0</v>
      </c>
      <c r="H287" s="28">
        <v>0</v>
      </c>
      <c r="I287" s="28">
        <v>4</v>
      </c>
      <c r="J287" s="28">
        <v>0</v>
      </c>
      <c r="K287" s="28">
        <v>0</v>
      </c>
      <c r="L287" s="28">
        <v>0</v>
      </c>
      <c r="M287" s="28">
        <v>0</v>
      </c>
      <c r="N287" s="28">
        <v>0</v>
      </c>
      <c r="O287" s="28">
        <v>0</v>
      </c>
      <c r="P287" s="516">
        <v>4</v>
      </c>
      <c r="Q287" s="517">
        <v>1</v>
      </c>
      <c r="R287" s="6">
        <v>0</v>
      </c>
      <c r="S287" s="369">
        <v>0</v>
      </c>
      <c r="T287" s="94"/>
      <c r="U287" s="28">
        <v>1794.6</v>
      </c>
      <c r="V287" s="28">
        <v>3241.2</v>
      </c>
      <c r="W287" s="28">
        <v>32695.72</v>
      </c>
      <c r="X287" s="28">
        <v>2284.2800000000002</v>
      </c>
      <c r="Y287" s="28">
        <v>1022.04</v>
      </c>
      <c r="Z287" s="28">
        <v>6022.92</v>
      </c>
      <c r="AA287" s="28">
        <v>1804.48</v>
      </c>
      <c r="AB287" s="28">
        <v>2430.64</v>
      </c>
      <c r="AC287" s="28">
        <v>8119</v>
      </c>
      <c r="AD287" s="28">
        <v>8026.44</v>
      </c>
      <c r="AE287" s="28">
        <v>0</v>
      </c>
      <c r="AF287" s="28">
        <v>67441.320000000007</v>
      </c>
      <c r="AG287" s="147"/>
      <c r="AH287" s="147"/>
      <c r="AI287" s="405">
        <v>0</v>
      </c>
      <c r="AJ287" s="460">
        <v>0</v>
      </c>
      <c r="AK287" s="417">
        <v>0</v>
      </c>
      <c r="AL287" s="405">
        <v>0</v>
      </c>
      <c r="AM287" s="147"/>
    </row>
    <row r="288" spans="1:39">
      <c r="A288" s="71">
        <v>281</v>
      </c>
      <c r="B288" s="71" t="s">
        <v>1399</v>
      </c>
      <c r="C288" s="28">
        <v>1916</v>
      </c>
      <c r="D288" s="28">
        <v>0</v>
      </c>
      <c r="E288" s="28">
        <v>1886</v>
      </c>
      <c r="F288" s="28">
        <v>9967</v>
      </c>
      <c r="G288" s="28">
        <v>6406</v>
      </c>
      <c r="H288" s="28">
        <v>8091</v>
      </c>
      <c r="I288" s="28">
        <v>1086</v>
      </c>
      <c r="J288" s="28">
        <v>1090</v>
      </c>
      <c r="K288" s="28">
        <v>264</v>
      </c>
      <c r="L288" s="28">
        <v>2540</v>
      </c>
      <c r="M288" s="28">
        <v>722</v>
      </c>
      <c r="N288" s="28">
        <v>1148</v>
      </c>
      <c r="O288" s="28">
        <v>23990</v>
      </c>
      <c r="P288" s="516">
        <v>28394</v>
      </c>
      <c r="Q288" s="517">
        <v>1</v>
      </c>
      <c r="R288" s="6">
        <v>12</v>
      </c>
      <c r="S288" s="369">
        <v>0.87570000000000003</v>
      </c>
      <c r="T288" s="365"/>
      <c r="U288" s="28">
        <v>20361605.340000004</v>
      </c>
      <c r="V288" s="28">
        <v>36967331.680000007</v>
      </c>
      <c r="W288" s="28">
        <v>261252343.5</v>
      </c>
      <c r="X288" s="28">
        <v>33154366.269999996</v>
      </c>
      <c r="Y288" s="28">
        <v>11412102.07</v>
      </c>
      <c r="Z288" s="28">
        <v>20989695.370000001</v>
      </c>
      <c r="AA288" s="28">
        <v>17153575.830000002</v>
      </c>
      <c r="AB288" s="28">
        <v>36135855.319999993</v>
      </c>
      <c r="AC288" s="28">
        <v>36671264.220000006</v>
      </c>
      <c r="AD288" s="28">
        <v>74243382.569999993</v>
      </c>
      <c r="AE288" s="28">
        <v>9281115.3599999994</v>
      </c>
      <c r="AF288" s="28">
        <v>557622637.52999997</v>
      </c>
      <c r="AG288" s="147"/>
      <c r="AH288" s="147"/>
      <c r="AI288" s="405">
        <v>23990</v>
      </c>
      <c r="AJ288" s="460">
        <v>27394</v>
      </c>
      <c r="AK288" s="417">
        <v>0.87570000000000003</v>
      </c>
      <c r="AL288" s="405">
        <v>12</v>
      </c>
      <c r="AM288" s="147"/>
    </row>
    <row r="289" spans="1:39">
      <c r="A289" s="71">
        <v>282</v>
      </c>
      <c r="B289" s="71" t="s">
        <v>1400</v>
      </c>
      <c r="C289" s="28">
        <v>0</v>
      </c>
      <c r="D289" s="28">
        <v>0</v>
      </c>
      <c r="E289" s="28">
        <v>0</v>
      </c>
      <c r="F289" s="28">
        <v>0</v>
      </c>
      <c r="G289" s="28">
        <v>0</v>
      </c>
      <c r="H289" s="28">
        <v>0</v>
      </c>
      <c r="I289" s="28">
        <v>1</v>
      </c>
      <c r="J289" s="28">
        <v>0</v>
      </c>
      <c r="K289" s="28">
        <v>0</v>
      </c>
      <c r="L289" s="28">
        <v>0</v>
      </c>
      <c r="M289" s="28">
        <v>0</v>
      </c>
      <c r="N289" s="28">
        <v>0</v>
      </c>
      <c r="O289" s="28">
        <v>0</v>
      </c>
      <c r="P289" s="516">
        <v>1</v>
      </c>
      <c r="Q289" s="517">
        <v>1</v>
      </c>
      <c r="R289" s="6">
        <v>0</v>
      </c>
      <c r="S289" s="369">
        <v>0</v>
      </c>
      <c r="T289" s="94"/>
      <c r="U289" s="28">
        <v>448.65</v>
      </c>
      <c r="V289" s="28">
        <v>810.3</v>
      </c>
      <c r="W289" s="28">
        <v>8173.93</v>
      </c>
      <c r="X289" s="28">
        <v>571.07000000000005</v>
      </c>
      <c r="Y289" s="28">
        <v>255.51</v>
      </c>
      <c r="Z289" s="28">
        <v>1505.73</v>
      </c>
      <c r="AA289" s="28">
        <v>451.12</v>
      </c>
      <c r="AB289" s="28">
        <v>607.66</v>
      </c>
      <c r="AC289" s="28">
        <v>2029.75</v>
      </c>
      <c r="AD289" s="28">
        <v>2006.61</v>
      </c>
      <c r="AE289" s="28">
        <v>0</v>
      </c>
      <c r="AF289" s="28">
        <v>16860.330000000002</v>
      </c>
      <c r="AG289" s="147"/>
      <c r="AH289" s="147"/>
      <c r="AI289" s="405">
        <v>0</v>
      </c>
      <c r="AJ289" s="460">
        <v>0</v>
      </c>
      <c r="AK289" s="417">
        <v>0</v>
      </c>
      <c r="AL289" s="405">
        <v>0</v>
      </c>
      <c r="AM289" s="147"/>
    </row>
    <row r="290" spans="1:39">
      <c r="A290" s="71">
        <v>283</v>
      </c>
      <c r="B290" s="71" t="s">
        <v>1401</v>
      </c>
      <c r="C290" s="28">
        <v>0</v>
      </c>
      <c r="D290" s="28">
        <v>0</v>
      </c>
      <c r="E290" s="28">
        <v>0</v>
      </c>
      <c r="F290" s="28">
        <v>0</v>
      </c>
      <c r="G290" s="28">
        <v>0</v>
      </c>
      <c r="H290" s="28">
        <v>0</v>
      </c>
      <c r="I290" s="28">
        <v>0</v>
      </c>
      <c r="J290" s="28">
        <v>0</v>
      </c>
      <c r="K290" s="28">
        <v>0</v>
      </c>
      <c r="L290" s="28">
        <v>0</v>
      </c>
      <c r="M290" s="28">
        <v>0</v>
      </c>
      <c r="N290" s="28">
        <v>0</v>
      </c>
      <c r="O290" s="28">
        <v>0</v>
      </c>
      <c r="P290" s="516">
        <v>0</v>
      </c>
      <c r="Q290" s="517">
        <v>1</v>
      </c>
      <c r="R290" s="6">
        <v>0</v>
      </c>
      <c r="S290" s="369">
        <v>0</v>
      </c>
      <c r="T290" s="94"/>
      <c r="U290" s="28">
        <v>0</v>
      </c>
      <c r="V290" s="28">
        <v>0</v>
      </c>
      <c r="W290" s="28">
        <v>0</v>
      </c>
      <c r="X290" s="28">
        <v>0</v>
      </c>
      <c r="Y290" s="28">
        <v>0</v>
      </c>
      <c r="Z290" s="28">
        <v>0</v>
      </c>
      <c r="AA290" s="28">
        <v>0</v>
      </c>
      <c r="AB290" s="28">
        <v>0</v>
      </c>
      <c r="AC290" s="28">
        <v>0</v>
      </c>
      <c r="AD290" s="28">
        <v>0</v>
      </c>
      <c r="AE290" s="28">
        <v>0</v>
      </c>
      <c r="AF290" s="28">
        <v>0</v>
      </c>
      <c r="AG290" s="147"/>
      <c r="AH290" s="147"/>
      <c r="AI290" s="405">
        <v>0</v>
      </c>
      <c r="AJ290" s="460">
        <v>0</v>
      </c>
      <c r="AK290" s="417">
        <v>0</v>
      </c>
      <c r="AL290" s="405">
        <v>0</v>
      </c>
      <c r="AM290" s="147"/>
    </row>
    <row r="291" spans="1:39">
      <c r="A291" s="71">
        <v>284</v>
      </c>
      <c r="B291" s="71" t="s">
        <v>1402</v>
      </c>
      <c r="C291" s="28">
        <v>46</v>
      </c>
      <c r="D291" s="28">
        <v>0</v>
      </c>
      <c r="E291" s="28">
        <v>217</v>
      </c>
      <c r="F291" s="28">
        <v>1004</v>
      </c>
      <c r="G291" s="28">
        <v>563</v>
      </c>
      <c r="H291" s="28">
        <v>641</v>
      </c>
      <c r="I291" s="28">
        <v>8</v>
      </c>
      <c r="J291" s="28">
        <v>95</v>
      </c>
      <c r="K291" s="28">
        <v>24</v>
      </c>
      <c r="L291" s="28">
        <v>69</v>
      </c>
      <c r="M291" s="28">
        <v>22</v>
      </c>
      <c r="N291" s="28">
        <v>21</v>
      </c>
      <c r="O291" s="28">
        <v>626</v>
      </c>
      <c r="P291" s="516">
        <v>2456</v>
      </c>
      <c r="Q291" s="517">
        <v>1.04</v>
      </c>
      <c r="R291" s="6">
        <v>5</v>
      </c>
      <c r="S291" s="369">
        <v>0.25850000000000001</v>
      </c>
      <c r="T291" s="365"/>
      <c r="U291" s="28">
        <v>1600642.7527999997</v>
      </c>
      <c r="V291" s="28">
        <v>2296451.7576000001</v>
      </c>
      <c r="W291" s="28">
        <v>13152595.060799997</v>
      </c>
      <c r="X291" s="28">
        <v>2987454.4960000003</v>
      </c>
      <c r="Y291" s="28">
        <v>540371.30159999989</v>
      </c>
      <c r="Z291" s="28">
        <v>1606537.91</v>
      </c>
      <c r="AA291" s="28">
        <v>1123776.5447999998</v>
      </c>
      <c r="AB291" s="28">
        <v>1180521.8047999998</v>
      </c>
      <c r="AC291" s="28">
        <v>3111673.5728000002</v>
      </c>
      <c r="AD291" s="28">
        <v>4746591.13</v>
      </c>
      <c r="AE291" s="28">
        <v>843737.76</v>
      </c>
      <c r="AF291" s="28">
        <v>33190354.091199998</v>
      </c>
      <c r="AG291" s="147"/>
      <c r="AH291" s="147"/>
      <c r="AI291" s="405">
        <v>626</v>
      </c>
      <c r="AJ291" s="460">
        <v>2422</v>
      </c>
      <c r="AK291" s="417">
        <v>0.25850000000000001</v>
      </c>
      <c r="AL291" s="405">
        <v>5</v>
      </c>
      <c r="AM291" s="147"/>
    </row>
    <row r="292" spans="1:39">
      <c r="A292" s="71">
        <v>285</v>
      </c>
      <c r="B292" s="71" t="s">
        <v>1403</v>
      </c>
      <c r="C292" s="28">
        <v>50</v>
      </c>
      <c r="D292" s="28">
        <v>0</v>
      </c>
      <c r="E292" s="28">
        <v>280</v>
      </c>
      <c r="F292" s="28">
        <v>1421</v>
      </c>
      <c r="G292" s="28">
        <v>871</v>
      </c>
      <c r="H292" s="28">
        <v>1184</v>
      </c>
      <c r="I292" s="28">
        <v>0</v>
      </c>
      <c r="J292" s="28">
        <v>148</v>
      </c>
      <c r="K292" s="28">
        <v>38</v>
      </c>
      <c r="L292" s="28">
        <v>253</v>
      </c>
      <c r="M292" s="28">
        <v>80</v>
      </c>
      <c r="N292" s="28">
        <v>104</v>
      </c>
      <c r="O292" s="28">
        <v>1867</v>
      </c>
      <c r="P292" s="516">
        <v>3781</v>
      </c>
      <c r="Q292" s="517">
        <v>1.044</v>
      </c>
      <c r="R292" s="6">
        <v>9</v>
      </c>
      <c r="S292" s="369">
        <v>0.49909999999999999</v>
      </c>
      <c r="T292" s="365"/>
      <c r="U292" s="28">
        <v>2626084.3338000001</v>
      </c>
      <c r="V292" s="28">
        <v>4128891.8594400003</v>
      </c>
      <c r="W292" s="28">
        <v>26015985.634679999</v>
      </c>
      <c r="X292" s="28">
        <v>4615795.8784800014</v>
      </c>
      <c r="Y292" s="28">
        <v>1100250.8661600002</v>
      </c>
      <c r="Z292" s="28">
        <v>2600656.3499999996</v>
      </c>
      <c r="AA292" s="28">
        <v>1981947.8282399999</v>
      </c>
      <c r="AB292" s="28">
        <v>2998102.1871600002</v>
      </c>
      <c r="AC292" s="28">
        <v>4910170.7836800003</v>
      </c>
      <c r="AD292" s="28">
        <v>8220346.5300000003</v>
      </c>
      <c r="AE292" s="28">
        <v>1335918.1199999999</v>
      </c>
      <c r="AF292" s="28">
        <v>60534150.371639997</v>
      </c>
      <c r="AG292" s="147"/>
      <c r="AH292" s="147"/>
      <c r="AI292" s="405">
        <v>1867</v>
      </c>
      <c r="AJ292" s="460">
        <v>3740.5</v>
      </c>
      <c r="AK292" s="417">
        <v>0.49909999999999999</v>
      </c>
      <c r="AL292" s="405">
        <v>9</v>
      </c>
      <c r="AM292" s="147"/>
    </row>
    <row r="293" spans="1:39">
      <c r="A293" s="71">
        <v>286</v>
      </c>
      <c r="B293" s="71" t="s">
        <v>1404</v>
      </c>
      <c r="C293" s="28">
        <v>0</v>
      </c>
      <c r="D293" s="28">
        <v>0</v>
      </c>
      <c r="E293" s="28">
        <v>0</v>
      </c>
      <c r="F293" s="28">
        <v>0</v>
      </c>
      <c r="G293" s="28">
        <v>0</v>
      </c>
      <c r="H293" s="28">
        <v>0</v>
      </c>
      <c r="I293" s="28">
        <v>0</v>
      </c>
      <c r="J293" s="28">
        <v>0</v>
      </c>
      <c r="K293" s="28">
        <v>0</v>
      </c>
      <c r="L293" s="28">
        <v>0</v>
      </c>
      <c r="M293" s="28">
        <v>0</v>
      </c>
      <c r="N293" s="28">
        <v>0</v>
      </c>
      <c r="O293" s="28">
        <v>0</v>
      </c>
      <c r="P293" s="516">
        <v>0</v>
      </c>
      <c r="Q293" s="517">
        <v>1.05</v>
      </c>
      <c r="R293" s="6">
        <v>0</v>
      </c>
      <c r="S293" s="369">
        <v>0</v>
      </c>
      <c r="T293" s="94"/>
      <c r="U293" s="28">
        <v>0</v>
      </c>
      <c r="V293" s="28">
        <v>0</v>
      </c>
      <c r="W293" s="28">
        <v>0</v>
      </c>
      <c r="X293" s="28">
        <v>0</v>
      </c>
      <c r="Y293" s="28">
        <v>0</v>
      </c>
      <c r="Z293" s="28">
        <v>0</v>
      </c>
      <c r="AA293" s="28">
        <v>0</v>
      </c>
      <c r="AB293" s="28">
        <v>0</v>
      </c>
      <c r="AC293" s="28">
        <v>0</v>
      </c>
      <c r="AD293" s="28">
        <v>0</v>
      </c>
      <c r="AE293" s="28">
        <v>0</v>
      </c>
      <c r="AF293" s="28">
        <v>0</v>
      </c>
      <c r="AG293" s="147"/>
      <c r="AH293" s="147"/>
      <c r="AI293" s="405">
        <v>0</v>
      </c>
      <c r="AJ293" s="460">
        <v>0</v>
      </c>
      <c r="AK293" s="417">
        <v>0</v>
      </c>
      <c r="AL293" s="405">
        <v>0</v>
      </c>
      <c r="AM293" s="147"/>
    </row>
    <row r="294" spans="1:39">
      <c r="A294" s="71">
        <v>287</v>
      </c>
      <c r="B294" s="71" t="s">
        <v>1405</v>
      </c>
      <c r="C294" s="28">
        <v>57</v>
      </c>
      <c r="D294" s="28">
        <v>0</v>
      </c>
      <c r="E294" s="28">
        <v>127</v>
      </c>
      <c r="F294" s="28">
        <v>620</v>
      </c>
      <c r="G294" s="28">
        <v>125</v>
      </c>
      <c r="H294" s="28">
        <v>0</v>
      </c>
      <c r="I294" s="28">
        <v>0</v>
      </c>
      <c r="J294" s="28">
        <v>34</v>
      </c>
      <c r="K294" s="28">
        <v>9</v>
      </c>
      <c r="L294" s="28">
        <v>41</v>
      </c>
      <c r="M294" s="28">
        <v>3</v>
      </c>
      <c r="N294" s="28">
        <v>0</v>
      </c>
      <c r="O294" s="28">
        <v>253</v>
      </c>
      <c r="P294" s="516">
        <v>901</v>
      </c>
      <c r="Q294" s="517">
        <v>1</v>
      </c>
      <c r="R294" s="6">
        <v>5</v>
      </c>
      <c r="S294" s="369">
        <v>0.28360000000000002</v>
      </c>
      <c r="T294" s="365"/>
      <c r="U294" s="28">
        <v>564189.43999999994</v>
      </c>
      <c r="V294" s="28">
        <v>817239.6</v>
      </c>
      <c r="W294" s="28">
        <v>4468465.41</v>
      </c>
      <c r="X294" s="28">
        <v>1158205.3199999998</v>
      </c>
      <c r="Y294" s="28">
        <v>190562.53999999998</v>
      </c>
      <c r="Z294" s="28">
        <v>510756.58999999997</v>
      </c>
      <c r="AA294" s="28">
        <v>379513.38</v>
      </c>
      <c r="AB294" s="28">
        <v>313126.51</v>
      </c>
      <c r="AC294" s="28">
        <v>1072249.3800000001</v>
      </c>
      <c r="AD294" s="28">
        <v>1759479.64</v>
      </c>
      <c r="AE294" s="28">
        <v>316401.65999999997</v>
      </c>
      <c r="AF294" s="28">
        <v>11550189.470000001</v>
      </c>
      <c r="AG294" s="147"/>
      <c r="AH294" s="147"/>
      <c r="AI294" s="405">
        <v>253</v>
      </c>
      <c r="AJ294" s="460">
        <v>892</v>
      </c>
      <c r="AK294" s="417">
        <v>0.28360000000000002</v>
      </c>
      <c r="AL294" s="405">
        <v>5</v>
      </c>
      <c r="AM294" s="147"/>
    </row>
    <row r="295" spans="1:39">
      <c r="A295" s="71">
        <v>288</v>
      </c>
      <c r="B295" s="71" t="s">
        <v>1406</v>
      </c>
      <c r="C295" s="28">
        <v>38</v>
      </c>
      <c r="D295" s="28">
        <v>0</v>
      </c>
      <c r="E295" s="28">
        <v>257</v>
      </c>
      <c r="F295" s="28">
        <v>1386</v>
      </c>
      <c r="G295" s="28">
        <v>842</v>
      </c>
      <c r="H295" s="28">
        <v>0</v>
      </c>
      <c r="I295" s="28">
        <v>5</v>
      </c>
      <c r="J295" s="28">
        <v>98</v>
      </c>
      <c r="K295" s="28">
        <v>25</v>
      </c>
      <c r="L295" s="28">
        <v>67</v>
      </c>
      <c r="M295" s="28">
        <v>6</v>
      </c>
      <c r="N295" s="28">
        <v>0</v>
      </c>
      <c r="O295" s="28">
        <v>228</v>
      </c>
      <c r="P295" s="516">
        <v>2509</v>
      </c>
      <c r="Q295" s="517">
        <v>1.002</v>
      </c>
      <c r="R295" s="6">
        <v>2</v>
      </c>
      <c r="S295" s="369">
        <v>9.0999999999999998E-2</v>
      </c>
      <c r="T295" s="365"/>
      <c r="U295" s="28">
        <v>1546234.1857799999</v>
      </c>
      <c r="V295" s="28">
        <v>2114619.13668</v>
      </c>
      <c r="W295" s="28">
        <v>10707267.65172</v>
      </c>
      <c r="X295" s="28">
        <v>3121048.1670599999</v>
      </c>
      <c r="Y295" s="28">
        <v>463032.92741999996</v>
      </c>
      <c r="Z295" s="28">
        <v>1411033.2399999998</v>
      </c>
      <c r="AA295" s="28">
        <v>1008334.96464</v>
      </c>
      <c r="AB295" s="28">
        <v>611044.08888000005</v>
      </c>
      <c r="AC295" s="28">
        <v>3036159.3482999997</v>
      </c>
      <c r="AD295" s="28">
        <v>4693410.1999999993</v>
      </c>
      <c r="AE295" s="28">
        <v>878893.5</v>
      </c>
      <c r="AF295" s="28">
        <v>29591077.410479996</v>
      </c>
      <c r="AG295" s="147"/>
      <c r="AH295" s="147"/>
      <c r="AI295" s="405">
        <v>228</v>
      </c>
      <c r="AJ295" s="460">
        <v>2506</v>
      </c>
      <c r="AK295" s="417">
        <v>9.0999999999999998E-2</v>
      </c>
      <c r="AL295" s="405">
        <v>2</v>
      </c>
      <c r="AM295" s="147"/>
    </row>
    <row r="296" spans="1:39">
      <c r="A296" s="71">
        <v>289</v>
      </c>
      <c r="B296" s="71" t="s">
        <v>1407</v>
      </c>
      <c r="C296" s="28">
        <v>4</v>
      </c>
      <c r="D296" s="28">
        <v>0</v>
      </c>
      <c r="E296" s="28">
        <v>17</v>
      </c>
      <c r="F296" s="28">
        <v>98</v>
      </c>
      <c r="G296" s="28">
        <v>24</v>
      </c>
      <c r="H296" s="28">
        <v>0</v>
      </c>
      <c r="I296" s="28">
        <v>1</v>
      </c>
      <c r="J296" s="28">
        <v>5</v>
      </c>
      <c r="K296" s="28">
        <v>1</v>
      </c>
      <c r="L296" s="28">
        <v>12</v>
      </c>
      <c r="M296" s="28">
        <v>0</v>
      </c>
      <c r="N296" s="28">
        <v>0</v>
      </c>
      <c r="O296" s="28">
        <v>73</v>
      </c>
      <c r="P296" s="516">
        <v>142</v>
      </c>
      <c r="Q296" s="517">
        <v>1</v>
      </c>
      <c r="R296" s="6">
        <v>8</v>
      </c>
      <c r="S296" s="369">
        <v>0.43070000000000003</v>
      </c>
      <c r="T296" s="365"/>
      <c r="U296" s="28">
        <v>90410.76999999999</v>
      </c>
      <c r="V296" s="28">
        <v>146696.1</v>
      </c>
      <c r="W296" s="28">
        <v>874796.1100000001</v>
      </c>
      <c r="X296" s="28">
        <v>178616.95</v>
      </c>
      <c r="Y296" s="28">
        <v>38291.22</v>
      </c>
      <c r="Z296" s="28">
        <v>83276.26999999999</v>
      </c>
      <c r="AA296" s="28">
        <v>67124.710000000006</v>
      </c>
      <c r="AB296" s="28">
        <v>85303.27</v>
      </c>
      <c r="AC296" s="28">
        <v>170879.81</v>
      </c>
      <c r="AD296" s="28">
        <v>306568.56999999995</v>
      </c>
      <c r="AE296" s="28">
        <v>35155.74</v>
      </c>
      <c r="AF296" s="28">
        <v>2077119.5199999998</v>
      </c>
      <c r="AG296" s="147"/>
      <c r="AH296" s="147"/>
      <c r="AI296" s="405">
        <v>73</v>
      </c>
      <c r="AJ296" s="460">
        <v>169.5</v>
      </c>
      <c r="AK296" s="417">
        <v>0.43070000000000003</v>
      </c>
      <c r="AL296" s="405">
        <v>8</v>
      </c>
      <c r="AM296" s="147"/>
    </row>
    <row r="297" spans="1:39">
      <c r="A297" s="71">
        <v>290</v>
      </c>
      <c r="B297" s="71" t="s">
        <v>1408</v>
      </c>
      <c r="C297" s="28">
        <v>46</v>
      </c>
      <c r="D297" s="28">
        <v>0</v>
      </c>
      <c r="E297" s="28">
        <v>102</v>
      </c>
      <c r="F297" s="28">
        <v>517</v>
      </c>
      <c r="G297" s="28">
        <v>291</v>
      </c>
      <c r="H297" s="28">
        <v>369</v>
      </c>
      <c r="I297" s="28">
        <v>12</v>
      </c>
      <c r="J297" s="28">
        <v>51</v>
      </c>
      <c r="K297" s="28">
        <v>13</v>
      </c>
      <c r="L297" s="28">
        <v>19</v>
      </c>
      <c r="M297" s="28">
        <v>3</v>
      </c>
      <c r="N297" s="28">
        <v>8</v>
      </c>
      <c r="O297" s="28">
        <v>273</v>
      </c>
      <c r="P297" s="516">
        <v>1314</v>
      </c>
      <c r="Q297" s="517">
        <v>1</v>
      </c>
      <c r="R297" s="6">
        <v>4</v>
      </c>
      <c r="S297" s="369">
        <v>0.21199999999999999</v>
      </c>
      <c r="T297" s="365"/>
      <c r="U297" s="28">
        <v>816364.25999999989</v>
      </c>
      <c r="V297" s="28">
        <v>1152815.79</v>
      </c>
      <c r="W297" s="28">
        <v>6573146.8800000008</v>
      </c>
      <c r="X297" s="28">
        <v>1522339.74</v>
      </c>
      <c r="Y297" s="28">
        <v>266578.02</v>
      </c>
      <c r="Z297" s="28">
        <v>869543.11999999988</v>
      </c>
      <c r="AA297" s="28">
        <v>568767.18000000005</v>
      </c>
      <c r="AB297" s="28">
        <v>574333.1</v>
      </c>
      <c r="AC297" s="28">
        <v>1599247.59</v>
      </c>
      <c r="AD297" s="28">
        <v>2492237.35</v>
      </c>
      <c r="AE297" s="28">
        <v>457024.62</v>
      </c>
      <c r="AF297" s="28">
        <v>16892397.649999999</v>
      </c>
      <c r="AG297" s="147"/>
      <c r="AH297" s="147"/>
      <c r="AI297" s="405">
        <v>273</v>
      </c>
      <c r="AJ297" s="460">
        <v>1287.5</v>
      </c>
      <c r="AK297" s="417">
        <v>0.21199999999999999</v>
      </c>
      <c r="AL297" s="405">
        <v>4</v>
      </c>
      <c r="AM297" s="147"/>
    </row>
    <row r="298" spans="1:39">
      <c r="A298" s="71">
        <v>291</v>
      </c>
      <c r="B298" s="71" t="s">
        <v>1409</v>
      </c>
      <c r="C298" s="28">
        <v>31</v>
      </c>
      <c r="D298" s="28">
        <v>0</v>
      </c>
      <c r="E298" s="28">
        <v>132</v>
      </c>
      <c r="F298" s="28">
        <v>762</v>
      </c>
      <c r="G298" s="28">
        <v>486</v>
      </c>
      <c r="H298" s="28">
        <v>639</v>
      </c>
      <c r="I298" s="28">
        <v>5</v>
      </c>
      <c r="J298" s="28">
        <v>79</v>
      </c>
      <c r="K298" s="28">
        <v>20</v>
      </c>
      <c r="L298" s="28">
        <v>84</v>
      </c>
      <c r="M298" s="28">
        <v>14</v>
      </c>
      <c r="N298" s="28">
        <v>19</v>
      </c>
      <c r="O298" s="28">
        <v>518</v>
      </c>
      <c r="P298" s="516">
        <v>2040</v>
      </c>
      <c r="Q298" s="517">
        <v>1</v>
      </c>
      <c r="R298" s="6">
        <v>5</v>
      </c>
      <c r="S298" s="369">
        <v>0.24579999999999999</v>
      </c>
      <c r="T298" s="365"/>
      <c r="U298" s="28">
        <v>1281215.0000000002</v>
      </c>
      <c r="V298" s="28">
        <v>1837741.8299999998</v>
      </c>
      <c r="W298" s="28">
        <v>10631168.699999999</v>
      </c>
      <c r="X298" s="28">
        <v>2346072.2400000002</v>
      </c>
      <c r="Y298" s="28">
        <v>433438.12999999995</v>
      </c>
      <c r="Z298" s="28">
        <v>1370260.6899999997</v>
      </c>
      <c r="AA298" s="28">
        <v>907251.85000000009</v>
      </c>
      <c r="AB298" s="28">
        <v>993669.8</v>
      </c>
      <c r="AC298" s="28">
        <v>2498555.1399999997</v>
      </c>
      <c r="AD298" s="28">
        <v>3941250.8299999996</v>
      </c>
      <c r="AE298" s="28">
        <v>703114.79999999993</v>
      </c>
      <c r="AF298" s="28">
        <v>26943739.010000002</v>
      </c>
      <c r="AG298" s="147"/>
      <c r="AH298" s="147"/>
      <c r="AI298" s="405">
        <v>518</v>
      </c>
      <c r="AJ298" s="460">
        <v>2107</v>
      </c>
      <c r="AK298" s="417">
        <v>0.24579999999999999</v>
      </c>
      <c r="AL298" s="405">
        <v>5</v>
      </c>
      <c r="AM298" s="147"/>
    </row>
    <row r="299" spans="1:39">
      <c r="A299" s="71">
        <v>292</v>
      </c>
      <c r="B299" s="71" t="s">
        <v>1410</v>
      </c>
      <c r="C299" s="28">
        <v>56</v>
      </c>
      <c r="D299" s="28">
        <v>0</v>
      </c>
      <c r="E299" s="28">
        <v>153</v>
      </c>
      <c r="F299" s="28">
        <v>785</v>
      </c>
      <c r="G299" s="28">
        <v>513</v>
      </c>
      <c r="H299" s="28">
        <v>602</v>
      </c>
      <c r="I299" s="28">
        <v>0</v>
      </c>
      <c r="J299" s="28">
        <v>81</v>
      </c>
      <c r="K299" s="28">
        <v>21</v>
      </c>
      <c r="L299" s="28">
        <v>12</v>
      </c>
      <c r="M299" s="28">
        <v>7</v>
      </c>
      <c r="N299" s="28">
        <v>7</v>
      </c>
      <c r="O299" s="28">
        <v>662</v>
      </c>
      <c r="P299" s="516">
        <v>2081</v>
      </c>
      <c r="Q299" s="517">
        <v>1</v>
      </c>
      <c r="R299" s="6">
        <v>6</v>
      </c>
      <c r="S299" s="369">
        <v>0.32550000000000001</v>
      </c>
      <c r="T299" s="365"/>
      <c r="U299" s="28">
        <v>1313410.1999999997</v>
      </c>
      <c r="V299" s="28">
        <v>1919739.4</v>
      </c>
      <c r="W299" s="28">
        <v>11253211.899999999</v>
      </c>
      <c r="X299" s="28">
        <v>2395478.0999999996</v>
      </c>
      <c r="Y299" s="28">
        <v>466341.26999999996</v>
      </c>
      <c r="Z299" s="28">
        <v>1368559.7200000002</v>
      </c>
      <c r="AA299" s="28">
        <v>939234.18</v>
      </c>
      <c r="AB299" s="28">
        <v>1116532.2200000002</v>
      </c>
      <c r="AC299" s="28">
        <v>2512648.58</v>
      </c>
      <c r="AD299" s="28">
        <v>4101768.0300000003</v>
      </c>
      <c r="AE299" s="28">
        <v>738270.53999999992</v>
      </c>
      <c r="AF299" s="28">
        <v>28125194.139999993</v>
      </c>
      <c r="AG299" s="147"/>
      <c r="AH299" s="147"/>
      <c r="AI299" s="405">
        <v>662</v>
      </c>
      <c r="AJ299" s="460">
        <v>2034</v>
      </c>
      <c r="AK299" s="417">
        <v>0.32550000000000001</v>
      </c>
      <c r="AL299" s="405">
        <v>6</v>
      </c>
      <c r="AM299" s="147"/>
    </row>
    <row r="300" spans="1:39">
      <c r="A300" s="71">
        <v>293</v>
      </c>
      <c r="B300" s="71" t="s">
        <v>1411</v>
      </c>
      <c r="C300" s="28">
        <v>357</v>
      </c>
      <c r="D300" s="28">
        <v>0</v>
      </c>
      <c r="E300" s="28">
        <v>628</v>
      </c>
      <c r="F300" s="28">
        <v>3039</v>
      </c>
      <c r="G300" s="28">
        <v>2021</v>
      </c>
      <c r="H300" s="28">
        <v>1506</v>
      </c>
      <c r="I300" s="28">
        <v>862</v>
      </c>
      <c r="J300" s="28">
        <v>325</v>
      </c>
      <c r="K300" s="28">
        <v>72</v>
      </c>
      <c r="L300" s="28">
        <v>383</v>
      </c>
      <c r="M300" s="28">
        <v>147</v>
      </c>
      <c r="N300" s="28">
        <v>178</v>
      </c>
      <c r="O300" s="28">
        <v>5111</v>
      </c>
      <c r="P300" s="516">
        <v>8235</v>
      </c>
      <c r="Q300" s="517">
        <v>1</v>
      </c>
      <c r="R300" s="6">
        <v>10</v>
      </c>
      <c r="S300" s="369">
        <v>0.6421</v>
      </c>
      <c r="T300" s="365"/>
      <c r="U300" s="28">
        <v>5543969.2499999991</v>
      </c>
      <c r="V300" s="28">
        <v>9158121.7699999996</v>
      </c>
      <c r="W300" s="28">
        <v>62369620.170000002</v>
      </c>
      <c r="X300" s="28">
        <v>9652057.6799999997</v>
      </c>
      <c r="Y300" s="28">
        <v>2650780.8899999997</v>
      </c>
      <c r="Z300" s="28">
        <v>6161468.0300000003</v>
      </c>
      <c r="AA300" s="28">
        <v>4336686.93</v>
      </c>
      <c r="AB300" s="28">
        <v>7378327.3900000006</v>
      </c>
      <c r="AC300" s="28">
        <v>10982586.609999999</v>
      </c>
      <c r="AD300" s="28">
        <v>19259442.210000001</v>
      </c>
      <c r="AE300" s="28">
        <v>2531213.2799999998</v>
      </c>
      <c r="AF300" s="28">
        <v>140024274.21000001</v>
      </c>
      <c r="AG300" s="147"/>
      <c r="AH300" s="147"/>
      <c r="AI300" s="405">
        <v>5111</v>
      </c>
      <c r="AJ300" s="460">
        <v>7959.5</v>
      </c>
      <c r="AK300" s="417">
        <v>0.6421</v>
      </c>
      <c r="AL300" s="405">
        <v>10</v>
      </c>
      <c r="AM300" s="147"/>
    </row>
    <row r="301" spans="1:39">
      <c r="A301" s="71">
        <v>294</v>
      </c>
      <c r="B301" s="71" t="s">
        <v>1412</v>
      </c>
      <c r="C301" s="28">
        <v>0</v>
      </c>
      <c r="D301" s="28">
        <v>0</v>
      </c>
      <c r="E301" s="28">
        <v>0</v>
      </c>
      <c r="F301" s="28">
        <v>0</v>
      </c>
      <c r="G301" s="28">
        <v>0</v>
      </c>
      <c r="H301" s="28">
        <v>0</v>
      </c>
      <c r="I301" s="28">
        <v>1</v>
      </c>
      <c r="J301" s="28">
        <v>0</v>
      </c>
      <c r="K301" s="28">
        <v>0</v>
      </c>
      <c r="L301" s="28">
        <v>0</v>
      </c>
      <c r="M301" s="28">
        <v>0</v>
      </c>
      <c r="N301" s="28">
        <v>0</v>
      </c>
      <c r="O301" s="28">
        <v>0</v>
      </c>
      <c r="P301" s="516">
        <v>1</v>
      </c>
      <c r="Q301" s="517">
        <v>1</v>
      </c>
      <c r="R301" s="6">
        <v>0</v>
      </c>
      <c r="S301" s="369">
        <v>0</v>
      </c>
      <c r="T301" s="94"/>
      <c r="U301" s="28">
        <v>448.65</v>
      </c>
      <c r="V301" s="28">
        <v>810.3</v>
      </c>
      <c r="W301" s="28">
        <v>8173.93</v>
      </c>
      <c r="X301" s="28">
        <v>571.07000000000005</v>
      </c>
      <c r="Y301" s="28">
        <v>255.51</v>
      </c>
      <c r="Z301" s="28">
        <v>1505.73</v>
      </c>
      <c r="AA301" s="28">
        <v>451.12</v>
      </c>
      <c r="AB301" s="28">
        <v>607.66</v>
      </c>
      <c r="AC301" s="28">
        <v>2029.75</v>
      </c>
      <c r="AD301" s="28">
        <v>2006.61</v>
      </c>
      <c r="AE301" s="28">
        <v>0</v>
      </c>
      <c r="AF301" s="28">
        <v>16860.330000000002</v>
      </c>
      <c r="AG301" s="147"/>
      <c r="AH301" s="147"/>
      <c r="AI301" s="405">
        <v>0</v>
      </c>
      <c r="AJ301" s="460">
        <v>0</v>
      </c>
      <c r="AK301" s="417">
        <v>0</v>
      </c>
      <c r="AL301" s="405">
        <v>0</v>
      </c>
      <c r="AM301" s="147"/>
    </row>
    <row r="302" spans="1:39">
      <c r="A302" s="71">
        <v>295</v>
      </c>
      <c r="B302" s="71" t="s">
        <v>1413</v>
      </c>
      <c r="C302" s="28">
        <v>80</v>
      </c>
      <c r="D302" s="28">
        <v>0</v>
      </c>
      <c r="E302" s="28">
        <v>259</v>
      </c>
      <c r="F302" s="28">
        <v>1354</v>
      </c>
      <c r="G302" s="28">
        <v>817</v>
      </c>
      <c r="H302" s="28">
        <v>783</v>
      </c>
      <c r="I302" s="28">
        <v>5</v>
      </c>
      <c r="J302" s="28">
        <v>126</v>
      </c>
      <c r="K302" s="28">
        <v>32</v>
      </c>
      <c r="L302" s="28">
        <v>118</v>
      </c>
      <c r="M302" s="28">
        <v>19</v>
      </c>
      <c r="N302" s="28">
        <v>14</v>
      </c>
      <c r="O302" s="28">
        <v>838</v>
      </c>
      <c r="P302" s="516">
        <v>3258</v>
      </c>
      <c r="Q302" s="517">
        <v>1</v>
      </c>
      <c r="R302" s="6">
        <v>5</v>
      </c>
      <c r="S302" s="369">
        <v>0.26290000000000002</v>
      </c>
      <c r="T302" s="365"/>
      <c r="U302" s="28">
        <v>2042675.6199999999</v>
      </c>
      <c r="V302" s="28">
        <v>2931514.5900000003</v>
      </c>
      <c r="W302" s="28">
        <v>16669241.73</v>
      </c>
      <c r="X302" s="28">
        <v>3819460.5700000008</v>
      </c>
      <c r="Y302" s="28">
        <v>690108.52999999991</v>
      </c>
      <c r="Z302" s="28">
        <v>2104132.0100000002</v>
      </c>
      <c r="AA302" s="28">
        <v>1431127.1900000004</v>
      </c>
      <c r="AB302" s="28">
        <v>1486301.98</v>
      </c>
      <c r="AC302" s="28">
        <v>3965816.2399999998</v>
      </c>
      <c r="AD302" s="28">
        <v>6311541.9599999981</v>
      </c>
      <c r="AE302" s="28">
        <v>1124983.68</v>
      </c>
      <c r="AF302" s="28">
        <v>42576904.100000009</v>
      </c>
      <c r="AG302" s="147"/>
      <c r="AH302" s="147"/>
      <c r="AI302" s="405">
        <v>838</v>
      </c>
      <c r="AJ302" s="460">
        <v>3187.5</v>
      </c>
      <c r="AK302" s="417">
        <v>0.26290000000000002</v>
      </c>
      <c r="AL302" s="405">
        <v>5</v>
      </c>
      <c r="AM302" s="147"/>
    </row>
    <row r="303" spans="1:39">
      <c r="A303" s="71">
        <v>296</v>
      </c>
      <c r="B303" s="71" t="s">
        <v>1414</v>
      </c>
      <c r="C303" s="28">
        <v>8</v>
      </c>
      <c r="D303" s="28">
        <v>0</v>
      </c>
      <c r="E303" s="28">
        <v>35</v>
      </c>
      <c r="F303" s="28">
        <v>207</v>
      </c>
      <c r="G303" s="28">
        <v>109</v>
      </c>
      <c r="H303" s="28">
        <v>0</v>
      </c>
      <c r="I303" s="28">
        <v>0</v>
      </c>
      <c r="J303" s="28">
        <v>14</v>
      </c>
      <c r="K303" s="28">
        <v>4</v>
      </c>
      <c r="L303" s="28">
        <v>70</v>
      </c>
      <c r="M303" s="28">
        <v>10</v>
      </c>
      <c r="N303" s="28">
        <v>0</v>
      </c>
      <c r="O303" s="28">
        <v>173</v>
      </c>
      <c r="P303" s="516">
        <v>355</v>
      </c>
      <c r="Q303" s="517">
        <v>1</v>
      </c>
      <c r="R303" s="6">
        <v>10</v>
      </c>
      <c r="S303" s="369">
        <v>0.5554</v>
      </c>
      <c r="T303" s="365"/>
      <c r="U303" s="28">
        <v>243115.90999999997</v>
      </c>
      <c r="V303" s="28">
        <v>382584.62</v>
      </c>
      <c r="W303" s="28">
        <v>2296796.33</v>
      </c>
      <c r="X303" s="28">
        <v>458655.52</v>
      </c>
      <c r="Y303" s="28">
        <v>102454.73</v>
      </c>
      <c r="Z303" s="28">
        <v>213881.60999999996</v>
      </c>
      <c r="AA303" s="28">
        <v>175683.01000000004</v>
      </c>
      <c r="AB303" s="28">
        <v>231336.15000000002</v>
      </c>
      <c r="AC303" s="28">
        <v>451022.12000000005</v>
      </c>
      <c r="AD303" s="28">
        <v>803315.71999999986</v>
      </c>
      <c r="AE303" s="28">
        <v>140622.96</v>
      </c>
      <c r="AF303" s="28">
        <v>5499468.6799999997</v>
      </c>
      <c r="AG303" s="147"/>
      <c r="AH303" s="147"/>
      <c r="AI303" s="405">
        <v>173</v>
      </c>
      <c r="AJ303" s="460">
        <v>311.5</v>
      </c>
      <c r="AK303" s="417">
        <v>0.5554</v>
      </c>
      <c r="AL303" s="405">
        <v>10</v>
      </c>
      <c r="AM303" s="147"/>
    </row>
    <row r="304" spans="1:39">
      <c r="A304" s="71">
        <v>297</v>
      </c>
      <c r="B304" s="71" t="s">
        <v>1415</v>
      </c>
      <c r="C304" s="28">
        <v>0</v>
      </c>
      <c r="D304" s="28">
        <v>0</v>
      </c>
      <c r="E304" s="28">
        <v>0</v>
      </c>
      <c r="F304" s="28">
        <v>0</v>
      </c>
      <c r="G304" s="28">
        <v>0</v>
      </c>
      <c r="H304" s="28">
        <v>0</v>
      </c>
      <c r="I304" s="28">
        <v>0</v>
      </c>
      <c r="J304" s="28">
        <v>0</v>
      </c>
      <c r="K304" s="28">
        <v>0</v>
      </c>
      <c r="L304" s="28">
        <v>0</v>
      </c>
      <c r="M304" s="28">
        <v>0</v>
      </c>
      <c r="N304" s="28">
        <v>0</v>
      </c>
      <c r="O304" s="28">
        <v>0</v>
      </c>
      <c r="P304" s="516">
        <v>0</v>
      </c>
      <c r="Q304" s="517">
        <v>1</v>
      </c>
      <c r="R304" s="6">
        <v>0</v>
      </c>
      <c r="S304" s="369">
        <v>0</v>
      </c>
      <c r="T304" s="94"/>
      <c r="U304" s="28">
        <v>0</v>
      </c>
      <c r="V304" s="28">
        <v>0</v>
      </c>
      <c r="W304" s="28">
        <v>0</v>
      </c>
      <c r="X304" s="28">
        <v>0</v>
      </c>
      <c r="Y304" s="28">
        <v>0</v>
      </c>
      <c r="Z304" s="28">
        <v>0</v>
      </c>
      <c r="AA304" s="28">
        <v>0</v>
      </c>
      <c r="AB304" s="28">
        <v>0</v>
      </c>
      <c r="AC304" s="28">
        <v>0</v>
      </c>
      <c r="AD304" s="28">
        <v>0</v>
      </c>
      <c r="AE304" s="28">
        <v>0</v>
      </c>
      <c r="AF304" s="28">
        <v>0</v>
      </c>
      <c r="AG304" s="147"/>
      <c r="AH304" s="147"/>
      <c r="AI304" s="405">
        <v>0</v>
      </c>
      <c r="AJ304" s="460">
        <v>0</v>
      </c>
      <c r="AK304" s="417">
        <v>0</v>
      </c>
      <c r="AL304" s="405">
        <v>0</v>
      </c>
      <c r="AM304" s="147"/>
    </row>
    <row r="305" spans="1:39">
      <c r="A305" s="71">
        <v>298</v>
      </c>
      <c r="B305" s="71" t="s">
        <v>1416</v>
      </c>
      <c r="C305" s="28">
        <v>51</v>
      </c>
      <c r="D305" s="28">
        <v>0</v>
      </c>
      <c r="E305" s="28">
        <v>63</v>
      </c>
      <c r="F305" s="28">
        <v>414</v>
      </c>
      <c r="G305" s="28">
        <v>86</v>
      </c>
      <c r="H305" s="28">
        <v>0</v>
      </c>
      <c r="I305" s="28">
        <v>0</v>
      </c>
      <c r="J305" s="28">
        <v>22</v>
      </c>
      <c r="K305" s="28">
        <v>6</v>
      </c>
      <c r="L305" s="28">
        <v>0</v>
      </c>
      <c r="M305" s="28">
        <v>0</v>
      </c>
      <c r="N305" s="28">
        <v>0</v>
      </c>
      <c r="O305" s="28">
        <v>51</v>
      </c>
      <c r="P305" s="516">
        <v>589</v>
      </c>
      <c r="Q305" s="517">
        <v>1.0489999999999999</v>
      </c>
      <c r="R305" s="6">
        <v>2</v>
      </c>
      <c r="S305" s="369">
        <v>8.6999999999999994E-2</v>
      </c>
      <c r="T305" s="365"/>
      <c r="U305" s="28">
        <v>374856.7512399999</v>
      </c>
      <c r="V305" s="28">
        <v>515030.93924999988</v>
      </c>
      <c r="W305" s="28">
        <v>2633745.56323</v>
      </c>
      <c r="X305" s="28">
        <v>784715.99948999984</v>
      </c>
      <c r="Y305" s="28">
        <v>110268.66660999999</v>
      </c>
      <c r="Z305" s="28">
        <v>326965.87000000005</v>
      </c>
      <c r="AA305" s="28">
        <v>242236.17095999999</v>
      </c>
      <c r="AB305" s="28">
        <v>134223.86138999998</v>
      </c>
      <c r="AC305" s="28">
        <v>724577.40644000005</v>
      </c>
      <c r="AD305" s="28">
        <v>1077515.6100000001</v>
      </c>
      <c r="AE305" s="28">
        <v>210934.44</v>
      </c>
      <c r="AF305" s="28">
        <v>7135071.2786099995</v>
      </c>
      <c r="AG305" s="147"/>
      <c r="AH305" s="147"/>
      <c r="AI305" s="405">
        <v>51</v>
      </c>
      <c r="AJ305" s="460">
        <v>586</v>
      </c>
      <c r="AK305" s="417">
        <v>8.6999999999999994E-2</v>
      </c>
      <c r="AL305" s="405">
        <v>2</v>
      </c>
      <c r="AM305" s="147"/>
    </row>
    <row r="306" spans="1:39">
      <c r="A306" s="71">
        <v>299</v>
      </c>
      <c r="B306" s="71" t="s">
        <v>1417</v>
      </c>
      <c r="C306" s="28">
        <v>0</v>
      </c>
      <c r="D306" s="28">
        <v>0</v>
      </c>
      <c r="E306" s="28">
        <v>0</v>
      </c>
      <c r="F306" s="28">
        <v>0</v>
      </c>
      <c r="G306" s="28">
        <v>0</v>
      </c>
      <c r="H306" s="28">
        <v>0</v>
      </c>
      <c r="I306" s="28">
        <v>0</v>
      </c>
      <c r="J306" s="28">
        <v>0</v>
      </c>
      <c r="K306" s="28">
        <v>0</v>
      </c>
      <c r="L306" s="28">
        <v>0</v>
      </c>
      <c r="M306" s="28">
        <v>0</v>
      </c>
      <c r="N306" s="28">
        <v>0</v>
      </c>
      <c r="O306" s="28">
        <v>0</v>
      </c>
      <c r="P306" s="516">
        <v>0</v>
      </c>
      <c r="Q306" s="517">
        <v>1</v>
      </c>
      <c r="R306" s="6">
        <v>0</v>
      </c>
      <c r="S306" s="369">
        <v>0</v>
      </c>
      <c r="T306" s="94"/>
      <c r="U306" s="28">
        <v>0</v>
      </c>
      <c r="V306" s="28">
        <v>0</v>
      </c>
      <c r="W306" s="28">
        <v>0</v>
      </c>
      <c r="X306" s="28">
        <v>0</v>
      </c>
      <c r="Y306" s="28">
        <v>0</v>
      </c>
      <c r="Z306" s="28">
        <v>0</v>
      </c>
      <c r="AA306" s="28">
        <v>0</v>
      </c>
      <c r="AB306" s="28">
        <v>0</v>
      </c>
      <c r="AC306" s="28">
        <v>0</v>
      </c>
      <c r="AD306" s="28">
        <v>0</v>
      </c>
      <c r="AE306" s="28">
        <v>0</v>
      </c>
      <c r="AF306" s="28">
        <v>0</v>
      </c>
      <c r="AG306" s="147"/>
      <c r="AH306" s="147"/>
      <c r="AI306" s="405">
        <v>0</v>
      </c>
      <c r="AJ306" s="460">
        <v>0</v>
      </c>
      <c r="AK306" s="417">
        <v>0</v>
      </c>
      <c r="AL306" s="405">
        <v>0</v>
      </c>
      <c r="AM306" s="147"/>
    </row>
    <row r="307" spans="1:39">
      <c r="A307" s="71">
        <v>300</v>
      </c>
      <c r="B307" s="71" t="s">
        <v>1418</v>
      </c>
      <c r="C307" s="28">
        <v>18</v>
      </c>
      <c r="D307" s="28">
        <v>0</v>
      </c>
      <c r="E307" s="28">
        <v>10</v>
      </c>
      <c r="F307" s="28">
        <v>61</v>
      </c>
      <c r="G307" s="28">
        <v>36</v>
      </c>
      <c r="H307" s="28">
        <v>54</v>
      </c>
      <c r="I307" s="28">
        <v>0</v>
      </c>
      <c r="J307" s="28">
        <v>6</v>
      </c>
      <c r="K307" s="28">
        <v>2</v>
      </c>
      <c r="L307" s="28">
        <v>3</v>
      </c>
      <c r="M307" s="28">
        <v>0</v>
      </c>
      <c r="N307" s="28">
        <v>0</v>
      </c>
      <c r="O307" s="28">
        <v>42</v>
      </c>
      <c r="P307" s="516">
        <v>170</v>
      </c>
      <c r="Q307" s="517">
        <v>1</v>
      </c>
      <c r="R307" s="6">
        <v>9</v>
      </c>
      <c r="S307" s="369">
        <v>0.51849999999999996</v>
      </c>
      <c r="T307" s="365"/>
      <c r="U307" s="28">
        <v>106397.23999999999</v>
      </c>
      <c r="V307" s="28">
        <v>156383.10000000003</v>
      </c>
      <c r="W307" s="28">
        <v>916158.96</v>
      </c>
      <c r="X307" s="28">
        <v>189703.14</v>
      </c>
      <c r="Y307" s="28">
        <v>37517.22</v>
      </c>
      <c r="Z307" s="28">
        <v>113151.43000000001</v>
      </c>
      <c r="AA307" s="28">
        <v>76730.89999999998</v>
      </c>
      <c r="AB307" s="28">
        <v>91341.319999999992</v>
      </c>
      <c r="AC307" s="28">
        <v>203122.56</v>
      </c>
      <c r="AD307" s="28">
        <v>330759.90999999992</v>
      </c>
      <c r="AE307" s="28">
        <v>70311.48</v>
      </c>
      <c r="AF307" s="28">
        <v>2291577.2599999998</v>
      </c>
      <c r="AG307" s="147"/>
      <c r="AH307" s="147"/>
      <c r="AI307" s="405">
        <v>42</v>
      </c>
      <c r="AJ307" s="460">
        <v>81</v>
      </c>
      <c r="AK307" s="417">
        <v>0.51849999999999996</v>
      </c>
      <c r="AL307" s="405">
        <v>9</v>
      </c>
      <c r="AM307" s="147"/>
    </row>
    <row r="308" spans="1:39">
      <c r="A308" s="71">
        <v>301</v>
      </c>
      <c r="B308" s="71" t="s">
        <v>1419</v>
      </c>
      <c r="C308" s="28">
        <v>29</v>
      </c>
      <c r="D308" s="28">
        <v>0</v>
      </c>
      <c r="E308" s="28">
        <v>111</v>
      </c>
      <c r="F308" s="28">
        <v>600</v>
      </c>
      <c r="G308" s="28">
        <v>406</v>
      </c>
      <c r="H308" s="28">
        <v>462</v>
      </c>
      <c r="I308" s="28">
        <v>0</v>
      </c>
      <c r="J308" s="28">
        <v>62</v>
      </c>
      <c r="K308" s="28">
        <v>16</v>
      </c>
      <c r="L308" s="28">
        <v>103</v>
      </c>
      <c r="M308" s="28">
        <v>10</v>
      </c>
      <c r="N308" s="28">
        <v>8</v>
      </c>
      <c r="O308" s="28">
        <v>471</v>
      </c>
      <c r="P308" s="516">
        <v>1594</v>
      </c>
      <c r="Q308" s="517">
        <v>1</v>
      </c>
      <c r="R308" s="6">
        <v>5</v>
      </c>
      <c r="S308" s="369">
        <v>0.29520000000000002</v>
      </c>
      <c r="T308" s="365"/>
      <c r="U308" s="28">
        <v>1010813.8899999999</v>
      </c>
      <c r="V308" s="28">
        <v>1462102.4699999995</v>
      </c>
      <c r="W308" s="28">
        <v>8480118.3800000008</v>
      </c>
      <c r="X308" s="28">
        <v>1849940.47</v>
      </c>
      <c r="Y308" s="28">
        <v>349794.19</v>
      </c>
      <c r="Z308" s="28">
        <v>1060391.7000000002</v>
      </c>
      <c r="AA308" s="28">
        <v>717206.61999999988</v>
      </c>
      <c r="AB308" s="28">
        <v>803419.85</v>
      </c>
      <c r="AC308" s="28">
        <v>1959053.8699999996</v>
      </c>
      <c r="AD308" s="28">
        <v>3128761.5200000005</v>
      </c>
      <c r="AE308" s="28">
        <v>562491.84</v>
      </c>
      <c r="AF308" s="28">
        <v>21384094.800000001</v>
      </c>
      <c r="AG308" s="147"/>
      <c r="AH308" s="147"/>
      <c r="AI308" s="405">
        <v>471</v>
      </c>
      <c r="AJ308" s="460">
        <v>1595.5</v>
      </c>
      <c r="AK308" s="417">
        <v>0.29520000000000002</v>
      </c>
      <c r="AL308" s="405">
        <v>5</v>
      </c>
      <c r="AM308" s="147"/>
    </row>
    <row r="309" spans="1:39">
      <c r="A309" s="71">
        <v>302</v>
      </c>
      <c r="B309" s="71" t="s">
        <v>1420</v>
      </c>
      <c r="C309" s="28">
        <v>0</v>
      </c>
      <c r="D309" s="28">
        <v>0</v>
      </c>
      <c r="E309" s="28">
        <v>2</v>
      </c>
      <c r="F309" s="28">
        <v>6</v>
      </c>
      <c r="G309" s="28">
        <v>10</v>
      </c>
      <c r="H309" s="28">
        <v>9</v>
      </c>
      <c r="I309" s="28">
        <v>1</v>
      </c>
      <c r="J309" s="28">
        <v>1</v>
      </c>
      <c r="K309" s="28">
        <v>0</v>
      </c>
      <c r="L309" s="28">
        <v>0</v>
      </c>
      <c r="M309" s="28">
        <v>0</v>
      </c>
      <c r="N309" s="28">
        <v>0</v>
      </c>
      <c r="O309" s="28">
        <v>0</v>
      </c>
      <c r="P309" s="516">
        <v>28</v>
      </c>
      <c r="Q309" s="517">
        <v>1</v>
      </c>
      <c r="R309" s="6">
        <v>0</v>
      </c>
      <c r="S309" s="369">
        <v>0</v>
      </c>
      <c r="T309" s="94"/>
      <c r="U309" s="28">
        <v>15658.609999999999</v>
      </c>
      <c r="V309" s="28">
        <v>22688.399999999998</v>
      </c>
      <c r="W309" s="28">
        <v>124083.75</v>
      </c>
      <c r="X309" s="28">
        <v>29733.84</v>
      </c>
      <c r="Y309" s="28">
        <v>4909.42</v>
      </c>
      <c r="Z309" s="28">
        <v>19359.57</v>
      </c>
      <c r="AA309" s="28">
        <v>11623.5</v>
      </c>
      <c r="AB309" s="28">
        <v>9894.84</v>
      </c>
      <c r="AC309" s="28">
        <v>34688.39</v>
      </c>
      <c r="AD309" s="28">
        <v>50224.299999999996</v>
      </c>
      <c r="AE309" s="28">
        <v>0</v>
      </c>
      <c r="AF309" s="28">
        <v>322864.62</v>
      </c>
      <c r="AG309" s="147"/>
      <c r="AH309" s="147"/>
      <c r="AI309" s="405">
        <v>0</v>
      </c>
      <c r="AJ309" s="460">
        <v>0</v>
      </c>
      <c r="AK309" s="417">
        <v>0</v>
      </c>
      <c r="AL309" s="405">
        <v>0</v>
      </c>
      <c r="AM309" s="147"/>
    </row>
    <row r="310" spans="1:39">
      <c r="A310" s="71">
        <v>303</v>
      </c>
      <c r="B310" s="71" t="s">
        <v>1421</v>
      </c>
      <c r="C310" s="28">
        <v>0</v>
      </c>
      <c r="D310" s="28">
        <v>0</v>
      </c>
      <c r="E310" s="28">
        <v>0</v>
      </c>
      <c r="F310" s="28">
        <v>0</v>
      </c>
      <c r="G310" s="28">
        <v>0</v>
      </c>
      <c r="H310" s="28">
        <v>0</v>
      </c>
      <c r="I310" s="28">
        <v>5</v>
      </c>
      <c r="J310" s="28">
        <v>0</v>
      </c>
      <c r="K310" s="28">
        <v>0</v>
      </c>
      <c r="L310" s="28">
        <v>0</v>
      </c>
      <c r="M310" s="28">
        <v>0</v>
      </c>
      <c r="N310" s="28">
        <v>0</v>
      </c>
      <c r="O310" s="28">
        <v>0</v>
      </c>
      <c r="P310" s="516">
        <v>5</v>
      </c>
      <c r="Q310" s="517">
        <v>1</v>
      </c>
      <c r="R310" s="6">
        <v>0</v>
      </c>
      <c r="S310" s="369">
        <v>0</v>
      </c>
      <c r="T310" s="94"/>
      <c r="U310" s="28">
        <v>2243.25</v>
      </c>
      <c r="V310" s="28">
        <v>4051.5</v>
      </c>
      <c r="W310" s="28">
        <v>40869.65</v>
      </c>
      <c r="X310" s="28">
        <v>2855.3500000000004</v>
      </c>
      <c r="Y310" s="28">
        <v>1277.55</v>
      </c>
      <c r="Z310" s="28">
        <v>7528.65</v>
      </c>
      <c r="AA310" s="28">
        <v>2255.6</v>
      </c>
      <c r="AB310" s="28">
        <v>3038.2999999999997</v>
      </c>
      <c r="AC310" s="28">
        <v>10148.75</v>
      </c>
      <c r="AD310" s="28">
        <v>10033.049999999999</v>
      </c>
      <c r="AE310" s="28">
        <v>0</v>
      </c>
      <c r="AF310" s="28">
        <v>84301.650000000009</v>
      </c>
      <c r="AG310" s="147"/>
      <c r="AH310" s="147"/>
      <c r="AI310" s="405">
        <v>0</v>
      </c>
      <c r="AJ310" s="460">
        <v>0</v>
      </c>
      <c r="AK310" s="417">
        <v>0</v>
      </c>
      <c r="AL310" s="405">
        <v>0</v>
      </c>
      <c r="AM310" s="147"/>
    </row>
    <row r="311" spans="1:39">
      <c r="A311" s="71">
        <v>304</v>
      </c>
      <c r="B311" s="71" t="s">
        <v>1422</v>
      </c>
      <c r="C311" s="28">
        <v>58</v>
      </c>
      <c r="D311" s="28">
        <v>0</v>
      </c>
      <c r="E311" s="28">
        <v>125</v>
      </c>
      <c r="F311" s="28">
        <v>600</v>
      </c>
      <c r="G311" s="28">
        <v>399</v>
      </c>
      <c r="H311" s="28">
        <v>480</v>
      </c>
      <c r="I311" s="28">
        <v>16</v>
      </c>
      <c r="J311" s="28">
        <v>64</v>
      </c>
      <c r="K311" s="28">
        <v>16</v>
      </c>
      <c r="L311" s="28">
        <v>22</v>
      </c>
      <c r="M311" s="28">
        <v>9</v>
      </c>
      <c r="N311" s="28">
        <v>11</v>
      </c>
      <c r="O311" s="28">
        <v>517</v>
      </c>
      <c r="P311" s="516">
        <v>1649</v>
      </c>
      <c r="Q311" s="517">
        <v>1</v>
      </c>
      <c r="R311" s="6">
        <v>6</v>
      </c>
      <c r="S311" s="369">
        <v>0.3246</v>
      </c>
      <c r="T311" s="365"/>
      <c r="U311" s="28">
        <v>1039747.84</v>
      </c>
      <c r="V311" s="28">
        <v>1522957.8900000001</v>
      </c>
      <c r="W311" s="28">
        <v>8998153.1000000015</v>
      </c>
      <c r="X311" s="28">
        <v>1895505.1600000001</v>
      </c>
      <c r="Y311" s="28">
        <v>371112.81999999995</v>
      </c>
      <c r="Z311" s="28">
        <v>1103742.2</v>
      </c>
      <c r="AA311" s="28">
        <v>746242.35</v>
      </c>
      <c r="AB311" s="28">
        <v>887140.1399999999</v>
      </c>
      <c r="AC311" s="28">
        <v>2013336.98</v>
      </c>
      <c r="AD311" s="28">
        <v>3257474.55</v>
      </c>
      <c r="AE311" s="28">
        <v>562491.84</v>
      </c>
      <c r="AF311" s="28">
        <v>22397904.870000001</v>
      </c>
      <c r="AG311" s="147"/>
      <c r="AH311" s="147"/>
      <c r="AI311" s="405">
        <v>517</v>
      </c>
      <c r="AJ311" s="460">
        <v>1592.5</v>
      </c>
      <c r="AK311" s="417">
        <v>0.3246</v>
      </c>
      <c r="AL311" s="405">
        <v>6</v>
      </c>
      <c r="AM311" s="147"/>
    </row>
    <row r="312" spans="1:39">
      <c r="A312" s="71">
        <v>305</v>
      </c>
      <c r="B312" s="71" t="s">
        <v>1423</v>
      </c>
      <c r="C312" s="28">
        <v>46</v>
      </c>
      <c r="D312" s="28">
        <v>0</v>
      </c>
      <c r="E312" s="28">
        <v>281</v>
      </c>
      <c r="F312" s="28">
        <v>1336</v>
      </c>
      <c r="G312" s="28">
        <v>823</v>
      </c>
      <c r="H312" s="28">
        <v>885</v>
      </c>
      <c r="I312" s="28">
        <v>11</v>
      </c>
      <c r="J312" s="28">
        <v>132</v>
      </c>
      <c r="K312" s="28">
        <v>33</v>
      </c>
      <c r="L312" s="28">
        <v>76</v>
      </c>
      <c r="M312" s="28">
        <v>14</v>
      </c>
      <c r="N312" s="28">
        <v>16</v>
      </c>
      <c r="O312" s="28">
        <v>656</v>
      </c>
      <c r="P312" s="516">
        <v>3359</v>
      </c>
      <c r="Q312" s="517">
        <v>1.0569999999999999</v>
      </c>
      <c r="R312" s="6">
        <v>4</v>
      </c>
      <c r="S312" s="369">
        <v>0.19520000000000001</v>
      </c>
      <c r="T312" s="365"/>
      <c r="U312" s="28">
        <v>2210866.9680999997</v>
      </c>
      <c r="V312" s="28">
        <v>3107623.4004199994</v>
      </c>
      <c r="W312" s="28">
        <v>17493144.23381</v>
      </c>
      <c r="X312" s="28">
        <v>4144924.4930800004</v>
      </c>
      <c r="Y312" s="28">
        <v>714877.68128000002</v>
      </c>
      <c r="Z312" s="28">
        <v>2188805.0299999993</v>
      </c>
      <c r="AA312" s="28">
        <v>1530646.7736</v>
      </c>
      <c r="AB312" s="28">
        <v>1498064.8331599997</v>
      </c>
      <c r="AC312" s="28">
        <v>4320655.6369899996</v>
      </c>
      <c r="AD312" s="28">
        <v>6371985.8800000008</v>
      </c>
      <c r="AE312" s="28">
        <v>1160139.42</v>
      </c>
      <c r="AF312" s="28">
        <v>44741734.350440003</v>
      </c>
      <c r="AG312" s="147"/>
      <c r="AH312" s="147"/>
      <c r="AI312" s="405">
        <v>656</v>
      </c>
      <c r="AJ312" s="460">
        <v>3360.5</v>
      </c>
      <c r="AK312" s="417">
        <v>0.19520000000000001</v>
      </c>
      <c r="AL312" s="405">
        <v>4</v>
      </c>
      <c r="AM312" s="147"/>
    </row>
    <row r="313" spans="1:39">
      <c r="A313" s="71">
        <v>306</v>
      </c>
      <c r="B313" s="71" t="s">
        <v>1424</v>
      </c>
      <c r="C313" s="28">
        <v>5</v>
      </c>
      <c r="D313" s="28">
        <v>0</v>
      </c>
      <c r="E313" s="28">
        <v>12</v>
      </c>
      <c r="F313" s="28">
        <v>74</v>
      </c>
      <c r="G313" s="28">
        <v>14</v>
      </c>
      <c r="H313" s="28">
        <v>0</v>
      </c>
      <c r="I313" s="28">
        <v>2</v>
      </c>
      <c r="J313" s="28">
        <v>4</v>
      </c>
      <c r="K313" s="28">
        <v>1</v>
      </c>
      <c r="L313" s="28">
        <v>2</v>
      </c>
      <c r="M313" s="28">
        <v>0</v>
      </c>
      <c r="N313" s="28">
        <v>0</v>
      </c>
      <c r="O313" s="28">
        <v>59</v>
      </c>
      <c r="P313" s="516">
        <v>105</v>
      </c>
      <c r="Q313" s="517">
        <v>1</v>
      </c>
      <c r="R313" s="6">
        <v>10</v>
      </c>
      <c r="S313" s="369">
        <v>0.62429999999999997</v>
      </c>
      <c r="T313" s="365"/>
      <c r="U313" s="28">
        <v>68898.649999999994</v>
      </c>
      <c r="V313" s="28">
        <v>112093</v>
      </c>
      <c r="W313" s="28">
        <v>698370.4</v>
      </c>
      <c r="X313" s="28">
        <v>133685.58999999997</v>
      </c>
      <c r="Y313" s="28">
        <v>30637.54</v>
      </c>
      <c r="Z313" s="28">
        <v>62093.62999999999</v>
      </c>
      <c r="AA313" s="28">
        <v>50971.69</v>
      </c>
      <c r="AB313" s="28">
        <v>73973.41</v>
      </c>
      <c r="AC313" s="28">
        <v>125528.73000000001</v>
      </c>
      <c r="AD313" s="28">
        <v>233925.46000000002</v>
      </c>
      <c r="AE313" s="28">
        <v>35155.74</v>
      </c>
      <c r="AF313" s="28">
        <v>1625333.8399999999</v>
      </c>
      <c r="AG313" s="147"/>
      <c r="AH313" s="147"/>
      <c r="AI313" s="405">
        <v>59</v>
      </c>
      <c r="AJ313" s="460">
        <v>94.5</v>
      </c>
      <c r="AK313" s="417">
        <v>0.62429999999999997</v>
      </c>
      <c r="AL313" s="405">
        <v>10</v>
      </c>
      <c r="AM313" s="147"/>
    </row>
    <row r="314" spans="1:39">
      <c r="A314" s="71">
        <v>307</v>
      </c>
      <c r="B314" s="71" t="s">
        <v>1425</v>
      </c>
      <c r="C314" s="28">
        <v>34</v>
      </c>
      <c r="D314" s="28">
        <v>0</v>
      </c>
      <c r="E314" s="28">
        <v>291</v>
      </c>
      <c r="F314" s="28">
        <v>1522</v>
      </c>
      <c r="G314" s="28">
        <v>828</v>
      </c>
      <c r="H314" s="28">
        <v>985</v>
      </c>
      <c r="I314" s="28">
        <v>0</v>
      </c>
      <c r="J314" s="28">
        <v>143</v>
      </c>
      <c r="K314" s="28">
        <v>36</v>
      </c>
      <c r="L314" s="28">
        <v>106</v>
      </c>
      <c r="M314" s="28">
        <v>23</v>
      </c>
      <c r="N314" s="28">
        <v>21</v>
      </c>
      <c r="O314" s="28">
        <v>630</v>
      </c>
      <c r="P314" s="516">
        <v>3643</v>
      </c>
      <c r="Q314" s="517">
        <v>1.0469999999999999</v>
      </c>
      <c r="R314" s="6">
        <v>3</v>
      </c>
      <c r="S314" s="369">
        <v>0.17449999999999999</v>
      </c>
      <c r="T314" s="365"/>
      <c r="U314" s="28">
        <v>2372539.9537499999</v>
      </c>
      <c r="V314" s="28">
        <v>3312415.4681999995</v>
      </c>
      <c r="W314" s="28">
        <v>18519450.133469999</v>
      </c>
      <c r="X314" s="28">
        <v>4471349.0550900009</v>
      </c>
      <c r="Y314" s="28">
        <v>752189.04851999984</v>
      </c>
      <c r="Z314" s="28">
        <v>2373066.7999999998</v>
      </c>
      <c r="AA314" s="28">
        <v>1633283.2502999997</v>
      </c>
      <c r="AB314" s="28">
        <v>1542283.3081199997</v>
      </c>
      <c r="AC314" s="28">
        <v>4636686.0077399993</v>
      </c>
      <c r="AD314" s="28">
        <v>6854700.2999999998</v>
      </c>
      <c r="AE314" s="28">
        <v>1265606.6399999999</v>
      </c>
      <c r="AF314" s="28">
        <v>47733569.965189993</v>
      </c>
      <c r="AG314" s="147"/>
      <c r="AH314" s="147"/>
      <c r="AI314" s="405">
        <v>630</v>
      </c>
      <c r="AJ314" s="460">
        <v>3609.5</v>
      </c>
      <c r="AK314" s="417">
        <v>0.17449999999999999</v>
      </c>
      <c r="AL314" s="405">
        <v>3</v>
      </c>
      <c r="AM314" s="147"/>
    </row>
    <row r="315" spans="1:39">
      <c r="A315" s="71">
        <v>308</v>
      </c>
      <c r="B315" s="71" t="s">
        <v>1426</v>
      </c>
      <c r="C315" s="28">
        <v>61</v>
      </c>
      <c r="D315" s="28">
        <v>0</v>
      </c>
      <c r="E315" s="28">
        <v>414</v>
      </c>
      <c r="F315" s="28">
        <v>2143</v>
      </c>
      <c r="G315" s="28">
        <v>1254</v>
      </c>
      <c r="H315" s="28">
        <v>1343</v>
      </c>
      <c r="I315" s="28">
        <v>533</v>
      </c>
      <c r="J315" s="28">
        <v>229</v>
      </c>
      <c r="K315" s="28">
        <v>52</v>
      </c>
      <c r="L315" s="28">
        <v>831</v>
      </c>
      <c r="M315" s="28">
        <v>159</v>
      </c>
      <c r="N315" s="28">
        <v>412</v>
      </c>
      <c r="O315" s="28">
        <v>3056</v>
      </c>
      <c r="P315" s="516">
        <v>5718</v>
      </c>
      <c r="Q315" s="517">
        <v>1.0900000000000001</v>
      </c>
      <c r="R315" s="6">
        <v>10</v>
      </c>
      <c r="S315" s="369">
        <v>0.54010000000000002</v>
      </c>
      <c r="T315" s="365"/>
      <c r="U315" s="28">
        <v>4278883.8132000007</v>
      </c>
      <c r="V315" s="28">
        <v>6887378.1931000026</v>
      </c>
      <c r="W315" s="28">
        <v>46362762.962799996</v>
      </c>
      <c r="X315" s="28">
        <v>7489051.5767999999</v>
      </c>
      <c r="Y315" s="28">
        <v>1941942.0162000002</v>
      </c>
      <c r="Z315" s="28">
        <v>4428261.7499999981</v>
      </c>
      <c r="AA315" s="28">
        <v>3285044.8122</v>
      </c>
      <c r="AB315" s="28">
        <v>5210560.8118000003</v>
      </c>
      <c r="AC315" s="28">
        <v>8603044.8857000023</v>
      </c>
      <c r="AD315" s="28">
        <v>13251187.009999998</v>
      </c>
      <c r="AE315" s="28">
        <v>1828098.48</v>
      </c>
      <c r="AF315" s="28">
        <v>103566216.31179999</v>
      </c>
      <c r="AG315" s="147"/>
      <c r="AH315" s="147"/>
      <c r="AI315" s="405">
        <v>3056</v>
      </c>
      <c r="AJ315" s="460">
        <v>5658.5</v>
      </c>
      <c r="AK315" s="417">
        <v>0.54010000000000002</v>
      </c>
      <c r="AL315" s="405">
        <v>10</v>
      </c>
      <c r="AM315" s="147"/>
    </row>
    <row r="316" spans="1:39">
      <c r="A316" s="71">
        <v>309</v>
      </c>
      <c r="B316" s="71" t="s">
        <v>1427</v>
      </c>
      <c r="C316" s="28">
        <v>72</v>
      </c>
      <c r="D316" s="28">
        <v>0</v>
      </c>
      <c r="E316" s="28">
        <v>97</v>
      </c>
      <c r="F316" s="28">
        <v>464</v>
      </c>
      <c r="G316" s="28">
        <v>296</v>
      </c>
      <c r="H316" s="28">
        <v>368</v>
      </c>
      <c r="I316" s="28">
        <v>5</v>
      </c>
      <c r="J316" s="28">
        <v>48</v>
      </c>
      <c r="K316" s="28">
        <v>12</v>
      </c>
      <c r="L316" s="28">
        <v>8</v>
      </c>
      <c r="M316" s="28">
        <v>1</v>
      </c>
      <c r="N316" s="28">
        <v>3</v>
      </c>
      <c r="O316" s="28">
        <v>755</v>
      </c>
      <c r="P316" s="516">
        <v>1266</v>
      </c>
      <c r="Q316" s="517">
        <v>1</v>
      </c>
      <c r="R316" s="6">
        <v>10</v>
      </c>
      <c r="S316" s="369">
        <v>0.69199999999999995</v>
      </c>
      <c r="T316" s="365"/>
      <c r="U316" s="28">
        <v>835432.75999999989</v>
      </c>
      <c r="V316" s="28">
        <v>1374132.2799999998</v>
      </c>
      <c r="W316" s="28">
        <v>8879900.9500000011</v>
      </c>
      <c r="X316" s="28">
        <v>1445980.71</v>
      </c>
      <c r="Y316" s="28">
        <v>381254.82999999996</v>
      </c>
      <c r="Z316" s="28">
        <v>851885.55</v>
      </c>
      <c r="AA316" s="28">
        <v>652900.98</v>
      </c>
      <c r="AB316" s="28">
        <v>1104579.77</v>
      </c>
      <c r="AC316" s="28">
        <v>1526466.4100000001</v>
      </c>
      <c r="AD316" s="28">
        <v>2834396</v>
      </c>
      <c r="AE316" s="28">
        <v>421868.88</v>
      </c>
      <c r="AF316" s="28">
        <v>20308799.120000001</v>
      </c>
      <c r="AG316" s="147"/>
      <c r="AH316" s="147"/>
      <c r="AI316" s="405">
        <v>755</v>
      </c>
      <c r="AJ316" s="460">
        <v>1091</v>
      </c>
      <c r="AK316" s="417">
        <v>0.69199999999999995</v>
      </c>
      <c r="AL316" s="405">
        <v>10</v>
      </c>
      <c r="AM316" s="147"/>
    </row>
    <row r="317" spans="1:39">
      <c r="A317" s="71">
        <v>310</v>
      </c>
      <c r="B317" s="71" t="s">
        <v>1428</v>
      </c>
      <c r="C317" s="28">
        <v>79</v>
      </c>
      <c r="D317" s="28">
        <v>1</v>
      </c>
      <c r="E317" s="28">
        <v>173</v>
      </c>
      <c r="F317" s="28">
        <v>866</v>
      </c>
      <c r="G317" s="28">
        <v>533</v>
      </c>
      <c r="H317" s="28">
        <v>583</v>
      </c>
      <c r="I317" s="28">
        <v>48</v>
      </c>
      <c r="J317" s="28">
        <v>87</v>
      </c>
      <c r="K317" s="28">
        <v>22</v>
      </c>
      <c r="L317" s="28">
        <v>20</v>
      </c>
      <c r="M317" s="28">
        <v>0</v>
      </c>
      <c r="N317" s="28">
        <v>1</v>
      </c>
      <c r="O317" s="28">
        <v>1436</v>
      </c>
      <c r="P317" s="516">
        <v>2244</v>
      </c>
      <c r="Q317" s="517">
        <v>1</v>
      </c>
      <c r="R317" s="6">
        <v>11</v>
      </c>
      <c r="S317" s="369">
        <v>0.70669999999999999</v>
      </c>
      <c r="T317" s="365"/>
      <c r="U317" s="28">
        <v>1511448.1199999999</v>
      </c>
      <c r="V317" s="28">
        <v>2541450.0499999998</v>
      </c>
      <c r="W317" s="28">
        <v>16891831.98</v>
      </c>
      <c r="X317" s="28">
        <v>2589511.7000000002</v>
      </c>
      <c r="Y317" s="28">
        <v>730926.51</v>
      </c>
      <c r="Z317" s="28">
        <v>1533402.65</v>
      </c>
      <c r="AA317" s="28">
        <v>1197088.3199999998</v>
      </c>
      <c r="AB317" s="28">
        <v>2165680.48</v>
      </c>
      <c r="AC317" s="28">
        <v>2747080.7699999996</v>
      </c>
      <c r="AD317" s="28">
        <v>5229974.42</v>
      </c>
      <c r="AE317" s="28">
        <v>773426.27999999991</v>
      </c>
      <c r="AF317" s="28">
        <v>37911821.280000001</v>
      </c>
      <c r="AG317" s="147"/>
      <c r="AH317" s="147"/>
      <c r="AI317" s="405">
        <v>1436</v>
      </c>
      <c r="AJ317" s="460">
        <v>2032</v>
      </c>
      <c r="AK317" s="417">
        <v>0.70669999999999999</v>
      </c>
      <c r="AL317" s="405">
        <v>11</v>
      </c>
      <c r="AM317" s="147"/>
    </row>
    <row r="318" spans="1:39">
      <c r="A318" s="71">
        <v>311</v>
      </c>
      <c r="B318" s="71" t="s">
        <v>1429</v>
      </c>
      <c r="C318" s="28">
        <v>0</v>
      </c>
      <c r="D318" s="28">
        <v>0</v>
      </c>
      <c r="E318" s="28">
        <v>0</v>
      </c>
      <c r="F318" s="28">
        <v>0</v>
      </c>
      <c r="G318" s="28">
        <v>0</v>
      </c>
      <c r="H318" s="28">
        <v>0</v>
      </c>
      <c r="I318" s="28">
        <v>1</v>
      </c>
      <c r="J318" s="28">
        <v>0</v>
      </c>
      <c r="K318" s="28">
        <v>0</v>
      </c>
      <c r="L318" s="28">
        <v>0</v>
      </c>
      <c r="M318" s="28">
        <v>0</v>
      </c>
      <c r="N318" s="28">
        <v>0</v>
      </c>
      <c r="O318" s="28">
        <v>0</v>
      </c>
      <c r="P318" s="516">
        <v>1</v>
      </c>
      <c r="Q318" s="517">
        <v>1</v>
      </c>
      <c r="R318" s="6">
        <v>0</v>
      </c>
      <c r="S318" s="369">
        <v>0</v>
      </c>
      <c r="T318" s="94"/>
      <c r="U318" s="28">
        <v>448.65</v>
      </c>
      <c r="V318" s="28">
        <v>810.3</v>
      </c>
      <c r="W318" s="28">
        <v>8173.93</v>
      </c>
      <c r="X318" s="28">
        <v>571.07000000000005</v>
      </c>
      <c r="Y318" s="28">
        <v>255.51</v>
      </c>
      <c r="Z318" s="28">
        <v>1505.73</v>
      </c>
      <c r="AA318" s="28">
        <v>451.12</v>
      </c>
      <c r="AB318" s="28">
        <v>607.66</v>
      </c>
      <c r="AC318" s="28">
        <v>2029.75</v>
      </c>
      <c r="AD318" s="28">
        <v>2006.61</v>
      </c>
      <c r="AE318" s="28">
        <v>0</v>
      </c>
      <c r="AF318" s="28">
        <v>16860.330000000002</v>
      </c>
      <c r="AG318" s="147"/>
      <c r="AH318" s="147"/>
      <c r="AI318" s="405">
        <v>0</v>
      </c>
      <c r="AJ318" s="460">
        <v>0</v>
      </c>
      <c r="AK318" s="417">
        <v>0</v>
      </c>
      <c r="AL318" s="405">
        <v>0</v>
      </c>
      <c r="AM318" s="147"/>
    </row>
    <row r="319" spans="1:39">
      <c r="A319" s="71">
        <v>312</v>
      </c>
      <c r="B319" s="71" t="s">
        <v>1430</v>
      </c>
      <c r="C319" s="28">
        <v>0</v>
      </c>
      <c r="D319" s="28">
        <v>0</v>
      </c>
      <c r="E319" s="28">
        <v>4</v>
      </c>
      <c r="F319" s="28">
        <v>22</v>
      </c>
      <c r="G319" s="28">
        <v>11</v>
      </c>
      <c r="H319" s="28">
        <v>14</v>
      </c>
      <c r="I319" s="28">
        <v>0</v>
      </c>
      <c r="J319" s="28">
        <v>2</v>
      </c>
      <c r="K319" s="28">
        <v>1</v>
      </c>
      <c r="L319" s="28">
        <v>0</v>
      </c>
      <c r="M319" s="28">
        <v>0</v>
      </c>
      <c r="N319" s="28">
        <v>0</v>
      </c>
      <c r="O319" s="28">
        <v>13</v>
      </c>
      <c r="P319" s="516">
        <v>51</v>
      </c>
      <c r="Q319" s="517">
        <v>1</v>
      </c>
      <c r="R319" s="6">
        <v>8</v>
      </c>
      <c r="S319" s="369">
        <v>0.44829999999999998</v>
      </c>
      <c r="T319" s="94"/>
      <c r="U319" s="28">
        <v>33878.089999999997</v>
      </c>
      <c r="V319" s="28">
        <v>46543.24</v>
      </c>
      <c r="W319" s="28">
        <v>271252.38</v>
      </c>
      <c r="X319" s="28">
        <v>59453.4</v>
      </c>
      <c r="Y319" s="28">
        <v>11196.77</v>
      </c>
      <c r="Z319" s="28">
        <v>33182.719999999994</v>
      </c>
      <c r="AA319" s="28">
        <v>22712.85</v>
      </c>
      <c r="AB319" s="28">
        <v>26103.09</v>
      </c>
      <c r="AC319" s="28">
        <v>61229.78</v>
      </c>
      <c r="AD319" s="28">
        <v>99635.78</v>
      </c>
      <c r="AE319" s="28">
        <v>35155.74</v>
      </c>
      <c r="AF319" s="28">
        <v>700343.84</v>
      </c>
      <c r="AG319" s="147"/>
      <c r="AH319" s="147"/>
      <c r="AI319" s="405">
        <v>13</v>
      </c>
      <c r="AJ319" s="460">
        <v>29</v>
      </c>
      <c r="AK319" s="417">
        <v>0.44829999999999998</v>
      </c>
      <c r="AL319" s="405">
        <v>8</v>
      </c>
      <c r="AM319" s="147"/>
    </row>
    <row r="320" spans="1:39">
      <c r="A320" s="71">
        <v>313</v>
      </c>
      <c r="B320" s="71" t="s">
        <v>1431</v>
      </c>
      <c r="C320" s="28">
        <v>0</v>
      </c>
      <c r="D320" s="28">
        <v>0</v>
      </c>
      <c r="E320" s="28">
        <v>0</v>
      </c>
      <c r="F320" s="28">
        <v>0</v>
      </c>
      <c r="G320" s="28">
        <v>0</v>
      </c>
      <c r="H320" s="28">
        <v>0</v>
      </c>
      <c r="I320" s="28">
        <v>6</v>
      </c>
      <c r="J320" s="28">
        <v>0</v>
      </c>
      <c r="K320" s="28">
        <v>0</v>
      </c>
      <c r="L320" s="28">
        <v>0</v>
      </c>
      <c r="M320" s="28">
        <v>0</v>
      </c>
      <c r="N320" s="28">
        <v>0</v>
      </c>
      <c r="O320" s="28">
        <v>0</v>
      </c>
      <c r="P320" s="516">
        <v>6</v>
      </c>
      <c r="Q320" s="517">
        <v>1</v>
      </c>
      <c r="R320" s="6">
        <v>0</v>
      </c>
      <c r="S320" s="369">
        <v>0</v>
      </c>
      <c r="T320" s="94"/>
      <c r="U320" s="28">
        <v>2691.8999999999996</v>
      </c>
      <c r="V320" s="28">
        <v>4861.7999999999993</v>
      </c>
      <c r="W320" s="28">
        <v>49043.58</v>
      </c>
      <c r="X320" s="28">
        <v>3426.42</v>
      </c>
      <c r="Y320" s="28">
        <v>1533.06</v>
      </c>
      <c r="Z320" s="28">
        <v>9034.380000000001</v>
      </c>
      <c r="AA320" s="28">
        <v>2706.7200000000003</v>
      </c>
      <c r="AB320" s="28">
        <v>3645.96</v>
      </c>
      <c r="AC320" s="28">
        <v>12178.5</v>
      </c>
      <c r="AD320" s="28">
        <v>12039.66</v>
      </c>
      <c r="AE320" s="28">
        <v>0</v>
      </c>
      <c r="AF320" s="28">
        <v>101161.98000000001</v>
      </c>
      <c r="AG320" s="147"/>
      <c r="AH320" s="147"/>
      <c r="AI320" s="405">
        <v>0</v>
      </c>
      <c r="AJ320" s="460">
        <v>0</v>
      </c>
      <c r="AK320" s="417">
        <v>0</v>
      </c>
      <c r="AL320" s="405">
        <v>0</v>
      </c>
      <c r="AM320" s="147"/>
    </row>
    <row r="321" spans="1:39">
      <c r="A321" s="71">
        <v>314</v>
      </c>
      <c r="B321" s="71" t="s">
        <v>1432</v>
      </c>
      <c r="C321" s="28">
        <v>58</v>
      </c>
      <c r="D321" s="28">
        <v>0</v>
      </c>
      <c r="E321" s="28">
        <v>234</v>
      </c>
      <c r="F321" s="28">
        <v>1070</v>
      </c>
      <c r="G321" s="28">
        <v>566</v>
      </c>
      <c r="H321" s="28">
        <v>797</v>
      </c>
      <c r="I321" s="28">
        <v>17</v>
      </c>
      <c r="J321" s="28">
        <v>106</v>
      </c>
      <c r="K321" s="28">
        <v>27</v>
      </c>
      <c r="L321" s="28">
        <v>259</v>
      </c>
      <c r="M321" s="28">
        <v>80</v>
      </c>
      <c r="N321" s="28">
        <v>108</v>
      </c>
      <c r="O321" s="28">
        <v>1088</v>
      </c>
      <c r="P321" s="516">
        <v>2713</v>
      </c>
      <c r="Q321" s="517">
        <v>1.081</v>
      </c>
      <c r="R321" s="6">
        <v>7</v>
      </c>
      <c r="S321" s="369">
        <v>0.40920000000000001</v>
      </c>
      <c r="T321" s="365"/>
      <c r="U321" s="28">
        <v>1927383.7705099999</v>
      </c>
      <c r="V321" s="28">
        <v>2913351.0390400006</v>
      </c>
      <c r="W321" s="28">
        <v>17788108.07291</v>
      </c>
      <c r="X321" s="28">
        <v>3488380.8599200002</v>
      </c>
      <c r="Y321" s="28">
        <v>739550.90789999987</v>
      </c>
      <c r="Z321" s="28">
        <v>1872537.47</v>
      </c>
      <c r="AA321" s="28">
        <v>1407821.3352100002</v>
      </c>
      <c r="AB321" s="28">
        <v>1828302.8453799998</v>
      </c>
      <c r="AC321" s="28">
        <v>3707454.7957100007</v>
      </c>
      <c r="AD321" s="28">
        <v>5663711.25</v>
      </c>
      <c r="AE321" s="28">
        <v>949204.98</v>
      </c>
      <c r="AF321" s="28">
        <v>42285807.326579988</v>
      </c>
      <c r="AG321" s="147"/>
      <c r="AH321" s="147"/>
      <c r="AI321" s="405">
        <v>1088</v>
      </c>
      <c r="AJ321" s="460">
        <v>2659</v>
      </c>
      <c r="AK321" s="417">
        <v>0.40920000000000001</v>
      </c>
      <c r="AL321" s="405">
        <v>7</v>
      </c>
      <c r="AM321" s="147"/>
    </row>
    <row r="322" spans="1:39">
      <c r="A322" s="71">
        <v>315</v>
      </c>
      <c r="B322" s="71" t="s">
        <v>1433</v>
      </c>
      <c r="C322" s="28">
        <v>49</v>
      </c>
      <c r="D322" s="28">
        <v>181</v>
      </c>
      <c r="E322" s="28">
        <v>14</v>
      </c>
      <c r="F322" s="28">
        <v>1023</v>
      </c>
      <c r="G322" s="28">
        <v>675</v>
      </c>
      <c r="H322" s="28">
        <v>843</v>
      </c>
      <c r="I322" s="28">
        <v>1</v>
      </c>
      <c r="J322" s="28">
        <v>104</v>
      </c>
      <c r="K322" s="28">
        <v>26</v>
      </c>
      <c r="L322" s="28">
        <v>61</v>
      </c>
      <c r="M322" s="28">
        <v>12</v>
      </c>
      <c r="N322" s="28">
        <v>5</v>
      </c>
      <c r="O322" s="28">
        <v>265</v>
      </c>
      <c r="P322" s="516">
        <v>2672</v>
      </c>
      <c r="Q322" s="517">
        <v>1.0409999999999999</v>
      </c>
      <c r="R322" s="6">
        <v>2</v>
      </c>
      <c r="S322" s="369">
        <v>0.1007</v>
      </c>
      <c r="T322" s="365"/>
      <c r="U322" s="28">
        <v>1708227.8777699997</v>
      </c>
      <c r="V322" s="28">
        <v>2345464.1707799993</v>
      </c>
      <c r="W322" s="28">
        <v>12944980.396470001</v>
      </c>
      <c r="X322" s="28">
        <v>3176990.5593300001</v>
      </c>
      <c r="Y322" s="28">
        <v>518319.66714000003</v>
      </c>
      <c r="Z322" s="28">
        <v>1770441.7300000002</v>
      </c>
      <c r="AA322" s="28">
        <v>1174356.2952299998</v>
      </c>
      <c r="AB322" s="28">
        <v>1064389.0734899999</v>
      </c>
      <c r="AC322" s="28">
        <v>3379135.9263599999</v>
      </c>
      <c r="AD322" s="28">
        <v>4908959.17</v>
      </c>
      <c r="AE322" s="28">
        <v>914049.24</v>
      </c>
      <c r="AF322" s="28">
        <v>33905314.106570005</v>
      </c>
      <c r="AG322" s="147"/>
      <c r="AH322" s="147"/>
      <c r="AI322" s="405">
        <v>265</v>
      </c>
      <c r="AJ322" s="460">
        <v>2632</v>
      </c>
      <c r="AK322" s="417">
        <v>0.1007</v>
      </c>
      <c r="AL322" s="405">
        <v>2</v>
      </c>
      <c r="AM322" s="147"/>
    </row>
    <row r="323" spans="1:39">
      <c r="A323" s="71">
        <v>316</v>
      </c>
      <c r="B323" s="71" t="s">
        <v>1434</v>
      </c>
      <c r="C323" s="28">
        <v>61</v>
      </c>
      <c r="D323" s="28">
        <v>0</v>
      </c>
      <c r="E323" s="28">
        <v>123</v>
      </c>
      <c r="F323" s="28">
        <v>761</v>
      </c>
      <c r="G323" s="28">
        <v>493</v>
      </c>
      <c r="H323" s="28">
        <v>492</v>
      </c>
      <c r="I323" s="28">
        <v>21</v>
      </c>
      <c r="J323" s="28">
        <v>74</v>
      </c>
      <c r="K323" s="28">
        <v>19</v>
      </c>
      <c r="L323" s="28">
        <v>149</v>
      </c>
      <c r="M323" s="28">
        <v>49</v>
      </c>
      <c r="N323" s="28">
        <v>52</v>
      </c>
      <c r="O323" s="28">
        <v>1317</v>
      </c>
      <c r="P323" s="516">
        <v>1921</v>
      </c>
      <c r="Q323" s="517">
        <v>1</v>
      </c>
      <c r="R323" s="6">
        <v>11</v>
      </c>
      <c r="S323" s="369">
        <v>0.77559999999999996</v>
      </c>
      <c r="T323" s="365"/>
      <c r="U323" s="28">
        <v>1329396.74</v>
      </c>
      <c r="V323" s="28">
        <v>2267006.75</v>
      </c>
      <c r="W323" s="28">
        <v>15102181.939999998</v>
      </c>
      <c r="X323" s="28">
        <v>2260271.2300000004</v>
      </c>
      <c r="Y323" s="28">
        <v>658037.75</v>
      </c>
      <c r="Z323" s="28">
        <v>1327786.5799999998</v>
      </c>
      <c r="AA323" s="28">
        <v>1061610.23</v>
      </c>
      <c r="AB323" s="28">
        <v>1944216.98</v>
      </c>
      <c r="AC323" s="28">
        <v>2413925.4400000004</v>
      </c>
      <c r="AD323" s="28">
        <v>4624315.05</v>
      </c>
      <c r="AE323" s="28">
        <v>667959.05999999994</v>
      </c>
      <c r="AF323" s="28">
        <v>33656707.75</v>
      </c>
      <c r="AG323" s="147"/>
      <c r="AH323" s="147"/>
      <c r="AI323" s="405">
        <v>1317</v>
      </c>
      <c r="AJ323" s="460">
        <v>1698</v>
      </c>
      <c r="AK323" s="417">
        <v>0.77559999999999996</v>
      </c>
      <c r="AL323" s="405">
        <v>11</v>
      </c>
      <c r="AM323" s="147"/>
    </row>
    <row r="324" spans="1:39">
      <c r="A324" s="71">
        <v>317</v>
      </c>
      <c r="B324" s="71" t="s">
        <v>1435</v>
      </c>
      <c r="C324" s="28">
        <v>97</v>
      </c>
      <c r="D324" s="28">
        <v>0</v>
      </c>
      <c r="E324" s="28">
        <v>271</v>
      </c>
      <c r="F324" s="28">
        <v>1466</v>
      </c>
      <c r="G324" s="28">
        <v>928</v>
      </c>
      <c r="H324" s="28">
        <v>1404</v>
      </c>
      <c r="I324" s="28">
        <v>0</v>
      </c>
      <c r="J324" s="28">
        <v>160</v>
      </c>
      <c r="K324" s="28">
        <v>41</v>
      </c>
      <c r="L324" s="28">
        <v>84</v>
      </c>
      <c r="M324" s="28">
        <v>19</v>
      </c>
      <c r="N324" s="28">
        <v>9</v>
      </c>
      <c r="O324" s="28">
        <v>394</v>
      </c>
      <c r="P324" s="516">
        <v>4118</v>
      </c>
      <c r="Q324" s="517">
        <v>1.071</v>
      </c>
      <c r="R324" s="6">
        <v>2</v>
      </c>
      <c r="S324" s="369">
        <v>9.7299999999999998E-2</v>
      </c>
      <c r="T324" s="365"/>
      <c r="U324" s="28">
        <v>2709934.5495600002</v>
      </c>
      <c r="V324" s="28">
        <v>3713896.3755600001</v>
      </c>
      <c r="W324" s="28">
        <v>20641957.313039996</v>
      </c>
      <c r="X324" s="28">
        <v>5023837.8571500005</v>
      </c>
      <c r="Y324" s="28">
        <v>818543.66579999996</v>
      </c>
      <c r="Z324" s="28">
        <v>2759911.19</v>
      </c>
      <c r="AA324" s="28">
        <v>1864496.5636499999</v>
      </c>
      <c r="AB324" s="28">
        <v>1708971.1808399998</v>
      </c>
      <c r="AC324" s="28">
        <v>5348990.2655699998</v>
      </c>
      <c r="AD324" s="28">
        <v>7535152.29</v>
      </c>
      <c r="AE324" s="28">
        <v>1441385.3399999999</v>
      </c>
      <c r="AF324" s="28">
        <v>53567076.591169998</v>
      </c>
      <c r="AG324" s="147"/>
      <c r="AH324" s="147"/>
      <c r="AI324" s="405">
        <v>394</v>
      </c>
      <c r="AJ324" s="460">
        <v>4051</v>
      </c>
      <c r="AK324" s="417">
        <v>9.7299999999999998E-2</v>
      </c>
      <c r="AL324" s="405">
        <v>2</v>
      </c>
      <c r="AM324" s="147"/>
    </row>
    <row r="325" spans="1:39">
      <c r="A325" s="71">
        <v>318</v>
      </c>
      <c r="B325" s="71" t="s">
        <v>1436</v>
      </c>
      <c r="C325" s="28">
        <v>0</v>
      </c>
      <c r="D325" s="28">
        <v>0</v>
      </c>
      <c r="E325" s="28">
        <v>10</v>
      </c>
      <c r="F325" s="28">
        <v>95</v>
      </c>
      <c r="G325" s="28">
        <v>0</v>
      </c>
      <c r="H325" s="28">
        <v>0</v>
      </c>
      <c r="I325" s="28">
        <v>0</v>
      </c>
      <c r="J325" s="28">
        <v>4</v>
      </c>
      <c r="K325" s="28">
        <v>1</v>
      </c>
      <c r="L325" s="28">
        <v>3</v>
      </c>
      <c r="M325" s="28">
        <v>0</v>
      </c>
      <c r="N325" s="28">
        <v>0</v>
      </c>
      <c r="O325" s="28">
        <v>39</v>
      </c>
      <c r="P325" s="516">
        <v>105</v>
      </c>
      <c r="Q325" s="517">
        <v>1</v>
      </c>
      <c r="R325" s="6">
        <v>8</v>
      </c>
      <c r="S325" s="369">
        <v>0.42859999999999998</v>
      </c>
      <c r="T325" s="365"/>
      <c r="U325" s="28">
        <v>66834</v>
      </c>
      <c r="V325" s="28">
        <v>101318.51999999999</v>
      </c>
      <c r="W325" s="28">
        <v>587881.83000000007</v>
      </c>
      <c r="X325" s="28">
        <v>138857.74000000002</v>
      </c>
      <c r="Y325" s="28">
        <v>24990.65</v>
      </c>
      <c r="Z325" s="28">
        <v>59740.02</v>
      </c>
      <c r="AA325" s="28">
        <v>46185.42</v>
      </c>
      <c r="AB325" s="28">
        <v>48637.89</v>
      </c>
      <c r="AC325" s="28">
        <v>123166.72</v>
      </c>
      <c r="AD325" s="28">
        <v>213778.37</v>
      </c>
      <c r="AE325" s="28">
        <v>35155.74</v>
      </c>
      <c r="AF325" s="28">
        <v>1446546.9000000001</v>
      </c>
      <c r="AG325" s="147"/>
      <c r="AH325" s="147"/>
      <c r="AI325" s="405">
        <v>39</v>
      </c>
      <c r="AJ325" s="460">
        <v>91</v>
      </c>
      <c r="AK325" s="417">
        <v>0.42859999999999998</v>
      </c>
      <c r="AL325" s="405">
        <v>8</v>
      </c>
      <c r="AM325" s="147"/>
    </row>
    <row r="326" spans="1:39">
      <c r="A326" s="71">
        <v>319</v>
      </c>
      <c r="B326" s="71" t="s">
        <v>1437</v>
      </c>
      <c r="C326" s="28">
        <v>0</v>
      </c>
      <c r="D326" s="28">
        <v>0</v>
      </c>
      <c r="E326" s="28">
        <v>0</v>
      </c>
      <c r="F326" s="28">
        <v>0</v>
      </c>
      <c r="G326" s="28">
        <v>0</v>
      </c>
      <c r="H326" s="28">
        <v>0</v>
      </c>
      <c r="I326" s="28">
        <v>0</v>
      </c>
      <c r="J326" s="28">
        <v>0</v>
      </c>
      <c r="K326" s="28">
        <v>0</v>
      </c>
      <c r="L326" s="28">
        <v>0</v>
      </c>
      <c r="M326" s="28">
        <v>0</v>
      </c>
      <c r="N326" s="28">
        <v>0</v>
      </c>
      <c r="O326" s="28">
        <v>0</v>
      </c>
      <c r="P326" s="516">
        <v>0</v>
      </c>
      <c r="Q326" s="517">
        <v>1</v>
      </c>
      <c r="R326" s="6">
        <v>0</v>
      </c>
      <c r="S326" s="369">
        <v>0</v>
      </c>
      <c r="T326" s="94"/>
      <c r="U326" s="28">
        <v>0</v>
      </c>
      <c r="V326" s="28">
        <v>0</v>
      </c>
      <c r="W326" s="28">
        <v>0</v>
      </c>
      <c r="X326" s="28">
        <v>0</v>
      </c>
      <c r="Y326" s="28">
        <v>0</v>
      </c>
      <c r="Z326" s="28">
        <v>0</v>
      </c>
      <c r="AA326" s="28">
        <v>0</v>
      </c>
      <c r="AB326" s="28">
        <v>0</v>
      </c>
      <c r="AC326" s="28">
        <v>0</v>
      </c>
      <c r="AD326" s="28">
        <v>0</v>
      </c>
      <c r="AE326" s="28">
        <v>0</v>
      </c>
      <c r="AF326" s="28">
        <v>0</v>
      </c>
      <c r="AG326" s="147"/>
      <c r="AH326" s="147"/>
      <c r="AI326" s="405">
        <v>0</v>
      </c>
      <c r="AJ326" s="460">
        <v>0</v>
      </c>
      <c r="AK326" s="417">
        <v>0</v>
      </c>
      <c r="AL326" s="405">
        <v>0</v>
      </c>
      <c r="AM326" s="147"/>
    </row>
    <row r="327" spans="1:39">
      <c r="A327" s="71">
        <v>320</v>
      </c>
      <c r="B327" s="71" t="s">
        <v>1438</v>
      </c>
      <c r="C327" s="28">
        <v>0</v>
      </c>
      <c r="D327" s="28">
        <v>0</v>
      </c>
      <c r="E327" s="28">
        <v>0</v>
      </c>
      <c r="F327" s="28">
        <v>0</v>
      </c>
      <c r="G327" s="28">
        <v>0</v>
      </c>
      <c r="H327" s="28">
        <v>0</v>
      </c>
      <c r="I327" s="28">
        <v>0</v>
      </c>
      <c r="J327" s="28">
        <v>0</v>
      </c>
      <c r="K327" s="28">
        <v>0</v>
      </c>
      <c r="L327" s="28">
        <v>0</v>
      </c>
      <c r="M327" s="28">
        <v>0</v>
      </c>
      <c r="N327" s="28">
        <v>0</v>
      </c>
      <c r="O327" s="28">
        <v>0</v>
      </c>
      <c r="P327" s="516">
        <v>0</v>
      </c>
      <c r="Q327" s="517">
        <v>1.0269999999999999</v>
      </c>
      <c r="R327" s="6">
        <v>0</v>
      </c>
      <c r="S327" s="369">
        <v>0</v>
      </c>
      <c r="T327" s="94"/>
      <c r="U327" s="28">
        <v>0</v>
      </c>
      <c r="V327" s="28">
        <v>0</v>
      </c>
      <c r="W327" s="28">
        <v>0</v>
      </c>
      <c r="X327" s="28">
        <v>0</v>
      </c>
      <c r="Y327" s="28">
        <v>0</v>
      </c>
      <c r="Z327" s="28">
        <v>0</v>
      </c>
      <c r="AA327" s="28">
        <v>0</v>
      </c>
      <c r="AB327" s="28">
        <v>0</v>
      </c>
      <c r="AC327" s="28">
        <v>0</v>
      </c>
      <c r="AD327" s="28">
        <v>0</v>
      </c>
      <c r="AE327" s="28">
        <v>0</v>
      </c>
      <c r="AF327" s="28">
        <v>0</v>
      </c>
      <c r="AG327" s="147"/>
      <c r="AH327" s="147"/>
      <c r="AI327" s="405">
        <v>0</v>
      </c>
      <c r="AJ327" s="460">
        <v>0</v>
      </c>
      <c r="AK327" s="417">
        <v>0</v>
      </c>
      <c r="AL327" s="405">
        <v>0</v>
      </c>
      <c r="AM327" s="147"/>
    </row>
    <row r="328" spans="1:39">
      <c r="A328" s="71">
        <v>321</v>
      </c>
      <c r="B328" s="71" t="s">
        <v>1439</v>
      </c>
      <c r="C328" s="28">
        <v>26</v>
      </c>
      <c r="D328" s="28">
        <v>0</v>
      </c>
      <c r="E328" s="28">
        <v>268</v>
      </c>
      <c r="F328" s="28">
        <v>1391</v>
      </c>
      <c r="G328" s="28">
        <v>919</v>
      </c>
      <c r="H328" s="28">
        <v>1228</v>
      </c>
      <c r="I328" s="28">
        <v>0</v>
      </c>
      <c r="J328" s="28">
        <v>150</v>
      </c>
      <c r="K328" s="28">
        <v>38</v>
      </c>
      <c r="L328" s="28">
        <v>311</v>
      </c>
      <c r="M328" s="28">
        <v>63</v>
      </c>
      <c r="N328" s="28">
        <v>67</v>
      </c>
      <c r="O328" s="28">
        <v>720</v>
      </c>
      <c r="P328" s="516">
        <v>3819</v>
      </c>
      <c r="Q328" s="517">
        <v>1</v>
      </c>
      <c r="R328" s="6">
        <v>4</v>
      </c>
      <c r="S328" s="369">
        <v>0.18809999999999999</v>
      </c>
      <c r="T328" s="365"/>
      <c r="U328" s="28">
        <v>2414694.0299999998</v>
      </c>
      <c r="V328" s="28">
        <v>3399137.9999999995</v>
      </c>
      <c r="W328" s="28">
        <v>19383362.189999998</v>
      </c>
      <c r="X328" s="28">
        <v>4446484.7800000012</v>
      </c>
      <c r="Y328" s="28">
        <v>783689.97</v>
      </c>
      <c r="Z328" s="28">
        <v>2593290.3100000005</v>
      </c>
      <c r="AA328" s="28">
        <v>1685565.62</v>
      </c>
      <c r="AB328" s="28">
        <v>1699795.0799999998</v>
      </c>
      <c r="AC328" s="28">
        <v>4755067.6500000004</v>
      </c>
      <c r="AD328" s="28">
        <v>7312687.8999999994</v>
      </c>
      <c r="AE328" s="28">
        <v>1335918.1199999999</v>
      </c>
      <c r="AF328" s="28">
        <v>49809693.649999991</v>
      </c>
      <c r="AG328" s="147"/>
      <c r="AH328" s="147"/>
      <c r="AI328" s="405">
        <v>720</v>
      </c>
      <c r="AJ328" s="460">
        <v>3827</v>
      </c>
      <c r="AK328" s="417">
        <v>0.18809999999999999</v>
      </c>
      <c r="AL328" s="405">
        <v>4</v>
      </c>
      <c r="AM328" s="147"/>
    </row>
    <row r="329" spans="1:39">
      <c r="A329" s="71">
        <v>322</v>
      </c>
      <c r="B329" s="71" t="s">
        <v>1440</v>
      </c>
      <c r="C329" s="28">
        <v>15</v>
      </c>
      <c r="D329" s="28">
        <v>0</v>
      </c>
      <c r="E329" s="28">
        <v>61</v>
      </c>
      <c r="F329" s="28">
        <v>336</v>
      </c>
      <c r="G329" s="28">
        <v>188</v>
      </c>
      <c r="H329" s="28">
        <v>203</v>
      </c>
      <c r="I329" s="28">
        <v>34</v>
      </c>
      <c r="J329" s="28">
        <v>33</v>
      </c>
      <c r="K329" s="28">
        <v>8</v>
      </c>
      <c r="L329" s="28">
        <v>46</v>
      </c>
      <c r="M329" s="28">
        <v>8</v>
      </c>
      <c r="N329" s="28">
        <v>6</v>
      </c>
      <c r="O329" s="28">
        <v>311</v>
      </c>
      <c r="P329" s="516">
        <v>830</v>
      </c>
      <c r="Q329" s="517">
        <v>1</v>
      </c>
      <c r="R329" s="6">
        <v>6</v>
      </c>
      <c r="S329" s="369">
        <v>0.3508</v>
      </c>
      <c r="T329" s="365"/>
      <c r="U329" s="28">
        <v>533397.74</v>
      </c>
      <c r="V329" s="28">
        <v>791264.80999999994</v>
      </c>
      <c r="W329" s="28">
        <v>4838601.66</v>
      </c>
      <c r="X329" s="28">
        <v>976967.04</v>
      </c>
      <c r="Y329" s="28">
        <v>199937.71</v>
      </c>
      <c r="Z329" s="28">
        <v>574989.20999999985</v>
      </c>
      <c r="AA329" s="28">
        <v>384298.89999999997</v>
      </c>
      <c r="AB329" s="28">
        <v>477008.38</v>
      </c>
      <c r="AC329" s="28">
        <v>1051378.0000000002</v>
      </c>
      <c r="AD329" s="28">
        <v>1695708.35</v>
      </c>
      <c r="AE329" s="28">
        <v>281245.92</v>
      </c>
      <c r="AF329" s="28">
        <v>11804797.720000001</v>
      </c>
      <c r="AG329" s="147"/>
      <c r="AH329" s="147"/>
      <c r="AI329" s="405">
        <v>311</v>
      </c>
      <c r="AJ329" s="460">
        <v>886.5</v>
      </c>
      <c r="AK329" s="417">
        <v>0.3508</v>
      </c>
      <c r="AL329" s="405">
        <v>6</v>
      </c>
      <c r="AM329" s="147"/>
    </row>
    <row r="330" spans="1:39">
      <c r="A330" s="71">
        <v>323</v>
      </c>
      <c r="B330" s="71" t="s">
        <v>1441</v>
      </c>
      <c r="C330" s="28">
        <v>19</v>
      </c>
      <c r="D330" s="28">
        <v>0</v>
      </c>
      <c r="E330" s="28">
        <v>88</v>
      </c>
      <c r="F330" s="28">
        <v>482</v>
      </c>
      <c r="G330" s="28">
        <v>264</v>
      </c>
      <c r="H330" s="28">
        <v>304</v>
      </c>
      <c r="I330" s="28">
        <v>6</v>
      </c>
      <c r="J330" s="28">
        <v>45</v>
      </c>
      <c r="K330" s="28">
        <v>11</v>
      </c>
      <c r="L330" s="28">
        <v>30</v>
      </c>
      <c r="M330" s="28">
        <v>4</v>
      </c>
      <c r="N330" s="28">
        <v>8</v>
      </c>
      <c r="O330" s="28">
        <v>430</v>
      </c>
      <c r="P330" s="516">
        <v>1154</v>
      </c>
      <c r="Q330" s="517">
        <v>1</v>
      </c>
      <c r="R330" s="6">
        <v>6</v>
      </c>
      <c r="S330" s="369">
        <v>0.31040000000000001</v>
      </c>
      <c r="T330" s="365"/>
      <c r="U330" s="28">
        <v>733684.7799999998</v>
      </c>
      <c r="V330" s="28">
        <v>1091323.48</v>
      </c>
      <c r="W330" s="28">
        <v>6492578.9099999992</v>
      </c>
      <c r="X330" s="28">
        <v>1348707.3499999999</v>
      </c>
      <c r="Y330" s="28">
        <v>270577.73000000004</v>
      </c>
      <c r="Z330" s="28">
        <v>760356.74999999988</v>
      </c>
      <c r="AA330" s="28">
        <v>529229.60999999987</v>
      </c>
      <c r="AB330" s="28">
        <v>651814.88</v>
      </c>
      <c r="AC330" s="28">
        <v>1405158.7799999998</v>
      </c>
      <c r="AD330" s="28">
        <v>2321996.7599999998</v>
      </c>
      <c r="AE330" s="28">
        <v>386713.13999999996</v>
      </c>
      <c r="AF330" s="28">
        <v>15992142.17</v>
      </c>
      <c r="AG330" s="147"/>
      <c r="AH330" s="147"/>
      <c r="AI330" s="405">
        <v>430</v>
      </c>
      <c r="AJ330" s="460">
        <v>1385.5</v>
      </c>
      <c r="AK330" s="417">
        <v>0.31040000000000001</v>
      </c>
      <c r="AL330" s="405">
        <v>6</v>
      </c>
      <c r="AM330" s="147"/>
    </row>
    <row r="331" spans="1:39">
      <c r="A331" s="71">
        <v>324</v>
      </c>
      <c r="B331" s="71" t="s">
        <v>1442</v>
      </c>
      <c r="C331" s="28">
        <v>0</v>
      </c>
      <c r="D331" s="28">
        <v>0</v>
      </c>
      <c r="E331" s="28">
        <v>0</v>
      </c>
      <c r="F331" s="28">
        <v>0</v>
      </c>
      <c r="G331" s="28">
        <v>0</v>
      </c>
      <c r="H331" s="28">
        <v>0</v>
      </c>
      <c r="I331" s="28">
        <v>26</v>
      </c>
      <c r="J331" s="28">
        <v>1</v>
      </c>
      <c r="K331" s="28">
        <v>0</v>
      </c>
      <c r="L331" s="28">
        <v>0</v>
      </c>
      <c r="M331" s="28">
        <v>0</v>
      </c>
      <c r="N331" s="28">
        <v>0</v>
      </c>
      <c r="O331" s="28">
        <v>0</v>
      </c>
      <c r="P331" s="516">
        <v>26</v>
      </c>
      <c r="Q331" s="517">
        <v>1</v>
      </c>
      <c r="R331" s="6">
        <v>0</v>
      </c>
      <c r="S331" s="369">
        <v>0</v>
      </c>
      <c r="T331" s="94"/>
      <c r="U331" s="28">
        <v>14761.31</v>
      </c>
      <c r="V331" s="28">
        <v>21067.8</v>
      </c>
      <c r="W331" s="28">
        <v>222739.56</v>
      </c>
      <c r="X331" s="28">
        <v>24387.64</v>
      </c>
      <c r="Y331" s="28">
        <v>7136.14</v>
      </c>
      <c r="Z331" s="28">
        <v>39579.18</v>
      </c>
      <c r="AA331" s="28">
        <v>11729.12</v>
      </c>
      <c r="AB331" s="28">
        <v>15799.16</v>
      </c>
      <c r="AC331" s="28">
        <v>56232.33</v>
      </c>
      <c r="AD331" s="28">
        <v>56269.96</v>
      </c>
      <c r="AE331" s="28">
        <v>0</v>
      </c>
      <c r="AF331" s="28">
        <v>469702.2</v>
      </c>
      <c r="AG331" s="147"/>
      <c r="AH331" s="147"/>
      <c r="AI331" s="405">
        <v>0</v>
      </c>
      <c r="AJ331" s="460">
        <v>0</v>
      </c>
      <c r="AK331" s="417">
        <v>0</v>
      </c>
      <c r="AL331" s="405">
        <v>0</v>
      </c>
      <c r="AM331" s="147"/>
    </row>
    <row r="332" spans="1:39">
      <c r="A332" s="71">
        <v>325</v>
      </c>
      <c r="B332" s="71" t="s">
        <v>1443</v>
      </c>
      <c r="C332" s="28">
        <v>205</v>
      </c>
      <c r="D332" s="28">
        <v>0</v>
      </c>
      <c r="E332" s="28">
        <v>284</v>
      </c>
      <c r="F332" s="28">
        <v>1692</v>
      </c>
      <c r="G332" s="28">
        <v>1093</v>
      </c>
      <c r="H332" s="28">
        <v>1162</v>
      </c>
      <c r="I332" s="28">
        <v>481</v>
      </c>
      <c r="J332" s="28">
        <v>190</v>
      </c>
      <c r="K332" s="28">
        <v>42</v>
      </c>
      <c r="L332" s="28">
        <v>217</v>
      </c>
      <c r="M332" s="28">
        <v>72</v>
      </c>
      <c r="N332" s="28">
        <v>92</v>
      </c>
      <c r="O332" s="28">
        <v>2548</v>
      </c>
      <c r="P332" s="516">
        <v>4815</v>
      </c>
      <c r="Q332" s="517">
        <v>1</v>
      </c>
      <c r="R332" s="6">
        <v>9</v>
      </c>
      <c r="S332" s="369">
        <v>0.53280000000000005</v>
      </c>
      <c r="T332" s="365"/>
      <c r="U332" s="28">
        <v>3179247.4399999995</v>
      </c>
      <c r="V332" s="28">
        <v>5073657.7399999993</v>
      </c>
      <c r="W332" s="28">
        <v>33987718.230000004</v>
      </c>
      <c r="X332" s="28">
        <v>5561160.0799999991</v>
      </c>
      <c r="Y332" s="28">
        <v>1416651.68</v>
      </c>
      <c r="Z332" s="28">
        <v>3646156.45</v>
      </c>
      <c r="AA332" s="28">
        <v>2440414.21</v>
      </c>
      <c r="AB332" s="28">
        <v>3861152.08</v>
      </c>
      <c r="AC332" s="28">
        <v>6393548.2700000005</v>
      </c>
      <c r="AD332" s="28">
        <v>10749428.720000001</v>
      </c>
      <c r="AE332" s="28">
        <v>1476541.0799999998</v>
      </c>
      <c r="AF332" s="28">
        <v>77785675.980000004</v>
      </c>
      <c r="AG332" s="147"/>
      <c r="AH332" s="147"/>
      <c r="AI332" s="405">
        <v>2548</v>
      </c>
      <c r="AJ332" s="460">
        <v>4782</v>
      </c>
      <c r="AK332" s="417">
        <v>0.53280000000000005</v>
      </c>
      <c r="AL332" s="405">
        <v>9</v>
      </c>
      <c r="AM332" s="147"/>
    </row>
    <row r="333" spans="1:39">
      <c r="A333" s="71">
        <v>326</v>
      </c>
      <c r="B333" s="71" t="s">
        <v>1444</v>
      </c>
      <c r="C333" s="28">
        <v>41</v>
      </c>
      <c r="D333" s="28">
        <v>0</v>
      </c>
      <c r="E333" s="28">
        <v>270</v>
      </c>
      <c r="F333" s="28">
        <v>1652</v>
      </c>
      <c r="G333" s="28">
        <v>1138</v>
      </c>
      <c r="H333" s="28">
        <v>1485</v>
      </c>
      <c r="I333" s="28">
        <v>0</v>
      </c>
      <c r="J333" s="28">
        <v>179</v>
      </c>
      <c r="K333" s="28">
        <v>45</v>
      </c>
      <c r="L333" s="28">
        <v>129</v>
      </c>
      <c r="M333" s="28">
        <v>18</v>
      </c>
      <c r="N333" s="28">
        <v>6</v>
      </c>
      <c r="O333" s="28">
        <v>458</v>
      </c>
      <c r="P333" s="516">
        <v>4566</v>
      </c>
      <c r="Q333" s="517">
        <v>1.0029999999999999</v>
      </c>
      <c r="R333" s="6">
        <v>2</v>
      </c>
      <c r="S333" s="369">
        <v>0.1037</v>
      </c>
      <c r="T333" s="365"/>
      <c r="U333" s="28">
        <v>2821599.6605400001</v>
      </c>
      <c r="V333" s="28">
        <v>3867859.1307799998</v>
      </c>
      <c r="W333" s="28">
        <v>21419122.582229998</v>
      </c>
      <c r="X333" s="28">
        <v>5235735.3654199988</v>
      </c>
      <c r="Y333" s="28">
        <v>855918.93657999998</v>
      </c>
      <c r="Z333" s="28">
        <v>3042051.8099999996</v>
      </c>
      <c r="AA333" s="28">
        <v>1938802.7712799998</v>
      </c>
      <c r="AB333" s="28">
        <v>1769920.0986599997</v>
      </c>
      <c r="AC333" s="28">
        <v>5574999.4333799994</v>
      </c>
      <c r="AD333" s="28">
        <v>8398283.2599999998</v>
      </c>
      <c r="AE333" s="28">
        <v>1582008.2999999998</v>
      </c>
      <c r="AF333" s="28">
        <v>56506301.348869994</v>
      </c>
      <c r="AG333" s="147"/>
      <c r="AH333" s="147"/>
      <c r="AI333" s="405">
        <v>458</v>
      </c>
      <c r="AJ333" s="460">
        <v>4415</v>
      </c>
      <c r="AK333" s="417">
        <v>0.1037</v>
      </c>
      <c r="AL333" s="405">
        <v>2</v>
      </c>
      <c r="AM333" s="147"/>
    </row>
    <row r="334" spans="1:39">
      <c r="A334" s="71">
        <v>327</v>
      </c>
      <c r="B334" s="71" t="s">
        <v>1445</v>
      </c>
      <c r="C334" s="28">
        <v>10</v>
      </c>
      <c r="D334" s="28">
        <v>0</v>
      </c>
      <c r="E334" s="28">
        <v>6</v>
      </c>
      <c r="F334" s="28">
        <v>60</v>
      </c>
      <c r="G334" s="28">
        <v>8</v>
      </c>
      <c r="H334" s="28">
        <v>0</v>
      </c>
      <c r="I334" s="28">
        <v>13</v>
      </c>
      <c r="J334" s="28">
        <v>4</v>
      </c>
      <c r="K334" s="28">
        <v>1</v>
      </c>
      <c r="L334" s="28">
        <v>0</v>
      </c>
      <c r="M334" s="28">
        <v>0</v>
      </c>
      <c r="N334" s="28">
        <v>0</v>
      </c>
      <c r="O334" s="28">
        <v>31</v>
      </c>
      <c r="P334" s="516">
        <v>92</v>
      </c>
      <c r="Q334" s="517">
        <v>1</v>
      </c>
      <c r="R334" s="6">
        <v>6</v>
      </c>
      <c r="S334" s="369">
        <v>0.31790000000000002</v>
      </c>
      <c r="T334" s="365"/>
      <c r="U334" s="28">
        <v>59619.19</v>
      </c>
      <c r="V334" s="28">
        <v>85232.27</v>
      </c>
      <c r="W334" s="28">
        <v>541384.39</v>
      </c>
      <c r="X334" s="28">
        <v>118786.13</v>
      </c>
      <c r="Y334" s="28">
        <v>22067.54</v>
      </c>
      <c r="Z334" s="28">
        <v>64554.9</v>
      </c>
      <c r="AA334" s="28">
        <v>40232.120000000003</v>
      </c>
      <c r="AB334" s="28">
        <v>42816.66</v>
      </c>
      <c r="AC334" s="28">
        <v>122423.11000000002</v>
      </c>
      <c r="AD334" s="28">
        <v>189306.70999999996</v>
      </c>
      <c r="AE334" s="28">
        <v>35155.74</v>
      </c>
      <c r="AF334" s="28">
        <v>1321578.7600000002</v>
      </c>
      <c r="AG334" s="147"/>
      <c r="AH334" s="147"/>
      <c r="AI334" s="405">
        <v>31</v>
      </c>
      <c r="AJ334" s="460">
        <v>97.5</v>
      </c>
      <c r="AK334" s="417">
        <v>0.31790000000000002</v>
      </c>
      <c r="AL334" s="405">
        <v>6</v>
      </c>
      <c r="AM334" s="147"/>
    </row>
    <row r="335" spans="1:39">
      <c r="A335" s="71">
        <v>328</v>
      </c>
      <c r="B335" s="71" t="s">
        <v>1446</v>
      </c>
      <c r="C335" s="28">
        <v>0</v>
      </c>
      <c r="D335" s="28">
        <v>0</v>
      </c>
      <c r="E335" s="28">
        <v>0</v>
      </c>
      <c r="F335" s="28">
        <v>0</v>
      </c>
      <c r="G335" s="28">
        <v>0</v>
      </c>
      <c r="H335" s="28">
        <v>0</v>
      </c>
      <c r="I335" s="28">
        <v>0</v>
      </c>
      <c r="J335" s="28">
        <v>0</v>
      </c>
      <c r="K335" s="28">
        <v>0</v>
      </c>
      <c r="L335" s="28">
        <v>0</v>
      </c>
      <c r="M335" s="28">
        <v>0</v>
      </c>
      <c r="N335" s="28">
        <v>0</v>
      </c>
      <c r="O335" s="28">
        <v>0</v>
      </c>
      <c r="P335" s="516">
        <v>0</v>
      </c>
      <c r="Q335" s="517">
        <v>1</v>
      </c>
      <c r="R335" s="6">
        <v>0</v>
      </c>
      <c r="S335" s="369">
        <v>0</v>
      </c>
      <c r="T335" s="94"/>
      <c r="U335" s="28">
        <v>0</v>
      </c>
      <c r="V335" s="28">
        <v>0</v>
      </c>
      <c r="W335" s="28">
        <v>0</v>
      </c>
      <c r="X335" s="28">
        <v>0</v>
      </c>
      <c r="Y335" s="28">
        <v>0</v>
      </c>
      <c r="Z335" s="28">
        <v>0</v>
      </c>
      <c r="AA335" s="28">
        <v>0</v>
      </c>
      <c r="AB335" s="28">
        <v>0</v>
      </c>
      <c r="AC335" s="28">
        <v>0</v>
      </c>
      <c r="AD335" s="28">
        <v>0</v>
      </c>
      <c r="AE335" s="28">
        <v>0</v>
      </c>
      <c r="AF335" s="28">
        <v>0</v>
      </c>
      <c r="AG335" s="147"/>
      <c r="AH335" s="147"/>
      <c r="AI335" s="405">
        <v>0</v>
      </c>
      <c r="AJ335" s="460">
        <v>0</v>
      </c>
      <c r="AK335" s="417">
        <v>0</v>
      </c>
      <c r="AL335" s="405">
        <v>0</v>
      </c>
      <c r="AM335" s="147"/>
    </row>
    <row r="336" spans="1:39">
      <c r="A336" s="71">
        <v>329</v>
      </c>
      <c r="B336" s="71" t="s">
        <v>1447</v>
      </c>
      <c r="C336" s="28">
        <v>0</v>
      </c>
      <c r="D336" s="28">
        <v>0</v>
      </c>
      <c r="E336" s="28">
        <v>0</v>
      </c>
      <c r="F336" s="28">
        <v>0</v>
      </c>
      <c r="G336" s="28">
        <v>0</v>
      </c>
      <c r="H336" s="28">
        <v>0</v>
      </c>
      <c r="I336" s="28">
        <v>4</v>
      </c>
      <c r="J336" s="28">
        <v>0</v>
      </c>
      <c r="K336" s="28">
        <v>0</v>
      </c>
      <c r="L336" s="28">
        <v>0</v>
      </c>
      <c r="M336" s="28">
        <v>0</v>
      </c>
      <c r="N336" s="28">
        <v>0</v>
      </c>
      <c r="O336" s="28">
        <v>0</v>
      </c>
      <c r="P336" s="516">
        <v>4</v>
      </c>
      <c r="Q336" s="517">
        <v>1</v>
      </c>
      <c r="R336" s="6">
        <v>0</v>
      </c>
      <c r="S336" s="369">
        <v>0</v>
      </c>
      <c r="T336" s="94"/>
      <c r="U336" s="28">
        <v>1794.6</v>
      </c>
      <c r="V336" s="28">
        <v>3241.2</v>
      </c>
      <c r="W336" s="28">
        <v>32695.72</v>
      </c>
      <c r="X336" s="28">
        <v>2284.2800000000002</v>
      </c>
      <c r="Y336" s="28">
        <v>1022.04</v>
      </c>
      <c r="Z336" s="28">
        <v>6022.92</v>
      </c>
      <c r="AA336" s="28">
        <v>1804.48</v>
      </c>
      <c r="AB336" s="28">
        <v>2430.64</v>
      </c>
      <c r="AC336" s="28">
        <v>8119</v>
      </c>
      <c r="AD336" s="28">
        <v>8026.44</v>
      </c>
      <c r="AE336" s="28">
        <v>0</v>
      </c>
      <c r="AF336" s="28">
        <v>67441.320000000007</v>
      </c>
      <c r="AG336" s="147"/>
      <c r="AH336" s="147"/>
      <c r="AI336" s="405">
        <v>0</v>
      </c>
      <c r="AJ336" s="460">
        <v>0</v>
      </c>
      <c r="AK336" s="417">
        <v>0</v>
      </c>
      <c r="AL336" s="405">
        <v>0</v>
      </c>
      <c r="AM336" s="147"/>
    </row>
    <row r="337" spans="1:39">
      <c r="A337" s="71">
        <v>330</v>
      </c>
      <c r="B337" s="71" t="s">
        <v>1448</v>
      </c>
      <c r="C337" s="28">
        <v>41</v>
      </c>
      <c r="D337" s="28">
        <v>0</v>
      </c>
      <c r="E337" s="28">
        <v>111</v>
      </c>
      <c r="F337" s="28">
        <v>801</v>
      </c>
      <c r="G337" s="28">
        <v>433</v>
      </c>
      <c r="H337" s="28">
        <v>675</v>
      </c>
      <c r="I337" s="28">
        <v>0</v>
      </c>
      <c r="J337" s="28">
        <v>79</v>
      </c>
      <c r="K337" s="28">
        <v>20</v>
      </c>
      <c r="L337" s="28">
        <v>39</v>
      </c>
      <c r="M337" s="28">
        <v>10</v>
      </c>
      <c r="N337" s="28">
        <v>11</v>
      </c>
      <c r="O337" s="28">
        <v>178</v>
      </c>
      <c r="P337" s="516">
        <v>2041</v>
      </c>
      <c r="Q337" s="517">
        <v>1.0680000000000001</v>
      </c>
      <c r="R337" s="6">
        <v>2</v>
      </c>
      <c r="S337" s="369">
        <v>8.8300000000000003E-2</v>
      </c>
      <c r="T337" s="365"/>
      <c r="U337" s="28">
        <v>1336545.1930799999</v>
      </c>
      <c r="V337" s="28">
        <v>1831366.0189199997</v>
      </c>
      <c r="W337" s="28">
        <v>10144369.366920002</v>
      </c>
      <c r="X337" s="28">
        <v>2496968.3751600003</v>
      </c>
      <c r="Y337" s="28">
        <v>401743.00248000002</v>
      </c>
      <c r="Z337" s="28">
        <v>1361305.3699999999</v>
      </c>
      <c r="AA337" s="28">
        <v>917399.02380000008</v>
      </c>
      <c r="AB337" s="28">
        <v>822929.1158400001</v>
      </c>
      <c r="AC337" s="28">
        <v>2640566.0268000001</v>
      </c>
      <c r="AD337" s="28">
        <v>3725601.6100000003</v>
      </c>
      <c r="AE337" s="28">
        <v>703114.79999999993</v>
      </c>
      <c r="AF337" s="28">
        <v>26381907.903000001</v>
      </c>
      <c r="AG337" s="147"/>
      <c r="AH337" s="147"/>
      <c r="AI337" s="405">
        <v>178</v>
      </c>
      <c r="AJ337" s="460">
        <v>2016</v>
      </c>
      <c r="AK337" s="417">
        <v>8.8300000000000003E-2</v>
      </c>
      <c r="AL337" s="405">
        <v>2</v>
      </c>
      <c r="AM337" s="147"/>
    </row>
    <row r="338" spans="1:39">
      <c r="A338" s="71">
        <v>331</v>
      </c>
      <c r="B338" s="71" t="s">
        <v>1449</v>
      </c>
      <c r="C338" s="28">
        <v>61</v>
      </c>
      <c r="D338" s="28">
        <v>0</v>
      </c>
      <c r="E338" s="28">
        <v>120</v>
      </c>
      <c r="F338" s="28">
        <v>591</v>
      </c>
      <c r="G338" s="28">
        <v>408</v>
      </c>
      <c r="H338" s="28">
        <v>445</v>
      </c>
      <c r="I338" s="28">
        <v>0</v>
      </c>
      <c r="J338" s="28">
        <v>61</v>
      </c>
      <c r="K338" s="28">
        <v>16</v>
      </c>
      <c r="L338" s="28">
        <v>17</v>
      </c>
      <c r="M338" s="28">
        <v>4</v>
      </c>
      <c r="N338" s="28">
        <v>6</v>
      </c>
      <c r="O338" s="28">
        <v>583</v>
      </c>
      <c r="P338" s="516">
        <v>1595</v>
      </c>
      <c r="Q338" s="517">
        <v>1</v>
      </c>
      <c r="R338" s="6">
        <v>7</v>
      </c>
      <c r="S338" s="369">
        <v>0.3881</v>
      </c>
      <c r="T338" s="365"/>
      <c r="U338" s="28">
        <v>1012519.66</v>
      </c>
      <c r="V338" s="28">
        <v>1514956.98</v>
      </c>
      <c r="W338" s="28">
        <v>9013056.629999999</v>
      </c>
      <c r="X338" s="28">
        <v>1828907.3400000003</v>
      </c>
      <c r="Y338" s="28">
        <v>377445.86</v>
      </c>
      <c r="Z338" s="28">
        <v>1046984.66</v>
      </c>
      <c r="AA338" s="28">
        <v>736370.82000000007</v>
      </c>
      <c r="AB338" s="28">
        <v>936932.66999999993</v>
      </c>
      <c r="AC338" s="28">
        <v>1924354.7099999997</v>
      </c>
      <c r="AD338" s="28">
        <v>3214955.5300000003</v>
      </c>
      <c r="AE338" s="28">
        <v>562491.84</v>
      </c>
      <c r="AF338" s="28">
        <v>22168976.699999999</v>
      </c>
      <c r="AG338" s="147"/>
      <c r="AH338" s="147"/>
      <c r="AI338" s="405">
        <v>583</v>
      </c>
      <c r="AJ338" s="460">
        <v>1502</v>
      </c>
      <c r="AK338" s="417">
        <v>0.3881</v>
      </c>
      <c r="AL338" s="405">
        <v>7</v>
      </c>
      <c r="AM338" s="147"/>
    </row>
    <row r="339" spans="1:39">
      <c r="A339" s="71">
        <v>332</v>
      </c>
      <c r="B339" s="71" t="s">
        <v>1450</v>
      </c>
      <c r="C339" s="28">
        <v>127</v>
      </c>
      <c r="D339" s="28">
        <v>0</v>
      </c>
      <c r="E339" s="28">
        <v>252</v>
      </c>
      <c r="F339" s="28">
        <v>1496</v>
      </c>
      <c r="G339" s="28">
        <v>996</v>
      </c>
      <c r="H339" s="28">
        <v>1153</v>
      </c>
      <c r="I339" s="28">
        <v>126</v>
      </c>
      <c r="J339" s="28">
        <v>159</v>
      </c>
      <c r="K339" s="28">
        <v>39</v>
      </c>
      <c r="L339" s="28">
        <v>350</v>
      </c>
      <c r="M339" s="28">
        <v>120</v>
      </c>
      <c r="N339" s="28">
        <v>117</v>
      </c>
      <c r="O339" s="28">
        <v>2486</v>
      </c>
      <c r="P339" s="516">
        <v>4087</v>
      </c>
      <c r="Q339" s="517">
        <v>1</v>
      </c>
      <c r="R339" s="6">
        <v>10</v>
      </c>
      <c r="S339" s="369">
        <v>0.62029999999999996</v>
      </c>
      <c r="T339" s="365"/>
      <c r="U339" s="28">
        <v>2778395.7299999995</v>
      </c>
      <c r="V339" s="28">
        <v>4568951.8699999992</v>
      </c>
      <c r="W339" s="28">
        <v>30134223.110000003</v>
      </c>
      <c r="X339" s="28">
        <v>4777745.6899999995</v>
      </c>
      <c r="Y339" s="28">
        <v>1287137.7399999998</v>
      </c>
      <c r="Z339" s="28">
        <v>2927528.36</v>
      </c>
      <c r="AA339" s="28">
        <v>2170569.7500000005</v>
      </c>
      <c r="AB339" s="28">
        <v>3671111.2199999997</v>
      </c>
      <c r="AC339" s="28">
        <v>5242888.6900000004</v>
      </c>
      <c r="AD339" s="28">
        <v>9437166.8800000008</v>
      </c>
      <c r="AE339" s="28">
        <v>1371073.8599999999</v>
      </c>
      <c r="AF339" s="28">
        <v>68366792.900000006</v>
      </c>
      <c r="AG339" s="147"/>
      <c r="AH339" s="147"/>
      <c r="AI339" s="405">
        <v>2486</v>
      </c>
      <c r="AJ339" s="460">
        <v>4007.5</v>
      </c>
      <c r="AK339" s="417">
        <v>0.62029999999999996</v>
      </c>
      <c r="AL339" s="405">
        <v>10</v>
      </c>
      <c r="AM339" s="147"/>
    </row>
    <row r="340" spans="1:39">
      <c r="A340" s="71">
        <v>333</v>
      </c>
      <c r="B340" s="71" t="s">
        <v>1451</v>
      </c>
      <c r="C340" s="28">
        <v>0</v>
      </c>
      <c r="D340" s="28">
        <v>0</v>
      </c>
      <c r="E340" s="28">
        <v>0</v>
      </c>
      <c r="F340" s="28">
        <v>0</v>
      </c>
      <c r="G340" s="28">
        <v>0</v>
      </c>
      <c r="H340" s="28">
        <v>0</v>
      </c>
      <c r="I340" s="28">
        <v>0</v>
      </c>
      <c r="J340" s="28">
        <v>0</v>
      </c>
      <c r="K340" s="28">
        <v>0</v>
      </c>
      <c r="L340" s="28">
        <v>0</v>
      </c>
      <c r="M340" s="28">
        <v>0</v>
      </c>
      <c r="N340" s="28">
        <v>0</v>
      </c>
      <c r="O340" s="28">
        <v>0</v>
      </c>
      <c r="P340" s="516">
        <v>0</v>
      </c>
      <c r="Q340" s="517">
        <v>1</v>
      </c>
      <c r="R340" s="6">
        <v>0</v>
      </c>
      <c r="S340" s="369">
        <v>0</v>
      </c>
      <c r="T340" s="94"/>
      <c r="U340" s="28">
        <v>0</v>
      </c>
      <c r="V340" s="28">
        <v>0</v>
      </c>
      <c r="W340" s="28">
        <v>0</v>
      </c>
      <c r="X340" s="28">
        <v>0</v>
      </c>
      <c r="Y340" s="28">
        <v>0</v>
      </c>
      <c r="Z340" s="28">
        <v>0</v>
      </c>
      <c r="AA340" s="28">
        <v>0</v>
      </c>
      <c r="AB340" s="28">
        <v>0</v>
      </c>
      <c r="AC340" s="28">
        <v>0</v>
      </c>
      <c r="AD340" s="28">
        <v>0</v>
      </c>
      <c r="AE340" s="28">
        <v>0</v>
      </c>
      <c r="AF340" s="28">
        <v>0</v>
      </c>
      <c r="AG340" s="147"/>
      <c r="AH340" s="147"/>
      <c r="AI340" s="405">
        <v>0</v>
      </c>
      <c r="AJ340" s="460">
        <v>0</v>
      </c>
      <c r="AK340" s="417">
        <v>0</v>
      </c>
      <c r="AL340" s="405">
        <v>0</v>
      </c>
      <c r="AM340" s="147"/>
    </row>
    <row r="341" spans="1:39">
      <c r="A341" s="71">
        <v>334</v>
      </c>
      <c r="B341" s="71" t="s">
        <v>1452</v>
      </c>
      <c r="C341" s="28">
        <v>0</v>
      </c>
      <c r="D341" s="28">
        <v>0</v>
      </c>
      <c r="E341" s="28">
        <v>0</v>
      </c>
      <c r="F341" s="28">
        <v>0</v>
      </c>
      <c r="G341" s="28">
        <v>0</v>
      </c>
      <c r="H341" s="28">
        <v>0</v>
      </c>
      <c r="I341" s="28">
        <v>0</v>
      </c>
      <c r="J341" s="28">
        <v>0</v>
      </c>
      <c r="K341" s="28">
        <v>0</v>
      </c>
      <c r="L341" s="28">
        <v>0</v>
      </c>
      <c r="M341" s="28">
        <v>0</v>
      </c>
      <c r="N341" s="28">
        <v>0</v>
      </c>
      <c r="O341" s="28">
        <v>0</v>
      </c>
      <c r="P341" s="516">
        <v>0</v>
      </c>
      <c r="Q341" s="517">
        <v>1</v>
      </c>
      <c r="R341" s="6">
        <v>0</v>
      </c>
      <c r="S341" s="369">
        <v>0</v>
      </c>
      <c r="T341" s="94"/>
      <c r="U341" s="28">
        <v>0</v>
      </c>
      <c r="V341" s="28">
        <v>0</v>
      </c>
      <c r="W341" s="28">
        <v>0</v>
      </c>
      <c r="X341" s="28">
        <v>0</v>
      </c>
      <c r="Y341" s="28">
        <v>0</v>
      </c>
      <c r="Z341" s="28">
        <v>0</v>
      </c>
      <c r="AA341" s="28">
        <v>0</v>
      </c>
      <c r="AB341" s="28">
        <v>0</v>
      </c>
      <c r="AC341" s="28">
        <v>0</v>
      </c>
      <c r="AD341" s="28">
        <v>0</v>
      </c>
      <c r="AE341" s="28">
        <v>0</v>
      </c>
      <c r="AF341" s="28">
        <v>0</v>
      </c>
      <c r="AG341" s="147"/>
      <c r="AH341" s="147"/>
      <c r="AI341" s="405">
        <v>0</v>
      </c>
      <c r="AJ341" s="460">
        <v>0</v>
      </c>
      <c r="AK341" s="417">
        <v>0</v>
      </c>
      <c r="AL341" s="405">
        <v>0</v>
      </c>
      <c r="AM341" s="147"/>
    </row>
    <row r="342" spans="1:39">
      <c r="A342" s="71">
        <v>335</v>
      </c>
      <c r="B342" s="71" t="s">
        <v>1453</v>
      </c>
      <c r="C342" s="28">
        <v>13</v>
      </c>
      <c r="D342" s="28">
        <v>0</v>
      </c>
      <c r="E342" s="28">
        <v>225</v>
      </c>
      <c r="F342" s="28">
        <v>1088</v>
      </c>
      <c r="G342" s="28">
        <v>670</v>
      </c>
      <c r="H342" s="28">
        <v>899</v>
      </c>
      <c r="I342" s="28">
        <v>1</v>
      </c>
      <c r="J342" s="28">
        <v>113</v>
      </c>
      <c r="K342" s="28">
        <v>29</v>
      </c>
      <c r="L342" s="28">
        <v>23</v>
      </c>
      <c r="M342" s="28">
        <v>3</v>
      </c>
      <c r="N342" s="28">
        <v>4</v>
      </c>
      <c r="O342" s="28">
        <v>287</v>
      </c>
      <c r="P342" s="516">
        <v>2890</v>
      </c>
      <c r="Q342" s="517">
        <v>1.054</v>
      </c>
      <c r="R342" s="6">
        <v>2</v>
      </c>
      <c r="S342" s="369">
        <v>0.1003</v>
      </c>
      <c r="T342" s="365"/>
      <c r="U342" s="28">
        <v>1869612.9412800001</v>
      </c>
      <c r="V342" s="28">
        <v>2557801.7093599997</v>
      </c>
      <c r="W342" s="28">
        <v>14118824.60004</v>
      </c>
      <c r="X342" s="28">
        <v>3495688.9376800004</v>
      </c>
      <c r="Y342" s="28">
        <v>563903.30148000002</v>
      </c>
      <c r="Z342" s="28">
        <v>1903565.5</v>
      </c>
      <c r="AA342" s="28">
        <v>1278586.82592</v>
      </c>
      <c r="AB342" s="28">
        <v>1146588.6827</v>
      </c>
      <c r="AC342" s="28">
        <v>3677296.7318199999</v>
      </c>
      <c r="AD342" s="28">
        <v>5289362.7600000007</v>
      </c>
      <c r="AE342" s="28">
        <v>1019516.46</v>
      </c>
      <c r="AF342" s="28">
        <v>36920748.450279996</v>
      </c>
      <c r="AG342" s="147"/>
      <c r="AH342" s="147"/>
      <c r="AI342" s="405">
        <v>287</v>
      </c>
      <c r="AJ342" s="460">
        <v>2862</v>
      </c>
      <c r="AK342" s="417">
        <v>0.1003</v>
      </c>
      <c r="AL342" s="405">
        <v>2</v>
      </c>
      <c r="AM342" s="147"/>
    </row>
    <row r="343" spans="1:39">
      <c r="A343" s="71">
        <v>336</v>
      </c>
      <c r="B343" s="71" t="s">
        <v>1454</v>
      </c>
      <c r="C343" s="28">
        <v>90</v>
      </c>
      <c r="D343" s="28">
        <v>0</v>
      </c>
      <c r="E343" s="28">
        <v>470</v>
      </c>
      <c r="F343" s="28">
        <v>2199</v>
      </c>
      <c r="G343" s="28">
        <v>1264</v>
      </c>
      <c r="H343" s="28">
        <v>1443</v>
      </c>
      <c r="I343" s="28">
        <v>456</v>
      </c>
      <c r="J343" s="28">
        <v>233</v>
      </c>
      <c r="K343" s="28">
        <v>54</v>
      </c>
      <c r="L343" s="28">
        <v>307</v>
      </c>
      <c r="M343" s="28">
        <v>75</v>
      </c>
      <c r="N343" s="28">
        <v>92</v>
      </c>
      <c r="O343" s="28">
        <v>2586</v>
      </c>
      <c r="P343" s="516">
        <v>5877</v>
      </c>
      <c r="Q343" s="517">
        <v>1.042</v>
      </c>
      <c r="R343" s="6">
        <v>8</v>
      </c>
      <c r="S343" s="369">
        <v>0.44369999999999998</v>
      </c>
      <c r="T343" s="365"/>
      <c r="U343" s="28">
        <v>3992789.137959999</v>
      </c>
      <c r="V343" s="28">
        <v>6143330.3097400004</v>
      </c>
      <c r="W343" s="28">
        <v>39663098.381280005</v>
      </c>
      <c r="X343" s="28">
        <v>7147348.8158000009</v>
      </c>
      <c r="Y343" s="28">
        <v>1639864.13032</v>
      </c>
      <c r="Z343" s="28">
        <v>4311351.7700000005</v>
      </c>
      <c r="AA343" s="28">
        <v>2971299.08446</v>
      </c>
      <c r="AB343" s="28">
        <v>4212659.5573199997</v>
      </c>
      <c r="AC343" s="28">
        <v>7996593.9352200003</v>
      </c>
      <c r="AD343" s="28">
        <v>12569056.860000001</v>
      </c>
      <c r="AE343" s="28">
        <v>1898409.96</v>
      </c>
      <c r="AF343" s="28">
        <v>92545801.942100003</v>
      </c>
      <c r="AG343" s="147"/>
      <c r="AH343" s="147"/>
      <c r="AI343" s="405">
        <v>2586</v>
      </c>
      <c r="AJ343" s="460">
        <v>5828</v>
      </c>
      <c r="AK343" s="417">
        <v>0.44369999999999998</v>
      </c>
      <c r="AL343" s="405">
        <v>8</v>
      </c>
      <c r="AM343" s="147"/>
    </row>
    <row r="344" spans="1:39">
      <c r="A344" s="71">
        <v>337</v>
      </c>
      <c r="B344" s="71" t="s">
        <v>1455</v>
      </c>
      <c r="C344" s="28">
        <v>6</v>
      </c>
      <c r="D344" s="28">
        <v>0</v>
      </c>
      <c r="E344" s="28">
        <v>13</v>
      </c>
      <c r="F344" s="28">
        <v>61</v>
      </c>
      <c r="G344" s="28">
        <v>8</v>
      </c>
      <c r="H344" s="28">
        <v>0</v>
      </c>
      <c r="I344" s="28">
        <v>0</v>
      </c>
      <c r="J344" s="28">
        <v>3</v>
      </c>
      <c r="K344" s="28">
        <v>1</v>
      </c>
      <c r="L344" s="28">
        <v>2</v>
      </c>
      <c r="M344" s="28">
        <v>0</v>
      </c>
      <c r="N344" s="28">
        <v>0</v>
      </c>
      <c r="O344" s="28">
        <v>32</v>
      </c>
      <c r="P344" s="516">
        <v>85</v>
      </c>
      <c r="Q344" s="517">
        <v>1</v>
      </c>
      <c r="R344" s="6">
        <v>5</v>
      </c>
      <c r="S344" s="369">
        <v>0.26889999999999997</v>
      </c>
      <c r="T344" s="365"/>
      <c r="U344" s="28">
        <v>53457.61</v>
      </c>
      <c r="V344" s="28">
        <v>79253.039999999994</v>
      </c>
      <c r="W344" s="28">
        <v>443127.25</v>
      </c>
      <c r="X344" s="28">
        <v>107928.92</v>
      </c>
      <c r="Y344" s="28">
        <v>18917.159999999996</v>
      </c>
      <c r="Z344" s="28">
        <v>48003.76</v>
      </c>
      <c r="AA344" s="28">
        <v>36530.54</v>
      </c>
      <c r="AB344" s="28">
        <v>34242.519999999997</v>
      </c>
      <c r="AC344" s="28">
        <v>99434.39</v>
      </c>
      <c r="AD344" s="28">
        <v>168337.81999999998</v>
      </c>
      <c r="AE344" s="28">
        <v>35155.74</v>
      </c>
      <c r="AF344" s="28">
        <v>1124388.7500000002</v>
      </c>
      <c r="AG344" s="147"/>
      <c r="AH344" s="147"/>
      <c r="AI344" s="405">
        <v>32</v>
      </c>
      <c r="AJ344" s="460">
        <v>119</v>
      </c>
      <c r="AK344" s="417">
        <v>0.26889999999999997</v>
      </c>
      <c r="AL344" s="405">
        <v>5</v>
      </c>
      <c r="AM344" s="147"/>
    </row>
    <row r="345" spans="1:39">
      <c r="A345" s="71">
        <v>338</v>
      </c>
      <c r="B345" s="71" t="s">
        <v>1456</v>
      </c>
      <c r="C345" s="28">
        <v>0</v>
      </c>
      <c r="D345" s="28">
        <v>0</v>
      </c>
      <c r="E345" s="28">
        <v>0</v>
      </c>
      <c r="F345" s="28">
        <v>0</v>
      </c>
      <c r="G345" s="28">
        <v>0</v>
      </c>
      <c r="H345" s="28">
        <v>0</v>
      </c>
      <c r="I345" s="28">
        <v>13</v>
      </c>
      <c r="J345" s="28">
        <v>1</v>
      </c>
      <c r="K345" s="28">
        <v>0</v>
      </c>
      <c r="L345" s="28">
        <v>0</v>
      </c>
      <c r="M345" s="28">
        <v>0</v>
      </c>
      <c r="N345" s="28">
        <v>0</v>
      </c>
      <c r="O345" s="28">
        <v>0</v>
      </c>
      <c r="P345" s="516">
        <v>13</v>
      </c>
      <c r="Q345" s="517">
        <v>1</v>
      </c>
      <c r="R345" s="6">
        <v>0</v>
      </c>
      <c r="S345" s="369">
        <v>0</v>
      </c>
      <c r="T345" s="94"/>
      <c r="U345" s="28">
        <v>8928.86</v>
      </c>
      <c r="V345" s="28">
        <v>10533.9</v>
      </c>
      <c r="W345" s="28">
        <v>116478.47</v>
      </c>
      <c r="X345" s="28">
        <v>16963.73</v>
      </c>
      <c r="Y345" s="28">
        <v>3814.51</v>
      </c>
      <c r="Z345" s="28">
        <v>20004.690000000002</v>
      </c>
      <c r="AA345" s="28">
        <v>5864.56</v>
      </c>
      <c r="AB345" s="28">
        <v>7899.58</v>
      </c>
      <c r="AC345" s="28">
        <v>29845.58</v>
      </c>
      <c r="AD345" s="28">
        <v>30184.03</v>
      </c>
      <c r="AE345" s="28">
        <v>0</v>
      </c>
      <c r="AF345" s="28">
        <v>250517.91</v>
      </c>
      <c r="AG345" s="147"/>
      <c r="AH345" s="147"/>
      <c r="AI345" s="405">
        <v>0</v>
      </c>
      <c r="AJ345" s="460">
        <v>0</v>
      </c>
      <c r="AK345" s="417">
        <v>0</v>
      </c>
      <c r="AL345" s="405">
        <v>0</v>
      </c>
      <c r="AM345" s="147"/>
    </row>
    <row r="346" spans="1:39">
      <c r="A346" s="71">
        <v>339</v>
      </c>
      <c r="B346" s="71" t="s">
        <v>1457</v>
      </c>
      <c r="C346" s="28">
        <v>0</v>
      </c>
      <c r="D346" s="28">
        <v>0</v>
      </c>
      <c r="E346" s="28">
        <v>0</v>
      </c>
      <c r="F346" s="28">
        <v>0</v>
      </c>
      <c r="G346" s="28">
        <v>0</v>
      </c>
      <c r="H346" s="28">
        <v>0</v>
      </c>
      <c r="I346" s="28">
        <v>0</v>
      </c>
      <c r="J346" s="28">
        <v>0</v>
      </c>
      <c r="K346" s="28">
        <v>0</v>
      </c>
      <c r="L346" s="28">
        <v>0</v>
      </c>
      <c r="M346" s="28">
        <v>0</v>
      </c>
      <c r="N346" s="28">
        <v>0</v>
      </c>
      <c r="O346" s="28">
        <v>0</v>
      </c>
      <c r="P346" s="516">
        <v>0</v>
      </c>
      <c r="Q346" s="517">
        <v>1</v>
      </c>
      <c r="R346" s="6">
        <v>0</v>
      </c>
      <c r="S346" s="369">
        <v>0</v>
      </c>
      <c r="T346" s="94"/>
      <c r="U346" s="28">
        <v>0</v>
      </c>
      <c r="V346" s="28">
        <v>0</v>
      </c>
      <c r="W346" s="28">
        <v>0</v>
      </c>
      <c r="X346" s="28">
        <v>0</v>
      </c>
      <c r="Y346" s="28">
        <v>0</v>
      </c>
      <c r="Z346" s="28">
        <v>0</v>
      </c>
      <c r="AA346" s="28">
        <v>0</v>
      </c>
      <c r="AB346" s="28">
        <v>0</v>
      </c>
      <c r="AC346" s="28">
        <v>0</v>
      </c>
      <c r="AD346" s="28">
        <v>0</v>
      </c>
      <c r="AE346" s="28">
        <v>0</v>
      </c>
      <c r="AF346" s="28">
        <v>0</v>
      </c>
      <c r="AG346" s="147"/>
      <c r="AH346" s="147"/>
      <c r="AI346" s="405">
        <v>0</v>
      </c>
      <c r="AJ346" s="460">
        <v>0</v>
      </c>
      <c r="AK346" s="417">
        <v>0</v>
      </c>
      <c r="AL346" s="405">
        <v>0</v>
      </c>
      <c r="AM346" s="147"/>
    </row>
    <row r="347" spans="1:39">
      <c r="A347" s="71">
        <v>340</v>
      </c>
      <c r="B347" s="71" t="s">
        <v>1458</v>
      </c>
      <c r="C347" s="28">
        <v>4</v>
      </c>
      <c r="D347" s="28">
        <v>0</v>
      </c>
      <c r="E347" s="28">
        <v>12</v>
      </c>
      <c r="F347" s="28">
        <v>81</v>
      </c>
      <c r="G347" s="28">
        <v>17</v>
      </c>
      <c r="H347" s="28">
        <v>0</v>
      </c>
      <c r="I347" s="28">
        <v>24</v>
      </c>
      <c r="J347" s="28">
        <v>5</v>
      </c>
      <c r="K347" s="28">
        <v>1</v>
      </c>
      <c r="L347" s="28">
        <v>2</v>
      </c>
      <c r="M347" s="28">
        <v>0</v>
      </c>
      <c r="N347" s="28">
        <v>0</v>
      </c>
      <c r="O347" s="28">
        <v>53</v>
      </c>
      <c r="P347" s="516">
        <v>136</v>
      </c>
      <c r="Q347" s="517">
        <v>1</v>
      </c>
      <c r="R347" s="6">
        <v>7</v>
      </c>
      <c r="S347" s="369">
        <v>0.41899999999999998</v>
      </c>
      <c r="T347" s="365"/>
      <c r="U347" s="28">
        <v>84596.099999999991</v>
      </c>
      <c r="V347" s="28">
        <v>130359.62</v>
      </c>
      <c r="W347" s="28">
        <v>851525.47</v>
      </c>
      <c r="X347" s="28">
        <v>164041.01999999999</v>
      </c>
      <c r="Y347" s="28">
        <v>34748.520000000004</v>
      </c>
      <c r="Z347" s="28">
        <v>100231.62</v>
      </c>
      <c r="AA347" s="28">
        <v>61713.209999999992</v>
      </c>
      <c r="AB347" s="28">
        <v>74301.05</v>
      </c>
      <c r="AC347" s="28">
        <v>183703.86000000002</v>
      </c>
      <c r="AD347" s="28">
        <v>285788.71000000002</v>
      </c>
      <c r="AE347" s="28">
        <v>35155.74</v>
      </c>
      <c r="AF347" s="28">
        <v>2006164.9200000002</v>
      </c>
      <c r="AG347" s="147"/>
      <c r="AH347" s="147"/>
      <c r="AI347" s="405">
        <v>53</v>
      </c>
      <c r="AJ347" s="460">
        <v>126.5</v>
      </c>
      <c r="AK347" s="417">
        <v>0.41899999999999998</v>
      </c>
      <c r="AL347" s="405">
        <v>7</v>
      </c>
      <c r="AM347" s="147"/>
    </row>
    <row r="348" spans="1:39">
      <c r="A348" s="71">
        <v>341</v>
      </c>
      <c r="B348" s="71" t="s">
        <v>1459</v>
      </c>
      <c r="C348" s="28">
        <v>0</v>
      </c>
      <c r="D348" s="28">
        <v>0</v>
      </c>
      <c r="E348" s="28">
        <v>0</v>
      </c>
      <c r="F348" s="28">
        <v>0</v>
      </c>
      <c r="G348" s="28">
        <v>0</v>
      </c>
      <c r="H348" s="28">
        <v>0</v>
      </c>
      <c r="I348" s="28">
        <v>0</v>
      </c>
      <c r="J348" s="28">
        <v>0</v>
      </c>
      <c r="K348" s="28">
        <v>0</v>
      </c>
      <c r="L348" s="28">
        <v>0</v>
      </c>
      <c r="M348" s="28">
        <v>0</v>
      </c>
      <c r="N348" s="28">
        <v>0</v>
      </c>
      <c r="O348" s="28">
        <v>0</v>
      </c>
      <c r="P348" s="516">
        <v>0</v>
      </c>
      <c r="Q348" s="517">
        <v>1</v>
      </c>
      <c r="R348" s="6">
        <v>0</v>
      </c>
      <c r="S348" s="369">
        <v>0</v>
      </c>
      <c r="T348" s="94"/>
      <c r="U348" s="28">
        <v>0</v>
      </c>
      <c r="V348" s="28">
        <v>0</v>
      </c>
      <c r="W348" s="28">
        <v>0</v>
      </c>
      <c r="X348" s="28">
        <v>0</v>
      </c>
      <c r="Y348" s="28">
        <v>0</v>
      </c>
      <c r="Z348" s="28">
        <v>0</v>
      </c>
      <c r="AA348" s="28">
        <v>0</v>
      </c>
      <c r="AB348" s="28">
        <v>0</v>
      </c>
      <c r="AC348" s="28">
        <v>0</v>
      </c>
      <c r="AD348" s="28">
        <v>0</v>
      </c>
      <c r="AE348" s="28">
        <v>0</v>
      </c>
      <c r="AF348" s="28">
        <v>0</v>
      </c>
      <c r="AG348" s="147"/>
      <c r="AH348" s="147"/>
      <c r="AI348" s="405">
        <v>0</v>
      </c>
      <c r="AJ348" s="460">
        <v>0</v>
      </c>
      <c r="AK348" s="417">
        <v>0</v>
      </c>
      <c r="AL348" s="405">
        <v>0</v>
      </c>
      <c r="AM348" s="147"/>
    </row>
    <row r="349" spans="1:39">
      <c r="A349" s="71">
        <v>342</v>
      </c>
      <c r="B349" s="71" t="s">
        <v>1460</v>
      </c>
      <c r="C349" s="28">
        <v>88</v>
      </c>
      <c r="D349" s="28">
        <v>0</v>
      </c>
      <c r="E349" s="28">
        <v>202</v>
      </c>
      <c r="F349" s="28">
        <v>1172</v>
      </c>
      <c r="G349" s="28">
        <v>719</v>
      </c>
      <c r="H349" s="28">
        <v>660</v>
      </c>
      <c r="I349" s="28">
        <v>8</v>
      </c>
      <c r="J349" s="28">
        <v>108</v>
      </c>
      <c r="K349" s="28">
        <v>28</v>
      </c>
      <c r="L349" s="28">
        <v>43</v>
      </c>
      <c r="M349" s="28">
        <v>8</v>
      </c>
      <c r="N349" s="28">
        <v>4</v>
      </c>
      <c r="O349" s="28">
        <v>466</v>
      </c>
      <c r="P349" s="516">
        <v>2805</v>
      </c>
      <c r="Q349" s="517">
        <v>1.0660000000000001</v>
      </c>
      <c r="R349" s="6">
        <v>3</v>
      </c>
      <c r="S349" s="369">
        <v>0.17130000000000001</v>
      </c>
      <c r="T349" s="365"/>
      <c r="U349" s="28">
        <v>1845414.3214</v>
      </c>
      <c r="V349" s="28">
        <v>2577851.7283999999</v>
      </c>
      <c r="W349" s="28">
        <v>14231465.989779999</v>
      </c>
      <c r="X349" s="28">
        <v>3484484.9202800011</v>
      </c>
      <c r="Y349" s="28">
        <v>583272.70924</v>
      </c>
      <c r="Z349" s="28">
        <v>1793146.75</v>
      </c>
      <c r="AA349" s="28">
        <v>1268095.8404400004</v>
      </c>
      <c r="AB349" s="28">
        <v>1160491.1567599999</v>
      </c>
      <c r="AC349" s="28">
        <v>3615317.0084199999</v>
      </c>
      <c r="AD349" s="28">
        <v>5260060.91</v>
      </c>
      <c r="AE349" s="28">
        <v>984360.72</v>
      </c>
      <c r="AF349" s="28">
        <v>36803962.054719999</v>
      </c>
      <c r="AG349" s="147"/>
      <c r="AH349" s="147"/>
      <c r="AI349" s="405">
        <v>466</v>
      </c>
      <c r="AJ349" s="460">
        <v>2721</v>
      </c>
      <c r="AK349" s="417">
        <v>0.17130000000000001</v>
      </c>
      <c r="AL349" s="405">
        <v>3</v>
      </c>
      <c r="AM349" s="147"/>
    </row>
    <row r="350" spans="1:39">
      <c r="A350" s="71">
        <v>343</v>
      </c>
      <c r="B350" s="71" t="s">
        <v>1461</v>
      </c>
      <c r="C350" s="28">
        <v>79</v>
      </c>
      <c r="D350" s="28">
        <v>36</v>
      </c>
      <c r="E350" s="28">
        <v>45</v>
      </c>
      <c r="F350" s="28">
        <v>511</v>
      </c>
      <c r="G350" s="28">
        <v>331</v>
      </c>
      <c r="H350" s="28">
        <v>349</v>
      </c>
      <c r="I350" s="28">
        <v>0</v>
      </c>
      <c r="J350" s="28">
        <v>49</v>
      </c>
      <c r="K350" s="28">
        <v>13</v>
      </c>
      <c r="L350" s="28">
        <v>11</v>
      </c>
      <c r="M350" s="28">
        <v>6</v>
      </c>
      <c r="N350" s="28">
        <v>6</v>
      </c>
      <c r="O350" s="28">
        <v>738</v>
      </c>
      <c r="P350" s="516">
        <v>1294</v>
      </c>
      <c r="Q350" s="517">
        <v>1</v>
      </c>
      <c r="R350" s="6">
        <v>10</v>
      </c>
      <c r="S350" s="369">
        <v>0.63</v>
      </c>
      <c r="T350" s="365"/>
      <c r="U350" s="28">
        <v>854231.2699999999</v>
      </c>
      <c r="V350" s="28">
        <v>1390910.66</v>
      </c>
      <c r="W350" s="28">
        <v>8873591.2300000023</v>
      </c>
      <c r="X350" s="28">
        <v>1483886.62</v>
      </c>
      <c r="Y350" s="28">
        <v>382501.22</v>
      </c>
      <c r="Z350" s="28">
        <v>857199.03999999992</v>
      </c>
      <c r="AA350" s="28">
        <v>660513.77000000014</v>
      </c>
      <c r="AB350" s="28">
        <v>1087849.8199999998</v>
      </c>
      <c r="AC350" s="28">
        <v>1559256.5</v>
      </c>
      <c r="AD350" s="28">
        <v>2877381.5999999992</v>
      </c>
      <c r="AE350" s="28">
        <v>457024.62</v>
      </c>
      <c r="AF350" s="28">
        <v>20484346.350000001</v>
      </c>
      <c r="AG350" s="147"/>
      <c r="AH350" s="147"/>
      <c r="AI350" s="405">
        <v>738</v>
      </c>
      <c r="AJ350" s="460">
        <v>1171.5</v>
      </c>
      <c r="AK350" s="417">
        <v>0.63</v>
      </c>
      <c r="AL350" s="405">
        <v>10</v>
      </c>
      <c r="AM350" s="147"/>
    </row>
    <row r="351" spans="1:39">
      <c r="A351" s="71">
        <v>344</v>
      </c>
      <c r="B351" s="71" t="s">
        <v>1462</v>
      </c>
      <c r="C351" s="28">
        <v>61</v>
      </c>
      <c r="D351" s="28">
        <v>0</v>
      </c>
      <c r="E351" s="28">
        <v>285</v>
      </c>
      <c r="F351" s="28">
        <v>1568</v>
      </c>
      <c r="G351" s="28">
        <v>1046</v>
      </c>
      <c r="H351" s="28">
        <v>1413</v>
      </c>
      <c r="I351" s="28">
        <v>3</v>
      </c>
      <c r="J351" s="28">
        <v>169</v>
      </c>
      <c r="K351" s="28">
        <v>43</v>
      </c>
      <c r="L351" s="28">
        <v>103</v>
      </c>
      <c r="M351" s="28">
        <v>17</v>
      </c>
      <c r="N351" s="28">
        <v>16</v>
      </c>
      <c r="O351" s="28">
        <v>360</v>
      </c>
      <c r="P351" s="516">
        <v>4346</v>
      </c>
      <c r="Q351" s="517">
        <v>1.05</v>
      </c>
      <c r="R351" s="6">
        <v>2</v>
      </c>
      <c r="S351" s="369">
        <v>8.43E-2</v>
      </c>
      <c r="T351" s="365"/>
      <c r="U351" s="28">
        <v>2802056.9640000002</v>
      </c>
      <c r="V351" s="28">
        <v>3830257.0844999999</v>
      </c>
      <c r="W351" s="28">
        <v>21131453.920500003</v>
      </c>
      <c r="X351" s="28">
        <v>5210922.5490000015</v>
      </c>
      <c r="Y351" s="28">
        <v>841066.94699999993</v>
      </c>
      <c r="Z351" s="28">
        <v>2894971.4499999993</v>
      </c>
      <c r="AA351" s="28">
        <v>1921444.2240000002</v>
      </c>
      <c r="AB351" s="28">
        <v>1713029.2829999998</v>
      </c>
      <c r="AC351" s="28">
        <v>5546885.0535000004</v>
      </c>
      <c r="AD351" s="28">
        <v>7947386.870000001</v>
      </c>
      <c r="AE351" s="28">
        <v>1511696.8199999998</v>
      </c>
      <c r="AF351" s="28">
        <v>55351171.165500008</v>
      </c>
      <c r="AG351" s="147"/>
      <c r="AH351" s="147"/>
      <c r="AI351" s="405">
        <v>360</v>
      </c>
      <c r="AJ351" s="460">
        <v>4269.5</v>
      </c>
      <c r="AK351" s="417">
        <v>8.43E-2</v>
      </c>
      <c r="AL351" s="405">
        <v>2</v>
      </c>
      <c r="AM351" s="147"/>
    </row>
    <row r="352" spans="1:39">
      <c r="A352" s="71">
        <v>345</v>
      </c>
      <c r="B352" s="71" t="s">
        <v>1463</v>
      </c>
      <c r="C352" s="28">
        <v>0</v>
      </c>
      <c r="D352" s="28">
        <v>0</v>
      </c>
      <c r="E352" s="28">
        <v>0</v>
      </c>
      <c r="F352" s="28">
        <v>0</v>
      </c>
      <c r="G352" s="28">
        <v>0</v>
      </c>
      <c r="H352" s="28">
        <v>0</v>
      </c>
      <c r="I352" s="28">
        <v>5</v>
      </c>
      <c r="J352" s="28">
        <v>0</v>
      </c>
      <c r="K352" s="28">
        <v>0</v>
      </c>
      <c r="L352" s="28">
        <v>0</v>
      </c>
      <c r="M352" s="28">
        <v>0</v>
      </c>
      <c r="N352" s="28">
        <v>0</v>
      </c>
      <c r="O352" s="28">
        <v>0</v>
      </c>
      <c r="P352" s="516">
        <v>5</v>
      </c>
      <c r="Q352" s="517">
        <v>1</v>
      </c>
      <c r="R352" s="6">
        <v>0</v>
      </c>
      <c r="S352" s="369">
        <v>0</v>
      </c>
      <c r="T352" s="94"/>
      <c r="U352" s="28">
        <v>2243.25</v>
      </c>
      <c r="V352" s="28">
        <v>4051.5</v>
      </c>
      <c r="W352" s="28">
        <v>40869.65</v>
      </c>
      <c r="X352" s="28">
        <v>2855.3500000000004</v>
      </c>
      <c r="Y352" s="28">
        <v>1277.55</v>
      </c>
      <c r="Z352" s="28">
        <v>7528.65</v>
      </c>
      <c r="AA352" s="28">
        <v>2255.6</v>
      </c>
      <c r="AB352" s="28">
        <v>3038.2999999999997</v>
      </c>
      <c r="AC352" s="28">
        <v>10148.75</v>
      </c>
      <c r="AD352" s="28">
        <v>10033.049999999999</v>
      </c>
      <c r="AE352" s="28">
        <v>0</v>
      </c>
      <c r="AF352" s="28">
        <v>84301.650000000009</v>
      </c>
      <c r="AG352" s="147"/>
      <c r="AH352" s="147"/>
      <c r="AI352" s="405">
        <v>0</v>
      </c>
      <c r="AJ352" s="460">
        <v>0</v>
      </c>
      <c r="AK352" s="417">
        <v>0</v>
      </c>
      <c r="AL352" s="405">
        <v>0</v>
      </c>
      <c r="AM352" s="147"/>
    </row>
    <row r="353" spans="1:39">
      <c r="A353" s="71">
        <v>346</v>
      </c>
      <c r="B353" s="71" t="s">
        <v>1464</v>
      </c>
      <c r="C353" s="28">
        <v>56</v>
      </c>
      <c r="D353" s="28">
        <v>0</v>
      </c>
      <c r="E353" s="28">
        <v>141</v>
      </c>
      <c r="F353" s="28">
        <v>766</v>
      </c>
      <c r="G353" s="28">
        <v>436</v>
      </c>
      <c r="H353" s="28">
        <v>622</v>
      </c>
      <c r="I353" s="28">
        <v>2</v>
      </c>
      <c r="J353" s="28">
        <v>77</v>
      </c>
      <c r="K353" s="28">
        <v>20</v>
      </c>
      <c r="L353" s="28">
        <v>147</v>
      </c>
      <c r="M353" s="28">
        <v>44</v>
      </c>
      <c r="N353" s="28">
        <v>58</v>
      </c>
      <c r="O353" s="28">
        <v>857</v>
      </c>
      <c r="P353" s="516">
        <v>1995</v>
      </c>
      <c r="Q353" s="517">
        <v>1.0309999999999999</v>
      </c>
      <c r="R353" s="6">
        <v>8</v>
      </c>
      <c r="S353" s="369">
        <v>0.43409999999999999</v>
      </c>
      <c r="T353" s="365"/>
      <c r="U353" s="28">
        <v>1349606.70297</v>
      </c>
      <c r="V353" s="28">
        <v>2073422.4696199996</v>
      </c>
      <c r="W353" s="28">
        <v>12789545.762240002</v>
      </c>
      <c r="X353" s="28">
        <v>2404991.5334999999</v>
      </c>
      <c r="Y353" s="28">
        <v>534993.86962999997</v>
      </c>
      <c r="Z353" s="28">
        <v>1369684.5399999998</v>
      </c>
      <c r="AA353" s="28">
        <v>1001240.3911999998</v>
      </c>
      <c r="AB353" s="28">
        <v>1391436.3112499998</v>
      </c>
      <c r="AC353" s="28">
        <v>2560965.40967</v>
      </c>
      <c r="AD353" s="28">
        <v>4205001.5100000007</v>
      </c>
      <c r="AE353" s="28">
        <v>703114.79999999993</v>
      </c>
      <c r="AF353" s="28">
        <v>30384003.300080005</v>
      </c>
      <c r="AG353" s="147"/>
      <c r="AH353" s="147"/>
      <c r="AI353" s="405">
        <v>857</v>
      </c>
      <c r="AJ353" s="460">
        <v>1974</v>
      </c>
      <c r="AK353" s="417">
        <v>0.43409999999999999</v>
      </c>
      <c r="AL353" s="405">
        <v>8</v>
      </c>
      <c r="AM353" s="147"/>
    </row>
    <row r="354" spans="1:39">
      <c r="A354" s="71">
        <v>347</v>
      </c>
      <c r="B354" s="71" t="s">
        <v>1028</v>
      </c>
      <c r="C354" s="28">
        <v>168</v>
      </c>
      <c r="D354" s="28">
        <v>0</v>
      </c>
      <c r="E354" s="28">
        <v>342</v>
      </c>
      <c r="F354" s="28">
        <v>1765</v>
      </c>
      <c r="G354" s="28">
        <v>1010</v>
      </c>
      <c r="H354" s="28">
        <v>1315</v>
      </c>
      <c r="I354" s="28">
        <v>17</v>
      </c>
      <c r="J354" s="28">
        <v>175</v>
      </c>
      <c r="K354" s="28">
        <v>44</v>
      </c>
      <c r="L354" s="28">
        <v>387</v>
      </c>
      <c r="M354" s="28">
        <v>104</v>
      </c>
      <c r="N354" s="28">
        <v>133</v>
      </c>
      <c r="O354" s="28">
        <v>1987</v>
      </c>
      <c r="P354" s="516">
        <v>4533</v>
      </c>
      <c r="Q354" s="517">
        <v>1.0569999999999999</v>
      </c>
      <c r="R354" s="6">
        <v>8</v>
      </c>
      <c r="S354" s="369">
        <v>0.45229999999999998</v>
      </c>
      <c r="T354" s="365"/>
      <c r="U354" s="28">
        <v>3148817.4280500002</v>
      </c>
      <c r="V354" s="28">
        <v>4858910.9859499997</v>
      </c>
      <c r="W354" s="28">
        <v>29978473.864499997</v>
      </c>
      <c r="X354" s="28">
        <v>5643966.1105099991</v>
      </c>
      <c r="Y354" s="28">
        <v>1258605.7428699997</v>
      </c>
      <c r="Z354" s="28">
        <v>3101831.7199999997</v>
      </c>
      <c r="AA354" s="28">
        <v>2338225.2786199995</v>
      </c>
      <c r="AB354" s="28">
        <v>3236881.4041899997</v>
      </c>
      <c r="AC354" s="28">
        <v>5995962.5849899994</v>
      </c>
      <c r="AD354" s="28">
        <v>9615449.6999999993</v>
      </c>
      <c r="AE354" s="28">
        <v>1546852.5599999998</v>
      </c>
      <c r="AF354" s="28">
        <v>70723977.379679993</v>
      </c>
      <c r="AG354" s="147"/>
      <c r="AH354" s="147"/>
      <c r="AI354" s="405">
        <v>1987</v>
      </c>
      <c r="AJ354" s="460">
        <v>4393.5</v>
      </c>
      <c r="AK354" s="417">
        <v>0.45229999999999998</v>
      </c>
      <c r="AL354" s="405">
        <v>8</v>
      </c>
      <c r="AM354" s="147"/>
    </row>
    <row r="355" spans="1:39">
      <c r="A355" s="71">
        <v>348</v>
      </c>
      <c r="B355" s="71" t="s">
        <v>1465</v>
      </c>
      <c r="C355" s="28">
        <v>1181</v>
      </c>
      <c r="D355" s="28">
        <v>0</v>
      </c>
      <c r="E355" s="28">
        <v>2054</v>
      </c>
      <c r="F355" s="28">
        <v>9822</v>
      </c>
      <c r="G355" s="28">
        <v>5774</v>
      </c>
      <c r="H355" s="28">
        <v>6330</v>
      </c>
      <c r="I355" s="28">
        <v>2096</v>
      </c>
      <c r="J355" s="28">
        <v>1045</v>
      </c>
      <c r="K355" s="28">
        <v>240</v>
      </c>
      <c r="L355" s="28">
        <v>4661</v>
      </c>
      <c r="M355" s="28">
        <v>1417</v>
      </c>
      <c r="N355" s="28">
        <v>1853</v>
      </c>
      <c r="O355" s="28">
        <v>19901</v>
      </c>
      <c r="P355" s="516">
        <v>26667</v>
      </c>
      <c r="Q355" s="517">
        <v>1</v>
      </c>
      <c r="R355" s="6">
        <v>11</v>
      </c>
      <c r="S355" s="369">
        <v>0.76980000000000004</v>
      </c>
      <c r="T355" s="365"/>
      <c r="U355" s="28">
        <v>19114127.690000001</v>
      </c>
      <c r="V355" s="28">
        <v>33194213.059999995</v>
      </c>
      <c r="W355" s="28">
        <v>232099665.69</v>
      </c>
      <c r="X355" s="28">
        <v>32245560.169999998</v>
      </c>
      <c r="Y355" s="28">
        <v>9966715.5599999987</v>
      </c>
      <c r="Z355" s="28">
        <v>20735583.449999999</v>
      </c>
      <c r="AA355" s="28">
        <v>15511888.34</v>
      </c>
      <c r="AB355" s="28">
        <v>29231984.34</v>
      </c>
      <c r="AC355" s="28">
        <v>36814926.340000004</v>
      </c>
      <c r="AD355" s="28">
        <v>67758623.510000005</v>
      </c>
      <c r="AE355" s="28">
        <v>8437377.5999999996</v>
      </c>
      <c r="AF355" s="28">
        <v>505110665.75</v>
      </c>
      <c r="AG355" s="147"/>
      <c r="AH355" s="147"/>
      <c r="AI355" s="405">
        <v>19901</v>
      </c>
      <c r="AJ355" s="460">
        <v>25853.5</v>
      </c>
      <c r="AK355" s="417">
        <v>0.76980000000000004</v>
      </c>
      <c r="AL355" s="405">
        <v>11</v>
      </c>
      <c r="AM355" s="147"/>
    </row>
    <row r="356" spans="1:39">
      <c r="A356" s="71">
        <v>349</v>
      </c>
      <c r="B356" s="71" t="s">
        <v>1466</v>
      </c>
      <c r="C356" s="28">
        <v>12</v>
      </c>
      <c r="D356" s="28">
        <v>0</v>
      </c>
      <c r="E356" s="28">
        <v>6</v>
      </c>
      <c r="F356" s="28">
        <v>43</v>
      </c>
      <c r="G356" s="28">
        <v>38</v>
      </c>
      <c r="H356" s="28">
        <v>16</v>
      </c>
      <c r="I356" s="28">
        <v>10</v>
      </c>
      <c r="J356" s="28">
        <v>4</v>
      </c>
      <c r="K356" s="28">
        <v>1</v>
      </c>
      <c r="L356" s="28">
        <v>0</v>
      </c>
      <c r="M356" s="28">
        <v>0</v>
      </c>
      <c r="N356" s="28">
        <v>0</v>
      </c>
      <c r="O356" s="28">
        <v>30</v>
      </c>
      <c r="P356" s="516">
        <v>119</v>
      </c>
      <c r="Q356" s="517">
        <v>1</v>
      </c>
      <c r="R356" s="6">
        <v>8</v>
      </c>
      <c r="S356" s="369">
        <v>0.45450000000000002</v>
      </c>
      <c r="T356" s="365"/>
      <c r="U356" s="28">
        <v>72019.41</v>
      </c>
      <c r="V356" s="28">
        <v>108466.98</v>
      </c>
      <c r="W356" s="28">
        <v>645678.79999999993</v>
      </c>
      <c r="X356" s="28">
        <v>131542.35999999999</v>
      </c>
      <c r="Y356" s="28">
        <v>26845.039999999997</v>
      </c>
      <c r="Z356" s="28">
        <v>81431.75</v>
      </c>
      <c r="AA356" s="28">
        <v>52827.93</v>
      </c>
      <c r="AB356" s="28">
        <v>58773.659999999996</v>
      </c>
      <c r="AC356" s="28">
        <v>150734.27000000002</v>
      </c>
      <c r="AD356" s="28">
        <v>236126.09999999998</v>
      </c>
      <c r="AE356" s="28">
        <v>35155.74</v>
      </c>
      <c r="AF356" s="28">
        <v>1599602.0399999998</v>
      </c>
      <c r="AG356" s="147"/>
      <c r="AH356" s="147"/>
      <c r="AI356" s="405">
        <v>30</v>
      </c>
      <c r="AJ356" s="460">
        <v>66</v>
      </c>
      <c r="AK356" s="417">
        <v>0.45450000000000002</v>
      </c>
      <c r="AL356" s="405">
        <v>8</v>
      </c>
      <c r="AM356" s="147"/>
    </row>
    <row r="357" spans="1:39">
      <c r="A357" s="71">
        <v>350</v>
      </c>
      <c r="B357" s="71" t="s">
        <v>1467</v>
      </c>
      <c r="C357" s="28">
        <v>7</v>
      </c>
      <c r="D357" s="28">
        <v>0</v>
      </c>
      <c r="E357" s="28">
        <v>142</v>
      </c>
      <c r="F357" s="28">
        <v>664</v>
      </c>
      <c r="G357" s="28">
        <v>146</v>
      </c>
      <c r="H357" s="28">
        <v>0</v>
      </c>
      <c r="I357" s="28">
        <v>0</v>
      </c>
      <c r="J357" s="28">
        <v>37</v>
      </c>
      <c r="K357" s="28">
        <v>10</v>
      </c>
      <c r="L357" s="28">
        <v>36</v>
      </c>
      <c r="M357" s="28">
        <v>1</v>
      </c>
      <c r="N357" s="28">
        <v>0</v>
      </c>
      <c r="O357" s="28">
        <v>169</v>
      </c>
      <c r="P357" s="516">
        <v>956</v>
      </c>
      <c r="Q357" s="517">
        <v>1.0329999999999999</v>
      </c>
      <c r="R357" s="6">
        <v>3</v>
      </c>
      <c r="S357" s="369">
        <v>0.1706</v>
      </c>
      <c r="T357" s="365"/>
      <c r="U357" s="28">
        <v>614312.46640999999</v>
      </c>
      <c r="V357" s="28">
        <v>857605.31851999974</v>
      </c>
      <c r="W357" s="28">
        <v>4534306.7567500006</v>
      </c>
      <c r="X357" s="28">
        <v>1272968.0692999999</v>
      </c>
      <c r="Y357" s="28">
        <v>191811.70629</v>
      </c>
      <c r="Z357" s="28">
        <v>538443.1</v>
      </c>
      <c r="AA357" s="28">
        <v>401241.38252999994</v>
      </c>
      <c r="AB357" s="28">
        <v>271086.09931999998</v>
      </c>
      <c r="AC357" s="28">
        <v>1176398.7564099997</v>
      </c>
      <c r="AD357" s="28">
        <v>1810527.89</v>
      </c>
      <c r="AE357" s="28">
        <v>351557.39999999997</v>
      </c>
      <c r="AF357" s="28">
        <v>12020258.945529999</v>
      </c>
      <c r="AG357" s="147"/>
      <c r="AH357" s="147"/>
      <c r="AI357" s="405">
        <v>169</v>
      </c>
      <c r="AJ357" s="460">
        <v>990.5</v>
      </c>
      <c r="AK357" s="417">
        <v>0.1706</v>
      </c>
      <c r="AL357" s="405">
        <v>3</v>
      </c>
      <c r="AM357" s="147"/>
    </row>
    <row r="358" spans="1:39">
      <c r="A358" s="71">
        <v>351</v>
      </c>
      <c r="B358" s="71" t="s">
        <v>1468</v>
      </c>
      <c r="C358" s="28">
        <v>0</v>
      </c>
      <c r="D358" s="28">
        <v>0</v>
      </c>
      <c r="E358" s="28">
        <v>0</v>
      </c>
      <c r="F358" s="28">
        <v>0</v>
      </c>
      <c r="G358" s="28">
        <v>0</v>
      </c>
      <c r="H358" s="28">
        <v>0</v>
      </c>
      <c r="I358" s="28">
        <v>0</v>
      </c>
      <c r="J358" s="28">
        <v>0</v>
      </c>
      <c r="K358" s="28">
        <v>0</v>
      </c>
      <c r="L358" s="28">
        <v>0</v>
      </c>
      <c r="M358" s="28">
        <v>0</v>
      </c>
      <c r="N358" s="28">
        <v>0</v>
      </c>
      <c r="O358" s="28">
        <v>0</v>
      </c>
      <c r="P358" s="516">
        <v>0</v>
      </c>
      <c r="Q358" s="517">
        <v>1</v>
      </c>
      <c r="R358" s="6">
        <v>0</v>
      </c>
      <c r="S358" s="369">
        <v>0</v>
      </c>
      <c r="T358" s="94"/>
      <c r="U358" s="28">
        <v>0</v>
      </c>
      <c r="V358" s="28">
        <v>0</v>
      </c>
      <c r="W358" s="28">
        <v>0</v>
      </c>
      <c r="X358" s="28">
        <v>0</v>
      </c>
      <c r="Y358" s="28">
        <v>0</v>
      </c>
      <c r="Z358" s="28">
        <v>0</v>
      </c>
      <c r="AA358" s="28">
        <v>0</v>
      </c>
      <c r="AB358" s="28">
        <v>0</v>
      </c>
      <c r="AC358" s="28">
        <v>0</v>
      </c>
      <c r="AD358" s="28">
        <v>0</v>
      </c>
      <c r="AE358" s="28">
        <v>0</v>
      </c>
      <c r="AF358" s="28">
        <v>0</v>
      </c>
      <c r="AG358" s="147"/>
      <c r="AH358" s="147"/>
      <c r="AI358" s="405">
        <v>0</v>
      </c>
      <c r="AJ358" s="460">
        <v>0</v>
      </c>
      <c r="AK358" s="417">
        <v>0</v>
      </c>
      <c r="AL358" s="405">
        <v>0</v>
      </c>
      <c r="AM358" s="147"/>
    </row>
    <row r="359" spans="1:39">
      <c r="A359" s="71">
        <v>406</v>
      </c>
      <c r="B359" s="71" t="s">
        <v>1469</v>
      </c>
      <c r="C359" s="28">
        <v>0</v>
      </c>
      <c r="D359" s="28">
        <v>0</v>
      </c>
      <c r="E359" s="28">
        <v>0</v>
      </c>
      <c r="F359" s="28">
        <v>0</v>
      </c>
      <c r="G359" s="28">
        <v>0</v>
      </c>
      <c r="H359" s="28">
        <v>0</v>
      </c>
      <c r="I359" s="28">
        <v>119</v>
      </c>
      <c r="J359" s="28">
        <v>6</v>
      </c>
      <c r="K359" s="28">
        <v>0</v>
      </c>
      <c r="L359" s="28">
        <v>0</v>
      </c>
      <c r="M359" s="28">
        <v>0</v>
      </c>
      <c r="N359" s="28">
        <v>15</v>
      </c>
      <c r="O359" s="28">
        <v>253</v>
      </c>
      <c r="P359" s="516">
        <v>119</v>
      </c>
      <c r="Q359" s="517">
        <v>1</v>
      </c>
      <c r="R359" s="6">
        <v>8</v>
      </c>
      <c r="S359" s="369">
        <v>0.4446</v>
      </c>
      <c r="T359" s="365"/>
      <c r="U359" s="28">
        <v>95303.67</v>
      </c>
      <c r="V359" s="28">
        <v>201302.89</v>
      </c>
      <c r="W359" s="28">
        <v>2048620.1600000001</v>
      </c>
      <c r="X359" s="28">
        <v>128524.3</v>
      </c>
      <c r="Y359" s="28">
        <v>82406.44</v>
      </c>
      <c r="Z359" s="28">
        <v>191515.07</v>
      </c>
      <c r="AA359" s="28">
        <v>95250.459999999992</v>
      </c>
      <c r="AB359" s="28">
        <v>281372.89</v>
      </c>
      <c r="AC359" s="28">
        <v>267998.32999999996</v>
      </c>
      <c r="AD359" s="28">
        <v>438403.02</v>
      </c>
      <c r="AE359" s="28">
        <v>0</v>
      </c>
      <c r="AF359" s="28">
        <v>3830697.23</v>
      </c>
      <c r="AG359" s="147"/>
      <c r="AH359" s="147"/>
      <c r="AI359" s="405">
        <v>253</v>
      </c>
      <c r="AJ359" s="460">
        <v>569</v>
      </c>
      <c r="AK359" s="417">
        <v>0.4446</v>
      </c>
      <c r="AL359" s="405">
        <v>8</v>
      </c>
      <c r="AM359" s="147"/>
    </row>
    <row r="360" spans="1:39">
      <c r="A360" s="71">
        <v>600</v>
      </c>
      <c r="B360" s="71" t="s">
        <v>1470</v>
      </c>
      <c r="C360" s="28">
        <v>36</v>
      </c>
      <c r="D360" s="28">
        <v>286</v>
      </c>
      <c r="E360" s="28">
        <v>47</v>
      </c>
      <c r="F360" s="28">
        <v>1789</v>
      </c>
      <c r="G360" s="28">
        <v>1249</v>
      </c>
      <c r="H360" s="28">
        <v>1714</v>
      </c>
      <c r="I360" s="28">
        <v>0</v>
      </c>
      <c r="J360" s="28">
        <v>194</v>
      </c>
      <c r="K360" s="28">
        <v>49</v>
      </c>
      <c r="L360" s="28">
        <v>264</v>
      </c>
      <c r="M360" s="28">
        <v>50</v>
      </c>
      <c r="N360" s="28">
        <v>43</v>
      </c>
      <c r="O360" s="28">
        <v>676</v>
      </c>
      <c r="P360" s="516">
        <v>4960</v>
      </c>
      <c r="Q360" s="517">
        <v>1.0569999999999999</v>
      </c>
      <c r="R360" s="6">
        <v>3</v>
      </c>
      <c r="S360" s="369">
        <v>0.1368</v>
      </c>
      <c r="T360" s="365"/>
      <c r="U360" s="28">
        <v>3265387.2778099999</v>
      </c>
      <c r="V360" s="28">
        <v>4529601.8114900002</v>
      </c>
      <c r="W360" s="28">
        <v>25504492.481719997</v>
      </c>
      <c r="X360" s="28">
        <v>5986130.0538900001</v>
      </c>
      <c r="Y360" s="28">
        <v>1020981.3297599999</v>
      </c>
      <c r="Z360" s="28">
        <v>3368834.4399999995</v>
      </c>
      <c r="AA360" s="28">
        <v>2269246.9912700001</v>
      </c>
      <c r="AB360" s="28">
        <v>2211701.5752999997</v>
      </c>
      <c r="AC360" s="28">
        <v>6457595.0632199999</v>
      </c>
      <c r="AD360" s="28">
        <v>9274590.709999999</v>
      </c>
      <c r="AE360" s="28">
        <v>1722631.26</v>
      </c>
      <c r="AF360" s="28">
        <v>65611192.994459994</v>
      </c>
      <c r="AG360" s="147"/>
      <c r="AH360" s="147"/>
      <c r="AI360" s="405">
        <v>676</v>
      </c>
      <c r="AJ360" s="460">
        <v>4941</v>
      </c>
      <c r="AK360" s="417">
        <v>0.1368</v>
      </c>
      <c r="AL360" s="405">
        <v>3</v>
      </c>
      <c r="AM360" s="147"/>
    </row>
    <row r="361" spans="1:39">
      <c r="A361" s="71">
        <v>603</v>
      </c>
      <c r="B361" s="71" t="s">
        <v>2176</v>
      </c>
      <c r="C361" s="28">
        <v>61</v>
      </c>
      <c r="D361" s="28">
        <v>0</v>
      </c>
      <c r="E361" s="28">
        <v>82</v>
      </c>
      <c r="F361" s="28">
        <v>455</v>
      </c>
      <c r="G361" s="28">
        <v>301</v>
      </c>
      <c r="H361" s="28">
        <v>288</v>
      </c>
      <c r="I361" s="28">
        <v>0</v>
      </c>
      <c r="J361" s="28">
        <v>44</v>
      </c>
      <c r="K361" s="28">
        <v>11</v>
      </c>
      <c r="L361" s="28">
        <v>7</v>
      </c>
      <c r="M361" s="28">
        <v>6</v>
      </c>
      <c r="N361" s="28">
        <v>2</v>
      </c>
      <c r="O361" s="28">
        <v>660</v>
      </c>
      <c r="P361" s="516">
        <v>1157</v>
      </c>
      <c r="Q361" s="517">
        <v>1</v>
      </c>
      <c r="R361" s="6">
        <v>10</v>
      </c>
      <c r="S361" s="369">
        <v>0.64419999999999999</v>
      </c>
      <c r="T361" s="365"/>
      <c r="U361" s="28">
        <v>761385.86</v>
      </c>
      <c r="V361" s="28">
        <v>1242503.22</v>
      </c>
      <c r="W361" s="28">
        <v>7899745.4800000004</v>
      </c>
      <c r="X361" s="28">
        <v>1335160.49</v>
      </c>
      <c r="Y361" s="28">
        <v>341668.20999999996</v>
      </c>
      <c r="Z361" s="28">
        <v>757909.19</v>
      </c>
      <c r="AA361" s="28">
        <v>588492.92000000004</v>
      </c>
      <c r="AB361" s="28">
        <v>961287.7</v>
      </c>
      <c r="AC361" s="28">
        <v>1391936.2100000002</v>
      </c>
      <c r="AD361" s="28">
        <v>2574170.21</v>
      </c>
      <c r="AE361" s="28">
        <v>386713.13999999996</v>
      </c>
      <c r="AF361" s="28">
        <v>18240972.630000003</v>
      </c>
      <c r="AG361" s="147"/>
      <c r="AH361" s="147"/>
      <c r="AI361" s="405">
        <v>660</v>
      </c>
      <c r="AJ361" s="460">
        <v>1024.5</v>
      </c>
      <c r="AK361" s="417">
        <v>0.64419999999999999</v>
      </c>
      <c r="AL361" s="405">
        <v>10</v>
      </c>
      <c r="AM361" s="147"/>
    </row>
    <row r="362" spans="1:39">
      <c r="A362" s="71">
        <v>605</v>
      </c>
      <c r="B362" s="71" t="s">
        <v>1472</v>
      </c>
      <c r="C362" s="28">
        <v>0</v>
      </c>
      <c r="D362" s="28">
        <v>0</v>
      </c>
      <c r="E362" s="28">
        <v>0</v>
      </c>
      <c r="F362" s="28">
        <v>0</v>
      </c>
      <c r="G362" s="28">
        <v>386</v>
      </c>
      <c r="H362" s="28">
        <v>830</v>
      </c>
      <c r="I362" s="28">
        <v>25</v>
      </c>
      <c r="J362" s="28">
        <v>49</v>
      </c>
      <c r="K362" s="28">
        <v>12</v>
      </c>
      <c r="L362" s="28">
        <v>0</v>
      </c>
      <c r="M362" s="28">
        <v>25</v>
      </c>
      <c r="N362" s="28">
        <v>53</v>
      </c>
      <c r="O362" s="28">
        <v>412</v>
      </c>
      <c r="P362" s="516">
        <v>1241</v>
      </c>
      <c r="Q362" s="517">
        <v>1</v>
      </c>
      <c r="R362" s="6">
        <v>6</v>
      </c>
      <c r="S362" s="369">
        <v>0.31909999999999999</v>
      </c>
      <c r="T362" s="365"/>
      <c r="U362" s="28">
        <v>792576.08</v>
      </c>
      <c r="V362" s="28">
        <v>1164517.7</v>
      </c>
      <c r="W362" s="28">
        <v>7462568.3100000005</v>
      </c>
      <c r="X362" s="28">
        <v>1238114.3900000001</v>
      </c>
      <c r="Y362" s="28">
        <v>292423.7</v>
      </c>
      <c r="Z362" s="28">
        <v>1002856.64</v>
      </c>
      <c r="AA362" s="28">
        <v>606733.01</v>
      </c>
      <c r="AB362" s="28">
        <v>915366.64</v>
      </c>
      <c r="AC362" s="28">
        <v>1581159.81</v>
      </c>
      <c r="AD362" s="28">
        <v>2460308.2399999998</v>
      </c>
      <c r="AE362" s="28">
        <v>421868.88</v>
      </c>
      <c r="AF362" s="28">
        <v>17938493.399999999</v>
      </c>
      <c r="AG362" s="147"/>
      <c r="AH362" s="147"/>
      <c r="AI362" s="405">
        <v>412</v>
      </c>
      <c r="AJ362" s="460">
        <v>1291</v>
      </c>
      <c r="AK362" s="417">
        <v>0.31909999999999999</v>
      </c>
      <c r="AL362" s="405">
        <v>6</v>
      </c>
      <c r="AM362" s="147"/>
    </row>
    <row r="363" spans="1:39">
      <c r="A363" s="71">
        <v>610</v>
      </c>
      <c r="B363" s="71" t="s">
        <v>1473</v>
      </c>
      <c r="C363" s="28">
        <v>79</v>
      </c>
      <c r="D363" s="28">
        <v>0</v>
      </c>
      <c r="E363" s="28">
        <v>147</v>
      </c>
      <c r="F363" s="28">
        <v>877</v>
      </c>
      <c r="G363" s="28">
        <v>543</v>
      </c>
      <c r="H363" s="28">
        <v>634</v>
      </c>
      <c r="I363" s="28">
        <v>0</v>
      </c>
      <c r="J363" s="28">
        <v>86</v>
      </c>
      <c r="K363" s="28">
        <v>22</v>
      </c>
      <c r="L363" s="28">
        <v>43</v>
      </c>
      <c r="M363" s="28">
        <v>5</v>
      </c>
      <c r="N363" s="28">
        <v>2</v>
      </c>
      <c r="O363" s="28">
        <v>665</v>
      </c>
      <c r="P363" s="516">
        <v>2241</v>
      </c>
      <c r="Q363" s="517">
        <v>1</v>
      </c>
      <c r="R363" s="6">
        <v>5</v>
      </c>
      <c r="S363" s="369">
        <v>0.2969</v>
      </c>
      <c r="T363" s="365"/>
      <c r="U363" s="28">
        <v>1402384.53</v>
      </c>
      <c r="V363" s="28">
        <v>2032893.4999999998</v>
      </c>
      <c r="W363" s="28">
        <v>11749030.249999998</v>
      </c>
      <c r="X363" s="28">
        <v>2579501.8600000003</v>
      </c>
      <c r="Y363" s="28">
        <v>484410</v>
      </c>
      <c r="Z363" s="28">
        <v>1468524.66</v>
      </c>
      <c r="AA363" s="28">
        <v>996623.57000000007</v>
      </c>
      <c r="AB363" s="28">
        <v>1117667.5900000001</v>
      </c>
      <c r="AC363" s="28">
        <v>2706516.79</v>
      </c>
      <c r="AD363" s="28">
        <v>4354623.7799999993</v>
      </c>
      <c r="AE363" s="28">
        <v>773426.27999999991</v>
      </c>
      <c r="AF363" s="28">
        <v>29665602.809999995</v>
      </c>
      <c r="AG363" s="147"/>
      <c r="AH363" s="147"/>
      <c r="AI363" s="405">
        <v>665</v>
      </c>
      <c r="AJ363" s="460">
        <v>2239.5</v>
      </c>
      <c r="AK363" s="417">
        <v>0.2969</v>
      </c>
      <c r="AL363" s="405">
        <v>5</v>
      </c>
      <c r="AM363" s="147"/>
    </row>
    <row r="364" spans="1:39">
      <c r="A364" s="71">
        <v>615</v>
      </c>
      <c r="B364" s="71" t="s">
        <v>1474</v>
      </c>
      <c r="C364" s="28">
        <v>70</v>
      </c>
      <c r="D364" s="28">
        <v>0</v>
      </c>
      <c r="E364" s="28">
        <v>135</v>
      </c>
      <c r="F364" s="28">
        <v>677</v>
      </c>
      <c r="G364" s="28">
        <v>415</v>
      </c>
      <c r="H364" s="28">
        <v>511</v>
      </c>
      <c r="I364" s="28">
        <v>0</v>
      </c>
      <c r="J364" s="28">
        <v>68</v>
      </c>
      <c r="K364" s="28">
        <v>17</v>
      </c>
      <c r="L364" s="28">
        <v>17</v>
      </c>
      <c r="M364" s="28">
        <v>6</v>
      </c>
      <c r="N364" s="28">
        <v>13</v>
      </c>
      <c r="O364" s="28">
        <v>1087</v>
      </c>
      <c r="P364" s="516">
        <v>1773</v>
      </c>
      <c r="Q364" s="517">
        <v>1</v>
      </c>
      <c r="R364" s="6">
        <v>10</v>
      </c>
      <c r="S364" s="369">
        <v>0.69630000000000003</v>
      </c>
      <c r="T364" s="365"/>
      <c r="U364" s="28">
        <v>1178296.8699999999</v>
      </c>
      <c r="V364" s="28">
        <v>1942046.35</v>
      </c>
      <c r="W364" s="28">
        <v>12568575.850000001</v>
      </c>
      <c r="X364" s="28">
        <v>2040736.9800000002</v>
      </c>
      <c r="Y364" s="28">
        <v>541117.69999999995</v>
      </c>
      <c r="Z364" s="28">
        <v>1189053.6000000001</v>
      </c>
      <c r="AA364" s="28">
        <v>920653.96</v>
      </c>
      <c r="AB364" s="28">
        <v>1571246.87</v>
      </c>
      <c r="AC364" s="28">
        <v>2140194.42</v>
      </c>
      <c r="AD364" s="28">
        <v>3999767.87</v>
      </c>
      <c r="AE364" s="28">
        <v>597647.57999999996</v>
      </c>
      <c r="AF364" s="28">
        <v>28689338.050000001</v>
      </c>
      <c r="AG364" s="147"/>
      <c r="AH364" s="147"/>
      <c r="AI364" s="405">
        <v>1087</v>
      </c>
      <c r="AJ364" s="460">
        <v>1561</v>
      </c>
      <c r="AK364" s="417">
        <v>0.69630000000000003</v>
      </c>
      <c r="AL364" s="405">
        <v>10</v>
      </c>
      <c r="AM364" s="147"/>
    </row>
    <row r="365" spans="1:39">
      <c r="A365" s="71">
        <v>616</v>
      </c>
      <c r="B365" s="71" t="s">
        <v>1039</v>
      </c>
      <c r="C365" s="28">
        <v>19</v>
      </c>
      <c r="D365" s="28">
        <v>0</v>
      </c>
      <c r="E365" s="28">
        <v>122</v>
      </c>
      <c r="F365" s="28">
        <v>674</v>
      </c>
      <c r="G365" s="28">
        <v>404</v>
      </c>
      <c r="H365" s="28">
        <v>488</v>
      </c>
      <c r="I365" s="28">
        <v>0</v>
      </c>
      <c r="J365" s="28">
        <v>66</v>
      </c>
      <c r="K365" s="28">
        <v>17</v>
      </c>
      <c r="L365" s="28">
        <v>56</v>
      </c>
      <c r="M365" s="28">
        <v>13</v>
      </c>
      <c r="N365" s="28">
        <v>11</v>
      </c>
      <c r="O365" s="28">
        <v>627</v>
      </c>
      <c r="P365" s="516">
        <v>1698</v>
      </c>
      <c r="Q365" s="517">
        <v>1</v>
      </c>
      <c r="R365" s="6">
        <v>7</v>
      </c>
      <c r="S365" s="369">
        <v>0.36899999999999999</v>
      </c>
      <c r="T365" s="365"/>
      <c r="U365" s="28">
        <v>1087409.9000000001</v>
      </c>
      <c r="V365" s="28">
        <v>1625384.14</v>
      </c>
      <c r="W365" s="28">
        <v>9729693.0300000012</v>
      </c>
      <c r="X365" s="28">
        <v>1970017.0500000003</v>
      </c>
      <c r="Y365" s="28">
        <v>406119</v>
      </c>
      <c r="Z365" s="28">
        <v>1127129.1999999995</v>
      </c>
      <c r="AA365" s="28">
        <v>789373.15</v>
      </c>
      <c r="AB365" s="28">
        <v>1008575.9299999999</v>
      </c>
      <c r="AC365" s="28">
        <v>2067930.56</v>
      </c>
      <c r="AD365" s="28">
        <v>3443354</v>
      </c>
      <c r="AE365" s="28">
        <v>597647.57999999996</v>
      </c>
      <c r="AF365" s="28">
        <v>23852633.539999999</v>
      </c>
      <c r="AG365" s="147"/>
      <c r="AH365" s="147"/>
      <c r="AI365" s="405">
        <v>627</v>
      </c>
      <c r="AJ365" s="460">
        <v>1699</v>
      </c>
      <c r="AK365" s="417">
        <v>0.36899999999999999</v>
      </c>
      <c r="AL365" s="405">
        <v>7</v>
      </c>
      <c r="AM365" s="147"/>
    </row>
    <row r="366" spans="1:39">
      <c r="A366" s="71">
        <v>618</v>
      </c>
      <c r="B366" s="71" t="s">
        <v>1475</v>
      </c>
      <c r="C366" s="28">
        <v>54</v>
      </c>
      <c r="D366" s="28">
        <v>0</v>
      </c>
      <c r="E366" s="28">
        <v>56</v>
      </c>
      <c r="F366" s="28">
        <v>311</v>
      </c>
      <c r="G366" s="28">
        <v>226</v>
      </c>
      <c r="H366" s="28">
        <v>274</v>
      </c>
      <c r="I366" s="28">
        <v>52</v>
      </c>
      <c r="J366" s="28">
        <v>37</v>
      </c>
      <c r="K366" s="28">
        <v>9</v>
      </c>
      <c r="L366" s="28">
        <v>35</v>
      </c>
      <c r="M366" s="28">
        <v>12</v>
      </c>
      <c r="N366" s="28">
        <v>34</v>
      </c>
      <c r="O366" s="28">
        <v>551</v>
      </c>
      <c r="P366" s="516">
        <v>946</v>
      </c>
      <c r="Q366" s="517">
        <v>1</v>
      </c>
      <c r="R366" s="6">
        <v>8</v>
      </c>
      <c r="S366" s="369">
        <v>0.4783</v>
      </c>
      <c r="T366" s="365"/>
      <c r="U366" s="28">
        <v>628613.44999999995</v>
      </c>
      <c r="V366" s="28">
        <v>1004533.8999999999</v>
      </c>
      <c r="W366" s="28">
        <v>6600094.3899999987</v>
      </c>
      <c r="X366" s="28">
        <v>1086970.22</v>
      </c>
      <c r="Y366" s="28">
        <v>277367.32999999996</v>
      </c>
      <c r="Z366" s="28">
        <v>691469.41999999993</v>
      </c>
      <c r="AA366" s="28">
        <v>483143.95999999996</v>
      </c>
      <c r="AB366" s="28">
        <v>773426.37</v>
      </c>
      <c r="AC366" s="28">
        <v>1218823.69</v>
      </c>
      <c r="AD366" s="28">
        <v>2104492.83</v>
      </c>
      <c r="AE366" s="28">
        <v>316401.65999999997</v>
      </c>
      <c r="AF366" s="28">
        <v>15185337.219999997</v>
      </c>
      <c r="AG366" s="147"/>
      <c r="AH366" s="147"/>
      <c r="AI366" s="405">
        <v>551</v>
      </c>
      <c r="AJ366" s="460">
        <v>1152</v>
      </c>
      <c r="AK366" s="417">
        <v>0.4783</v>
      </c>
      <c r="AL366" s="405">
        <v>8</v>
      </c>
      <c r="AM366" s="147"/>
    </row>
    <row r="367" spans="1:39">
      <c r="A367" s="71">
        <v>620</v>
      </c>
      <c r="B367" s="71" t="s">
        <v>1476</v>
      </c>
      <c r="C367" s="28">
        <v>13</v>
      </c>
      <c r="D367" s="28">
        <v>0</v>
      </c>
      <c r="E367" s="28">
        <v>94</v>
      </c>
      <c r="F367" s="28">
        <v>422</v>
      </c>
      <c r="G367" s="28">
        <v>255</v>
      </c>
      <c r="H367" s="28">
        <v>275</v>
      </c>
      <c r="I367" s="28">
        <v>0</v>
      </c>
      <c r="J367" s="28">
        <v>41</v>
      </c>
      <c r="K367" s="28">
        <v>10</v>
      </c>
      <c r="L367" s="28">
        <v>16</v>
      </c>
      <c r="M367" s="28">
        <v>6</v>
      </c>
      <c r="N367" s="28">
        <v>9</v>
      </c>
      <c r="O367" s="28">
        <v>226</v>
      </c>
      <c r="P367" s="516">
        <v>1053</v>
      </c>
      <c r="Q367" s="517">
        <v>1</v>
      </c>
      <c r="R367" s="6">
        <v>4</v>
      </c>
      <c r="S367" s="369">
        <v>0.20519999999999999</v>
      </c>
      <c r="T367" s="365"/>
      <c r="U367" s="28">
        <v>654138.6399999999</v>
      </c>
      <c r="V367" s="28">
        <v>927066.02999999991</v>
      </c>
      <c r="W367" s="28">
        <v>5223240.2800000012</v>
      </c>
      <c r="X367" s="28">
        <v>1227926.8300000003</v>
      </c>
      <c r="Y367" s="28">
        <v>214137.06</v>
      </c>
      <c r="Z367" s="28">
        <v>681830.83</v>
      </c>
      <c r="AA367" s="28">
        <v>455541.18000000005</v>
      </c>
      <c r="AB367" s="28">
        <v>453517.19999999995</v>
      </c>
      <c r="AC367" s="28">
        <v>1275242.45</v>
      </c>
      <c r="AD367" s="28">
        <v>2003410.3200000003</v>
      </c>
      <c r="AE367" s="28">
        <v>351557.39999999997</v>
      </c>
      <c r="AF367" s="28">
        <v>13467608.219999999</v>
      </c>
      <c r="AG367" s="147"/>
      <c r="AH367" s="147"/>
      <c r="AI367" s="405">
        <v>226</v>
      </c>
      <c r="AJ367" s="460">
        <v>1101.5</v>
      </c>
      <c r="AK367" s="417">
        <v>0.20519999999999999</v>
      </c>
      <c r="AL367" s="405">
        <v>4</v>
      </c>
      <c r="AM367" s="147"/>
    </row>
    <row r="368" spans="1:39">
      <c r="A368" s="71">
        <v>622</v>
      </c>
      <c r="B368" s="71" t="s">
        <v>1477</v>
      </c>
      <c r="C368" s="28">
        <v>65</v>
      </c>
      <c r="D368" s="28">
        <v>0</v>
      </c>
      <c r="E368" s="28">
        <v>112</v>
      </c>
      <c r="F368" s="28">
        <v>593</v>
      </c>
      <c r="G368" s="28">
        <v>412</v>
      </c>
      <c r="H368" s="28">
        <v>447</v>
      </c>
      <c r="I368" s="28">
        <v>0</v>
      </c>
      <c r="J368" s="28">
        <v>61</v>
      </c>
      <c r="K368" s="28">
        <v>16</v>
      </c>
      <c r="L368" s="28">
        <v>39</v>
      </c>
      <c r="M368" s="28">
        <v>7</v>
      </c>
      <c r="N368" s="28">
        <v>4</v>
      </c>
      <c r="O368" s="28">
        <v>565</v>
      </c>
      <c r="P368" s="516">
        <v>1597</v>
      </c>
      <c r="Q368" s="517">
        <v>1</v>
      </c>
      <c r="R368" s="6">
        <v>7</v>
      </c>
      <c r="S368" s="369">
        <v>0.37969999999999998</v>
      </c>
      <c r="T368" s="365"/>
      <c r="U368" s="28">
        <v>1014544.9800000001</v>
      </c>
      <c r="V368" s="28">
        <v>1514316.91</v>
      </c>
      <c r="W368" s="28">
        <v>8986518.75</v>
      </c>
      <c r="X368" s="28">
        <v>1833435.29</v>
      </c>
      <c r="Y368" s="28">
        <v>375896.85000000009</v>
      </c>
      <c r="Z368" s="28">
        <v>1051398.8799999999</v>
      </c>
      <c r="AA368" s="28">
        <v>736646.96999999986</v>
      </c>
      <c r="AB368" s="28">
        <v>925723.92999999993</v>
      </c>
      <c r="AC368" s="28">
        <v>1934505.78</v>
      </c>
      <c r="AD368" s="28">
        <v>3214657.2300000004</v>
      </c>
      <c r="AE368" s="28">
        <v>562491.84</v>
      </c>
      <c r="AF368" s="28">
        <v>22150137.41</v>
      </c>
      <c r="AG368" s="147"/>
      <c r="AH368" s="147"/>
      <c r="AI368" s="405">
        <v>565</v>
      </c>
      <c r="AJ368" s="460">
        <v>1488</v>
      </c>
      <c r="AK368" s="417">
        <v>0.37969999999999998</v>
      </c>
      <c r="AL368" s="405">
        <v>7</v>
      </c>
      <c r="AM368" s="147"/>
    </row>
    <row r="369" spans="1:39">
      <c r="A369" s="71">
        <v>625</v>
      </c>
      <c r="B369" s="71" t="s">
        <v>1478</v>
      </c>
      <c r="C369" s="28">
        <v>145</v>
      </c>
      <c r="D369" s="28">
        <v>0</v>
      </c>
      <c r="E369" s="28">
        <v>430</v>
      </c>
      <c r="F369" s="28">
        <v>2287</v>
      </c>
      <c r="G369" s="28">
        <v>1408</v>
      </c>
      <c r="H369" s="28">
        <v>1496</v>
      </c>
      <c r="I369" s="28">
        <v>0</v>
      </c>
      <c r="J369" s="28">
        <v>221</v>
      </c>
      <c r="K369" s="28">
        <v>56</v>
      </c>
      <c r="L369" s="28">
        <v>121</v>
      </c>
      <c r="M369" s="28">
        <v>28</v>
      </c>
      <c r="N369" s="28">
        <v>43</v>
      </c>
      <c r="O369" s="28">
        <v>1720</v>
      </c>
      <c r="P369" s="516">
        <v>5694</v>
      </c>
      <c r="Q369" s="517">
        <v>1</v>
      </c>
      <c r="R369" s="6">
        <v>6</v>
      </c>
      <c r="S369" s="369">
        <v>0.311</v>
      </c>
      <c r="T369" s="365"/>
      <c r="U369" s="28">
        <v>3593367.62</v>
      </c>
      <c r="V369" s="28">
        <v>5245129.7300000004</v>
      </c>
      <c r="W369" s="28">
        <v>30477867.709999997</v>
      </c>
      <c r="X369" s="28">
        <v>6628727.1000000006</v>
      </c>
      <c r="Y369" s="28">
        <v>1266548.9099999999</v>
      </c>
      <c r="Z369" s="28">
        <v>3710353.21</v>
      </c>
      <c r="AA369" s="28">
        <v>2556837.6499999994</v>
      </c>
      <c r="AB369" s="28">
        <v>2926323.7199999997</v>
      </c>
      <c r="AC369" s="28">
        <v>6906354.6600000001</v>
      </c>
      <c r="AD369" s="28">
        <v>11220761.499999998</v>
      </c>
      <c r="AE369" s="28">
        <v>1968721.44</v>
      </c>
      <c r="AF369" s="28">
        <v>76500993.25</v>
      </c>
      <c r="AG369" s="147"/>
      <c r="AH369" s="147"/>
      <c r="AI369" s="405">
        <v>1720</v>
      </c>
      <c r="AJ369" s="460">
        <v>5531</v>
      </c>
      <c r="AK369" s="417">
        <v>0.311</v>
      </c>
      <c r="AL369" s="405">
        <v>6</v>
      </c>
      <c r="AM369" s="147"/>
    </row>
    <row r="370" spans="1:39">
      <c r="A370" s="71">
        <v>632</v>
      </c>
      <c r="B370" s="71" t="s">
        <v>1044</v>
      </c>
      <c r="C370" s="28">
        <v>4</v>
      </c>
      <c r="D370" s="28">
        <v>0</v>
      </c>
      <c r="E370" s="28">
        <v>16</v>
      </c>
      <c r="F370" s="28">
        <v>76</v>
      </c>
      <c r="G370" s="28">
        <v>19</v>
      </c>
      <c r="H370" s="28">
        <v>0</v>
      </c>
      <c r="I370" s="28">
        <v>0</v>
      </c>
      <c r="J370" s="28">
        <v>4</v>
      </c>
      <c r="K370" s="28">
        <v>1</v>
      </c>
      <c r="L370" s="28">
        <v>0</v>
      </c>
      <c r="M370" s="28">
        <v>0</v>
      </c>
      <c r="N370" s="28">
        <v>0</v>
      </c>
      <c r="O370" s="28">
        <v>53</v>
      </c>
      <c r="P370" s="516">
        <v>113</v>
      </c>
      <c r="Q370" s="517">
        <v>1</v>
      </c>
      <c r="R370" s="6">
        <v>7</v>
      </c>
      <c r="S370" s="369">
        <v>0.41089999999999999</v>
      </c>
      <c r="T370" s="365"/>
      <c r="U370" s="28">
        <v>70958.559999999998</v>
      </c>
      <c r="V370" s="28">
        <v>111333.91999999998</v>
      </c>
      <c r="W370" s="28">
        <v>645236.19000000006</v>
      </c>
      <c r="X370" s="28">
        <v>140825.74</v>
      </c>
      <c r="Y370" s="28">
        <v>28183.96</v>
      </c>
      <c r="Z370" s="28">
        <v>63923.989999999991</v>
      </c>
      <c r="AA370" s="28">
        <v>51157.939999999995</v>
      </c>
      <c r="AB370" s="28">
        <v>59812.33</v>
      </c>
      <c r="AC370" s="28">
        <v>132069.84</v>
      </c>
      <c r="AD370" s="28">
        <v>234725.87</v>
      </c>
      <c r="AE370" s="28">
        <v>35155.74</v>
      </c>
      <c r="AF370" s="28">
        <v>1573384.0799999998</v>
      </c>
      <c r="AG370" s="147"/>
      <c r="AH370" s="147"/>
      <c r="AI370" s="405">
        <v>53</v>
      </c>
      <c r="AJ370" s="460">
        <v>129</v>
      </c>
      <c r="AK370" s="417">
        <v>0.41089999999999999</v>
      </c>
      <c r="AL370" s="405">
        <v>7</v>
      </c>
      <c r="AM370" s="147"/>
    </row>
    <row r="371" spans="1:39">
      <c r="A371" s="71">
        <v>635</v>
      </c>
      <c r="B371" s="71" t="s">
        <v>1479</v>
      </c>
      <c r="C371" s="28">
        <v>48</v>
      </c>
      <c r="D371" s="28">
        <v>0</v>
      </c>
      <c r="E371" s="28">
        <v>104</v>
      </c>
      <c r="F371" s="28">
        <v>557</v>
      </c>
      <c r="G371" s="28">
        <v>368</v>
      </c>
      <c r="H371" s="28">
        <v>475</v>
      </c>
      <c r="I371" s="28">
        <v>0</v>
      </c>
      <c r="J371" s="28">
        <v>59</v>
      </c>
      <c r="K371" s="28">
        <v>15</v>
      </c>
      <c r="L371" s="28">
        <v>8</v>
      </c>
      <c r="M371" s="28">
        <v>2</v>
      </c>
      <c r="N371" s="28">
        <v>5</v>
      </c>
      <c r="O371" s="28">
        <v>708</v>
      </c>
      <c r="P371" s="516">
        <v>1528</v>
      </c>
      <c r="Q371" s="517">
        <v>1</v>
      </c>
      <c r="R371" s="6">
        <v>8</v>
      </c>
      <c r="S371" s="369">
        <v>0.45519999999999999</v>
      </c>
      <c r="T371" s="365"/>
      <c r="U371" s="28">
        <v>985507.8899999999</v>
      </c>
      <c r="V371" s="28">
        <v>1525393.29</v>
      </c>
      <c r="W371" s="28">
        <v>9430641.8399999999</v>
      </c>
      <c r="X371" s="28">
        <v>1743237.94</v>
      </c>
      <c r="Y371" s="28">
        <v>397324.08999999997</v>
      </c>
      <c r="Z371" s="28">
        <v>1023189.22</v>
      </c>
      <c r="AA371" s="28">
        <v>737526.53</v>
      </c>
      <c r="AB371" s="28">
        <v>1073386.2799999998</v>
      </c>
      <c r="AC371" s="28">
        <v>1842850.41</v>
      </c>
      <c r="AD371" s="28">
        <v>3199396.3999999994</v>
      </c>
      <c r="AE371" s="28">
        <v>527336.1</v>
      </c>
      <c r="AF371" s="28">
        <v>22485789.989999998</v>
      </c>
      <c r="AG371" s="147"/>
      <c r="AH371" s="147"/>
      <c r="AI371" s="405">
        <v>708</v>
      </c>
      <c r="AJ371" s="460">
        <v>1555.5</v>
      </c>
      <c r="AK371" s="417">
        <v>0.45519999999999999</v>
      </c>
      <c r="AL371" s="405">
        <v>8</v>
      </c>
      <c r="AM371" s="147"/>
    </row>
    <row r="372" spans="1:39">
      <c r="A372" s="71">
        <v>640</v>
      </c>
      <c r="B372" s="71" t="s">
        <v>1480</v>
      </c>
      <c r="C372" s="28">
        <v>0</v>
      </c>
      <c r="D372" s="28">
        <v>0</v>
      </c>
      <c r="E372" s="28">
        <v>0</v>
      </c>
      <c r="F372" s="28">
        <v>0</v>
      </c>
      <c r="G372" s="28">
        <v>0</v>
      </c>
      <c r="H372" s="28">
        <v>1266</v>
      </c>
      <c r="I372" s="28">
        <v>0</v>
      </c>
      <c r="J372" s="28">
        <v>50</v>
      </c>
      <c r="K372" s="28">
        <v>13</v>
      </c>
      <c r="L372" s="28">
        <v>0</v>
      </c>
      <c r="M372" s="28">
        <v>0</v>
      </c>
      <c r="N372" s="28">
        <v>9</v>
      </c>
      <c r="O372" s="28">
        <v>118</v>
      </c>
      <c r="P372" s="516">
        <v>1266</v>
      </c>
      <c r="Q372" s="517">
        <v>1.0589999999999999</v>
      </c>
      <c r="R372" s="6">
        <v>2</v>
      </c>
      <c r="S372" s="369">
        <v>9.5899999999999999E-2</v>
      </c>
      <c r="T372" s="365"/>
      <c r="U372" s="28">
        <v>824939.2905</v>
      </c>
      <c r="V372" s="28">
        <v>1123057.2261899998</v>
      </c>
      <c r="W372" s="28">
        <v>7339632.3529199995</v>
      </c>
      <c r="X372" s="28">
        <v>1273656.8960700002</v>
      </c>
      <c r="Y372" s="28">
        <v>250283.84820000001</v>
      </c>
      <c r="Z372" s="28">
        <v>1114598.57</v>
      </c>
      <c r="AA372" s="28">
        <v>619388.42831999995</v>
      </c>
      <c r="AB372" s="28">
        <v>886012.90067999996</v>
      </c>
      <c r="AC372" s="28">
        <v>1640792.9328600001</v>
      </c>
      <c r="AD372" s="28">
        <v>2209159.4500000002</v>
      </c>
      <c r="AE372" s="28">
        <v>457024.62</v>
      </c>
      <c r="AF372" s="28">
        <v>17738546.515740003</v>
      </c>
      <c r="AG372" s="147"/>
      <c r="AH372" s="147"/>
      <c r="AI372" s="405">
        <v>118</v>
      </c>
      <c r="AJ372" s="460">
        <v>1231</v>
      </c>
      <c r="AK372" s="417">
        <v>9.5899999999999999E-2</v>
      </c>
      <c r="AL372" s="405">
        <v>2</v>
      </c>
      <c r="AM372" s="147"/>
    </row>
    <row r="373" spans="1:39">
      <c r="A373" s="71">
        <v>645</v>
      </c>
      <c r="B373" s="71" t="s">
        <v>1481</v>
      </c>
      <c r="C373" s="28">
        <v>80</v>
      </c>
      <c r="D373" s="28">
        <v>0</v>
      </c>
      <c r="E373" s="28">
        <v>247</v>
      </c>
      <c r="F373" s="28">
        <v>1290</v>
      </c>
      <c r="G373" s="28">
        <v>768</v>
      </c>
      <c r="H373" s="28">
        <v>916</v>
      </c>
      <c r="I373" s="28">
        <v>0</v>
      </c>
      <c r="J373" s="28">
        <v>127</v>
      </c>
      <c r="K373" s="28">
        <v>32</v>
      </c>
      <c r="L373" s="28">
        <v>330</v>
      </c>
      <c r="M373" s="28">
        <v>93</v>
      </c>
      <c r="N373" s="28">
        <v>100</v>
      </c>
      <c r="O373" s="28">
        <v>1863</v>
      </c>
      <c r="P373" s="516">
        <v>3261</v>
      </c>
      <c r="Q373" s="517">
        <v>1</v>
      </c>
      <c r="R373" s="6">
        <v>10</v>
      </c>
      <c r="S373" s="369">
        <v>0.61529999999999996</v>
      </c>
      <c r="T373" s="365"/>
      <c r="U373" s="28">
        <v>2215229.2999999998</v>
      </c>
      <c r="V373" s="28">
        <v>3601407.5699999994</v>
      </c>
      <c r="W373" s="28">
        <v>23142360.840000004</v>
      </c>
      <c r="X373" s="28">
        <v>3871664.3700000006</v>
      </c>
      <c r="Y373" s="28">
        <v>992781.82</v>
      </c>
      <c r="Z373" s="28">
        <v>2241220.69</v>
      </c>
      <c r="AA373" s="28">
        <v>1706441.04</v>
      </c>
      <c r="AB373" s="28">
        <v>2766047.17</v>
      </c>
      <c r="AC373" s="28">
        <v>4099753.67</v>
      </c>
      <c r="AD373" s="28">
        <v>7415507.2800000003</v>
      </c>
      <c r="AE373" s="28">
        <v>1124983.68</v>
      </c>
      <c r="AF373" s="28">
        <v>53177397.43</v>
      </c>
      <c r="AG373" s="147"/>
      <c r="AH373" s="147"/>
      <c r="AI373" s="405">
        <v>1863</v>
      </c>
      <c r="AJ373" s="460">
        <v>3028</v>
      </c>
      <c r="AK373" s="417">
        <v>0.61529999999999996</v>
      </c>
      <c r="AL373" s="405">
        <v>10</v>
      </c>
      <c r="AM373" s="147"/>
    </row>
    <row r="374" spans="1:39">
      <c r="A374" s="71">
        <v>650</v>
      </c>
      <c r="B374" s="71" t="s">
        <v>1482</v>
      </c>
      <c r="C374" s="28">
        <v>63</v>
      </c>
      <c r="D374" s="28">
        <v>0</v>
      </c>
      <c r="E374" s="28">
        <v>208</v>
      </c>
      <c r="F374" s="28">
        <v>1065</v>
      </c>
      <c r="G374" s="28">
        <v>642</v>
      </c>
      <c r="H374" s="28">
        <v>449</v>
      </c>
      <c r="I374" s="28">
        <v>207</v>
      </c>
      <c r="J374" s="28">
        <v>103</v>
      </c>
      <c r="K374" s="28">
        <v>24</v>
      </c>
      <c r="L374" s="28">
        <v>12</v>
      </c>
      <c r="M374" s="28">
        <v>3</v>
      </c>
      <c r="N374" s="28">
        <v>4</v>
      </c>
      <c r="O374" s="28">
        <v>619</v>
      </c>
      <c r="P374" s="516">
        <v>2603</v>
      </c>
      <c r="Q374" s="517">
        <v>1</v>
      </c>
      <c r="R374" s="6">
        <v>5</v>
      </c>
      <c r="S374" s="369">
        <v>0.246</v>
      </c>
      <c r="T374" s="365"/>
      <c r="U374" s="28">
        <v>1618383.0500000003</v>
      </c>
      <c r="V374" s="28">
        <v>2305866.9199999995</v>
      </c>
      <c r="W374" s="28">
        <v>13762175.899999999</v>
      </c>
      <c r="X374" s="28">
        <v>3045929.9</v>
      </c>
      <c r="Y374" s="28">
        <v>559788.78</v>
      </c>
      <c r="Z374" s="28">
        <v>1805863.49</v>
      </c>
      <c r="AA374" s="28">
        <v>1129963.72</v>
      </c>
      <c r="AB374" s="28">
        <v>1162803.03</v>
      </c>
      <c r="AC374" s="28">
        <v>3333938.02</v>
      </c>
      <c r="AD374" s="28">
        <v>5083501.7300000004</v>
      </c>
      <c r="AE374" s="28">
        <v>843737.76</v>
      </c>
      <c r="AF374" s="28">
        <v>34651952.29999999</v>
      </c>
      <c r="AG374" s="147"/>
      <c r="AH374" s="147"/>
      <c r="AI374" s="405">
        <v>619</v>
      </c>
      <c r="AJ374" s="460">
        <v>2516</v>
      </c>
      <c r="AK374" s="417">
        <v>0.246</v>
      </c>
      <c r="AL374" s="405">
        <v>5</v>
      </c>
      <c r="AM374" s="147"/>
    </row>
    <row r="375" spans="1:39">
      <c r="A375" s="71">
        <v>655</v>
      </c>
      <c r="B375" s="71" t="s">
        <v>1483</v>
      </c>
      <c r="C375" s="28">
        <v>0</v>
      </c>
      <c r="D375" s="28">
        <v>0</v>
      </c>
      <c r="E375" s="28">
        <v>0</v>
      </c>
      <c r="F375" s="28">
        <v>0</v>
      </c>
      <c r="G375" s="28">
        <v>472</v>
      </c>
      <c r="H375" s="28">
        <v>676</v>
      </c>
      <c r="I375" s="28">
        <v>0</v>
      </c>
      <c r="J375" s="28">
        <v>45</v>
      </c>
      <c r="K375" s="28">
        <v>11</v>
      </c>
      <c r="L375" s="28">
        <v>0</v>
      </c>
      <c r="M375" s="28">
        <v>4</v>
      </c>
      <c r="N375" s="28">
        <v>6</v>
      </c>
      <c r="O375" s="28">
        <v>95</v>
      </c>
      <c r="P375" s="516">
        <v>1148</v>
      </c>
      <c r="Q375" s="517">
        <v>1.0580000000000001</v>
      </c>
      <c r="R375" s="6">
        <v>2</v>
      </c>
      <c r="S375" s="369">
        <v>8.5999999999999993E-2</v>
      </c>
      <c r="T375" s="365"/>
      <c r="U375" s="28">
        <v>742610.88769999996</v>
      </c>
      <c r="V375" s="28">
        <v>1014273.5265399999</v>
      </c>
      <c r="W375" s="28">
        <v>5845515.1410599994</v>
      </c>
      <c r="X375" s="28">
        <v>1208128.8457599999</v>
      </c>
      <c r="Y375" s="28">
        <v>227417.29044000004</v>
      </c>
      <c r="Z375" s="28">
        <v>858280.84999999986</v>
      </c>
      <c r="AA375" s="28">
        <v>538557.40067999996</v>
      </c>
      <c r="AB375" s="28">
        <v>623652.05501999997</v>
      </c>
      <c r="AC375" s="28">
        <v>1502816.8338200001</v>
      </c>
      <c r="AD375" s="28">
        <v>2088145.2899999996</v>
      </c>
      <c r="AE375" s="28">
        <v>386713.13999999996</v>
      </c>
      <c r="AF375" s="28">
        <v>15036111.261020001</v>
      </c>
      <c r="AG375" s="147"/>
      <c r="AH375" s="147"/>
      <c r="AI375" s="405">
        <v>95</v>
      </c>
      <c r="AJ375" s="460">
        <v>1105</v>
      </c>
      <c r="AK375" s="417">
        <v>8.5999999999999993E-2</v>
      </c>
      <c r="AL375" s="405">
        <v>2</v>
      </c>
      <c r="AM375" s="147"/>
    </row>
    <row r="376" spans="1:39">
      <c r="A376" s="71">
        <v>658</v>
      </c>
      <c r="B376" s="71" t="s">
        <v>1484</v>
      </c>
      <c r="C376" s="28">
        <v>72</v>
      </c>
      <c r="D376" s="28">
        <v>1</v>
      </c>
      <c r="E376" s="28">
        <v>263</v>
      </c>
      <c r="F376" s="28">
        <v>1277</v>
      </c>
      <c r="G376" s="28">
        <v>851</v>
      </c>
      <c r="H376" s="28">
        <v>873</v>
      </c>
      <c r="I376" s="28">
        <v>0</v>
      </c>
      <c r="J376" s="28">
        <v>128</v>
      </c>
      <c r="K376" s="28">
        <v>33</v>
      </c>
      <c r="L376" s="28">
        <v>82</v>
      </c>
      <c r="M376" s="28">
        <v>23</v>
      </c>
      <c r="N376" s="28">
        <v>21</v>
      </c>
      <c r="O376" s="28">
        <v>1289</v>
      </c>
      <c r="P376" s="516">
        <v>3301</v>
      </c>
      <c r="Q376" s="517">
        <v>1</v>
      </c>
      <c r="R376" s="6">
        <v>7</v>
      </c>
      <c r="S376" s="369">
        <v>0.38</v>
      </c>
      <c r="T376" s="365"/>
      <c r="U376" s="28">
        <v>2115275.5</v>
      </c>
      <c r="V376" s="28">
        <v>3180575.7399999998</v>
      </c>
      <c r="W376" s="28">
        <v>19016418.09</v>
      </c>
      <c r="X376" s="28">
        <v>3832943.52</v>
      </c>
      <c r="Y376" s="28">
        <v>800402.35000000009</v>
      </c>
      <c r="Z376" s="28">
        <v>2164665.65</v>
      </c>
      <c r="AA376" s="28">
        <v>1539081.92</v>
      </c>
      <c r="AB376" s="28">
        <v>1984229.3299999998</v>
      </c>
      <c r="AC376" s="28">
        <v>4011379.2100000004</v>
      </c>
      <c r="AD376" s="28">
        <v>6741133.3500000006</v>
      </c>
      <c r="AE376" s="28">
        <v>1160139.42</v>
      </c>
      <c r="AF376" s="28">
        <v>46546244.079999998</v>
      </c>
      <c r="AG376" s="147"/>
      <c r="AH376" s="147"/>
      <c r="AI376" s="405">
        <v>1289</v>
      </c>
      <c r="AJ376" s="460">
        <v>3392.5</v>
      </c>
      <c r="AK376" s="417">
        <v>0.38</v>
      </c>
      <c r="AL376" s="405">
        <v>7</v>
      </c>
      <c r="AM376" s="147"/>
    </row>
    <row r="377" spans="1:39">
      <c r="A377" s="71">
        <v>660</v>
      </c>
      <c r="B377" s="71" t="s">
        <v>1485</v>
      </c>
      <c r="C377" s="28">
        <v>0</v>
      </c>
      <c r="D377" s="28">
        <v>0</v>
      </c>
      <c r="E377" s="28">
        <v>0</v>
      </c>
      <c r="F377" s="28">
        <v>0</v>
      </c>
      <c r="G377" s="28">
        <v>522</v>
      </c>
      <c r="H377" s="28">
        <v>648</v>
      </c>
      <c r="I377" s="28">
        <v>0</v>
      </c>
      <c r="J377" s="28">
        <v>46</v>
      </c>
      <c r="K377" s="28">
        <v>12</v>
      </c>
      <c r="L377" s="28">
        <v>0</v>
      </c>
      <c r="M377" s="28">
        <v>9</v>
      </c>
      <c r="N377" s="28">
        <v>10</v>
      </c>
      <c r="O377" s="28">
        <v>514</v>
      </c>
      <c r="P377" s="516">
        <v>1170</v>
      </c>
      <c r="Q377" s="517">
        <v>1</v>
      </c>
      <c r="R377" s="6">
        <v>7</v>
      </c>
      <c r="S377" s="369">
        <v>0.37990000000000002</v>
      </c>
      <c r="T377" s="365"/>
      <c r="U377" s="28">
        <v>754587.66</v>
      </c>
      <c r="V377" s="28">
        <v>1143863.99</v>
      </c>
      <c r="W377" s="28">
        <v>7192667.6199999992</v>
      </c>
      <c r="X377" s="28">
        <v>1171726.07</v>
      </c>
      <c r="Y377" s="28">
        <v>297986.27</v>
      </c>
      <c r="Z377" s="28">
        <v>874891.13999999978</v>
      </c>
      <c r="AA377" s="28">
        <v>583043.47</v>
      </c>
      <c r="AB377" s="28">
        <v>925736.10000000009</v>
      </c>
      <c r="AC377" s="28">
        <v>1452744.4899999998</v>
      </c>
      <c r="AD377" s="28">
        <v>2415080.8200000003</v>
      </c>
      <c r="AE377" s="28">
        <v>421868.88</v>
      </c>
      <c r="AF377" s="28">
        <v>17234196.510000002</v>
      </c>
      <c r="AG377" s="147"/>
      <c r="AH377" s="147"/>
      <c r="AI377" s="405">
        <v>514</v>
      </c>
      <c r="AJ377" s="460">
        <v>1353</v>
      </c>
      <c r="AK377" s="417">
        <v>0.37990000000000002</v>
      </c>
      <c r="AL377" s="405">
        <v>7</v>
      </c>
      <c r="AM377" s="147"/>
    </row>
    <row r="378" spans="1:39">
      <c r="A378" s="71">
        <v>662</v>
      </c>
      <c r="B378" s="71" t="s">
        <v>1052</v>
      </c>
      <c r="C378" s="28">
        <v>20</v>
      </c>
      <c r="D378" s="28">
        <v>0</v>
      </c>
      <c r="E378" s="28">
        <v>21</v>
      </c>
      <c r="F378" s="28">
        <v>89</v>
      </c>
      <c r="G378" s="28">
        <v>40</v>
      </c>
      <c r="H378" s="28">
        <v>51</v>
      </c>
      <c r="I378" s="28">
        <v>13</v>
      </c>
      <c r="J378" s="28">
        <v>9</v>
      </c>
      <c r="K378" s="28">
        <v>2</v>
      </c>
      <c r="L378" s="28">
        <v>1</v>
      </c>
      <c r="M378" s="28">
        <v>0</v>
      </c>
      <c r="N378" s="28">
        <v>0</v>
      </c>
      <c r="O378" s="28">
        <v>74</v>
      </c>
      <c r="P378" s="516">
        <v>224</v>
      </c>
      <c r="Q378" s="517">
        <v>1</v>
      </c>
      <c r="R378" s="6">
        <v>10</v>
      </c>
      <c r="S378" s="369">
        <v>0.62180000000000002</v>
      </c>
      <c r="T378" s="365"/>
      <c r="U378" s="28">
        <v>143036.32</v>
      </c>
      <c r="V378" s="28">
        <v>215600.79999999996</v>
      </c>
      <c r="W378" s="28">
        <v>1352349.7000000002</v>
      </c>
      <c r="X378" s="28">
        <v>264505.98000000004</v>
      </c>
      <c r="Y378" s="28">
        <v>55768.01999999999</v>
      </c>
      <c r="Z378" s="28">
        <v>155970.68999999997</v>
      </c>
      <c r="AA378" s="28">
        <v>104116.41</v>
      </c>
      <c r="AB378" s="28">
        <v>136780.56</v>
      </c>
      <c r="AC378" s="28">
        <v>281709</v>
      </c>
      <c r="AD378" s="28">
        <v>462133.64999999991</v>
      </c>
      <c r="AE378" s="28">
        <v>70311.48</v>
      </c>
      <c r="AF378" s="28">
        <v>3242282.6100000003</v>
      </c>
      <c r="AG378" s="147"/>
      <c r="AH378" s="147"/>
      <c r="AI378" s="405">
        <v>74</v>
      </c>
      <c r="AJ378" s="460">
        <v>119</v>
      </c>
      <c r="AK378" s="417">
        <v>0.62180000000000002</v>
      </c>
      <c r="AL378" s="405">
        <v>10</v>
      </c>
      <c r="AM378" s="147"/>
    </row>
    <row r="379" spans="1:39">
      <c r="A379" s="71">
        <v>665</v>
      </c>
      <c r="B379" s="71" t="s">
        <v>1486</v>
      </c>
      <c r="C379" s="28">
        <v>33</v>
      </c>
      <c r="D379" s="28">
        <v>0</v>
      </c>
      <c r="E379" s="28">
        <v>174</v>
      </c>
      <c r="F379" s="28">
        <v>1109</v>
      </c>
      <c r="G379" s="28">
        <v>715</v>
      </c>
      <c r="H379" s="28">
        <v>705</v>
      </c>
      <c r="I379" s="28">
        <v>0</v>
      </c>
      <c r="J379" s="28">
        <v>106</v>
      </c>
      <c r="K379" s="28">
        <v>27</v>
      </c>
      <c r="L379" s="28">
        <v>24</v>
      </c>
      <c r="M379" s="28">
        <v>7</v>
      </c>
      <c r="N379" s="28">
        <v>4</v>
      </c>
      <c r="O379" s="28">
        <v>728</v>
      </c>
      <c r="P379" s="516">
        <v>2720</v>
      </c>
      <c r="Q379" s="517">
        <v>1</v>
      </c>
      <c r="R379" s="6">
        <v>5</v>
      </c>
      <c r="S379" s="369">
        <v>0.2707</v>
      </c>
      <c r="T379" s="365"/>
      <c r="U379" s="28">
        <v>1700259.4199999997</v>
      </c>
      <c r="V379" s="28">
        <v>2437857.0300000003</v>
      </c>
      <c r="W379" s="28">
        <v>13906079.379999999</v>
      </c>
      <c r="X379" s="28">
        <v>3151174.27</v>
      </c>
      <c r="Y379" s="28">
        <v>575860.85</v>
      </c>
      <c r="Z379" s="28">
        <v>1757031.4499999997</v>
      </c>
      <c r="AA379" s="28">
        <v>1194792.3799999997</v>
      </c>
      <c r="AB379" s="28">
        <v>1283982.7</v>
      </c>
      <c r="AC379" s="28">
        <v>3283706.78</v>
      </c>
      <c r="AD379" s="28">
        <v>5254301.99</v>
      </c>
      <c r="AE379" s="28">
        <v>949204.98</v>
      </c>
      <c r="AF379" s="28">
        <v>35494251.229999997</v>
      </c>
      <c r="AG379" s="147"/>
      <c r="AH379" s="147"/>
      <c r="AI379" s="405">
        <v>728</v>
      </c>
      <c r="AJ379" s="460">
        <v>2689.5</v>
      </c>
      <c r="AK379" s="417">
        <v>0.2707</v>
      </c>
      <c r="AL379" s="405">
        <v>5</v>
      </c>
      <c r="AM379" s="147"/>
    </row>
    <row r="380" spans="1:39">
      <c r="A380" s="71">
        <v>670</v>
      </c>
      <c r="B380" s="71" t="s">
        <v>1487</v>
      </c>
      <c r="C380" s="28">
        <v>0</v>
      </c>
      <c r="D380" s="28">
        <v>0</v>
      </c>
      <c r="E380" s="28">
        <v>0</v>
      </c>
      <c r="F380" s="28">
        <v>0</v>
      </c>
      <c r="G380" s="28">
        <v>179</v>
      </c>
      <c r="H380" s="28">
        <v>299</v>
      </c>
      <c r="I380" s="28">
        <v>0</v>
      </c>
      <c r="J380" s="28">
        <v>19</v>
      </c>
      <c r="K380" s="28">
        <v>5</v>
      </c>
      <c r="L380" s="28">
        <v>0</v>
      </c>
      <c r="M380" s="28">
        <v>1</v>
      </c>
      <c r="N380" s="28">
        <v>1</v>
      </c>
      <c r="O380" s="28">
        <v>190</v>
      </c>
      <c r="P380" s="516">
        <v>478</v>
      </c>
      <c r="Q380" s="517">
        <v>1</v>
      </c>
      <c r="R380" s="6">
        <v>6</v>
      </c>
      <c r="S380" s="369">
        <v>0.30209999999999998</v>
      </c>
      <c r="T380" s="365"/>
      <c r="U380" s="28">
        <v>305865.90999999997</v>
      </c>
      <c r="V380" s="28">
        <v>453239.45999999996</v>
      </c>
      <c r="W380" s="28">
        <v>2859302.19</v>
      </c>
      <c r="X380" s="28">
        <v>475508.49000000005</v>
      </c>
      <c r="Y380" s="28">
        <v>115240.38</v>
      </c>
      <c r="Z380" s="28">
        <v>366762.16</v>
      </c>
      <c r="AA380" s="28">
        <v>234056.04</v>
      </c>
      <c r="AB380" s="28">
        <v>363434.07999999996</v>
      </c>
      <c r="AC380" s="28">
        <v>590942.32999999996</v>
      </c>
      <c r="AD380" s="28">
        <v>957399.82000000007</v>
      </c>
      <c r="AE380" s="28">
        <v>175778.69999999998</v>
      </c>
      <c r="AF380" s="28">
        <v>6897529.5600000005</v>
      </c>
      <c r="AG380" s="147"/>
      <c r="AH380" s="147"/>
      <c r="AI380" s="405">
        <v>190</v>
      </c>
      <c r="AJ380" s="460">
        <v>629</v>
      </c>
      <c r="AK380" s="417">
        <v>0.30209999999999998</v>
      </c>
      <c r="AL380" s="405">
        <v>6</v>
      </c>
      <c r="AM380" s="147"/>
    </row>
    <row r="381" spans="1:39">
      <c r="A381" s="71">
        <v>672</v>
      </c>
      <c r="B381" s="71" t="s">
        <v>1488</v>
      </c>
      <c r="C381" s="28">
        <v>60</v>
      </c>
      <c r="D381" s="28">
        <v>0</v>
      </c>
      <c r="E381" s="28">
        <v>56</v>
      </c>
      <c r="F381" s="28">
        <v>297</v>
      </c>
      <c r="G381" s="28">
        <v>210</v>
      </c>
      <c r="H381" s="28">
        <v>134</v>
      </c>
      <c r="I381" s="28">
        <v>48</v>
      </c>
      <c r="J381" s="28">
        <v>29</v>
      </c>
      <c r="K381" s="28">
        <v>7</v>
      </c>
      <c r="L381" s="28">
        <v>11</v>
      </c>
      <c r="M381" s="28">
        <v>2</v>
      </c>
      <c r="N381" s="28">
        <v>0</v>
      </c>
      <c r="O381" s="28">
        <v>397</v>
      </c>
      <c r="P381" s="516">
        <v>775</v>
      </c>
      <c r="Q381" s="517">
        <v>1</v>
      </c>
      <c r="R381" s="6">
        <v>10</v>
      </c>
      <c r="S381" s="369">
        <v>0.54310000000000003</v>
      </c>
      <c r="T381" s="365"/>
      <c r="U381" s="28">
        <v>503259.69</v>
      </c>
      <c r="V381" s="28">
        <v>812399.78</v>
      </c>
      <c r="W381" s="28">
        <v>5235779.6500000004</v>
      </c>
      <c r="X381" s="28">
        <v>892568.24</v>
      </c>
      <c r="Y381" s="28">
        <v>223908.00999999998</v>
      </c>
      <c r="Z381" s="28">
        <v>533970.85</v>
      </c>
      <c r="AA381" s="28">
        <v>385832.60000000003</v>
      </c>
      <c r="AB381" s="28">
        <v>597016.17000000004</v>
      </c>
      <c r="AC381" s="28">
        <v>977478.2699999999</v>
      </c>
      <c r="AD381" s="28">
        <v>1713600.85</v>
      </c>
      <c r="AE381" s="28">
        <v>246090.18</v>
      </c>
      <c r="AF381" s="28">
        <v>12121904.289999999</v>
      </c>
      <c r="AG381" s="147"/>
      <c r="AH381" s="147"/>
      <c r="AI381" s="405">
        <v>397</v>
      </c>
      <c r="AJ381" s="460">
        <v>731</v>
      </c>
      <c r="AK381" s="417">
        <v>0.54310000000000003</v>
      </c>
      <c r="AL381" s="405">
        <v>10</v>
      </c>
      <c r="AM381" s="147"/>
    </row>
    <row r="382" spans="1:39">
      <c r="A382" s="71">
        <v>673</v>
      </c>
      <c r="B382" s="71" t="s">
        <v>1489</v>
      </c>
      <c r="C382" s="28">
        <v>18</v>
      </c>
      <c r="D382" s="28">
        <v>122</v>
      </c>
      <c r="E382" s="28">
        <v>26</v>
      </c>
      <c r="F382" s="28">
        <v>879</v>
      </c>
      <c r="G382" s="28">
        <v>545</v>
      </c>
      <c r="H382" s="28">
        <v>730</v>
      </c>
      <c r="I382" s="28">
        <v>0</v>
      </c>
      <c r="J382" s="28">
        <v>88</v>
      </c>
      <c r="K382" s="28">
        <v>22</v>
      </c>
      <c r="L382" s="28">
        <v>36</v>
      </c>
      <c r="M382" s="28">
        <v>9</v>
      </c>
      <c r="N382" s="28">
        <v>3</v>
      </c>
      <c r="O382" s="28">
        <v>250</v>
      </c>
      <c r="P382" s="516">
        <v>2250</v>
      </c>
      <c r="Q382" s="517">
        <v>1</v>
      </c>
      <c r="R382" s="6">
        <v>2</v>
      </c>
      <c r="S382" s="369">
        <v>0.1114</v>
      </c>
      <c r="T382" s="365"/>
      <c r="U382" s="28">
        <v>1383451.7399999998</v>
      </c>
      <c r="V382" s="28">
        <v>1901877.12</v>
      </c>
      <c r="W382" s="28">
        <v>10555505.589999998</v>
      </c>
      <c r="X382" s="28">
        <v>2570128.3999999994</v>
      </c>
      <c r="Y382" s="28">
        <v>421900.08999999997</v>
      </c>
      <c r="Z382" s="28">
        <v>1495198.67</v>
      </c>
      <c r="AA382" s="28">
        <v>952403.13000000012</v>
      </c>
      <c r="AB382" s="28">
        <v>882787.15999999992</v>
      </c>
      <c r="AC382" s="28">
        <v>2727944.84</v>
      </c>
      <c r="AD382" s="28">
        <v>4138817.1699999995</v>
      </c>
      <c r="AE382" s="28">
        <v>773426.27999999991</v>
      </c>
      <c r="AF382" s="28">
        <v>27803440.189999998</v>
      </c>
      <c r="AG382" s="147"/>
      <c r="AH382" s="147"/>
      <c r="AI382" s="405">
        <v>250</v>
      </c>
      <c r="AJ382" s="460">
        <v>2244.5</v>
      </c>
      <c r="AK382" s="417">
        <v>0.1114</v>
      </c>
      <c r="AL382" s="405">
        <v>2</v>
      </c>
      <c r="AM382" s="147"/>
    </row>
    <row r="383" spans="1:39">
      <c r="A383" s="71">
        <v>674</v>
      </c>
      <c r="B383" s="71" t="s">
        <v>1490</v>
      </c>
      <c r="C383" s="28">
        <v>43</v>
      </c>
      <c r="D383" s="28">
        <v>0</v>
      </c>
      <c r="E383" s="28">
        <v>52</v>
      </c>
      <c r="F383" s="28">
        <v>363</v>
      </c>
      <c r="G383" s="28">
        <v>260</v>
      </c>
      <c r="H383" s="28">
        <v>241</v>
      </c>
      <c r="I383" s="28">
        <v>0</v>
      </c>
      <c r="J383" s="28">
        <v>36</v>
      </c>
      <c r="K383" s="28">
        <v>9</v>
      </c>
      <c r="L383" s="28">
        <v>37</v>
      </c>
      <c r="M383" s="28">
        <v>9</v>
      </c>
      <c r="N383" s="28">
        <v>8</v>
      </c>
      <c r="O383" s="28">
        <v>569</v>
      </c>
      <c r="P383" s="516">
        <v>938</v>
      </c>
      <c r="Q383" s="517">
        <v>1</v>
      </c>
      <c r="R383" s="6">
        <v>10</v>
      </c>
      <c r="S383" s="369">
        <v>0.61280000000000001</v>
      </c>
      <c r="T383" s="365"/>
      <c r="U383" s="28">
        <v>626604.84</v>
      </c>
      <c r="V383" s="28">
        <v>1031144.4900000001</v>
      </c>
      <c r="W383" s="28">
        <v>6618791.3600000013</v>
      </c>
      <c r="X383" s="28">
        <v>1086712.4500000002</v>
      </c>
      <c r="Y383" s="28">
        <v>287147.36</v>
      </c>
      <c r="Z383" s="28">
        <v>624064.37999999977</v>
      </c>
      <c r="AA383" s="28">
        <v>487813.84</v>
      </c>
      <c r="AB383" s="28">
        <v>818373.27</v>
      </c>
      <c r="AC383" s="28">
        <v>1145620.17</v>
      </c>
      <c r="AD383" s="28">
        <v>2129053.54</v>
      </c>
      <c r="AE383" s="28">
        <v>316401.65999999997</v>
      </c>
      <c r="AF383" s="28">
        <v>15171727.359999999</v>
      </c>
      <c r="AG383" s="147"/>
      <c r="AH383" s="147"/>
      <c r="AI383" s="405">
        <v>569</v>
      </c>
      <c r="AJ383" s="460">
        <v>928.5</v>
      </c>
      <c r="AK383" s="417">
        <v>0.61280000000000001</v>
      </c>
      <c r="AL383" s="405">
        <v>10</v>
      </c>
      <c r="AM383" s="147"/>
    </row>
    <row r="384" spans="1:39">
      <c r="A384" s="71">
        <v>675</v>
      </c>
      <c r="B384" s="71" t="s">
        <v>1491</v>
      </c>
      <c r="C384" s="28">
        <v>14</v>
      </c>
      <c r="D384" s="28">
        <v>0</v>
      </c>
      <c r="E384" s="28">
        <v>131</v>
      </c>
      <c r="F384" s="28">
        <v>688</v>
      </c>
      <c r="G384" s="28">
        <v>377</v>
      </c>
      <c r="H384" s="28">
        <v>428</v>
      </c>
      <c r="I384" s="28">
        <v>0</v>
      </c>
      <c r="J384" s="28">
        <v>64</v>
      </c>
      <c r="K384" s="28">
        <v>16</v>
      </c>
      <c r="L384" s="28">
        <v>10</v>
      </c>
      <c r="M384" s="28">
        <v>1</v>
      </c>
      <c r="N384" s="28">
        <v>3</v>
      </c>
      <c r="O384" s="28">
        <v>169</v>
      </c>
      <c r="P384" s="516">
        <v>1631</v>
      </c>
      <c r="Q384" s="517">
        <v>1.04</v>
      </c>
      <c r="R384" s="6">
        <v>2</v>
      </c>
      <c r="S384" s="369">
        <v>0.1026</v>
      </c>
      <c r="T384" s="365"/>
      <c r="U384" s="28">
        <v>1040667.368</v>
      </c>
      <c r="V384" s="28">
        <v>1426026.8359999999</v>
      </c>
      <c r="W384" s="28">
        <v>7789162.7528000008</v>
      </c>
      <c r="X384" s="28">
        <v>1980607.7408</v>
      </c>
      <c r="Y384" s="28">
        <v>314270.82960000006</v>
      </c>
      <c r="Z384" s="28">
        <v>1048136.4600000001</v>
      </c>
      <c r="AA384" s="28">
        <v>706593.52399999998</v>
      </c>
      <c r="AB384" s="28">
        <v>604982.21679999994</v>
      </c>
      <c r="AC384" s="28">
        <v>2042833.7696000002</v>
      </c>
      <c r="AD384" s="28">
        <v>2995165.7199999997</v>
      </c>
      <c r="AE384" s="28">
        <v>562491.84</v>
      </c>
      <c r="AF384" s="28">
        <v>20510939.057600003</v>
      </c>
      <c r="AG384" s="147"/>
      <c r="AH384" s="147"/>
      <c r="AI384" s="405">
        <v>169</v>
      </c>
      <c r="AJ384" s="460">
        <v>1647.5</v>
      </c>
      <c r="AK384" s="417">
        <v>0.1026</v>
      </c>
      <c r="AL384" s="405">
        <v>2</v>
      </c>
      <c r="AM384" s="147"/>
    </row>
    <row r="385" spans="1:39">
      <c r="A385" s="71">
        <v>680</v>
      </c>
      <c r="B385" s="71" t="s">
        <v>1492</v>
      </c>
      <c r="C385" s="28">
        <v>77</v>
      </c>
      <c r="D385" s="28">
        <v>0</v>
      </c>
      <c r="E385" s="28">
        <v>189</v>
      </c>
      <c r="F385" s="28">
        <v>972</v>
      </c>
      <c r="G385" s="28">
        <v>623</v>
      </c>
      <c r="H385" s="28">
        <v>879</v>
      </c>
      <c r="I385" s="28">
        <v>62</v>
      </c>
      <c r="J385" s="28">
        <v>108</v>
      </c>
      <c r="K385" s="28">
        <v>27</v>
      </c>
      <c r="L385" s="28">
        <v>28</v>
      </c>
      <c r="M385" s="28">
        <v>9</v>
      </c>
      <c r="N385" s="28">
        <v>1</v>
      </c>
      <c r="O385" s="28">
        <v>706</v>
      </c>
      <c r="P385" s="516">
        <v>2764</v>
      </c>
      <c r="Q385" s="517">
        <v>1</v>
      </c>
      <c r="R385" s="6">
        <v>5</v>
      </c>
      <c r="S385" s="369">
        <v>0.25040000000000001</v>
      </c>
      <c r="T385" s="365"/>
      <c r="U385" s="28">
        <v>1725044.2</v>
      </c>
      <c r="V385" s="28">
        <v>2467168.2599999998</v>
      </c>
      <c r="W385" s="28">
        <v>14534221.209999999</v>
      </c>
      <c r="X385" s="28">
        <v>3147147.16</v>
      </c>
      <c r="Y385" s="28">
        <v>587108.23</v>
      </c>
      <c r="Z385" s="28">
        <v>1897584.68</v>
      </c>
      <c r="AA385" s="28">
        <v>1223340.3600000001</v>
      </c>
      <c r="AB385" s="28">
        <v>1370994.02</v>
      </c>
      <c r="AC385" s="28">
        <v>3400001.86</v>
      </c>
      <c r="AD385" s="28">
        <v>5322424.6000000006</v>
      </c>
      <c r="AE385" s="28">
        <v>949204.98</v>
      </c>
      <c r="AF385" s="28">
        <v>36624239.559999995</v>
      </c>
      <c r="AG385" s="147"/>
      <c r="AH385" s="147"/>
      <c r="AI385" s="405">
        <v>706</v>
      </c>
      <c r="AJ385" s="460">
        <v>2819.5</v>
      </c>
      <c r="AK385" s="417">
        <v>0.25040000000000001</v>
      </c>
      <c r="AL385" s="405">
        <v>5</v>
      </c>
      <c r="AM385" s="147"/>
    </row>
    <row r="386" spans="1:39">
      <c r="A386" s="71">
        <v>683</v>
      </c>
      <c r="B386" s="71" t="s">
        <v>1493</v>
      </c>
      <c r="C386" s="28">
        <v>0</v>
      </c>
      <c r="D386" s="28">
        <v>0</v>
      </c>
      <c r="E386" s="28">
        <v>0</v>
      </c>
      <c r="F386" s="28">
        <v>0</v>
      </c>
      <c r="G386" s="28">
        <v>240</v>
      </c>
      <c r="H386" s="28">
        <v>351</v>
      </c>
      <c r="I386" s="28">
        <v>0</v>
      </c>
      <c r="J386" s="28">
        <v>23</v>
      </c>
      <c r="K386" s="28">
        <v>6</v>
      </c>
      <c r="L386" s="28">
        <v>0</v>
      </c>
      <c r="M386" s="28">
        <v>4</v>
      </c>
      <c r="N386" s="28">
        <v>5</v>
      </c>
      <c r="O386" s="28">
        <v>161</v>
      </c>
      <c r="P386" s="516">
        <v>591</v>
      </c>
      <c r="Q386" s="517">
        <v>1</v>
      </c>
      <c r="R386" s="6">
        <v>4</v>
      </c>
      <c r="S386" s="369">
        <v>0.22900000000000001</v>
      </c>
      <c r="T386" s="365"/>
      <c r="U386" s="28">
        <v>369898.79000000004</v>
      </c>
      <c r="V386" s="28">
        <v>529178.94999999995</v>
      </c>
      <c r="W386" s="28">
        <v>3192950.03</v>
      </c>
      <c r="X386" s="28">
        <v>586772.9</v>
      </c>
      <c r="Y386" s="28">
        <v>127288.47</v>
      </c>
      <c r="Z386" s="28">
        <v>445860.08999999991</v>
      </c>
      <c r="AA386" s="28">
        <v>276300.71999999997</v>
      </c>
      <c r="AB386" s="28">
        <v>376131.1</v>
      </c>
      <c r="AC386" s="28">
        <v>731988.29999999993</v>
      </c>
      <c r="AD386" s="28">
        <v>1133228.4699999997</v>
      </c>
      <c r="AE386" s="28">
        <v>210934.44</v>
      </c>
      <c r="AF386" s="28">
        <v>7980532.2599999988</v>
      </c>
      <c r="AG386" s="147"/>
      <c r="AH386" s="147"/>
      <c r="AI386" s="405">
        <v>161</v>
      </c>
      <c r="AJ386" s="460">
        <v>703</v>
      </c>
      <c r="AK386" s="417">
        <v>0.22900000000000001</v>
      </c>
      <c r="AL386" s="405">
        <v>4</v>
      </c>
      <c r="AM386" s="147"/>
    </row>
    <row r="387" spans="1:39">
      <c r="A387" s="71">
        <v>685</v>
      </c>
      <c r="B387" s="71" t="s">
        <v>1494</v>
      </c>
      <c r="C387" s="28">
        <v>3</v>
      </c>
      <c r="D387" s="28">
        <v>0</v>
      </c>
      <c r="E387" s="28">
        <v>12</v>
      </c>
      <c r="F387" s="28">
        <v>58</v>
      </c>
      <c r="G387" s="28">
        <v>9</v>
      </c>
      <c r="H387" s="28">
        <v>0</v>
      </c>
      <c r="I387" s="28">
        <v>0</v>
      </c>
      <c r="J387" s="28">
        <v>3</v>
      </c>
      <c r="K387" s="28">
        <v>1</v>
      </c>
      <c r="L387" s="28">
        <v>0</v>
      </c>
      <c r="M387" s="28">
        <v>0</v>
      </c>
      <c r="N387" s="28">
        <v>0</v>
      </c>
      <c r="O387" s="28">
        <v>35</v>
      </c>
      <c r="P387" s="516">
        <v>81</v>
      </c>
      <c r="Q387" s="517">
        <v>1</v>
      </c>
      <c r="R387" s="6">
        <v>10</v>
      </c>
      <c r="S387" s="369">
        <v>0.63060000000000005</v>
      </c>
      <c r="T387" s="365"/>
      <c r="U387" s="28">
        <v>52492.13</v>
      </c>
      <c r="V387" s="28">
        <v>81262.62</v>
      </c>
      <c r="W387" s="28">
        <v>482247.6100000001</v>
      </c>
      <c r="X387" s="28">
        <v>102984.98999999999</v>
      </c>
      <c r="Y387" s="28">
        <v>21019.279999999999</v>
      </c>
      <c r="Z387" s="28">
        <v>45745.14</v>
      </c>
      <c r="AA387" s="28">
        <v>37079.620000000003</v>
      </c>
      <c r="AB387" s="28">
        <v>46113.49</v>
      </c>
      <c r="AC387" s="28">
        <v>94211.880000000019</v>
      </c>
      <c r="AD387" s="28">
        <v>170592.36</v>
      </c>
      <c r="AE387" s="28">
        <v>35155.74</v>
      </c>
      <c r="AF387" s="28">
        <v>1168904.8600000001</v>
      </c>
      <c r="AG387" s="147"/>
      <c r="AH387" s="147"/>
      <c r="AI387" s="405">
        <v>35</v>
      </c>
      <c r="AJ387" s="460">
        <v>55.5</v>
      </c>
      <c r="AK387" s="417">
        <v>0.63060000000000005</v>
      </c>
      <c r="AL387" s="405">
        <v>10</v>
      </c>
      <c r="AM387" s="147"/>
    </row>
    <row r="388" spans="1:39">
      <c r="A388" s="71">
        <v>690</v>
      </c>
      <c r="B388" s="71" t="s">
        <v>1495</v>
      </c>
      <c r="C388" s="28">
        <v>0</v>
      </c>
      <c r="D388" s="28">
        <v>0</v>
      </c>
      <c r="E388" s="28">
        <v>0</v>
      </c>
      <c r="F388" s="28">
        <v>0</v>
      </c>
      <c r="G388" s="28">
        <v>757</v>
      </c>
      <c r="H388" s="28">
        <v>1205</v>
      </c>
      <c r="I388" s="28">
        <v>0</v>
      </c>
      <c r="J388" s="28">
        <v>77</v>
      </c>
      <c r="K388" s="28">
        <v>20</v>
      </c>
      <c r="L388" s="28">
        <v>0</v>
      </c>
      <c r="M388" s="28">
        <v>3</v>
      </c>
      <c r="N388" s="28">
        <v>4</v>
      </c>
      <c r="O388" s="28">
        <v>348</v>
      </c>
      <c r="P388" s="516">
        <v>1962</v>
      </c>
      <c r="Q388" s="517">
        <v>1.0329999999999999</v>
      </c>
      <c r="R388" s="6">
        <v>4</v>
      </c>
      <c r="S388" s="369">
        <v>0.184</v>
      </c>
      <c r="T388" s="365"/>
      <c r="U388" s="28">
        <v>1255768.1337900001</v>
      </c>
      <c r="V388" s="28">
        <v>1751797.6273099999</v>
      </c>
      <c r="W388" s="28">
        <v>10419337.217910001</v>
      </c>
      <c r="X388" s="28">
        <v>2008804.5460999997</v>
      </c>
      <c r="Y388" s="28">
        <v>407792.80282000004</v>
      </c>
      <c r="Z388" s="28">
        <v>1485687.0099999998</v>
      </c>
      <c r="AA388" s="28">
        <v>924237.20675999986</v>
      </c>
      <c r="AB388" s="28">
        <v>1184449.8034600001</v>
      </c>
      <c r="AC388" s="28">
        <v>2502435.8578099995</v>
      </c>
      <c r="AD388" s="28">
        <v>3655381.6300000004</v>
      </c>
      <c r="AE388" s="28">
        <v>703114.79999999993</v>
      </c>
      <c r="AF388" s="28">
        <v>26298806.635959998</v>
      </c>
      <c r="AG388" s="147"/>
      <c r="AH388" s="147"/>
      <c r="AI388" s="405">
        <v>348</v>
      </c>
      <c r="AJ388" s="460">
        <v>1891</v>
      </c>
      <c r="AK388" s="417">
        <v>0.184</v>
      </c>
      <c r="AL388" s="405">
        <v>4</v>
      </c>
      <c r="AM388" s="147"/>
    </row>
    <row r="389" spans="1:39">
      <c r="A389" s="71">
        <v>695</v>
      </c>
      <c r="B389" s="71" t="s">
        <v>1496</v>
      </c>
      <c r="C389" s="28">
        <v>0</v>
      </c>
      <c r="D389" s="28">
        <v>0</v>
      </c>
      <c r="E389" s="28">
        <v>0</v>
      </c>
      <c r="F389" s="28">
        <v>0</v>
      </c>
      <c r="G389" s="28">
        <v>0</v>
      </c>
      <c r="H389" s="28">
        <v>1523</v>
      </c>
      <c r="I389" s="28">
        <v>0</v>
      </c>
      <c r="J389" s="28">
        <v>60</v>
      </c>
      <c r="K389" s="28">
        <v>15</v>
      </c>
      <c r="L389" s="28">
        <v>0</v>
      </c>
      <c r="M389" s="28">
        <v>0</v>
      </c>
      <c r="N389" s="28">
        <v>5</v>
      </c>
      <c r="O389" s="28">
        <v>151</v>
      </c>
      <c r="P389" s="516">
        <v>1523</v>
      </c>
      <c r="Q389" s="517">
        <v>1.002</v>
      </c>
      <c r="R389" s="6">
        <v>2</v>
      </c>
      <c r="S389" s="369">
        <v>0.1032</v>
      </c>
      <c r="T389" s="365"/>
      <c r="U389" s="28">
        <v>935940.39450000005</v>
      </c>
      <c r="V389" s="28">
        <v>1279533.4189199999</v>
      </c>
      <c r="W389" s="28">
        <v>8368221.5269799996</v>
      </c>
      <c r="X389" s="28">
        <v>1446974.73312</v>
      </c>
      <c r="Y389" s="28">
        <v>285629.52882000001</v>
      </c>
      <c r="Z389" s="28">
        <v>1340057.6000000001</v>
      </c>
      <c r="AA389" s="28">
        <v>705455.63508000004</v>
      </c>
      <c r="AB389" s="28">
        <v>1013471.4470999999</v>
      </c>
      <c r="AC389" s="28">
        <v>1864893.0313800001</v>
      </c>
      <c r="AD389" s="28">
        <v>2659037.83</v>
      </c>
      <c r="AE389" s="28">
        <v>527336.1</v>
      </c>
      <c r="AF389" s="28">
        <v>20426551.245900005</v>
      </c>
      <c r="AG389" s="147"/>
      <c r="AH389" s="147"/>
      <c r="AI389" s="405">
        <v>151</v>
      </c>
      <c r="AJ389" s="460">
        <v>1463</v>
      </c>
      <c r="AK389" s="417">
        <v>0.1032</v>
      </c>
      <c r="AL389" s="405">
        <v>2</v>
      </c>
      <c r="AM389" s="147"/>
    </row>
    <row r="390" spans="1:39">
      <c r="A390" s="71">
        <v>698</v>
      </c>
      <c r="B390" s="71" t="s">
        <v>1064</v>
      </c>
      <c r="C390" s="28">
        <v>10</v>
      </c>
      <c r="D390" s="28">
        <v>0</v>
      </c>
      <c r="E390" s="28">
        <v>74</v>
      </c>
      <c r="F390" s="28">
        <v>395</v>
      </c>
      <c r="G390" s="28">
        <v>258</v>
      </c>
      <c r="H390" s="28">
        <v>400</v>
      </c>
      <c r="I390" s="28">
        <v>0</v>
      </c>
      <c r="J390" s="28">
        <v>44</v>
      </c>
      <c r="K390" s="28">
        <v>11</v>
      </c>
      <c r="L390" s="28">
        <v>3</v>
      </c>
      <c r="M390" s="28">
        <v>1</v>
      </c>
      <c r="N390" s="28">
        <v>0</v>
      </c>
      <c r="O390" s="28">
        <v>186</v>
      </c>
      <c r="P390" s="516">
        <v>1132</v>
      </c>
      <c r="Q390" s="517">
        <v>1.0429999999999999</v>
      </c>
      <c r="R390" s="6">
        <v>3</v>
      </c>
      <c r="S390" s="369">
        <v>0.15740000000000001</v>
      </c>
      <c r="T390" s="365"/>
      <c r="U390" s="28">
        <v>726576.01589999988</v>
      </c>
      <c r="V390" s="28">
        <v>1013499.9653099999</v>
      </c>
      <c r="W390" s="28">
        <v>5743684.5386200007</v>
      </c>
      <c r="X390" s="28">
        <v>1333234.0767899996</v>
      </c>
      <c r="Y390" s="28">
        <v>229422.83790999994</v>
      </c>
      <c r="Z390" s="28">
        <v>761205.29</v>
      </c>
      <c r="AA390" s="28">
        <v>507729.44830999995</v>
      </c>
      <c r="AB390" s="28">
        <v>514839.96521999995</v>
      </c>
      <c r="AC390" s="28">
        <v>1423667.0163099999</v>
      </c>
      <c r="AD390" s="28">
        <v>2101470.65</v>
      </c>
      <c r="AE390" s="28">
        <v>386713.13999999996</v>
      </c>
      <c r="AF390" s="28">
        <v>14742042.944370003</v>
      </c>
      <c r="AG390" s="147"/>
      <c r="AH390" s="147"/>
      <c r="AI390" s="405">
        <v>186</v>
      </c>
      <c r="AJ390" s="460">
        <v>1181.5</v>
      </c>
      <c r="AK390" s="417">
        <v>0.15740000000000001</v>
      </c>
      <c r="AL390" s="405">
        <v>3</v>
      </c>
      <c r="AM390" s="147"/>
    </row>
    <row r="391" spans="1:39">
      <c r="A391" s="71">
        <v>700</v>
      </c>
      <c r="B391" s="71" t="s">
        <v>1497</v>
      </c>
      <c r="C391" s="28">
        <v>0</v>
      </c>
      <c r="D391" s="28">
        <v>0</v>
      </c>
      <c r="E391" s="28">
        <v>0</v>
      </c>
      <c r="F391" s="28">
        <v>0</v>
      </c>
      <c r="G391" s="28">
        <v>0</v>
      </c>
      <c r="H391" s="28">
        <v>525</v>
      </c>
      <c r="I391" s="28">
        <v>268</v>
      </c>
      <c r="J391" s="28">
        <v>34</v>
      </c>
      <c r="K391" s="28">
        <v>5</v>
      </c>
      <c r="L391" s="28">
        <v>0</v>
      </c>
      <c r="M391" s="28">
        <v>0</v>
      </c>
      <c r="N391" s="28">
        <v>111</v>
      </c>
      <c r="O391" s="28">
        <v>309</v>
      </c>
      <c r="P391" s="516">
        <v>793</v>
      </c>
      <c r="Q391" s="517">
        <v>1</v>
      </c>
      <c r="R391" s="6">
        <v>8</v>
      </c>
      <c r="S391" s="369">
        <v>0.43459999999999999</v>
      </c>
      <c r="T391" s="365"/>
      <c r="U391" s="28">
        <v>519822.25</v>
      </c>
      <c r="V391" s="28">
        <v>791221.89</v>
      </c>
      <c r="W391" s="28">
        <v>6445423.25</v>
      </c>
      <c r="X391" s="28">
        <v>802122.76</v>
      </c>
      <c r="Y391" s="28">
        <v>232146.33999999997</v>
      </c>
      <c r="Z391" s="28">
        <v>896480.46000000008</v>
      </c>
      <c r="AA391" s="28">
        <v>417317.98000000004</v>
      </c>
      <c r="AB391" s="28">
        <v>740148.13</v>
      </c>
      <c r="AC391" s="28">
        <v>1273169.21</v>
      </c>
      <c r="AD391" s="28">
        <v>1732203.1</v>
      </c>
      <c r="AE391" s="28">
        <v>175778.69999999998</v>
      </c>
      <c r="AF391" s="28">
        <v>14025834.070000002</v>
      </c>
      <c r="AG391" s="147"/>
      <c r="AH391" s="147"/>
      <c r="AI391" s="405">
        <v>309</v>
      </c>
      <c r="AJ391" s="460">
        <v>711</v>
      </c>
      <c r="AK391" s="417">
        <v>0.43459999999999999</v>
      </c>
      <c r="AL391" s="405">
        <v>8</v>
      </c>
      <c r="AM391" s="147"/>
    </row>
    <row r="392" spans="1:39">
      <c r="A392" s="71">
        <v>705</v>
      </c>
      <c r="B392" s="71" t="s">
        <v>1498</v>
      </c>
      <c r="C392" s="28">
        <v>0</v>
      </c>
      <c r="D392" s="28">
        <v>0</v>
      </c>
      <c r="E392" s="28">
        <v>0</v>
      </c>
      <c r="F392" s="28">
        <v>0</v>
      </c>
      <c r="G392" s="28">
        <v>567</v>
      </c>
      <c r="H392" s="28">
        <v>1009</v>
      </c>
      <c r="I392" s="28">
        <v>0</v>
      </c>
      <c r="J392" s="28">
        <v>62</v>
      </c>
      <c r="K392" s="28">
        <v>16</v>
      </c>
      <c r="L392" s="28">
        <v>0</v>
      </c>
      <c r="M392" s="28">
        <v>0</v>
      </c>
      <c r="N392" s="28">
        <v>4</v>
      </c>
      <c r="O392" s="28">
        <v>199</v>
      </c>
      <c r="P392" s="516">
        <v>1576</v>
      </c>
      <c r="Q392" s="517">
        <v>1.0489999999999999</v>
      </c>
      <c r="R392" s="6">
        <v>3</v>
      </c>
      <c r="S392" s="369">
        <v>0.12920000000000001</v>
      </c>
      <c r="T392" s="365"/>
      <c r="U392" s="28">
        <v>1018493.2022899998</v>
      </c>
      <c r="V392" s="28">
        <v>1400769.2997499998</v>
      </c>
      <c r="W392" s="28">
        <v>8292828.4736099988</v>
      </c>
      <c r="X392" s="28">
        <v>1634784.2269299997</v>
      </c>
      <c r="Y392" s="28">
        <v>319226.26715999999</v>
      </c>
      <c r="Z392" s="28">
        <v>1204554.6999999997</v>
      </c>
      <c r="AA392" s="28">
        <v>744594.34051999985</v>
      </c>
      <c r="AB392" s="28">
        <v>923756.68005999993</v>
      </c>
      <c r="AC392" s="28">
        <v>2039738.9910699998</v>
      </c>
      <c r="AD392" s="28">
        <v>2884063.5600000005</v>
      </c>
      <c r="AE392" s="28">
        <v>562491.84</v>
      </c>
      <c r="AF392" s="28">
        <v>21025301.581389997</v>
      </c>
      <c r="AG392" s="147"/>
      <c r="AH392" s="147"/>
      <c r="AI392" s="405">
        <v>199</v>
      </c>
      <c r="AJ392" s="460">
        <v>1540</v>
      </c>
      <c r="AK392" s="417">
        <v>0.12920000000000001</v>
      </c>
      <c r="AL392" s="405">
        <v>3</v>
      </c>
      <c r="AM392" s="147"/>
    </row>
    <row r="393" spans="1:39">
      <c r="A393" s="71">
        <v>710</v>
      </c>
      <c r="B393" s="71" t="s">
        <v>1499</v>
      </c>
      <c r="C393" s="28">
        <v>49</v>
      </c>
      <c r="D393" s="28">
        <v>0</v>
      </c>
      <c r="E393" s="28">
        <v>158</v>
      </c>
      <c r="F393" s="28">
        <v>796</v>
      </c>
      <c r="G393" s="28">
        <v>439</v>
      </c>
      <c r="H393" s="28">
        <v>559</v>
      </c>
      <c r="I393" s="28">
        <v>0</v>
      </c>
      <c r="J393" s="28">
        <v>77</v>
      </c>
      <c r="K393" s="28">
        <v>20</v>
      </c>
      <c r="L393" s="28">
        <v>61</v>
      </c>
      <c r="M393" s="28">
        <v>14</v>
      </c>
      <c r="N393" s="28">
        <v>8</v>
      </c>
      <c r="O393" s="28">
        <v>356</v>
      </c>
      <c r="P393" s="516">
        <v>1977</v>
      </c>
      <c r="Q393" s="517">
        <v>1</v>
      </c>
      <c r="R393" s="6">
        <v>3</v>
      </c>
      <c r="S393" s="369">
        <v>0.17230000000000001</v>
      </c>
      <c r="T393" s="365"/>
      <c r="U393" s="28">
        <v>1230358.67</v>
      </c>
      <c r="V393" s="28">
        <v>1720803.9599999995</v>
      </c>
      <c r="W393" s="28">
        <v>9663763.6399999987</v>
      </c>
      <c r="X393" s="28">
        <v>2305051.3200000003</v>
      </c>
      <c r="Y393" s="28">
        <v>391555.98</v>
      </c>
      <c r="Z393" s="28">
        <v>1295652.5399999998</v>
      </c>
      <c r="AA393" s="28">
        <v>849555.95000000007</v>
      </c>
      <c r="AB393" s="28">
        <v>816748.51999999979</v>
      </c>
      <c r="AC393" s="28">
        <v>2401496.86</v>
      </c>
      <c r="AD393" s="28">
        <v>3720651.8000000003</v>
      </c>
      <c r="AE393" s="28">
        <v>703114.79999999993</v>
      </c>
      <c r="AF393" s="28">
        <v>25098754.039999999</v>
      </c>
      <c r="AG393" s="147"/>
      <c r="AH393" s="147"/>
      <c r="AI393" s="405">
        <v>356</v>
      </c>
      <c r="AJ393" s="460">
        <v>2066.5</v>
      </c>
      <c r="AK393" s="417">
        <v>0.17230000000000001</v>
      </c>
      <c r="AL393" s="405">
        <v>3</v>
      </c>
      <c r="AM393" s="147"/>
    </row>
    <row r="394" spans="1:39">
      <c r="A394" s="71">
        <v>712</v>
      </c>
      <c r="B394" s="71" t="s">
        <v>1068</v>
      </c>
      <c r="C394" s="28">
        <v>66</v>
      </c>
      <c r="D394" s="28">
        <v>0</v>
      </c>
      <c r="E394" s="28">
        <v>82</v>
      </c>
      <c r="F394" s="28">
        <v>520</v>
      </c>
      <c r="G394" s="28">
        <v>428</v>
      </c>
      <c r="H394" s="28">
        <v>552</v>
      </c>
      <c r="I394" s="28">
        <v>0</v>
      </c>
      <c r="J394" s="28">
        <v>62</v>
      </c>
      <c r="K394" s="28">
        <v>16</v>
      </c>
      <c r="L394" s="28">
        <v>44</v>
      </c>
      <c r="M394" s="28">
        <v>17</v>
      </c>
      <c r="N394" s="28">
        <v>21</v>
      </c>
      <c r="O394" s="28">
        <v>747</v>
      </c>
      <c r="P394" s="516">
        <v>1615</v>
      </c>
      <c r="Q394" s="517">
        <v>1</v>
      </c>
      <c r="R394" s="6">
        <v>8</v>
      </c>
      <c r="S394" s="369">
        <v>0.42409999999999998</v>
      </c>
      <c r="T394" s="365"/>
      <c r="U394" s="28">
        <v>1048637.92</v>
      </c>
      <c r="V394" s="28">
        <v>1625194.6999999997</v>
      </c>
      <c r="W394" s="28">
        <v>10090298.389999999</v>
      </c>
      <c r="X394" s="28">
        <v>1823049.46</v>
      </c>
      <c r="Y394" s="28">
        <v>424227.1</v>
      </c>
      <c r="Z394" s="28">
        <v>1106996.9000000001</v>
      </c>
      <c r="AA394" s="28">
        <v>789876.81</v>
      </c>
      <c r="AB394" s="28">
        <v>1162724.0499999998</v>
      </c>
      <c r="AC394" s="28">
        <v>1975662.9899999998</v>
      </c>
      <c r="AD394" s="28">
        <v>3401638.9100000006</v>
      </c>
      <c r="AE394" s="28">
        <v>562491.84</v>
      </c>
      <c r="AF394" s="28">
        <v>24010799.069999997</v>
      </c>
      <c r="AG394" s="147"/>
      <c r="AH394" s="147"/>
      <c r="AI394" s="405">
        <v>747</v>
      </c>
      <c r="AJ394" s="460">
        <v>1761.5</v>
      </c>
      <c r="AK394" s="417">
        <v>0.42409999999999998</v>
      </c>
      <c r="AL394" s="405">
        <v>8</v>
      </c>
      <c r="AM394" s="147"/>
    </row>
    <row r="395" spans="1:39">
      <c r="A395" s="71">
        <v>715</v>
      </c>
      <c r="B395" s="71" t="s">
        <v>1500</v>
      </c>
      <c r="C395" s="28">
        <v>55</v>
      </c>
      <c r="D395" s="28">
        <v>0</v>
      </c>
      <c r="E395" s="28">
        <v>72</v>
      </c>
      <c r="F395" s="28">
        <v>404</v>
      </c>
      <c r="G395" s="28">
        <v>281</v>
      </c>
      <c r="H395" s="28">
        <v>322</v>
      </c>
      <c r="I395" s="28">
        <v>0</v>
      </c>
      <c r="J395" s="28">
        <v>42</v>
      </c>
      <c r="K395" s="28">
        <v>11</v>
      </c>
      <c r="L395" s="28">
        <v>30</v>
      </c>
      <c r="M395" s="28">
        <v>2</v>
      </c>
      <c r="N395" s="28">
        <v>3</v>
      </c>
      <c r="O395" s="28">
        <v>361</v>
      </c>
      <c r="P395" s="516">
        <v>1107</v>
      </c>
      <c r="Q395" s="517">
        <v>1</v>
      </c>
      <c r="R395" s="6">
        <v>6</v>
      </c>
      <c r="S395" s="369">
        <v>0.30270000000000002</v>
      </c>
      <c r="T395" s="365"/>
      <c r="U395" s="28">
        <v>697419.73999999987</v>
      </c>
      <c r="V395" s="28">
        <v>1027933.6599999999</v>
      </c>
      <c r="W395" s="28">
        <v>6029822.0800000001</v>
      </c>
      <c r="X395" s="28">
        <v>1264655.1000000001</v>
      </c>
      <c r="Y395" s="28">
        <v>250182.88000000003</v>
      </c>
      <c r="Z395" s="28">
        <v>730975.38</v>
      </c>
      <c r="AA395" s="28">
        <v>502762.4</v>
      </c>
      <c r="AB395" s="28">
        <v>602151.22</v>
      </c>
      <c r="AC395" s="28">
        <v>1340117.8299999998</v>
      </c>
      <c r="AD395" s="28">
        <v>2189278.71</v>
      </c>
      <c r="AE395" s="28">
        <v>386713.13999999996</v>
      </c>
      <c r="AF395" s="28">
        <v>15022012.140000004</v>
      </c>
      <c r="AG395" s="147"/>
      <c r="AH395" s="147"/>
      <c r="AI395" s="405">
        <v>361</v>
      </c>
      <c r="AJ395" s="460">
        <v>1192.5</v>
      </c>
      <c r="AK395" s="417">
        <v>0.30270000000000002</v>
      </c>
      <c r="AL395" s="405">
        <v>6</v>
      </c>
      <c r="AM395" s="147"/>
    </row>
    <row r="396" spans="1:39">
      <c r="A396" s="71">
        <v>717</v>
      </c>
      <c r="B396" s="71" t="s">
        <v>1501</v>
      </c>
      <c r="C396" s="28">
        <v>48</v>
      </c>
      <c r="D396" s="28">
        <v>0</v>
      </c>
      <c r="E396" s="28">
        <v>50</v>
      </c>
      <c r="F396" s="28">
        <v>297</v>
      </c>
      <c r="G396" s="28">
        <v>235</v>
      </c>
      <c r="H396" s="28">
        <v>174</v>
      </c>
      <c r="I396" s="28">
        <v>0</v>
      </c>
      <c r="J396" s="28">
        <v>30</v>
      </c>
      <c r="K396" s="28">
        <v>8</v>
      </c>
      <c r="L396" s="28">
        <v>3</v>
      </c>
      <c r="M396" s="28">
        <v>1</v>
      </c>
      <c r="N396" s="28">
        <v>0</v>
      </c>
      <c r="O396" s="28">
        <v>398</v>
      </c>
      <c r="P396" s="516">
        <v>780</v>
      </c>
      <c r="Q396" s="517">
        <v>1</v>
      </c>
      <c r="R396" s="6">
        <v>9</v>
      </c>
      <c r="S396" s="369">
        <v>0.50380000000000003</v>
      </c>
      <c r="T396" s="365"/>
      <c r="U396" s="28">
        <v>509011.73</v>
      </c>
      <c r="V396" s="28">
        <v>803860.12999999989</v>
      </c>
      <c r="W396" s="28">
        <v>4965087.8499999996</v>
      </c>
      <c r="X396" s="28">
        <v>901548.43</v>
      </c>
      <c r="Y396" s="28">
        <v>214907.52999999997</v>
      </c>
      <c r="Z396" s="28">
        <v>501484.9</v>
      </c>
      <c r="AA396" s="28">
        <v>382855.19999999995</v>
      </c>
      <c r="AB396" s="28">
        <v>574962.04</v>
      </c>
      <c r="AC396" s="28">
        <v>939451.81</v>
      </c>
      <c r="AD396" s="28">
        <v>1685685.3699999999</v>
      </c>
      <c r="AE396" s="28">
        <v>281245.92</v>
      </c>
      <c r="AF396" s="28">
        <v>11760100.909999998</v>
      </c>
      <c r="AG396" s="147"/>
      <c r="AH396" s="147"/>
      <c r="AI396" s="405">
        <v>398</v>
      </c>
      <c r="AJ396" s="460">
        <v>790</v>
      </c>
      <c r="AK396" s="417">
        <v>0.50380000000000003</v>
      </c>
      <c r="AL396" s="405">
        <v>9</v>
      </c>
      <c r="AM396" s="147"/>
    </row>
    <row r="397" spans="1:39">
      <c r="A397" s="71">
        <v>720</v>
      </c>
      <c r="B397" s="71" t="s">
        <v>1502</v>
      </c>
      <c r="C397" s="28">
        <v>15</v>
      </c>
      <c r="D397" s="28">
        <v>0</v>
      </c>
      <c r="E397" s="28">
        <v>100</v>
      </c>
      <c r="F397" s="28">
        <v>553</v>
      </c>
      <c r="G397" s="28">
        <v>314</v>
      </c>
      <c r="H397" s="28">
        <v>355</v>
      </c>
      <c r="I397" s="28">
        <v>0</v>
      </c>
      <c r="J397" s="28">
        <v>52</v>
      </c>
      <c r="K397" s="28">
        <v>13</v>
      </c>
      <c r="L397" s="28">
        <v>7</v>
      </c>
      <c r="M397" s="28">
        <v>2</v>
      </c>
      <c r="N397" s="28">
        <v>3</v>
      </c>
      <c r="O397" s="28">
        <v>588</v>
      </c>
      <c r="P397" s="516">
        <v>1330</v>
      </c>
      <c r="Q397" s="517">
        <v>1</v>
      </c>
      <c r="R397" s="6">
        <v>7</v>
      </c>
      <c r="S397" s="369">
        <v>0.4158</v>
      </c>
      <c r="T397" s="365"/>
      <c r="U397" s="28">
        <v>853317.14</v>
      </c>
      <c r="V397" s="28">
        <v>1299069.6500000001</v>
      </c>
      <c r="W397" s="28">
        <v>7877120.3900000006</v>
      </c>
      <c r="X397" s="28">
        <v>1546790.2500000002</v>
      </c>
      <c r="Y397" s="28">
        <v>332230.72000000003</v>
      </c>
      <c r="Z397" s="28">
        <v>869542.03000000014</v>
      </c>
      <c r="AA397" s="28">
        <v>626160.61</v>
      </c>
      <c r="AB397" s="28">
        <v>850117.1</v>
      </c>
      <c r="AC397" s="28">
        <v>1601723.44</v>
      </c>
      <c r="AD397" s="28">
        <v>2743730.8699999996</v>
      </c>
      <c r="AE397" s="28">
        <v>457024.62</v>
      </c>
      <c r="AF397" s="28">
        <v>19056826.82</v>
      </c>
      <c r="AG397" s="147"/>
      <c r="AH397" s="147"/>
      <c r="AI397" s="405">
        <v>588</v>
      </c>
      <c r="AJ397" s="460">
        <v>1414</v>
      </c>
      <c r="AK397" s="417">
        <v>0.4158</v>
      </c>
      <c r="AL397" s="405">
        <v>7</v>
      </c>
      <c r="AM397" s="147"/>
    </row>
    <row r="398" spans="1:39">
      <c r="A398" s="71">
        <v>725</v>
      </c>
      <c r="B398" s="71" t="s">
        <v>1503</v>
      </c>
      <c r="C398" s="28">
        <v>75</v>
      </c>
      <c r="D398" s="28">
        <v>16</v>
      </c>
      <c r="E398" s="28">
        <v>191</v>
      </c>
      <c r="F398" s="28">
        <v>1186</v>
      </c>
      <c r="G398" s="28">
        <v>754</v>
      </c>
      <c r="H398" s="28">
        <v>901</v>
      </c>
      <c r="I398" s="28">
        <v>0</v>
      </c>
      <c r="J398" s="28">
        <v>119</v>
      </c>
      <c r="K398" s="28">
        <v>30</v>
      </c>
      <c r="L398" s="28">
        <v>50</v>
      </c>
      <c r="M398" s="28">
        <v>9</v>
      </c>
      <c r="N398" s="28">
        <v>15</v>
      </c>
      <c r="O398" s="28">
        <v>435</v>
      </c>
      <c r="P398" s="516">
        <v>3078</v>
      </c>
      <c r="Q398" s="517">
        <v>1.04</v>
      </c>
      <c r="R398" s="6">
        <v>3</v>
      </c>
      <c r="S398" s="369">
        <v>0.1444</v>
      </c>
      <c r="T398" s="365"/>
      <c r="U398" s="28">
        <v>1971095.2871999999</v>
      </c>
      <c r="V398" s="28">
        <v>2739482.6679999991</v>
      </c>
      <c r="W398" s="28">
        <v>15213128.216000004</v>
      </c>
      <c r="X398" s="28">
        <v>3680730.3103999998</v>
      </c>
      <c r="Y398" s="28">
        <v>614570.59039999987</v>
      </c>
      <c r="Z398" s="28">
        <v>2016649.58</v>
      </c>
      <c r="AA398" s="28">
        <v>1361228.5232000002</v>
      </c>
      <c r="AB398" s="28">
        <v>1271801.7727999999</v>
      </c>
      <c r="AC398" s="28">
        <v>3874335.2856000001</v>
      </c>
      <c r="AD398" s="28">
        <v>5719222.290000001</v>
      </c>
      <c r="AE398" s="28">
        <v>1054672.2</v>
      </c>
      <c r="AF398" s="28">
        <v>39516916.723600008</v>
      </c>
      <c r="AG398" s="147"/>
      <c r="AH398" s="147"/>
      <c r="AI398" s="405">
        <v>435</v>
      </c>
      <c r="AJ398" s="460">
        <v>3013.5</v>
      </c>
      <c r="AK398" s="417">
        <v>0.1444</v>
      </c>
      <c r="AL398" s="405">
        <v>3</v>
      </c>
      <c r="AM398" s="147"/>
    </row>
    <row r="399" spans="1:39">
      <c r="A399" s="71">
        <v>728</v>
      </c>
      <c r="B399" s="71" t="s">
        <v>1504</v>
      </c>
      <c r="C399" s="28">
        <v>18</v>
      </c>
      <c r="D399" s="28">
        <v>0</v>
      </c>
      <c r="E399" s="28">
        <v>10</v>
      </c>
      <c r="F399" s="28">
        <v>75</v>
      </c>
      <c r="G399" s="28">
        <v>18</v>
      </c>
      <c r="H399" s="28">
        <v>0</v>
      </c>
      <c r="I399" s="28">
        <v>0</v>
      </c>
      <c r="J399" s="28">
        <v>4</v>
      </c>
      <c r="K399" s="28">
        <v>1</v>
      </c>
      <c r="L399" s="28">
        <v>0</v>
      </c>
      <c r="M399" s="28">
        <v>0</v>
      </c>
      <c r="N399" s="28">
        <v>0</v>
      </c>
      <c r="O399" s="28">
        <v>56</v>
      </c>
      <c r="P399" s="516">
        <v>112</v>
      </c>
      <c r="Q399" s="517">
        <v>1</v>
      </c>
      <c r="R399" s="6">
        <v>8</v>
      </c>
      <c r="S399" s="369">
        <v>0.4375</v>
      </c>
      <c r="T399" s="365"/>
      <c r="U399" s="28">
        <v>71081.609999999986</v>
      </c>
      <c r="V399" s="28">
        <v>113230.7</v>
      </c>
      <c r="W399" s="28">
        <v>668393.54</v>
      </c>
      <c r="X399" s="28">
        <v>140139.47999999998</v>
      </c>
      <c r="Y399" s="28">
        <v>29306.06</v>
      </c>
      <c r="Z399" s="28">
        <v>63583.170000000006</v>
      </c>
      <c r="AA399" s="28">
        <v>51819.59</v>
      </c>
      <c r="AB399" s="28">
        <v>65054.840000000004</v>
      </c>
      <c r="AC399" s="28">
        <v>130951.38999999998</v>
      </c>
      <c r="AD399" s="28">
        <v>237513.56</v>
      </c>
      <c r="AE399" s="28">
        <v>35155.74</v>
      </c>
      <c r="AF399" s="28">
        <v>1606229.6800000002</v>
      </c>
      <c r="AG399" s="147"/>
      <c r="AH399" s="147"/>
      <c r="AI399" s="405">
        <v>56</v>
      </c>
      <c r="AJ399" s="460">
        <v>128</v>
      </c>
      <c r="AK399" s="417">
        <v>0.4375</v>
      </c>
      <c r="AL399" s="405">
        <v>8</v>
      </c>
      <c r="AM399" s="147"/>
    </row>
    <row r="400" spans="1:39">
      <c r="A400" s="71">
        <v>730</v>
      </c>
      <c r="B400" s="71" t="s">
        <v>1505</v>
      </c>
      <c r="C400" s="28">
        <v>0</v>
      </c>
      <c r="D400" s="28">
        <v>0</v>
      </c>
      <c r="E400" s="28">
        <v>0</v>
      </c>
      <c r="F400" s="28">
        <v>0</v>
      </c>
      <c r="G400" s="28">
        <v>0</v>
      </c>
      <c r="H400" s="28">
        <v>1223</v>
      </c>
      <c r="I400" s="28">
        <v>0</v>
      </c>
      <c r="J400" s="28">
        <v>48</v>
      </c>
      <c r="K400" s="28">
        <v>12</v>
      </c>
      <c r="L400" s="28">
        <v>0</v>
      </c>
      <c r="M400" s="28">
        <v>0</v>
      </c>
      <c r="N400" s="28">
        <v>26</v>
      </c>
      <c r="O400" s="28">
        <v>193</v>
      </c>
      <c r="P400" s="516">
        <v>1223</v>
      </c>
      <c r="Q400" s="517">
        <v>1</v>
      </c>
      <c r="R400" s="6">
        <v>3</v>
      </c>
      <c r="S400" s="369">
        <v>0.16109999999999999</v>
      </c>
      <c r="T400" s="365"/>
      <c r="U400" s="28">
        <v>756807.79999999993</v>
      </c>
      <c r="V400" s="28">
        <v>1052451.8099999998</v>
      </c>
      <c r="W400" s="28">
        <v>6954785.6999999993</v>
      </c>
      <c r="X400" s="28">
        <v>1162777.3100000003</v>
      </c>
      <c r="Y400" s="28">
        <v>240694.22000000003</v>
      </c>
      <c r="Z400" s="28">
        <v>1081106.83</v>
      </c>
      <c r="AA400" s="28">
        <v>576203.49</v>
      </c>
      <c r="AB400" s="28">
        <v>858371.89999999991</v>
      </c>
      <c r="AC400" s="28">
        <v>1502292.87</v>
      </c>
      <c r="AD400" s="28">
        <v>2179563.2600000002</v>
      </c>
      <c r="AE400" s="28">
        <v>421868.88</v>
      </c>
      <c r="AF400" s="28">
        <v>16786924.07</v>
      </c>
      <c r="AG400" s="147"/>
      <c r="AH400" s="147"/>
      <c r="AI400" s="405">
        <v>193</v>
      </c>
      <c r="AJ400" s="460">
        <v>1198</v>
      </c>
      <c r="AK400" s="417">
        <v>0.16109999999999999</v>
      </c>
      <c r="AL400" s="405">
        <v>3</v>
      </c>
      <c r="AM400" s="147"/>
    </row>
    <row r="401" spans="1:39">
      <c r="A401" s="71">
        <v>735</v>
      </c>
      <c r="B401" s="71" t="s">
        <v>1506</v>
      </c>
      <c r="C401" s="28">
        <v>95</v>
      </c>
      <c r="D401" s="28">
        <v>0</v>
      </c>
      <c r="E401" s="28">
        <v>254</v>
      </c>
      <c r="F401" s="28">
        <v>1220</v>
      </c>
      <c r="G401" s="28">
        <v>744</v>
      </c>
      <c r="H401" s="28">
        <v>833</v>
      </c>
      <c r="I401" s="28">
        <v>0</v>
      </c>
      <c r="J401" s="28">
        <v>120</v>
      </c>
      <c r="K401" s="28">
        <v>31</v>
      </c>
      <c r="L401" s="28">
        <v>67</v>
      </c>
      <c r="M401" s="28">
        <v>5</v>
      </c>
      <c r="N401" s="28">
        <v>7</v>
      </c>
      <c r="O401" s="28">
        <v>939</v>
      </c>
      <c r="P401" s="516">
        <v>3099</v>
      </c>
      <c r="Q401" s="517">
        <v>1</v>
      </c>
      <c r="R401" s="6">
        <v>6</v>
      </c>
      <c r="S401" s="369">
        <v>0.31180000000000002</v>
      </c>
      <c r="T401" s="365"/>
      <c r="U401" s="28">
        <v>1953721.81</v>
      </c>
      <c r="V401" s="28">
        <v>2849971.0699999994</v>
      </c>
      <c r="W401" s="28">
        <v>16585501.329999998</v>
      </c>
      <c r="X401" s="28">
        <v>3598110.84</v>
      </c>
      <c r="Y401" s="28">
        <v>687909.3600000001</v>
      </c>
      <c r="Z401" s="28">
        <v>2021324.01</v>
      </c>
      <c r="AA401" s="28">
        <v>1390208.5100000002</v>
      </c>
      <c r="AB401" s="28">
        <v>1598482.9000000001</v>
      </c>
      <c r="AC401" s="28">
        <v>3747193.12</v>
      </c>
      <c r="AD401" s="28">
        <v>6093903.0099999998</v>
      </c>
      <c r="AE401" s="28">
        <v>1089827.94</v>
      </c>
      <c r="AF401" s="28">
        <v>41616153.899999991</v>
      </c>
      <c r="AG401" s="147"/>
      <c r="AH401" s="147"/>
      <c r="AI401" s="405">
        <v>939</v>
      </c>
      <c r="AJ401" s="460">
        <v>3011.5</v>
      </c>
      <c r="AK401" s="417">
        <v>0.31180000000000002</v>
      </c>
      <c r="AL401" s="405">
        <v>6</v>
      </c>
      <c r="AM401" s="147"/>
    </row>
    <row r="402" spans="1:39">
      <c r="A402" s="71">
        <v>740</v>
      </c>
      <c r="B402" s="71" t="s">
        <v>1507</v>
      </c>
      <c r="C402" s="28">
        <v>0</v>
      </c>
      <c r="D402" s="28">
        <v>0</v>
      </c>
      <c r="E402" s="28">
        <v>0</v>
      </c>
      <c r="F402" s="28">
        <v>0</v>
      </c>
      <c r="G402" s="28">
        <v>399</v>
      </c>
      <c r="H402" s="28">
        <v>487</v>
      </c>
      <c r="I402" s="28">
        <v>63</v>
      </c>
      <c r="J402" s="28">
        <v>38</v>
      </c>
      <c r="K402" s="28">
        <v>9</v>
      </c>
      <c r="L402" s="28">
        <v>0</v>
      </c>
      <c r="M402" s="28">
        <v>0</v>
      </c>
      <c r="N402" s="28">
        <v>3</v>
      </c>
      <c r="O402" s="28">
        <v>289</v>
      </c>
      <c r="P402" s="516">
        <v>949</v>
      </c>
      <c r="Q402" s="517">
        <v>1</v>
      </c>
      <c r="R402" s="6">
        <v>5</v>
      </c>
      <c r="S402" s="369">
        <v>0.27500000000000002</v>
      </c>
      <c r="T402" s="365"/>
      <c r="U402" s="28">
        <v>596176.92999999982</v>
      </c>
      <c r="V402" s="28">
        <v>859851.65999999992</v>
      </c>
      <c r="W402" s="28">
        <v>5434650.3599999994</v>
      </c>
      <c r="X402" s="28">
        <v>951482.33000000019</v>
      </c>
      <c r="Y402" s="28">
        <v>216600.94000000003</v>
      </c>
      <c r="Z402" s="28">
        <v>751827.51</v>
      </c>
      <c r="AA402" s="28">
        <v>447008.56</v>
      </c>
      <c r="AB402" s="28">
        <v>624750.71</v>
      </c>
      <c r="AC402" s="28">
        <v>1234906.3999999999</v>
      </c>
      <c r="AD402" s="28">
        <v>1873164.5799999998</v>
      </c>
      <c r="AE402" s="28">
        <v>316401.65999999997</v>
      </c>
      <c r="AF402" s="28">
        <v>13306821.640000001</v>
      </c>
      <c r="AG402" s="147"/>
      <c r="AH402" s="147"/>
      <c r="AI402" s="405">
        <v>289</v>
      </c>
      <c r="AJ402" s="460">
        <v>1051</v>
      </c>
      <c r="AK402" s="417">
        <v>0.27500000000000002</v>
      </c>
      <c r="AL402" s="405">
        <v>5</v>
      </c>
      <c r="AM402" s="147"/>
    </row>
    <row r="403" spans="1:39">
      <c r="A403" s="71">
        <v>745</v>
      </c>
      <c r="B403" s="71" t="s">
        <v>1508</v>
      </c>
      <c r="C403" s="28">
        <v>103</v>
      </c>
      <c r="D403" s="28">
        <v>1</v>
      </c>
      <c r="E403" s="28">
        <v>173</v>
      </c>
      <c r="F403" s="28">
        <v>913</v>
      </c>
      <c r="G403" s="28">
        <v>523</v>
      </c>
      <c r="H403" s="28">
        <v>625</v>
      </c>
      <c r="I403" s="28">
        <v>0</v>
      </c>
      <c r="J403" s="28">
        <v>88</v>
      </c>
      <c r="K403" s="28">
        <v>22</v>
      </c>
      <c r="L403" s="28">
        <v>8</v>
      </c>
      <c r="M403" s="28">
        <v>5</v>
      </c>
      <c r="N403" s="28">
        <v>3</v>
      </c>
      <c r="O403" s="28">
        <v>415</v>
      </c>
      <c r="P403" s="516">
        <v>2287</v>
      </c>
      <c r="Q403" s="517">
        <v>1</v>
      </c>
      <c r="R403" s="6">
        <v>4</v>
      </c>
      <c r="S403" s="369">
        <v>0.18779999999999999</v>
      </c>
      <c r="T403" s="365"/>
      <c r="U403" s="28">
        <v>1407726.33</v>
      </c>
      <c r="V403" s="28">
        <v>1980241.1199999999</v>
      </c>
      <c r="W403" s="28">
        <v>11081864.030000001</v>
      </c>
      <c r="X403" s="28">
        <v>2644133.67</v>
      </c>
      <c r="Y403" s="28">
        <v>450605.4</v>
      </c>
      <c r="Z403" s="28">
        <v>1480226.5399999998</v>
      </c>
      <c r="AA403" s="28">
        <v>976991.22</v>
      </c>
      <c r="AB403" s="28">
        <v>945571.18</v>
      </c>
      <c r="AC403" s="28">
        <v>2746883.88</v>
      </c>
      <c r="AD403" s="28">
        <v>4285815.709999999</v>
      </c>
      <c r="AE403" s="28">
        <v>773426.27999999991</v>
      </c>
      <c r="AF403" s="28">
        <v>28773485.359999992</v>
      </c>
      <c r="AG403" s="147"/>
      <c r="AH403" s="147"/>
      <c r="AI403" s="405">
        <v>415</v>
      </c>
      <c r="AJ403" s="460">
        <v>2209.5</v>
      </c>
      <c r="AK403" s="417">
        <v>0.18779999999999999</v>
      </c>
      <c r="AL403" s="405">
        <v>4</v>
      </c>
      <c r="AM403" s="147"/>
    </row>
    <row r="404" spans="1:39">
      <c r="A404" s="71">
        <v>750</v>
      </c>
      <c r="B404" s="71" t="s">
        <v>1509</v>
      </c>
      <c r="C404" s="28">
        <v>0</v>
      </c>
      <c r="D404" s="28">
        <v>0</v>
      </c>
      <c r="E404" s="28">
        <v>35</v>
      </c>
      <c r="F404" s="28">
        <v>227</v>
      </c>
      <c r="G404" s="28">
        <v>159</v>
      </c>
      <c r="H404" s="28">
        <v>124</v>
      </c>
      <c r="I404" s="28">
        <v>0</v>
      </c>
      <c r="J404" s="28">
        <v>21</v>
      </c>
      <c r="K404" s="28">
        <v>5</v>
      </c>
      <c r="L404" s="28">
        <v>2</v>
      </c>
      <c r="M404" s="28">
        <v>0</v>
      </c>
      <c r="N404" s="28">
        <v>2</v>
      </c>
      <c r="O404" s="28">
        <v>225</v>
      </c>
      <c r="P404" s="516">
        <v>545</v>
      </c>
      <c r="Q404" s="517">
        <v>1</v>
      </c>
      <c r="R404" s="6">
        <v>7</v>
      </c>
      <c r="S404" s="369">
        <v>0.38009999999999999</v>
      </c>
      <c r="T404" s="365"/>
      <c r="U404" s="28">
        <v>346242.64999999997</v>
      </c>
      <c r="V404" s="28">
        <v>526375.54</v>
      </c>
      <c r="W404" s="28">
        <v>3129226.64</v>
      </c>
      <c r="X404" s="28">
        <v>631005.34000000008</v>
      </c>
      <c r="Y404" s="28">
        <v>133366.21999999997</v>
      </c>
      <c r="Z404" s="28">
        <v>348815.07</v>
      </c>
      <c r="AA404" s="28">
        <v>253586.02</v>
      </c>
      <c r="AB404" s="28">
        <v>330149.96999999997</v>
      </c>
      <c r="AC404" s="28">
        <v>656702.27000000014</v>
      </c>
      <c r="AD404" s="28">
        <v>1118289.1099999999</v>
      </c>
      <c r="AE404" s="28">
        <v>175778.69999999998</v>
      </c>
      <c r="AF404" s="28">
        <v>7649537.5300000003</v>
      </c>
      <c r="AG404" s="147"/>
      <c r="AH404" s="147"/>
      <c r="AI404" s="405">
        <v>225</v>
      </c>
      <c r="AJ404" s="460">
        <v>592</v>
      </c>
      <c r="AK404" s="417">
        <v>0.38009999999999999</v>
      </c>
      <c r="AL404" s="405">
        <v>7</v>
      </c>
      <c r="AM404" s="147"/>
    </row>
    <row r="405" spans="1:39">
      <c r="A405" s="71">
        <v>753</v>
      </c>
      <c r="B405" s="71" t="s">
        <v>1510</v>
      </c>
      <c r="C405" s="28">
        <v>118</v>
      </c>
      <c r="D405" s="28">
        <v>0</v>
      </c>
      <c r="E405" s="28">
        <v>142</v>
      </c>
      <c r="F405" s="28">
        <v>737</v>
      </c>
      <c r="G405" s="28">
        <v>462</v>
      </c>
      <c r="H405" s="28">
        <v>531</v>
      </c>
      <c r="I405" s="28">
        <v>0</v>
      </c>
      <c r="J405" s="28">
        <v>74</v>
      </c>
      <c r="K405" s="28">
        <v>19</v>
      </c>
      <c r="L405" s="28">
        <v>3</v>
      </c>
      <c r="M405" s="28">
        <v>1</v>
      </c>
      <c r="N405" s="28">
        <v>2</v>
      </c>
      <c r="O405" s="28">
        <v>868</v>
      </c>
      <c r="P405" s="516">
        <v>1931</v>
      </c>
      <c r="Q405" s="517">
        <v>1</v>
      </c>
      <c r="R405" s="6">
        <v>7</v>
      </c>
      <c r="S405" s="369">
        <v>0.4093</v>
      </c>
      <c r="T405" s="365"/>
      <c r="U405" s="28">
        <v>1234873.23</v>
      </c>
      <c r="V405" s="28">
        <v>1889703.3099999996</v>
      </c>
      <c r="W405" s="28">
        <v>11474222.82</v>
      </c>
      <c r="X405" s="28">
        <v>2222271.4400000004</v>
      </c>
      <c r="Y405" s="28">
        <v>483780.88</v>
      </c>
      <c r="Z405" s="28">
        <v>1265980.73</v>
      </c>
      <c r="AA405" s="28">
        <v>911815.57000000007</v>
      </c>
      <c r="AB405" s="28">
        <v>1250170.32</v>
      </c>
      <c r="AC405" s="28">
        <v>2318473.52</v>
      </c>
      <c r="AD405" s="28">
        <v>3983023.4199999995</v>
      </c>
      <c r="AE405" s="28">
        <v>667959.05999999994</v>
      </c>
      <c r="AF405" s="28">
        <v>27702274.299999997</v>
      </c>
      <c r="AG405" s="147"/>
      <c r="AH405" s="147"/>
      <c r="AI405" s="405">
        <v>868</v>
      </c>
      <c r="AJ405" s="460">
        <v>2120.5</v>
      </c>
      <c r="AK405" s="417">
        <v>0.4093</v>
      </c>
      <c r="AL405" s="405">
        <v>7</v>
      </c>
      <c r="AM405" s="147"/>
    </row>
    <row r="406" spans="1:39">
      <c r="A406" s="71">
        <v>755</v>
      </c>
      <c r="B406" s="71" t="s">
        <v>1511</v>
      </c>
      <c r="C406" s="28">
        <v>0</v>
      </c>
      <c r="D406" s="28">
        <v>0</v>
      </c>
      <c r="E406" s="28">
        <v>0</v>
      </c>
      <c r="F406" s="28">
        <v>0</v>
      </c>
      <c r="G406" s="28">
        <v>214</v>
      </c>
      <c r="H406" s="28">
        <v>339</v>
      </c>
      <c r="I406" s="28">
        <v>0</v>
      </c>
      <c r="J406" s="28">
        <v>22</v>
      </c>
      <c r="K406" s="28">
        <v>6</v>
      </c>
      <c r="L406" s="28">
        <v>0</v>
      </c>
      <c r="M406" s="28">
        <v>4</v>
      </c>
      <c r="N406" s="28">
        <v>2</v>
      </c>
      <c r="O406" s="28">
        <v>332</v>
      </c>
      <c r="P406" s="516">
        <v>553</v>
      </c>
      <c r="Q406" s="517">
        <v>1</v>
      </c>
      <c r="R406" s="6">
        <v>10</v>
      </c>
      <c r="S406" s="369">
        <v>0.62760000000000005</v>
      </c>
      <c r="T406" s="365"/>
      <c r="U406" s="28">
        <v>371265.31</v>
      </c>
      <c r="V406" s="28">
        <v>601456.4</v>
      </c>
      <c r="W406" s="28">
        <v>4048016.42</v>
      </c>
      <c r="X406" s="28">
        <v>551879.15</v>
      </c>
      <c r="Y406" s="28">
        <v>169733.72999999998</v>
      </c>
      <c r="Z406" s="28">
        <v>428179.94000000006</v>
      </c>
      <c r="AA406" s="28">
        <v>300988.53999999998</v>
      </c>
      <c r="AB406" s="28">
        <v>574967.06000000006</v>
      </c>
      <c r="AC406" s="28">
        <v>685292.57000000007</v>
      </c>
      <c r="AD406" s="28">
        <v>1237723.9100000001</v>
      </c>
      <c r="AE406" s="28">
        <v>210934.44</v>
      </c>
      <c r="AF406" s="28">
        <v>9180437.4700000007</v>
      </c>
      <c r="AG406" s="147"/>
      <c r="AH406" s="147"/>
      <c r="AI406" s="405">
        <v>332</v>
      </c>
      <c r="AJ406" s="460">
        <v>529</v>
      </c>
      <c r="AK406" s="417">
        <v>0.62760000000000005</v>
      </c>
      <c r="AL406" s="405">
        <v>10</v>
      </c>
      <c r="AM406" s="147"/>
    </row>
    <row r="407" spans="1:39">
      <c r="A407" s="71">
        <v>760</v>
      </c>
      <c r="B407" s="71" t="s">
        <v>1512</v>
      </c>
      <c r="C407" s="28">
        <v>78</v>
      </c>
      <c r="D407" s="28">
        <v>0</v>
      </c>
      <c r="E407" s="28">
        <v>0</v>
      </c>
      <c r="F407" s="28">
        <v>0</v>
      </c>
      <c r="G407" s="28">
        <v>586</v>
      </c>
      <c r="H407" s="28">
        <v>777</v>
      </c>
      <c r="I407" s="28">
        <v>331</v>
      </c>
      <c r="J407" s="28">
        <v>70</v>
      </c>
      <c r="K407" s="28">
        <v>14</v>
      </c>
      <c r="L407" s="28">
        <v>0</v>
      </c>
      <c r="M407" s="28">
        <v>13</v>
      </c>
      <c r="N407" s="28">
        <v>34</v>
      </c>
      <c r="O407" s="28">
        <v>553</v>
      </c>
      <c r="P407" s="516">
        <v>1733</v>
      </c>
      <c r="Q407" s="517">
        <v>1.034</v>
      </c>
      <c r="R407" s="6">
        <v>6</v>
      </c>
      <c r="S407" s="369">
        <v>0.33210000000000001</v>
      </c>
      <c r="T407" s="365"/>
      <c r="U407" s="28">
        <v>1129304.8553599999</v>
      </c>
      <c r="V407" s="28">
        <v>1659657.66252</v>
      </c>
      <c r="W407" s="28">
        <v>11528960.130819997</v>
      </c>
      <c r="X407" s="28">
        <v>1810229.31122</v>
      </c>
      <c r="Y407" s="28">
        <v>446147.87975999998</v>
      </c>
      <c r="Z407" s="28">
        <v>1554312.7599999998</v>
      </c>
      <c r="AA407" s="28">
        <v>861990.69813999988</v>
      </c>
      <c r="AB407" s="28">
        <v>1266512.7261600001</v>
      </c>
      <c r="AC407" s="28">
        <v>2553853.86234</v>
      </c>
      <c r="AD407" s="28">
        <v>3558306.5999999996</v>
      </c>
      <c r="AE407" s="28">
        <v>492180.36</v>
      </c>
      <c r="AF407" s="28">
        <v>26861456.846319996</v>
      </c>
      <c r="AG407" s="147"/>
      <c r="AH407" s="147"/>
      <c r="AI407" s="405">
        <v>553</v>
      </c>
      <c r="AJ407" s="460">
        <v>1665</v>
      </c>
      <c r="AK407" s="417">
        <v>0.33210000000000001</v>
      </c>
      <c r="AL407" s="405">
        <v>6</v>
      </c>
      <c r="AM407" s="147"/>
    </row>
    <row r="408" spans="1:39">
      <c r="A408" s="71">
        <v>763</v>
      </c>
      <c r="B408" s="71" t="s">
        <v>1082</v>
      </c>
      <c r="C408" s="28">
        <v>0</v>
      </c>
      <c r="D408" s="28">
        <v>0</v>
      </c>
      <c r="E408" s="28">
        <v>0</v>
      </c>
      <c r="F408" s="28">
        <v>0</v>
      </c>
      <c r="G408" s="28">
        <v>0</v>
      </c>
      <c r="H408" s="28">
        <v>930</v>
      </c>
      <c r="I408" s="28">
        <v>25</v>
      </c>
      <c r="J408" s="28">
        <v>38</v>
      </c>
      <c r="K408" s="28">
        <v>9</v>
      </c>
      <c r="L408" s="28">
        <v>0</v>
      </c>
      <c r="M408" s="28">
        <v>0</v>
      </c>
      <c r="N408" s="28">
        <v>8</v>
      </c>
      <c r="O408" s="28">
        <v>300</v>
      </c>
      <c r="P408" s="516">
        <v>955</v>
      </c>
      <c r="Q408" s="517">
        <v>1</v>
      </c>
      <c r="R408" s="6">
        <v>6</v>
      </c>
      <c r="S408" s="369">
        <v>0.31190000000000001</v>
      </c>
      <c r="T408" s="365"/>
      <c r="U408" s="28">
        <v>602285.40999999992</v>
      </c>
      <c r="V408" s="28">
        <v>879012.46</v>
      </c>
      <c r="W408" s="28">
        <v>6086007.9700000007</v>
      </c>
      <c r="X408" s="28">
        <v>910169.01</v>
      </c>
      <c r="Y408" s="28">
        <v>218324.73</v>
      </c>
      <c r="Z408" s="28">
        <v>862958.21</v>
      </c>
      <c r="AA408" s="28">
        <v>472452.24</v>
      </c>
      <c r="AB408" s="28">
        <v>792956.89999999991</v>
      </c>
      <c r="AC408" s="28">
        <v>1193834.9099999999</v>
      </c>
      <c r="AD408" s="28">
        <v>1811278.3900000001</v>
      </c>
      <c r="AE408" s="28">
        <v>316401.65999999997</v>
      </c>
      <c r="AF408" s="28">
        <v>14145681.890000004</v>
      </c>
      <c r="AG408" s="147"/>
      <c r="AH408" s="147"/>
      <c r="AI408" s="405">
        <v>300</v>
      </c>
      <c r="AJ408" s="460">
        <v>962</v>
      </c>
      <c r="AK408" s="417">
        <v>0.31190000000000001</v>
      </c>
      <c r="AL408" s="405">
        <v>6</v>
      </c>
      <c r="AM408" s="147"/>
    </row>
    <row r="409" spans="1:39">
      <c r="A409" s="71">
        <v>765</v>
      </c>
      <c r="B409" s="71" t="s">
        <v>1513</v>
      </c>
      <c r="C409" s="28">
        <v>55</v>
      </c>
      <c r="D409" s="28">
        <v>0</v>
      </c>
      <c r="E409" s="28">
        <v>31</v>
      </c>
      <c r="F409" s="28">
        <v>235</v>
      </c>
      <c r="G409" s="28">
        <v>143</v>
      </c>
      <c r="H409" s="28">
        <v>178</v>
      </c>
      <c r="I409" s="28">
        <v>11</v>
      </c>
      <c r="J409" s="28">
        <v>24</v>
      </c>
      <c r="K409" s="28">
        <v>6</v>
      </c>
      <c r="L409" s="28">
        <v>19</v>
      </c>
      <c r="M409" s="28">
        <v>1</v>
      </c>
      <c r="N409" s="28">
        <v>7</v>
      </c>
      <c r="O409" s="28">
        <v>258</v>
      </c>
      <c r="P409" s="516">
        <v>626</v>
      </c>
      <c r="Q409" s="517">
        <v>1</v>
      </c>
      <c r="R409" s="6">
        <v>8</v>
      </c>
      <c r="S409" s="369">
        <v>0.44790000000000002</v>
      </c>
      <c r="T409" s="365"/>
      <c r="U409" s="28">
        <v>402135.4200000001</v>
      </c>
      <c r="V409" s="28">
        <v>615851.72000000009</v>
      </c>
      <c r="W409" s="28">
        <v>3798092.2</v>
      </c>
      <c r="X409" s="28">
        <v>720462.78</v>
      </c>
      <c r="Y409" s="28">
        <v>158695.09000000003</v>
      </c>
      <c r="Z409" s="28">
        <v>426194.1</v>
      </c>
      <c r="AA409" s="28">
        <v>298037</v>
      </c>
      <c r="AB409" s="28">
        <v>410219.84</v>
      </c>
      <c r="AC409" s="28">
        <v>770495.70000000007</v>
      </c>
      <c r="AD409" s="28">
        <v>1299507.1899999997</v>
      </c>
      <c r="AE409" s="28">
        <v>210934.44</v>
      </c>
      <c r="AF409" s="28">
        <v>9110625.4799999986</v>
      </c>
      <c r="AG409" s="147"/>
      <c r="AH409" s="147"/>
      <c r="AI409" s="405">
        <v>258</v>
      </c>
      <c r="AJ409" s="460">
        <v>576</v>
      </c>
      <c r="AK409" s="417">
        <v>0.44790000000000002</v>
      </c>
      <c r="AL409" s="405">
        <v>8</v>
      </c>
      <c r="AM409" s="147"/>
    </row>
    <row r="410" spans="1:39">
      <c r="A410" s="71">
        <v>766</v>
      </c>
      <c r="B410" s="71" t="s">
        <v>1084</v>
      </c>
      <c r="C410" s="28">
        <v>17</v>
      </c>
      <c r="D410" s="28">
        <v>0</v>
      </c>
      <c r="E410" s="28">
        <v>76</v>
      </c>
      <c r="F410" s="28">
        <v>472</v>
      </c>
      <c r="G410" s="28">
        <v>298</v>
      </c>
      <c r="H410" s="28">
        <v>303</v>
      </c>
      <c r="I410" s="28">
        <v>100</v>
      </c>
      <c r="J410" s="28">
        <v>50</v>
      </c>
      <c r="K410" s="28">
        <v>11</v>
      </c>
      <c r="L410" s="28">
        <v>38</v>
      </c>
      <c r="M410" s="28">
        <v>16</v>
      </c>
      <c r="N410" s="28">
        <v>2</v>
      </c>
      <c r="O410" s="28">
        <v>505</v>
      </c>
      <c r="P410" s="516">
        <v>1258</v>
      </c>
      <c r="Q410" s="517">
        <v>1</v>
      </c>
      <c r="R410" s="6">
        <v>7</v>
      </c>
      <c r="S410" s="369">
        <v>0.38919999999999999</v>
      </c>
      <c r="T410" s="365"/>
      <c r="U410" s="28">
        <v>805853.79</v>
      </c>
      <c r="V410" s="28">
        <v>1218468.3599999999</v>
      </c>
      <c r="W410" s="28">
        <v>7744004.79</v>
      </c>
      <c r="X410" s="28">
        <v>1453628.3599999999</v>
      </c>
      <c r="Y410" s="28">
        <v>318740.62</v>
      </c>
      <c r="Z410" s="28">
        <v>913947.21</v>
      </c>
      <c r="AA410" s="28">
        <v>593401.48</v>
      </c>
      <c r="AB410" s="28">
        <v>797175.51</v>
      </c>
      <c r="AC410" s="28">
        <v>1631104.7799999998</v>
      </c>
      <c r="AD410" s="28">
        <v>2622662.34</v>
      </c>
      <c r="AE410" s="28">
        <v>386713.13999999996</v>
      </c>
      <c r="AF410" s="28">
        <v>18485700.379999999</v>
      </c>
      <c r="AG410" s="147"/>
      <c r="AH410" s="147"/>
      <c r="AI410" s="405">
        <v>505</v>
      </c>
      <c r="AJ410" s="460">
        <v>1297.5</v>
      </c>
      <c r="AK410" s="417">
        <v>0.38919999999999999</v>
      </c>
      <c r="AL410" s="405">
        <v>7</v>
      </c>
      <c r="AM410" s="147"/>
    </row>
    <row r="411" spans="1:39">
      <c r="A411" s="71">
        <v>767</v>
      </c>
      <c r="B411" s="71" t="s">
        <v>1514</v>
      </c>
      <c r="C411" s="28">
        <v>23</v>
      </c>
      <c r="D411" s="28">
        <v>0</v>
      </c>
      <c r="E411" s="28">
        <v>125</v>
      </c>
      <c r="F411" s="28">
        <v>596</v>
      </c>
      <c r="G411" s="28">
        <v>373</v>
      </c>
      <c r="H411" s="28">
        <v>338</v>
      </c>
      <c r="I411" s="28">
        <v>80</v>
      </c>
      <c r="J411" s="28">
        <v>60</v>
      </c>
      <c r="K411" s="28">
        <v>14</v>
      </c>
      <c r="L411" s="28">
        <v>42</v>
      </c>
      <c r="M411" s="28">
        <v>13</v>
      </c>
      <c r="N411" s="28">
        <v>12</v>
      </c>
      <c r="O411" s="28">
        <v>780</v>
      </c>
      <c r="P411" s="516">
        <v>1524</v>
      </c>
      <c r="Q411" s="517">
        <v>1</v>
      </c>
      <c r="R411" s="6">
        <v>10</v>
      </c>
      <c r="S411" s="369">
        <v>0.54620000000000002</v>
      </c>
      <c r="T411" s="365"/>
      <c r="U411" s="28">
        <v>1004276.2899999999</v>
      </c>
      <c r="V411" s="28">
        <v>1605326.63</v>
      </c>
      <c r="W411" s="28">
        <v>10415923.49</v>
      </c>
      <c r="X411" s="28">
        <v>1779303.7400000002</v>
      </c>
      <c r="Y411" s="28">
        <v>442486.05999999994</v>
      </c>
      <c r="Z411" s="28">
        <v>1067193.6100000001</v>
      </c>
      <c r="AA411" s="28">
        <v>765220.48</v>
      </c>
      <c r="AB411" s="28">
        <v>1198995.48</v>
      </c>
      <c r="AC411" s="28">
        <v>1932602.53</v>
      </c>
      <c r="AD411" s="28">
        <v>3378505.42</v>
      </c>
      <c r="AE411" s="28">
        <v>492180.36</v>
      </c>
      <c r="AF411" s="28">
        <v>24082014.090000004</v>
      </c>
      <c r="AG411" s="147"/>
      <c r="AH411" s="147"/>
      <c r="AI411" s="405">
        <v>780</v>
      </c>
      <c r="AJ411" s="460">
        <v>1428</v>
      </c>
      <c r="AK411" s="417">
        <v>0.54620000000000002</v>
      </c>
      <c r="AL411" s="405">
        <v>10</v>
      </c>
      <c r="AM411" s="147"/>
    </row>
    <row r="412" spans="1:39">
      <c r="A412" s="71">
        <v>770</v>
      </c>
      <c r="B412" s="71" t="s">
        <v>1515</v>
      </c>
      <c r="C412" s="28">
        <v>0</v>
      </c>
      <c r="D412" s="28">
        <v>0</v>
      </c>
      <c r="E412" s="28">
        <v>0</v>
      </c>
      <c r="F412" s="28">
        <v>0</v>
      </c>
      <c r="G412" s="28">
        <v>500</v>
      </c>
      <c r="H412" s="28">
        <v>626</v>
      </c>
      <c r="I412" s="28">
        <v>398</v>
      </c>
      <c r="J412" s="28">
        <v>64</v>
      </c>
      <c r="K412" s="28">
        <v>11</v>
      </c>
      <c r="L412" s="28">
        <v>0</v>
      </c>
      <c r="M412" s="28">
        <v>5</v>
      </c>
      <c r="N412" s="28">
        <v>18</v>
      </c>
      <c r="O412" s="28">
        <v>545</v>
      </c>
      <c r="P412" s="516">
        <v>1524</v>
      </c>
      <c r="Q412" s="517">
        <v>1</v>
      </c>
      <c r="R412" s="6">
        <v>6</v>
      </c>
      <c r="S412" s="369">
        <v>0.30859999999999999</v>
      </c>
      <c r="T412" s="365"/>
      <c r="U412" s="28">
        <v>965159.74</v>
      </c>
      <c r="V412" s="28">
        <v>1427770.4599999997</v>
      </c>
      <c r="W412" s="28">
        <v>10420743.800000001</v>
      </c>
      <c r="X412" s="28">
        <v>1543964.43</v>
      </c>
      <c r="Y412" s="28">
        <v>400072.33999999997</v>
      </c>
      <c r="Z412" s="28">
        <v>1451553.97</v>
      </c>
      <c r="AA412" s="28">
        <v>742547.47</v>
      </c>
      <c r="AB412" s="28">
        <v>1140560.44</v>
      </c>
      <c r="AC412" s="28">
        <v>2276000.87</v>
      </c>
      <c r="AD412" s="28">
        <v>3210655.7399999998</v>
      </c>
      <c r="AE412" s="28">
        <v>386713.13999999996</v>
      </c>
      <c r="AF412" s="28">
        <v>23965742.400000002</v>
      </c>
      <c r="AG412" s="147"/>
      <c r="AH412" s="147"/>
      <c r="AI412" s="405">
        <v>545</v>
      </c>
      <c r="AJ412" s="460">
        <v>1766</v>
      </c>
      <c r="AK412" s="417">
        <v>0.30859999999999999</v>
      </c>
      <c r="AL412" s="405">
        <v>6</v>
      </c>
      <c r="AM412" s="147"/>
    </row>
    <row r="413" spans="1:39">
      <c r="A413" s="71">
        <v>773</v>
      </c>
      <c r="B413" s="71" t="s">
        <v>1516</v>
      </c>
      <c r="C413" s="28">
        <v>19</v>
      </c>
      <c r="D413" s="28">
        <v>0</v>
      </c>
      <c r="E413" s="28">
        <v>168</v>
      </c>
      <c r="F413" s="28">
        <v>845</v>
      </c>
      <c r="G413" s="28">
        <v>497</v>
      </c>
      <c r="H413" s="28">
        <v>636</v>
      </c>
      <c r="I413" s="28">
        <v>0</v>
      </c>
      <c r="J413" s="28">
        <v>84</v>
      </c>
      <c r="K413" s="28">
        <v>21</v>
      </c>
      <c r="L413" s="28">
        <v>37</v>
      </c>
      <c r="M413" s="28">
        <v>6</v>
      </c>
      <c r="N413" s="28">
        <v>9</v>
      </c>
      <c r="O413" s="28">
        <v>703</v>
      </c>
      <c r="P413" s="516">
        <v>2156</v>
      </c>
      <c r="Q413" s="517">
        <v>1.036</v>
      </c>
      <c r="R413" s="6">
        <v>6</v>
      </c>
      <c r="S413" s="369">
        <v>0.3296</v>
      </c>
      <c r="T413" s="365"/>
      <c r="U413" s="28">
        <v>1411051.2488799999</v>
      </c>
      <c r="V413" s="28">
        <v>2071311.5158400005</v>
      </c>
      <c r="W413" s="28">
        <v>12202603.078399997</v>
      </c>
      <c r="X413" s="28">
        <v>2581170.1305599995</v>
      </c>
      <c r="Y413" s="28">
        <v>504513.78711999994</v>
      </c>
      <c r="Z413" s="28">
        <v>1425551.2300000002</v>
      </c>
      <c r="AA413" s="28">
        <v>1012375.4289599999</v>
      </c>
      <c r="AB413" s="28">
        <v>1214227.76272</v>
      </c>
      <c r="AC413" s="28">
        <v>2702957.7632399998</v>
      </c>
      <c r="AD413" s="28">
        <v>4262328.3599999994</v>
      </c>
      <c r="AE413" s="28">
        <v>738270.53999999992</v>
      </c>
      <c r="AF413" s="28">
        <v>30126360.845719993</v>
      </c>
      <c r="AG413" s="147"/>
      <c r="AH413" s="147"/>
      <c r="AI413" s="405">
        <v>703</v>
      </c>
      <c r="AJ413" s="460">
        <v>2133</v>
      </c>
      <c r="AK413" s="417">
        <v>0.3296</v>
      </c>
      <c r="AL413" s="405">
        <v>6</v>
      </c>
      <c r="AM413" s="147"/>
    </row>
    <row r="414" spans="1:39">
      <c r="A414" s="71">
        <v>774</v>
      </c>
      <c r="B414" s="71" t="s">
        <v>1088</v>
      </c>
      <c r="C414" s="28">
        <v>14</v>
      </c>
      <c r="D414" s="28">
        <v>0</v>
      </c>
      <c r="E414" s="28">
        <v>34</v>
      </c>
      <c r="F414" s="28">
        <v>220</v>
      </c>
      <c r="G414" s="28">
        <v>124</v>
      </c>
      <c r="H414" s="28">
        <v>0</v>
      </c>
      <c r="I414" s="28">
        <v>0</v>
      </c>
      <c r="J414" s="28">
        <v>15</v>
      </c>
      <c r="K414" s="28">
        <v>4</v>
      </c>
      <c r="L414" s="28">
        <v>12</v>
      </c>
      <c r="M414" s="28">
        <v>0</v>
      </c>
      <c r="N414" s="28">
        <v>0</v>
      </c>
      <c r="O414" s="28">
        <v>142</v>
      </c>
      <c r="P414" s="516">
        <v>385</v>
      </c>
      <c r="Q414" s="517">
        <v>1</v>
      </c>
      <c r="R414" s="6">
        <v>6</v>
      </c>
      <c r="S414" s="369">
        <v>0.33260000000000001</v>
      </c>
      <c r="T414" s="365"/>
      <c r="U414" s="28">
        <v>245649.66999999998</v>
      </c>
      <c r="V414" s="28">
        <v>363241.3</v>
      </c>
      <c r="W414" s="28">
        <v>2022514.06</v>
      </c>
      <c r="X414" s="28">
        <v>479434.92</v>
      </c>
      <c r="Y414" s="28">
        <v>89377.51999999999</v>
      </c>
      <c r="Z414" s="28">
        <v>218714.58</v>
      </c>
      <c r="AA414" s="28">
        <v>169787.64</v>
      </c>
      <c r="AB414" s="28">
        <v>173440.24</v>
      </c>
      <c r="AC414" s="28">
        <v>463859.52999999997</v>
      </c>
      <c r="AD414" s="28">
        <v>784947.34</v>
      </c>
      <c r="AE414" s="28">
        <v>140622.96</v>
      </c>
      <c r="AF414" s="28">
        <v>5151589.7600000007</v>
      </c>
      <c r="AG414" s="147"/>
      <c r="AH414" s="147"/>
      <c r="AI414" s="405">
        <v>142</v>
      </c>
      <c r="AJ414" s="460">
        <v>427</v>
      </c>
      <c r="AK414" s="417">
        <v>0.33260000000000001</v>
      </c>
      <c r="AL414" s="405">
        <v>6</v>
      </c>
      <c r="AM414" s="147"/>
    </row>
    <row r="415" spans="1:39">
      <c r="A415" s="71">
        <v>775</v>
      </c>
      <c r="B415" s="71" t="s">
        <v>1517</v>
      </c>
      <c r="C415" s="28">
        <v>76</v>
      </c>
      <c r="D415" s="28">
        <v>0</v>
      </c>
      <c r="E415" s="28">
        <v>494</v>
      </c>
      <c r="F415" s="28">
        <v>2631</v>
      </c>
      <c r="G415" s="28">
        <v>1649</v>
      </c>
      <c r="H415" s="28">
        <v>1995</v>
      </c>
      <c r="I415" s="28">
        <v>0</v>
      </c>
      <c r="J415" s="28">
        <v>266</v>
      </c>
      <c r="K415" s="28">
        <v>68</v>
      </c>
      <c r="L415" s="28">
        <v>107</v>
      </c>
      <c r="M415" s="28">
        <v>27</v>
      </c>
      <c r="N415" s="28">
        <v>33</v>
      </c>
      <c r="O415" s="28">
        <v>1250</v>
      </c>
      <c r="P415" s="516">
        <v>6807</v>
      </c>
      <c r="Q415" s="517">
        <v>1</v>
      </c>
      <c r="R415" s="6">
        <v>4</v>
      </c>
      <c r="S415" s="369">
        <v>0.18790000000000001</v>
      </c>
      <c r="T415" s="365"/>
      <c r="U415" s="28">
        <v>4227894.0199999996</v>
      </c>
      <c r="V415" s="28">
        <v>5924844.8799999999</v>
      </c>
      <c r="W415" s="28">
        <v>33354252.669999998</v>
      </c>
      <c r="X415" s="28">
        <v>7859760.1100000003</v>
      </c>
      <c r="Y415" s="28">
        <v>1354755.08</v>
      </c>
      <c r="Z415" s="28">
        <v>4470044.6499999994</v>
      </c>
      <c r="AA415" s="28">
        <v>2933618.6799999997</v>
      </c>
      <c r="AB415" s="28">
        <v>2904421.18</v>
      </c>
      <c r="AC415" s="28">
        <v>8249273.0399999991</v>
      </c>
      <c r="AD415" s="28">
        <v>12823809.149999999</v>
      </c>
      <c r="AE415" s="28">
        <v>2390590.3199999998</v>
      </c>
      <c r="AF415" s="28">
        <v>86493263.779999971</v>
      </c>
      <c r="AG415" s="147"/>
      <c r="AH415" s="147"/>
      <c r="AI415" s="405">
        <v>1250</v>
      </c>
      <c r="AJ415" s="460">
        <v>6652</v>
      </c>
      <c r="AK415" s="417">
        <v>0.18790000000000001</v>
      </c>
      <c r="AL415" s="405">
        <v>4</v>
      </c>
      <c r="AM415" s="147"/>
    </row>
    <row r="416" spans="1:39">
      <c r="A416" s="71">
        <v>778</v>
      </c>
      <c r="B416" s="71" t="s">
        <v>1090</v>
      </c>
      <c r="C416" s="28">
        <v>53</v>
      </c>
      <c r="D416" s="28">
        <v>0</v>
      </c>
      <c r="E416" s="28">
        <v>56</v>
      </c>
      <c r="F416" s="28">
        <v>373</v>
      </c>
      <c r="G416" s="28">
        <v>253</v>
      </c>
      <c r="H416" s="28">
        <v>295</v>
      </c>
      <c r="I416" s="28">
        <v>30</v>
      </c>
      <c r="J416" s="28">
        <v>39</v>
      </c>
      <c r="K416" s="28">
        <v>10</v>
      </c>
      <c r="L416" s="28">
        <v>17</v>
      </c>
      <c r="M416" s="28">
        <v>6</v>
      </c>
      <c r="N416" s="28">
        <v>3</v>
      </c>
      <c r="O416" s="28">
        <v>527</v>
      </c>
      <c r="P416" s="516">
        <v>1034</v>
      </c>
      <c r="Q416" s="517">
        <v>1</v>
      </c>
      <c r="R416" s="6">
        <v>8</v>
      </c>
      <c r="S416" s="369">
        <v>0.47889999999999999</v>
      </c>
      <c r="T416" s="365"/>
      <c r="U416" s="28">
        <v>669093.37999999989</v>
      </c>
      <c r="V416" s="28">
        <v>1054183.53</v>
      </c>
      <c r="W416" s="28">
        <v>6683083.0499999998</v>
      </c>
      <c r="X416" s="28">
        <v>1171044.1300000004</v>
      </c>
      <c r="Y416" s="28">
        <v>281442.37</v>
      </c>
      <c r="Z416" s="28">
        <v>715867.27000000025</v>
      </c>
      <c r="AA416" s="28">
        <v>508213.27999999997</v>
      </c>
      <c r="AB416" s="28">
        <v>768434.92999999993</v>
      </c>
      <c r="AC416" s="28">
        <v>1277596.3500000001</v>
      </c>
      <c r="AD416" s="28">
        <v>2211924.9700000002</v>
      </c>
      <c r="AE416" s="28">
        <v>351557.39999999997</v>
      </c>
      <c r="AF416" s="28">
        <v>15692440.659999998</v>
      </c>
      <c r="AG416" s="147"/>
      <c r="AH416" s="147"/>
      <c r="AI416" s="405">
        <v>527</v>
      </c>
      <c r="AJ416" s="460">
        <v>1100.5</v>
      </c>
      <c r="AK416" s="417">
        <v>0.47889999999999999</v>
      </c>
      <c r="AL416" s="405">
        <v>8</v>
      </c>
      <c r="AM416" s="147"/>
    </row>
    <row r="417" spans="1:39">
      <c r="A417" s="71">
        <v>780</v>
      </c>
      <c r="B417" s="71" t="s">
        <v>1518</v>
      </c>
      <c r="C417" s="28">
        <v>106</v>
      </c>
      <c r="D417" s="28">
        <v>0</v>
      </c>
      <c r="E417" s="28">
        <v>252</v>
      </c>
      <c r="F417" s="28">
        <v>1303</v>
      </c>
      <c r="G417" s="28">
        <v>855</v>
      </c>
      <c r="H417" s="28">
        <v>1071</v>
      </c>
      <c r="I417" s="28">
        <v>0</v>
      </c>
      <c r="J417" s="28">
        <v>137</v>
      </c>
      <c r="K417" s="28">
        <v>35</v>
      </c>
      <c r="L417" s="28">
        <v>136</v>
      </c>
      <c r="M417" s="28">
        <v>36</v>
      </c>
      <c r="N417" s="28">
        <v>51</v>
      </c>
      <c r="O417" s="28">
        <v>1249</v>
      </c>
      <c r="P417" s="516">
        <v>3534</v>
      </c>
      <c r="Q417" s="517">
        <v>1</v>
      </c>
      <c r="R417" s="6">
        <v>6</v>
      </c>
      <c r="S417" s="369">
        <v>0.35620000000000002</v>
      </c>
      <c r="T417" s="365"/>
      <c r="U417" s="28">
        <v>2256017.3199999998</v>
      </c>
      <c r="V417" s="28">
        <v>3339293.78</v>
      </c>
      <c r="W417" s="28">
        <v>19837998.190000001</v>
      </c>
      <c r="X417" s="28">
        <v>4084591.0200000005</v>
      </c>
      <c r="Y417" s="28">
        <v>822535.53999999992</v>
      </c>
      <c r="Z417" s="28">
        <v>2368519.9000000004</v>
      </c>
      <c r="AA417" s="28">
        <v>1630565.9600000002</v>
      </c>
      <c r="AB417" s="28">
        <v>2009818.08</v>
      </c>
      <c r="AC417" s="28">
        <v>4328235.7699999996</v>
      </c>
      <c r="AD417" s="28">
        <v>7089385.6800000006</v>
      </c>
      <c r="AE417" s="28">
        <v>1230450.8999999999</v>
      </c>
      <c r="AF417" s="28">
        <v>48997412.140000001</v>
      </c>
      <c r="AG417" s="147"/>
      <c r="AH417" s="147"/>
      <c r="AI417" s="405">
        <v>1249</v>
      </c>
      <c r="AJ417" s="460">
        <v>3506.5</v>
      </c>
      <c r="AK417" s="417">
        <v>0.35620000000000002</v>
      </c>
      <c r="AL417" s="405">
        <v>6</v>
      </c>
      <c r="AM417" s="147"/>
    </row>
    <row r="418" spans="1:39">
      <c r="A418" s="71">
        <v>801</v>
      </c>
      <c r="B418" s="71" t="s">
        <v>1519</v>
      </c>
      <c r="C418" s="28">
        <v>0</v>
      </c>
      <c r="D418" s="28">
        <v>0</v>
      </c>
      <c r="E418" s="28">
        <v>0</v>
      </c>
      <c r="F418" s="28">
        <v>0</v>
      </c>
      <c r="G418" s="28">
        <v>0</v>
      </c>
      <c r="H418" s="28">
        <v>0</v>
      </c>
      <c r="I418" s="28">
        <v>1019</v>
      </c>
      <c r="J418" s="28">
        <v>50</v>
      </c>
      <c r="K418" s="28">
        <v>0</v>
      </c>
      <c r="L418" s="28">
        <v>0</v>
      </c>
      <c r="M418" s="28">
        <v>0</v>
      </c>
      <c r="N418" s="28">
        <v>101</v>
      </c>
      <c r="O418" s="28">
        <v>579</v>
      </c>
      <c r="P418" s="516">
        <v>1019</v>
      </c>
      <c r="Q418" s="517">
        <v>1.02</v>
      </c>
      <c r="R418" s="6">
        <v>9</v>
      </c>
      <c r="S418" s="369">
        <v>0.51239999999999997</v>
      </c>
      <c r="T418" s="365"/>
      <c r="U418" s="28">
        <v>690861.22860000003</v>
      </c>
      <c r="V418" s="28">
        <v>1118862.5106000002</v>
      </c>
      <c r="W418" s="28">
        <v>11654444.142600002</v>
      </c>
      <c r="X418" s="28">
        <v>1102946.6040000003</v>
      </c>
      <c r="Y418" s="28">
        <v>417433.11300000001</v>
      </c>
      <c r="Z418" s="28">
        <v>1589913.35</v>
      </c>
      <c r="AA418" s="28">
        <v>579002.07180000015</v>
      </c>
      <c r="AB418" s="28">
        <v>1156166.2566</v>
      </c>
      <c r="AC418" s="28">
        <v>2325264.5118</v>
      </c>
      <c r="AD418" s="28">
        <v>2702178.8199999994</v>
      </c>
      <c r="AE418" s="28">
        <v>0</v>
      </c>
      <c r="AF418" s="28">
        <v>23337072.609000001</v>
      </c>
      <c r="AG418" s="147"/>
      <c r="AH418" s="147"/>
      <c r="AI418" s="405">
        <v>579</v>
      </c>
      <c r="AJ418" s="460">
        <v>1130</v>
      </c>
      <c r="AK418" s="417">
        <v>0.51239999999999997</v>
      </c>
      <c r="AL418" s="405">
        <v>9</v>
      </c>
      <c r="AM418" s="147"/>
    </row>
    <row r="419" spans="1:39">
      <c r="A419" s="71">
        <v>805</v>
      </c>
      <c r="B419" s="71" t="s">
        <v>1520</v>
      </c>
      <c r="C419" s="28">
        <v>0</v>
      </c>
      <c r="D419" s="28">
        <v>0</v>
      </c>
      <c r="E419" s="28">
        <v>0</v>
      </c>
      <c r="F419" s="28">
        <v>0</v>
      </c>
      <c r="G419" s="28">
        <v>0</v>
      </c>
      <c r="H419" s="28">
        <v>0</v>
      </c>
      <c r="I419" s="28">
        <v>1261</v>
      </c>
      <c r="J419" s="28">
        <v>62</v>
      </c>
      <c r="K419" s="28">
        <v>0</v>
      </c>
      <c r="L419" s="28">
        <v>0</v>
      </c>
      <c r="M419" s="28">
        <v>0</v>
      </c>
      <c r="N419" s="28">
        <v>8</v>
      </c>
      <c r="O419" s="28">
        <v>255</v>
      </c>
      <c r="P419" s="516">
        <v>1261</v>
      </c>
      <c r="Q419" s="517">
        <v>1</v>
      </c>
      <c r="R419" s="6">
        <v>4</v>
      </c>
      <c r="S419" s="369">
        <v>0.20399999999999999</v>
      </c>
      <c r="T419" s="365"/>
      <c r="U419" s="28">
        <v>774903.76</v>
      </c>
      <c r="V419" s="28">
        <v>1100149.96</v>
      </c>
      <c r="W419" s="28">
        <v>11700854.620000001</v>
      </c>
      <c r="X419" s="28">
        <v>1313363.0699999998</v>
      </c>
      <c r="Y419" s="28">
        <v>389534.91</v>
      </c>
      <c r="Z419" s="28">
        <v>1932224.69</v>
      </c>
      <c r="AA419" s="28">
        <v>599896.55999999994</v>
      </c>
      <c r="AB419" s="28">
        <v>923822.36</v>
      </c>
      <c r="AC419" s="28">
        <v>2777004.93</v>
      </c>
      <c r="AD419" s="28">
        <v>2915199.7</v>
      </c>
      <c r="AE419" s="28">
        <v>0</v>
      </c>
      <c r="AF419" s="28">
        <v>24426954.559999999</v>
      </c>
      <c r="AG419" s="147"/>
      <c r="AH419" s="147"/>
      <c r="AI419" s="405">
        <v>255</v>
      </c>
      <c r="AJ419" s="460">
        <v>1250</v>
      </c>
      <c r="AK419" s="417">
        <v>0.20399999999999999</v>
      </c>
      <c r="AL419" s="405">
        <v>4</v>
      </c>
      <c r="AM419" s="147"/>
    </row>
    <row r="420" spans="1:39">
      <c r="A420" s="71">
        <v>806</v>
      </c>
      <c r="B420" s="71" t="s">
        <v>1521</v>
      </c>
      <c r="C420" s="28">
        <v>0</v>
      </c>
      <c r="D420" s="28">
        <v>0</v>
      </c>
      <c r="E420" s="28">
        <v>0</v>
      </c>
      <c r="F420" s="28">
        <v>0</v>
      </c>
      <c r="G420" s="28">
        <v>0</v>
      </c>
      <c r="H420" s="28">
        <v>0</v>
      </c>
      <c r="I420" s="28">
        <v>928</v>
      </c>
      <c r="J420" s="28">
        <v>46</v>
      </c>
      <c r="K420" s="28">
        <v>0</v>
      </c>
      <c r="L420" s="28">
        <v>0</v>
      </c>
      <c r="M420" s="28">
        <v>0</v>
      </c>
      <c r="N420" s="28">
        <v>11</v>
      </c>
      <c r="O420" s="28">
        <v>401</v>
      </c>
      <c r="P420" s="516">
        <v>928</v>
      </c>
      <c r="Q420" s="517">
        <v>1.0629999999999999</v>
      </c>
      <c r="R420" s="6">
        <v>8</v>
      </c>
      <c r="S420" s="369">
        <v>0.43680000000000002</v>
      </c>
      <c r="T420" s="365"/>
      <c r="U420" s="28">
        <v>631580.76967999979</v>
      </c>
      <c r="V420" s="28">
        <v>973019.54804999975</v>
      </c>
      <c r="W420" s="28">
        <v>10251270.58635</v>
      </c>
      <c r="X420" s="28">
        <v>1032412.44075</v>
      </c>
      <c r="Y420" s="28">
        <v>357921.69889</v>
      </c>
      <c r="Z420" s="28">
        <v>1430538.9599999997</v>
      </c>
      <c r="AA420" s="28">
        <v>513756.29769999994</v>
      </c>
      <c r="AB420" s="28">
        <v>951237.91268999979</v>
      </c>
      <c r="AC420" s="28">
        <v>2175852.4889599998</v>
      </c>
      <c r="AD420" s="28">
        <v>2323354.4700000002</v>
      </c>
      <c r="AE420" s="28">
        <v>0</v>
      </c>
      <c r="AF420" s="28">
        <v>20640945.173069999</v>
      </c>
      <c r="AG420" s="147"/>
      <c r="AH420" s="147"/>
      <c r="AI420" s="405">
        <v>401</v>
      </c>
      <c r="AJ420" s="460">
        <v>918</v>
      </c>
      <c r="AK420" s="417">
        <v>0.43680000000000002</v>
      </c>
      <c r="AL420" s="405">
        <v>8</v>
      </c>
      <c r="AM420" s="147"/>
    </row>
    <row r="421" spans="1:39">
      <c r="A421" s="71">
        <v>810</v>
      </c>
      <c r="B421" s="71" t="s">
        <v>1522</v>
      </c>
      <c r="C421" s="28">
        <v>0</v>
      </c>
      <c r="D421" s="28">
        <v>0</v>
      </c>
      <c r="E421" s="28">
        <v>0</v>
      </c>
      <c r="F421" s="28">
        <v>0</v>
      </c>
      <c r="G421" s="28">
        <v>0</v>
      </c>
      <c r="H421" s="28">
        <v>0</v>
      </c>
      <c r="I421" s="28">
        <v>1362</v>
      </c>
      <c r="J421" s="28">
        <v>67</v>
      </c>
      <c r="K421" s="28">
        <v>0</v>
      </c>
      <c r="L421" s="28">
        <v>0</v>
      </c>
      <c r="M421" s="28">
        <v>0</v>
      </c>
      <c r="N421" s="28">
        <v>6</v>
      </c>
      <c r="O421" s="28">
        <v>466</v>
      </c>
      <c r="P421" s="516">
        <v>1362</v>
      </c>
      <c r="Q421" s="517">
        <v>1</v>
      </c>
      <c r="R421" s="6">
        <v>6</v>
      </c>
      <c r="S421" s="369">
        <v>0.35039999999999999</v>
      </c>
      <c r="T421" s="365"/>
      <c r="U421" s="28">
        <v>853178.28999999992</v>
      </c>
      <c r="V421" s="28">
        <v>1265576.0399999998</v>
      </c>
      <c r="W421" s="28">
        <v>13394688.4</v>
      </c>
      <c r="X421" s="28">
        <v>1418296.5</v>
      </c>
      <c r="Y421" s="28">
        <v>457473.04000000004</v>
      </c>
      <c r="Z421" s="28">
        <v>2092242.46</v>
      </c>
      <c r="AA421" s="28">
        <v>678483.76</v>
      </c>
      <c r="AB421" s="28">
        <v>1157732.48</v>
      </c>
      <c r="AC421" s="28">
        <v>2998543.15</v>
      </c>
      <c r="AD421" s="28">
        <v>3277876.5</v>
      </c>
      <c r="AE421" s="28">
        <v>0</v>
      </c>
      <c r="AF421" s="28">
        <v>27594090.620000001</v>
      </c>
      <c r="AG421" s="147"/>
      <c r="AH421" s="147"/>
      <c r="AI421" s="405">
        <v>466</v>
      </c>
      <c r="AJ421" s="460">
        <v>1330</v>
      </c>
      <c r="AK421" s="417">
        <v>0.35039999999999999</v>
      </c>
      <c r="AL421" s="405">
        <v>6</v>
      </c>
      <c r="AM421" s="147"/>
    </row>
    <row r="422" spans="1:39">
      <c r="A422" s="71">
        <v>815</v>
      </c>
      <c r="B422" s="71" t="s">
        <v>1523</v>
      </c>
      <c r="C422" s="28">
        <v>0</v>
      </c>
      <c r="D422" s="28">
        <v>0</v>
      </c>
      <c r="E422" s="28">
        <v>0</v>
      </c>
      <c r="F422" s="28">
        <v>0</v>
      </c>
      <c r="G422" s="28">
        <v>0</v>
      </c>
      <c r="H422" s="28">
        <v>0</v>
      </c>
      <c r="I422" s="28">
        <v>667</v>
      </c>
      <c r="J422" s="28">
        <v>33</v>
      </c>
      <c r="K422" s="28">
        <v>0</v>
      </c>
      <c r="L422" s="28">
        <v>0</v>
      </c>
      <c r="M422" s="28">
        <v>0</v>
      </c>
      <c r="N422" s="28">
        <v>14</v>
      </c>
      <c r="O422" s="28">
        <v>329</v>
      </c>
      <c r="P422" s="516">
        <v>667</v>
      </c>
      <c r="Q422" s="517">
        <v>1</v>
      </c>
      <c r="R422" s="6">
        <v>9</v>
      </c>
      <c r="S422" s="369">
        <v>0.49619999999999997</v>
      </c>
      <c r="T422" s="365"/>
      <c r="U422" s="28">
        <v>433046.29999999993</v>
      </c>
      <c r="V422" s="28">
        <v>684960.74</v>
      </c>
      <c r="W422" s="28">
        <v>7191115.5900000008</v>
      </c>
      <c r="X422" s="28">
        <v>698823.93</v>
      </c>
      <c r="Y422" s="28">
        <v>254535.61</v>
      </c>
      <c r="Z422" s="28">
        <v>1030998.6</v>
      </c>
      <c r="AA422" s="28">
        <v>358115.38999999996</v>
      </c>
      <c r="AB422" s="28">
        <v>696164.61</v>
      </c>
      <c r="AC422" s="28">
        <v>1473309.4</v>
      </c>
      <c r="AD422" s="28">
        <v>1714797.2899999998</v>
      </c>
      <c r="AE422" s="28">
        <v>0</v>
      </c>
      <c r="AF422" s="28">
        <v>14535867.459999999</v>
      </c>
      <c r="AG422" s="147"/>
      <c r="AH422" s="147"/>
      <c r="AI422" s="405">
        <v>329</v>
      </c>
      <c r="AJ422" s="460">
        <v>663</v>
      </c>
      <c r="AK422" s="417">
        <v>0.49619999999999997</v>
      </c>
      <c r="AL422" s="405">
        <v>9</v>
      </c>
      <c r="AM422" s="147"/>
    </row>
    <row r="423" spans="1:39">
      <c r="A423" s="71">
        <v>817</v>
      </c>
      <c r="B423" s="71" t="s">
        <v>1097</v>
      </c>
      <c r="C423" s="28">
        <v>0</v>
      </c>
      <c r="D423" s="28">
        <v>0</v>
      </c>
      <c r="E423" s="28">
        <v>0</v>
      </c>
      <c r="F423" s="28">
        <v>0</v>
      </c>
      <c r="G423" s="28">
        <v>0</v>
      </c>
      <c r="H423" s="28">
        <v>0</v>
      </c>
      <c r="I423" s="28">
        <v>1413</v>
      </c>
      <c r="J423" s="28">
        <v>70</v>
      </c>
      <c r="K423" s="28">
        <v>0</v>
      </c>
      <c r="L423" s="28">
        <v>0</v>
      </c>
      <c r="M423" s="28">
        <v>0</v>
      </c>
      <c r="N423" s="28">
        <v>19</v>
      </c>
      <c r="O423" s="28">
        <v>498</v>
      </c>
      <c r="P423" s="516">
        <v>1413</v>
      </c>
      <c r="Q423" s="517">
        <v>1</v>
      </c>
      <c r="R423" s="6">
        <v>5</v>
      </c>
      <c r="S423" s="369">
        <v>0.28539999999999999</v>
      </c>
      <c r="T423" s="365"/>
      <c r="U423" s="28">
        <v>885908.20999999985</v>
      </c>
      <c r="V423" s="28">
        <v>1304620.1299999999</v>
      </c>
      <c r="W423" s="28">
        <v>13811993.43</v>
      </c>
      <c r="X423" s="28">
        <v>1478924.84</v>
      </c>
      <c r="Y423" s="28">
        <v>470365.76999999996</v>
      </c>
      <c r="Z423" s="28">
        <v>2172006.1000000006</v>
      </c>
      <c r="AA423" s="28">
        <v>700687.3</v>
      </c>
      <c r="AB423" s="28">
        <v>1178528.54</v>
      </c>
      <c r="AC423" s="28">
        <v>3117381.31</v>
      </c>
      <c r="AD423" s="28">
        <v>3388681.9399999995</v>
      </c>
      <c r="AE423" s="28">
        <v>0</v>
      </c>
      <c r="AF423" s="28">
        <v>28509097.57</v>
      </c>
      <c r="AG423" s="147"/>
      <c r="AH423" s="147"/>
      <c r="AI423" s="405">
        <v>498</v>
      </c>
      <c r="AJ423" s="460">
        <v>1745</v>
      </c>
      <c r="AK423" s="417">
        <v>0.28539999999999999</v>
      </c>
      <c r="AL423" s="405">
        <v>5</v>
      </c>
      <c r="AM423" s="147"/>
    </row>
    <row r="424" spans="1:39">
      <c r="A424" s="71">
        <v>818</v>
      </c>
      <c r="B424" s="71" t="s">
        <v>1524</v>
      </c>
      <c r="C424" s="28">
        <v>0</v>
      </c>
      <c r="D424" s="28">
        <v>0</v>
      </c>
      <c r="E424" s="28">
        <v>0</v>
      </c>
      <c r="F424" s="28">
        <v>0</v>
      </c>
      <c r="G424" s="28">
        <v>0</v>
      </c>
      <c r="H424" s="28">
        <v>0</v>
      </c>
      <c r="I424" s="28">
        <v>571</v>
      </c>
      <c r="J424" s="28">
        <v>28</v>
      </c>
      <c r="K424" s="28">
        <v>0</v>
      </c>
      <c r="L424" s="28">
        <v>0</v>
      </c>
      <c r="M424" s="28">
        <v>0</v>
      </c>
      <c r="N424" s="28">
        <v>0</v>
      </c>
      <c r="O424" s="28">
        <v>294</v>
      </c>
      <c r="P424" s="516">
        <v>571</v>
      </c>
      <c r="Q424" s="517">
        <v>1</v>
      </c>
      <c r="R424" s="6">
        <v>9</v>
      </c>
      <c r="S424" s="369">
        <v>0.48759999999999998</v>
      </c>
      <c r="T424" s="365"/>
      <c r="U424" s="28">
        <v>369544.43</v>
      </c>
      <c r="V424" s="28">
        <v>589024.86</v>
      </c>
      <c r="W424" s="28">
        <v>6186760.0700000003</v>
      </c>
      <c r="X424" s="28">
        <v>593195.92999999993</v>
      </c>
      <c r="Y424" s="28">
        <v>219531.72999999998</v>
      </c>
      <c r="Z424" s="28">
        <v>880987.28999999992</v>
      </c>
      <c r="AA424" s="28">
        <v>307531.3</v>
      </c>
      <c r="AB424" s="28">
        <v>606490.6</v>
      </c>
      <c r="AC424" s="28">
        <v>1255834.49</v>
      </c>
      <c r="AD424" s="28">
        <v>1471407.31</v>
      </c>
      <c r="AE424" s="28">
        <v>0</v>
      </c>
      <c r="AF424" s="28">
        <v>12480308.01</v>
      </c>
      <c r="AG424" s="147"/>
      <c r="AH424" s="147"/>
      <c r="AI424" s="405">
        <v>294</v>
      </c>
      <c r="AJ424" s="460">
        <v>603</v>
      </c>
      <c r="AK424" s="417">
        <v>0.48759999999999998</v>
      </c>
      <c r="AL424" s="405">
        <v>9</v>
      </c>
      <c r="AM424" s="147"/>
    </row>
    <row r="425" spans="1:39">
      <c r="A425" s="71">
        <v>821</v>
      </c>
      <c r="B425" s="71" t="s">
        <v>1525</v>
      </c>
      <c r="C425" s="28">
        <v>0</v>
      </c>
      <c r="D425" s="28">
        <v>0</v>
      </c>
      <c r="E425" s="28">
        <v>0</v>
      </c>
      <c r="F425" s="28">
        <v>0</v>
      </c>
      <c r="G425" s="28">
        <v>0</v>
      </c>
      <c r="H425" s="28">
        <v>0</v>
      </c>
      <c r="I425" s="28">
        <v>1479</v>
      </c>
      <c r="J425" s="28">
        <v>73</v>
      </c>
      <c r="K425" s="28">
        <v>0</v>
      </c>
      <c r="L425" s="28">
        <v>0</v>
      </c>
      <c r="M425" s="28">
        <v>0</v>
      </c>
      <c r="N425" s="28">
        <v>35</v>
      </c>
      <c r="O425" s="28">
        <v>761</v>
      </c>
      <c r="P425" s="516">
        <v>1479</v>
      </c>
      <c r="Q425" s="517">
        <v>1</v>
      </c>
      <c r="R425" s="6">
        <v>9</v>
      </c>
      <c r="S425" s="369">
        <v>0.52769999999999995</v>
      </c>
      <c r="T425" s="365"/>
      <c r="U425" s="28">
        <v>963051.28</v>
      </c>
      <c r="V425" s="28">
        <v>1533231.29</v>
      </c>
      <c r="W425" s="28">
        <v>16081939.41</v>
      </c>
      <c r="X425" s="28">
        <v>1548784.84</v>
      </c>
      <c r="Y425" s="28">
        <v>570976.54999999993</v>
      </c>
      <c r="Z425" s="28">
        <v>2287661.31</v>
      </c>
      <c r="AA425" s="28">
        <v>799805.35000000009</v>
      </c>
      <c r="AB425" s="28">
        <v>1571580.95</v>
      </c>
      <c r="AC425" s="28">
        <v>3267806.7399999998</v>
      </c>
      <c r="AD425" s="28">
        <v>3825701.34</v>
      </c>
      <c r="AE425" s="28">
        <v>0</v>
      </c>
      <c r="AF425" s="28">
        <v>32450539.059999999</v>
      </c>
      <c r="AG425" s="147"/>
      <c r="AH425" s="147"/>
      <c r="AI425" s="405">
        <v>761</v>
      </c>
      <c r="AJ425" s="460">
        <v>1442</v>
      </c>
      <c r="AK425" s="417">
        <v>0.52769999999999995</v>
      </c>
      <c r="AL425" s="405">
        <v>9</v>
      </c>
      <c r="AM425" s="147"/>
    </row>
    <row r="426" spans="1:39">
      <c r="A426" s="71">
        <v>823</v>
      </c>
      <c r="B426" s="71" t="s">
        <v>1526</v>
      </c>
      <c r="C426" s="28">
        <v>0</v>
      </c>
      <c r="D426" s="28">
        <v>0</v>
      </c>
      <c r="E426" s="28">
        <v>0</v>
      </c>
      <c r="F426" s="28">
        <v>0</v>
      </c>
      <c r="G426" s="28">
        <v>0</v>
      </c>
      <c r="H426" s="28">
        <v>0</v>
      </c>
      <c r="I426" s="28">
        <v>1778</v>
      </c>
      <c r="J426" s="28">
        <v>88</v>
      </c>
      <c r="K426" s="28">
        <v>0</v>
      </c>
      <c r="L426" s="28">
        <v>0</v>
      </c>
      <c r="M426" s="28">
        <v>0</v>
      </c>
      <c r="N426" s="28">
        <v>180</v>
      </c>
      <c r="O426" s="28">
        <v>1297</v>
      </c>
      <c r="P426" s="516">
        <v>1778</v>
      </c>
      <c r="Q426" s="517">
        <v>1.077</v>
      </c>
      <c r="R426" s="6">
        <v>11</v>
      </c>
      <c r="S426" s="369">
        <v>0.73109999999999997</v>
      </c>
      <c r="T426" s="365"/>
      <c r="U426" s="28">
        <v>1324954.2420599996</v>
      </c>
      <c r="V426" s="28">
        <v>2294882.54232</v>
      </c>
      <c r="W426" s="28">
        <v>23757296.733179998</v>
      </c>
      <c r="X426" s="28">
        <v>2040703.0679400002</v>
      </c>
      <c r="Y426" s="28">
        <v>879894.37433999986</v>
      </c>
      <c r="Z426" s="28">
        <v>2790767.97</v>
      </c>
      <c r="AA426" s="28">
        <v>1159074.1958699999</v>
      </c>
      <c r="AB426" s="28">
        <v>2608057.2764999997</v>
      </c>
      <c r="AC426" s="28">
        <v>4288327.2379799997</v>
      </c>
      <c r="AD426" s="28">
        <v>5079933.6500000004</v>
      </c>
      <c r="AE426" s="28">
        <v>0</v>
      </c>
      <c r="AF426" s="28">
        <v>46223891.290189996</v>
      </c>
      <c r="AG426" s="147"/>
      <c r="AH426" s="147"/>
      <c r="AI426" s="405">
        <v>1297</v>
      </c>
      <c r="AJ426" s="460">
        <v>1774</v>
      </c>
      <c r="AK426" s="417">
        <v>0.73109999999999997</v>
      </c>
      <c r="AL426" s="405">
        <v>11</v>
      </c>
      <c r="AM426" s="147"/>
    </row>
    <row r="427" spans="1:39">
      <c r="A427" s="71">
        <v>825</v>
      </c>
      <c r="B427" s="71" t="s">
        <v>1527</v>
      </c>
      <c r="C427" s="28">
        <v>0</v>
      </c>
      <c r="D427" s="28">
        <v>0</v>
      </c>
      <c r="E427" s="28">
        <v>0</v>
      </c>
      <c r="F427" s="28">
        <v>0</v>
      </c>
      <c r="G427" s="28">
        <v>0</v>
      </c>
      <c r="H427" s="28">
        <v>0</v>
      </c>
      <c r="I427" s="28">
        <v>2160</v>
      </c>
      <c r="J427" s="28">
        <v>106</v>
      </c>
      <c r="K427" s="28">
        <v>0</v>
      </c>
      <c r="L427" s="28">
        <v>0</v>
      </c>
      <c r="M427" s="28">
        <v>0</v>
      </c>
      <c r="N427" s="28">
        <v>98</v>
      </c>
      <c r="O427" s="28">
        <v>1261</v>
      </c>
      <c r="P427" s="516">
        <v>2160</v>
      </c>
      <c r="Q427" s="517">
        <v>1</v>
      </c>
      <c r="R427" s="6">
        <v>10</v>
      </c>
      <c r="S427" s="369">
        <v>0.58730000000000004</v>
      </c>
      <c r="T427" s="365"/>
      <c r="U427" s="28">
        <v>1431641.38</v>
      </c>
      <c r="V427" s="28">
        <v>2349655.36</v>
      </c>
      <c r="W427" s="28">
        <v>24530034.690000001</v>
      </c>
      <c r="X427" s="28">
        <v>2266475.38</v>
      </c>
      <c r="Y427" s="28">
        <v>883932.07000000007</v>
      </c>
      <c r="Z427" s="28">
        <v>3355448.92</v>
      </c>
      <c r="AA427" s="28">
        <v>1212078.92</v>
      </c>
      <c r="AB427" s="28">
        <v>2502190.15</v>
      </c>
      <c r="AC427" s="28">
        <v>4788169.3000000007</v>
      </c>
      <c r="AD427" s="28">
        <v>5769003.1799999997</v>
      </c>
      <c r="AE427" s="28">
        <v>0</v>
      </c>
      <c r="AF427" s="28">
        <v>49088629.350000001</v>
      </c>
      <c r="AG427" s="147"/>
      <c r="AH427" s="147"/>
      <c r="AI427" s="405">
        <v>1261</v>
      </c>
      <c r="AJ427" s="460">
        <v>2147</v>
      </c>
      <c r="AK427" s="417">
        <v>0.58730000000000004</v>
      </c>
      <c r="AL427" s="405">
        <v>10</v>
      </c>
      <c r="AM427" s="147"/>
    </row>
    <row r="428" spans="1:39">
      <c r="A428" s="71">
        <v>828</v>
      </c>
      <c r="B428" s="71" t="s">
        <v>1528</v>
      </c>
      <c r="C428" s="28">
        <v>0</v>
      </c>
      <c r="D428" s="28">
        <v>0</v>
      </c>
      <c r="E428" s="28">
        <v>0</v>
      </c>
      <c r="F428" s="28">
        <v>0</v>
      </c>
      <c r="G428" s="28">
        <v>0</v>
      </c>
      <c r="H428" s="28">
        <v>0</v>
      </c>
      <c r="I428" s="28">
        <v>2373</v>
      </c>
      <c r="J428" s="28">
        <v>117</v>
      </c>
      <c r="K428" s="28">
        <v>0</v>
      </c>
      <c r="L428" s="28">
        <v>0</v>
      </c>
      <c r="M428" s="28">
        <v>0</v>
      </c>
      <c r="N428" s="28">
        <v>183</v>
      </c>
      <c r="O428" s="28">
        <v>1303</v>
      </c>
      <c r="P428" s="516">
        <v>2373</v>
      </c>
      <c r="Q428" s="517">
        <v>1</v>
      </c>
      <c r="R428" s="6">
        <v>10</v>
      </c>
      <c r="S428" s="369">
        <v>0.56310000000000004</v>
      </c>
      <c r="T428" s="365"/>
      <c r="U428" s="28">
        <v>1576101.2</v>
      </c>
      <c r="V428" s="28">
        <v>2560348.41</v>
      </c>
      <c r="W428" s="28">
        <v>26703304.120000001</v>
      </c>
      <c r="X428" s="28">
        <v>2511910.2599999998</v>
      </c>
      <c r="Y428" s="28">
        <v>958276.58</v>
      </c>
      <c r="Z428" s="28">
        <v>3695768.4799999995</v>
      </c>
      <c r="AA428" s="28">
        <v>1323854.6399999999</v>
      </c>
      <c r="AB428" s="28">
        <v>2673836.13</v>
      </c>
      <c r="AC428" s="28">
        <v>5290882.08</v>
      </c>
      <c r="AD428" s="28">
        <v>6304930.1399999997</v>
      </c>
      <c r="AE428" s="28">
        <v>0</v>
      </c>
      <c r="AF428" s="28">
        <v>53599212.039999999</v>
      </c>
      <c r="AG428" s="147"/>
      <c r="AH428" s="147"/>
      <c r="AI428" s="405">
        <v>1303</v>
      </c>
      <c r="AJ428" s="460">
        <v>2314</v>
      </c>
      <c r="AK428" s="417">
        <v>0.56310000000000004</v>
      </c>
      <c r="AL428" s="405">
        <v>10</v>
      </c>
      <c r="AM428" s="147"/>
    </row>
    <row r="429" spans="1:39">
      <c r="A429" s="71">
        <v>829</v>
      </c>
      <c r="B429" s="71" t="s">
        <v>1529</v>
      </c>
      <c r="C429" s="28">
        <v>0</v>
      </c>
      <c r="D429" s="28">
        <v>0</v>
      </c>
      <c r="E429" s="28">
        <v>0</v>
      </c>
      <c r="F429" s="28">
        <v>0</v>
      </c>
      <c r="G429" s="28">
        <v>0</v>
      </c>
      <c r="H429" s="28">
        <v>0</v>
      </c>
      <c r="I429" s="28">
        <v>869</v>
      </c>
      <c r="J429" s="28">
        <v>43</v>
      </c>
      <c r="K429" s="28">
        <v>0</v>
      </c>
      <c r="L429" s="28">
        <v>0</v>
      </c>
      <c r="M429" s="28">
        <v>0</v>
      </c>
      <c r="N429" s="28">
        <v>127</v>
      </c>
      <c r="O429" s="28">
        <v>520</v>
      </c>
      <c r="P429" s="516">
        <v>869</v>
      </c>
      <c r="Q429" s="517">
        <v>1.0169999999999999</v>
      </c>
      <c r="R429" s="6">
        <v>10</v>
      </c>
      <c r="S429" s="369">
        <v>0.59699999999999998</v>
      </c>
      <c r="T429" s="365"/>
      <c r="U429" s="28">
        <v>599416.89137999993</v>
      </c>
      <c r="V429" s="28">
        <v>987039.37322999979</v>
      </c>
      <c r="W429" s="28">
        <v>10236242.020409999</v>
      </c>
      <c r="X429" s="28">
        <v>950538.62286</v>
      </c>
      <c r="Y429" s="28">
        <v>370284.90993000002</v>
      </c>
      <c r="Z429" s="28">
        <v>1364398.86</v>
      </c>
      <c r="AA429" s="28">
        <v>506730.46068000002</v>
      </c>
      <c r="AB429" s="28">
        <v>1038739.8394799998</v>
      </c>
      <c r="AC429" s="28">
        <v>1994220.6755399997</v>
      </c>
      <c r="AD429" s="28">
        <v>2364378.5</v>
      </c>
      <c r="AE429" s="28">
        <v>0</v>
      </c>
      <c r="AF429" s="28">
        <v>20411990.153509997</v>
      </c>
      <c r="AG429" s="147"/>
      <c r="AH429" s="147"/>
      <c r="AI429" s="405">
        <v>520</v>
      </c>
      <c r="AJ429" s="460">
        <v>871</v>
      </c>
      <c r="AK429" s="417">
        <v>0.59699999999999998</v>
      </c>
      <c r="AL429" s="405">
        <v>10</v>
      </c>
      <c r="AM429" s="147"/>
    </row>
    <row r="430" spans="1:39">
      <c r="A430" s="71">
        <v>830</v>
      </c>
      <c r="B430" s="71" t="s">
        <v>1530</v>
      </c>
      <c r="C430" s="28">
        <v>0</v>
      </c>
      <c r="D430" s="28">
        <v>0</v>
      </c>
      <c r="E430" s="28">
        <v>0</v>
      </c>
      <c r="F430" s="28">
        <v>0</v>
      </c>
      <c r="G430" s="28">
        <v>0</v>
      </c>
      <c r="H430" s="28">
        <v>0</v>
      </c>
      <c r="I430" s="28">
        <v>654</v>
      </c>
      <c r="J430" s="28">
        <v>32</v>
      </c>
      <c r="K430" s="28">
        <v>0</v>
      </c>
      <c r="L430" s="28">
        <v>0</v>
      </c>
      <c r="M430" s="28">
        <v>0</v>
      </c>
      <c r="N430" s="28">
        <v>9</v>
      </c>
      <c r="O430" s="28">
        <v>155</v>
      </c>
      <c r="P430" s="516">
        <v>654</v>
      </c>
      <c r="Q430" s="517">
        <v>1.085</v>
      </c>
      <c r="R430" s="6">
        <v>4</v>
      </c>
      <c r="S430" s="369">
        <v>0.22689999999999999</v>
      </c>
      <c r="T430" s="365"/>
      <c r="U430" s="28">
        <v>437763.52864999999</v>
      </c>
      <c r="V430" s="28">
        <v>627657.01704999979</v>
      </c>
      <c r="W430" s="28">
        <v>6663119.2904499993</v>
      </c>
      <c r="X430" s="28">
        <v>738614.67224999995</v>
      </c>
      <c r="Y430" s="28">
        <v>222960.25220000005</v>
      </c>
      <c r="Z430" s="28">
        <v>1003319.05</v>
      </c>
      <c r="AA430" s="28">
        <v>341004.4329999999</v>
      </c>
      <c r="AB430" s="28">
        <v>535246.16739999992</v>
      </c>
      <c r="AC430" s="28">
        <v>1564094.9002</v>
      </c>
      <c r="AD430" s="28">
        <v>1524481.96</v>
      </c>
      <c r="AE430" s="28">
        <v>0</v>
      </c>
      <c r="AF430" s="28">
        <v>13658261.271200001</v>
      </c>
      <c r="AG430" s="147"/>
      <c r="AH430" s="147"/>
      <c r="AI430" s="405">
        <v>155</v>
      </c>
      <c r="AJ430" s="460">
        <v>683</v>
      </c>
      <c r="AK430" s="417">
        <v>0.22689999999999999</v>
      </c>
      <c r="AL430" s="405">
        <v>4</v>
      </c>
      <c r="AM430" s="147"/>
    </row>
    <row r="431" spans="1:39">
      <c r="A431" s="71">
        <v>832</v>
      </c>
      <c r="B431" s="71" t="s">
        <v>1531</v>
      </c>
      <c r="C431" s="28">
        <v>0</v>
      </c>
      <c r="D431" s="28">
        <v>0</v>
      </c>
      <c r="E431" s="28">
        <v>0</v>
      </c>
      <c r="F431" s="28">
        <v>0</v>
      </c>
      <c r="G431" s="28">
        <v>0</v>
      </c>
      <c r="H431" s="28">
        <v>0</v>
      </c>
      <c r="I431" s="28">
        <v>1476</v>
      </c>
      <c r="J431" s="28">
        <v>73</v>
      </c>
      <c r="K431" s="28">
        <v>0</v>
      </c>
      <c r="L431" s="28">
        <v>0</v>
      </c>
      <c r="M431" s="28">
        <v>0</v>
      </c>
      <c r="N431" s="28">
        <v>10</v>
      </c>
      <c r="O431" s="28">
        <v>501</v>
      </c>
      <c r="P431" s="516">
        <v>1476</v>
      </c>
      <c r="Q431" s="517">
        <v>1</v>
      </c>
      <c r="R431" s="6">
        <v>6</v>
      </c>
      <c r="S431" s="369">
        <v>0.3508</v>
      </c>
      <c r="T431" s="365"/>
      <c r="U431" s="28">
        <v>925955.87000000011</v>
      </c>
      <c r="V431" s="28">
        <v>1370901.17</v>
      </c>
      <c r="W431" s="28">
        <v>14511794.639999999</v>
      </c>
      <c r="X431" s="28">
        <v>1541524.8800000001</v>
      </c>
      <c r="Y431" s="28">
        <v>495525.02999999997</v>
      </c>
      <c r="Z431" s="28">
        <v>2267986.81</v>
      </c>
      <c r="AA431" s="28">
        <v>735060.16</v>
      </c>
      <c r="AB431" s="28">
        <v>1251911.1199999999</v>
      </c>
      <c r="AC431" s="28">
        <v>3252208.9899999998</v>
      </c>
      <c r="AD431" s="28">
        <v>3552828.26</v>
      </c>
      <c r="AE431" s="28">
        <v>0</v>
      </c>
      <c r="AF431" s="28">
        <v>29905696.93</v>
      </c>
      <c r="AG431" s="147"/>
      <c r="AH431" s="147"/>
      <c r="AI431" s="405">
        <v>501</v>
      </c>
      <c r="AJ431" s="460">
        <v>1428</v>
      </c>
      <c r="AK431" s="417">
        <v>0.3508</v>
      </c>
      <c r="AL431" s="405">
        <v>6</v>
      </c>
      <c r="AM431" s="147"/>
    </row>
    <row r="432" spans="1:39">
      <c r="A432" s="71">
        <v>851</v>
      </c>
      <c r="B432" s="71" t="s">
        <v>1532</v>
      </c>
      <c r="C432" s="28">
        <v>0</v>
      </c>
      <c r="D432" s="28">
        <v>0</v>
      </c>
      <c r="E432" s="28">
        <v>0</v>
      </c>
      <c r="F432" s="28">
        <v>0</v>
      </c>
      <c r="G432" s="28">
        <v>0</v>
      </c>
      <c r="H432" s="28">
        <v>0</v>
      </c>
      <c r="I432" s="28">
        <v>499</v>
      </c>
      <c r="J432" s="28">
        <v>25</v>
      </c>
      <c r="K432" s="28">
        <v>0</v>
      </c>
      <c r="L432" s="28">
        <v>0</v>
      </c>
      <c r="M432" s="28">
        <v>0</v>
      </c>
      <c r="N432" s="28">
        <v>3</v>
      </c>
      <c r="O432" s="28">
        <v>258</v>
      </c>
      <c r="P432" s="516">
        <v>499</v>
      </c>
      <c r="Q432" s="517">
        <v>1</v>
      </c>
      <c r="R432" s="6">
        <v>9</v>
      </c>
      <c r="S432" s="369">
        <v>0.5202</v>
      </c>
      <c r="T432" s="365"/>
      <c r="U432" s="28">
        <v>325067.53999999998</v>
      </c>
      <c r="V432" s="28">
        <v>515878.22999999992</v>
      </c>
      <c r="W432" s="28">
        <v>5421220.5499999998</v>
      </c>
      <c r="X432" s="28">
        <v>524125.04000000004</v>
      </c>
      <c r="Y432" s="28">
        <v>192519.79</v>
      </c>
      <c r="Z432" s="28">
        <v>770636.70000000007</v>
      </c>
      <c r="AA432" s="28">
        <v>269220.58</v>
      </c>
      <c r="AB432" s="28">
        <v>531056.62</v>
      </c>
      <c r="AC432" s="28">
        <v>1100457.02</v>
      </c>
      <c r="AD432" s="28">
        <v>1289919.8799999999</v>
      </c>
      <c r="AE432" s="28">
        <v>0</v>
      </c>
      <c r="AF432" s="28">
        <v>10940101.949999999</v>
      </c>
      <c r="AG432" s="147"/>
      <c r="AH432" s="147"/>
      <c r="AI432" s="405">
        <v>258</v>
      </c>
      <c r="AJ432" s="460">
        <v>496</v>
      </c>
      <c r="AK432" s="417">
        <v>0.5202</v>
      </c>
      <c r="AL432" s="405">
        <v>9</v>
      </c>
      <c r="AM432" s="147"/>
    </row>
    <row r="433" spans="1:40">
      <c r="A433" s="71">
        <v>852</v>
      </c>
      <c r="B433" s="71" t="s">
        <v>1533</v>
      </c>
      <c r="C433" s="28">
        <v>0</v>
      </c>
      <c r="D433" s="28">
        <v>0</v>
      </c>
      <c r="E433" s="28">
        <v>0</v>
      </c>
      <c r="F433" s="28">
        <v>0</v>
      </c>
      <c r="G433" s="28">
        <v>0</v>
      </c>
      <c r="H433" s="28">
        <v>0</v>
      </c>
      <c r="I433" s="28">
        <v>757</v>
      </c>
      <c r="J433" s="28">
        <v>37</v>
      </c>
      <c r="K433" s="28">
        <v>0</v>
      </c>
      <c r="L433" s="28">
        <v>0</v>
      </c>
      <c r="M433" s="28">
        <v>0</v>
      </c>
      <c r="N433" s="28">
        <v>4</v>
      </c>
      <c r="O433" s="28">
        <v>279</v>
      </c>
      <c r="P433" s="516">
        <v>757</v>
      </c>
      <c r="Q433" s="517">
        <v>1.0029999999999999</v>
      </c>
      <c r="R433" s="6">
        <v>7</v>
      </c>
      <c r="S433" s="369">
        <v>0.3609</v>
      </c>
      <c r="T433" s="365"/>
      <c r="U433" s="28">
        <v>478098.0140299999</v>
      </c>
      <c r="V433" s="28">
        <v>720512.23147999984</v>
      </c>
      <c r="W433" s="28">
        <v>7610645.7162099984</v>
      </c>
      <c r="X433" s="28">
        <v>788519.29242999991</v>
      </c>
      <c r="Y433" s="28">
        <v>261982.88786999995</v>
      </c>
      <c r="Z433" s="28">
        <v>1163944.21</v>
      </c>
      <c r="AA433" s="28">
        <v>384165.76012999995</v>
      </c>
      <c r="AB433" s="28">
        <v>675919.70402999991</v>
      </c>
      <c r="AC433" s="28">
        <v>1671016.8764599999</v>
      </c>
      <c r="AD433" s="28">
        <v>1845821.36</v>
      </c>
      <c r="AE433" s="28">
        <v>0</v>
      </c>
      <c r="AF433" s="28">
        <v>15600626.052639998</v>
      </c>
      <c r="AG433" s="147"/>
      <c r="AH433" s="147"/>
      <c r="AI433" s="405">
        <v>279</v>
      </c>
      <c r="AJ433" s="460">
        <v>773</v>
      </c>
      <c r="AK433" s="417">
        <v>0.3609</v>
      </c>
      <c r="AL433" s="405">
        <v>7</v>
      </c>
      <c r="AM433" s="147"/>
    </row>
    <row r="434" spans="1:40">
      <c r="A434" s="71">
        <v>853</v>
      </c>
      <c r="B434" s="71" t="s">
        <v>1534</v>
      </c>
      <c r="C434" s="28">
        <v>0</v>
      </c>
      <c r="D434" s="28">
        <v>0</v>
      </c>
      <c r="E434" s="28">
        <v>0</v>
      </c>
      <c r="F434" s="28">
        <v>0</v>
      </c>
      <c r="G434" s="28">
        <v>0</v>
      </c>
      <c r="H434" s="28">
        <v>0</v>
      </c>
      <c r="I434" s="28">
        <v>1345</v>
      </c>
      <c r="J434" s="28">
        <v>66</v>
      </c>
      <c r="K434" s="28">
        <v>0</v>
      </c>
      <c r="L434" s="28">
        <v>0</v>
      </c>
      <c r="M434" s="28">
        <v>0</v>
      </c>
      <c r="N434" s="28">
        <v>67</v>
      </c>
      <c r="O434" s="28">
        <v>777</v>
      </c>
      <c r="P434" s="516">
        <v>1345</v>
      </c>
      <c r="Q434" s="517">
        <v>1.0569999999999999</v>
      </c>
      <c r="R434" s="6">
        <v>10</v>
      </c>
      <c r="S434" s="369">
        <v>0.5786</v>
      </c>
      <c r="T434" s="365"/>
      <c r="U434" s="28">
        <v>942222.41000999999</v>
      </c>
      <c r="V434" s="28">
        <v>1543920.2519299998</v>
      </c>
      <c r="W434" s="28">
        <v>16116108.130919999</v>
      </c>
      <c r="X434" s="28">
        <v>1493099.7659199999</v>
      </c>
      <c r="Y434" s="28">
        <v>580301.07548</v>
      </c>
      <c r="Z434" s="28">
        <v>2090060.56</v>
      </c>
      <c r="AA434" s="28">
        <v>796793.99743999995</v>
      </c>
      <c r="AB434" s="28">
        <v>1638925.8007499999</v>
      </c>
      <c r="AC434" s="28">
        <v>3153854.7306699995</v>
      </c>
      <c r="AD434" s="28">
        <v>3588181.84</v>
      </c>
      <c r="AE434" s="28">
        <v>0</v>
      </c>
      <c r="AF434" s="28">
        <v>31943468.563119989</v>
      </c>
      <c r="AG434" s="147"/>
      <c r="AH434" s="147"/>
      <c r="AI434" s="405">
        <v>777</v>
      </c>
      <c r="AJ434" s="460">
        <v>1343</v>
      </c>
      <c r="AK434" s="417">
        <v>0.5786</v>
      </c>
      <c r="AL434" s="405">
        <v>10</v>
      </c>
      <c r="AM434" s="147"/>
    </row>
    <row r="435" spans="1:40">
      <c r="A435" s="71">
        <v>855</v>
      </c>
      <c r="B435" s="71" t="s">
        <v>1535</v>
      </c>
      <c r="C435" s="28">
        <v>0</v>
      </c>
      <c r="D435" s="28">
        <v>0</v>
      </c>
      <c r="E435" s="28">
        <v>0</v>
      </c>
      <c r="F435" s="28">
        <v>0</v>
      </c>
      <c r="G435" s="28">
        <v>0</v>
      </c>
      <c r="H435" s="28">
        <v>0</v>
      </c>
      <c r="I435" s="28">
        <v>553</v>
      </c>
      <c r="J435" s="28">
        <v>27</v>
      </c>
      <c r="K435" s="28">
        <v>0</v>
      </c>
      <c r="L435" s="28">
        <v>0</v>
      </c>
      <c r="M435" s="28">
        <v>0</v>
      </c>
      <c r="N435" s="28">
        <v>0</v>
      </c>
      <c r="O435" s="28">
        <v>151</v>
      </c>
      <c r="P435" s="516">
        <v>553</v>
      </c>
      <c r="Q435" s="517">
        <v>1</v>
      </c>
      <c r="R435" s="6">
        <v>5</v>
      </c>
      <c r="S435" s="369">
        <v>0.27500000000000002</v>
      </c>
      <c r="T435" s="365"/>
      <c r="U435" s="28">
        <v>341654.39999999997</v>
      </c>
      <c r="V435" s="28">
        <v>495230.54999999993</v>
      </c>
      <c r="W435" s="28">
        <v>5256179.75</v>
      </c>
      <c r="X435" s="28">
        <v>573376.85</v>
      </c>
      <c r="Y435" s="28">
        <v>176928.63</v>
      </c>
      <c r="Z435" s="28">
        <v>847705.75000000012</v>
      </c>
      <c r="AA435" s="28">
        <v>268101.25</v>
      </c>
      <c r="AB435" s="28">
        <v>432852.64999999997</v>
      </c>
      <c r="AC435" s="28">
        <v>1215840.1599999999</v>
      </c>
      <c r="AD435" s="28">
        <v>1298979.5599999998</v>
      </c>
      <c r="AE435" s="28">
        <v>0</v>
      </c>
      <c r="AF435" s="28">
        <v>10906849.550000001</v>
      </c>
      <c r="AG435" s="147"/>
      <c r="AH435" s="147"/>
      <c r="AI435" s="405">
        <v>151</v>
      </c>
      <c r="AJ435" s="460">
        <v>549</v>
      </c>
      <c r="AK435" s="417">
        <v>0.27500000000000002</v>
      </c>
      <c r="AL435" s="405">
        <v>5</v>
      </c>
      <c r="AM435" s="147"/>
    </row>
    <row r="436" spans="1:40">
      <c r="A436" s="71">
        <v>860</v>
      </c>
      <c r="B436" s="71" t="s">
        <v>1536</v>
      </c>
      <c r="C436" s="28">
        <v>0</v>
      </c>
      <c r="D436" s="28">
        <v>0</v>
      </c>
      <c r="E436" s="28">
        <v>0</v>
      </c>
      <c r="F436" s="28">
        <v>0</v>
      </c>
      <c r="G436" s="28">
        <v>0</v>
      </c>
      <c r="H436" s="28">
        <v>0</v>
      </c>
      <c r="I436" s="28">
        <v>623</v>
      </c>
      <c r="J436" s="28">
        <v>31</v>
      </c>
      <c r="K436" s="28">
        <v>0</v>
      </c>
      <c r="L436" s="28">
        <v>0</v>
      </c>
      <c r="M436" s="28">
        <v>0</v>
      </c>
      <c r="N436" s="28">
        <v>3</v>
      </c>
      <c r="O436" s="28">
        <v>311</v>
      </c>
      <c r="P436" s="516">
        <v>623</v>
      </c>
      <c r="Q436" s="517">
        <v>1</v>
      </c>
      <c r="R436" s="6">
        <v>9</v>
      </c>
      <c r="S436" s="369">
        <v>0.48370000000000002</v>
      </c>
      <c r="T436" s="365"/>
      <c r="U436" s="28">
        <v>404085.70000000007</v>
      </c>
      <c r="V436" s="28">
        <v>639131.64999999991</v>
      </c>
      <c r="W436" s="28">
        <v>6718432.4500000011</v>
      </c>
      <c r="X436" s="28">
        <v>652176.64000000001</v>
      </c>
      <c r="Y436" s="28">
        <v>237946.87</v>
      </c>
      <c r="Z436" s="28">
        <v>961581.49</v>
      </c>
      <c r="AA436" s="28">
        <v>334162.57</v>
      </c>
      <c r="AB436" s="28">
        <v>653190.09</v>
      </c>
      <c r="AC436" s="28">
        <v>1372899</v>
      </c>
      <c r="AD436" s="28">
        <v>1601345.0200000003</v>
      </c>
      <c r="AE436" s="28">
        <v>0</v>
      </c>
      <c r="AF436" s="28">
        <v>13574951.48</v>
      </c>
      <c r="AG436" s="147"/>
      <c r="AH436" s="147"/>
      <c r="AI436" s="405">
        <v>311</v>
      </c>
      <c r="AJ436" s="460">
        <v>643</v>
      </c>
      <c r="AK436" s="417">
        <v>0.48370000000000002</v>
      </c>
      <c r="AL436" s="405">
        <v>9</v>
      </c>
      <c r="AM436" s="147"/>
    </row>
    <row r="437" spans="1:40">
      <c r="A437" s="71">
        <v>871</v>
      </c>
      <c r="B437" s="71" t="s">
        <v>1537</v>
      </c>
      <c r="C437" s="28">
        <v>0</v>
      </c>
      <c r="D437" s="28">
        <v>0</v>
      </c>
      <c r="E437" s="28">
        <v>0</v>
      </c>
      <c r="F437" s="28">
        <v>0</v>
      </c>
      <c r="G437" s="28">
        <v>0</v>
      </c>
      <c r="H437" s="28">
        <v>0</v>
      </c>
      <c r="I437" s="28">
        <v>1308</v>
      </c>
      <c r="J437" s="28">
        <v>64</v>
      </c>
      <c r="K437" s="28">
        <v>0</v>
      </c>
      <c r="L437" s="28">
        <v>0</v>
      </c>
      <c r="M437" s="28">
        <v>0</v>
      </c>
      <c r="N437" s="28">
        <v>6</v>
      </c>
      <c r="O437" s="28">
        <v>362</v>
      </c>
      <c r="P437" s="516">
        <v>1308</v>
      </c>
      <c r="Q437" s="517">
        <v>1</v>
      </c>
      <c r="R437" s="6">
        <v>5</v>
      </c>
      <c r="S437" s="369">
        <v>0.2772</v>
      </c>
      <c r="T437" s="365"/>
      <c r="U437" s="28">
        <v>809613.67999999993</v>
      </c>
      <c r="V437" s="28">
        <v>1174201.92</v>
      </c>
      <c r="W437" s="28">
        <v>12457817.52</v>
      </c>
      <c r="X437" s="28">
        <v>1358839.26</v>
      </c>
      <c r="Y437" s="28">
        <v>419649.76000000007</v>
      </c>
      <c r="Z437" s="28">
        <v>2006181.3800000001</v>
      </c>
      <c r="AA437" s="28">
        <v>635302.62</v>
      </c>
      <c r="AB437" s="28">
        <v>1027113.0199999998</v>
      </c>
      <c r="AC437" s="28">
        <v>2878560.16</v>
      </c>
      <c r="AD437" s="28">
        <v>3077748.32</v>
      </c>
      <c r="AE437" s="28">
        <v>0</v>
      </c>
      <c r="AF437" s="28">
        <v>25845027.640000001</v>
      </c>
      <c r="AG437" s="147"/>
      <c r="AH437" s="147"/>
      <c r="AI437" s="405">
        <v>362</v>
      </c>
      <c r="AJ437" s="460">
        <v>1306</v>
      </c>
      <c r="AK437" s="417">
        <v>0.2772</v>
      </c>
      <c r="AL437" s="405">
        <v>5</v>
      </c>
      <c r="AM437" s="147"/>
    </row>
    <row r="438" spans="1:40">
      <c r="A438" s="71">
        <v>872</v>
      </c>
      <c r="B438" s="71" t="s">
        <v>1538</v>
      </c>
      <c r="C438" s="28">
        <v>0</v>
      </c>
      <c r="D438" s="28">
        <v>0</v>
      </c>
      <c r="E438" s="28">
        <v>0</v>
      </c>
      <c r="F438" s="28">
        <v>0</v>
      </c>
      <c r="G438" s="28">
        <v>0</v>
      </c>
      <c r="H438" s="28">
        <v>0</v>
      </c>
      <c r="I438" s="28">
        <v>1677</v>
      </c>
      <c r="J438" s="28">
        <v>83</v>
      </c>
      <c r="K438" s="28">
        <v>0</v>
      </c>
      <c r="L438" s="28">
        <v>0</v>
      </c>
      <c r="M438" s="28">
        <v>0</v>
      </c>
      <c r="N438" s="28">
        <v>80</v>
      </c>
      <c r="O438" s="28">
        <v>821</v>
      </c>
      <c r="P438" s="516">
        <v>1677</v>
      </c>
      <c r="Q438" s="517">
        <v>1</v>
      </c>
      <c r="R438" s="6">
        <v>9</v>
      </c>
      <c r="S438" s="369">
        <v>0.5141</v>
      </c>
      <c r="T438" s="365"/>
      <c r="U438" s="28">
        <v>1093995.18</v>
      </c>
      <c r="V438" s="28">
        <v>1729439.24</v>
      </c>
      <c r="W438" s="28">
        <v>18124145.050000001</v>
      </c>
      <c r="X438" s="28">
        <v>1767239.0500000003</v>
      </c>
      <c r="Y438" s="28">
        <v>641559.63</v>
      </c>
      <c r="Z438" s="28">
        <v>2599100.4000000004</v>
      </c>
      <c r="AA438" s="28">
        <v>903597.91</v>
      </c>
      <c r="AB438" s="28">
        <v>1746286.73</v>
      </c>
      <c r="AC438" s="28">
        <v>3721400.8400000003</v>
      </c>
      <c r="AD438" s="28">
        <v>4323612.97</v>
      </c>
      <c r="AE438" s="28">
        <v>0</v>
      </c>
      <c r="AF438" s="28">
        <v>36650377</v>
      </c>
      <c r="AG438" s="147"/>
      <c r="AH438" s="147"/>
      <c r="AI438" s="405">
        <v>821</v>
      </c>
      <c r="AJ438" s="460">
        <v>1597</v>
      </c>
      <c r="AK438" s="417">
        <v>0.5141</v>
      </c>
      <c r="AL438" s="405">
        <v>9</v>
      </c>
      <c r="AM438" s="147"/>
    </row>
    <row r="439" spans="1:40">
      <c r="A439" s="71">
        <v>873</v>
      </c>
      <c r="B439" s="71" t="s">
        <v>1539</v>
      </c>
      <c r="C439" s="28">
        <v>0</v>
      </c>
      <c r="D439" s="28">
        <v>0</v>
      </c>
      <c r="E439" s="28">
        <v>0</v>
      </c>
      <c r="F439" s="28">
        <v>0</v>
      </c>
      <c r="G439" s="28">
        <v>0</v>
      </c>
      <c r="H439" s="28">
        <v>0</v>
      </c>
      <c r="I439" s="28">
        <v>663</v>
      </c>
      <c r="J439" s="28">
        <v>33</v>
      </c>
      <c r="K439" s="28">
        <v>0</v>
      </c>
      <c r="L439" s="28">
        <v>0</v>
      </c>
      <c r="M439" s="28">
        <v>0</v>
      </c>
      <c r="N439" s="28">
        <v>5</v>
      </c>
      <c r="O439" s="28">
        <v>224</v>
      </c>
      <c r="P439" s="516">
        <v>663</v>
      </c>
      <c r="Q439" s="517">
        <v>1.0369999999999999</v>
      </c>
      <c r="R439" s="6">
        <v>6</v>
      </c>
      <c r="S439" s="369">
        <v>0.33629999999999999</v>
      </c>
      <c r="T439" s="365"/>
      <c r="U439" s="28">
        <v>431977.01318000001</v>
      </c>
      <c r="V439" s="28">
        <v>638319.47020999994</v>
      </c>
      <c r="W439" s="28">
        <v>6759092.6944699995</v>
      </c>
      <c r="X439" s="28">
        <v>720240.90433999989</v>
      </c>
      <c r="Y439" s="28">
        <v>230782.88782999999</v>
      </c>
      <c r="Z439" s="28">
        <v>1018894.6599999999</v>
      </c>
      <c r="AA439" s="28">
        <v>342298.89163999999</v>
      </c>
      <c r="AB439" s="28">
        <v>582400.06443999999</v>
      </c>
      <c r="AC439" s="28">
        <v>1515852.7315799997</v>
      </c>
      <c r="AD439" s="28">
        <v>1596329.5799999998</v>
      </c>
      <c r="AE439" s="28">
        <v>0</v>
      </c>
      <c r="AF439" s="28">
        <v>13836188.89769</v>
      </c>
      <c r="AG439" s="147"/>
      <c r="AH439" s="147"/>
      <c r="AI439" s="405">
        <v>224</v>
      </c>
      <c r="AJ439" s="460">
        <v>666</v>
      </c>
      <c r="AK439" s="417">
        <v>0.33629999999999999</v>
      </c>
      <c r="AL439" s="405">
        <v>6</v>
      </c>
      <c r="AM439" s="147"/>
    </row>
    <row r="440" spans="1:40">
      <c r="A440" s="71">
        <v>876</v>
      </c>
      <c r="B440" s="71" t="s">
        <v>1540</v>
      </c>
      <c r="C440" s="28">
        <v>0</v>
      </c>
      <c r="D440" s="28">
        <v>0</v>
      </c>
      <c r="E440" s="28">
        <v>0</v>
      </c>
      <c r="F440" s="28">
        <v>0</v>
      </c>
      <c r="G440" s="28">
        <v>0</v>
      </c>
      <c r="H440" s="28">
        <v>0</v>
      </c>
      <c r="I440" s="28">
        <v>1243</v>
      </c>
      <c r="J440" s="28">
        <v>61</v>
      </c>
      <c r="K440" s="28">
        <v>0</v>
      </c>
      <c r="L440" s="28">
        <v>0</v>
      </c>
      <c r="M440" s="28">
        <v>0</v>
      </c>
      <c r="N440" s="28">
        <v>16</v>
      </c>
      <c r="O440" s="28">
        <v>473</v>
      </c>
      <c r="P440" s="516">
        <v>1243</v>
      </c>
      <c r="Q440" s="517">
        <v>1</v>
      </c>
      <c r="R440" s="6">
        <v>7</v>
      </c>
      <c r="S440" s="369">
        <v>0.39650000000000002</v>
      </c>
      <c r="T440" s="365"/>
      <c r="U440" s="28">
        <v>785820.73</v>
      </c>
      <c r="V440" s="28">
        <v>1187191.28</v>
      </c>
      <c r="W440" s="28">
        <v>12530705.25</v>
      </c>
      <c r="X440" s="28">
        <v>1295318.95</v>
      </c>
      <c r="Y440" s="28">
        <v>432238.87</v>
      </c>
      <c r="Z440" s="28">
        <v>1913208.9500000002</v>
      </c>
      <c r="AA440" s="28">
        <v>632007.29</v>
      </c>
      <c r="AB440" s="28">
        <v>1118245.9099999999</v>
      </c>
      <c r="AC440" s="28">
        <v>2740053.32</v>
      </c>
      <c r="AD440" s="28">
        <v>3044600.8</v>
      </c>
      <c r="AE440" s="28">
        <v>0</v>
      </c>
      <c r="AF440" s="28">
        <v>25679391.349999998</v>
      </c>
      <c r="AG440" s="147"/>
      <c r="AH440" s="147"/>
      <c r="AI440" s="405">
        <v>473</v>
      </c>
      <c r="AJ440" s="460">
        <v>1193</v>
      </c>
      <c r="AK440" s="417">
        <v>0.39650000000000002</v>
      </c>
      <c r="AL440" s="405">
        <v>7</v>
      </c>
      <c r="AM440" s="147"/>
    </row>
    <row r="441" spans="1:40">
      <c r="A441" s="71">
        <v>878</v>
      </c>
      <c r="B441" s="71" t="s">
        <v>1541</v>
      </c>
      <c r="C441" s="28">
        <v>0</v>
      </c>
      <c r="D441" s="28">
        <v>0</v>
      </c>
      <c r="E441" s="28">
        <v>0</v>
      </c>
      <c r="F441" s="28">
        <v>0</v>
      </c>
      <c r="G441" s="28">
        <v>0</v>
      </c>
      <c r="H441" s="28">
        <v>0</v>
      </c>
      <c r="I441" s="28">
        <v>942</v>
      </c>
      <c r="J441" s="28">
        <v>46</v>
      </c>
      <c r="K441" s="28">
        <v>0</v>
      </c>
      <c r="L441" s="28">
        <v>0</v>
      </c>
      <c r="M441" s="28">
        <v>0</v>
      </c>
      <c r="N441" s="28">
        <v>3</v>
      </c>
      <c r="O441" s="28">
        <v>292</v>
      </c>
      <c r="P441" s="516">
        <v>942</v>
      </c>
      <c r="Q441" s="517">
        <v>1.052</v>
      </c>
      <c r="R441" s="6">
        <v>6</v>
      </c>
      <c r="S441" s="369">
        <v>0.3029</v>
      </c>
      <c r="T441" s="365"/>
      <c r="U441" s="28">
        <v>617191.12615999987</v>
      </c>
      <c r="V441" s="28">
        <v>909571.66619999998</v>
      </c>
      <c r="W441" s="28">
        <v>9633132.1875200011</v>
      </c>
      <c r="X441" s="28">
        <v>1028272.4240400001</v>
      </c>
      <c r="Y441" s="28">
        <v>327399.44239999994</v>
      </c>
      <c r="Z441" s="28">
        <v>1445971.0299999998</v>
      </c>
      <c r="AA441" s="28">
        <v>489203.52272000001</v>
      </c>
      <c r="AB441" s="28">
        <v>819755.36727999989</v>
      </c>
      <c r="AC441" s="28">
        <v>2180029.8284</v>
      </c>
      <c r="AD441" s="28">
        <v>2247832.41</v>
      </c>
      <c r="AE441" s="28">
        <v>0</v>
      </c>
      <c r="AF441" s="28">
        <v>19698359.004720002</v>
      </c>
      <c r="AG441" s="147"/>
      <c r="AH441" s="147"/>
      <c r="AI441" s="405">
        <v>292</v>
      </c>
      <c r="AJ441" s="460">
        <v>964</v>
      </c>
      <c r="AK441" s="417">
        <v>0.3029</v>
      </c>
      <c r="AL441" s="405">
        <v>6</v>
      </c>
      <c r="AM441" s="147"/>
    </row>
    <row r="442" spans="1:40">
      <c r="A442" s="71">
        <v>879</v>
      </c>
      <c r="B442" s="71" t="s">
        <v>1542</v>
      </c>
      <c r="C442" s="28">
        <v>0</v>
      </c>
      <c r="D442" s="28">
        <v>0</v>
      </c>
      <c r="E442" s="28">
        <v>0</v>
      </c>
      <c r="F442" s="28">
        <v>0</v>
      </c>
      <c r="G442" s="28">
        <v>0</v>
      </c>
      <c r="H442" s="28">
        <v>0</v>
      </c>
      <c r="I442" s="28">
        <v>856</v>
      </c>
      <c r="J442" s="28">
        <v>42</v>
      </c>
      <c r="K442" s="28">
        <v>0</v>
      </c>
      <c r="L442" s="28">
        <v>0</v>
      </c>
      <c r="M442" s="28">
        <v>0</v>
      </c>
      <c r="N442" s="28">
        <v>3</v>
      </c>
      <c r="O442" s="28">
        <v>378</v>
      </c>
      <c r="P442" s="516">
        <v>856</v>
      </c>
      <c r="Q442" s="517">
        <v>1</v>
      </c>
      <c r="R442" s="6">
        <v>8</v>
      </c>
      <c r="S442" s="369">
        <v>0.45760000000000001</v>
      </c>
      <c r="T442" s="365"/>
      <c r="U442" s="28">
        <v>546498.12</v>
      </c>
      <c r="V442" s="28">
        <v>846004.04999999993</v>
      </c>
      <c r="W442" s="28">
        <v>8911779.2799999993</v>
      </c>
      <c r="X442" s="28">
        <v>890173.97000000009</v>
      </c>
      <c r="Y442" s="28">
        <v>311461.68</v>
      </c>
      <c r="Z442" s="28">
        <v>1318467.3899999999</v>
      </c>
      <c r="AA442" s="28">
        <v>446417.44</v>
      </c>
      <c r="AB442" s="28">
        <v>831894.15999999992</v>
      </c>
      <c r="AC442" s="28">
        <v>1883877.88</v>
      </c>
      <c r="AD442" s="28">
        <v>2144128.83</v>
      </c>
      <c r="AE442" s="28">
        <v>0</v>
      </c>
      <c r="AF442" s="28">
        <v>18130702.799999997</v>
      </c>
      <c r="AG442" s="147"/>
      <c r="AH442" s="147"/>
      <c r="AI442" s="405">
        <v>378</v>
      </c>
      <c r="AJ442" s="460">
        <v>826</v>
      </c>
      <c r="AK442" s="417">
        <v>0.45760000000000001</v>
      </c>
      <c r="AL442" s="405">
        <v>8</v>
      </c>
      <c r="AM442" s="147"/>
    </row>
    <row r="443" spans="1:40">
      <c r="A443" s="71">
        <v>885</v>
      </c>
      <c r="B443" s="71" t="s">
        <v>1543</v>
      </c>
      <c r="C443" s="28">
        <v>0</v>
      </c>
      <c r="D443" s="28">
        <v>0</v>
      </c>
      <c r="E443" s="28">
        <v>0</v>
      </c>
      <c r="F443" s="28">
        <v>0</v>
      </c>
      <c r="G443" s="28">
        <v>0</v>
      </c>
      <c r="H443" s="28">
        <v>0</v>
      </c>
      <c r="I443" s="28">
        <v>1277</v>
      </c>
      <c r="J443" s="28">
        <v>63</v>
      </c>
      <c r="K443" s="28">
        <v>0</v>
      </c>
      <c r="L443" s="28">
        <v>0</v>
      </c>
      <c r="M443" s="28">
        <v>0</v>
      </c>
      <c r="N443" s="28">
        <v>29</v>
      </c>
      <c r="O443" s="28">
        <v>573</v>
      </c>
      <c r="P443" s="516">
        <v>1277</v>
      </c>
      <c r="Q443" s="517">
        <v>1</v>
      </c>
      <c r="R443" s="6">
        <v>8</v>
      </c>
      <c r="S443" s="369">
        <v>0.44869999999999999</v>
      </c>
      <c r="T443" s="365"/>
      <c r="U443" s="28">
        <v>820221.05999999982</v>
      </c>
      <c r="V443" s="28">
        <v>1271178.0699999998</v>
      </c>
      <c r="W443" s="28">
        <v>13372011</v>
      </c>
      <c r="X443" s="28">
        <v>1336699.28</v>
      </c>
      <c r="Y443" s="28">
        <v>468097.3</v>
      </c>
      <c r="Z443" s="28">
        <v>1971218.39</v>
      </c>
      <c r="AA443" s="28">
        <v>669749.74</v>
      </c>
      <c r="AB443" s="28">
        <v>1249310.97</v>
      </c>
      <c r="AC443" s="28">
        <v>2820926.9</v>
      </c>
      <c r="AD443" s="28">
        <v>3215195.7199999997</v>
      </c>
      <c r="AE443" s="28">
        <v>0</v>
      </c>
      <c r="AF443" s="28">
        <v>27194608.429999996</v>
      </c>
      <c r="AG443" s="147"/>
      <c r="AH443" s="147"/>
      <c r="AI443" s="405">
        <v>573</v>
      </c>
      <c r="AJ443" s="460">
        <v>1277</v>
      </c>
      <c r="AK443" s="417">
        <v>0.44869999999999999</v>
      </c>
      <c r="AL443" s="405">
        <v>8</v>
      </c>
      <c r="AM443" s="147"/>
    </row>
    <row r="444" spans="1:40">
      <c r="A444" s="71">
        <v>910</v>
      </c>
      <c r="B444" s="71" t="s">
        <v>1544</v>
      </c>
      <c r="C444" s="28">
        <v>0</v>
      </c>
      <c r="D444" s="28">
        <v>0</v>
      </c>
      <c r="E444" s="28">
        <v>0</v>
      </c>
      <c r="F444" s="28">
        <v>0</v>
      </c>
      <c r="G444" s="28">
        <v>0</v>
      </c>
      <c r="H444" s="28">
        <v>0</v>
      </c>
      <c r="I444" s="28">
        <v>511</v>
      </c>
      <c r="J444" s="28">
        <v>25</v>
      </c>
      <c r="K444" s="28">
        <v>0</v>
      </c>
      <c r="L444" s="28">
        <v>0</v>
      </c>
      <c r="M444" s="28">
        <v>0</v>
      </c>
      <c r="N444" s="28">
        <v>0</v>
      </c>
      <c r="O444" s="28">
        <v>215</v>
      </c>
      <c r="P444" s="516">
        <v>511</v>
      </c>
      <c r="Q444" s="517">
        <v>1</v>
      </c>
      <c r="R444" s="6">
        <v>7</v>
      </c>
      <c r="S444" s="369">
        <v>0.36320000000000002</v>
      </c>
      <c r="T444" s="365"/>
      <c r="U444" s="28">
        <v>323597.35000000003</v>
      </c>
      <c r="V444" s="28">
        <v>494262.6</v>
      </c>
      <c r="W444" s="28">
        <v>5215222.3299999991</v>
      </c>
      <c r="X444" s="28">
        <v>530312.27</v>
      </c>
      <c r="Y444" s="28">
        <v>180869.50999999998</v>
      </c>
      <c r="Z444" s="28">
        <v>786005.23</v>
      </c>
      <c r="AA444" s="28">
        <v>262224.07</v>
      </c>
      <c r="AB444" s="28">
        <v>475249.41000000003</v>
      </c>
      <c r="AC444" s="28">
        <v>1123673</v>
      </c>
      <c r="AD444" s="28">
        <v>1261695.6599999999</v>
      </c>
      <c r="AE444" s="28">
        <v>0</v>
      </c>
      <c r="AF444" s="28">
        <v>10653111.43</v>
      </c>
      <c r="AG444" s="147"/>
      <c r="AH444" s="147"/>
      <c r="AI444" s="405">
        <v>215</v>
      </c>
      <c r="AJ444" s="460">
        <v>592</v>
      </c>
      <c r="AK444" s="417">
        <v>0.36320000000000002</v>
      </c>
      <c r="AL444" s="405">
        <v>7</v>
      </c>
      <c r="AM444" s="147"/>
    </row>
    <row r="445" spans="1:40" s="59" customFormat="1">
      <c r="A445" s="71">
        <v>915</v>
      </c>
      <c r="B445" s="71" t="s">
        <v>1545</v>
      </c>
      <c r="C445" s="28">
        <v>0</v>
      </c>
      <c r="D445" s="28">
        <v>0</v>
      </c>
      <c r="E445" s="28">
        <v>0</v>
      </c>
      <c r="F445" s="28">
        <v>0</v>
      </c>
      <c r="G445" s="28">
        <v>0</v>
      </c>
      <c r="H445" s="28">
        <v>0</v>
      </c>
      <c r="I445" s="28">
        <v>248</v>
      </c>
      <c r="J445" s="28">
        <v>12</v>
      </c>
      <c r="K445" s="28">
        <v>0</v>
      </c>
      <c r="L445" s="28">
        <v>0</v>
      </c>
      <c r="M445" s="28">
        <v>0</v>
      </c>
      <c r="N445" s="28">
        <v>2</v>
      </c>
      <c r="O445" s="28">
        <v>143</v>
      </c>
      <c r="P445" s="516">
        <v>248</v>
      </c>
      <c r="Q445" s="517">
        <v>1.0469999999999999</v>
      </c>
      <c r="R445" s="6">
        <v>5</v>
      </c>
      <c r="S445" s="369">
        <v>0.24399999999999999</v>
      </c>
      <c r="T445" s="365"/>
      <c r="U445" s="28">
        <v>165527.05643999999</v>
      </c>
      <c r="V445" s="28">
        <v>257599.26272999996</v>
      </c>
      <c r="W445" s="28">
        <v>2710263.0692400001</v>
      </c>
      <c r="X445" s="28">
        <v>268604.64617999998</v>
      </c>
      <c r="Y445" s="28">
        <v>94804.719239999977</v>
      </c>
      <c r="Z445" s="28">
        <v>382140.76</v>
      </c>
      <c r="AA445" s="28">
        <v>135809.18643</v>
      </c>
      <c r="AB445" s="28">
        <v>253845.55832999997</v>
      </c>
      <c r="AC445" s="28">
        <v>571289.93807999999</v>
      </c>
      <c r="AD445" s="28">
        <v>622060.83000000007</v>
      </c>
      <c r="AE445" s="28">
        <v>0</v>
      </c>
      <c r="AF445" s="28">
        <v>5461945.0266700005</v>
      </c>
      <c r="AG445" s="210"/>
      <c r="AH445" s="210"/>
      <c r="AI445" s="405">
        <v>143</v>
      </c>
      <c r="AJ445" s="460">
        <v>586</v>
      </c>
      <c r="AK445" s="417">
        <v>0.24399999999999999</v>
      </c>
      <c r="AL445" s="405">
        <v>5</v>
      </c>
      <c r="AM445" s="147"/>
    </row>
    <row r="446" spans="1:40" s="70" customFormat="1" ht="12.75">
      <c r="A446" s="70">
        <v>999</v>
      </c>
      <c r="B446" s="70" t="s">
        <v>391</v>
      </c>
      <c r="C446" s="74">
        <v>26485</v>
      </c>
      <c r="D446" s="74">
        <v>2706</v>
      </c>
      <c r="E446" s="74">
        <v>59264</v>
      </c>
      <c r="F446" s="74">
        <v>330237</v>
      </c>
      <c r="G446" s="74">
        <v>204913</v>
      </c>
      <c r="H446" s="74">
        <v>240173</v>
      </c>
      <c r="I446" s="74">
        <v>56318</v>
      </c>
      <c r="J446" s="74">
        <v>35614</v>
      </c>
      <c r="K446" s="74">
        <v>8371</v>
      </c>
      <c r="L446" s="74">
        <v>70454</v>
      </c>
      <c r="M446" s="74">
        <v>19737</v>
      </c>
      <c r="N446" s="74">
        <v>27136</v>
      </c>
      <c r="O446" s="74">
        <v>415821</v>
      </c>
      <c r="P446" s="74">
        <v>905572</v>
      </c>
      <c r="Q446" s="518">
        <v>1</v>
      </c>
      <c r="R446" s="74">
        <v>0</v>
      </c>
      <c r="S446" s="74">
        <v>0</v>
      </c>
      <c r="T446" s="74"/>
      <c r="U446" s="74">
        <v>614673570.81220961</v>
      </c>
      <c r="V446" s="74">
        <v>966407851.31669939</v>
      </c>
      <c r="W446" s="74">
        <v>6282481483.0582676</v>
      </c>
      <c r="X446" s="74">
        <v>1083941421.3541408</v>
      </c>
      <c r="Y446" s="74">
        <v>262325576.38999</v>
      </c>
      <c r="Z446" s="74">
        <v>664869815.52000093</v>
      </c>
      <c r="AA446" s="74">
        <v>465087962.76834995</v>
      </c>
      <c r="AB446" s="74">
        <v>698147660.15074992</v>
      </c>
      <c r="AC446" s="74">
        <v>1212565862.5754299</v>
      </c>
      <c r="AD446" s="74">
        <v>1990313496.2299998</v>
      </c>
      <c r="AE446" s="74">
        <v>294288699.54000008</v>
      </c>
      <c r="AF446" s="74">
        <v>14535103399.71583</v>
      </c>
      <c r="AI446" s="441"/>
      <c r="AJ446" s="440"/>
      <c r="AK446" s="416"/>
      <c r="AL446" s="416"/>
    </row>
    <row r="447" spans="1:40">
      <c r="A447" s="73" t="s">
        <v>2580</v>
      </c>
      <c r="C447" s="147"/>
      <c r="D447" s="147"/>
      <c r="E447" s="147"/>
      <c r="F447" s="147"/>
      <c r="G447" s="147"/>
      <c r="H447" s="147"/>
      <c r="I447" s="147"/>
      <c r="J447" s="147"/>
      <c r="K447" s="147"/>
      <c r="L447" s="147"/>
      <c r="M447" s="147"/>
      <c r="N447" s="147"/>
      <c r="O447" s="147"/>
      <c r="P447" s="147"/>
      <c r="U447" s="148"/>
      <c r="V447" s="148"/>
      <c r="W447" s="148"/>
      <c r="X447" s="148"/>
      <c r="Y447" s="148"/>
      <c r="Z447" s="148"/>
      <c r="AA447" s="148"/>
      <c r="AB447" s="148"/>
      <c r="AC447" s="148"/>
      <c r="AD447" s="148"/>
      <c r="AE447" s="148"/>
      <c r="AF447" s="148"/>
      <c r="AN447" s="147"/>
    </row>
    <row r="454" spans="36:36">
      <c r="AJ454" s="96"/>
    </row>
  </sheetData>
  <sortState xmlns:xlrd2="http://schemas.microsoft.com/office/spreadsheetml/2017/richdata2" ref="A8:R446">
    <sortCondition ref="A8:A446"/>
  </sortState>
  <mergeCells count="2">
    <mergeCell ref="R3:S3"/>
    <mergeCell ref="U3:V3"/>
  </mergeCells>
  <phoneticPr fontId="11" type="noConversion"/>
  <pageMargins left="0.75" right="0.75" top="1" bottom="1" header="0.5" footer="0.5"/>
  <pageSetup orientation="portrait" horizontalDpi="1200" verticalDpi="1200" r:id="rId1"/>
  <headerFooter alignWithMargins="0">
    <oddHeader>&amp;A</oddHeader>
    <oddFooter>Page &amp;P</oddFooter>
  </headerFooter>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340CE-5143-4D61-B30D-8F2D0516E50A}">
  <dimension ref="A2:R545"/>
  <sheetViews>
    <sheetView zoomScale="70" zoomScaleNormal="70" workbookViewId="0"/>
  </sheetViews>
  <sheetFormatPr defaultColWidth="8.625" defaultRowHeight="12.75"/>
  <cols>
    <col min="1" max="1" width="42.375" style="6" bestFit="1" customWidth="1"/>
    <col min="2" max="2" width="21.875" style="6" bestFit="1" customWidth="1"/>
    <col min="3" max="3" width="17.375" style="6" bestFit="1" customWidth="1"/>
    <col min="4" max="4" width="20.125" style="6" bestFit="1" customWidth="1"/>
    <col min="5" max="5" width="21" style="6" bestFit="1" customWidth="1"/>
    <col min="6" max="6" width="17.5" style="6" bestFit="1" customWidth="1"/>
    <col min="7" max="7" width="23.875" style="6" bestFit="1" customWidth="1"/>
    <col min="8" max="14" width="8.625" style="6"/>
    <col min="15" max="15" width="18.875" style="6" bestFit="1" customWidth="1"/>
    <col min="16" max="16" width="22" style="6" bestFit="1" customWidth="1"/>
    <col min="17" max="18" width="12.625" style="6" customWidth="1"/>
    <col min="19" max="16384" width="8.625" style="6"/>
  </cols>
  <sheetData>
    <row r="2" spans="1:18">
      <c r="I2" s="6">
        <v>1</v>
      </c>
      <c r="J2" s="6">
        <v>2</v>
      </c>
      <c r="K2" s="6">
        <v>3</v>
      </c>
      <c r="L2" s="6">
        <v>4</v>
      </c>
      <c r="M2" s="6">
        <v>5</v>
      </c>
      <c r="N2" s="6">
        <v>6</v>
      </c>
      <c r="O2" s="6">
        <v>7</v>
      </c>
      <c r="P2" s="6">
        <v>8</v>
      </c>
      <c r="Q2" s="6">
        <v>9</v>
      </c>
      <c r="R2" s="6">
        <v>10</v>
      </c>
    </row>
    <row r="3" spans="1:18">
      <c r="A3" s="525" t="s">
        <v>57</v>
      </c>
      <c r="B3" s="525" t="s">
        <v>601</v>
      </c>
      <c r="C3" s="525" t="s">
        <v>58</v>
      </c>
      <c r="D3" s="525" t="s">
        <v>600</v>
      </c>
      <c r="E3" s="6" t="s">
        <v>2357</v>
      </c>
      <c r="F3" s="6" t="s">
        <v>2358</v>
      </c>
      <c r="G3" s="6" t="s">
        <v>2359</v>
      </c>
      <c r="I3" s="6" t="s">
        <v>2454</v>
      </c>
      <c r="J3" s="6" t="s">
        <v>57</v>
      </c>
      <c r="K3" s="6" t="s">
        <v>594</v>
      </c>
      <c r="L3" s="6" t="s">
        <v>2447</v>
      </c>
      <c r="M3" s="6" t="s">
        <v>2448</v>
      </c>
      <c r="N3" s="6" t="s">
        <v>2449</v>
      </c>
      <c r="O3" s="6" t="s">
        <v>2450</v>
      </c>
      <c r="P3" s="6" t="s">
        <v>2451</v>
      </c>
      <c r="Q3" s="6" t="s">
        <v>2452</v>
      </c>
      <c r="R3" s="6" t="s">
        <v>2453</v>
      </c>
    </row>
    <row r="4" spans="1:18">
      <c r="A4" s="6">
        <v>406</v>
      </c>
      <c r="B4" s="6" t="s">
        <v>1034</v>
      </c>
      <c r="C4" s="6">
        <v>210</v>
      </c>
      <c r="D4" s="6" t="s">
        <v>1328</v>
      </c>
      <c r="E4" s="9">
        <v>119</v>
      </c>
      <c r="F4" s="9">
        <v>3830697.23</v>
      </c>
      <c r="G4" s="9">
        <v>3095469</v>
      </c>
      <c r="I4" s="6" t="str">
        <f>IF(L4=0,J4&amp;999,J4&amp;TEXT(L4,"000"))</f>
        <v>406210</v>
      </c>
      <c r="J4" s="6">
        <f>VALUE(LEFT(A4,3))</f>
        <v>406</v>
      </c>
      <c r="K4" s="6" t="str">
        <f>B4</f>
        <v>Northampton Smith</v>
      </c>
      <c r="L4" s="6">
        <f>C4</f>
        <v>210</v>
      </c>
      <c r="M4" s="6" t="str">
        <f>D4</f>
        <v xml:space="preserve">Northampton                  </v>
      </c>
      <c r="N4" s="9">
        <f>E4</f>
        <v>119</v>
      </c>
      <c r="O4" s="526">
        <f t="shared" ref="O4:P4" si="0">F4</f>
        <v>3830697.23</v>
      </c>
      <c r="P4" s="526">
        <f t="shared" si="0"/>
        <v>3095469</v>
      </c>
      <c r="Q4" s="526"/>
      <c r="R4" s="526"/>
    </row>
    <row r="5" spans="1:18">
      <c r="A5" s="6" t="s">
        <v>2360</v>
      </c>
      <c r="E5" s="9">
        <v>119</v>
      </c>
      <c r="F5" s="9">
        <v>3830697.23</v>
      </c>
      <c r="G5" s="9">
        <v>3095469</v>
      </c>
      <c r="I5" s="6" t="str">
        <f t="shared" ref="I5:I68" si="1">IF(L5=0,J5&amp;999,J5&amp;TEXT(L5,"000"))</f>
        <v>406999</v>
      </c>
      <c r="J5" s="6">
        <f t="shared" ref="J5:J68" si="2">VALUE(LEFT(A5,3))</f>
        <v>406</v>
      </c>
      <c r="K5" s="6">
        <f t="shared" ref="K5:K68" si="3">B5</f>
        <v>0</v>
      </c>
      <c r="L5" s="6">
        <f t="shared" ref="L5:L68" si="4">C5</f>
        <v>0</v>
      </c>
      <c r="M5" s="6">
        <f t="shared" ref="M5:M68" si="5">D5</f>
        <v>0</v>
      </c>
      <c r="N5" s="9">
        <f t="shared" ref="N5:N68" si="6">E5</f>
        <v>119</v>
      </c>
      <c r="O5" s="526">
        <f t="shared" ref="O5:O68" si="7">F5</f>
        <v>3830697.23</v>
      </c>
      <c r="P5" s="526">
        <f t="shared" ref="P5:P68" si="8">G5</f>
        <v>3095469</v>
      </c>
      <c r="Q5" s="526">
        <f>VLOOKUP($J5,aidcalc,25,FALSE)</f>
        <v>942921</v>
      </c>
      <c r="R5" s="526">
        <f>VLOOKUP($J5,aidcalc,27,FALSE)</f>
        <v>4038390</v>
      </c>
    </row>
    <row r="6" spans="1:18">
      <c r="A6" s="6">
        <v>600</v>
      </c>
      <c r="B6" s="6" t="s">
        <v>1035</v>
      </c>
      <c r="C6" s="6">
        <v>2</v>
      </c>
      <c r="D6" s="6" t="s">
        <v>1121</v>
      </c>
      <c r="E6" s="9">
        <v>4082.2802850480002</v>
      </c>
      <c r="F6" s="9">
        <v>54000661.217694253</v>
      </c>
      <c r="G6" s="9">
        <v>43461158</v>
      </c>
      <c r="I6" s="6" t="str">
        <f t="shared" si="1"/>
        <v>600002</v>
      </c>
      <c r="J6" s="6">
        <f t="shared" si="2"/>
        <v>600</v>
      </c>
      <c r="K6" s="6" t="str">
        <f t="shared" si="3"/>
        <v>Acton Boxborough</v>
      </c>
      <c r="L6" s="6">
        <f t="shared" si="4"/>
        <v>2</v>
      </c>
      <c r="M6" s="6" t="str">
        <f t="shared" si="5"/>
        <v xml:space="preserve">Acton                        </v>
      </c>
      <c r="N6" s="9">
        <f t="shared" si="6"/>
        <v>4082.2802850480002</v>
      </c>
      <c r="O6" s="526">
        <f t="shared" si="7"/>
        <v>54000661.217694253</v>
      </c>
      <c r="P6" s="526">
        <f t="shared" si="8"/>
        <v>43461158</v>
      </c>
      <c r="Q6" s="526"/>
      <c r="R6" s="526"/>
    </row>
    <row r="7" spans="1:18">
      <c r="A7" s="6">
        <v>600</v>
      </c>
      <c r="B7" s="6" t="s">
        <v>1035</v>
      </c>
      <c r="C7" s="6">
        <v>37</v>
      </c>
      <c r="D7" s="6" t="s">
        <v>1156</v>
      </c>
      <c r="E7" s="9">
        <v>877.719714952</v>
      </c>
      <c r="F7" s="9">
        <v>11610531.776765743</v>
      </c>
      <c r="G7" s="9">
        <v>8852771</v>
      </c>
      <c r="I7" s="6" t="str">
        <f t="shared" si="1"/>
        <v>600037</v>
      </c>
      <c r="J7" s="6">
        <f t="shared" si="2"/>
        <v>600</v>
      </c>
      <c r="K7" s="6" t="str">
        <f t="shared" si="3"/>
        <v>Acton Boxborough</v>
      </c>
      <c r="L7" s="6">
        <f t="shared" si="4"/>
        <v>37</v>
      </c>
      <c r="M7" s="6" t="str">
        <f t="shared" si="5"/>
        <v xml:space="preserve">Boxborough                   </v>
      </c>
      <c r="N7" s="9">
        <f t="shared" si="6"/>
        <v>877.719714952</v>
      </c>
      <c r="O7" s="526">
        <f t="shared" si="7"/>
        <v>11610531.776765743</v>
      </c>
      <c r="P7" s="526">
        <f t="shared" si="8"/>
        <v>8852771</v>
      </c>
      <c r="Q7" s="526"/>
      <c r="R7" s="526"/>
    </row>
    <row r="8" spans="1:18">
      <c r="A8" s="6" t="s">
        <v>2361</v>
      </c>
      <c r="E8" s="9">
        <v>4960</v>
      </c>
      <c r="F8" s="9">
        <v>65611192.994459994</v>
      </c>
      <c r="G8" s="9">
        <v>52313929</v>
      </c>
      <c r="I8" s="6" t="str">
        <f t="shared" si="1"/>
        <v>600999</v>
      </c>
      <c r="J8" s="6">
        <f t="shared" si="2"/>
        <v>600</v>
      </c>
      <c r="K8" s="6">
        <f t="shared" si="3"/>
        <v>0</v>
      </c>
      <c r="L8" s="6">
        <f t="shared" si="4"/>
        <v>0</v>
      </c>
      <c r="M8" s="6">
        <f t="shared" si="5"/>
        <v>0</v>
      </c>
      <c r="N8" s="9">
        <f t="shared" si="6"/>
        <v>4960</v>
      </c>
      <c r="O8" s="526">
        <f t="shared" si="7"/>
        <v>65611192.994459994</v>
      </c>
      <c r="P8" s="526">
        <f t="shared" si="8"/>
        <v>52313929</v>
      </c>
      <c r="Q8" s="526">
        <f>VLOOKUP($J8,aidcalc,25,FALSE)</f>
        <v>16458771</v>
      </c>
      <c r="R8" s="526">
        <f>VLOOKUP($J8,aidcalc,27,FALSE)</f>
        <v>68772700</v>
      </c>
    </row>
    <row r="9" spans="1:18">
      <c r="A9" s="6">
        <v>603</v>
      </c>
      <c r="B9" s="6" t="s">
        <v>2176</v>
      </c>
      <c r="C9" s="6">
        <v>4</v>
      </c>
      <c r="D9" s="6" t="s">
        <v>1123</v>
      </c>
      <c r="E9" s="9">
        <v>860.18312236076997</v>
      </c>
      <c r="F9" s="9">
        <v>13561431.972144121</v>
      </c>
      <c r="G9" s="9">
        <v>4059948</v>
      </c>
      <c r="I9" s="6" t="str">
        <f t="shared" si="1"/>
        <v>603004</v>
      </c>
      <c r="J9" s="6">
        <f t="shared" si="2"/>
        <v>603</v>
      </c>
      <c r="K9" s="6" t="str">
        <f t="shared" si="3"/>
        <v>Hoosac Valley</v>
      </c>
      <c r="L9" s="6">
        <f t="shared" si="4"/>
        <v>4</v>
      </c>
      <c r="M9" s="6" t="str">
        <f t="shared" si="5"/>
        <v xml:space="preserve">Adams                        </v>
      </c>
      <c r="N9" s="9">
        <f t="shared" si="6"/>
        <v>860.18312236076997</v>
      </c>
      <c r="O9" s="526">
        <f t="shared" si="7"/>
        <v>13561431.972144121</v>
      </c>
      <c r="P9" s="526">
        <f t="shared" si="8"/>
        <v>4059948</v>
      </c>
      <c r="Q9" s="526"/>
      <c r="R9" s="526"/>
    </row>
    <row r="10" spans="1:18">
      <c r="A10" s="6">
        <v>603</v>
      </c>
      <c r="B10" s="6" t="s">
        <v>2176</v>
      </c>
      <c r="C10" s="6">
        <v>58</v>
      </c>
      <c r="D10" s="6" t="s">
        <v>1177</v>
      </c>
      <c r="E10" s="9">
        <v>296.81687763922997</v>
      </c>
      <c r="F10" s="9">
        <v>4679540.6578558804</v>
      </c>
      <c r="G10" s="9">
        <v>2350342</v>
      </c>
      <c r="I10" s="6" t="str">
        <f t="shared" si="1"/>
        <v>603058</v>
      </c>
      <c r="J10" s="6">
        <f t="shared" si="2"/>
        <v>603</v>
      </c>
      <c r="K10" s="6" t="str">
        <f t="shared" si="3"/>
        <v>Hoosac Valley</v>
      </c>
      <c r="L10" s="6">
        <f t="shared" si="4"/>
        <v>58</v>
      </c>
      <c r="M10" s="6" t="str">
        <f t="shared" si="5"/>
        <v xml:space="preserve">Cheshire                     </v>
      </c>
      <c r="N10" s="9">
        <f t="shared" si="6"/>
        <v>296.81687763922997</v>
      </c>
      <c r="O10" s="526">
        <f t="shared" si="7"/>
        <v>4679540.6578558804</v>
      </c>
      <c r="P10" s="526">
        <f t="shared" si="8"/>
        <v>2350342</v>
      </c>
      <c r="Q10" s="526"/>
      <c r="R10" s="526"/>
    </row>
    <row r="11" spans="1:18">
      <c r="A11" s="6" t="s">
        <v>2362</v>
      </c>
      <c r="E11" s="9">
        <v>1157</v>
      </c>
      <c r="F11" s="9">
        <v>18240972.630000003</v>
      </c>
      <c r="G11" s="9">
        <v>6410290</v>
      </c>
      <c r="I11" s="6" t="str">
        <f t="shared" si="1"/>
        <v>603999</v>
      </c>
      <c r="J11" s="6">
        <f t="shared" si="2"/>
        <v>603</v>
      </c>
      <c r="K11" s="6">
        <f t="shared" si="3"/>
        <v>0</v>
      </c>
      <c r="L11" s="6">
        <f t="shared" si="4"/>
        <v>0</v>
      </c>
      <c r="M11" s="6">
        <f t="shared" si="5"/>
        <v>0</v>
      </c>
      <c r="N11" s="9">
        <f t="shared" si="6"/>
        <v>1157</v>
      </c>
      <c r="O11" s="526">
        <f t="shared" si="7"/>
        <v>18240972.630000003</v>
      </c>
      <c r="P11" s="526">
        <f t="shared" si="8"/>
        <v>6410290</v>
      </c>
      <c r="Q11" s="526">
        <f>VLOOKUP($J11,aidcalc,25,FALSE)</f>
        <v>11830683</v>
      </c>
      <c r="R11" s="526">
        <f>VLOOKUP($J11,aidcalc,27,FALSE)</f>
        <v>18240973</v>
      </c>
    </row>
    <row r="12" spans="1:18">
      <c r="A12" s="6">
        <v>605</v>
      </c>
      <c r="B12" s="6" t="s">
        <v>1036</v>
      </c>
      <c r="C12" s="6">
        <v>8</v>
      </c>
      <c r="D12" s="6" t="s">
        <v>1127</v>
      </c>
      <c r="E12" s="9">
        <v>963.99999999453996</v>
      </c>
      <c r="F12" s="9">
        <v>13934494.47018699</v>
      </c>
      <c r="G12" s="9">
        <v>11495958</v>
      </c>
      <c r="I12" s="6" t="str">
        <f t="shared" si="1"/>
        <v>605008</v>
      </c>
      <c r="J12" s="6">
        <f t="shared" si="2"/>
        <v>605</v>
      </c>
      <c r="K12" s="6" t="str">
        <f t="shared" si="3"/>
        <v>Amherst Pelham</v>
      </c>
      <c r="L12" s="6">
        <f t="shared" si="4"/>
        <v>8</v>
      </c>
      <c r="M12" s="6" t="str">
        <f t="shared" si="5"/>
        <v xml:space="preserve">Amherst                      </v>
      </c>
      <c r="N12" s="9">
        <f t="shared" si="6"/>
        <v>963.99999999453996</v>
      </c>
      <c r="O12" s="526">
        <f t="shared" si="7"/>
        <v>13934494.47018699</v>
      </c>
      <c r="P12" s="526">
        <f t="shared" si="8"/>
        <v>11495958</v>
      </c>
      <c r="Q12" s="526"/>
      <c r="R12" s="526"/>
    </row>
    <row r="13" spans="1:18">
      <c r="A13" s="6">
        <v>605</v>
      </c>
      <c r="B13" s="6" t="s">
        <v>1036</v>
      </c>
      <c r="C13" s="6">
        <v>154</v>
      </c>
      <c r="D13" s="6" t="s">
        <v>1272</v>
      </c>
      <c r="E13" s="9">
        <v>98.999999995499991</v>
      </c>
      <c r="F13" s="9">
        <v>1431032.1083958715</v>
      </c>
      <c r="G13" s="9">
        <v>1102340</v>
      </c>
      <c r="I13" s="6" t="str">
        <f t="shared" si="1"/>
        <v>605154</v>
      </c>
      <c r="J13" s="6">
        <f t="shared" si="2"/>
        <v>605</v>
      </c>
      <c r="K13" s="6" t="str">
        <f t="shared" si="3"/>
        <v>Amherst Pelham</v>
      </c>
      <c r="L13" s="6">
        <f t="shared" si="4"/>
        <v>154</v>
      </c>
      <c r="M13" s="6" t="str">
        <f t="shared" si="5"/>
        <v xml:space="preserve">Leverett                     </v>
      </c>
      <c r="N13" s="9">
        <f t="shared" si="6"/>
        <v>98.999999995499991</v>
      </c>
      <c r="O13" s="526">
        <f t="shared" si="7"/>
        <v>1431032.1083958715</v>
      </c>
      <c r="P13" s="526">
        <f t="shared" si="8"/>
        <v>1102340</v>
      </c>
      <c r="Q13" s="526"/>
      <c r="R13" s="526"/>
    </row>
    <row r="14" spans="1:18">
      <c r="A14" s="6">
        <v>605</v>
      </c>
      <c r="B14" s="6" t="s">
        <v>1036</v>
      </c>
      <c r="C14" s="6">
        <v>230</v>
      </c>
      <c r="D14" s="6" t="s">
        <v>1348</v>
      </c>
      <c r="E14" s="9">
        <v>73.999999994380005</v>
      </c>
      <c r="F14" s="9">
        <v>1069660.3638188441</v>
      </c>
      <c r="G14" s="9">
        <v>777841</v>
      </c>
      <c r="I14" s="6" t="str">
        <f t="shared" si="1"/>
        <v>605230</v>
      </c>
      <c r="J14" s="6">
        <f t="shared" si="2"/>
        <v>605</v>
      </c>
      <c r="K14" s="6" t="str">
        <f t="shared" si="3"/>
        <v>Amherst Pelham</v>
      </c>
      <c r="L14" s="6">
        <f t="shared" si="4"/>
        <v>230</v>
      </c>
      <c r="M14" s="6" t="str">
        <f t="shared" si="5"/>
        <v xml:space="preserve">Pelham                       </v>
      </c>
      <c r="N14" s="9">
        <f t="shared" si="6"/>
        <v>73.999999994380005</v>
      </c>
      <c r="O14" s="526">
        <f t="shared" si="7"/>
        <v>1069660.3638188441</v>
      </c>
      <c r="P14" s="526">
        <f t="shared" si="8"/>
        <v>777841</v>
      </c>
      <c r="Q14" s="526"/>
      <c r="R14" s="526"/>
    </row>
    <row r="15" spans="1:18">
      <c r="A15" s="6">
        <v>605</v>
      </c>
      <c r="B15" s="6" t="s">
        <v>1036</v>
      </c>
      <c r="C15" s="6">
        <v>272</v>
      </c>
      <c r="D15" s="6" t="s">
        <v>1390</v>
      </c>
      <c r="E15" s="9">
        <v>104.00000000317</v>
      </c>
      <c r="F15" s="9">
        <v>1503306.4574189079</v>
      </c>
      <c r="G15" s="9">
        <v>929296</v>
      </c>
      <c r="I15" s="6" t="str">
        <f t="shared" si="1"/>
        <v>605272</v>
      </c>
      <c r="J15" s="6">
        <f t="shared" si="2"/>
        <v>605</v>
      </c>
      <c r="K15" s="6" t="str">
        <f t="shared" si="3"/>
        <v>Amherst Pelham</v>
      </c>
      <c r="L15" s="6">
        <f t="shared" si="4"/>
        <v>272</v>
      </c>
      <c r="M15" s="6" t="str">
        <f t="shared" si="5"/>
        <v xml:space="preserve">Shutesbury                   </v>
      </c>
      <c r="N15" s="9">
        <f t="shared" si="6"/>
        <v>104.00000000317</v>
      </c>
      <c r="O15" s="526">
        <f t="shared" si="7"/>
        <v>1503306.4574189079</v>
      </c>
      <c r="P15" s="526">
        <f t="shared" si="8"/>
        <v>929296</v>
      </c>
      <c r="Q15" s="526"/>
      <c r="R15" s="526"/>
    </row>
    <row r="16" spans="1:18">
      <c r="A16" s="6" t="s">
        <v>2363</v>
      </c>
      <c r="E16" s="9">
        <v>1240.9999999875899</v>
      </c>
      <c r="F16" s="9">
        <v>17938493.399820615</v>
      </c>
      <c r="G16" s="9">
        <v>14305435</v>
      </c>
      <c r="I16" s="6" t="str">
        <f t="shared" si="1"/>
        <v>605999</v>
      </c>
      <c r="J16" s="6">
        <f t="shared" si="2"/>
        <v>605</v>
      </c>
      <c r="K16" s="6">
        <f t="shared" si="3"/>
        <v>0</v>
      </c>
      <c r="L16" s="6">
        <f t="shared" si="4"/>
        <v>0</v>
      </c>
      <c r="M16" s="6">
        <f t="shared" si="5"/>
        <v>0</v>
      </c>
      <c r="N16" s="9">
        <f t="shared" si="6"/>
        <v>1240.9999999875899</v>
      </c>
      <c r="O16" s="526">
        <f t="shared" si="7"/>
        <v>17938493.399820615</v>
      </c>
      <c r="P16" s="526">
        <f t="shared" si="8"/>
        <v>14305435</v>
      </c>
      <c r="Q16" s="526">
        <f>VLOOKUP($J16,aidcalc,25,FALSE)</f>
        <v>9885460.9999991078</v>
      </c>
      <c r="R16" s="526">
        <f>VLOOKUP($J16,aidcalc,27,FALSE)</f>
        <v>24190895.999999106</v>
      </c>
    </row>
    <row r="17" spans="1:18">
      <c r="A17" s="6">
        <v>610</v>
      </c>
      <c r="B17" s="6" t="s">
        <v>1037</v>
      </c>
      <c r="C17" s="6">
        <v>11</v>
      </c>
      <c r="D17" s="6" t="s">
        <v>1130</v>
      </c>
      <c r="E17" s="9">
        <v>982.89473684642996</v>
      </c>
      <c r="F17" s="9">
        <v>13011229.302688826</v>
      </c>
      <c r="G17" s="9">
        <v>5969244</v>
      </c>
      <c r="I17" s="6" t="str">
        <f t="shared" si="1"/>
        <v>610011</v>
      </c>
      <c r="J17" s="6">
        <f t="shared" si="2"/>
        <v>610</v>
      </c>
      <c r="K17" s="6" t="str">
        <f t="shared" si="3"/>
        <v>Ashburnham Westminster</v>
      </c>
      <c r="L17" s="6">
        <f t="shared" si="4"/>
        <v>11</v>
      </c>
      <c r="M17" s="6" t="str">
        <f t="shared" si="5"/>
        <v xml:space="preserve">Ashburnham                   </v>
      </c>
      <c r="N17" s="9">
        <f t="shared" si="6"/>
        <v>982.89473684642996</v>
      </c>
      <c r="O17" s="526">
        <f t="shared" si="7"/>
        <v>13011229.302688826</v>
      </c>
      <c r="P17" s="526">
        <f t="shared" si="8"/>
        <v>5969244</v>
      </c>
      <c r="Q17" s="526"/>
      <c r="R17" s="526"/>
    </row>
    <row r="18" spans="1:18">
      <c r="A18" s="6">
        <v>610</v>
      </c>
      <c r="B18" s="6" t="s">
        <v>1037</v>
      </c>
      <c r="C18" s="6">
        <v>328</v>
      </c>
      <c r="D18" s="6" t="s">
        <v>1446</v>
      </c>
      <c r="E18" s="9">
        <v>1258.1052631535699</v>
      </c>
      <c r="F18" s="9">
        <v>16654373.507311169</v>
      </c>
      <c r="G18" s="9">
        <v>8884901</v>
      </c>
      <c r="I18" s="6" t="str">
        <f t="shared" si="1"/>
        <v>610328</v>
      </c>
      <c r="J18" s="6">
        <f t="shared" si="2"/>
        <v>610</v>
      </c>
      <c r="K18" s="6" t="str">
        <f t="shared" si="3"/>
        <v>Ashburnham Westminster</v>
      </c>
      <c r="L18" s="6">
        <f t="shared" si="4"/>
        <v>328</v>
      </c>
      <c r="M18" s="6" t="str">
        <f t="shared" si="5"/>
        <v xml:space="preserve">Westminster                  </v>
      </c>
      <c r="N18" s="9">
        <f t="shared" si="6"/>
        <v>1258.1052631535699</v>
      </c>
      <c r="O18" s="526">
        <f t="shared" si="7"/>
        <v>16654373.507311169</v>
      </c>
      <c r="P18" s="526">
        <f t="shared" si="8"/>
        <v>8884901</v>
      </c>
      <c r="Q18" s="526"/>
      <c r="R18" s="526"/>
    </row>
    <row r="19" spans="1:18">
      <c r="A19" s="6" t="s">
        <v>2364</v>
      </c>
      <c r="E19" s="9">
        <v>2241</v>
      </c>
      <c r="F19" s="9">
        <v>29665602.809999995</v>
      </c>
      <c r="G19" s="9">
        <v>14854145</v>
      </c>
      <c r="I19" s="6" t="str">
        <f t="shared" si="1"/>
        <v>610999</v>
      </c>
      <c r="J19" s="6">
        <f t="shared" si="2"/>
        <v>610</v>
      </c>
      <c r="K19" s="6">
        <f t="shared" si="3"/>
        <v>0</v>
      </c>
      <c r="L19" s="6">
        <f t="shared" si="4"/>
        <v>0</v>
      </c>
      <c r="M19" s="6">
        <f t="shared" si="5"/>
        <v>0</v>
      </c>
      <c r="N19" s="9">
        <f t="shared" si="6"/>
        <v>2241</v>
      </c>
      <c r="O19" s="526">
        <f t="shared" si="7"/>
        <v>29665602.809999995</v>
      </c>
      <c r="P19" s="526">
        <f t="shared" si="8"/>
        <v>14854145</v>
      </c>
      <c r="Q19" s="526">
        <f>VLOOKUP($J19,aidcalc,25,FALSE)</f>
        <v>15928887</v>
      </c>
      <c r="R19" s="526">
        <f>VLOOKUP($J19,aidcalc,27,FALSE)</f>
        <v>30783032</v>
      </c>
    </row>
    <row r="20" spans="1:18">
      <c r="A20" s="6">
        <v>615</v>
      </c>
      <c r="B20" s="6" t="s">
        <v>1038</v>
      </c>
      <c r="C20" s="6">
        <v>15</v>
      </c>
      <c r="D20" s="6" t="s">
        <v>1134</v>
      </c>
      <c r="E20" s="9">
        <v>1656.3036504438901</v>
      </c>
      <c r="F20" s="9">
        <v>26801046.441643428</v>
      </c>
      <c r="G20" s="9">
        <v>4034378</v>
      </c>
      <c r="I20" s="6" t="str">
        <f t="shared" si="1"/>
        <v>615015</v>
      </c>
      <c r="J20" s="6">
        <f t="shared" si="2"/>
        <v>615</v>
      </c>
      <c r="K20" s="6" t="str">
        <f t="shared" si="3"/>
        <v>Athol Royalston</v>
      </c>
      <c r="L20" s="6">
        <f t="shared" si="4"/>
        <v>15</v>
      </c>
      <c r="M20" s="6" t="str">
        <f t="shared" si="5"/>
        <v xml:space="preserve">Athol                        </v>
      </c>
      <c r="N20" s="9">
        <f t="shared" si="6"/>
        <v>1656.3036504438901</v>
      </c>
      <c r="O20" s="526">
        <f t="shared" si="7"/>
        <v>26801046.441643428</v>
      </c>
      <c r="P20" s="526">
        <f t="shared" si="8"/>
        <v>4034378</v>
      </c>
      <c r="Q20" s="526"/>
      <c r="R20" s="526"/>
    </row>
    <row r="21" spans="1:18">
      <c r="A21" s="6">
        <v>615</v>
      </c>
      <c r="B21" s="6" t="s">
        <v>1038</v>
      </c>
      <c r="C21" s="6">
        <v>255</v>
      </c>
      <c r="D21" s="6" t="s">
        <v>1373</v>
      </c>
      <c r="E21" s="9">
        <v>116.69634955611001</v>
      </c>
      <c r="F21" s="9">
        <v>1888291.608356575</v>
      </c>
      <c r="G21" s="9">
        <v>677650</v>
      </c>
      <c r="I21" s="6" t="str">
        <f t="shared" si="1"/>
        <v>615255</v>
      </c>
      <c r="J21" s="6">
        <f t="shared" si="2"/>
        <v>615</v>
      </c>
      <c r="K21" s="6" t="str">
        <f t="shared" si="3"/>
        <v>Athol Royalston</v>
      </c>
      <c r="L21" s="6">
        <f t="shared" si="4"/>
        <v>255</v>
      </c>
      <c r="M21" s="6" t="str">
        <f t="shared" si="5"/>
        <v xml:space="preserve">Royalston                    </v>
      </c>
      <c r="N21" s="9">
        <f t="shared" si="6"/>
        <v>116.69634955611001</v>
      </c>
      <c r="O21" s="526">
        <f t="shared" si="7"/>
        <v>1888291.608356575</v>
      </c>
      <c r="P21" s="526">
        <f t="shared" si="8"/>
        <v>677650</v>
      </c>
      <c r="Q21" s="526"/>
      <c r="R21" s="526"/>
    </row>
    <row r="22" spans="1:18">
      <c r="A22" s="6" t="s">
        <v>2365</v>
      </c>
      <c r="E22" s="9">
        <v>1773</v>
      </c>
      <c r="F22" s="9">
        <v>28689338.050000004</v>
      </c>
      <c r="G22" s="9">
        <v>4712028</v>
      </c>
      <c r="I22" s="6" t="str">
        <f t="shared" si="1"/>
        <v>615999</v>
      </c>
      <c r="J22" s="6">
        <f t="shared" si="2"/>
        <v>615</v>
      </c>
      <c r="K22" s="6">
        <f t="shared" si="3"/>
        <v>0</v>
      </c>
      <c r="L22" s="6">
        <f t="shared" si="4"/>
        <v>0</v>
      </c>
      <c r="M22" s="6">
        <f t="shared" si="5"/>
        <v>0</v>
      </c>
      <c r="N22" s="9">
        <f t="shared" si="6"/>
        <v>1773</v>
      </c>
      <c r="O22" s="526">
        <f t="shared" si="7"/>
        <v>28689338.050000004</v>
      </c>
      <c r="P22" s="526">
        <f t="shared" si="8"/>
        <v>4712028</v>
      </c>
      <c r="Q22" s="526">
        <f>VLOOKUP($J22,aidcalc,25,FALSE)</f>
        <v>24764149</v>
      </c>
      <c r="R22" s="526">
        <f>VLOOKUP($J22,aidcalc,27,FALSE)</f>
        <v>29476177</v>
      </c>
    </row>
    <row r="23" spans="1:18">
      <c r="A23" s="6">
        <v>616</v>
      </c>
      <c r="B23" s="6" t="s">
        <v>1039</v>
      </c>
      <c r="C23" s="6">
        <v>19</v>
      </c>
      <c r="D23" s="6" t="s">
        <v>1138</v>
      </c>
      <c r="E23" s="9">
        <v>971.84885765088006</v>
      </c>
      <c r="F23" s="9">
        <v>13652034.545237966</v>
      </c>
      <c r="G23" s="9">
        <v>9736178</v>
      </c>
      <c r="I23" s="6" t="str">
        <f t="shared" si="1"/>
        <v>616019</v>
      </c>
      <c r="J23" s="6">
        <f t="shared" si="2"/>
        <v>616</v>
      </c>
      <c r="K23" s="6" t="str">
        <f t="shared" si="3"/>
        <v>Ayer Shirley</v>
      </c>
      <c r="L23" s="6">
        <f t="shared" si="4"/>
        <v>19</v>
      </c>
      <c r="M23" s="6" t="str">
        <f t="shared" si="5"/>
        <v xml:space="preserve">Ayer                         </v>
      </c>
      <c r="N23" s="9">
        <f t="shared" si="6"/>
        <v>971.84885765088006</v>
      </c>
      <c r="O23" s="526">
        <f t="shared" si="7"/>
        <v>13652034.545237966</v>
      </c>
      <c r="P23" s="526">
        <f t="shared" si="8"/>
        <v>9736178</v>
      </c>
      <c r="Q23" s="526"/>
      <c r="R23" s="526"/>
    </row>
    <row r="24" spans="1:18">
      <c r="A24" s="6">
        <v>616</v>
      </c>
      <c r="B24" s="6" t="s">
        <v>1039</v>
      </c>
      <c r="C24" s="6">
        <v>270</v>
      </c>
      <c r="D24" s="6" t="s">
        <v>1388</v>
      </c>
      <c r="E24" s="9">
        <v>726.15114234911994</v>
      </c>
      <c r="F24" s="9">
        <v>10200598.994762033</v>
      </c>
      <c r="G24" s="9">
        <v>5916983</v>
      </c>
      <c r="I24" s="6" t="str">
        <f t="shared" si="1"/>
        <v>616270</v>
      </c>
      <c r="J24" s="6">
        <f t="shared" si="2"/>
        <v>616</v>
      </c>
      <c r="K24" s="6" t="str">
        <f t="shared" si="3"/>
        <v>Ayer Shirley</v>
      </c>
      <c r="L24" s="6">
        <f t="shared" si="4"/>
        <v>270</v>
      </c>
      <c r="M24" s="6" t="str">
        <f t="shared" si="5"/>
        <v xml:space="preserve">Shirley                      </v>
      </c>
      <c r="N24" s="9">
        <f t="shared" si="6"/>
        <v>726.15114234911994</v>
      </c>
      <c r="O24" s="526">
        <f t="shared" si="7"/>
        <v>10200598.994762033</v>
      </c>
      <c r="P24" s="526">
        <f t="shared" si="8"/>
        <v>5916983</v>
      </c>
      <c r="Q24" s="526"/>
      <c r="R24" s="526"/>
    </row>
    <row r="25" spans="1:18">
      <c r="A25" s="6" t="s">
        <v>2366</v>
      </c>
      <c r="E25" s="9">
        <v>1698</v>
      </c>
      <c r="F25" s="9">
        <v>23852633.539999999</v>
      </c>
      <c r="G25" s="9">
        <v>15653161</v>
      </c>
      <c r="I25" s="6" t="str">
        <f t="shared" si="1"/>
        <v>616999</v>
      </c>
      <c r="J25" s="6">
        <f t="shared" si="2"/>
        <v>616</v>
      </c>
      <c r="K25" s="6">
        <f t="shared" si="3"/>
        <v>0</v>
      </c>
      <c r="L25" s="6">
        <f t="shared" si="4"/>
        <v>0</v>
      </c>
      <c r="M25" s="6">
        <f t="shared" si="5"/>
        <v>0</v>
      </c>
      <c r="N25" s="9">
        <f t="shared" si="6"/>
        <v>1698</v>
      </c>
      <c r="O25" s="526">
        <f t="shared" si="7"/>
        <v>23852633.539999999</v>
      </c>
      <c r="P25" s="526">
        <f t="shared" si="8"/>
        <v>15653161</v>
      </c>
      <c r="Q25" s="526">
        <f>VLOOKUP($J25,aidcalc,25,FALSE)</f>
        <v>8729483</v>
      </c>
      <c r="R25" s="526">
        <f>VLOOKUP($J25,aidcalc,27,FALSE)</f>
        <v>24382644</v>
      </c>
    </row>
    <row r="26" spans="1:18">
      <c r="A26" s="6">
        <v>618</v>
      </c>
      <c r="B26" s="6" t="s">
        <v>1040</v>
      </c>
      <c r="C26" s="6">
        <v>113</v>
      </c>
      <c r="D26" s="6" t="s">
        <v>1231</v>
      </c>
      <c r="E26" s="9">
        <v>704.8627451021199</v>
      </c>
      <c r="F26" s="9">
        <v>11314564.987516483</v>
      </c>
      <c r="G26" s="9">
        <v>8593682</v>
      </c>
      <c r="I26" s="6" t="str">
        <f t="shared" si="1"/>
        <v>618113</v>
      </c>
      <c r="J26" s="6">
        <f t="shared" si="2"/>
        <v>618</v>
      </c>
      <c r="K26" s="6" t="str">
        <f t="shared" si="3"/>
        <v>Berkshire Hills</v>
      </c>
      <c r="L26" s="6">
        <f t="shared" si="4"/>
        <v>113</v>
      </c>
      <c r="M26" s="6" t="str">
        <f t="shared" si="5"/>
        <v xml:space="preserve">Great Barrington             </v>
      </c>
      <c r="N26" s="9">
        <f t="shared" si="6"/>
        <v>704.8627451021199</v>
      </c>
      <c r="O26" s="526">
        <f t="shared" si="7"/>
        <v>11314564.987516483</v>
      </c>
      <c r="P26" s="526">
        <f t="shared" si="8"/>
        <v>8593682</v>
      </c>
      <c r="Q26" s="526"/>
      <c r="R26" s="526"/>
    </row>
    <row r="27" spans="1:18">
      <c r="A27" s="6">
        <v>618</v>
      </c>
      <c r="B27" s="6" t="s">
        <v>1040</v>
      </c>
      <c r="C27" s="6">
        <v>283</v>
      </c>
      <c r="D27" s="6" t="s">
        <v>1401</v>
      </c>
      <c r="E27" s="9">
        <v>127.89060887262001</v>
      </c>
      <c r="F27" s="9">
        <v>2052919.686048476</v>
      </c>
      <c r="G27" s="9">
        <v>1693659</v>
      </c>
      <c r="I27" s="6" t="str">
        <f t="shared" si="1"/>
        <v>618283</v>
      </c>
      <c r="J27" s="6">
        <f t="shared" si="2"/>
        <v>618</v>
      </c>
      <c r="K27" s="6" t="str">
        <f t="shared" si="3"/>
        <v>Berkshire Hills</v>
      </c>
      <c r="L27" s="6">
        <f t="shared" si="4"/>
        <v>283</v>
      </c>
      <c r="M27" s="6" t="str">
        <f t="shared" si="5"/>
        <v xml:space="preserve">Stockbridge                  </v>
      </c>
      <c r="N27" s="9">
        <f t="shared" si="6"/>
        <v>127.89060887262001</v>
      </c>
      <c r="O27" s="526">
        <f t="shared" si="7"/>
        <v>2052919.686048476</v>
      </c>
      <c r="P27" s="526">
        <f t="shared" si="8"/>
        <v>1693659</v>
      </c>
      <c r="Q27" s="526"/>
      <c r="R27" s="526"/>
    </row>
    <row r="28" spans="1:18">
      <c r="A28" s="6">
        <v>618</v>
      </c>
      <c r="B28" s="6" t="s">
        <v>1040</v>
      </c>
      <c r="C28" s="6">
        <v>333</v>
      </c>
      <c r="D28" s="6" t="s">
        <v>1451</v>
      </c>
      <c r="E28" s="9">
        <v>113.24664602526001</v>
      </c>
      <c r="F28" s="9">
        <v>1817852.5464350374</v>
      </c>
      <c r="G28" s="9">
        <v>1499728</v>
      </c>
      <c r="I28" s="6" t="str">
        <f t="shared" si="1"/>
        <v>618333</v>
      </c>
      <c r="J28" s="6">
        <f t="shared" si="2"/>
        <v>618</v>
      </c>
      <c r="K28" s="6" t="str">
        <f t="shared" si="3"/>
        <v>Berkshire Hills</v>
      </c>
      <c r="L28" s="6">
        <f t="shared" si="4"/>
        <v>333</v>
      </c>
      <c r="M28" s="6" t="str">
        <f t="shared" si="5"/>
        <v xml:space="preserve">West Stockbridge             </v>
      </c>
      <c r="N28" s="9">
        <f t="shared" si="6"/>
        <v>113.24664602526001</v>
      </c>
      <c r="O28" s="526">
        <f t="shared" si="7"/>
        <v>1817852.5464350374</v>
      </c>
      <c r="P28" s="526">
        <f t="shared" si="8"/>
        <v>1499728</v>
      </c>
      <c r="Q28" s="526"/>
      <c r="R28" s="526"/>
    </row>
    <row r="29" spans="1:18">
      <c r="A29" s="6" t="s">
        <v>2367</v>
      </c>
      <c r="E29" s="9">
        <v>945.99999999999989</v>
      </c>
      <c r="F29" s="9">
        <v>15185337.219999997</v>
      </c>
      <c r="G29" s="9">
        <v>11787069</v>
      </c>
      <c r="I29" s="6" t="str">
        <f t="shared" si="1"/>
        <v>618999</v>
      </c>
      <c r="J29" s="6">
        <f t="shared" si="2"/>
        <v>618</v>
      </c>
      <c r="K29" s="6">
        <f t="shared" si="3"/>
        <v>0</v>
      </c>
      <c r="L29" s="6">
        <f t="shared" si="4"/>
        <v>0</v>
      </c>
      <c r="M29" s="6">
        <f t="shared" si="5"/>
        <v>0</v>
      </c>
      <c r="N29" s="9">
        <f t="shared" si="6"/>
        <v>945.99999999999989</v>
      </c>
      <c r="O29" s="526">
        <f t="shared" si="7"/>
        <v>15185337.219999997</v>
      </c>
      <c r="P29" s="526">
        <f t="shared" si="8"/>
        <v>11787069</v>
      </c>
      <c r="Q29" s="526">
        <f>VLOOKUP($J29,aidcalc,25,FALSE)</f>
        <v>3398268</v>
      </c>
      <c r="R29" s="526">
        <f>VLOOKUP($J29,aidcalc,27,FALSE)</f>
        <v>15185337</v>
      </c>
    </row>
    <row r="30" spans="1:18">
      <c r="A30" s="6">
        <v>620</v>
      </c>
      <c r="B30" s="6" t="s">
        <v>1041</v>
      </c>
      <c r="C30" s="6">
        <v>28</v>
      </c>
      <c r="D30" s="6" t="s">
        <v>1147</v>
      </c>
      <c r="E30" s="9">
        <v>415.63172804984998</v>
      </c>
      <c r="F30" s="9">
        <v>5315826.4740521973</v>
      </c>
      <c r="G30" s="9">
        <v>3750867</v>
      </c>
      <c r="I30" s="6" t="str">
        <f t="shared" si="1"/>
        <v>620028</v>
      </c>
      <c r="J30" s="6">
        <f t="shared" si="2"/>
        <v>620</v>
      </c>
      <c r="K30" s="6" t="str">
        <f t="shared" si="3"/>
        <v>Berlin Boylston</v>
      </c>
      <c r="L30" s="6">
        <f t="shared" si="4"/>
        <v>28</v>
      </c>
      <c r="M30" s="6" t="str">
        <f t="shared" si="5"/>
        <v xml:space="preserve">Berlin                       </v>
      </c>
      <c r="N30" s="9">
        <f t="shared" si="6"/>
        <v>415.63172804984998</v>
      </c>
      <c r="O30" s="526">
        <f t="shared" si="7"/>
        <v>5315826.4740521973</v>
      </c>
      <c r="P30" s="526">
        <f t="shared" si="8"/>
        <v>3750867</v>
      </c>
      <c r="Q30" s="526"/>
      <c r="R30" s="526"/>
    </row>
    <row r="31" spans="1:18">
      <c r="A31" s="6">
        <v>620</v>
      </c>
      <c r="B31" s="6" t="s">
        <v>1041</v>
      </c>
      <c r="C31" s="6">
        <v>39</v>
      </c>
      <c r="D31" s="6" t="s">
        <v>1158</v>
      </c>
      <c r="E31" s="9">
        <v>637.36827195014996</v>
      </c>
      <c r="F31" s="9">
        <v>8151781.7459478015</v>
      </c>
      <c r="G31" s="9">
        <v>6725220</v>
      </c>
      <c r="I31" s="6" t="str">
        <f t="shared" si="1"/>
        <v>620039</v>
      </c>
      <c r="J31" s="6">
        <f t="shared" si="2"/>
        <v>620</v>
      </c>
      <c r="K31" s="6" t="str">
        <f t="shared" si="3"/>
        <v>Berlin Boylston</v>
      </c>
      <c r="L31" s="6">
        <f t="shared" si="4"/>
        <v>39</v>
      </c>
      <c r="M31" s="6" t="str">
        <f t="shared" si="5"/>
        <v xml:space="preserve">Boylston                     </v>
      </c>
      <c r="N31" s="9">
        <f t="shared" si="6"/>
        <v>637.36827195014996</v>
      </c>
      <c r="O31" s="526">
        <f t="shared" si="7"/>
        <v>8151781.7459478015</v>
      </c>
      <c r="P31" s="526">
        <f t="shared" si="8"/>
        <v>6725220</v>
      </c>
      <c r="Q31" s="526"/>
      <c r="R31" s="526"/>
    </row>
    <row r="32" spans="1:18">
      <c r="A32" s="6" t="s">
        <v>2368</v>
      </c>
      <c r="E32" s="9">
        <v>1053</v>
      </c>
      <c r="F32" s="9">
        <v>13467608.219999999</v>
      </c>
      <c r="G32" s="9">
        <v>10476087</v>
      </c>
      <c r="I32" s="6" t="str">
        <f t="shared" si="1"/>
        <v>620999</v>
      </c>
      <c r="J32" s="6">
        <f t="shared" si="2"/>
        <v>620</v>
      </c>
      <c r="K32" s="6">
        <f t="shared" si="3"/>
        <v>0</v>
      </c>
      <c r="L32" s="6">
        <f t="shared" si="4"/>
        <v>0</v>
      </c>
      <c r="M32" s="6">
        <f t="shared" si="5"/>
        <v>0</v>
      </c>
      <c r="N32" s="9">
        <f t="shared" si="6"/>
        <v>1053</v>
      </c>
      <c r="O32" s="526">
        <f t="shared" si="7"/>
        <v>13467608.219999999</v>
      </c>
      <c r="P32" s="526">
        <f t="shared" si="8"/>
        <v>10476087</v>
      </c>
      <c r="Q32" s="526">
        <f>VLOOKUP($J32,aidcalc,25,FALSE)</f>
        <v>2991521</v>
      </c>
      <c r="R32" s="526">
        <f>VLOOKUP($J32,aidcalc,27,FALSE)</f>
        <v>13467608</v>
      </c>
    </row>
    <row r="33" spans="1:18">
      <c r="A33" s="6">
        <v>622</v>
      </c>
      <c r="B33" s="6" t="s">
        <v>1042</v>
      </c>
      <c r="C33" s="6">
        <v>32</v>
      </c>
      <c r="D33" s="6" t="s">
        <v>1151</v>
      </c>
      <c r="E33" s="9">
        <v>1194.07366482934</v>
      </c>
      <c r="F33" s="9">
        <v>16561612.870151637</v>
      </c>
      <c r="G33" s="9">
        <v>8514234</v>
      </c>
      <c r="I33" s="6" t="str">
        <f t="shared" si="1"/>
        <v>622032</v>
      </c>
      <c r="J33" s="6">
        <f t="shared" si="2"/>
        <v>622</v>
      </c>
      <c r="K33" s="6" t="str">
        <f t="shared" si="3"/>
        <v>Blackstone Millville</v>
      </c>
      <c r="L33" s="6">
        <f t="shared" si="4"/>
        <v>32</v>
      </c>
      <c r="M33" s="6" t="str">
        <f t="shared" si="5"/>
        <v xml:space="preserve">Blackstone                   </v>
      </c>
      <c r="N33" s="9">
        <f t="shared" si="6"/>
        <v>1194.07366482934</v>
      </c>
      <c r="O33" s="526">
        <f t="shared" si="7"/>
        <v>16561612.870151637</v>
      </c>
      <c r="P33" s="526">
        <f t="shared" si="8"/>
        <v>8514234</v>
      </c>
      <c r="Q33" s="526"/>
      <c r="R33" s="526"/>
    </row>
    <row r="34" spans="1:18">
      <c r="A34" s="6">
        <v>622</v>
      </c>
      <c r="B34" s="6" t="s">
        <v>1042</v>
      </c>
      <c r="C34" s="6">
        <v>188</v>
      </c>
      <c r="D34" s="6" t="s">
        <v>1306</v>
      </c>
      <c r="E34" s="9">
        <v>402.92633517065997</v>
      </c>
      <c r="F34" s="9">
        <v>5588524.5398483621</v>
      </c>
      <c r="G34" s="9">
        <v>2697544</v>
      </c>
      <c r="I34" s="6" t="str">
        <f t="shared" si="1"/>
        <v>622188</v>
      </c>
      <c r="J34" s="6">
        <f t="shared" si="2"/>
        <v>622</v>
      </c>
      <c r="K34" s="6" t="str">
        <f t="shared" si="3"/>
        <v>Blackstone Millville</v>
      </c>
      <c r="L34" s="6">
        <f t="shared" si="4"/>
        <v>188</v>
      </c>
      <c r="M34" s="6" t="str">
        <f t="shared" si="5"/>
        <v xml:space="preserve">Millville                    </v>
      </c>
      <c r="N34" s="9">
        <f t="shared" si="6"/>
        <v>402.92633517065997</v>
      </c>
      <c r="O34" s="526">
        <f t="shared" si="7"/>
        <v>5588524.5398483621</v>
      </c>
      <c r="P34" s="526">
        <f t="shared" si="8"/>
        <v>2697544</v>
      </c>
      <c r="Q34" s="526"/>
      <c r="R34" s="526"/>
    </row>
    <row r="35" spans="1:18">
      <c r="A35" s="6" t="s">
        <v>2369</v>
      </c>
      <c r="E35" s="9">
        <v>1597</v>
      </c>
      <c r="F35" s="9">
        <v>22150137.41</v>
      </c>
      <c r="G35" s="9">
        <v>11211778</v>
      </c>
      <c r="I35" s="6" t="str">
        <f t="shared" si="1"/>
        <v>622999</v>
      </c>
      <c r="J35" s="6">
        <f t="shared" si="2"/>
        <v>622</v>
      </c>
      <c r="K35" s="6">
        <f t="shared" si="3"/>
        <v>0</v>
      </c>
      <c r="L35" s="6">
        <f t="shared" si="4"/>
        <v>0</v>
      </c>
      <c r="M35" s="6">
        <f t="shared" si="5"/>
        <v>0</v>
      </c>
      <c r="N35" s="9">
        <f t="shared" si="6"/>
        <v>1597</v>
      </c>
      <c r="O35" s="526">
        <f t="shared" si="7"/>
        <v>22150137.41</v>
      </c>
      <c r="P35" s="526">
        <f t="shared" si="8"/>
        <v>11211778</v>
      </c>
      <c r="Q35" s="526">
        <f>VLOOKUP($J35,aidcalc,25,FALSE)</f>
        <v>11394117</v>
      </c>
      <c r="R35" s="526">
        <f>VLOOKUP($J35,aidcalc,27,FALSE)</f>
        <v>22605895</v>
      </c>
    </row>
    <row r="36" spans="1:18">
      <c r="A36" s="6">
        <v>625</v>
      </c>
      <c r="B36" s="6" t="s">
        <v>1043</v>
      </c>
      <c r="C36" s="6">
        <v>42</v>
      </c>
      <c r="D36" s="6" t="s">
        <v>1161</v>
      </c>
      <c r="E36" s="9">
        <v>3489.4886383242601</v>
      </c>
      <c r="F36" s="9">
        <v>46882568.803371251</v>
      </c>
      <c r="G36" s="9">
        <v>27358613</v>
      </c>
      <c r="I36" s="6" t="str">
        <f t="shared" si="1"/>
        <v>625042</v>
      </c>
      <c r="J36" s="6">
        <f t="shared" si="2"/>
        <v>625</v>
      </c>
      <c r="K36" s="6" t="str">
        <f t="shared" si="3"/>
        <v>Bridgewater Raynham</v>
      </c>
      <c r="L36" s="6">
        <f t="shared" si="4"/>
        <v>42</v>
      </c>
      <c r="M36" s="6" t="str">
        <f t="shared" si="5"/>
        <v xml:space="preserve">Bridgewater                  </v>
      </c>
      <c r="N36" s="9">
        <f t="shared" si="6"/>
        <v>3489.4886383242601</v>
      </c>
      <c r="O36" s="526">
        <f t="shared" si="7"/>
        <v>46882568.803371251</v>
      </c>
      <c r="P36" s="526">
        <f t="shared" si="8"/>
        <v>27358613</v>
      </c>
      <c r="Q36" s="526"/>
      <c r="R36" s="526"/>
    </row>
    <row r="37" spans="1:18">
      <c r="A37" s="6">
        <v>625</v>
      </c>
      <c r="B37" s="6" t="s">
        <v>1043</v>
      </c>
      <c r="C37" s="6">
        <v>245</v>
      </c>
      <c r="D37" s="6" t="s">
        <v>1363</v>
      </c>
      <c r="E37" s="9">
        <v>2204.5113616757399</v>
      </c>
      <c r="F37" s="9">
        <v>29618424.446628749</v>
      </c>
      <c r="G37" s="9">
        <v>17619629</v>
      </c>
      <c r="I37" s="6" t="str">
        <f t="shared" si="1"/>
        <v>625245</v>
      </c>
      <c r="J37" s="6">
        <f t="shared" si="2"/>
        <v>625</v>
      </c>
      <c r="K37" s="6" t="str">
        <f t="shared" si="3"/>
        <v>Bridgewater Raynham</v>
      </c>
      <c r="L37" s="6">
        <f t="shared" si="4"/>
        <v>245</v>
      </c>
      <c r="M37" s="6" t="str">
        <f t="shared" si="5"/>
        <v xml:space="preserve">Raynham                      </v>
      </c>
      <c r="N37" s="9">
        <f t="shared" si="6"/>
        <v>2204.5113616757399</v>
      </c>
      <c r="O37" s="526">
        <f t="shared" si="7"/>
        <v>29618424.446628749</v>
      </c>
      <c r="P37" s="526">
        <f t="shared" si="8"/>
        <v>17619629</v>
      </c>
      <c r="Q37" s="526"/>
      <c r="R37" s="526"/>
    </row>
    <row r="38" spans="1:18">
      <c r="A38" s="6" t="s">
        <v>2370</v>
      </c>
      <c r="E38" s="9">
        <v>5694</v>
      </c>
      <c r="F38" s="9">
        <v>76500993.25</v>
      </c>
      <c r="G38" s="9">
        <v>44978242</v>
      </c>
      <c r="I38" s="6" t="str">
        <f t="shared" si="1"/>
        <v>625999</v>
      </c>
      <c r="J38" s="6">
        <f t="shared" si="2"/>
        <v>625</v>
      </c>
      <c r="K38" s="6">
        <f t="shared" si="3"/>
        <v>0</v>
      </c>
      <c r="L38" s="6">
        <f t="shared" si="4"/>
        <v>0</v>
      </c>
      <c r="M38" s="6">
        <f t="shared" si="5"/>
        <v>0</v>
      </c>
      <c r="N38" s="9">
        <f t="shared" si="6"/>
        <v>5694</v>
      </c>
      <c r="O38" s="526">
        <f t="shared" si="7"/>
        <v>76500993.25</v>
      </c>
      <c r="P38" s="526">
        <f t="shared" si="8"/>
        <v>44978242</v>
      </c>
      <c r="Q38" s="526">
        <f>VLOOKUP($J38,aidcalc,25,FALSE)</f>
        <v>31528709</v>
      </c>
      <c r="R38" s="526">
        <f>VLOOKUP($J38,aidcalc,27,FALSE)</f>
        <v>76506951</v>
      </c>
    </row>
    <row r="39" spans="1:18">
      <c r="A39" s="6">
        <v>632</v>
      </c>
      <c r="B39" s="6" t="s">
        <v>1044</v>
      </c>
      <c r="C39" s="6">
        <v>60</v>
      </c>
      <c r="D39" s="6" t="s">
        <v>1179</v>
      </c>
      <c r="E39" s="9">
        <v>58.956521738589998</v>
      </c>
      <c r="F39" s="9">
        <v>820896.04173160542</v>
      </c>
      <c r="G39" s="9">
        <v>628954</v>
      </c>
      <c r="I39" s="6" t="str">
        <f t="shared" si="1"/>
        <v>632060</v>
      </c>
      <c r="J39" s="6">
        <f t="shared" si="2"/>
        <v>632</v>
      </c>
      <c r="K39" s="6" t="str">
        <f t="shared" si="3"/>
        <v>Chesterfield Goshen</v>
      </c>
      <c r="L39" s="6">
        <f t="shared" si="4"/>
        <v>60</v>
      </c>
      <c r="M39" s="6" t="str">
        <f t="shared" si="5"/>
        <v xml:space="preserve">Chesterfield                 </v>
      </c>
      <c r="N39" s="9">
        <f t="shared" si="6"/>
        <v>58.956521738589998</v>
      </c>
      <c r="O39" s="526">
        <f t="shared" si="7"/>
        <v>820896.04173160542</v>
      </c>
      <c r="P39" s="526">
        <f t="shared" si="8"/>
        <v>628954</v>
      </c>
      <c r="Q39" s="526"/>
      <c r="R39" s="526"/>
    </row>
    <row r="40" spans="1:18">
      <c r="A40" s="6">
        <v>632</v>
      </c>
      <c r="B40" s="6" t="s">
        <v>1044</v>
      </c>
      <c r="C40" s="6">
        <v>108</v>
      </c>
      <c r="D40" s="6" t="s">
        <v>1226</v>
      </c>
      <c r="E40" s="9">
        <v>54.043478261410002</v>
      </c>
      <c r="F40" s="9">
        <v>752488.03826839442</v>
      </c>
      <c r="G40" s="9">
        <v>495669</v>
      </c>
      <c r="I40" s="6" t="str">
        <f t="shared" si="1"/>
        <v>632108</v>
      </c>
      <c r="J40" s="6">
        <f t="shared" si="2"/>
        <v>632</v>
      </c>
      <c r="K40" s="6" t="str">
        <f t="shared" si="3"/>
        <v>Chesterfield Goshen</v>
      </c>
      <c r="L40" s="6">
        <f t="shared" si="4"/>
        <v>108</v>
      </c>
      <c r="M40" s="6" t="str">
        <f t="shared" si="5"/>
        <v xml:space="preserve">Goshen                       </v>
      </c>
      <c r="N40" s="9">
        <f t="shared" si="6"/>
        <v>54.043478261410002</v>
      </c>
      <c r="O40" s="526">
        <f t="shared" si="7"/>
        <v>752488.03826839442</v>
      </c>
      <c r="P40" s="526">
        <f t="shared" si="8"/>
        <v>495669</v>
      </c>
      <c r="Q40" s="526"/>
      <c r="R40" s="526"/>
    </row>
    <row r="41" spans="1:18">
      <c r="A41" s="6" t="s">
        <v>2374</v>
      </c>
      <c r="E41" s="9">
        <v>113</v>
      </c>
      <c r="F41" s="9">
        <v>1573384.0799999998</v>
      </c>
      <c r="G41" s="9">
        <v>1124623</v>
      </c>
      <c r="I41" s="6" t="str">
        <f t="shared" si="1"/>
        <v>632999</v>
      </c>
      <c r="J41" s="6">
        <f t="shared" si="2"/>
        <v>632</v>
      </c>
      <c r="K41" s="6">
        <f t="shared" si="3"/>
        <v>0</v>
      </c>
      <c r="L41" s="6">
        <f t="shared" si="4"/>
        <v>0</v>
      </c>
      <c r="M41" s="6">
        <f t="shared" si="5"/>
        <v>0</v>
      </c>
      <c r="N41" s="9">
        <f t="shared" si="6"/>
        <v>113</v>
      </c>
      <c r="O41" s="526">
        <f t="shared" si="7"/>
        <v>1573384.0799999998</v>
      </c>
      <c r="P41" s="526">
        <f t="shared" si="8"/>
        <v>1124623</v>
      </c>
      <c r="Q41" s="526">
        <f>VLOOKUP($J41,aidcalc,25,FALSE)</f>
        <v>781022</v>
      </c>
      <c r="R41" s="526">
        <f>VLOOKUP($J41,aidcalc,27,FALSE)</f>
        <v>1905645</v>
      </c>
    </row>
    <row r="42" spans="1:18">
      <c r="A42" s="6">
        <v>635</v>
      </c>
      <c r="B42" s="6" t="s">
        <v>1045</v>
      </c>
      <c r="C42" s="6">
        <v>22</v>
      </c>
      <c r="D42" s="6" t="s">
        <v>1141</v>
      </c>
      <c r="E42" s="9">
        <v>184.10824742016001</v>
      </c>
      <c r="F42" s="9">
        <v>2709305.8814899717</v>
      </c>
      <c r="G42" s="9">
        <v>2148988</v>
      </c>
      <c r="I42" s="6" t="str">
        <f t="shared" si="1"/>
        <v>635022</v>
      </c>
      <c r="J42" s="6">
        <f t="shared" si="2"/>
        <v>635</v>
      </c>
      <c r="K42" s="6" t="str">
        <f t="shared" si="3"/>
        <v>Central Berkshire</v>
      </c>
      <c r="L42" s="6">
        <f t="shared" si="4"/>
        <v>22</v>
      </c>
      <c r="M42" s="6" t="str">
        <f t="shared" si="5"/>
        <v xml:space="preserve">Becket                       </v>
      </c>
      <c r="N42" s="9">
        <f t="shared" si="6"/>
        <v>184.10824742016001</v>
      </c>
      <c r="O42" s="526">
        <f t="shared" si="7"/>
        <v>2709305.8814899717</v>
      </c>
      <c r="P42" s="526">
        <f t="shared" si="8"/>
        <v>2148988</v>
      </c>
      <c r="Q42" s="526"/>
      <c r="R42" s="526"/>
    </row>
    <row r="43" spans="1:18">
      <c r="A43" s="6">
        <v>635</v>
      </c>
      <c r="B43" s="6" t="s">
        <v>1045</v>
      </c>
      <c r="C43" s="6">
        <v>69</v>
      </c>
      <c r="D43" s="6" t="s">
        <v>1188</v>
      </c>
      <c r="E43" s="9">
        <v>48.242268043600006</v>
      </c>
      <c r="F43" s="9">
        <v>709925.07059533882</v>
      </c>
      <c r="G43" s="9">
        <v>585688</v>
      </c>
      <c r="I43" s="6" t="str">
        <f t="shared" si="1"/>
        <v>635069</v>
      </c>
      <c r="J43" s="6">
        <f t="shared" si="2"/>
        <v>635</v>
      </c>
      <c r="K43" s="6" t="str">
        <f t="shared" si="3"/>
        <v>Central Berkshire</v>
      </c>
      <c r="L43" s="6">
        <f t="shared" si="4"/>
        <v>69</v>
      </c>
      <c r="M43" s="6" t="str">
        <f t="shared" si="5"/>
        <v xml:space="preserve">Cummington                   </v>
      </c>
      <c r="N43" s="9">
        <f t="shared" si="6"/>
        <v>48.242268043600006</v>
      </c>
      <c r="O43" s="526">
        <f t="shared" si="7"/>
        <v>709925.07059533882</v>
      </c>
      <c r="P43" s="526">
        <f t="shared" si="8"/>
        <v>585688</v>
      </c>
      <c r="Q43" s="526"/>
      <c r="R43" s="526"/>
    </row>
    <row r="44" spans="1:18">
      <c r="A44" s="6">
        <v>635</v>
      </c>
      <c r="B44" s="6" t="s">
        <v>1045</v>
      </c>
      <c r="C44" s="6">
        <v>70</v>
      </c>
      <c r="D44" s="6" t="s">
        <v>1189</v>
      </c>
      <c r="E44" s="9">
        <v>891.00515463760007</v>
      </c>
      <c r="F44" s="9">
        <v>13111881.405228106</v>
      </c>
      <c r="G44" s="9">
        <v>5962936</v>
      </c>
      <c r="I44" s="6" t="str">
        <f t="shared" si="1"/>
        <v>635070</v>
      </c>
      <c r="J44" s="6">
        <f t="shared" si="2"/>
        <v>635</v>
      </c>
      <c r="K44" s="6" t="str">
        <f t="shared" si="3"/>
        <v>Central Berkshire</v>
      </c>
      <c r="L44" s="6">
        <f t="shared" si="4"/>
        <v>70</v>
      </c>
      <c r="M44" s="6" t="str">
        <f t="shared" si="5"/>
        <v xml:space="preserve">Dalton                       </v>
      </c>
      <c r="N44" s="9">
        <f t="shared" si="6"/>
        <v>891.00515463760007</v>
      </c>
      <c r="O44" s="526">
        <f t="shared" si="7"/>
        <v>13111881.405228106</v>
      </c>
      <c r="P44" s="526">
        <f t="shared" si="8"/>
        <v>5962936</v>
      </c>
      <c r="Q44" s="526"/>
      <c r="R44" s="526"/>
    </row>
    <row r="45" spans="1:18">
      <c r="A45" s="6">
        <v>635</v>
      </c>
      <c r="B45" s="6" t="s">
        <v>1045</v>
      </c>
      <c r="C45" s="6">
        <v>132</v>
      </c>
      <c r="D45" s="6" t="s">
        <v>1250</v>
      </c>
      <c r="E45" s="9">
        <v>197.89175257984002</v>
      </c>
      <c r="F45" s="9">
        <v>2912141.6160100284</v>
      </c>
      <c r="G45" s="9">
        <v>2107696</v>
      </c>
      <c r="I45" s="6" t="str">
        <f t="shared" si="1"/>
        <v>635132</v>
      </c>
      <c r="J45" s="6">
        <f t="shared" si="2"/>
        <v>635</v>
      </c>
      <c r="K45" s="6" t="str">
        <f t="shared" si="3"/>
        <v>Central Berkshire</v>
      </c>
      <c r="L45" s="6">
        <f t="shared" si="4"/>
        <v>132</v>
      </c>
      <c r="M45" s="6" t="str">
        <f t="shared" si="5"/>
        <v xml:space="preserve">Hinsdale                     </v>
      </c>
      <c r="N45" s="9">
        <f t="shared" si="6"/>
        <v>197.89175257984002</v>
      </c>
      <c r="O45" s="526">
        <f t="shared" si="7"/>
        <v>2912141.6160100284</v>
      </c>
      <c r="P45" s="526">
        <f t="shared" si="8"/>
        <v>2107696</v>
      </c>
      <c r="Q45" s="526"/>
      <c r="R45" s="526"/>
    </row>
    <row r="46" spans="1:18">
      <c r="A46" s="6">
        <v>635</v>
      </c>
      <c r="B46" s="6" t="s">
        <v>1045</v>
      </c>
      <c r="C46" s="6">
        <v>233</v>
      </c>
      <c r="D46" s="6" t="s">
        <v>1351</v>
      </c>
      <c r="E46" s="9">
        <v>91.56185566648</v>
      </c>
      <c r="F46" s="9">
        <v>1347408.807337147</v>
      </c>
      <c r="G46" s="9">
        <v>605035</v>
      </c>
      <c r="I46" s="6" t="str">
        <f t="shared" si="1"/>
        <v>635233</v>
      </c>
      <c r="J46" s="6">
        <f t="shared" si="2"/>
        <v>635</v>
      </c>
      <c r="K46" s="6" t="str">
        <f t="shared" si="3"/>
        <v>Central Berkshire</v>
      </c>
      <c r="L46" s="6">
        <f t="shared" si="4"/>
        <v>233</v>
      </c>
      <c r="M46" s="6" t="str">
        <f t="shared" si="5"/>
        <v xml:space="preserve">Peru                         </v>
      </c>
      <c r="N46" s="9">
        <f t="shared" si="6"/>
        <v>91.56185566648</v>
      </c>
      <c r="O46" s="526">
        <f t="shared" si="7"/>
        <v>1347408.807337147</v>
      </c>
      <c r="P46" s="526">
        <f t="shared" si="8"/>
        <v>605035</v>
      </c>
      <c r="Q46" s="526"/>
      <c r="R46" s="526"/>
    </row>
    <row r="47" spans="1:18">
      <c r="A47" s="6">
        <v>635</v>
      </c>
      <c r="B47" s="6" t="s">
        <v>1045</v>
      </c>
      <c r="C47" s="6">
        <v>313</v>
      </c>
      <c r="D47" s="6" t="s">
        <v>1431</v>
      </c>
      <c r="E47" s="9">
        <v>58.087628869759996</v>
      </c>
      <c r="F47" s="9">
        <v>854807.73807754205</v>
      </c>
      <c r="G47" s="9">
        <v>540192</v>
      </c>
      <c r="I47" s="6" t="str">
        <f t="shared" si="1"/>
        <v>635313</v>
      </c>
      <c r="J47" s="6">
        <f t="shared" si="2"/>
        <v>635</v>
      </c>
      <c r="K47" s="6" t="str">
        <f t="shared" si="3"/>
        <v>Central Berkshire</v>
      </c>
      <c r="L47" s="6">
        <f t="shared" si="4"/>
        <v>313</v>
      </c>
      <c r="M47" s="6" t="str">
        <f t="shared" si="5"/>
        <v xml:space="preserve">Washington                   </v>
      </c>
      <c r="N47" s="9">
        <f t="shared" si="6"/>
        <v>58.087628869759996</v>
      </c>
      <c r="O47" s="526">
        <f t="shared" si="7"/>
        <v>854807.73807754205</v>
      </c>
      <c r="P47" s="526">
        <f t="shared" si="8"/>
        <v>540192</v>
      </c>
      <c r="Q47" s="526"/>
      <c r="R47" s="526"/>
    </row>
    <row r="48" spans="1:18">
      <c r="A48" s="6">
        <v>635</v>
      </c>
      <c r="B48" s="6" t="s">
        <v>1045</v>
      </c>
      <c r="C48" s="6">
        <v>345</v>
      </c>
      <c r="D48" s="6" t="s">
        <v>1463</v>
      </c>
      <c r="E48" s="9">
        <v>57.103092782560005</v>
      </c>
      <c r="F48" s="9">
        <v>840319.47126186441</v>
      </c>
      <c r="G48" s="9">
        <v>678118</v>
      </c>
      <c r="I48" s="6" t="str">
        <f t="shared" si="1"/>
        <v>635345</v>
      </c>
      <c r="J48" s="6">
        <f t="shared" si="2"/>
        <v>635</v>
      </c>
      <c r="K48" s="6" t="str">
        <f t="shared" si="3"/>
        <v>Central Berkshire</v>
      </c>
      <c r="L48" s="6">
        <f t="shared" si="4"/>
        <v>345</v>
      </c>
      <c r="M48" s="6" t="str">
        <f t="shared" si="5"/>
        <v xml:space="preserve">Windsor                      </v>
      </c>
      <c r="N48" s="9">
        <f t="shared" si="6"/>
        <v>57.103092782560005</v>
      </c>
      <c r="O48" s="526">
        <f t="shared" si="7"/>
        <v>840319.47126186441</v>
      </c>
      <c r="P48" s="526">
        <f t="shared" si="8"/>
        <v>678118</v>
      </c>
      <c r="Q48" s="526"/>
      <c r="R48" s="526"/>
    </row>
    <row r="49" spans="1:18">
      <c r="A49" s="6" t="s">
        <v>2375</v>
      </c>
      <c r="E49" s="9">
        <v>1528</v>
      </c>
      <c r="F49" s="9">
        <v>22485789.989999998</v>
      </c>
      <c r="G49" s="9">
        <v>12628653</v>
      </c>
      <c r="I49" s="6" t="str">
        <f t="shared" si="1"/>
        <v>635999</v>
      </c>
      <c r="J49" s="6">
        <f t="shared" si="2"/>
        <v>635</v>
      </c>
      <c r="K49" s="6">
        <f t="shared" si="3"/>
        <v>0</v>
      </c>
      <c r="L49" s="6">
        <f t="shared" si="4"/>
        <v>0</v>
      </c>
      <c r="M49" s="6">
        <f t="shared" si="5"/>
        <v>0</v>
      </c>
      <c r="N49" s="9">
        <f t="shared" si="6"/>
        <v>1528</v>
      </c>
      <c r="O49" s="526">
        <f t="shared" si="7"/>
        <v>22485789.989999998</v>
      </c>
      <c r="P49" s="526">
        <f t="shared" si="8"/>
        <v>12628653</v>
      </c>
      <c r="Q49" s="526">
        <f>VLOOKUP($J49,aidcalc,25,FALSE)</f>
        <v>9857137</v>
      </c>
      <c r="R49" s="526">
        <f>VLOOKUP($J49,aidcalc,27,FALSE)</f>
        <v>22485790</v>
      </c>
    </row>
    <row r="50" spans="1:18">
      <c r="A50" s="6">
        <v>640</v>
      </c>
      <c r="B50" s="6" t="s">
        <v>1046</v>
      </c>
      <c r="C50" s="6">
        <v>51</v>
      </c>
      <c r="D50" s="6" t="s">
        <v>1170</v>
      </c>
      <c r="E50" s="9">
        <v>298.81401167531999</v>
      </c>
      <c r="F50" s="9">
        <v>4186829.5779285468</v>
      </c>
      <c r="G50" s="9">
        <v>3454134</v>
      </c>
      <c r="I50" s="6" t="str">
        <f t="shared" si="1"/>
        <v>640051</v>
      </c>
      <c r="J50" s="6">
        <f t="shared" si="2"/>
        <v>640</v>
      </c>
      <c r="K50" s="6" t="str">
        <f t="shared" si="3"/>
        <v>Concord Carlisle</v>
      </c>
      <c r="L50" s="6">
        <f t="shared" si="4"/>
        <v>51</v>
      </c>
      <c r="M50" s="6" t="str">
        <f t="shared" si="5"/>
        <v xml:space="preserve">Carlisle                     </v>
      </c>
      <c r="N50" s="9">
        <f t="shared" si="6"/>
        <v>298.81401167531999</v>
      </c>
      <c r="O50" s="526">
        <f t="shared" si="7"/>
        <v>4186829.5779285468</v>
      </c>
      <c r="P50" s="526">
        <f t="shared" si="8"/>
        <v>3454134</v>
      </c>
      <c r="Q50" s="526"/>
      <c r="R50" s="526"/>
    </row>
    <row r="51" spans="1:18">
      <c r="A51" s="6">
        <v>640</v>
      </c>
      <c r="B51" s="6" t="s">
        <v>1046</v>
      </c>
      <c r="C51" s="6">
        <v>67</v>
      </c>
      <c r="D51" s="6" t="s">
        <v>1186</v>
      </c>
      <c r="E51" s="9">
        <v>967.18598832468001</v>
      </c>
      <c r="F51" s="9">
        <v>13551716.937811457</v>
      </c>
      <c r="G51" s="9">
        <v>11180167</v>
      </c>
      <c r="I51" s="6" t="str">
        <f t="shared" si="1"/>
        <v>640067</v>
      </c>
      <c r="J51" s="6">
        <f t="shared" si="2"/>
        <v>640</v>
      </c>
      <c r="K51" s="6" t="str">
        <f t="shared" si="3"/>
        <v>Concord Carlisle</v>
      </c>
      <c r="L51" s="6">
        <f t="shared" si="4"/>
        <v>67</v>
      </c>
      <c r="M51" s="6" t="str">
        <f t="shared" si="5"/>
        <v xml:space="preserve">Concord                      </v>
      </c>
      <c r="N51" s="9">
        <f t="shared" si="6"/>
        <v>967.18598832468001</v>
      </c>
      <c r="O51" s="526">
        <f t="shared" si="7"/>
        <v>13551716.937811457</v>
      </c>
      <c r="P51" s="526">
        <f t="shared" si="8"/>
        <v>11180167</v>
      </c>
      <c r="Q51" s="526"/>
      <c r="R51" s="526"/>
    </row>
    <row r="52" spans="1:18">
      <c r="A52" s="6" t="s">
        <v>2376</v>
      </c>
      <c r="E52" s="9">
        <v>1266</v>
      </c>
      <c r="F52" s="9">
        <v>17738546.515740003</v>
      </c>
      <c r="G52" s="9">
        <v>14634301</v>
      </c>
      <c r="I52" s="6" t="str">
        <f t="shared" si="1"/>
        <v>640999</v>
      </c>
      <c r="J52" s="6">
        <f t="shared" si="2"/>
        <v>640</v>
      </c>
      <c r="K52" s="6">
        <f t="shared" si="3"/>
        <v>0</v>
      </c>
      <c r="L52" s="6">
        <f t="shared" si="4"/>
        <v>0</v>
      </c>
      <c r="M52" s="6">
        <f t="shared" si="5"/>
        <v>0</v>
      </c>
      <c r="N52" s="9">
        <f t="shared" si="6"/>
        <v>1266</v>
      </c>
      <c r="O52" s="526">
        <f t="shared" si="7"/>
        <v>17738546.515740003</v>
      </c>
      <c r="P52" s="526">
        <f t="shared" si="8"/>
        <v>14634301</v>
      </c>
      <c r="Q52" s="526">
        <f>VLOOKUP($J52,aidcalc,25,FALSE)</f>
        <v>3425673</v>
      </c>
      <c r="R52" s="526">
        <f>VLOOKUP($J52,aidcalc,27,FALSE)</f>
        <v>18059974</v>
      </c>
    </row>
    <row r="53" spans="1:18">
      <c r="A53" s="6">
        <v>645</v>
      </c>
      <c r="B53" s="6" t="s">
        <v>1047</v>
      </c>
      <c r="C53" s="6">
        <v>75</v>
      </c>
      <c r="D53" s="6" t="s">
        <v>1194</v>
      </c>
      <c r="E53" s="9">
        <v>982.94304757316991</v>
      </c>
      <c r="F53" s="9">
        <v>16028933.790816883</v>
      </c>
      <c r="G53" s="9">
        <v>13223870</v>
      </c>
      <c r="I53" s="6" t="str">
        <f t="shared" si="1"/>
        <v>645075</v>
      </c>
      <c r="J53" s="6">
        <f t="shared" si="2"/>
        <v>645</v>
      </c>
      <c r="K53" s="6" t="str">
        <f t="shared" si="3"/>
        <v>Dennis Yarmouth</v>
      </c>
      <c r="L53" s="6">
        <f t="shared" si="4"/>
        <v>75</v>
      </c>
      <c r="M53" s="6" t="str">
        <f t="shared" si="5"/>
        <v xml:space="preserve">Dennis                       </v>
      </c>
      <c r="N53" s="9">
        <f t="shared" si="6"/>
        <v>982.94304757316991</v>
      </c>
      <c r="O53" s="526">
        <f t="shared" si="7"/>
        <v>16028933.790816883</v>
      </c>
      <c r="P53" s="526">
        <f t="shared" si="8"/>
        <v>13223870</v>
      </c>
      <c r="Q53" s="526"/>
      <c r="R53" s="526"/>
    </row>
    <row r="54" spans="1:18">
      <c r="A54" s="6">
        <v>645</v>
      </c>
      <c r="B54" s="6" t="s">
        <v>1047</v>
      </c>
      <c r="C54" s="6">
        <v>351</v>
      </c>
      <c r="D54" s="6" t="s">
        <v>1468</v>
      </c>
      <c r="E54" s="9">
        <v>2278.0569524268299</v>
      </c>
      <c r="F54" s="9">
        <v>37148463.639183111</v>
      </c>
      <c r="G54" s="9">
        <v>27380017</v>
      </c>
      <c r="I54" s="6" t="str">
        <f t="shared" si="1"/>
        <v>645351</v>
      </c>
      <c r="J54" s="6">
        <f t="shared" si="2"/>
        <v>645</v>
      </c>
      <c r="K54" s="6" t="str">
        <f t="shared" si="3"/>
        <v>Dennis Yarmouth</v>
      </c>
      <c r="L54" s="6">
        <f t="shared" si="4"/>
        <v>351</v>
      </c>
      <c r="M54" s="6" t="str">
        <f t="shared" si="5"/>
        <v xml:space="preserve">Yarmouth                     </v>
      </c>
      <c r="N54" s="9">
        <f t="shared" si="6"/>
        <v>2278.0569524268299</v>
      </c>
      <c r="O54" s="526">
        <f t="shared" si="7"/>
        <v>37148463.639183111</v>
      </c>
      <c r="P54" s="526">
        <f t="shared" si="8"/>
        <v>27380017</v>
      </c>
      <c r="Q54" s="526"/>
      <c r="R54" s="526"/>
    </row>
    <row r="55" spans="1:18">
      <c r="A55" s="6" t="s">
        <v>2377</v>
      </c>
      <c r="E55" s="9">
        <v>3261</v>
      </c>
      <c r="F55" s="9">
        <v>53177397.429999992</v>
      </c>
      <c r="G55" s="9">
        <v>40603887</v>
      </c>
      <c r="I55" s="6" t="str">
        <f t="shared" si="1"/>
        <v>645999</v>
      </c>
      <c r="J55" s="6">
        <f t="shared" si="2"/>
        <v>645</v>
      </c>
      <c r="K55" s="6">
        <f t="shared" si="3"/>
        <v>0</v>
      </c>
      <c r="L55" s="6">
        <f t="shared" si="4"/>
        <v>0</v>
      </c>
      <c r="M55" s="6">
        <f t="shared" si="5"/>
        <v>0</v>
      </c>
      <c r="N55" s="9">
        <f t="shared" si="6"/>
        <v>3261</v>
      </c>
      <c r="O55" s="526">
        <f t="shared" si="7"/>
        <v>53177397.429999992</v>
      </c>
      <c r="P55" s="526">
        <f t="shared" si="8"/>
        <v>40603887</v>
      </c>
      <c r="Q55" s="526">
        <f>VLOOKUP($J55,aidcalc,25,FALSE)</f>
        <v>12573510</v>
      </c>
      <c r="R55" s="526">
        <f>VLOOKUP($J55,aidcalc,27,FALSE)</f>
        <v>53177397</v>
      </c>
    </row>
    <row r="56" spans="1:18">
      <c r="A56" s="6">
        <v>650</v>
      </c>
      <c r="B56" s="6" t="s">
        <v>1048</v>
      </c>
      <c r="C56" s="6">
        <v>76</v>
      </c>
      <c r="D56" s="6" t="s">
        <v>1195</v>
      </c>
      <c r="E56" s="9">
        <v>1143.0220700121699</v>
      </c>
      <c r="F56" s="9">
        <v>15216268.247371864</v>
      </c>
      <c r="G56" s="9">
        <v>7767533</v>
      </c>
      <c r="I56" s="6" t="str">
        <f t="shared" si="1"/>
        <v>650076</v>
      </c>
      <c r="J56" s="6">
        <f t="shared" si="2"/>
        <v>650</v>
      </c>
      <c r="K56" s="6" t="str">
        <f t="shared" si="3"/>
        <v>Dighton Rehoboth</v>
      </c>
      <c r="L56" s="6">
        <f t="shared" si="4"/>
        <v>76</v>
      </c>
      <c r="M56" s="6" t="str">
        <f t="shared" si="5"/>
        <v xml:space="preserve">Dighton                      </v>
      </c>
      <c r="N56" s="9">
        <f t="shared" si="6"/>
        <v>1143.0220700121699</v>
      </c>
      <c r="O56" s="526">
        <f t="shared" si="7"/>
        <v>15216268.247371864</v>
      </c>
      <c r="P56" s="526">
        <f t="shared" si="8"/>
        <v>7767533</v>
      </c>
      <c r="Q56" s="526"/>
      <c r="R56" s="526"/>
    </row>
    <row r="57" spans="1:18">
      <c r="A57" s="6">
        <v>650</v>
      </c>
      <c r="B57" s="6" t="s">
        <v>1048</v>
      </c>
      <c r="C57" s="6">
        <v>247</v>
      </c>
      <c r="D57" s="6" t="s">
        <v>1365</v>
      </c>
      <c r="E57" s="9">
        <v>1459.9779299878298</v>
      </c>
      <c r="F57" s="9">
        <v>19435684.052628122</v>
      </c>
      <c r="G57" s="9">
        <v>16034439</v>
      </c>
      <c r="I57" s="6" t="str">
        <f t="shared" si="1"/>
        <v>650247</v>
      </c>
      <c r="J57" s="6">
        <f t="shared" si="2"/>
        <v>650</v>
      </c>
      <c r="K57" s="6" t="str">
        <f t="shared" si="3"/>
        <v>Dighton Rehoboth</v>
      </c>
      <c r="L57" s="6">
        <f t="shared" si="4"/>
        <v>247</v>
      </c>
      <c r="M57" s="6" t="str">
        <f t="shared" si="5"/>
        <v xml:space="preserve">Rehoboth                     </v>
      </c>
      <c r="N57" s="9">
        <f t="shared" si="6"/>
        <v>1459.9779299878298</v>
      </c>
      <c r="O57" s="526">
        <f t="shared" si="7"/>
        <v>19435684.052628122</v>
      </c>
      <c r="P57" s="526">
        <f t="shared" si="8"/>
        <v>16034439</v>
      </c>
      <c r="Q57" s="526"/>
      <c r="R57" s="526"/>
    </row>
    <row r="58" spans="1:18">
      <c r="A58" s="6" t="s">
        <v>2378</v>
      </c>
      <c r="E58" s="9">
        <v>2603</v>
      </c>
      <c r="F58" s="9">
        <v>34651952.299999982</v>
      </c>
      <c r="G58" s="9">
        <v>23801972</v>
      </c>
      <c r="I58" s="6" t="str">
        <f t="shared" si="1"/>
        <v>650999</v>
      </c>
      <c r="J58" s="6">
        <f t="shared" si="2"/>
        <v>650</v>
      </c>
      <c r="K58" s="6">
        <f t="shared" si="3"/>
        <v>0</v>
      </c>
      <c r="L58" s="6">
        <f t="shared" si="4"/>
        <v>0</v>
      </c>
      <c r="M58" s="6">
        <f t="shared" si="5"/>
        <v>0</v>
      </c>
      <c r="N58" s="9">
        <f t="shared" si="6"/>
        <v>2603</v>
      </c>
      <c r="O58" s="526">
        <f t="shared" si="7"/>
        <v>34651952.299999982</v>
      </c>
      <c r="P58" s="526">
        <f t="shared" si="8"/>
        <v>23801972</v>
      </c>
      <c r="Q58" s="526">
        <f>VLOOKUP($J58,aidcalc,25,FALSE)</f>
        <v>13618578</v>
      </c>
      <c r="R58" s="526">
        <f>VLOOKUP($J58,aidcalc,27,FALSE)</f>
        <v>37420550</v>
      </c>
    </row>
    <row r="59" spans="1:18">
      <c r="A59" s="6">
        <v>655</v>
      </c>
      <c r="B59" s="6" t="s">
        <v>1049</v>
      </c>
      <c r="C59" s="6">
        <v>78</v>
      </c>
      <c r="D59" s="6" t="s">
        <v>1197</v>
      </c>
      <c r="E59" s="9">
        <v>613.35707925183999</v>
      </c>
      <c r="F59" s="9">
        <v>8033541.1902133534</v>
      </c>
      <c r="G59" s="9">
        <v>6627671</v>
      </c>
      <c r="I59" s="6" t="str">
        <f t="shared" si="1"/>
        <v>655078</v>
      </c>
      <c r="J59" s="6">
        <f t="shared" si="2"/>
        <v>655</v>
      </c>
      <c r="K59" s="6" t="str">
        <f t="shared" si="3"/>
        <v>Dover Sherborn</v>
      </c>
      <c r="L59" s="6">
        <f t="shared" si="4"/>
        <v>78</v>
      </c>
      <c r="M59" s="6" t="str">
        <f t="shared" si="5"/>
        <v xml:space="preserve">Dover                        </v>
      </c>
      <c r="N59" s="9">
        <f t="shared" si="6"/>
        <v>613.35707925183999</v>
      </c>
      <c r="O59" s="526">
        <f t="shared" si="7"/>
        <v>8033541.1902133534</v>
      </c>
      <c r="P59" s="526">
        <f t="shared" si="8"/>
        <v>6627671</v>
      </c>
      <c r="Q59" s="526"/>
      <c r="R59" s="526"/>
    </row>
    <row r="60" spans="1:18">
      <c r="A60" s="6">
        <v>655</v>
      </c>
      <c r="B60" s="6" t="s">
        <v>1049</v>
      </c>
      <c r="C60" s="6">
        <v>269</v>
      </c>
      <c r="D60" s="6" t="s">
        <v>1387</v>
      </c>
      <c r="E60" s="9">
        <v>534.64292074816001</v>
      </c>
      <c r="F60" s="9">
        <v>7002570.0708066486</v>
      </c>
      <c r="G60" s="9">
        <v>5777120</v>
      </c>
      <c r="I60" s="6" t="str">
        <f t="shared" si="1"/>
        <v>655269</v>
      </c>
      <c r="J60" s="6">
        <f t="shared" si="2"/>
        <v>655</v>
      </c>
      <c r="K60" s="6" t="str">
        <f t="shared" si="3"/>
        <v>Dover Sherborn</v>
      </c>
      <c r="L60" s="6">
        <f t="shared" si="4"/>
        <v>269</v>
      </c>
      <c r="M60" s="6" t="str">
        <f t="shared" si="5"/>
        <v xml:space="preserve">Sherborn                     </v>
      </c>
      <c r="N60" s="9">
        <f t="shared" si="6"/>
        <v>534.64292074816001</v>
      </c>
      <c r="O60" s="526">
        <f t="shared" si="7"/>
        <v>7002570.0708066486</v>
      </c>
      <c r="P60" s="526">
        <f t="shared" si="8"/>
        <v>5777120</v>
      </c>
      <c r="Q60" s="526"/>
      <c r="R60" s="526"/>
    </row>
    <row r="61" spans="1:18">
      <c r="A61" s="6" t="s">
        <v>2379</v>
      </c>
      <c r="E61" s="9">
        <v>1148</v>
      </c>
      <c r="F61" s="9">
        <v>15036111.261020001</v>
      </c>
      <c r="G61" s="9">
        <v>12404791</v>
      </c>
      <c r="I61" s="6" t="str">
        <f t="shared" si="1"/>
        <v>655999</v>
      </c>
      <c r="J61" s="6">
        <f t="shared" si="2"/>
        <v>655</v>
      </c>
      <c r="K61" s="6">
        <f t="shared" si="3"/>
        <v>0</v>
      </c>
      <c r="L61" s="6">
        <f t="shared" si="4"/>
        <v>0</v>
      </c>
      <c r="M61" s="6">
        <f t="shared" si="5"/>
        <v>0</v>
      </c>
      <c r="N61" s="9">
        <f t="shared" si="6"/>
        <v>1148</v>
      </c>
      <c r="O61" s="526">
        <f t="shared" si="7"/>
        <v>15036111.261020001</v>
      </c>
      <c r="P61" s="526">
        <f t="shared" si="8"/>
        <v>12404791</v>
      </c>
      <c r="Q61" s="526">
        <f>VLOOKUP($J61,aidcalc,25,FALSE)</f>
        <v>2774402</v>
      </c>
      <c r="R61" s="526">
        <f>VLOOKUP($J61,aidcalc,27,FALSE)</f>
        <v>15179193</v>
      </c>
    </row>
    <row r="62" spans="1:18">
      <c r="A62" s="6">
        <v>658</v>
      </c>
      <c r="B62" s="6" t="s">
        <v>1050</v>
      </c>
      <c r="C62" s="6">
        <v>54</v>
      </c>
      <c r="D62" s="6" t="s">
        <v>1173</v>
      </c>
      <c r="E62" s="9">
        <v>1764.8418674802199</v>
      </c>
      <c r="F62" s="9">
        <v>24885416.639302433</v>
      </c>
      <c r="G62" s="9">
        <v>13954607</v>
      </c>
      <c r="I62" s="6" t="str">
        <f t="shared" si="1"/>
        <v>658054</v>
      </c>
      <c r="J62" s="6">
        <f t="shared" si="2"/>
        <v>658</v>
      </c>
      <c r="K62" s="6" t="str">
        <f t="shared" si="3"/>
        <v>Dudley Charlton</v>
      </c>
      <c r="L62" s="6">
        <f t="shared" si="4"/>
        <v>54</v>
      </c>
      <c r="M62" s="6" t="str">
        <f t="shared" si="5"/>
        <v xml:space="preserve">Charlton                     </v>
      </c>
      <c r="N62" s="9">
        <f t="shared" si="6"/>
        <v>1764.8418674802199</v>
      </c>
      <c r="O62" s="526">
        <f t="shared" si="7"/>
        <v>24885416.639302433</v>
      </c>
      <c r="P62" s="526">
        <f t="shared" si="8"/>
        <v>13954607</v>
      </c>
      <c r="Q62" s="526"/>
      <c r="R62" s="526"/>
    </row>
    <row r="63" spans="1:18">
      <c r="A63" s="6">
        <v>658</v>
      </c>
      <c r="B63" s="6" t="s">
        <v>1050</v>
      </c>
      <c r="C63" s="6">
        <v>80</v>
      </c>
      <c r="D63" s="6" t="s">
        <v>1199</v>
      </c>
      <c r="E63" s="9">
        <v>1536.1581325197799</v>
      </c>
      <c r="F63" s="9">
        <v>21660827.440697566</v>
      </c>
      <c r="G63" s="9">
        <v>8078202</v>
      </c>
      <c r="I63" s="6" t="str">
        <f t="shared" si="1"/>
        <v>658080</v>
      </c>
      <c r="J63" s="6">
        <f t="shared" si="2"/>
        <v>658</v>
      </c>
      <c r="K63" s="6" t="str">
        <f t="shared" si="3"/>
        <v>Dudley Charlton</v>
      </c>
      <c r="L63" s="6">
        <f t="shared" si="4"/>
        <v>80</v>
      </c>
      <c r="M63" s="6" t="str">
        <f t="shared" si="5"/>
        <v xml:space="preserve">Dudley                       </v>
      </c>
      <c r="N63" s="9">
        <f t="shared" si="6"/>
        <v>1536.1581325197799</v>
      </c>
      <c r="O63" s="526">
        <f t="shared" si="7"/>
        <v>21660827.440697566</v>
      </c>
      <c r="P63" s="526">
        <f t="shared" si="8"/>
        <v>8078202</v>
      </c>
      <c r="Q63" s="526"/>
      <c r="R63" s="526"/>
    </row>
    <row r="64" spans="1:18">
      <c r="A64" s="6" t="s">
        <v>2380</v>
      </c>
      <c r="E64" s="9">
        <v>3301</v>
      </c>
      <c r="F64" s="9">
        <v>46546244.079999998</v>
      </c>
      <c r="G64" s="9">
        <v>22032809</v>
      </c>
      <c r="I64" s="6" t="str">
        <f t="shared" si="1"/>
        <v>658999</v>
      </c>
      <c r="J64" s="6">
        <f t="shared" si="2"/>
        <v>658</v>
      </c>
      <c r="K64" s="6">
        <f t="shared" si="3"/>
        <v>0</v>
      </c>
      <c r="L64" s="6">
        <f t="shared" si="4"/>
        <v>0</v>
      </c>
      <c r="M64" s="6">
        <f t="shared" si="5"/>
        <v>0</v>
      </c>
      <c r="N64" s="9">
        <f t="shared" si="6"/>
        <v>3301</v>
      </c>
      <c r="O64" s="526">
        <f t="shared" si="7"/>
        <v>46546244.079999998</v>
      </c>
      <c r="P64" s="526">
        <f t="shared" si="8"/>
        <v>22032809</v>
      </c>
      <c r="Q64" s="526">
        <f>VLOOKUP($J64,aidcalc,25,FALSE)</f>
        <v>25328187</v>
      </c>
      <c r="R64" s="526">
        <f>VLOOKUP($J64,aidcalc,27,FALSE)</f>
        <v>47360996</v>
      </c>
    </row>
    <row r="65" spans="1:18">
      <c r="A65" s="6">
        <v>660</v>
      </c>
      <c r="B65" s="6" t="s">
        <v>1051</v>
      </c>
      <c r="C65" s="6">
        <v>41</v>
      </c>
      <c r="D65" s="6" t="s">
        <v>1160</v>
      </c>
      <c r="E65" s="9">
        <v>538.99999999559998</v>
      </c>
      <c r="F65" s="9">
        <v>7939514.4605249316</v>
      </c>
      <c r="G65" s="9">
        <v>6550099</v>
      </c>
      <c r="I65" s="6" t="str">
        <f t="shared" si="1"/>
        <v>660041</v>
      </c>
      <c r="J65" s="6">
        <f t="shared" si="2"/>
        <v>660</v>
      </c>
      <c r="K65" s="6" t="str">
        <f t="shared" si="3"/>
        <v>Nauset</v>
      </c>
      <c r="L65" s="6">
        <f t="shared" si="4"/>
        <v>41</v>
      </c>
      <c r="M65" s="6" t="str">
        <f t="shared" si="5"/>
        <v xml:space="preserve">Brewster                     </v>
      </c>
      <c r="N65" s="9">
        <f t="shared" si="6"/>
        <v>538.99999999559998</v>
      </c>
      <c r="O65" s="526">
        <f t="shared" si="7"/>
        <v>7939514.4605249316</v>
      </c>
      <c r="P65" s="526">
        <f t="shared" si="8"/>
        <v>6550099</v>
      </c>
      <c r="Q65" s="526"/>
      <c r="R65" s="526"/>
    </row>
    <row r="66" spans="1:18">
      <c r="A66" s="6">
        <v>660</v>
      </c>
      <c r="B66" s="6" t="s">
        <v>1051</v>
      </c>
      <c r="C66" s="6">
        <v>85</v>
      </c>
      <c r="D66" s="6" t="s">
        <v>1204</v>
      </c>
      <c r="E66" s="9">
        <v>242.00000000279999</v>
      </c>
      <c r="F66" s="9">
        <v>3564679.9619386801</v>
      </c>
      <c r="G66" s="9">
        <v>2940861</v>
      </c>
      <c r="I66" s="6" t="str">
        <f t="shared" si="1"/>
        <v>660085</v>
      </c>
      <c r="J66" s="6">
        <f t="shared" si="2"/>
        <v>660</v>
      </c>
      <c r="K66" s="6" t="str">
        <f t="shared" si="3"/>
        <v>Nauset</v>
      </c>
      <c r="L66" s="6">
        <f t="shared" si="4"/>
        <v>85</v>
      </c>
      <c r="M66" s="6" t="str">
        <f t="shared" si="5"/>
        <v xml:space="preserve">Eastham                      </v>
      </c>
      <c r="N66" s="9">
        <f t="shared" si="6"/>
        <v>242.00000000279999</v>
      </c>
      <c r="O66" s="526">
        <f t="shared" si="7"/>
        <v>3564679.9619386801</v>
      </c>
      <c r="P66" s="526">
        <f t="shared" si="8"/>
        <v>2940861</v>
      </c>
      <c r="Q66" s="526"/>
      <c r="R66" s="526"/>
    </row>
    <row r="67" spans="1:18">
      <c r="A67" s="6">
        <v>660</v>
      </c>
      <c r="B67" s="6" t="s">
        <v>1051</v>
      </c>
      <c r="C67" s="6">
        <v>224</v>
      </c>
      <c r="D67" s="6" t="s">
        <v>1342</v>
      </c>
      <c r="E67" s="9">
        <v>257.99999999670001</v>
      </c>
      <c r="F67" s="9">
        <v>3800361.2816436989</v>
      </c>
      <c r="G67" s="9">
        <v>3135298</v>
      </c>
      <c r="I67" s="6" t="str">
        <f t="shared" si="1"/>
        <v>660224</v>
      </c>
      <c r="J67" s="6">
        <f t="shared" si="2"/>
        <v>660</v>
      </c>
      <c r="K67" s="6" t="str">
        <f t="shared" si="3"/>
        <v>Nauset</v>
      </c>
      <c r="L67" s="6">
        <f t="shared" si="4"/>
        <v>224</v>
      </c>
      <c r="M67" s="6" t="str">
        <f t="shared" si="5"/>
        <v xml:space="preserve">Orleans                      </v>
      </c>
      <c r="N67" s="9">
        <f t="shared" si="6"/>
        <v>257.99999999670001</v>
      </c>
      <c r="O67" s="526">
        <f t="shared" si="7"/>
        <v>3800361.2816436989</v>
      </c>
      <c r="P67" s="526">
        <f t="shared" si="8"/>
        <v>3135298</v>
      </c>
      <c r="Q67" s="526"/>
      <c r="R67" s="526"/>
    </row>
    <row r="68" spans="1:18">
      <c r="A68" s="6">
        <v>660</v>
      </c>
      <c r="B68" s="6" t="s">
        <v>1051</v>
      </c>
      <c r="C68" s="6">
        <v>318</v>
      </c>
      <c r="D68" s="6" t="s">
        <v>1436</v>
      </c>
      <c r="E68" s="9">
        <v>131.00000000489999</v>
      </c>
      <c r="F68" s="9">
        <v>1929640.8058926903</v>
      </c>
      <c r="G68" s="9">
        <v>1591953</v>
      </c>
      <c r="I68" s="6" t="str">
        <f t="shared" si="1"/>
        <v>660318</v>
      </c>
      <c r="J68" s="6">
        <f t="shared" si="2"/>
        <v>660</v>
      </c>
      <c r="K68" s="6" t="str">
        <f t="shared" si="3"/>
        <v>Nauset</v>
      </c>
      <c r="L68" s="6">
        <f t="shared" si="4"/>
        <v>318</v>
      </c>
      <c r="M68" s="6" t="str">
        <f t="shared" si="5"/>
        <v xml:space="preserve">Wellfleet                    </v>
      </c>
      <c r="N68" s="9">
        <f t="shared" si="6"/>
        <v>131.00000000489999</v>
      </c>
      <c r="O68" s="526">
        <f t="shared" si="7"/>
        <v>1929640.8058926903</v>
      </c>
      <c r="P68" s="526">
        <f t="shared" si="8"/>
        <v>1591953</v>
      </c>
      <c r="Q68" s="526"/>
      <c r="R68" s="526"/>
    </row>
    <row r="69" spans="1:18">
      <c r="A69" s="6" t="s">
        <v>2381</v>
      </c>
      <c r="E69" s="9">
        <v>1170</v>
      </c>
      <c r="F69" s="9">
        <v>17234196.510000002</v>
      </c>
      <c r="G69" s="9">
        <v>14218211</v>
      </c>
      <c r="I69" s="6" t="str">
        <f t="shared" ref="I69:I132" si="9">IF(L69=0,J69&amp;999,J69&amp;TEXT(L69,"000"))</f>
        <v>660999</v>
      </c>
      <c r="J69" s="6">
        <f t="shared" ref="J69:J132" si="10">VALUE(LEFT(A69,3))</f>
        <v>660</v>
      </c>
      <c r="K69" s="6">
        <f t="shared" ref="K69:K132" si="11">B69</f>
        <v>0</v>
      </c>
      <c r="L69" s="6">
        <f t="shared" ref="L69:L132" si="12">C69</f>
        <v>0</v>
      </c>
      <c r="M69" s="6">
        <f t="shared" ref="M69:M132" si="13">D69</f>
        <v>0</v>
      </c>
      <c r="N69" s="9">
        <f t="shared" ref="N69:N132" si="14">E69</f>
        <v>1170</v>
      </c>
      <c r="O69" s="526">
        <f t="shared" ref="O69:O132" si="15">F69</f>
        <v>17234196.510000002</v>
      </c>
      <c r="P69" s="526">
        <f t="shared" ref="P69:P132" si="16">G69</f>
        <v>14218211</v>
      </c>
      <c r="Q69" s="526">
        <f>VLOOKUP($J69,aidcalc,25,FALSE)</f>
        <v>3828228.9999996317</v>
      </c>
      <c r="R69" s="526">
        <f>VLOOKUP($J69,aidcalc,27,FALSE)</f>
        <v>18046439.999999631</v>
      </c>
    </row>
    <row r="70" spans="1:18">
      <c r="A70" s="6">
        <v>662</v>
      </c>
      <c r="B70" s="6" t="s">
        <v>1052</v>
      </c>
      <c r="C70" s="6">
        <v>225</v>
      </c>
      <c r="D70" s="6" t="s">
        <v>1343</v>
      </c>
      <c r="E70" s="9">
        <v>129.23076923008</v>
      </c>
      <c r="F70" s="9">
        <v>1870547.6596054086</v>
      </c>
      <c r="G70" s="9">
        <v>1543202</v>
      </c>
      <c r="I70" s="6" t="str">
        <f t="shared" si="9"/>
        <v>662225</v>
      </c>
      <c r="J70" s="6">
        <f t="shared" si="10"/>
        <v>662</v>
      </c>
      <c r="K70" s="6" t="str">
        <f t="shared" si="11"/>
        <v>Farmington River</v>
      </c>
      <c r="L70" s="6">
        <f t="shared" si="12"/>
        <v>225</v>
      </c>
      <c r="M70" s="6" t="str">
        <f t="shared" si="13"/>
        <v xml:space="preserve">Otis                         </v>
      </c>
      <c r="N70" s="9">
        <f t="shared" si="14"/>
        <v>129.23076923008</v>
      </c>
      <c r="O70" s="526">
        <f t="shared" si="15"/>
        <v>1870547.6596054086</v>
      </c>
      <c r="P70" s="526">
        <f t="shared" si="16"/>
        <v>1543202</v>
      </c>
      <c r="Q70" s="526"/>
      <c r="R70" s="526"/>
    </row>
    <row r="71" spans="1:18">
      <c r="A71" s="6">
        <v>662</v>
      </c>
      <c r="B71" s="6" t="s">
        <v>1052</v>
      </c>
      <c r="C71" s="6">
        <v>260</v>
      </c>
      <c r="D71" s="6" t="s">
        <v>1378</v>
      </c>
      <c r="E71" s="9">
        <v>94.76923076992</v>
      </c>
      <c r="F71" s="9">
        <v>1371734.9503945918</v>
      </c>
      <c r="G71" s="9">
        <v>964037</v>
      </c>
      <c r="I71" s="6" t="str">
        <f t="shared" si="9"/>
        <v>662260</v>
      </c>
      <c r="J71" s="6">
        <f t="shared" si="10"/>
        <v>662</v>
      </c>
      <c r="K71" s="6" t="str">
        <f t="shared" si="11"/>
        <v>Farmington River</v>
      </c>
      <c r="L71" s="6">
        <f t="shared" si="12"/>
        <v>260</v>
      </c>
      <c r="M71" s="6" t="str">
        <f t="shared" si="13"/>
        <v xml:space="preserve">Sandisfield                  </v>
      </c>
      <c r="N71" s="9">
        <f t="shared" si="14"/>
        <v>94.76923076992</v>
      </c>
      <c r="O71" s="526">
        <f t="shared" si="15"/>
        <v>1371734.9503945918</v>
      </c>
      <c r="P71" s="526">
        <f t="shared" si="16"/>
        <v>964037</v>
      </c>
      <c r="Q71" s="526"/>
      <c r="R71" s="526"/>
    </row>
    <row r="72" spans="1:18">
      <c r="A72" s="6" t="s">
        <v>2382</v>
      </c>
      <c r="E72" s="9">
        <v>224</v>
      </c>
      <c r="F72" s="9">
        <v>3242282.6100000003</v>
      </c>
      <c r="G72" s="9">
        <v>2507239</v>
      </c>
      <c r="I72" s="6" t="str">
        <f t="shared" si="9"/>
        <v>662999</v>
      </c>
      <c r="J72" s="6">
        <f t="shared" si="10"/>
        <v>662</v>
      </c>
      <c r="K72" s="6">
        <f t="shared" si="11"/>
        <v>0</v>
      </c>
      <c r="L72" s="6">
        <f t="shared" si="12"/>
        <v>0</v>
      </c>
      <c r="M72" s="6">
        <f t="shared" si="13"/>
        <v>0</v>
      </c>
      <c r="N72" s="9">
        <f t="shared" si="14"/>
        <v>224</v>
      </c>
      <c r="O72" s="526">
        <f t="shared" si="15"/>
        <v>3242282.6100000003</v>
      </c>
      <c r="P72" s="526">
        <f t="shared" si="16"/>
        <v>2507239</v>
      </c>
      <c r="Q72" s="526">
        <f>VLOOKUP($J72,aidcalc,25,FALSE)</f>
        <v>735044</v>
      </c>
      <c r="R72" s="526">
        <f>VLOOKUP($J72,aidcalc,27,FALSE)</f>
        <v>3242283</v>
      </c>
    </row>
    <row r="73" spans="1:18">
      <c r="A73" s="6">
        <v>665</v>
      </c>
      <c r="B73" s="6" t="s">
        <v>1053</v>
      </c>
      <c r="C73" s="6">
        <v>102</v>
      </c>
      <c r="D73" s="6" t="s">
        <v>1221</v>
      </c>
      <c r="E73" s="9">
        <v>1165.146198832</v>
      </c>
      <c r="F73" s="9">
        <v>15204408.787140638</v>
      </c>
      <c r="G73" s="9">
        <v>11082677</v>
      </c>
      <c r="I73" s="6" t="str">
        <f t="shared" si="9"/>
        <v>665102</v>
      </c>
      <c r="J73" s="6">
        <f t="shared" si="10"/>
        <v>665</v>
      </c>
      <c r="K73" s="6" t="str">
        <f t="shared" si="11"/>
        <v>Freetown Lakeville</v>
      </c>
      <c r="L73" s="6">
        <f t="shared" si="12"/>
        <v>102</v>
      </c>
      <c r="M73" s="6" t="str">
        <f t="shared" si="13"/>
        <v xml:space="preserve">Freetown                     </v>
      </c>
      <c r="N73" s="9">
        <f t="shared" si="14"/>
        <v>1165.146198832</v>
      </c>
      <c r="O73" s="526">
        <f t="shared" si="15"/>
        <v>15204408.787140638</v>
      </c>
      <c r="P73" s="526">
        <f t="shared" si="16"/>
        <v>11082677</v>
      </c>
      <c r="Q73" s="526"/>
      <c r="R73" s="526"/>
    </row>
    <row r="74" spans="1:18">
      <c r="A74" s="6">
        <v>665</v>
      </c>
      <c r="B74" s="6" t="s">
        <v>1053</v>
      </c>
      <c r="C74" s="6">
        <v>146</v>
      </c>
      <c r="D74" s="6" t="s">
        <v>1264</v>
      </c>
      <c r="E74" s="9">
        <v>1554.853801168</v>
      </c>
      <c r="F74" s="9">
        <v>20289842.442859355</v>
      </c>
      <c r="G74" s="9">
        <v>13910037</v>
      </c>
      <c r="I74" s="6" t="str">
        <f t="shared" si="9"/>
        <v>665146</v>
      </c>
      <c r="J74" s="6">
        <f t="shared" si="10"/>
        <v>665</v>
      </c>
      <c r="K74" s="6" t="str">
        <f t="shared" si="11"/>
        <v>Freetown Lakeville</v>
      </c>
      <c r="L74" s="6">
        <f t="shared" si="12"/>
        <v>146</v>
      </c>
      <c r="M74" s="6" t="str">
        <f t="shared" si="13"/>
        <v xml:space="preserve">Lakeville                    </v>
      </c>
      <c r="N74" s="9">
        <f t="shared" si="14"/>
        <v>1554.853801168</v>
      </c>
      <c r="O74" s="526">
        <f t="shared" si="15"/>
        <v>20289842.442859355</v>
      </c>
      <c r="P74" s="526">
        <f t="shared" si="16"/>
        <v>13910037</v>
      </c>
      <c r="Q74" s="526"/>
      <c r="R74" s="526"/>
    </row>
    <row r="75" spans="1:18">
      <c r="A75" s="6" t="s">
        <v>2383</v>
      </c>
      <c r="E75" s="9">
        <v>2720</v>
      </c>
      <c r="F75" s="9">
        <v>35494251.229999989</v>
      </c>
      <c r="G75" s="9">
        <v>24992714</v>
      </c>
      <c r="I75" s="6" t="str">
        <f t="shared" si="9"/>
        <v>665999</v>
      </c>
      <c r="J75" s="6">
        <f t="shared" si="10"/>
        <v>665</v>
      </c>
      <c r="K75" s="6">
        <f t="shared" si="11"/>
        <v>0</v>
      </c>
      <c r="L75" s="6">
        <f t="shared" si="12"/>
        <v>0</v>
      </c>
      <c r="M75" s="6">
        <f t="shared" si="13"/>
        <v>0</v>
      </c>
      <c r="N75" s="9">
        <f t="shared" si="14"/>
        <v>2720</v>
      </c>
      <c r="O75" s="526">
        <f t="shared" si="15"/>
        <v>35494251.229999989</v>
      </c>
      <c r="P75" s="526">
        <f t="shared" si="16"/>
        <v>24992714</v>
      </c>
      <c r="Q75" s="526">
        <f>VLOOKUP($J75,aidcalc,25,FALSE)</f>
        <v>11940339</v>
      </c>
      <c r="R75" s="526">
        <f>VLOOKUP($J75,aidcalc,27,FALSE)</f>
        <v>36933053</v>
      </c>
    </row>
    <row r="76" spans="1:18">
      <c r="A76" s="6">
        <v>670</v>
      </c>
      <c r="B76" s="6" t="s">
        <v>1054</v>
      </c>
      <c r="C76" s="6">
        <v>68</v>
      </c>
      <c r="D76" s="6" t="s">
        <v>1187</v>
      </c>
      <c r="E76" s="9">
        <v>86.180293501899996</v>
      </c>
      <c r="F76" s="9">
        <v>1243579.7529682661</v>
      </c>
      <c r="G76" s="9">
        <v>1025953</v>
      </c>
      <c r="I76" s="6" t="str">
        <f t="shared" si="9"/>
        <v>670068</v>
      </c>
      <c r="J76" s="6">
        <f t="shared" si="10"/>
        <v>670</v>
      </c>
      <c r="K76" s="6" t="str">
        <f t="shared" si="11"/>
        <v>Frontier</v>
      </c>
      <c r="L76" s="6">
        <f t="shared" si="12"/>
        <v>68</v>
      </c>
      <c r="M76" s="6" t="str">
        <f t="shared" si="13"/>
        <v xml:space="preserve">Conway                       </v>
      </c>
      <c r="N76" s="9">
        <f t="shared" si="14"/>
        <v>86.180293501899996</v>
      </c>
      <c r="O76" s="526">
        <f t="shared" si="15"/>
        <v>1243579.7529682661</v>
      </c>
      <c r="P76" s="526">
        <f t="shared" si="16"/>
        <v>1025953</v>
      </c>
      <c r="Q76" s="526"/>
      <c r="R76" s="526"/>
    </row>
    <row r="77" spans="1:18">
      <c r="A77" s="6">
        <v>670</v>
      </c>
      <c r="B77" s="6" t="s">
        <v>1054</v>
      </c>
      <c r="C77" s="6">
        <v>74</v>
      </c>
      <c r="D77" s="6" t="s">
        <v>1193</v>
      </c>
      <c r="E77" s="9">
        <v>216.45283018904001</v>
      </c>
      <c r="F77" s="9">
        <v>3123409.6120806779</v>
      </c>
      <c r="G77" s="9">
        <v>2576813</v>
      </c>
      <c r="I77" s="6" t="str">
        <f t="shared" si="9"/>
        <v>670074</v>
      </c>
      <c r="J77" s="6">
        <f t="shared" si="10"/>
        <v>670</v>
      </c>
      <c r="K77" s="6" t="str">
        <f t="shared" si="11"/>
        <v>Frontier</v>
      </c>
      <c r="L77" s="6">
        <f t="shared" si="12"/>
        <v>74</v>
      </c>
      <c r="M77" s="6" t="str">
        <f t="shared" si="13"/>
        <v xml:space="preserve">Deerfield                    </v>
      </c>
      <c r="N77" s="9">
        <f t="shared" si="14"/>
        <v>216.45283018904001</v>
      </c>
      <c r="O77" s="526">
        <f t="shared" si="15"/>
        <v>3123409.6120806779</v>
      </c>
      <c r="P77" s="526">
        <f t="shared" si="16"/>
        <v>2576813</v>
      </c>
      <c r="Q77" s="526"/>
      <c r="R77" s="526"/>
    </row>
    <row r="78" spans="1:18">
      <c r="A78" s="6">
        <v>670</v>
      </c>
      <c r="B78" s="6" t="s">
        <v>1054</v>
      </c>
      <c r="C78" s="6">
        <v>289</v>
      </c>
      <c r="D78" s="6" t="s">
        <v>1407</v>
      </c>
      <c r="E78" s="9">
        <v>122.25576519848001</v>
      </c>
      <c r="F78" s="9">
        <v>1764148.0216253875</v>
      </c>
      <c r="G78" s="9">
        <v>1425470</v>
      </c>
      <c r="I78" s="6" t="str">
        <f t="shared" si="9"/>
        <v>670289</v>
      </c>
      <c r="J78" s="6">
        <f t="shared" si="10"/>
        <v>670</v>
      </c>
      <c r="K78" s="6" t="str">
        <f t="shared" si="11"/>
        <v>Frontier</v>
      </c>
      <c r="L78" s="6">
        <f t="shared" si="12"/>
        <v>289</v>
      </c>
      <c r="M78" s="6" t="str">
        <f t="shared" si="13"/>
        <v xml:space="preserve">Sunderland                   </v>
      </c>
      <c r="N78" s="9">
        <f t="shared" si="14"/>
        <v>122.25576519848001</v>
      </c>
      <c r="O78" s="526">
        <f t="shared" si="15"/>
        <v>1764148.0216253875</v>
      </c>
      <c r="P78" s="526">
        <f t="shared" si="16"/>
        <v>1425470</v>
      </c>
      <c r="Q78" s="526"/>
      <c r="R78" s="526"/>
    </row>
    <row r="79" spans="1:18">
      <c r="A79" s="6">
        <v>670</v>
      </c>
      <c r="B79" s="6" t="s">
        <v>1054</v>
      </c>
      <c r="C79" s="6">
        <v>337</v>
      </c>
      <c r="D79" s="6" t="s">
        <v>1455</v>
      </c>
      <c r="E79" s="9">
        <v>53.111111110579998</v>
      </c>
      <c r="F79" s="9">
        <v>766392.17332566937</v>
      </c>
      <c r="G79" s="9">
        <v>585677</v>
      </c>
      <c r="I79" s="6" t="str">
        <f t="shared" si="9"/>
        <v>670337</v>
      </c>
      <c r="J79" s="6">
        <f t="shared" si="10"/>
        <v>670</v>
      </c>
      <c r="K79" s="6" t="str">
        <f t="shared" si="11"/>
        <v>Frontier</v>
      </c>
      <c r="L79" s="6">
        <f t="shared" si="12"/>
        <v>337</v>
      </c>
      <c r="M79" s="6" t="str">
        <f t="shared" si="13"/>
        <v xml:space="preserve">Whately                      </v>
      </c>
      <c r="N79" s="9">
        <f t="shared" si="14"/>
        <v>53.111111110579998</v>
      </c>
      <c r="O79" s="526">
        <f t="shared" si="15"/>
        <v>766392.17332566937</v>
      </c>
      <c r="P79" s="526">
        <f t="shared" si="16"/>
        <v>585677</v>
      </c>
      <c r="Q79" s="526"/>
      <c r="R79" s="526"/>
    </row>
    <row r="80" spans="1:18">
      <c r="A80" s="6" t="s">
        <v>2384</v>
      </c>
      <c r="E80" s="9">
        <v>478</v>
      </c>
      <c r="F80" s="9">
        <v>6897529.5600000005</v>
      </c>
      <c r="G80" s="9">
        <v>5613913</v>
      </c>
      <c r="I80" s="6" t="str">
        <f t="shared" si="9"/>
        <v>670999</v>
      </c>
      <c r="J80" s="6">
        <f t="shared" si="10"/>
        <v>670</v>
      </c>
      <c r="K80" s="6">
        <f t="shared" si="11"/>
        <v>0</v>
      </c>
      <c r="L80" s="6">
        <f t="shared" si="12"/>
        <v>0</v>
      </c>
      <c r="M80" s="6">
        <f t="shared" si="13"/>
        <v>0</v>
      </c>
      <c r="N80" s="9">
        <f t="shared" si="14"/>
        <v>478</v>
      </c>
      <c r="O80" s="526">
        <f t="shared" si="15"/>
        <v>6897529.5600000005</v>
      </c>
      <c r="P80" s="526">
        <f t="shared" si="16"/>
        <v>5613913</v>
      </c>
      <c r="Q80" s="526">
        <f>VLOOKUP($J80,aidcalc,25,FALSE)</f>
        <v>2982227</v>
      </c>
      <c r="R80" s="526">
        <f>VLOOKUP($J80,aidcalc,27,FALSE)</f>
        <v>8596140</v>
      </c>
    </row>
    <row r="81" spans="1:18">
      <c r="A81" s="6">
        <v>672</v>
      </c>
      <c r="B81" s="6" t="s">
        <v>1055</v>
      </c>
      <c r="C81" s="6">
        <v>33</v>
      </c>
      <c r="D81" s="6" t="s">
        <v>1152</v>
      </c>
      <c r="E81" s="9">
        <v>93.38509316775</v>
      </c>
      <c r="F81" s="9">
        <v>1460651.8212802559</v>
      </c>
      <c r="G81" s="9">
        <v>1008285</v>
      </c>
      <c r="I81" s="6" t="str">
        <f t="shared" si="9"/>
        <v>672033</v>
      </c>
      <c r="J81" s="6">
        <f t="shared" si="10"/>
        <v>672</v>
      </c>
      <c r="K81" s="6" t="str">
        <f t="shared" si="11"/>
        <v>Gateway</v>
      </c>
      <c r="L81" s="6">
        <f t="shared" si="12"/>
        <v>33</v>
      </c>
      <c r="M81" s="6" t="str">
        <f t="shared" si="13"/>
        <v xml:space="preserve">Blandford                    </v>
      </c>
      <c r="N81" s="9">
        <f t="shared" si="14"/>
        <v>93.38509316775</v>
      </c>
      <c r="O81" s="526">
        <f t="shared" si="15"/>
        <v>1460651.8212802559</v>
      </c>
      <c r="P81" s="526">
        <f t="shared" si="16"/>
        <v>1008285</v>
      </c>
      <c r="Q81" s="526"/>
      <c r="R81" s="526"/>
    </row>
    <row r="82" spans="1:18">
      <c r="A82" s="6">
        <v>672</v>
      </c>
      <c r="B82" s="6" t="s">
        <v>1055</v>
      </c>
      <c r="C82" s="6">
        <v>59</v>
      </c>
      <c r="D82" s="6" t="s">
        <v>1178</v>
      </c>
      <c r="E82" s="9">
        <v>119.37888198700001</v>
      </c>
      <c r="F82" s="9">
        <v>1867225.0086369277</v>
      </c>
      <c r="G82" s="9">
        <v>944747</v>
      </c>
      <c r="I82" s="6" t="str">
        <f t="shared" si="9"/>
        <v>672059</v>
      </c>
      <c r="J82" s="6">
        <f t="shared" si="10"/>
        <v>672</v>
      </c>
      <c r="K82" s="6" t="str">
        <f t="shared" si="11"/>
        <v>Gateway</v>
      </c>
      <c r="L82" s="6">
        <f t="shared" si="12"/>
        <v>59</v>
      </c>
      <c r="M82" s="6" t="str">
        <f t="shared" si="13"/>
        <v xml:space="preserve">Chester                      </v>
      </c>
      <c r="N82" s="9">
        <f t="shared" si="14"/>
        <v>119.37888198700001</v>
      </c>
      <c r="O82" s="526">
        <f t="shared" si="15"/>
        <v>1867225.0086369277</v>
      </c>
      <c r="P82" s="526">
        <f t="shared" si="16"/>
        <v>944747</v>
      </c>
      <c r="Q82" s="526"/>
      <c r="R82" s="526"/>
    </row>
    <row r="83" spans="1:18">
      <c r="A83" s="6">
        <v>672</v>
      </c>
      <c r="B83" s="6" t="s">
        <v>1055</v>
      </c>
      <c r="C83" s="6">
        <v>143</v>
      </c>
      <c r="D83" s="6" t="s">
        <v>1261</v>
      </c>
      <c r="E83" s="9">
        <v>265.7142857165</v>
      </c>
      <c r="F83" s="9">
        <v>4156081.470891777</v>
      </c>
      <c r="G83" s="9">
        <v>1606237</v>
      </c>
      <c r="I83" s="6" t="str">
        <f t="shared" si="9"/>
        <v>672143</v>
      </c>
      <c r="J83" s="6">
        <f t="shared" si="10"/>
        <v>672</v>
      </c>
      <c r="K83" s="6" t="str">
        <f t="shared" si="11"/>
        <v>Gateway</v>
      </c>
      <c r="L83" s="6">
        <f t="shared" si="12"/>
        <v>143</v>
      </c>
      <c r="M83" s="6" t="str">
        <f t="shared" si="13"/>
        <v xml:space="preserve">Huntington                   </v>
      </c>
      <c r="N83" s="9">
        <f t="shared" si="14"/>
        <v>265.7142857165</v>
      </c>
      <c r="O83" s="526">
        <f t="shared" si="15"/>
        <v>4156081.470891777</v>
      </c>
      <c r="P83" s="526">
        <f t="shared" si="16"/>
        <v>1606237</v>
      </c>
      <c r="Q83" s="526"/>
      <c r="R83" s="526"/>
    </row>
    <row r="84" spans="1:18">
      <c r="A84" s="6">
        <v>672</v>
      </c>
      <c r="B84" s="6" t="s">
        <v>1055</v>
      </c>
      <c r="C84" s="6">
        <v>183</v>
      </c>
      <c r="D84" s="6" t="s">
        <v>1301</v>
      </c>
      <c r="E84" s="9">
        <v>25.031055903750001</v>
      </c>
      <c r="F84" s="9">
        <v>391514.92121664126</v>
      </c>
      <c r="G84" s="9">
        <v>266219</v>
      </c>
      <c r="I84" s="6" t="str">
        <f t="shared" si="9"/>
        <v>672183</v>
      </c>
      <c r="J84" s="6">
        <f t="shared" si="10"/>
        <v>672</v>
      </c>
      <c r="K84" s="6" t="str">
        <f t="shared" si="11"/>
        <v>Gateway</v>
      </c>
      <c r="L84" s="6">
        <f t="shared" si="12"/>
        <v>183</v>
      </c>
      <c r="M84" s="6" t="str">
        <f t="shared" si="13"/>
        <v xml:space="preserve">Middlefield                  </v>
      </c>
      <c r="N84" s="9">
        <f t="shared" si="14"/>
        <v>25.031055903750001</v>
      </c>
      <c r="O84" s="526">
        <f t="shared" si="15"/>
        <v>391514.92121664126</v>
      </c>
      <c r="P84" s="526">
        <f t="shared" si="16"/>
        <v>266219</v>
      </c>
      <c r="Q84" s="526"/>
      <c r="R84" s="526"/>
    </row>
    <row r="85" spans="1:18">
      <c r="A85" s="6">
        <v>672</v>
      </c>
      <c r="B85" s="6" t="s">
        <v>1055</v>
      </c>
      <c r="C85" s="6">
        <v>194</v>
      </c>
      <c r="D85" s="6" t="s">
        <v>1312</v>
      </c>
      <c r="E85" s="9">
        <v>64.503105586499998</v>
      </c>
      <c r="F85" s="9">
        <v>1008903.8352610546</v>
      </c>
      <c r="G85" s="9">
        <v>782099</v>
      </c>
      <c r="I85" s="6" t="str">
        <f t="shared" si="9"/>
        <v>672194</v>
      </c>
      <c r="J85" s="6">
        <f t="shared" si="10"/>
        <v>672</v>
      </c>
      <c r="K85" s="6" t="str">
        <f t="shared" si="11"/>
        <v>Gateway</v>
      </c>
      <c r="L85" s="6">
        <f t="shared" si="12"/>
        <v>194</v>
      </c>
      <c r="M85" s="6" t="str">
        <f t="shared" si="13"/>
        <v xml:space="preserve">Montgomery                   </v>
      </c>
      <c r="N85" s="9">
        <f t="shared" si="14"/>
        <v>64.503105586499998</v>
      </c>
      <c r="O85" s="526">
        <f t="shared" si="15"/>
        <v>1008903.8352610546</v>
      </c>
      <c r="P85" s="526">
        <f t="shared" si="16"/>
        <v>782099</v>
      </c>
      <c r="Q85" s="526"/>
      <c r="R85" s="526"/>
    </row>
    <row r="86" spans="1:18">
      <c r="A86" s="6">
        <v>672</v>
      </c>
      <c r="B86" s="6" t="s">
        <v>1055</v>
      </c>
      <c r="C86" s="6">
        <v>256</v>
      </c>
      <c r="D86" s="6" t="s">
        <v>1374</v>
      </c>
      <c r="E86" s="9">
        <v>206.98757763849997</v>
      </c>
      <c r="F86" s="9">
        <v>3237527.2327133431</v>
      </c>
      <c r="G86" s="9">
        <v>1285387</v>
      </c>
      <c r="I86" s="6" t="str">
        <f t="shared" si="9"/>
        <v>672256</v>
      </c>
      <c r="J86" s="6">
        <f t="shared" si="10"/>
        <v>672</v>
      </c>
      <c r="K86" s="6" t="str">
        <f t="shared" si="11"/>
        <v>Gateway</v>
      </c>
      <c r="L86" s="6">
        <f t="shared" si="12"/>
        <v>256</v>
      </c>
      <c r="M86" s="6" t="str">
        <f t="shared" si="13"/>
        <v xml:space="preserve">Russell                      </v>
      </c>
      <c r="N86" s="9">
        <f t="shared" si="14"/>
        <v>206.98757763849997</v>
      </c>
      <c r="O86" s="526">
        <f t="shared" si="15"/>
        <v>3237527.2327133431</v>
      </c>
      <c r="P86" s="526">
        <f t="shared" si="16"/>
        <v>1285387</v>
      </c>
      <c r="Q86" s="526"/>
      <c r="R86" s="526"/>
    </row>
    <row r="87" spans="1:18">
      <c r="A87" s="6" t="s">
        <v>2385</v>
      </c>
      <c r="E87" s="9">
        <v>775</v>
      </c>
      <c r="F87" s="9">
        <v>12121904.290000001</v>
      </c>
      <c r="G87" s="9">
        <v>5892974</v>
      </c>
      <c r="I87" s="6" t="str">
        <f t="shared" si="9"/>
        <v>672999</v>
      </c>
      <c r="J87" s="6">
        <f t="shared" si="10"/>
        <v>672</v>
      </c>
      <c r="K87" s="6">
        <f t="shared" si="11"/>
        <v>0</v>
      </c>
      <c r="L87" s="6">
        <f t="shared" si="12"/>
        <v>0</v>
      </c>
      <c r="M87" s="6">
        <f t="shared" si="13"/>
        <v>0</v>
      </c>
      <c r="N87" s="9">
        <f t="shared" si="14"/>
        <v>775</v>
      </c>
      <c r="O87" s="526">
        <f t="shared" si="15"/>
        <v>12121904.290000001</v>
      </c>
      <c r="P87" s="526">
        <f t="shared" si="16"/>
        <v>5892974</v>
      </c>
      <c r="Q87" s="526">
        <f>VLOOKUP($J87,aidcalc,25,FALSE)</f>
        <v>6228930</v>
      </c>
      <c r="R87" s="526">
        <f>VLOOKUP($J87,aidcalc,27,FALSE)</f>
        <v>12121904</v>
      </c>
    </row>
    <row r="88" spans="1:18">
      <c r="A88" s="6">
        <v>673</v>
      </c>
      <c r="B88" s="6" t="s">
        <v>1056</v>
      </c>
      <c r="C88" s="6">
        <v>81</v>
      </c>
      <c r="D88" s="6" t="s">
        <v>1200</v>
      </c>
      <c r="E88" s="9">
        <v>531.69469598249998</v>
      </c>
      <c r="F88" s="9">
        <v>6570196.3018176313</v>
      </c>
      <c r="G88" s="9">
        <v>5323258</v>
      </c>
      <c r="I88" s="6" t="str">
        <f t="shared" si="9"/>
        <v>673081</v>
      </c>
      <c r="J88" s="6">
        <f t="shared" si="10"/>
        <v>673</v>
      </c>
      <c r="K88" s="6" t="str">
        <f t="shared" si="11"/>
        <v>Groton Dunstable</v>
      </c>
      <c r="L88" s="6">
        <f t="shared" si="12"/>
        <v>81</v>
      </c>
      <c r="M88" s="6" t="str">
        <f t="shared" si="13"/>
        <v xml:space="preserve">Dunstable                    </v>
      </c>
      <c r="N88" s="9">
        <f t="shared" si="14"/>
        <v>531.69469598249998</v>
      </c>
      <c r="O88" s="526">
        <f t="shared" si="15"/>
        <v>6570196.3018176313</v>
      </c>
      <c r="P88" s="526">
        <f t="shared" si="16"/>
        <v>5323258</v>
      </c>
      <c r="Q88" s="526"/>
      <c r="R88" s="526"/>
    </row>
    <row r="89" spans="1:18">
      <c r="A89" s="6">
        <v>673</v>
      </c>
      <c r="B89" s="6" t="s">
        <v>1056</v>
      </c>
      <c r="C89" s="6">
        <v>115</v>
      </c>
      <c r="D89" s="6" t="s">
        <v>1233</v>
      </c>
      <c r="E89" s="9">
        <v>1718.3053040174998</v>
      </c>
      <c r="F89" s="9">
        <v>21233243.888182364</v>
      </c>
      <c r="G89" s="9">
        <v>17487642</v>
      </c>
      <c r="I89" s="6" t="str">
        <f t="shared" si="9"/>
        <v>673115</v>
      </c>
      <c r="J89" s="6">
        <f t="shared" si="10"/>
        <v>673</v>
      </c>
      <c r="K89" s="6" t="str">
        <f t="shared" si="11"/>
        <v>Groton Dunstable</v>
      </c>
      <c r="L89" s="6">
        <f t="shared" si="12"/>
        <v>115</v>
      </c>
      <c r="M89" s="6" t="str">
        <f t="shared" si="13"/>
        <v xml:space="preserve">Groton                       </v>
      </c>
      <c r="N89" s="9">
        <f t="shared" si="14"/>
        <v>1718.3053040174998</v>
      </c>
      <c r="O89" s="526">
        <f t="shared" si="15"/>
        <v>21233243.888182364</v>
      </c>
      <c r="P89" s="526">
        <f t="shared" si="16"/>
        <v>17487642</v>
      </c>
      <c r="Q89" s="526"/>
      <c r="R89" s="526"/>
    </row>
    <row r="90" spans="1:18">
      <c r="A90" s="6" t="s">
        <v>2386</v>
      </c>
      <c r="E90" s="9">
        <v>2250</v>
      </c>
      <c r="F90" s="9">
        <v>27803440.189999998</v>
      </c>
      <c r="G90" s="9">
        <v>22810900</v>
      </c>
      <c r="I90" s="6" t="str">
        <f t="shared" si="9"/>
        <v>673999</v>
      </c>
      <c r="J90" s="6">
        <f t="shared" si="10"/>
        <v>673</v>
      </c>
      <c r="K90" s="6">
        <f t="shared" si="11"/>
        <v>0</v>
      </c>
      <c r="L90" s="6">
        <f t="shared" si="12"/>
        <v>0</v>
      </c>
      <c r="M90" s="6">
        <f t="shared" si="13"/>
        <v>0</v>
      </c>
      <c r="N90" s="9">
        <f t="shared" si="14"/>
        <v>2250</v>
      </c>
      <c r="O90" s="526">
        <f t="shared" si="15"/>
        <v>27803440.189999998</v>
      </c>
      <c r="P90" s="526">
        <f t="shared" si="16"/>
        <v>22810900</v>
      </c>
      <c r="Q90" s="526">
        <f>VLOOKUP($J90,aidcalc,25,FALSE)</f>
        <v>11495903</v>
      </c>
      <c r="R90" s="526">
        <f>VLOOKUP($J90,aidcalc,27,FALSE)</f>
        <v>34306803</v>
      </c>
    </row>
    <row r="91" spans="1:18">
      <c r="A91" s="6">
        <v>674</v>
      </c>
      <c r="B91" s="6" t="s">
        <v>1057</v>
      </c>
      <c r="C91" s="6">
        <v>106</v>
      </c>
      <c r="D91" s="6" t="s">
        <v>1224</v>
      </c>
      <c r="E91" s="9">
        <v>99.974921629799994</v>
      </c>
      <c r="F91" s="9">
        <v>1617049.3110924226</v>
      </c>
      <c r="G91" s="9">
        <v>1080125</v>
      </c>
      <c r="I91" s="6" t="str">
        <f t="shared" si="9"/>
        <v>674106</v>
      </c>
      <c r="J91" s="6">
        <f t="shared" si="10"/>
        <v>674</v>
      </c>
      <c r="K91" s="6" t="str">
        <f t="shared" si="11"/>
        <v>Gill Montague</v>
      </c>
      <c r="L91" s="6">
        <f t="shared" si="12"/>
        <v>106</v>
      </c>
      <c r="M91" s="6" t="str">
        <f t="shared" si="13"/>
        <v xml:space="preserve">Gill                         </v>
      </c>
      <c r="N91" s="9">
        <f t="shared" si="14"/>
        <v>99.974921629799994</v>
      </c>
      <c r="O91" s="526">
        <f t="shared" si="15"/>
        <v>1617049.3110924226</v>
      </c>
      <c r="P91" s="526">
        <f t="shared" si="16"/>
        <v>1080125</v>
      </c>
      <c r="Q91" s="526"/>
      <c r="R91" s="526"/>
    </row>
    <row r="92" spans="1:18">
      <c r="A92" s="6">
        <v>674</v>
      </c>
      <c r="B92" s="6" t="s">
        <v>1057</v>
      </c>
      <c r="C92" s="6">
        <v>192</v>
      </c>
      <c r="D92" s="6" t="s">
        <v>1310</v>
      </c>
      <c r="E92" s="9">
        <v>838.02507837020005</v>
      </c>
      <c r="F92" s="9">
        <v>13554678.048907578</v>
      </c>
      <c r="G92" s="9">
        <v>6282094</v>
      </c>
      <c r="I92" s="6" t="str">
        <f t="shared" si="9"/>
        <v>674192</v>
      </c>
      <c r="J92" s="6">
        <f t="shared" si="10"/>
        <v>674</v>
      </c>
      <c r="K92" s="6" t="str">
        <f t="shared" si="11"/>
        <v>Gill Montague</v>
      </c>
      <c r="L92" s="6">
        <f t="shared" si="12"/>
        <v>192</v>
      </c>
      <c r="M92" s="6" t="str">
        <f t="shared" si="13"/>
        <v xml:space="preserve">Montague                     </v>
      </c>
      <c r="N92" s="9">
        <f t="shared" si="14"/>
        <v>838.02507837020005</v>
      </c>
      <c r="O92" s="526">
        <f t="shared" si="15"/>
        <v>13554678.048907578</v>
      </c>
      <c r="P92" s="526">
        <f t="shared" si="16"/>
        <v>6282094</v>
      </c>
      <c r="Q92" s="526"/>
      <c r="R92" s="526"/>
    </row>
    <row r="93" spans="1:18">
      <c r="A93" s="6" t="s">
        <v>2387</v>
      </c>
      <c r="E93" s="9">
        <v>938</v>
      </c>
      <c r="F93" s="9">
        <v>15171727.360000001</v>
      </c>
      <c r="G93" s="9">
        <v>7362219</v>
      </c>
      <c r="I93" s="6" t="str">
        <f t="shared" si="9"/>
        <v>674999</v>
      </c>
      <c r="J93" s="6">
        <f t="shared" si="10"/>
        <v>674</v>
      </c>
      <c r="K93" s="6">
        <f t="shared" si="11"/>
        <v>0</v>
      </c>
      <c r="L93" s="6">
        <f t="shared" si="12"/>
        <v>0</v>
      </c>
      <c r="M93" s="6">
        <f t="shared" si="13"/>
        <v>0</v>
      </c>
      <c r="N93" s="9">
        <f t="shared" si="14"/>
        <v>938</v>
      </c>
      <c r="O93" s="526">
        <f t="shared" si="15"/>
        <v>15171727.360000001</v>
      </c>
      <c r="P93" s="526">
        <f t="shared" si="16"/>
        <v>7362219</v>
      </c>
      <c r="Q93" s="526">
        <f>VLOOKUP($J93,aidcalc,25,FALSE)</f>
        <v>7932423</v>
      </c>
      <c r="R93" s="526">
        <f>VLOOKUP($J93,aidcalc,27,FALSE)</f>
        <v>15294642</v>
      </c>
    </row>
    <row r="94" spans="1:18">
      <c r="A94" s="6">
        <v>675</v>
      </c>
      <c r="B94" s="6" t="s">
        <v>1058</v>
      </c>
      <c r="C94" s="6">
        <v>119</v>
      </c>
      <c r="D94" s="6" t="s">
        <v>1237</v>
      </c>
      <c r="E94" s="9">
        <v>1072.39743589881</v>
      </c>
      <c r="F94" s="9">
        <v>13486130.259501532</v>
      </c>
      <c r="G94" s="9">
        <v>10945972</v>
      </c>
      <c r="I94" s="6" t="str">
        <f t="shared" si="9"/>
        <v>675119</v>
      </c>
      <c r="J94" s="6">
        <f t="shared" si="10"/>
        <v>675</v>
      </c>
      <c r="K94" s="6" t="str">
        <f t="shared" si="11"/>
        <v>Hamilton Wenham</v>
      </c>
      <c r="L94" s="6">
        <f t="shared" si="12"/>
        <v>119</v>
      </c>
      <c r="M94" s="6" t="str">
        <f t="shared" si="13"/>
        <v xml:space="preserve">Hamilton                     </v>
      </c>
      <c r="N94" s="9">
        <f t="shared" si="14"/>
        <v>1072.39743589881</v>
      </c>
      <c r="O94" s="526">
        <f t="shared" si="15"/>
        <v>13486130.259501532</v>
      </c>
      <c r="P94" s="526">
        <f t="shared" si="16"/>
        <v>10945972</v>
      </c>
      <c r="Q94" s="526"/>
      <c r="R94" s="526"/>
    </row>
    <row r="95" spans="1:18">
      <c r="A95" s="6">
        <v>675</v>
      </c>
      <c r="B95" s="6" t="s">
        <v>1058</v>
      </c>
      <c r="C95" s="6">
        <v>320</v>
      </c>
      <c r="D95" s="6" t="s">
        <v>1438</v>
      </c>
      <c r="E95" s="9">
        <v>558.60256410118996</v>
      </c>
      <c r="F95" s="9">
        <v>7024808.7980984719</v>
      </c>
      <c r="G95" s="9">
        <v>5587757</v>
      </c>
      <c r="I95" s="6" t="str">
        <f t="shared" si="9"/>
        <v>675320</v>
      </c>
      <c r="J95" s="6">
        <f t="shared" si="10"/>
        <v>675</v>
      </c>
      <c r="K95" s="6" t="str">
        <f t="shared" si="11"/>
        <v>Hamilton Wenham</v>
      </c>
      <c r="L95" s="6">
        <f t="shared" si="12"/>
        <v>320</v>
      </c>
      <c r="M95" s="6" t="str">
        <f t="shared" si="13"/>
        <v xml:space="preserve">Wenham                       </v>
      </c>
      <c r="N95" s="9">
        <f t="shared" si="14"/>
        <v>558.60256410118996</v>
      </c>
      <c r="O95" s="526">
        <f t="shared" si="15"/>
        <v>7024808.7980984719</v>
      </c>
      <c r="P95" s="526">
        <f t="shared" si="16"/>
        <v>5587757</v>
      </c>
      <c r="Q95" s="526"/>
      <c r="R95" s="526"/>
    </row>
    <row r="96" spans="1:18">
      <c r="A96" s="6" t="s">
        <v>2388</v>
      </c>
      <c r="E96" s="9">
        <v>1631</v>
      </c>
      <c r="F96" s="9">
        <v>20510939.057600003</v>
      </c>
      <c r="G96" s="9">
        <v>16533729</v>
      </c>
      <c r="I96" s="6" t="str">
        <f t="shared" si="9"/>
        <v>675999</v>
      </c>
      <c r="J96" s="6">
        <f t="shared" si="10"/>
        <v>675</v>
      </c>
      <c r="K96" s="6">
        <f t="shared" si="11"/>
        <v>0</v>
      </c>
      <c r="L96" s="6">
        <f t="shared" si="12"/>
        <v>0</v>
      </c>
      <c r="M96" s="6">
        <f t="shared" si="13"/>
        <v>0</v>
      </c>
      <c r="N96" s="9">
        <f t="shared" si="14"/>
        <v>1631</v>
      </c>
      <c r="O96" s="526">
        <f t="shared" si="15"/>
        <v>20510939.057600003</v>
      </c>
      <c r="P96" s="526">
        <f t="shared" si="16"/>
        <v>16533729</v>
      </c>
      <c r="Q96" s="526">
        <f>VLOOKUP($J96,aidcalc,25,FALSE)</f>
        <v>4188792</v>
      </c>
      <c r="R96" s="526">
        <f>VLOOKUP($J96,aidcalc,27,FALSE)</f>
        <v>20722521</v>
      </c>
    </row>
    <row r="97" spans="1:18">
      <c r="A97" s="6">
        <v>680</v>
      </c>
      <c r="B97" s="6" t="s">
        <v>1059</v>
      </c>
      <c r="C97" s="6">
        <v>120</v>
      </c>
      <c r="D97" s="6" t="s">
        <v>1238</v>
      </c>
      <c r="E97" s="9">
        <v>539.53438396547995</v>
      </c>
      <c r="F97" s="9">
        <v>7149072.5503649637</v>
      </c>
      <c r="G97" s="9">
        <v>5897985</v>
      </c>
      <c r="I97" s="6" t="str">
        <f t="shared" si="9"/>
        <v>680120</v>
      </c>
      <c r="J97" s="6">
        <f t="shared" si="10"/>
        <v>680</v>
      </c>
      <c r="K97" s="6" t="str">
        <f t="shared" si="11"/>
        <v>Hampden Wilbraham</v>
      </c>
      <c r="L97" s="6">
        <f t="shared" si="12"/>
        <v>120</v>
      </c>
      <c r="M97" s="6" t="str">
        <f t="shared" si="13"/>
        <v xml:space="preserve">Hampden                      </v>
      </c>
      <c r="N97" s="9">
        <f t="shared" si="14"/>
        <v>539.53438396547995</v>
      </c>
      <c r="O97" s="526">
        <f t="shared" si="15"/>
        <v>7149072.5503649637</v>
      </c>
      <c r="P97" s="526">
        <f t="shared" si="16"/>
        <v>5897985</v>
      </c>
      <c r="Q97" s="526"/>
      <c r="R97" s="526"/>
    </row>
    <row r="98" spans="1:18">
      <c r="A98" s="6">
        <v>680</v>
      </c>
      <c r="B98" s="6" t="s">
        <v>1059</v>
      </c>
      <c r="C98" s="6">
        <v>339</v>
      </c>
      <c r="D98" s="6" t="s">
        <v>1457</v>
      </c>
      <c r="E98" s="9">
        <v>2224.4656160345198</v>
      </c>
      <c r="F98" s="9">
        <v>29475167.009635031</v>
      </c>
      <c r="G98" s="9">
        <v>18893329</v>
      </c>
      <c r="I98" s="6" t="str">
        <f t="shared" si="9"/>
        <v>680339</v>
      </c>
      <c r="J98" s="6">
        <f t="shared" si="10"/>
        <v>680</v>
      </c>
      <c r="K98" s="6" t="str">
        <f t="shared" si="11"/>
        <v>Hampden Wilbraham</v>
      </c>
      <c r="L98" s="6">
        <f t="shared" si="12"/>
        <v>339</v>
      </c>
      <c r="M98" s="6" t="str">
        <f t="shared" si="13"/>
        <v xml:space="preserve">Wilbraham                    </v>
      </c>
      <c r="N98" s="9">
        <f t="shared" si="14"/>
        <v>2224.4656160345198</v>
      </c>
      <c r="O98" s="526">
        <f t="shared" si="15"/>
        <v>29475167.009635031</v>
      </c>
      <c r="P98" s="526">
        <f t="shared" si="16"/>
        <v>18893329</v>
      </c>
      <c r="Q98" s="526"/>
      <c r="R98" s="526"/>
    </row>
    <row r="99" spans="1:18">
      <c r="A99" s="6" t="s">
        <v>2389</v>
      </c>
      <c r="E99" s="9">
        <v>2764</v>
      </c>
      <c r="F99" s="9">
        <v>36624239.559999995</v>
      </c>
      <c r="G99" s="9">
        <v>24791314</v>
      </c>
      <c r="I99" s="6" t="str">
        <f t="shared" si="9"/>
        <v>680999</v>
      </c>
      <c r="J99" s="6">
        <f t="shared" si="10"/>
        <v>680</v>
      </c>
      <c r="K99" s="6">
        <f t="shared" si="11"/>
        <v>0</v>
      </c>
      <c r="L99" s="6">
        <f t="shared" si="12"/>
        <v>0</v>
      </c>
      <c r="M99" s="6">
        <f t="shared" si="13"/>
        <v>0</v>
      </c>
      <c r="N99" s="9">
        <f t="shared" si="14"/>
        <v>2764</v>
      </c>
      <c r="O99" s="526">
        <f t="shared" si="15"/>
        <v>36624239.559999995</v>
      </c>
      <c r="P99" s="526">
        <f t="shared" si="16"/>
        <v>24791314</v>
      </c>
      <c r="Q99" s="526">
        <f>VLOOKUP($J99,aidcalc,25,FALSE)</f>
        <v>12629980</v>
      </c>
      <c r="R99" s="526">
        <f>VLOOKUP($J99,aidcalc,27,FALSE)</f>
        <v>37421294</v>
      </c>
    </row>
    <row r="100" spans="1:18">
      <c r="A100" s="6">
        <v>683</v>
      </c>
      <c r="B100" s="6" t="s">
        <v>1060</v>
      </c>
      <c r="C100" s="6">
        <v>60</v>
      </c>
      <c r="D100" s="6" t="s">
        <v>1179</v>
      </c>
      <c r="E100" s="9">
        <v>25.042372883760002</v>
      </c>
      <c r="F100" s="9">
        <v>338158.14664263267</v>
      </c>
      <c r="G100" s="9">
        <v>259090</v>
      </c>
      <c r="I100" s="6" t="str">
        <f t="shared" si="9"/>
        <v>683060</v>
      </c>
      <c r="J100" s="6">
        <f t="shared" si="10"/>
        <v>683</v>
      </c>
      <c r="K100" s="6" t="str">
        <f t="shared" si="11"/>
        <v>Hampshire</v>
      </c>
      <c r="L100" s="6">
        <f t="shared" si="12"/>
        <v>60</v>
      </c>
      <c r="M100" s="6" t="str">
        <f t="shared" si="13"/>
        <v xml:space="preserve">Chesterfield                 </v>
      </c>
      <c r="N100" s="9">
        <f t="shared" si="14"/>
        <v>25.042372883760002</v>
      </c>
      <c r="O100" s="526">
        <f t="shared" si="15"/>
        <v>338158.14664263267</v>
      </c>
      <c r="P100" s="526">
        <f t="shared" si="16"/>
        <v>259090</v>
      </c>
      <c r="Q100" s="526"/>
      <c r="R100" s="526"/>
    </row>
    <row r="101" spans="1:18">
      <c r="A101" s="6">
        <v>683</v>
      </c>
      <c r="B101" s="6" t="s">
        <v>1060</v>
      </c>
      <c r="C101" s="6">
        <v>108</v>
      </c>
      <c r="D101" s="6" t="s">
        <v>1226</v>
      </c>
      <c r="E101" s="9">
        <v>33.055932203489995</v>
      </c>
      <c r="F101" s="9">
        <v>446368.75352677627</v>
      </c>
      <c r="G101" s="9">
        <v>294026</v>
      </c>
      <c r="I101" s="6" t="str">
        <f t="shared" si="9"/>
        <v>683108</v>
      </c>
      <c r="J101" s="6">
        <f t="shared" si="10"/>
        <v>683</v>
      </c>
      <c r="K101" s="6" t="str">
        <f t="shared" si="11"/>
        <v>Hampshire</v>
      </c>
      <c r="L101" s="6">
        <f t="shared" si="12"/>
        <v>108</v>
      </c>
      <c r="M101" s="6" t="str">
        <f t="shared" si="13"/>
        <v xml:space="preserve">Goshen                       </v>
      </c>
      <c r="N101" s="9">
        <f t="shared" si="14"/>
        <v>33.055932203489995</v>
      </c>
      <c r="O101" s="526">
        <f t="shared" si="15"/>
        <v>446368.75352677627</v>
      </c>
      <c r="P101" s="526">
        <f t="shared" si="16"/>
        <v>294026</v>
      </c>
      <c r="Q101" s="526"/>
      <c r="R101" s="526"/>
    </row>
    <row r="102" spans="1:18">
      <c r="A102" s="6">
        <v>683</v>
      </c>
      <c r="B102" s="6" t="s">
        <v>1060</v>
      </c>
      <c r="C102" s="6">
        <v>275</v>
      </c>
      <c r="D102" s="6" t="s">
        <v>1393</v>
      </c>
      <c r="E102" s="9">
        <v>330.55932203489999</v>
      </c>
      <c r="F102" s="9">
        <v>4463687.5352677628</v>
      </c>
      <c r="G102" s="9">
        <v>3240713</v>
      </c>
      <c r="I102" s="6" t="str">
        <f t="shared" si="9"/>
        <v>683275</v>
      </c>
      <c r="J102" s="6">
        <f t="shared" si="10"/>
        <v>683</v>
      </c>
      <c r="K102" s="6" t="str">
        <f t="shared" si="11"/>
        <v>Hampshire</v>
      </c>
      <c r="L102" s="6">
        <f t="shared" si="12"/>
        <v>275</v>
      </c>
      <c r="M102" s="6" t="str">
        <f t="shared" si="13"/>
        <v xml:space="preserve">Southampton                  </v>
      </c>
      <c r="N102" s="9">
        <f t="shared" si="14"/>
        <v>330.55932203489999</v>
      </c>
      <c r="O102" s="526">
        <f t="shared" si="15"/>
        <v>4463687.5352677628</v>
      </c>
      <c r="P102" s="526">
        <f t="shared" si="16"/>
        <v>3240713</v>
      </c>
      <c r="Q102" s="526"/>
      <c r="R102" s="526"/>
    </row>
    <row r="103" spans="1:18">
      <c r="A103" s="6">
        <v>683</v>
      </c>
      <c r="B103" s="6" t="s">
        <v>1060</v>
      </c>
      <c r="C103" s="6">
        <v>327</v>
      </c>
      <c r="D103" s="6" t="s">
        <v>1445</v>
      </c>
      <c r="E103" s="9">
        <v>88.149152540670002</v>
      </c>
      <c r="F103" s="9">
        <v>1190316.6760448017</v>
      </c>
      <c r="G103" s="9">
        <v>965538</v>
      </c>
      <c r="I103" s="6" t="str">
        <f t="shared" si="9"/>
        <v>683327</v>
      </c>
      <c r="J103" s="6">
        <f t="shared" si="10"/>
        <v>683</v>
      </c>
      <c r="K103" s="6" t="str">
        <f t="shared" si="11"/>
        <v>Hampshire</v>
      </c>
      <c r="L103" s="6">
        <f t="shared" si="12"/>
        <v>327</v>
      </c>
      <c r="M103" s="6" t="str">
        <f t="shared" si="13"/>
        <v xml:space="preserve">Westhampton                  </v>
      </c>
      <c r="N103" s="9">
        <f t="shared" si="14"/>
        <v>88.149152540670002</v>
      </c>
      <c r="O103" s="526">
        <f t="shared" si="15"/>
        <v>1190316.6760448017</v>
      </c>
      <c r="P103" s="526">
        <f t="shared" si="16"/>
        <v>965538</v>
      </c>
      <c r="Q103" s="526"/>
      <c r="R103" s="526"/>
    </row>
    <row r="104" spans="1:18">
      <c r="A104" s="6">
        <v>683</v>
      </c>
      <c r="B104" s="6" t="s">
        <v>1060</v>
      </c>
      <c r="C104" s="6">
        <v>340</v>
      </c>
      <c r="D104" s="6" t="s">
        <v>1458</v>
      </c>
      <c r="E104" s="9">
        <v>114.19322033717999</v>
      </c>
      <c r="F104" s="9">
        <v>1542001.1485180252</v>
      </c>
      <c r="G104" s="9">
        <v>1040189</v>
      </c>
      <c r="I104" s="6" t="str">
        <f t="shared" si="9"/>
        <v>683340</v>
      </c>
      <c r="J104" s="6">
        <f t="shared" si="10"/>
        <v>683</v>
      </c>
      <c r="K104" s="6" t="str">
        <f t="shared" si="11"/>
        <v>Hampshire</v>
      </c>
      <c r="L104" s="6">
        <f t="shared" si="12"/>
        <v>340</v>
      </c>
      <c r="M104" s="6" t="str">
        <f t="shared" si="13"/>
        <v xml:space="preserve">Williamsburg                 </v>
      </c>
      <c r="N104" s="9">
        <f t="shared" si="14"/>
        <v>114.19322033717999</v>
      </c>
      <c r="O104" s="526">
        <f t="shared" si="15"/>
        <v>1542001.1485180252</v>
      </c>
      <c r="P104" s="526">
        <f t="shared" si="16"/>
        <v>1040189</v>
      </c>
      <c r="Q104" s="526"/>
      <c r="R104" s="526"/>
    </row>
    <row r="105" spans="1:18">
      <c r="A105" s="6" t="s">
        <v>2390</v>
      </c>
      <c r="E105" s="9">
        <v>591</v>
      </c>
      <c r="F105" s="9">
        <v>7980532.2599999988</v>
      </c>
      <c r="G105" s="9">
        <v>5799556</v>
      </c>
      <c r="I105" s="6" t="str">
        <f t="shared" si="9"/>
        <v>683999</v>
      </c>
      <c r="J105" s="6">
        <f t="shared" si="10"/>
        <v>683</v>
      </c>
      <c r="K105" s="6">
        <f t="shared" si="11"/>
        <v>0</v>
      </c>
      <c r="L105" s="6">
        <f t="shared" si="12"/>
        <v>0</v>
      </c>
      <c r="M105" s="6">
        <f t="shared" si="13"/>
        <v>0</v>
      </c>
      <c r="N105" s="9">
        <f t="shared" si="14"/>
        <v>591</v>
      </c>
      <c r="O105" s="526">
        <f t="shared" si="15"/>
        <v>7980532.2599999988</v>
      </c>
      <c r="P105" s="526">
        <f t="shared" si="16"/>
        <v>5799556</v>
      </c>
      <c r="Q105" s="526">
        <f>VLOOKUP($J105,aidcalc,25,FALSE)</f>
        <v>3423417.000000712</v>
      </c>
      <c r="R105" s="526">
        <f>VLOOKUP($J105,aidcalc,27,FALSE)</f>
        <v>9222973.0000007115</v>
      </c>
    </row>
    <row r="106" spans="1:18">
      <c r="A106" s="6">
        <v>685</v>
      </c>
      <c r="B106" s="6" t="s">
        <v>1061</v>
      </c>
      <c r="C106" s="6">
        <v>53</v>
      </c>
      <c r="D106" s="6" t="s">
        <v>1172</v>
      </c>
      <c r="E106" s="9">
        <v>70.875</v>
      </c>
      <c r="F106" s="9">
        <v>1022791.7525000001</v>
      </c>
      <c r="G106" s="9">
        <v>574305</v>
      </c>
      <c r="I106" s="6" t="str">
        <f t="shared" si="9"/>
        <v>685053</v>
      </c>
      <c r="J106" s="6">
        <f t="shared" si="10"/>
        <v>685</v>
      </c>
      <c r="K106" s="6" t="str">
        <f t="shared" si="11"/>
        <v>Hawlemont</v>
      </c>
      <c r="L106" s="6">
        <f t="shared" si="12"/>
        <v>53</v>
      </c>
      <c r="M106" s="6" t="str">
        <f t="shared" si="13"/>
        <v xml:space="preserve">Charlemont                   </v>
      </c>
      <c r="N106" s="9">
        <f t="shared" si="14"/>
        <v>70.875</v>
      </c>
      <c r="O106" s="526">
        <f t="shared" si="15"/>
        <v>1022791.7525000001</v>
      </c>
      <c r="P106" s="526">
        <f t="shared" si="16"/>
        <v>574305</v>
      </c>
      <c r="Q106" s="526"/>
      <c r="R106" s="526"/>
    </row>
    <row r="107" spans="1:18">
      <c r="A107" s="6">
        <v>685</v>
      </c>
      <c r="B107" s="6" t="s">
        <v>1061</v>
      </c>
      <c r="C107" s="6">
        <v>129</v>
      </c>
      <c r="D107" s="6" t="s">
        <v>1247</v>
      </c>
      <c r="E107" s="9">
        <v>10.125</v>
      </c>
      <c r="F107" s="9">
        <v>146113.10750000001</v>
      </c>
      <c r="G107" s="9">
        <v>120543</v>
      </c>
      <c r="I107" s="6" t="str">
        <f t="shared" si="9"/>
        <v>685129</v>
      </c>
      <c r="J107" s="6">
        <f t="shared" si="10"/>
        <v>685</v>
      </c>
      <c r="K107" s="6" t="str">
        <f t="shared" si="11"/>
        <v>Hawlemont</v>
      </c>
      <c r="L107" s="6">
        <f t="shared" si="12"/>
        <v>129</v>
      </c>
      <c r="M107" s="6" t="str">
        <f t="shared" si="13"/>
        <v xml:space="preserve">Hawley                       </v>
      </c>
      <c r="N107" s="9">
        <f t="shared" si="14"/>
        <v>10.125</v>
      </c>
      <c r="O107" s="526">
        <f t="shared" si="15"/>
        <v>146113.10750000001</v>
      </c>
      <c r="P107" s="526">
        <f t="shared" si="16"/>
        <v>120543</v>
      </c>
      <c r="Q107" s="526"/>
      <c r="R107" s="526"/>
    </row>
    <row r="108" spans="1:18">
      <c r="A108" s="6" t="s">
        <v>2391</v>
      </c>
      <c r="E108" s="9">
        <v>81</v>
      </c>
      <c r="F108" s="9">
        <v>1168904.8600000001</v>
      </c>
      <c r="G108" s="9">
        <v>694848</v>
      </c>
      <c r="I108" s="6" t="str">
        <f t="shared" si="9"/>
        <v>685999</v>
      </c>
      <c r="J108" s="6">
        <f t="shared" si="10"/>
        <v>685</v>
      </c>
      <c r="K108" s="6">
        <f t="shared" si="11"/>
        <v>0</v>
      </c>
      <c r="L108" s="6">
        <f t="shared" si="12"/>
        <v>0</v>
      </c>
      <c r="M108" s="6">
        <f t="shared" si="13"/>
        <v>0</v>
      </c>
      <c r="N108" s="9">
        <f t="shared" si="14"/>
        <v>81</v>
      </c>
      <c r="O108" s="526">
        <f t="shared" si="15"/>
        <v>1168904.8600000001</v>
      </c>
      <c r="P108" s="526">
        <f t="shared" si="16"/>
        <v>694848</v>
      </c>
      <c r="Q108" s="526">
        <f>VLOOKUP($J108,aidcalc,25,FALSE)</f>
        <v>657220</v>
      </c>
      <c r="R108" s="526">
        <f>VLOOKUP($J108,aidcalc,27,FALSE)</f>
        <v>1352068</v>
      </c>
    </row>
    <row r="109" spans="1:18">
      <c r="A109" s="6">
        <v>690</v>
      </c>
      <c r="B109" s="6" t="s">
        <v>1062</v>
      </c>
      <c r="C109" s="6">
        <v>208</v>
      </c>
      <c r="D109" s="6" t="s">
        <v>1326</v>
      </c>
      <c r="E109" s="9">
        <v>684.34880163084006</v>
      </c>
      <c r="F109" s="9">
        <v>9173066.6695414931</v>
      </c>
      <c r="G109" s="9">
        <v>7146329</v>
      </c>
      <c r="I109" s="6" t="str">
        <f t="shared" si="9"/>
        <v>690208</v>
      </c>
      <c r="J109" s="6">
        <f t="shared" si="10"/>
        <v>690</v>
      </c>
      <c r="K109" s="6" t="str">
        <f t="shared" si="11"/>
        <v>King Philip</v>
      </c>
      <c r="L109" s="6">
        <f t="shared" si="12"/>
        <v>208</v>
      </c>
      <c r="M109" s="6" t="str">
        <f t="shared" si="13"/>
        <v xml:space="preserve">Norfolk                      </v>
      </c>
      <c r="N109" s="9">
        <f t="shared" si="14"/>
        <v>684.34880163084006</v>
      </c>
      <c r="O109" s="526">
        <f t="shared" si="15"/>
        <v>9173066.6695414931</v>
      </c>
      <c r="P109" s="526">
        <f t="shared" si="16"/>
        <v>7146329</v>
      </c>
      <c r="Q109" s="526"/>
      <c r="R109" s="526"/>
    </row>
    <row r="110" spans="1:18">
      <c r="A110" s="6">
        <v>690</v>
      </c>
      <c r="B110" s="6" t="s">
        <v>1062</v>
      </c>
      <c r="C110" s="6">
        <v>238</v>
      </c>
      <c r="D110" s="6" t="s">
        <v>1356</v>
      </c>
      <c r="E110" s="9">
        <v>532.27129015295998</v>
      </c>
      <c r="F110" s="9">
        <v>7134607.4095849413</v>
      </c>
      <c r="G110" s="9">
        <v>5435677</v>
      </c>
      <c r="I110" s="6" t="str">
        <f t="shared" si="9"/>
        <v>690238</v>
      </c>
      <c r="J110" s="6">
        <f t="shared" si="10"/>
        <v>690</v>
      </c>
      <c r="K110" s="6" t="str">
        <f t="shared" si="11"/>
        <v>King Philip</v>
      </c>
      <c r="L110" s="6">
        <f t="shared" si="12"/>
        <v>238</v>
      </c>
      <c r="M110" s="6" t="str">
        <f t="shared" si="13"/>
        <v xml:space="preserve">Plainville                   </v>
      </c>
      <c r="N110" s="9">
        <f t="shared" si="14"/>
        <v>532.27129015295998</v>
      </c>
      <c r="O110" s="526">
        <f t="shared" si="15"/>
        <v>7134607.4095849413</v>
      </c>
      <c r="P110" s="526">
        <f t="shared" si="16"/>
        <v>5435677</v>
      </c>
      <c r="Q110" s="526"/>
      <c r="R110" s="526"/>
    </row>
    <row r="111" spans="1:18">
      <c r="A111" s="6">
        <v>690</v>
      </c>
      <c r="B111" s="6" t="s">
        <v>1062</v>
      </c>
      <c r="C111" s="6">
        <v>350</v>
      </c>
      <c r="D111" s="6" t="s">
        <v>1467</v>
      </c>
      <c r="E111" s="9">
        <v>745.37990821619996</v>
      </c>
      <c r="F111" s="9">
        <v>9991132.5568335652</v>
      </c>
      <c r="G111" s="9">
        <v>7850919</v>
      </c>
      <c r="I111" s="6" t="str">
        <f t="shared" si="9"/>
        <v>690350</v>
      </c>
      <c r="J111" s="6">
        <f t="shared" si="10"/>
        <v>690</v>
      </c>
      <c r="K111" s="6" t="str">
        <f t="shared" si="11"/>
        <v>King Philip</v>
      </c>
      <c r="L111" s="6">
        <f t="shared" si="12"/>
        <v>350</v>
      </c>
      <c r="M111" s="6" t="str">
        <f t="shared" si="13"/>
        <v xml:space="preserve">Wrentham                     </v>
      </c>
      <c r="N111" s="9">
        <f t="shared" si="14"/>
        <v>745.37990821619996</v>
      </c>
      <c r="O111" s="526">
        <f t="shared" si="15"/>
        <v>9991132.5568335652</v>
      </c>
      <c r="P111" s="526">
        <f t="shared" si="16"/>
        <v>7850919</v>
      </c>
      <c r="Q111" s="526"/>
      <c r="R111" s="526"/>
    </row>
    <row r="112" spans="1:18">
      <c r="A112" s="6" t="s">
        <v>2392</v>
      </c>
      <c r="E112" s="9">
        <v>1962</v>
      </c>
      <c r="F112" s="9">
        <v>26298806.635959998</v>
      </c>
      <c r="G112" s="9">
        <v>20432925</v>
      </c>
      <c r="I112" s="6" t="str">
        <f t="shared" si="9"/>
        <v>690999</v>
      </c>
      <c r="J112" s="6">
        <f t="shared" si="10"/>
        <v>690</v>
      </c>
      <c r="K112" s="6">
        <f t="shared" si="11"/>
        <v>0</v>
      </c>
      <c r="L112" s="6">
        <f t="shared" si="12"/>
        <v>0</v>
      </c>
      <c r="M112" s="6">
        <f t="shared" si="13"/>
        <v>0</v>
      </c>
      <c r="N112" s="9">
        <f t="shared" si="14"/>
        <v>1962</v>
      </c>
      <c r="O112" s="526">
        <f t="shared" si="15"/>
        <v>26298806.635959998</v>
      </c>
      <c r="P112" s="526">
        <f t="shared" si="16"/>
        <v>20432925</v>
      </c>
      <c r="Q112" s="526">
        <f>VLOOKUP($J112,aidcalc,25,FALSE)</f>
        <v>8089227.9999976857</v>
      </c>
      <c r="R112" s="526">
        <f>VLOOKUP($J112,aidcalc,27,FALSE)</f>
        <v>28522152.999997687</v>
      </c>
    </row>
    <row r="113" spans="1:18">
      <c r="A113" s="6">
        <v>695</v>
      </c>
      <c r="B113" s="6" t="s">
        <v>1063</v>
      </c>
      <c r="C113" s="6">
        <v>157</v>
      </c>
      <c r="D113" s="6" t="s">
        <v>1275</v>
      </c>
      <c r="E113" s="9">
        <v>200.02284083547002</v>
      </c>
      <c r="F113" s="9">
        <v>2682716.2236876092</v>
      </c>
      <c r="G113" s="9">
        <v>2213241</v>
      </c>
      <c r="I113" s="6" t="str">
        <f t="shared" si="9"/>
        <v>695157</v>
      </c>
      <c r="J113" s="6">
        <f t="shared" si="10"/>
        <v>695</v>
      </c>
      <c r="K113" s="6" t="str">
        <f t="shared" si="11"/>
        <v>Lincoln Sudbury</v>
      </c>
      <c r="L113" s="6">
        <f t="shared" si="12"/>
        <v>157</v>
      </c>
      <c r="M113" s="6" t="str">
        <f t="shared" si="13"/>
        <v xml:space="preserve">Lincoln                      </v>
      </c>
      <c r="N113" s="9">
        <f t="shared" si="14"/>
        <v>200.02284083547002</v>
      </c>
      <c r="O113" s="526">
        <f t="shared" si="15"/>
        <v>2682716.2236876092</v>
      </c>
      <c r="P113" s="526">
        <f t="shared" si="16"/>
        <v>2213241</v>
      </c>
      <c r="Q113" s="526"/>
      <c r="R113" s="526"/>
    </row>
    <row r="114" spans="1:18">
      <c r="A114" s="6">
        <v>695</v>
      </c>
      <c r="B114" s="6" t="s">
        <v>1063</v>
      </c>
      <c r="C114" s="6">
        <v>288</v>
      </c>
      <c r="D114" s="6" t="s">
        <v>1406</v>
      </c>
      <c r="E114" s="9">
        <v>1322.9771591645301</v>
      </c>
      <c r="F114" s="9">
        <v>17743835.022212397</v>
      </c>
      <c r="G114" s="9">
        <v>14372163</v>
      </c>
      <c r="I114" s="6" t="str">
        <f t="shared" si="9"/>
        <v>695288</v>
      </c>
      <c r="J114" s="6">
        <f t="shared" si="10"/>
        <v>695</v>
      </c>
      <c r="K114" s="6" t="str">
        <f t="shared" si="11"/>
        <v>Lincoln Sudbury</v>
      </c>
      <c r="L114" s="6">
        <f t="shared" si="12"/>
        <v>288</v>
      </c>
      <c r="M114" s="6" t="str">
        <f t="shared" si="13"/>
        <v xml:space="preserve">Sudbury                      </v>
      </c>
      <c r="N114" s="9">
        <f t="shared" si="14"/>
        <v>1322.9771591645301</v>
      </c>
      <c r="O114" s="526">
        <f t="shared" si="15"/>
        <v>17743835.022212397</v>
      </c>
      <c r="P114" s="526">
        <f t="shared" si="16"/>
        <v>14372163</v>
      </c>
      <c r="Q114" s="526"/>
      <c r="R114" s="526"/>
    </row>
    <row r="115" spans="1:18">
      <c r="A115" s="6" t="s">
        <v>2393</v>
      </c>
      <c r="E115" s="9">
        <v>1523.0000000000002</v>
      </c>
      <c r="F115" s="9">
        <v>20426551.245900005</v>
      </c>
      <c r="G115" s="9">
        <v>16585404</v>
      </c>
      <c r="I115" s="6" t="str">
        <f t="shared" si="9"/>
        <v>695999</v>
      </c>
      <c r="J115" s="6">
        <f t="shared" si="10"/>
        <v>695</v>
      </c>
      <c r="K115" s="6">
        <f t="shared" si="11"/>
        <v>0</v>
      </c>
      <c r="L115" s="6">
        <f t="shared" si="12"/>
        <v>0</v>
      </c>
      <c r="M115" s="6">
        <f t="shared" si="13"/>
        <v>0</v>
      </c>
      <c r="N115" s="9">
        <f t="shared" si="14"/>
        <v>1523.0000000000002</v>
      </c>
      <c r="O115" s="526">
        <f t="shared" si="15"/>
        <v>20426551.245900005</v>
      </c>
      <c r="P115" s="526">
        <f t="shared" si="16"/>
        <v>16585404</v>
      </c>
      <c r="Q115" s="526">
        <f>VLOOKUP($J115,aidcalc,25,FALSE)</f>
        <v>4001267</v>
      </c>
      <c r="R115" s="526">
        <f>VLOOKUP($J115,aidcalc,27,FALSE)</f>
        <v>20586671</v>
      </c>
    </row>
    <row r="116" spans="1:18">
      <c r="A116" s="6">
        <v>698</v>
      </c>
      <c r="B116" s="6" t="s">
        <v>1064</v>
      </c>
      <c r="C116" s="6">
        <v>92</v>
      </c>
      <c r="D116" s="6" t="s">
        <v>1211</v>
      </c>
      <c r="E116" s="9">
        <v>489.83641160920001</v>
      </c>
      <c r="F116" s="9">
        <v>6379142.5933382753</v>
      </c>
      <c r="G116" s="9">
        <v>5126297</v>
      </c>
      <c r="I116" s="6" t="str">
        <f t="shared" si="9"/>
        <v>698092</v>
      </c>
      <c r="J116" s="6">
        <f t="shared" si="10"/>
        <v>698</v>
      </c>
      <c r="K116" s="6" t="str">
        <f t="shared" si="11"/>
        <v>Manchester Essex</v>
      </c>
      <c r="L116" s="6">
        <f t="shared" si="12"/>
        <v>92</v>
      </c>
      <c r="M116" s="6" t="str">
        <f t="shared" si="13"/>
        <v xml:space="preserve">Essex                        </v>
      </c>
      <c r="N116" s="9">
        <f t="shared" si="14"/>
        <v>489.83641160920001</v>
      </c>
      <c r="O116" s="526">
        <f t="shared" si="15"/>
        <v>6379142.5933382753</v>
      </c>
      <c r="P116" s="526">
        <f t="shared" si="16"/>
        <v>5126297</v>
      </c>
      <c r="Q116" s="526"/>
      <c r="R116" s="526"/>
    </row>
    <row r="117" spans="1:18">
      <c r="A117" s="6">
        <v>698</v>
      </c>
      <c r="B117" s="6" t="s">
        <v>1064</v>
      </c>
      <c r="C117" s="6">
        <v>166</v>
      </c>
      <c r="D117" s="6" t="s">
        <v>1284</v>
      </c>
      <c r="E117" s="9">
        <v>642.1635883908001</v>
      </c>
      <c r="F117" s="9">
        <v>8362900.351031729</v>
      </c>
      <c r="G117" s="9">
        <v>6899392</v>
      </c>
      <c r="I117" s="6" t="str">
        <f t="shared" si="9"/>
        <v>698166</v>
      </c>
      <c r="J117" s="6">
        <f t="shared" si="10"/>
        <v>698</v>
      </c>
      <c r="K117" s="6" t="str">
        <f t="shared" si="11"/>
        <v>Manchester Essex</v>
      </c>
      <c r="L117" s="6">
        <f t="shared" si="12"/>
        <v>166</v>
      </c>
      <c r="M117" s="6" t="str">
        <f t="shared" si="13"/>
        <v xml:space="preserve">Manchester                   </v>
      </c>
      <c r="N117" s="9">
        <f t="shared" si="14"/>
        <v>642.1635883908001</v>
      </c>
      <c r="O117" s="526">
        <f t="shared" si="15"/>
        <v>8362900.351031729</v>
      </c>
      <c r="P117" s="526">
        <f t="shared" si="16"/>
        <v>6899392</v>
      </c>
      <c r="Q117" s="526"/>
      <c r="R117" s="526"/>
    </row>
    <row r="118" spans="1:18">
      <c r="A118" s="6" t="s">
        <v>2394</v>
      </c>
      <c r="E118" s="9">
        <v>1132</v>
      </c>
      <c r="F118" s="9">
        <v>14742042.944370005</v>
      </c>
      <c r="G118" s="9">
        <v>12025689</v>
      </c>
      <c r="I118" s="6" t="str">
        <f t="shared" si="9"/>
        <v>698999</v>
      </c>
      <c r="J118" s="6">
        <f t="shared" si="10"/>
        <v>698</v>
      </c>
      <c r="K118" s="6">
        <f t="shared" si="11"/>
        <v>0</v>
      </c>
      <c r="L118" s="6">
        <f t="shared" si="12"/>
        <v>0</v>
      </c>
      <c r="M118" s="6">
        <f t="shared" si="13"/>
        <v>0</v>
      </c>
      <c r="N118" s="9">
        <f t="shared" si="14"/>
        <v>1132</v>
      </c>
      <c r="O118" s="526">
        <f t="shared" si="15"/>
        <v>14742042.944370005</v>
      </c>
      <c r="P118" s="526">
        <f t="shared" si="16"/>
        <v>12025689</v>
      </c>
      <c r="Q118" s="526">
        <f>VLOOKUP($J118,aidcalc,25,FALSE)</f>
        <v>3348466</v>
      </c>
      <c r="R118" s="526">
        <f>VLOOKUP($J118,aidcalc,27,FALSE)</f>
        <v>15374155</v>
      </c>
    </row>
    <row r="119" spans="1:18">
      <c r="A119" s="6">
        <v>700</v>
      </c>
      <c r="B119" s="6" t="s">
        <v>1065</v>
      </c>
      <c r="C119" s="6">
        <v>62</v>
      </c>
      <c r="D119" s="6" t="s">
        <v>1181</v>
      </c>
      <c r="E119" s="9">
        <v>31.000000003570001</v>
      </c>
      <c r="F119" s="9">
        <v>548298.68375797267</v>
      </c>
      <c r="G119" s="9">
        <v>452346</v>
      </c>
      <c r="I119" s="6" t="str">
        <f t="shared" si="9"/>
        <v>700062</v>
      </c>
      <c r="J119" s="6">
        <f t="shared" si="10"/>
        <v>700</v>
      </c>
      <c r="K119" s="6" t="str">
        <f t="shared" si="11"/>
        <v>Marthas Vineyard</v>
      </c>
      <c r="L119" s="6">
        <f t="shared" si="12"/>
        <v>62</v>
      </c>
      <c r="M119" s="6" t="str">
        <f t="shared" si="13"/>
        <v xml:space="preserve">Chilmark                     </v>
      </c>
      <c r="N119" s="9">
        <f t="shared" si="14"/>
        <v>31.000000003570001</v>
      </c>
      <c r="O119" s="526">
        <f t="shared" si="15"/>
        <v>548298.68375797267</v>
      </c>
      <c r="P119" s="526">
        <f t="shared" si="16"/>
        <v>452346</v>
      </c>
      <c r="Q119" s="526"/>
      <c r="R119" s="526"/>
    </row>
    <row r="120" spans="1:18">
      <c r="A120" s="6">
        <v>700</v>
      </c>
      <c r="B120" s="6" t="s">
        <v>1065</v>
      </c>
      <c r="C120" s="6">
        <v>89</v>
      </c>
      <c r="D120" s="6" t="s">
        <v>1208</v>
      </c>
      <c r="E120" s="9">
        <v>223.99999999688998</v>
      </c>
      <c r="F120" s="9">
        <v>3961900.1659979569</v>
      </c>
      <c r="G120" s="9">
        <v>3268568</v>
      </c>
      <c r="I120" s="6" t="str">
        <f t="shared" si="9"/>
        <v>700089</v>
      </c>
      <c r="J120" s="6">
        <f t="shared" si="10"/>
        <v>700</v>
      </c>
      <c r="K120" s="6" t="str">
        <f t="shared" si="11"/>
        <v>Marthas Vineyard</v>
      </c>
      <c r="L120" s="6">
        <f t="shared" si="12"/>
        <v>89</v>
      </c>
      <c r="M120" s="6" t="str">
        <f t="shared" si="13"/>
        <v xml:space="preserve">Edgartown                    </v>
      </c>
      <c r="N120" s="9">
        <f t="shared" si="14"/>
        <v>223.99999999688998</v>
      </c>
      <c r="O120" s="526">
        <f t="shared" si="15"/>
        <v>3961900.1659979569</v>
      </c>
      <c r="P120" s="526">
        <f t="shared" si="16"/>
        <v>3268568</v>
      </c>
      <c r="Q120" s="526"/>
      <c r="R120" s="526"/>
    </row>
    <row r="121" spans="1:18">
      <c r="A121" s="6">
        <v>700</v>
      </c>
      <c r="B121" s="6" t="s">
        <v>1065</v>
      </c>
      <c r="C121" s="6">
        <v>104</v>
      </c>
      <c r="D121" s="6" t="s">
        <v>785</v>
      </c>
      <c r="E121" s="9">
        <v>15.00000000096</v>
      </c>
      <c r="F121" s="9">
        <v>265305.8147080263</v>
      </c>
      <c r="G121" s="9">
        <v>218877</v>
      </c>
      <c r="I121" s="6" t="str">
        <f t="shared" si="9"/>
        <v>700104</v>
      </c>
      <c r="J121" s="6">
        <f t="shared" si="10"/>
        <v>700</v>
      </c>
      <c r="K121" s="6" t="str">
        <f t="shared" si="11"/>
        <v>Marthas Vineyard</v>
      </c>
      <c r="L121" s="6">
        <f t="shared" si="12"/>
        <v>104</v>
      </c>
      <c r="M121" s="6" t="str">
        <f t="shared" si="13"/>
        <v>Aquinnah</v>
      </c>
      <c r="N121" s="9">
        <f t="shared" si="14"/>
        <v>15.00000000096</v>
      </c>
      <c r="O121" s="526">
        <f t="shared" si="15"/>
        <v>265305.8147080263</v>
      </c>
      <c r="P121" s="526">
        <f t="shared" si="16"/>
        <v>218877</v>
      </c>
      <c r="Q121" s="526"/>
      <c r="R121" s="526"/>
    </row>
    <row r="122" spans="1:18">
      <c r="A122" s="6">
        <v>700</v>
      </c>
      <c r="B122" s="6" t="s">
        <v>1065</v>
      </c>
      <c r="C122" s="6">
        <v>221</v>
      </c>
      <c r="D122" s="6" t="s">
        <v>1339</v>
      </c>
      <c r="E122" s="9">
        <v>217.00000000119999</v>
      </c>
      <c r="F122" s="9">
        <v>3838090.7858850332</v>
      </c>
      <c r="G122" s="9">
        <v>3166425</v>
      </c>
      <c r="I122" s="6" t="str">
        <f t="shared" si="9"/>
        <v>700221</v>
      </c>
      <c r="J122" s="6">
        <f t="shared" si="10"/>
        <v>700</v>
      </c>
      <c r="K122" s="6" t="str">
        <f t="shared" si="11"/>
        <v>Marthas Vineyard</v>
      </c>
      <c r="L122" s="6">
        <f t="shared" si="12"/>
        <v>221</v>
      </c>
      <c r="M122" s="6" t="str">
        <f t="shared" si="13"/>
        <v xml:space="preserve">Oak Bluffs                   </v>
      </c>
      <c r="N122" s="9">
        <f t="shared" si="14"/>
        <v>217.00000000119999</v>
      </c>
      <c r="O122" s="526">
        <f t="shared" si="15"/>
        <v>3838090.7858850332</v>
      </c>
      <c r="P122" s="526">
        <f t="shared" si="16"/>
        <v>3166425</v>
      </c>
      <c r="Q122" s="526"/>
      <c r="R122" s="526"/>
    </row>
    <row r="123" spans="1:18">
      <c r="A123" s="6">
        <v>700</v>
      </c>
      <c r="B123" s="6" t="s">
        <v>1065</v>
      </c>
      <c r="C123" s="6">
        <v>296</v>
      </c>
      <c r="D123" s="6" t="s">
        <v>1414</v>
      </c>
      <c r="E123" s="9">
        <v>188.00000000092999</v>
      </c>
      <c r="F123" s="9">
        <v>3325166.2108109007</v>
      </c>
      <c r="G123" s="9">
        <v>2743262</v>
      </c>
      <c r="I123" s="6" t="str">
        <f t="shared" si="9"/>
        <v>700296</v>
      </c>
      <c r="J123" s="6">
        <f t="shared" si="10"/>
        <v>700</v>
      </c>
      <c r="K123" s="6" t="str">
        <f t="shared" si="11"/>
        <v>Marthas Vineyard</v>
      </c>
      <c r="L123" s="6">
        <f t="shared" si="12"/>
        <v>296</v>
      </c>
      <c r="M123" s="6" t="str">
        <f t="shared" si="13"/>
        <v xml:space="preserve">Tisbury                      </v>
      </c>
      <c r="N123" s="9">
        <f t="shared" si="14"/>
        <v>188.00000000092999</v>
      </c>
      <c r="O123" s="526">
        <f t="shared" si="15"/>
        <v>3325166.2108109007</v>
      </c>
      <c r="P123" s="526">
        <f t="shared" si="16"/>
        <v>2743262</v>
      </c>
      <c r="Q123" s="526"/>
      <c r="R123" s="526"/>
    </row>
    <row r="124" spans="1:18">
      <c r="A124" s="6">
        <v>700</v>
      </c>
      <c r="B124" s="6" t="s">
        <v>1065</v>
      </c>
      <c r="C124" s="6">
        <v>334</v>
      </c>
      <c r="D124" s="6" t="s">
        <v>1452</v>
      </c>
      <c r="E124" s="9">
        <v>117.99999999645</v>
      </c>
      <c r="F124" s="9">
        <v>2087072.4088401117</v>
      </c>
      <c r="G124" s="9">
        <v>1721835</v>
      </c>
      <c r="I124" s="6" t="str">
        <f t="shared" si="9"/>
        <v>700334</v>
      </c>
      <c r="J124" s="6">
        <f t="shared" si="10"/>
        <v>700</v>
      </c>
      <c r="K124" s="6" t="str">
        <f t="shared" si="11"/>
        <v>Marthas Vineyard</v>
      </c>
      <c r="L124" s="6">
        <f t="shared" si="12"/>
        <v>334</v>
      </c>
      <c r="M124" s="6" t="str">
        <f t="shared" si="13"/>
        <v xml:space="preserve">West Tisbury                 </v>
      </c>
      <c r="N124" s="9">
        <f t="shared" si="14"/>
        <v>117.99999999645</v>
      </c>
      <c r="O124" s="526">
        <f t="shared" si="15"/>
        <v>2087072.4088401117</v>
      </c>
      <c r="P124" s="526">
        <f t="shared" si="16"/>
        <v>1721835</v>
      </c>
      <c r="Q124" s="526"/>
      <c r="R124" s="526"/>
    </row>
    <row r="125" spans="1:18">
      <c r="A125" s="6" t="s">
        <v>2395</v>
      </c>
      <c r="E125" s="9">
        <v>792.99999999999989</v>
      </c>
      <c r="F125" s="9">
        <v>14025834.07</v>
      </c>
      <c r="G125" s="9">
        <v>11571313</v>
      </c>
      <c r="I125" s="6" t="str">
        <f t="shared" si="9"/>
        <v>700999</v>
      </c>
      <c r="J125" s="6">
        <f t="shared" si="10"/>
        <v>700</v>
      </c>
      <c r="K125" s="6">
        <f t="shared" si="11"/>
        <v>0</v>
      </c>
      <c r="L125" s="6">
        <f t="shared" si="12"/>
        <v>0</v>
      </c>
      <c r="M125" s="6">
        <f t="shared" si="13"/>
        <v>0</v>
      </c>
      <c r="N125" s="9">
        <f t="shared" si="14"/>
        <v>792.99999999999989</v>
      </c>
      <c r="O125" s="526">
        <f t="shared" si="15"/>
        <v>14025834.07</v>
      </c>
      <c r="P125" s="526">
        <f t="shared" si="16"/>
        <v>11571313</v>
      </c>
      <c r="Q125" s="526">
        <f>VLOOKUP($J125,aidcalc,25,FALSE)</f>
        <v>3630738</v>
      </c>
      <c r="R125" s="526">
        <f>VLOOKUP($J125,aidcalc,27,FALSE)</f>
        <v>15202051</v>
      </c>
    </row>
    <row r="126" spans="1:18">
      <c r="A126" s="6">
        <v>705</v>
      </c>
      <c r="B126" s="6" t="s">
        <v>1066</v>
      </c>
      <c r="C126" s="6">
        <v>38</v>
      </c>
      <c r="D126" s="6" t="s">
        <v>719</v>
      </c>
      <c r="E126" s="9">
        <v>594.13095994295998</v>
      </c>
      <c r="F126" s="9">
        <v>7926258.0023105806</v>
      </c>
      <c r="G126" s="9">
        <v>6271147</v>
      </c>
      <c r="I126" s="6" t="str">
        <f t="shared" si="9"/>
        <v>705038</v>
      </c>
      <c r="J126" s="6">
        <f t="shared" si="10"/>
        <v>705</v>
      </c>
      <c r="K126" s="6" t="str">
        <f t="shared" si="11"/>
        <v>Masconomet</v>
      </c>
      <c r="L126" s="6">
        <f t="shared" si="12"/>
        <v>38</v>
      </c>
      <c r="M126" s="6" t="str">
        <f t="shared" si="13"/>
        <v>Boxford</v>
      </c>
      <c r="N126" s="9">
        <f t="shared" si="14"/>
        <v>594.13095994295998</v>
      </c>
      <c r="O126" s="526">
        <f t="shared" si="15"/>
        <v>7926258.0023105806</v>
      </c>
      <c r="P126" s="526">
        <f t="shared" si="16"/>
        <v>6271147</v>
      </c>
      <c r="Q126" s="526"/>
      <c r="R126" s="526"/>
    </row>
    <row r="127" spans="1:18">
      <c r="A127" s="6">
        <v>705</v>
      </c>
      <c r="B127" s="6" t="s">
        <v>1066</v>
      </c>
      <c r="C127" s="6">
        <v>184</v>
      </c>
      <c r="D127" s="6" t="s">
        <v>1302</v>
      </c>
      <c r="E127" s="9">
        <v>507.96694215383997</v>
      </c>
      <c r="F127" s="9">
        <v>6776750.0965488404</v>
      </c>
      <c r="G127" s="9">
        <v>5590819</v>
      </c>
      <c r="I127" s="6" t="str">
        <f t="shared" si="9"/>
        <v>705184</v>
      </c>
      <c r="J127" s="6">
        <f t="shared" si="10"/>
        <v>705</v>
      </c>
      <c r="K127" s="6" t="str">
        <f t="shared" si="11"/>
        <v>Masconomet</v>
      </c>
      <c r="L127" s="6">
        <f t="shared" si="12"/>
        <v>184</v>
      </c>
      <c r="M127" s="6" t="str">
        <f t="shared" si="13"/>
        <v xml:space="preserve">Middleton                    </v>
      </c>
      <c r="N127" s="9">
        <f t="shared" si="14"/>
        <v>507.96694215383997</v>
      </c>
      <c r="O127" s="526">
        <f t="shared" si="15"/>
        <v>6776750.0965488404</v>
      </c>
      <c r="P127" s="526">
        <f t="shared" si="16"/>
        <v>5590819</v>
      </c>
      <c r="Q127" s="526"/>
      <c r="R127" s="526"/>
    </row>
    <row r="128" spans="1:18">
      <c r="A128" s="6">
        <v>705</v>
      </c>
      <c r="B128" s="6" t="s">
        <v>1066</v>
      </c>
      <c r="C128" s="6">
        <v>298</v>
      </c>
      <c r="D128" s="6" t="s">
        <v>1416</v>
      </c>
      <c r="E128" s="9">
        <v>473.9020979032</v>
      </c>
      <c r="F128" s="9">
        <v>6322293.4825305762</v>
      </c>
      <c r="G128" s="9">
        <v>4946744</v>
      </c>
      <c r="I128" s="6" t="str">
        <f t="shared" si="9"/>
        <v>705298</v>
      </c>
      <c r="J128" s="6">
        <f t="shared" si="10"/>
        <v>705</v>
      </c>
      <c r="K128" s="6" t="str">
        <f t="shared" si="11"/>
        <v>Masconomet</v>
      </c>
      <c r="L128" s="6">
        <f t="shared" si="12"/>
        <v>298</v>
      </c>
      <c r="M128" s="6" t="str">
        <f t="shared" si="13"/>
        <v xml:space="preserve">Topsfield                    </v>
      </c>
      <c r="N128" s="9">
        <f t="shared" si="14"/>
        <v>473.9020979032</v>
      </c>
      <c r="O128" s="526">
        <f t="shared" si="15"/>
        <v>6322293.4825305762</v>
      </c>
      <c r="P128" s="526">
        <f t="shared" si="16"/>
        <v>4946744</v>
      </c>
      <c r="Q128" s="526"/>
      <c r="R128" s="526"/>
    </row>
    <row r="129" spans="1:18">
      <c r="A129" s="6" t="s">
        <v>2396</v>
      </c>
      <c r="E129" s="9">
        <v>1576</v>
      </c>
      <c r="F129" s="9">
        <v>21025301.581389997</v>
      </c>
      <c r="G129" s="9">
        <v>16808710</v>
      </c>
      <c r="I129" s="6" t="str">
        <f t="shared" si="9"/>
        <v>705999</v>
      </c>
      <c r="J129" s="6">
        <f t="shared" si="10"/>
        <v>705</v>
      </c>
      <c r="K129" s="6">
        <f t="shared" si="11"/>
        <v>0</v>
      </c>
      <c r="L129" s="6">
        <f t="shared" si="12"/>
        <v>0</v>
      </c>
      <c r="M129" s="6">
        <f t="shared" si="13"/>
        <v>0</v>
      </c>
      <c r="N129" s="9">
        <f t="shared" si="14"/>
        <v>1576</v>
      </c>
      <c r="O129" s="526">
        <f t="shared" si="15"/>
        <v>21025301.581389997</v>
      </c>
      <c r="P129" s="526">
        <f t="shared" si="16"/>
        <v>16808710</v>
      </c>
      <c r="Q129" s="526">
        <f>VLOOKUP($J129,aidcalc,25,FALSE)</f>
        <v>5615603</v>
      </c>
      <c r="R129" s="526">
        <f>VLOOKUP($J129,aidcalc,27,FALSE)</f>
        <v>22424313</v>
      </c>
    </row>
    <row r="130" spans="1:18">
      <c r="A130" s="6">
        <v>710</v>
      </c>
      <c r="B130" s="6" t="s">
        <v>1067</v>
      </c>
      <c r="C130" s="6">
        <v>179</v>
      </c>
      <c r="D130" s="6" t="s">
        <v>1297</v>
      </c>
      <c r="E130" s="9">
        <v>856.60119939864001</v>
      </c>
      <c r="F130" s="9">
        <v>10874872.440098867</v>
      </c>
      <c r="G130" s="9">
        <v>8740788</v>
      </c>
      <c r="I130" s="6" t="str">
        <f t="shared" si="9"/>
        <v>710179</v>
      </c>
      <c r="J130" s="6">
        <f t="shared" si="10"/>
        <v>710</v>
      </c>
      <c r="K130" s="6" t="str">
        <f t="shared" si="11"/>
        <v>Mendon Upton</v>
      </c>
      <c r="L130" s="6">
        <f t="shared" si="12"/>
        <v>179</v>
      </c>
      <c r="M130" s="6" t="str">
        <f t="shared" si="13"/>
        <v xml:space="preserve">Mendon                       </v>
      </c>
      <c r="N130" s="9">
        <f t="shared" si="14"/>
        <v>856.60119939864001</v>
      </c>
      <c r="O130" s="526">
        <f t="shared" si="15"/>
        <v>10874872.440098867</v>
      </c>
      <c r="P130" s="526">
        <f t="shared" si="16"/>
        <v>8740788</v>
      </c>
      <c r="Q130" s="526"/>
      <c r="R130" s="526"/>
    </row>
    <row r="131" spans="1:18">
      <c r="A131" s="6">
        <v>710</v>
      </c>
      <c r="B131" s="6" t="s">
        <v>1067</v>
      </c>
      <c r="C131" s="6">
        <v>303</v>
      </c>
      <c r="D131" s="6" t="s">
        <v>1421</v>
      </c>
      <c r="E131" s="9">
        <v>1120.3988006013601</v>
      </c>
      <c r="F131" s="9">
        <v>14223881.599901132</v>
      </c>
      <c r="G131" s="9">
        <v>11051358</v>
      </c>
      <c r="I131" s="6" t="str">
        <f t="shared" si="9"/>
        <v>710303</v>
      </c>
      <c r="J131" s="6">
        <f t="shared" si="10"/>
        <v>710</v>
      </c>
      <c r="K131" s="6" t="str">
        <f t="shared" si="11"/>
        <v>Mendon Upton</v>
      </c>
      <c r="L131" s="6">
        <f t="shared" si="12"/>
        <v>303</v>
      </c>
      <c r="M131" s="6" t="str">
        <f t="shared" si="13"/>
        <v xml:space="preserve">Upton                        </v>
      </c>
      <c r="N131" s="9">
        <f t="shared" si="14"/>
        <v>1120.3988006013601</v>
      </c>
      <c r="O131" s="526">
        <f t="shared" si="15"/>
        <v>14223881.599901132</v>
      </c>
      <c r="P131" s="526">
        <f t="shared" si="16"/>
        <v>11051358</v>
      </c>
      <c r="Q131" s="526"/>
      <c r="R131" s="526"/>
    </row>
    <row r="132" spans="1:18">
      <c r="A132" s="6" t="s">
        <v>2397</v>
      </c>
      <c r="E132" s="9">
        <v>1977</v>
      </c>
      <c r="F132" s="9">
        <v>25098754.039999999</v>
      </c>
      <c r="G132" s="9">
        <v>19792146</v>
      </c>
      <c r="I132" s="6" t="str">
        <f t="shared" si="9"/>
        <v>710999</v>
      </c>
      <c r="J132" s="6">
        <f t="shared" si="10"/>
        <v>710</v>
      </c>
      <c r="K132" s="6">
        <f t="shared" si="11"/>
        <v>0</v>
      </c>
      <c r="L132" s="6">
        <f t="shared" si="12"/>
        <v>0</v>
      </c>
      <c r="M132" s="6">
        <f t="shared" si="13"/>
        <v>0</v>
      </c>
      <c r="N132" s="9">
        <f t="shared" si="14"/>
        <v>1977</v>
      </c>
      <c r="O132" s="526">
        <f t="shared" si="15"/>
        <v>25098754.039999999</v>
      </c>
      <c r="P132" s="526">
        <f t="shared" si="16"/>
        <v>19792146</v>
      </c>
      <c r="Q132" s="526">
        <f>VLOOKUP($J132,aidcalc,25,FALSE)</f>
        <v>12963694</v>
      </c>
      <c r="R132" s="526">
        <f>VLOOKUP($J132,aidcalc,27,FALSE)</f>
        <v>32755840</v>
      </c>
    </row>
    <row r="133" spans="1:18">
      <c r="A133" s="6">
        <v>712</v>
      </c>
      <c r="B133" s="6" t="s">
        <v>1068</v>
      </c>
      <c r="C133" s="6">
        <v>55</v>
      </c>
      <c r="D133" s="6" t="s">
        <v>1174</v>
      </c>
      <c r="E133" s="9">
        <v>364.99392465994998</v>
      </c>
      <c r="F133" s="9">
        <v>5426498.939183143</v>
      </c>
      <c r="G133" s="9">
        <v>4476861</v>
      </c>
      <c r="I133" s="6" t="str">
        <f t="shared" ref="I133:I196" si="17">IF(L133=0,J133&amp;999,J133&amp;TEXT(L133,"000"))</f>
        <v>712055</v>
      </c>
      <c r="J133" s="6">
        <f t="shared" ref="J133:J196" si="18">VALUE(LEFT(A133,3))</f>
        <v>712</v>
      </c>
      <c r="K133" s="6" t="str">
        <f t="shared" ref="K133:K196" si="19">B133</f>
        <v>Monomoy</v>
      </c>
      <c r="L133" s="6">
        <f t="shared" ref="L133:L196" si="20">C133</f>
        <v>55</v>
      </c>
      <c r="M133" s="6" t="str">
        <f t="shared" ref="M133:M196" si="21">D133</f>
        <v xml:space="preserve">Chatham                      </v>
      </c>
      <c r="N133" s="9">
        <f t="shared" ref="N133:N196" si="22">E133</f>
        <v>364.99392465994998</v>
      </c>
      <c r="O133" s="526">
        <f t="shared" ref="O133:O196" si="23">F133</f>
        <v>5426498.939183143</v>
      </c>
      <c r="P133" s="526">
        <f t="shared" ref="P133:P196" si="24">G133</f>
        <v>4476861</v>
      </c>
      <c r="Q133" s="526"/>
      <c r="R133" s="526"/>
    </row>
    <row r="134" spans="1:18">
      <c r="A134" s="6">
        <v>712</v>
      </c>
      <c r="B134" s="6" t="s">
        <v>1068</v>
      </c>
      <c r="C134" s="6">
        <v>126</v>
      </c>
      <c r="D134" s="6" t="s">
        <v>1244</v>
      </c>
      <c r="E134" s="9">
        <v>1250.0060753400501</v>
      </c>
      <c r="F134" s="9">
        <v>18584300.130816855</v>
      </c>
      <c r="G134" s="9">
        <v>15332048</v>
      </c>
      <c r="I134" s="6" t="str">
        <f t="shared" si="17"/>
        <v>712126</v>
      </c>
      <c r="J134" s="6">
        <f t="shared" si="18"/>
        <v>712</v>
      </c>
      <c r="K134" s="6" t="str">
        <f t="shared" si="19"/>
        <v>Monomoy</v>
      </c>
      <c r="L134" s="6">
        <f t="shared" si="20"/>
        <v>126</v>
      </c>
      <c r="M134" s="6" t="str">
        <f t="shared" si="21"/>
        <v xml:space="preserve">Harwich                      </v>
      </c>
      <c r="N134" s="9">
        <f t="shared" si="22"/>
        <v>1250.0060753400501</v>
      </c>
      <c r="O134" s="526">
        <f t="shared" si="23"/>
        <v>18584300.130816855</v>
      </c>
      <c r="P134" s="526">
        <f t="shared" si="24"/>
        <v>15332048</v>
      </c>
      <c r="Q134" s="526"/>
      <c r="R134" s="526"/>
    </row>
    <row r="135" spans="1:18">
      <c r="A135" s="6" t="s">
        <v>2398</v>
      </c>
      <c r="E135" s="9">
        <v>1615</v>
      </c>
      <c r="F135" s="9">
        <v>24010799.069999997</v>
      </c>
      <c r="G135" s="9">
        <v>19808909</v>
      </c>
      <c r="I135" s="6" t="str">
        <f t="shared" si="17"/>
        <v>712999</v>
      </c>
      <c r="J135" s="6">
        <f t="shared" si="18"/>
        <v>712</v>
      </c>
      <c r="K135" s="6">
        <f t="shared" si="19"/>
        <v>0</v>
      </c>
      <c r="L135" s="6">
        <f t="shared" si="20"/>
        <v>0</v>
      </c>
      <c r="M135" s="6">
        <f t="shared" si="21"/>
        <v>0</v>
      </c>
      <c r="N135" s="9">
        <f t="shared" si="22"/>
        <v>1615</v>
      </c>
      <c r="O135" s="526">
        <f t="shared" si="23"/>
        <v>24010799.069999997</v>
      </c>
      <c r="P135" s="526">
        <f t="shared" si="24"/>
        <v>19808909</v>
      </c>
      <c r="Q135" s="526">
        <f>VLOOKUP($J135,aidcalc,25,FALSE)</f>
        <v>4383065</v>
      </c>
      <c r="R135" s="526">
        <f>VLOOKUP($J135,aidcalc,27,FALSE)</f>
        <v>24191974</v>
      </c>
    </row>
    <row r="136" spans="1:18">
      <c r="A136" s="6">
        <v>715</v>
      </c>
      <c r="B136" s="6" t="s">
        <v>1069</v>
      </c>
      <c r="C136" s="6">
        <v>148</v>
      </c>
      <c r="D136" s="6" t="s">
        <v>1266</v>
      </c>
      <c r="E136" s="9">
        <v>376.80952380435002</v>
      </c>
      <c r="F136" s="9">
        <v>5113312.7742155073</v>
      </c>
      <c r="G136" s="9">
        <v>2752902</v>
      </c>
      <c r="I136" s="6" t="str">
        <f t="shared" si="17"/>
        <v>715148</v>
      </c>
      <c r="J136" s="6">
        <f t="shared" si="18"/>
        <v>715</v>
      </c>
      <c r="K136" s="6" t="str">
        <f t="shared" si="19"/>
        <v>Mount Greylock</v>
      </c>
      <c r="L136" s="6">
        <f t="shared" si="20"/>
        <v>148</v>
      </c>
      <c r="M136" s="6" t="str">
        <f t="shared" si="21"/>
        <v xml:space="preserve">Lanesborough                 </v>
      </c>
      <c r="N136" s="9">
        <f t="shared" si="22"/>
        <v>376.80952380435002</v>
      </c>
      <c r="O136" s="526">
        <f t="shared" si="23"/>
        <v>5113312.7742155073</v>
      </c>
      <c r="P136" s="526">
        <f t="shared" si="24"/>
        <v>2752902</v>
      </c>
      <c r="Q136" s="526"/>
      <c r="R136" s="526"/>
    </row>
    <row r="137" spans="1:18">
      <c r="A137" s="6">
        <v>715</v>
      </c>
      <c r="B137" s="6" t="s">
        <v>1069</v>
      </c>
      <c r="C137" s="6">
        <v>341</v>
      </c>
      <c r="D137" s="6" t="s">
        <v>1459</v>
      </c>
      <c r="E137" s="9">
        <v>730.19047619564992</v>
      </c>
      <c r="F137" s="9">
        <v>9908699.3657844961</v>
      </c>
      <c r="G137" s="9">
        <v>7296914</v>
      </c>
      <c r="I137" s="6" t="str">
        <f t="shared" si="17"/>
        <v>715341</v>
      </c>
      <c r="J137" s="6">
        <f t="shared" si="18"/>
        <v>715</v>
      </c>
      <c r="K137" s="6" t="str">
        <f t="shared" si="19"/>
        <v>Mount Greylock</v>
      </c>
      <c r="L137" s="6">
        <f t="shared" si="20"/>
        <v>341</v>
      </c>
      <c r="M137" s="6" t="str">
        <f t="shared" si="21"/>
        <v xml:space="preserve">Williamstown                 </v>
      </c>
      <c r="N137" s="9">
        <f t="shared" si="22"/>
        <v>730.19047619564992</v>
      </c>
      <c r="O137" s="526">
        <f t="shared" si="23"/>
        <v>9908699.3657844961</v>
      </c>
      <c r="P137" s="526">
        <f t="shared" si="24"/>
        <v>7296914</v>
      </c>
      <c r="Q137" s="526"/>
      <c r="R137" s="526"/>
    </row>
    <row r="138" spans="1:18">
      <c r="A138" s="6" t="s">
        <v>2399</v>
      </c>
      <c r="E138" s="9">
        <v>1107</v>
      </c>
      <c r="F138" s="9">
        <v>15022012.140000004</v>
      </c>
      <c r="G138" s="9">
        <v>10049816</v>
      </c>
      <c r="I138" s="6" t="str">
        <f t="shared" si="17"/>
        <v>715999</v>
      </c>
      <c r="J138" s="6">
        <f t="shared" si="18"/>
        <v>715</v>
      </c>
      <c r="K138" s="6">
        <f t="shared" si="19"/>
        <v>0</v>
      </c>
      <c r="L138" s="6">
        <f t="shared" si="20"/>
        <v>0</v>
      </c>
      <c r="M138" s="6">
        <f t="shared" si="21"/>
        <v>0</v>
      </c>
      <c r="N138" s="9">
        <f t="shared" si="22"/>
        <v>1107</v>
      </c>
      <c r="O138" s="526">
        <f t="shared" si="23"/>
        <v>15022012.140000004</v>
      </c>
      <c r="P138" s="526">
        <f t="shared" si="24"/>
        <v>10049816</v>
      </c>
      <c r="Q138" s="526">
        <f>VLOOKUP($J138,aidcalc,25,FALSE)</f>
        <v>4972446</v>
      </c>
      <c r="R138" s="526">
        <f>VLOOKUP($J138,aidcalc,27,FALSE)</f>
        <v>15022262</v>
      </c>
    </row>
    <row r="139" spans="1:18">
      <c r="A139" s="6">
        <v>717</v>
      </c>
      <c r="B139" s="6" t="s">
        <v>1070</v>
      </c>
      <c r="C139" s="6">
        <v>13</v>
      </c>
      <c r="D139" s="6" t="s">
        <v>1132</v>
      </c>
      <c r="E139" s="9">
        <v>141.641791044</v>
      </c>
      <c r="F139" s="9">
        <v>2135540.7125007357</v>
      </c>
      <c r="G139" s="9">
        <v>1562527</v>
      </c>
      <c r="I139" s="6" t="str">
        <f t="shared" si="17"/>
        <v>717013</v>
      </c>
      <c r="J139" s="6">
        <f t="shared" si="18"/>
        <v>717</v>
      </c>
      <c r="K139" s="6" t="str">
        <f t="shared" si="19"/>
        <v>Mohawk Trail</v>
      </c>
      <c r="L139" s="6">
        <f t="shared" si="20"/>
        <v>13</v>
      </c>
      <c r="M139" s="6" t="str">
        <f t="shared" si="21"/>
        <v xml:space="preserve">Ashfield                     </v>
      </c>
      <c r="N139" s="9">
        <f t="shared" si="22"/>
        <v>141.641791044</v>
      </c>
      <c r="O139" s="526">
        <f t="shared" si="23"/>
        <v>2135540.7125007357</v>
      </c>
      <c r="P139" s="526">
        <f t="shared" si="24"/>
        <v>1562527</v>
      </c>
      <c r="Q139" s="526"/>
      <c r="R139" s="526"/>
    </row>
    <row r="140" spans="1:18">
      <c r="A140" s="6">
        <v>717</v>
      </c>
      <c r="B140" s="6" t="s">
        <v>1070</v>
      </c>
      <c r="C140" s="6">
        <v>47</v>
      </c>
      <c r="D140" s="6" t="s">
        <v>1166</v>
      </c>
      <c r="E140" s="9">
        <v>170.74626865919998</v>
      </c>
      <c r="F140" s="9">
        <v>2574350.4479976436</v>
      </c>
      <c r="G140" s="9">
        <v>1366792</v>
      </c>
      <c r="I140" s="6" t="str">
        <f t="shared" si="17"/>
        <v>717047</v>
      </c>
      <c r="J140" s="6">
        <f t="shared" si="18"/>
        <v>717</v>
      </c>
      <c r="K140" s="6" t="str">
        <f t="shared" si="19"/>
        <v>Mohawk Trail</v>
      </c>
      <c r="L140" s="6">
        <f t="shared" si="20"/>
        <v>47</v>
      </c>
      <c r="M140" s="6" t="str">
        <f t="shared" si="21"/>
        <v xml:space="preserve">Buckland                     </v>
      </c>
      <c r="N140" s="9">
        <f t="shared" si="22"/>
        <v>170.74626865919998</v>
      </c>
      <c r="O140" s="526">
        <f t="shared" si="23"/>
        <v>2574350.4479976436</v>
      </c>
      <c r="P140" s="526">
        <f t="shared" si="24"/>
        <v>1366792</v>
      </c>
      <c r="Q140" s="526"/>
      <c r="R140" s="526"/>
    </row>
    <row r="141" spans="1:18">
      <c r="A141" s="6">
        <v>717</v>
      </c>
      <c r="B141" s="6" t="s">
        <v>1070</v>
      </c>
      <c r="C141" s="6">
        <v>53</v>
      </c>
      <c r="D141" s="6" t="s">
        <v>1172</v>
      </c>
      <c r="E141" s="9">
        <v>39.776119406399999</v>
      </c>
      <c r="F141" s="9">
        <v>599706.63849676063</v>
      </c>
      <c r="G141" s="9">
        <v>336740</v>
      </c>
      <c r="I141" s="6" t="str">
        <f t="shared" si="17"/>
        <v>717053</v>
      </c>
      <c r="J141" s="6">
        <f t="shared" si="18"/>
        <v>717</v>
      </c>
      <c r="K141" s="6" t="str">
        <f t="shared" si="19"/>
        <v>Mohawk Trail</v>
      </c>
      <c r="L141" s="6">
        <f t="shared" si="20"/>
        <v>53</v>
      </c>
      <c r="M141" s="6" t="str">
        <f t="shared" si="21"/>
        <v xml:space="preserve">Charlemont                   </v>
      </c>
      <c r="N141" s="9">
        <f t="shared" si="22"/>
        <v>39.776119406399999</v>
      </c>
      <c r="O141" s="526">
        <f t="shared" si="23"/>
        <v>599706.63849676063</v>
      </c>
      <c r="P141" s="526">
        <f t="shared" si="24"/>
        <v>336740</v>
      </c>
      <c r="Q141" s="526"/>
      <c r="R141" s="526"/>
    </row>
    <row r="142" spans="1:18">
      <c r="A142" s="6">
        <v>717</v>
      </c>
      <c r="B142" s="6" t="s">
        <v>1070</v>
      </c>
      <c r="C142" s="6">
        <v>66</v>
      </c>
      <c r="D142" s="6" t="s">
        <v>1185</v>
      </c>
      <c r="E142" s="9">
        <v>136.7910447774</v>
      </c>
      <c r="F142" s="9">
        <v>2062405.756623785</v>
      </c>
      <c r="G142" s="9">
        <v>1193141</v>
      </c>
      <c r="I142" s="6" t="str">
        <f t="shared" si="17"/>
        <v>717066</v>
      </c>
      <c r="J142" s="6">
        <f t="shared" si="18"/>
        <v>717</v>
      </c>
      <c r="K142" s="6" t="str">
        <f t="shared" si="19"/>
        <v>Mohawk Trail</v>
      </c>
      <c r="L142" s="6">
        <f t="shared" si="20"/>
        <v>66</v>
      </c>
      <c r="M142" s="6" t="str">
        <f t="shared" si="21"/>
        <v xml:space="preserve">Colrain                      </v>
      </c>
      <c r="N142" s="9">
        <f t="shared" si="22"/>
        <v>136.7910447774</v>
      </c>
      <c r="O142" s="526">
        <f t="shared" si="23"/>
        <v>2062405.756623785</v>
      </c>
      <c r="P142" s="526">
        <f t="shared" si="24"/>
        <v>1193141</v>
      </c>
      <c r="Q142" s="526"/>
      <c r="R142" s="526"/>
    </row>
    <row r="143" spans="1:18">
      <c r="A143" s="6">
        <v>717</v>
      </c>
      <c r="B143" s="6" t="s">
        <v>1070</v>
      </c>
      <c r="C143" s="6">
        <v>129</v>
      </c>
      <c r="D143" s="6" t="s">
        <v>1247</v>
      </c>
      <c r="E143" s="9">
        <v>9.7014925410000004</v>
      </c>
      <c r="F143" s="9">
        <v>146269.91187150293</v>
      </c>
      <c r="G143" s="9">
        <v>120673</v>
      </c>
      <c r="I143" s="6" t="str">
        <f t="shared" si="17"/>
        <v>717129</v>
      </c>
      <c r="J143" s="6">
        <f t="shared" si="18"/>
        <v>717</v>
      </c>
      <c r="K143" s="6" t="str">
        <f t="shared" si="19"/>
        <v>Mohawk Trail</v>
      </c>
      <c r="L143" s="6">
        <f t="shared" si="20"/>
        <v>129</v>
      </c>
      <c r="M143" s="6" t="str">
        <f t="shared" si="21"/>
        <v xml:space="preserve">Hawley                       </v>
      </c>
      <c r="N143" s="9">
        <f t="shared" si="22"/>
        <v>9.7014925410000004</v>
      </c>
      <c r="O143" s="526">
        <f t="shared" si="23"/>
        <v>146269.91187150293</v>
      </c>
      <c r="P143" s="526">
        <f t="shared" si="24"/>
        <v>120673</v>
      </c>
      <c r="Q143" s="526"/>
      <c r="R143" s="526"/>
    </row>
    <row r="144" spans="1:18">
      <c r="A144" s="6">
        <v>717</v>
      </c>
      <c r="B144" s="6" t="s">
        <v>1070</v>
      </c>
      <c r="C144" s="6">
        <v>130</v>
      </c>
      <c r="D144" s="6" t="s">
        <v>1248</v>
      </c>
      <c r="E144" s="9">
        <v>78.582089554799992</v>
      </c>
      <c r="F144" s="9">
        <v>1184786.2857475702</v>
      </c>
      <c r="G144" s="9">
        <v>425716</v>
      </c>
      <c r="I144" s="6" t="str">
        <f t="shared" si="17"/>
        <v>717130</v>
      </c>
      <c r="J144" s="6">
        <f t="shared" si="18"/>
        <v>717</v>
      </c>
      <c r="K144" s="6" t="str">
        <f t="shared" si="19"/>
        <v>Mohawk Trail</v>
      </c>
      <c r="L144" s="6">
        <f t="shared" si="20"/>
        <v>130</v>
      </c>
      <c r="M144" s="6" t="str">
        <f t="shared" si="21"/>
        <v xml:space="preserve">Heath                        </v>
      </c>
      <c r="N144" s="9">
        <f t="shared" si="22"/>
        <v>78.582089554799992</v>
      </c>
      <c r="O144" s="526">
        <f t="shared" si="23"/>
        <v>1184786.2857475702</v>
      </c>
      <c r="P144" s="526">
        <f t="shared" si="24"/>
        <v>425716</v>
      </c>
      <c r="Q144" s="526"/>
      <c r="R144" s="526"/>
    </row>
    <row r="145" spans="1:18">
      <c r="A145" s="6">
        <v>717</v>
      </c>
      <c r="B145" s="6" t="s">
        <v>1070</v>
      </c>
      <c r="C145" s="6">
        <v>237</v>
      </c>
      <c r="D145" s="6" t="s">
        <v>1355</v>
      </c>
      <c r="E145" s="9">
        <v>59.179104480599996</v>
      </c>
      <c r="F145" s="9">
        <v>892246.46212216537</v>
      </c>
      <c r="G145" s="9">
        <v>614696</v>
      </c>
      <c r="I145" s="6" t="str">
        <f t="shared" si="17"/>
        <v>717237</v>
      </c>
      <c r="J145" s="6">
        <f t="shared" si="18"/>
        <v>717</v>
      </c>
      <c r="K145" s="6" t="str">
        <f t="shared" si="19"/>
        <v>Mohawk Trail</v>
      </c>
      <c r="L145" s="6">
        <f t="shared" si="20"/>
        <v>237</v>
      </c>
      <c r="M145" s="6" t="str">
        <f t="shared" si="21"/>
        <v xml:space="preserve">Plainfield                   </v>
      </c>
      <c r="N145" s="9">
        <f t="shared" si="22"/>
        <v>59.179104480599996</v>
      </c>
      <c r="O145" s="526">
        <f t="shared" si="23"/>
        <v>892246.46212216537</v>
      </c>
      <c r="P145" s="526">
        <f t="shared" si="24"/>
        <v>614696</v>
      </c>
      <c r="Q145" s="526"/>
      <c r="R145" s="526"/>
    </row>
    <row r="146" spans="1:18">
      <c r="A146" s="6">
        <v>717</v>
      </c>
      <c r="B146" s="6" t="s">
        <v>1070</v>
      </c>
      <c r="C146" s="6">
        <v>268</v>
      </c>
      <c r="D146" s="6" t="s">
        <v>1386</v>
      </c>
      <c r="E146" s="9">
        <v>143.58208955220002</v>
      </c>
      <c r="F146" s="9">
        <v>2164794.6948750364</v>
      </c>
      <c r="G146" s="9">
        <v>1644483</v>
      </c>
      <c r="I146" s="6" t="str">
        <f t="shared" si="17"/>
        <v>717268</v>
      </c>
      <c r="J146" s="6">
        <f t="shared" si="18"/>
        <v>717</v>
      </c>
      <c r="K146" s="6" t="str">
        <f t="shared" si="19"/>
        <v>Mohawk Trail</v>
      </c>
      <c r="L146" s="6">
        <f t="shared" si="20"/>
        <v>268</v>
      </c>
      <c r="M146" s="6" t="str">
        <f t="shared" si="21"/>
        <v xml:space="preserve">Shelburne                    </v>
      </c>
      <c r="N146" s="9">
        <f t="shared" si="22"/>
        <v>143.58208955220002</v>
      </c>
      <c r="O146" s="526">
        <f t="shared" si="23"/>
        <v>2164794.6948750364</v>
      </c>
      <c r="P146" s="526">
        <f t="shared" si="24"/>
        <v>1644483</v>
      </c>
      <c r="Q146" s="526"/>
      <c r="R146" s="526"/>
    </row>
    <row r="147" spans="1:18">
      <c r="A147" s="6" t="s">
        <v>2400</v>
      </c>
      <c r="E147" s="9">
        <v>780.00000001559999</v>
      </c>
      <c r="F147" s="9">
        <v>11760100.9102352</v>
      </c>
      <c r="G147" s="9">
        <v>7264768</v>
      </c>
      <c r="I147" s="6" t="str">
        <f t="shared" si="17"/>
        <v>717999</v>
      </c>
      <c r="J147" s="6">
        <f t="shared" si="18"/>
        <v>717</v>
      </c>
      <c r="K147" s="6">
        <f t="shared" si="19"/>
        <v>0</v>
      </c>
      <c r="L147" s="6">
        <f t="shared" si="20"/>
        <v>0</v>
      </c>
      <c r="M147" s="6">
        <f t="shared" si="21"/>
        <v>0</v>
      </c>
      <c r="N147" s="9">
        <f t="shared" si="22"/>
        <v>780.00000001559999</v>
      </c>
      <c r="O147" s="526">
        <f t="shared" si="23"/>
        <v>11760100.9102352</v>
      </c>
      <c r="P147" s="526">
        <f t="shared" si="24"/>
        <v>7264768</v>
      </c>
      <c r="Q147" s="526">
        <f>VLOOKUP($J147,aidcalc,25,FALSE)</f>
        <v>6259634.0000008959</v>
      </c>
      <c r="R147" s="526">
        <f>VLOOKUP($J147,aidcalc,27,FALSE)</f>
        <v>13524402.000000896</v>
      </c>
    </row>
    <row r="148" spans="1:18">
      <c r="A148" s="6">
        <v>720</v>
      </c>
      <c r="B148" s="6" t="s">
        <v>1071</v>
      </c>
      <c r="C148" s="6">
        <v>235</v>
      </c>
      <c r="D148" s="6" t="s">
        <v>1353</v>
      </c>
      <c r="E148" s="9">
        <v>207.90575916110001</v>
      </c>
      <c r="F148" s="9">
        <v>2978965.4490328659</v>
      </c>
      <c r="G148" s="9">
        <v>1500576</v>
      </c>
      <c r="I148" s="6" t="str">
        <f t="shared" si="17"/>
        <v>720235</v>
      </c>
      <c r="J148" s="6">
        <f t="shared" si="18"/>
        <v>720</v>
      </c>
      <c r="K148" s="6" t="str">
        <f t="shared" si="19"/>
        <v>Narragansett</v>
      </c>
      <c r="L148" s="6">
        <f t="shared" si="20"/>
        <v>235</v>
      </c>
      <c r="M148" s="6" t="str">
        <f t="shared" si="21"/>
        <v xml:space="preserve">Phillipston                  </v>
      </c>
      <c r="N148" s="9">
        <f t="shared" si="22"/>
        <v>207.90575916110001</v>
      </c>
      <c r="O148" s="526">
        <f t="shared" si="23"/>
        <v>2978965.4490328659</v>
      </c>
      <c r="P148" s="526">
        <f t="shared" si="24"/>
        <v>1500576</v>
      </c>
      <c r="Q148" s="526"/>
      <c r="R148" s="526"/>
    </row>
    <row r="149" spans="1:18">
      <c r="A149" s="6">
        <v>720</v>
      </c>
      <c r="B149" s="6" t="s">
        <v>1071</v>
      </c>
      <c r="C149" s="6">
        <v>294</v>
      </c>
      <c r="D149" s="6" t="s">
        <v>1412</v>
      </c>
      <c r="E149" s="9">
        <v>1122.0942408388999</v>
      </c>
      <c r="F149" s="9">
        <v>16077861.370967135</v>
      </c>
      <c r="G149" s="9">
        <v>5514324</v>
      </c>
      <c r="I149" s="6" t="str">
        <f t="shared" si="17"/>
        <v>720294</v>
      </c>
      <c r="J149" s="6">
        <f t="shared" si="18"/>
        <v>720</v>
      </c>
      <c r="K149" s="6" t="str">
        <f t="shared" si="19"/>
        <v>Narragansett</v>
      </c>
      <c r="L149" s="6">
        <f t="shared" si="20"/>
        <v>294</v>
      </c>
      <c r="M149" s="6" t="str">
        <f t="shared" si="21"/>
        <v xml:space="preserve">Templeton                    </v>
      </c>
      <c r="N149" s="9">
        <f t="shared" si="22"/>
        <v>1122.0942408388999</v>
      </c>
      <c r="O149" s="526">
        <f t="shared" si="23"/>
        <v>16077861.370967135</v>
      </c>
      <c r="P149" s="526">
        <f t="shared" si="24"/>
        <v>5514324</v>
      </c>
      <c r="Q149" s="526"/>
      <c r="R149" s="526"/>
    </row>
    <row r="150" spans="1:18">
      <c r="A150" s="6" t="s">
        <v>2401</v>
      </c>
      <c r="E150" s="9">
        <v>1329.9999999999998</v>
      </c>
      <c r="F150" s="9">
        <v>19056826.82</v>
      </c>
      <c r="G150" s="9">
        <v>7014900</v>
      </c>
      <c r="I150" s="6" t="str">
        <f t="shared" si="17"/>
        <v>720999</v>
      </c>
      <c r="J150" s="6">
        <f t="shared" si="18"/>
        <v>720</v>
      </c>
      <c r="K150" s="6">
        <f t="shared" si="19"/>
        <v>0</v>
      </c>
      <c r="L150" s="6">
        <f t="shared" si="20"/>
        <v>0</v>
      </c>
      <c r="M150" s="6">
        <f t="shared" si="21"/>
        <v>0</v>
      </c>
      <c r="N150" s="9">
        <f t="shared" si="22"/>
        <v>1329.9999999999998</v>
      </c>
      <c r="O150" s="526">
        <f t="shared" si="23"/>
        <v>19056826.82</v>
      </c>
      <c r="P150" s="526">
        <f t="shared" si="24"/>
        <v>7014900</v>
      </c>
      <c r="Q150" s="526">
        <f>VLOOKUP($J150,aidcalc,25,FALSE)</f>
        <v>12479169</v>
      </c>
      <c r="R150" s="526">
        <f>VLOOKUP($J150,aidcalc,27,FALSE)</f>
        <v>19494069</v>
      </c>
    </row>
    <row r="151" spans="1:18">
      <c r="A151" s="6">
        <v>725</v>
      </c>
      <c r="B151" s="6" t="s">
        <v>1072</v>
      </c>
      <c r="C151" s="6">
        <v>34</v>
      </c>
      <c r="D151" s="6" t="s">
        <v>1153</v>
      </c>
      <c r="E151" s="9">
        <v>1006.2881844373801</v>
      </c>
      <c r="F151" s="9">
        <v>12919235.342545351</v>
      </c>
      <c r="G151" s="9">
        <v>10432433</v>
      </c>
      <c r="I151" s="6" t="str">
        <f t="shared" si="17"/>
        <v>725034</v>
      </c>
      <c r="J151" s="6">
        <f t="shared" si="18"/>
        <v>725</v>
      </c>
      <c r="K151" s="6" t="str">
        <f t="shared" si="19"/>
        <v>Nashoba</v>
      </c>
      <c r="L151" s="6">
        <f t="shared" si="20"/>
        <v>34</v>
      </c>
      <c r="M151" s="6" t="str">
        <f t="shared" si="21"/>
        <v xml:space="preserve">Bolton                       </v>
      </c>
      <c r="N151" s="9">
        <f t="shared" si="22"/>
        <v>1006.2881844373801</v>
      </c>
      <c r="O151" s="526">
        <f t="shared" si="23"/>
        <v>12919235.342545351</v>
      </c>
      <c r="P151" s="526">
        <f t="shared" si="24"/>
        <v>10432433</v>
      </c>
      <c r="Q151" s="526"/>
      <c r="R151" s="526"/>
    </row>
    <row r="152" spans="1:18">
      <c r="A152" s="6">
        <v>725</v>
      </c>
      <c r="B152" s="6" t="s">
        <v>1072</v>
      </c>
      <c r="C152" s="6">
        <v>147</v>
      </c>
      <c r="D152" s="6" t="s">
        <v>1265</v>
      </c>
      <c r="E152" s="9">
        <v>1017.1296829880999</v>
      </c>
      <c r="F152" s="9">
        <v>13058423.970026778</v>
      </c>
      <c r="G152" s="9">
        <v>8558850</v>
      </c>
      <c r="I152" s="6" t="str">
        <f t="shared" si="17"/>
        <v>725147</v>
      </c>
      <c r="J152" s="6">
        <f t="shared" si="18"/>
        <v>725</v>
      </c>
      <c r="K152" s="6" t="str">
        <f t="shared" si="19"/>
        <v>Nashoba</v>
      </c>
      <c r="L152" s="6">
        <f t="shared" si="20"/>
        <v>147</v>
      </c>
      <c r="M152" s="6" t="str">
        <f t="shared" si="21"/>
        <v xml:space="preserve">Lancaster                    </v>
      </c>
      <c r="N152" s="9">
        <f t="shared" si="22"/>
        <v>1017.1296829880999</v>
      </c>
      <c r="O152" s="526">
        <f t="shared" si="23"/>
        <v>13058423.970026778</v>
      </c>
      <c r="P152" s="526">
        <f t="shared" si="24"/>
        <v>8558850</v>
      </c>
      <c r="Q152" s="526"/>
      <c r="R152" s="526"/>
    </row>
    <row r="153" spans="1:18">
      <c r="A153" s="6">
        <v>725</v>
      </c>
      <c r="B153" s="6" t="s">
        <v>1072</v>
      </c>
      <c r="C153" s="6">
        <v>286</v>
      </c>
      <c r="D153" s="6" t="s">
        <v>1404</v>
      </c>
      <c r="E153" s="9">
        <v>1054.5821325745201</v>
      </c>
      <c r="F153" s="9">
        <v>13539257.411027879</v>
      </c>
      <c r="G153" s="9">
        <v>11127584</v>
      </c>
      <c r="I153" s="6" t="str">
        <f t="shared" si="17"/>
        <v>725286</v>
      </c>
      <c r="J153" s="6">
        <f t="shared" si="18"/>
        <v>725</v>
      </c>
      <c r="K153" s="6" t="str">
        <f t="shared" si="19"/>
        <v>Nashoba</v>
      </c>
      <c r="L153" s="6">
        <f t="shared" si="20"/>
        <v>286</v>
      </c>
      <c r="M153" s="6" t="str">
        <f t="shared" si="21"/>
        <v xml:space="preserve">Stow                         </v>
      </c>
      <c r="N153" s="9">
        <f t="shared" si="22"/>
        <v>1054.5821325745201</v>
      </c>
      <c r="O153" s="526">
        <f t="shared" si="23"/>
        <v>13539257.411027879</v>
      </c>
      <c r="P153" s="526">
        <f t="shared" si="24"/>
        <v>11127584</v>
      </c>
      <c r="Q153" s="526"/>
      <c r="R153" s="526"/>
    </row>
    <row r="154" spans="1:18">
      <c r="A154" s="6" t="s">
        <v>2402</v>
      </c>
      <c r="E154" s="9">
        <v>3078</v>
      </c>
      <c r="F154" s="9">
        <v>39516916.723600008</v>
      </c>
      <c r="G154" s="9">
        <v>30118867</v>
      </c>
      <c r="I154" s="6" t="str">
        <f t="shared" si="17"/>
        <v>725999</v>
      </c>
      <c r="J154" s="6">
        <f t="shared" si="18"/>
        <v>725</v>
      </c>
      <c r="K154" s="6">
        <f t="shared" si="19"/>
        <v>0</v>
      </c>
      <c r="L154" s="6">
        <f t="shared" si="20"/>
        <v>0</v>
      </c>
      <c r="M154" s="6">
        <f t="shared" si="21"/>
        <v>0</v>
      </c>
      <c r="N154" s="9">
        <f t="shared" si="22"/>
        <v>3078</v>
      </c>
      <c r="O154" s="526">
        <f t="shared" si="23"/>
        <v>39516916.723600008</v>
      </c>
      <c r="P154" s="526">
        <f t="shared" si="24"/>
        <v>30118867</v>
      </c>
      <c r="Q154" s="526">
        <f>VLOOKUP($J154,aidcalc,25,FALSE)</f>
        <v>10097148</v>
      </c>
      <c r="R154" s="526">
        <f>VLOOKUP($J154,aidcalc,27,FALSE)</f>
        <v>40216015</v>
      </c>
    </row>
    <row r="155" spans="1:18">
      <c r="A155" s="6">
        <v>728</v>
      </c>
      <c r="B155" s="6" t="s">
        <v>1073</v>
      </c>
      <c r="C155" s="6">
        <v>206</v>
      </c>
      <c r="D155" s="6" t="s">
        <v>1324</v>
      </c>
      <c r="E155" s="9">
        <v>46.280991735999997</v>
      </c>
      <c r="F155" s="9">
        <v>663731.27273391013</v>
      </c>
      <c r="G155" s="9">
        <v>425038</v>
      </c>
      <c r="I155" s="6" t="str">
        <f t="shared" si="17"/>
        <v>728206</v>
      </c>
      <c r="J155" s="6">
        <f t="shared" si="18"/>
        <v>728</v>
      </c>
      <c r="K155" s="6" t="str">
        <f t="shared" si="19"/>
        <v>New Salem Wendell</v>
      </c>
      <c r="L155" s="6">
        <f t="shared" si="20"/>
        <v>206</v>
      </c>
      <c r="M155" s="6" t="str">
        <f t="shared" si="21"/>
        <v xml:space="preserve">New Salem                    </v>
      </c>
      <c r="N155" s="9">
        <f t="shared" si="22"/>
        <v>46.280991735999997</v>
      </c>
      <c r="O155" s="526">
        <f t="shared" si="23"/>
        <v>663731.27273391013</v>
      </c>
      <c r="P155" s="526">
        <f t="shared" si="24"/>
        <v>425038</v>
      </c>
      <c r="Q155" s="526"/>
      <c r="R155" s="526"/>
    </row>
    <row r="156" spans="1:18">
      <c r="A156" s="6">
        <v>728</v>
      </c>
      <c r="B156" s="6" t="s">
        <v>1073</v>
      </c>
      <c r="C156" s="6">
        <v>319</v>
      </c>
      <c r="D156" s="6" t="s">
        <v>1437</v>
      </c>
      <c r="E156" s="9">
        <v>65.719008263999996</v>
      </c>
      <c r="F156" s="9">
        <v>942498.40726609004</v>
      </c>
      <c r="G156" s="9">
        <v>354209</v>
      </c>
      <c r="I156" s="6" t="str">
        <f t="shared" si="17"/>
        <v>728319</v>
      </c>
      <c r="J156" s="6">
        <f t="shared" si="18"/>
        <v>728</v>
      </c>
      <c r="K156" s="6" t="str">
        <f t="shared" si="19"/>
        <v>New Salem Wendell</v>
      </c>
      <c r="L156" s="6">
        <f t="shared" si="20"/>
        <v>319</v>
      </c>
      <c r="M156" s="6" t="str">
        <f t="shared" si="21"/>
        <v xml:space="preserve">Wendell                      </v>
      </c>
      <c r="N156" s="9">
        <f t="shared" si="22"/>
        <v>65.719008263999996</v>
      </c>
      <c r="O156" s="526">
        <f t="shared" si="23"/>
        <v>942498.40726609004</v>
      </c>
      <c r="P156" s="526">
        <f t="shared" si="24"/>
        <v>354209</v>
      </c>
      <c r="Q156" s="526"/>
      <c r="R156" s="526"/>
    </row>
    <row r="157" spans="1:18">
      <c r="A157" s="6" t="s">
        <v>2403</v>
      </c>
      <c r="E157" s="9">
        <v>112</v>
      </c>
      <c r="F157" s="9">
        <v>1606229.6800000002</v>
      </c>
      <c r="G157" s="9">
        <v>779247</v>
      </c>
      <c r="I157" s="6" t="str">
        <f t="shared" si="17"/>
        <v>728999</v>
      </c>
      <c r="J157" s="6">
        <f t="shared" si="18"/>
        <v>728</v>
      </c>
      <c r="K157" s="6">
        <f t="shared" si="19"/>
        <v>0</v>
      </c>
      <c r="L157" s="6">
        <f t="shared" si="20"/>
        <v>0</v>
      </c>
      <c r="M157" s="6">
        <f t="shared" si="21"/>
        <v>0</v>
      </c>
      <c r="N157" s="9">
        <f t="shared" si="22"/>
        <v>112</v>
      </c>
      <c r="O157" s="526">
        <f t="shared" si="23"/>
        <v>1606229.6800000002</v>
      </c>
      <c r="P157" s="526">
        <f t="shared" si="24"/>
        <v>779247</v>
      </c>
      <c r="Q157" s="526">
        <f>VLOOKUP($J157,aidcalc,25,FALSE)</f>
        <v>924140</v>
      </c>
      <c r="R157" s="526">
        <f>VLOOKUP($J157,aidcalc,27,FALSE)</f>
        <v>1703387</v>
      </c>
    </row>
    <row r="158" spans="1:18">
      <c r="A158" s="6">
        <v>730</v>
      </c>
      <c r="B158" s="6" t="s">
        <v>1074</v>
      </c>
      <c r="C158" s="6">
        <v>213</v>
      </c>
      <c r="D158" s="6" t="s">
        <v>1331</v>
      </c>
      <c r="E158" s="9">
        <v>753.84918032425992</v>
      </c>
      <c r="F158" s="9">
        <v>10347349.91850784</v>
      </c>
      <c r="G158" s="9">
        <v>8278220</v>
      </c>
      <c r="I158" s="6" t="str">
        <f t="shared" si="17"/>
        <v>730213</v>
      </c>
      <c r="J158" s="6">
        <f t="shared" si="18"/>
        <v>730</v>
      </c>
      <c r="K158" s="6" t="str">
        <f t="shared" si="19"/>
        <v>Northboro Southboro</v>
      </c>
      <c r="L158" s="6">
        <f t="shared" si="20"/>
        <v>213</v>
      </c>
      <c r="M158" s="6" t="str">
        <f t="shared" si="21"/>
        <v xml:space="preserve">Northborough                 </v>
      </c>
      <c r="N158" s="9">
        <f t="shared" si="22"/>
        <v>753.84918032425992</v>
      </c>
      <c r="O158" s="526">
        <f t="shared" si="23"/>
        <v>10347349.91850784</v>
      </c>
      <c r="P158" s="526">
        <f t="shared" si="24"/>
        <v>8278220</v>
      </c>
      <c r="Q158" s="526"/>
      <c r="R158" s="526"/>
    </row>
    <row r="159" spans="1:18">
      <c r="A159" s="6">
        <v>730</v>
      </c>
      <c r="B159" s="6" t="s">
        <v>1074</v>
      </c>
      <c r="C159" s="6">
        <v>276</v>
      </c>
      <c r="D159" s="6" t="s">
        <v>1394</v>
      </c>
      <c r="E159" s="9">
        <v>469.15081967573997</v>
      </c>
      <c r="F159" s="9">
        <v>6439574.151492158</v>
      </c>
      <c r="G159" s="9">
        <v>5212217</v>
      </c>
      <c r="I159" s="6" t="str">
        <f t="shared" si="17"/>
        <v>730276</v>
      </c>
      <c r="J159" s="6">
        <f t="shared" si="18"/>
        <v>730</v>
      </c>
      <c r="K159" s="6" t="str">
        <f t="shared" si="19"/>
        <v>Northboro Southboro</v>
      </c>
      <c r="L159" s="6">
        <f t="shared" si="20"/>
        <v>276</v>
      </c>
      <c r="M159" s="6" t="str">
        <f t="shared" si="21"/>
        <v xml:space="preserve">Southborough                 </v>
      </c>
      <c r="N159" s="9">
        <f t="shared" si="22"/>
        <v>469.15081967573997</v>
      </c>
      <c r="O159" s="526">
        <f t="shared" si="23"/>
        <v>6439574.151492158</v>
      </c>
      <c r="P159" s="526">
        <f t="shared" si="24"/>
        <v>5212217</v>
      </c>
      <c r="Q159" s="526"/>
      <c r="R159" s="526"/>
    </row>
    <row r="160" spans="1:18">
      <c r="A160" s="6" t="s">
        <v>2404</v>
      </c>
      <c r="E160" s="9">
        <v>1223</v>
      </c>
      <c r="F160" s="9">
        <v>16786924.07</v>
      </c>
      <c r="G160" s="9">
        <v>13490437</v>
      </c>
      <c r="I160" s="6" t="str">
        <f t="shared" si="17"/>
        <v>730999</v>
      </c>
      <c r="J160" s="6">
        <f t="shared" si="18"/>
        <v>730</v>
      </c>
      <c r="K160" s="6">
        <f t="shared" si="19"/>
        <v>0</v>
      </c>
      <c r="L160" s="6">
        <f t="shared" si="20"/>
        <v>0</v>
      </c>
      <c r="M160" s="6">
        <f t="shared" si="21"/>
        <v>0</v>
      </c>
      <c r="N160" s="9">
        <f t="shared" si="22"/>
        <v>1223</v>
      </c>
      <c r="O160" s="526">
        <f t="shared" si="23"/>
        <v>16786924.07</v>
      </c>
      <c r="P160" s="526">
        <f t="shared" si="24"/>
        <v>13490437</v>
      </c>
      <c r="Q160" s="526">
        <f>VLOOKUP($J160,aidcalc,25,FALSE)</f>
        <v>3489416</v>
      </c>
      <c r="R160" s="526">
        <f>VLOOKUP($J160,aidcalc,27,FALSE)</f>
        <v>16979853</v>
      </c>
    </row>
    <row r="161" spans="1:18">
      <c r="A161" s="6">
        <v>735</v>
      </c>
      <c r="B161" s="6" t="s">
        <v>1075</v>
      </c>
      <c r="C161" s="6">
        <v>12</v>
      </c>
      <c r="D161" s="6" t="s">
        <v>1131</v>
      </c>
      <c r="E161" s="9">
        <v>405.97392688316995</v>
      </c>
      <c r="F161" s="9">
        <v>5451782.323509953</v>
      </c>
      <c r="G161" s="9">
        <v>2832572</v>
      </c>
      <c r="I161" s="6" t="str">
        <f t="shared" si="17"/>
        <v>735012</v>
      </c>
      <c r="J161" s="6">
        <f t="shared" si="18"/>
        <v>735</v>
      </c>
      <c r="K161" s="6" t="str">
        <f t="shared" si="19"/>
        <v>North Middlesex</v>
      </c>
      <c r="L161" s="6">
        <f t="shared" si="20"/>
        <v>12</v>
      </c>
      <c r="M161" s="6" t="str">
        <f t="shared" si="21"/>
        <v xml:space="preserve">Ashby                        </v>
      </c>
      <c r="N161" s="9">
        <f t="shared" si="22"/>
        <v>405.97392688316995</v>
      </c>
      <c r="O161" s="526">
        <f t="shared" si="23"/>
        <v>5451782.323509953</v>
      </c>
      <c r="P161" s="526">
        <f t="shared" si="24"/>
        <v>2832572</v>
      </c>
      <c r="Q161" s="526"/>
      <c r="R161" s="526"/>
    </row>
    <row r="162" spans="1:18">
      <c r="A162" s="6">
        <v>735</v>
      </c>
      <c r="B162" s="6" t="s">
        <v>1075</v>
      </c>
      <c r="C162" s="6">
        <v>232</v>
      </c>
      <c r="D162" s="6" t="s">
        <v>1350</v>
      </c>
      <c r="E162" s="9">
        <v>1493.82639108885</v>
      </c>
      <c r="F162" s="9">
        <v>20060441.752641227</v>
      </c>
      <c r="G162" s="9">
        <v>11653324</v>
      </c>
      <c r="I162" s="6" t="str">
        <f t="shared" si="17"/>
        <v>735232</v>
      </c>
      <c r="J162" s="6">
        <f t="shared" si="18"/>
        <v>735</v>
      </c>
      <c r="K162" s="6" t="str">
        <f t="shared" si="19"/>
        <v>North Middlesex</v>
      </c>
      <c r="L162" s="6">
        <f t="shared" si="20"/>
        <v>232</v>
      </c>
      <c r="M162" s="6" t="str">
        <f t="shared" si="21"/>
        <v xml:space="preserve">Pepperell                    </v>
      </c>
      <c r="N162" s="9">
        <f t="shared" si="22"/>
        <v>1493.82639108885</v>
      </c>
      <c r="O162" s="526">
        <f t="shared" si="23"/>
        <v>20060441.752641227</v>
      </c>
      <c r="P162" s="526">
        <f t="shared" si="24"/>
        <v>11653324</v>
      </c>
      <c r="Q162" s="526"/>
      <c r="R162" s="526"/>
    </row>
    <row r="163" spans="1:18">
      <c r="A163" s="6">
        <v>735</v>
      </c>
      <c r="B163" s="6" t="s">
        <v>1075</v>
      </c>
      <c r="C163" s="6">
        <v>299</v>
      </c>
      <c r="D163" s="6" t="s">
        <v>1417</v>
      </c>
      <c r="E163" s="9">
        <v>1199.1996820279801</v>
      </c>
      <c r="F163" s="9">
        <v>16103929.823848812</v>
      </c>
      <c r="G163" s="9">
        <v>7879597</v>
      </c>
      <c r="I163" s="6" t="str">
        <f t="shared" si="17"/>
        <v>735299</v>
      </c>
      <c r="J163" s="6">
        <f t="shared" si="18"/>
        <v>735</v>
      </c>
      <c r="K163" s="6" t="str">
        <f t="shared" si="19"/>
        <v>North Middlesex</v>
      </c>
      <c r="L163" s="6">
        <f t="shared" si="20"/>
        <v>299</v>
      </c>
      <c r="M163" s="6" t="str">
        <f t="shared" si="21"/>
        <v xml:space="preserve">Townsend                     </v>
      </c>
      <c r="N163" s="9">
        <f t="shared" si="22"/>
        <v>1199.1996820279801</v>
      </c>
      <c r="O163" s="526">
        <f t="shared" si="23"/>
        <v>16103929.823848812</v>
      </c>
      <c r="P163" s="526">
        <f t="shared" si="24"/>
        <v>7879597</v>
      </c>
      <c r="Q163" s="526"/>
      <c r="R163" s="526"/>
    </row>
    <row r="164" spans="1:18">
      <c r="A164" s="6" t="s">
        <v>2405</v>
      </c>
      <c r="E164" s="9">
        <v>3099</v>
      </c>
      <c r="F164" s="9">
        <v>41616153.899999991</v>
      </c>
      <c r="G164" s="9">
        <v>22365493</v>
      </c>
      <c r="I164" s="6" t="str">
        <f t="shared" si="17"/>
        <v>735999</v>
      </c>
      <c r="J164" s="6">
        <f t="shared" si="18"/>
        <v>735</v>
      </c>
      <c r="K164" s="6">
        <f t="shared" si="19"/>
        <v>0</v>
      </c>
      <c r="L164" s="6">
        <f t="shared" si="20"/>
        <v>0</v>
      </c>
      <c r="M164" s="6">
        <f t="shared" si="21"/>
        <v>0</v>
      </c>
      <c r="N164" s="9">
        <f t="shared" si="22"/>
        <v>3099</v>
      </c>
      <c r="O164" s="526">
        <f t="shared" si="23"/>
        <v>41616153.899999991</v>
      </c>
      <c r="P164" s="526">
        <f t="shared" si="24"/>
        <v>22365493</v>
      </c>
      <c r="Q164" s="526">
        <f>VLOOKUP($J164,aidcalc,25,FALSE)</f>
        <v>21174929.000000898</v>
      </c>
      <c r="R164" s="526">
        <f>VLOOKUP($J164,aidcalc,27,FALSE)</f>
        <v>43540422.000000894</v>
      </c>
    </row>
    <row r="165" spans="1:18">
      <c r="A165" s="6">
        <v>740</v>
      </c>
      <c r="B165" s="6" t="s">
        <v>1076</v>
      </c>
      <c r="C165" s="6">
        <v>169</v>
      </c>
      <c r="D165" s="6" t="s">
        <v>1287</v>
      </c>
      <c r="E165" s="9">
        <v>306.00000000089</v>
      </c>
      <c r="F165" s="9">
        <v>4290713.8270303933</v>
      </c>
      <c r="G165" s="9">
        <v>3321708</v>
      </c>
      <c r="I165" s="6" t="str">
        <f t="shared" si="17"/>
        <v>740169</v>
      </c>
      <c r="J165" s="6">
        <f t="shared" si="18"/>
        <v>740</v>
      </c>
      <c r="K165" s="6" t="str">
        <f t="shared" si="19"/>
        <v>Old Rochester</v>
      </c>
      <c r="L165" s="6">
        <f t="shared" si="20"/>
        <v>169</v>
      </c>
      <c r="M165" s="6" t="str">
        <f t="shared" si="21"/>
        <v xml:space="preserve">Marion                       </v>
      </c>
      <c r="N165" s="9">
        <f t="shared" si="22"/>
        <v>306.00000000089</v>
      </c>
      <c r="O165" s="526">
        <f t="shared" si="23"/>
        <v>4290713.8270303933</v>
      </c>
      <c r="P165" s="526">
        <f t="shared" si="24"/>
        <v>3321708</v>
      </c>
      <c r="Q165" s="526"/>
      <c r="R165" s="526"/>
    </row>
    <row r="166" spans="1:18">
      <c r="A166" s="6">
        <v>740</v>
      </c>
      <c r="B166" s="6" t="s">
        <v>1076</v>
      </c>
      <c r="C166" s="6">
        <v>173</v>
      </c>
      <c r="D166" s="6" t="s">
        <v>1291</v>
      </c>
      <c r="E166" s="9">
        <v>330.99999999689999</v>
      </c>
      <c r="F166" s="9">
        <v>4641262.3422536869</v>
      </c>
      <c r="G166" s="9">
        <v>3829041</v>
      </c>
      <c r="I166" s="6" t="str">
        <f t="shared" si="17"/>
        <v>740173</v>
      </c>
      <c r="J166" s="6">
        <f t="shared" si="18"/>
        <v>740</v>
      </c>
      <c r="K166" s="6" t="str">
        <f t="shared" si="19"/>
        <v>Old Rochester</v>
      </c>
      <c r="L166" s="6">
        <f t="shared" si="20"/>
        <v>173</v>
      </c>
      <c r="M166" s="6" t="str">
        <f t="shared" si="21"/>
        <v xml:space="preserve">Mattapoisett                 </v>
      </c>
      <c r="N166" s="9">
        <f t="shared" si="22"/>
        <v>330.99999999689999</v>
      </c>
      <c r="O166" s="526">
        <f t="shared" si="23"/>
        <v>4641262.3422536869</v>
      </c>
      <c r="P166" s="526">
        <f t="shared" si="24"/>
        <v>3829041</v>
      </c>
      <c r="Q166" s="526"/>
      <c r="R166" s="526"/>
    </row>
    <row r="167" spans="1:18">
      <c r="A167" s="6">
        <v>740</v>
      </c>
      <c r="B167" s="6" t="s">
        <v>1076</v>
      </c>
      <c r="C167" s="6">
        <v>250</v>
      </c>
      <c r="D167" s="6" t="s">
        <v>1368</v>
      </c>
      <c r="E167" s="9">
        <v>312.00000000221002</v>
      </c>
      <c r="F167" s="9">
        <v>4374845.4707159204</v>
      </c>
      <c r="G167" s="9">
        <v>2893111</v>
      </c>
      <c r="I167" s="6" t="str">
        <f t="shared" si="17"/>
        <v>740250</v>
      </c>
      <c r="J167" s="6">
        <f t="shared" si="18"/>
        <v>740</v>
      </c>
      <c r="K167" s="6" t="str">
        <f t="shared" si="19"/>
        <v>Old Rochester</v>
      </c>
      <c r="L167" s="6">
        <f t="shared" si="20"/>
        <v>250</v>
      </c>
      <c r="M167" s="6" t="str">
        <f t="shared" si="21"/>
        <v xml:space="preserve">Rochester                    </v>
      </c>
      <c r="N167" s="9">
        <f t="shared" si="22"/>
        <v>312.00000000221002</v>
      </c>
      <c r="O167" s="526">
        <f t="shared" si="23"/>
        <v>4374845.4707159204</v>
      </c>
      <c r="P167" s="526">
        <f t="shared" si="24"/>
        <v>2893111</v>
      </c>
      <c r="Q167" s="526"/>
      <c r="R167" s="526"/>
    </row>
    <row r="168" spans="1:18">
      <c r="A168" s="6" t="s">
        <v>2406</v>
      </c>
      <c r="E168" s="9">
        <v>949</v>
      </c>
      <c r="F168" s="9">
        <v>13306821.640000001</v>
      </c>
      <c r="G168" s="9">
        <v>10043860</v>
      </c>
      <c r="I168" s="6" t="str">
        <f t="shared" si="17"/>
        <v>740999</v>
      </c>
      <c r="J168" s="6">
        <f t="shared" si="18"/>
        <v>740</v>
      </c>
      <c r="K168" s="6">
        <f t="shared" si="19"/>
        <v>0</v>
      </c>
      <c r="L168" s="6">
        <f t="shared" si="20"/>
        <v>0</v>
      </c>
      <c r="M168" s="6">
        <f t="shared" si="21"/>
        <v>0</v>
      </c>
      <c r="N168" s="9">
        <f t="shared" si="22"/>
        <v>949</v>
      </c>
      <c r="O168" s="526">
        <f t="shared" si="23"/>
        <v>13306821.640000001</v>
      </c>
      <c r="P168" s="526">
        <f t="shared" si="24"/>
        <v>10043860</v>
      </c>
      <c r="Q168" s="526">
        <f>VLOOKUP($J168,aidcalc,25,FALSE)</f>
        <v>3567021</v>
      </c>
      <c r="R168" s="526">
        <f>VLOOKUP($J168,aidcalc,27,FALSE)</f>
        <v>13610881</v>
      </c>
    </row>
    <row r="169" spans="1:18">
      <c r="A169" s="6">
        <v>745</v>
      </c>
      <c r="B169" s="6" t="s">
        <v>1077</v>
      </c>
      <c r="C169" s="6">
        <v>116</v>
      </c>
      <c r="D169" s="6" t="s">
        <v>1234</v>
      </c>
      <c r="E169" s="9">
        <v>891.89083903577</v>
      </c>
      <c r="F169" s="9">
        <v>11221166.593665866</v>
      </c>
      <c r="G169" s="9">
        <v>8159056</v>
      </c>
      <c r="I169" s="6" t="str">
        <f t="shared" si="17"/>
        <v>745116</v>
      </c>
      <c r="J169" s="6">
        <f t="shared" si="18"/>
        <v>745</v>
      </c>
      <c r="K169" s="6" t="str">
        <f t="shared" si="19"/>
        <v>Pentucket</v>
      </c>
      <c r="L169" s="6">
        <f t="shared" si="20"/>
        <v>116</v>
      </c>
      <c r="M169" s="6" t="str">
        <f t="shared" si="21"/>
        <v xml:space="preserve">Groveland                    </v>
      </c>
      <c r="N169" s="9">
        <f t="shared" si="22"/>
        <v>891.89083903577</v>
      </c>
      <c r="O169" s="526">
        <f t="shared" si="23"/>
        <v>11221166.593665866</v>
      </c>
      <c r="P169" s="526">
        <f t="shared" si="24"/>
        <v>8159056</v>
      </c>
      <c r="Q169" s="526"/>
      <c r="R169" s="526"/>
    </row>
    <row r="170" spans="1:18">
      <c r="A170" s="6">
        <v>745</v>
      </c>
      <c r="B170" s="6" t="s">
        <v>1077</v>
      </c>
      <c r="C170" s="6">
        <v>180</v>
      </c>
      <c r="D170" s="6" t="s">
        <v>1298</v>
      </c>
      <c r="E170" s="9">
        <v>822.38013699570001</v>
      </c>
      <c r="F170" s="9">
        <v>10346630.009707285</v>
      </c>
      <c r="G170" s="9">
        <v>7456662</v>
      </c>
      <c r="I170" s="6" t="str">
        <f t="shared" si="17"/>
        <v>745180</v>
      </c>
      <c r="J170" s="6">
        <f t="shared" si="18"/>
        <v>745</v>
      </c>
      <c r="K170" s="6" t="str">
        <f t="shared" si="19"/>
        <v>Pentucket</v>
      </c>
      <c r="L170" s="6">
        <f t="shared" si="20"/>
        <v>180</v>
      </c>
      <c r="M170" s="6" t="str">
        <f t="shared" si="21"/>
        <v xml:space="preserve">Merrimac                     </v>
      </c>
      <c r="N170" s="9">
        <f t="shared" si="22"/>
        <v>822.38013699570001</v>
      </c>
      <c r="O170" s="526">
        <f t="shared" si="23"/>
        <v>10346630.009707285</v>
      </c>
      <c r="P170" s="526">
        <f t="shared" si="24"/>
        <v>7456662</v>
      </c>
      <c r="Q170" s="526"/>
      <c r="R170" s="526"/>
    </row>
    <row r="171" spans="1:18">
      <c r="A171" s="6">
        <v>745</v>
      </c>
      <c r="B171" s="6" t="s">
        <v>1077</v>
      </c>
      <c r="C171" s="6">
        <v>329</v>
      </c>
      <c r="D171" s="6" t="s">
        <v>1447</v>
      </c>
      <c r="E171" s="9">
        <v>572.72902396852999</v>
      </c>
      <c r="F171" s="9">
        <v>7205688.7566268397</v>
      </c>
      <c r="G171" s="9">
        <v>5800575</v>
      </c>
      <c r="I171" s="6" t="str">
        <f t="shared" si="17"/>
        <v>745329</v>
      </c>
      <c r="J171" s="6">
        <f t="shared" si="18"/>
        <v>745</v>
      </c>
      <c r="K171" s="6" t="str">
        <f t="shared" si="19"/>
        <v>Pentucket</v>
      </c>
      <c r="L171" s="6">
        <f t="shared" si="20"/>
        <v>329</v>
      </c>
      <c r="M171" s="6" t="str">
        <f t="shared" si="21"/>
        <v xml:space="preserve">West Newbury                 </v>
      </c>
      <c r="N171" s="9">
        <f t="shared" si="22"/>
        <v>572.72902396852999</v>
      </c>
      <c r="O171" s="526">
        <f t="shared" si="23"/>
        <v>7205688.7566268397</v>
      </c>
      <c r="P171" s="526">
        <f t="shared" si="24"/>
        <v>5800575</v>
      </c>
      <c r="Q171" s="526"/>
      <c r="R171" s="526"/>
    </row>
    <row r="172" spans="1:18">
      <c r="A172" s="6" t="s">
        <v>2407</v>
      </c>
      <c r="E172" s="9">
        <v>2287</v>
      </c>
      <c r="F172" s="9">
        <v>28773485.359999992</v>
      </c>
      <c r="G172" s="9">
        <v>21416293</v>
      </c>
      <c r="I172" s="6" t="str">
        <f t="shared" si="17"/>
        <v>745999</v>
      </c>
      <c r="J172" s="6">
        <f t="shared" si="18"/>
        <v>745</v>
      </c>
      <c r="K172" s="6">
        <f t="shared" si="19"/>
        <v>0</v>
      </c>
      <c r="L172" s="6">
        <f t="shared" si="20"/>
        <v>0</v>
      </c>
      <c r="M172" s="6">
        <f t="shared" si="21"/>
        <v>0</v>
      </c>
      <c r="N172" s="9">
        <f t="shared" si="22"/>
        <v>2287</v>
      </c>
      <c r="O172" s="526">
        <f t="shared" si="23"/>
        <v>28773485.359999992</v>
      </c>
      <c r="P172" s="526">
        <f t="shared" si="24"/>
        <v>21416293</v>
      </c>
      <c r="Q172" s="526">
        <f>VLOOKUP($J172,aidcalc,25,FALSE)</f>
        <v>13760290</v>
      </c>
      <c r="R172" s="526">
        <f>VLOOKUP($J172,aidcalc,27,FALSE)</f>
        <v>35176583</v>
      </c>
    </row>
    <row r="173" spans="1:18">
      <c r="A173" s="6">
        <v>750</v>
      </c>
      <c r="B173" s="6" t="s">
        <v>1078</v>
      </c>
      <c r="C173" s="6">
        <v>29</v>
      </c>
      <c r="D173" s="6" t="s">
        <v>1148</v>
      </c>
      <c r="E173" s="9">
        <v>219.20664206630002</v>
      </c>
      <c r="F173" s="9">
        <v>3076751.2574521811</v>
      </c>
      <c r="G173" s="9">
        <v>1656501</v>
      </c>
      <c r="I173" s="6" t="str">
        <f t="shared" si="17"/>
        <v>750029</v>
      </c>
      <c r="J173" s="6">
        <f t="shared" si="18"/>
        <v>750</v>
      </c>
      <c r="K173" s="6" t="str">
        <f t="shared" si="19"/>
        <v>Pioneer</v>
      </c>
      <c r="L173" s="6">
        <f t="shared" si="20"/>
        <v>29</v>
      </c>
      <c r="M173" s="6" t="str">
        <f t="shared" si="21"/>
        <v xml:space="preserve">Bernardston                  </v>
      </c>
      <c r="N173" s="9">
        <f t="shared" si="22"/>
        <v>219.20664206630002</v>
      </c>
      <c r="O173" s="526">
        <f t="shared" si="23"/>
        <v>3076751.2574521811</v>
      </c>
      <c r="P173" s="526">
        <f t="shared" si="24"/>
        <v>1656501</v>
      </c>
      <c r="Q173" s="526"/>
      <c r="R173" s="526"/>
    </row>
    <row r="174" spans="1:18">
      <c r="A174" s="6">
        <v>750</v>
      </c>
      <c r="B174" s="6" t="s">
        <v>1078</v>
      </c>
      <c r="C174" s="6">
        <v>156</v>
      </c>
      <c r="D174" s="6" t="s">
        <v>1274</v>
      </c>
      <c r="E174" s="9">
        <v>69.381918817699997</v>
      </c>
      <c r="F174" s="9">
        <v>973834.113576898</v>
      </c>
      <c r="G174" s="9">
        <v>546052</v>
      </c>
      <c r="I174" s="6" t="str">
        <f t="shared" si="17"/>
        <v>750156</v>
      </c>
      <c r="J174" s="6">
        <f t="shared" si="18"/>
        <v>750</v>
      </c>
      <c r="K174" s="6" t="str">
        <f t="shared" si="19"/>
        <v>Pioneer</v>
      </c>
      <c r="L174" s="6">
        <f t="shared" si="20"/>
        <v>156</v>
      </c>
      <c r="M174" s="6" t="str">
        <f t="shared" si="21"/>
        <v xml:space="preserve">Leyden                       </v>
      </c>
      <c r="N174" s="9">
        <f t="shared" si="22"/>
        <v>69.381918817699997</v>
      </c>
      <c r="O174" s="526">
        <f t="shared" si="23"/>
        <v>973834.113576898</v>
      </c>
      <c r="P174" s="526">
        <f t="shared" si="24"/>
        <v>546052</v>
      </c>
      <c r="Q174" s="526"/>
      <c r="R174" s="526"/>
    </row>
    <row r="175" spans="1:18">
      <c r="A175" s="6">
        <v>750</v>
      </c>
      <c r="B175" s="6" t="s">
        <v>1078</v>
      </c>
      <c r="C175" s="6">
        <v>216</v>
      </c>
      <c r="D175" s="6" t="s">
        <v>1334</v>
      </c>
      <c r="E175" s="9">
        <v>256.411439116</v>
      </c>
      <c r="F175" s="9">
        <v>3598952.1589709213</v>
      </c>
      <c r="G175" s="9">
        <v>2808685</v>
      </c>
      <c r="I175" s="6" t="str">
        <f t="shared" si="17"/>
        <v>750216</v>
      </c>
      <c r="J175" s="6">
        <f t="shared" si="18"/>
        <v>750</v>
      </c>
      <c r="K175" s="6" t="str">
        <f t="shared" si="19"/>
        <v>Pioneer</v>
      </c>
      <c r="L175" s="6">
        <f t="shared" si="20"/>
        <v>216</v>
      </c>
      <c r="M175" s="6" t="str">
        <f t="shared" si="21"/>
        <v xml:space="preserve">Northfield                   </v>
      </c>
      <c r="N175" s="9">
        <f t="shared" si="22"/>
        <v>256.411439116</v>
      </c>
      <c r="O175" s="526">
        <f t="shared" si="23"/>
        <v>3598952.1589709213</v>
      </c>
      <c r="P175" s="526">
        <f t="shared" si="24"/>
        <v>2808685</v>
      </c>
      <c r="Q175" s="526"/>
      <c r="R175" s="526"/>
    </row>
    <row r="176" spans="1:18">
      <c r="A176" s="6" t="s">
        <v>2408</v>
      </c>
      <c r="E176" s="9">
        <v>545</v>
      </c>
      <c r="F176" s="9">
        <v>7649537.5300000003</v>
      </c>
      <c r="G176" s="9">
        <v>5011238</v>
      </c>
      <c r="I176" s="6" t="str">
        <f t="shared" si="17"/>
        <v>750999</v>
      </c>
      <c r="J176" s="6">
        <f t="shared" si="18"/>
        <v>750</v>
      </c>
      <c r="K176" s="6">
        <f t="shared" si="19"/>
        <v>0</v>
      </c>
      <c r="L176" s="6">
        <f t="shared" si="20"/>
        <v>0</v>
      </c>
      <c r="M176" s="6">
        <f t="shared" si="21"/>
        <v>0</v>
      </c>
      <c r="N176" s="9">
        <f t="shared" si="22"/>
        <v>545</v>
      </c>
      <c r="O176" s="526">
        <f t="shared" si="23"/>
        <v>7649537.5300000003</v>
      </c>
      <c r="P176" s="526">
        <f t="shared" si="24"/>
        <v>5011238</v>
      </c>
      <c r="Q176" s="526">
        <f>VLOOKUP($J176,aidcalc,25,FALSE)</f>
        <v>4071949</v>
      </c>
      <c r="R176" s="526">
        <f>VLOOKUP($J176,aidcalc,27,FALSE)</f>
        <v>9083187</v>
      </c>
    </row>
    <row r="177" spans="1:18">
      <c r="A177" s="6">
        <v>753</v>
      </c>
      <c r="B177" s="6" t="s">
        <v>1079</v>
      </c>
      <c r="C177" s="6">
        <v>21</v>
      </c>
      <c r="D177" s="6" t="s">
        <v>1140</v>
      </c>
      <c r="E177" s="9">
        <v>726.18803419117</v>
      </c>
      <c r="F177" s="9">
        <v>10417949.309446694</v>
      </c>
      <c r="G177" s="9">
        <v>3988915</v>
      </c>
      <c r="I177" s="6" t="str">
        <f t="shared" si="17"/>
        <v>753021</v>
      </c>
      <c r="J177" s="6">
        <f t="shared" si="18"/>
        <v>753</v>
      </c>
      <c r="K177" s="6" t="str">
        <f t="shared" si="19"/>
        <v>Quabbin</v>
      </c>
      <c r="L177" s="6">
        <f t="shared" si="20"/>
        <v>21</v>
      </c>
      <c r="M177" s="6" t="str">
        <f t="shared" si="21"/>
        <v xml:space="preserve">Barre                        </v>
      </c>
      <c r="N177" s="9">
        <f t="shared" si="22"/>
        <v>726.18803419117</v>
      </c>
      <c r="O177" s="526">
        <f t="shared" si="23"/>
        <v>10417949.309446694</v>
      </c>
      <c r="P177" s="526">
        <f t="shared" si="24"/>
        <v>3988915</v>
      </c>
      <c r="Q177" s="526"/>
      <c r="R177" s="526"/>
    </row>
    <row r="178" spans="1:18">
      <c r="A178" s="6">
        <v>753</v>
      </c>
      <c r="B178" s="6" t="s">
        <v>1079</v>
      </c>
      <c r="C178" s="6">
        <v>124</v>
      </c>
      <c r="D178" s="6" t="s">
        <v>1242</v>
      </c>
      <c r="E178" s="9">
        <v>312.61035695458003</v>
      </c>
      <c r="F178" s="9">
        <v>4484732.1892163064</v>
      </c>
      <c r="G178" s="9">
        <v>1776528</v>
      </c>
      <c r="I178" s="6" t="str">
        <f t="shared" si="17"/>
        <v>753124</v>
      </c>
      <c r="J178" s="6">
        <f t="shared" si="18"/>
        <v>753</v>
      </c>
      <c r="K178" s="6" t="str">
        <f t="shared" si="19"/>
        <v>Quabbin</v>
      </c>
      <c r="L178" s="6">
        <f t="shared" si="20"/>
        <v>124</v>
      </c>
      <c r="M178" s="6" t="str">
        <f t="shared" si="21"/>
        <v xml:space="preserve">Hardwick                     </v>
      </c>
      <c r="N178" s="9">
        <f t="shared" si="22"/>
        <v>312.61035695458003</v>
      </c>
      <c r="O178" s="526">
        <f t="shared" si="23"/>
        <v>4484732.1892163064</v>
      </c>
      <c r="P178" s="526">
        <f t="shared" si="24"/>
        <v>1776528</v>
      </c>
      <c r="Q178" s="526"/>
      <c r="R178" s="526"/>
    </row>
    <row r="179" spans="1:18">
      <c r="A179" s="6">
        <v>753</v>
      </c>
      <c r="B179" s="6" t="s">
        <v>1079</v>
      </c>
      <c r="C179" s="6">
        <v>140</v>
      </c>
      <c r="D179" s="6" t="s">
        <v>1258</v>
      </c>
      <c r="E179" s="9">
        <v>561.14529914859997</v>
      </c>
      <c r="F179" s="9">
        <v>8050233.5573123097</v>
      </c>
      <c r="G179" s="9">
        <v>4225525</v>
      </c>
      <c r="I179" s="6" t="str">
        <f t="shared" si="17"/>
        <v>753140</v>
      </c>
      <c r="J179" s="6">
        <f t="shared" si="18"/>
        <v>753</v>
      </c>
      <c r="K179" s="6" t="str">
        <f t="shared" si="19"/>
        <v>Quabbin</v>
      </c>
      <c r="L179" s="6">
        <f t="shared" si="20"/>
        <v>140</v>
      </c>
      <c r="M179" s="6" t="str">
        <f t="shared" si="21"/>
        <v xml:space="preserve">Hubbardston                  </v>
      </c>
      <c r="N179" s="9">
        <f t="shared" si="22"/>
        <v>561.14529914859997</v>
      </c>
      <c r="O179" s="526">
        <f t="shared" si="23"/>
        <v>8050233.5573123097</v>
      </c>
      <c r="P179" s="526">
        <f t="shared" si="24"/>
        <v>4225525</v>
      </c>
      <c r="Q179" s="526"/>
      <c r="R179" s="526"/>
    </row>
    <row r="180" spans="1:18">
      <c r="A180" s="6">
        <v>753</v>
      </c>
      <c r="B180" s="6" t="s">
        <v>1079</v>
      </c>
      <c r="C180" s="6">
        <v>202</v>
      </c>
      <c r="D180" s="6" t="s">
        <v>1320</v>
      </c>
      <c r="E180" s="9">
        <v>102.90899950372</v>
      </c>
      <c r="F180" s="9">
        <v>1476340.4102488942</v>
      </c>
      <c r="G180" s="9">
        <v>973282</v>
      </c>
      <c r="I180" s="6" t="str">
        <f t="shared" si="17"/>
        <v>753202</v>
      </c>
      <c r="J180" s="6">
        <f t="shared" si="18"/>
        <v>753</v>
      </c>
      <c r="K180" s="6" t="str">
        <f t="shared" si="19"/>
        <v>Quabbin</v>
      </c>
      <c r="L180" s="6">
        <f t="shared" si="20"/>
        <v>202</v>
      </c>
      <c r="M180" s="6" t="str">
        <f t="shared" si="21"/>
        <v xml:space="preserve">New Braintree                </v>
      </c>
      <c r="N180" s="9">
        <f t="shared" si="22"/>
        <v>102.90899950372</v>
      </c>
      <c r="O180" s="526">
        <f t="shared" si="23"/>
        <v>1476340.4102488942</v>
      </c>
      <c r="P180" s="526">
        <f t="shared" si="24"/>
        <v>973282</v>
      </c>
      <c r="Q180" s="526"/>
      <c r="R180" s="526"/>
    </row>
    <row r="181" spans="1:18">
      <c r="A181" s="6">
        <v>753</v>
      </c>
      <c r="B181" s="6" t="s">
        <v>1079</v>
      </c>
      <c r="C181" s="6">
        <v>222</v>
      </c>
      <c r="D181" s="6" t="s">
        <v>1340</v>
      </c>
      <c r="E181" s="9">
        <v>228.14731020193</v>
      </c>
      <c r="F181" s="9">
        <v>3273018.8337757913</v>
      </c>
      <c r="G181" s="9">
        <v>1803220</v>
      </c>
      <c r="I181" s="6" t="str">
        <f t="shared" si="17"/>
        <v>753222</v>
      </c>
      <c r="J181" s="6">
        <f t="shared" si="18"/>
        <v>753</v>
      </c>
      <c r="K181" s="6" t="str">
        <f t="shared" si="19"/>
        <v>Quabbin</v>
      </c>
      <c r="L181" s="6">
        <f t="shared" si="20"/>
        <v>222</v>
      </c>
      <c r="M181" s="6" t="str">
        <f t="shared" si="21"/>
        <v xml:space="preserve">Oakham                       </v>
      </c>
      <c r="N181" s="9">
        <f t="shared" si="22"/>
        <v>228.14731020193</v>
      </c>
      <c r="O181" s="526">
        <f t="shared" si="23"/>
        <v>3273018.8337757913</v>
      </c>
      <c r="P181" s="526">
        <f t="shared" si="24"/>
        <v>1803220</v>
      </c>
      <c r="Q181" s="526"/>
      <c r="R181" s="526"/>
    </row>
    <row r="182" spans="1:18">
      <c r="A182" s="6" t="s">
        <v>2409</v>
      </c>
      <c r="E182" s="9">
        <v>1930.9999999999998</v>
      </c>
      <c r="F182" s="9">
        <v>27702274.299999997</v>
      </c>
      <c r="G182" s="9">
        <v>12767470</v>
      </c>
      <c r="I182" s="6" t="str">
        <f t="shared" si="17"/>
        <v>753999</v>
      </c>
      <c r="J182" s="6">
        <f t="shared" si="18"/>
        <v>753</v>
      </c>
      <c r="K182" s="6">
        <f t="shared" si="19"/>
        <v>0</v>
      </c>
      <c r="L182" s="6">
        <f t="shared" si="20"/>
        <v>0</v>
      </c>
      <c r="M182" s="6">
        <f t="shared" si="21"/>
        <v>0</v>
      </c>
      <c r="N182" s="9">
        <f t="shared" si="22"/>
        <v>1930.9999999999998</v>
      </c>
      <c r="O182" s="526">
        <f t="shared" si="23"/>
        <v>27702274.299999997</v>
      </c>
      <c r="P182" s="526">
        <f t="shared" si="24"/>
        <v>12767470</v>
      </c>
      <c r="Q182" s="526">
        <f>VLOOKUP($J182,aidcalc,25,FALSE)</f>
        <v>17139362.000001181</v>
      </c>
      <c r="R182" s="526">
        <f>VLOOKUP($J182,aidcalc,27,FALSE)</f>
        <v>29906832.000001181</v>
      </c>
    </row>
    <row r="183" spans="1:18">
      <c r="A183" s="6">
        <v>755</v>
      </c>
      <c r="B183" s="6" t="s">
        <v>1080</v>
      </c>
      <c r="C183" s="6">
        <v>206</v>
      </c>
      <c r="D183" s="6" t="s">
        <v>1324</v>
      </c>
      <c r="E183" s="9">
        <v>25.999999997579998</v>
      </c>
      <c r="F183" s="9">
        <v>431629.97142456303</v>
      </c>
      <c r="G183" s="9">
        <v>276406</v>
      </c>
      <c r="I183" s="6" t="str">
        <f t="shared" si="17"/>
        <v>755206</v>
      </c>
      <c r="J183" s="6">
        <f t="shared" si="18"/>
        <v>755</v>
      </c>
      <c r="K183" s="6" t="str">
        <f t="shared" si="19"/>
        <v>Ralph C Mahar</v>
      </c>
      <c r="L183" s="6">
        <f t="shared" si="20"/>
        <v>206</v>
      </c>
      <c r="M183" s="6" t="str">
        <f t="shared" si="21"/>
        <v xml:space="preserve">New Salem                    </v>
      </c>
      <c r="N183" s="9">
        <f t="shared" si="22"/>
        <v>25.999999997579998</v>
      </c>
      <c r="O183" s="526">
        <f t="shared" si="23"/>
        <v>431629.97142456303</v>
      </c>
      <c r="P183" s="526">
        <f t="shared" si="24"/>
        <v>276406</v>
      </c>
      <c r="Q183" s="526"/>
      <c r="R183" s="526"/>
    </row>
    <row r="184" spans="1:18">
      <c r="A184" s="6">
        <v>755</v>
      </c>
      <c r="B184" s="6" t="s">
        <v>1080</v>
      </c>
      <c r="C184" s="6">
        <v>223</v>
      </c>
      <c r="D184" s="6" t="s">
        <v>1341</v>
      </c>
      <c r="E184" s="9">
        <v>428.99999999878003</v>
      </c>
      <c r="F184" s="9">
        <v>7121894.5291479211</v>
      </c>
      <c r="G184" s="9">
        <v>1850347</v>
      </c>
      <c r="I184" s="6" t="str">
        <f t="shared" si="17"/>
        <v>755223</v>
      </c>
      <c r="J184" s="6">
        <f t="shared" si="18"/>
        <v>755</v>
      </c>
      <c r="K184" s="6" t="str">
        <f t="shared" si="19"/>
        <v>Ralph C Mahar</v>
      </c>
      <c r="L184" s="6">
        <f t="shared" si="20"/>
        <v>223</v>
      </c>
      <c r="M184" s="6" t="str">
        <f t="shared" si="21"/>
        <v xml:space="preserve">Orange                       </v>
      </c>
      <c r="N184" s="9">
        <f t="shared" si="22"/>
        <v>428.99999999878003</v>
      </c>
      <c r="O184" s="526">
        <f t="shared" si="23"/>
        <v>7121894.5291479211</v>
      </c>
      <c r="P184" s="526">
        <f t="shared" si="24"/>
        <v>1850347</v>
      </c>
      <c r="Q184" s="526"/>
      <c r="R184" s="526"/>
    </row>
    <row r="185" spans="1:18">
      <c r="A185" s="6">
        <v>755</v>
      </c>
      <c r="B185" s="6" t="s">
        <v>1080</v>
      </c>
      <c r="C185" s="6">
        <v>234</v>
      </c>
      <c r="D185" s="6" t="s">
        <v>1352</v>
      </c>
      <c r="E185" s="9">
        <v>55.999999997339998</v>
      </c>
      <c r="F185" s="9">
        <v>929664.55387989164</v>
      </c>
      <c r="G185" s="9">
        <v>514474</v>
      </c>
      <c r="I185" s="6" t="str">
        <f t="shared" si="17"/>
        <v>755234</v>
      </c>
      <c r="J185" s="6">
        <f t="shared" si="18"/>
        <v>755</v>
      </c>
      <c r="K185" s="6" t="str">
        <f t="shared" si="19"/>
        <v>Ralph C Mahar</v>
      </c>
      <c r="L185" s="6">
        <f t="shared" si="20"/>
        <v>234</v>
      </c>
      <c r="M185" s="6" t="str">
        <f t="shared" si="21"/>
        <v xml:space="preserve">Petersham                    </v>
      </c>
      <c r="N185" s="9">
        <f t="shared" si="22"/>
        <v>55.999999997339998</v>
      </c>
      <c r="O185" s="526">
        <f t="shared" si="23"/>
        <v>929664.55387989164</v>
      </c>
      <c r="P185" s="526">
        <f t="shared" si="24"/>
        <v>514474</v>
      </c>
      <c r="Q185" s="526"/>
      <c r="R185" s="526"/>
    </row>
    <row r="186" spans="1:18">
      <c r="A186" s="6">
        <v>755</v>
      </c>
      <c r="B186" s="6" t="s">
        <v>1080</v>
      </c>
      <c r="C186" s="6">
        <v>319</v>
      </c>
      <c r="D186" s="6" t="s">
        <v>1437</v>
      </c>
      <c r="E186" s="9">
        <v>42.000000000770001</v>
      </c>
      <c r="F186" s="9">
        <v>697248.41545582085</v>
      </c>
      <c r="G186" s="9">
        <v>262040</v>
      </c>
      <c r="I186" s="6" t="str">
        <f t="shared" si="17"/>
        <v>755319</v>
      </c>
      <c r="J186" s="6">
        <f t="shared" si="18"/>
        <v>755</v>
      </c>
      <c r="K186" s="6" t="str">
        <f t="shared" si="19"/>
        <v>Ralph C Mahar</v>
      </c>
      <c r="L186" s="6">
        <f t="shared" si="20"/>
        <v>319</v>
      </c>
      <c r="M186" s="6" t="str">
        <f t="shared" si="21"/>
        <v xml:space="preserve">Wendell                      </v>
      </c>
      <c r="N186" s="9">
        <f t="shared" si="22"/>
        <v>42.000000000770001</v>
      </c>
      <c r="O186" s="526">
        <f t="shared" si="23"/>
        <v>697248.41545582085</v>
      </c>
      <c r="P186" s="526">
        <f t="shared" si="24"/>
        <v>262040</v>
      </c>
      <c r="Q186" s="526"/>
      <c r="R186" s="526"/>
    </row>
    <row r="187" spans="1:18">
      <c r="A187" s="6" t="s">
        <v>2410</v>
      </c>
      <c r="E187" s="9">
        <v>552.99999999447004</v>
      </c>
      <c r="F187" s="9">
        <v>9180437.4699081965</v>
      </c>
      <c r="G187" s="9">
        <v>2903267</v>
      </c>
      <c r="I187" s="6" t="str">
        <f t="shared" si="17"/>
        <v>755999</v>
      </c>
      <c r="J187" s="6">
        <f t="shared" si="18"/>
        <v>755</v>
      </c>
      <c r="K187" s="6">
        <f t="shared" si="19"/>
        <v>0</v>
      </c>
      <c r="L187" s="6">
        <f t="shared" si="20"/>
        <v>0</v>
      </c>
      <c r="M187" s="6">
        <f t="shared" si="21"/>
        <v>0</v>
      </c>
      <c r="N187" s="9">
        <f t="shared" si="22"/>
        <v>552.99999999447004</v>
      </c>
      <c r="O187" s="526">
        <f t="shared" si="23"/>
        <v>9180437.4699081965</v>
      </c>
      <c r="P187" s="526">
        <f t="shared" si="24"/>
        <v>2903267</v>
      </c>
      <c r="Q187" s="526">
        <f>VLOOKUP($J187,aidcalc,25,FALSE)</f>
        <v>6277170</v>
      </c>
      <c r="R187" s="526">
        <f>VLOOKUP($J187,aidcalc,27,FALSE)</f>
        <v>9180437</v>
      </c>
    </row>
    <row r="188" spans="1:18">
      <c r="A188" s="6">
        <v>760</v>
      </c>
      <c r="B188" s="6" t="s">
        <v>1081</v>
      </c>
      <c r="C188" s="6">
        <v>118</v>
      </c>
      <c r="D188" s="6" t="s">
        <v>1236</v>
      </c>
      <c r="E188" s="9">
        <v>549.63092551192995</v>
      </c>
      <c r="F188" s="9">
        <v>8519265.6589968987</v>
      </c>
      <c r="G188" s="9">
        <v>4593741</v>
      </c>
      <c r="I188" s="6" t="str">
        <f t="shared" si="17"/>
        <v>760118</v>
      </c>
      <c r="J188" s="6">
        <f t="shared" si="18"/>
        <v>760</v>
      </c>
      <c r="K188" s="6" t="str">
        <f t="shared" si="19"/>
        <v>Silver Lake</v>
      </c>
      <c r="L188" s="6">
        <f t="shared" si="20"/>
        <v>118</v>
      </c>
      <c r="M188" s="6" t="str">
        <f t="shared" si="21"/>
        <v xml:space="preserve">Halifax                      </v>
      </c>
      <c r="N188" s="9">
        <f t="shared" si="22"/>
        <v>549.63092551192995</v>
      </c>
      <c r="O188" s="526">
        <f t="shared" si="23"/>
        <v>8519265.6589968987</v>
      </c>
      <c r="P188" s="526">
        <f t="shared" si="24"/>
        <v>4593741</v>
      </c>
      <c r="Q188" s="526"/>
      <c r="R188" s="526"/>
    </row>
    <row r="189" spans="1:18">
      <c r="A189" s="6">
        <v>760</v>
      </c>
      <c r="B189" s="6" t="s">
        <v>1081</v>
      </c>
      <c r="C189" s="6">
        <v>145</v>
      </c>
      <c r="D189" s="6" t="s">
        <v>1263</v>
      </c>
      <c r="E189" s="9">
        <v>993.63882618294997</v>
      </c>
      <c r="F189" s="9">
        <v>15401377.06309369</v>
      </c>
      <c r="G189" s="9">
        <v>9734882</v>
      </c>
      <c r="I189" s="6" t="str">
        <f t="shared" si="17"/>
        <v>760145</v>
      </c>
      <c r="J189" s="6">
        <f t="shared" si="18"/>
        <v>760</v>
      </c>
      <c r="K189" s="6" t="str">
        <f t="shared" si="19"/>
        <v>Silver Lake</v>
      </c>
      <c r="L189" s="6">
        <f t="shared" si="20"/>
        <v>145</v>
      </c>
      <c r="M189" s="6" t="str">
        <f t="shared" si="21"/>
        <v xml:space="preserve">Kingston                     </v>
      </c>
      <c r="N189" s="9">
        <f t="shared" si="22"/>
        <v>993.63882618294997</v>
      </c>
      <c r="O189" s="526">
        <f t="shared" si="23"/>
        <v>15401377.06309369</v>
      </c>
      <c r="P189" s="526">
        <f t="shared" si="24"/>
        <v>9734882</v>
      </c>
      <c r="Q189" s="526"/>
      <c r="R189" s="526"/>
    </row>
    <row r="190" spans="1:18">
      <c r="A190" s="6">
        <v>760</v>
      </c>
      <c r="B190" s="6" t="s">
        <v>1081</v>
      </c>
      <c r="C190" s="6">
        <v>240</v>
      </c>
      <c r="D190" s="6" t="s">
        <v>1358</v>
      </c>
      <c r="E190" s="9">
        <v>189.73024830512</v>
      </c>
      <c r="F190" s="9">
        <v>2940814.1242294046</v>
      </c>
      <c r="G190" s="9">
        <v>1995976</v>
      </c>
      <c r="I190" s="6" t="str">
        <f t="shared" si="17"/>
        <v>760240</v>
      </c>
      <c r="J190" s="6">
        <f t="shared" si="18"/>
        <v>760</v>
      </c>
      <c r="K190" s="6" t="str">
        <f t="shared" si="19"/>
        <v>Silver Lake</v>
      </c>
      <c r="L190" s="6">
        <f t="shared" si="20"/>
        <v>240</v>
      </c>
      <c r="M190" s="6" t="str">
        <f t="shared" si="21"/>
        <v xml:space="preserve">Plympton                     </v>
      </c>
      <c r="N190" s="9">
        <f t="shared" si="22"/>
        <v>189.73024830512</v>
      </c>
      <c r="O190" s="526">
        <f t="shared" si="23"/>
        <v>2940814.1242294046</v>
      </c>
      <c r="P190" s="526">
        <f t="shared" si="24"/>
        <v>1995976</v>
      </c>
      <c r="Q190" s="526"/>
      <c r="R190" s="526"/>
    </row>
    <row r="191" spans="1:18">
      <c r="A191" s="6" t="s">
        <v>2411</v>
      </c>
      <c r="E191" s="9">
        <v>1733</v>
      </c>
      <c r="F191" s="9">
        <v>26861456.846319992</v>
      </c>
      <c r="G191" s="9">
        <v>16324599</v>
      </c>
      <c r="I191" s="6" t="str">
        <f t="shared" si="17"/>
        <v>760999</v>
      </c>
      <c r="J191" s="6">
        <f t="shared" si="18"/>
        <v>760</v>
      </c>
      <c r="K191" s="6">
        <f t="shared" si="19"/>
        <v>0</v>
      </c>
      <c r="L191" s="6">
        <f t="shared" si="20"/>
        <v>0</v>
      </c>
      <c r="M191" s="6">
        <f t="shared" si="21"/>
        <v>0</v>
      </c>
      <c r="N191" s="9">
        <f t="shared" si="22"/>
        <v>1733</v>
      </c>
      <c r="O191" s="526">
        <f t="shared" si="23"/>
        <v>26861456.846319992</v>
      </c>
      <c r="P191" s="526">
        <f t="shared" si="24"/>
        <v>16324599</v>
      </c>
      <c r="Q191" s="526">
        <f>VLOOKUP($J191,aidcalc,25,FALSE)</f>
        <v>10536858</v>
      </c>
      <c r="R191" s="526">
        <f>VLOOKUP($J191,aidcalc,27,FALSE)</f>
        <v>26861457</v>
      </c>
    </row>
    <row r="192" spans="1:18">
      <c r="A192" s="6">
        <v>763</v>
      </c>
      <c r="B192" s="6" t="s">
        <v>1082</v>
      </c>
      <c r="C192" s="6">
        <v>27</v>
      </c>
      <c r="D192" s="6" t="s">
        <v>1146</v>
      </c>
      <c r="E192" s="9">
        <v>231.99999999734999</v>
      </c>
      <c r="F192" s="9">
        <v>3436437.9041282879</v>
      </c>
      <c r="G192" s="9">
        <v>1938391</v>
      </c>
      <c r="I192" s="6" t="str">
        <f t="shared" si="17"/>
        <v>763027</v>
      </c>
      <c r="J192" s="6">
        <f t="shared" si="18"/>
        <v>763</v>
      </c>
      <c r="K192" s="6" t="str">
        <f t="shared" si="19"/>
        <v>Somerset Berkley</v>
      </c>
      <c r="L192" s="6">
        <f t="shared" si="20"/>
        <v>27</v>
      </c>
      <c r="M192" s="6" t="str">
        <f t="shared" si="21"/>
        <v xml:space="preserve">Berkley                      </v>
      </c>
      <c r="N192" s="9">
        <f t="shared" si="22"/>
        <v>231.99999999734999</v>
      </c>
      <c r="O192" s="526">
        <f t="shared" si="23"/>
        <v>3436437.9041282879</v>
      </c>
      <c r="P192" s="526">
        <f t="shared" si="24"/>
        <v>1938391</v>
      </c>
      <c r="Q192" s="526"/>
      <c r="R192" s="526"/>
    </row>
    <row r="193" spans="1:18">
      <c r="A193" s="6">
        <v>763</v>
      </c>
      <c r="B193" s="6" t="s">
        <v>1082</v>
      </c>
      <c r="C193" s="6">
        <v>273</v>
      </c>
      <c r="D193" s="6" t="s">
        <v>1391</v>
      </c>
      <c r="E193" s="9">
        <v>723.00000000265004</v>
      </c>
      <c r="F193" s="9">
        <v>10709243.985871717</v>
      </c>
      <c r="G193" s="9">
        <v>5572015</v>
      </c>
      <c r="I193" s="6" t="str">
        <f t="shared" si="17"/>
        <v>763273</v>
      </c>
      <c r="J193" s="6">
        <f t="shared" si="18"/>
        <v>763</v>
      </c>
      <c r="K193" s="6" t="str">
        <f t="shared" si="19"/>
        <v>Somerset Berkley</v>
      </c>
      <c r="L193" s="6">
        <f t="shared" si="20"/>
        <v>273</v>
      </c>
      <c r="M193" s="6" t="str">
        <f t="shared" si="21"/>
        <v xml:space="preserve">Somerset                     </v>
      </c>
      <c r="N193" s="9">
        <f t="shared" si="22"/>
        <v>723.00000000265004</v>
      </c>
      <c r="O193" s="526">
        <f t="shared" si="23"/>
        <v>10709243.985871717</v>
      </c>
      <c r="P193" s="526">
        <f t="shared" si="24"/>
        <v>5572015</v>
      </c>
      <c r="Q193" s="526"/>
      <c r="R193" s="526"/>
    </row>
    <row r="194" spans="1:18">
      <c r="A194" s="6" t="s">
        <v>2412</v>
      </c>
      <c r="E194" s="9">
        <v>955</v>
      </c>
      <c r="F194" s="9">
        <v>14145681.890000004</v>
      </c>
      <c r="G194" s="9">
        <v>7510406</v>
      </c>
      <c r="I194" s="6" t="str">
        <f t="shared" si="17"/>
        <v>763999</v>
      </c>
      <c r="J194" s="6">
        <f t="shared" si="18"/>
        <v>763</v>
      </c>
      <c r="K194" s="6">
        <f t="shared" si="19"/>
        <v>0</v>
      </c>
      <c r="L194" s="6">
        <f t="shared" si="20"/>
        <v>0</v>
      </c>
      <c r="M194" s="6">
        <f t="shared" si="21"/>
        <v>0</v>
      </c>
      <c r="N194" s="9">
        <f t="shared" si="22"/>
        <v>955</v>
      </c>
      <c r="O194" s="526">
        <f t="shared" si="23"/>
        <v>14145681.890000004</v>
      </c>
      <c r="P194" s="526">
        <f t="shared" si="24"/>
        <v>7510406</v>
      </c>
      <c r="Q194" s="526">
        <f>VLOOKUP($J194,aidcalc,25,FALSE)</f>
        <v>7069701</v>
      </c>
      <c r="R194" s="526">
        <f>VLOOKUP($J194,aidcalc,27,FALSE)</f>
        <v>14580107</v>
      </c>
    </row>
    <row r="195" spans="1:18">
      <c r="A195" s="6">
        <v>765</v>
      </c>
      <c r="B195" s="6" t="s">
        <v>1083</v>
      </c>
      <c r="C195" s="6">
        <v>6</v>
      </c>
      <c r="D195" s="6" t="s">
        <v>1125</v>
      </c>
      <c r="E195" s="9">
        <v>19.17304747136</v>
      </c>
      <c r="F195" s="9">
        <v>279039.06521057821</v>
      </c>
      <c r="G195" s="9">
        <v>230207</v>
      </c>
      <c r="I195" s="6" t="str">
        <f t="shared" si="17"/>
        <v>765006</v>
      </c>
      <c r="J195" s="6">
        <f t="shared" si="18"/>
        <v>765</v>
      </c>
      <c r="K195" s="6" t="str">
        <f t="shared" si="19"/>
        <v>Southern Berkshire</v>
      </c>
      <c r="L195" s="6">
        <f t="shared" si="20"/>
        <v>6</v>
      </c>
      <c r="M195" s="6" t="str">
        <f t="shared" si="21"/>
        <v xml:space="preserve">Alford                       </v>
      </c>
      <c r="N195" s="9">
        <f t="shared" si="22"/>
        <v>19.17304747136</v>
      </c>
      <c r="O195" s="526">
        <f t="shared" si="23"/>
        <v>279039.06521057821</v>
      </c>
      <c r="P195" s="526">
        <f t="shared" si="24"/>
        <v>230207</v>
      </c>
      <c r="Q195" s="526"/>
      <c r="R195" s="526"/>
    </row>
    <row r="196" spans="1:18">
      <c r="A196" s="6">
        <v>765</v>
      </c>
      <c r="B196" s="6" t="s">
        <v>1083</v>
      </c>
      <c r="C196" s="6">
        <v>90</v>
      </c>
      <c r="D196" s="6" t="s">
        <v>1209</v>
      </c>
      <c r="E196" s="9">
        <v>87.237366002200005</v>
      </c>
      <c r="F196" s="9">
        <v>1269627.7468174584</v>
      </c>
      <c r="G196" s="9">
        <v>1047443</v>
      </c>
      <c r="I196" s="6" t="str">
        <f t="shared" si="17"/>
        <v>765090</v>
      </c>
      <c r="J196" s="6">
        <f t="shared" si="18"/>
        <v>765</v>
      </c>
      <c r="K196" s="6" t="str">
        <f t="shared" si="19"/>
        <v>Southern Berkshire</v>
      </c>
      <c r="L196" s="6">
        <f t="shared" si="20"/>
        <v>90</v>
      </c>
      <c r="M196" s="6" t="str">
        <f t="shared" si="21"/>
        <v xml:space="preserve">Egremont                     </v>
      </c>
      <c r="N196" s="9">
        <f t="shared" si="22"/>
        <v>87.237366002200005</v>
      </c>
      <c r="O196" s="526">
        <f t="shared" si="23"/>
        <v>1269627.7468174584</v>
      </c>
      <c r="P196" s="526">
        <f t="shared" si="24"/>
        <v>1047443</v>
      </c>
      <c r="Q196" s="526"/>
      <c r="R196" s="526"/>
    </row>
    <row r="197" spans="1:18">
      <c r="A197" s="6">
        <v>765</v>
      </c>
      <c r="B197" s="6" t="s">
        <v>1083</v>
      </c>
      <c r="C197" s="6">
        <v>193</v>
      </c>
      <c r="D197" s="6" t="s">
        <v>1311</v>
      </c>
      <c r="E197" s="9">
        <v>83.402756509180008</v>
      </c>
      <c r="F197" s="9">
        <v>1213819.9337935641</v>
      </c>
      <c r="G197" s="9">
        <v>1001401</v>
      </c>
      <c r="I197" s="6" t="str">
        <f t="shared" ref="I197:I260" si="25">IF(L197=0,J197&amp;999,J197&amp;TEXT(L197,"000"))</f>
        <v>765193</v>
      </c>
      <c r="J197" s="6">
        <f t="shared" ref="J197:J260" si="26">VALUE(LEFT(A197,3))</f>
        <v>765</v>
      </c>
      <c r="K197" s="6" t="str">
        <f t="shared" ref="K197:K260" si="27">B197</f>
        <v>Southern Berkshire</v>
      </c>
      <c r="L197" s="6">
        <f t="shared" ref="L197:L260" si="28">C197</f>
        <v>193</v>
      </c>
      <c r="M197" s="6" t="str">
        <f t="shared" ref="M197:M260" si="29">D197</f>
        <v xml:space="preserve">Monterey                     </v>
      </c>
      <c r="N197" s="9">
        <f t="shared" ref="N197:N260" si="30">E197</f>
        <v>83.402756509180008</v>
      </c>
      <c r="O197" s="526">
        <f t="shared" ref="O197:O260" si="31">F197</f>
        <v>1213819.9337935641</v>
      </c>
      <c r="P197" s="526">
        <f t="shared" ref="P197:P260" si="32">G197</f>
        <v>1001401</v>
      </c>
      <c r="Q197" s="526"/>
      <c r="R197" s="526"/>
    </row>
    <row r="198" spans="1:18">
      <c r="A198" s="6">
        <v>765</v>
      </c>
      <c r="B198" s="6" t="s">
        <v>1083</v>
      </c>
      <c r="C198" s="6">
        <v>205</v>
      </c>
      <c r="D198" s="6" t="s">
        <v>1323</v>
      </c>
      <c r="E198" s="9">
        <v>107.36906584838</v>
      </c>
      <c r="F198" s="9">
        <v>1562618.7653067869</v>
      </c>
      <c r="G198" s="9">
        <v>1289160</v>
      </c>
      <c r="I198" s="6" t="str">
        <f t="shared" si="25"/>
        <v>765205</v>
      </c>
      <c r="J198" s="6">
        <f t="shared" si="26"/>
        <v>765</v>
      </c>
      <c r="K198" s="6" t="str">
        <f t="shared" si="27"/>
        <v>Southern Berkshire</v>
      </c>
      <c r="L198" s="6">
        <f t="shared" si="28"/>
        <v>205</v>
      </c>
      <c r="M198" s="6" t="str">
        <f t="shared" si="29"/>
        <v xml:space="preserve">New Marlborough              </v>
      </c>
      <c r="N198" s="9">
        <f t="shared" si="30"/>
        <v>107.36906584838</v>
      </c>
      <c r="O198" s="526">
        <f t="shared" si="31"/>
        <v>1562618.7653067869</v>
      </c>
      <c r="P198" s="526">
        <f t="shared" si="32"/>
        <v>1289160</v>
      </c>
      <c r="Q198" s="526"/>
      <c r="R198" s="526"/>
    </row>
    <row r="199" spans="1:18">
      <c r="A199" s="6">
        <v>765</v>
      </c>
      <c r="B199" s="6" t="s">
        <v>1083</v>
      </c>
      <c r="C199" s="6">
        <v>267</v>
      </c>
      <c r="D199" s="6" t="s">
        <v>1385</v>
      </c>
      <c r="E199" s="9">
        <v>328.81776416261999</v>
      </c>
      <c r="F199" s="9">
        <v>4785519.9687805055</v>
      </c>
      <c r="G199" s="9">
        <v>3948054</v>
      </c>
      <c r="I199" s="6" t="str">
        <f t="shared" si="25"/>
        <v>765267</v>
      </c>
      <c r="J199" s="6">
        <f t="shared" si="26"/>
        <v>765</v>
      </c>
      <c r="K199" s="6" t="str">
        <f t="shared" si="27"/>
        <v>Southern Berkshire</v>
      </c>
      <c r="L199" s="6">
        <f t="shared" si="28"/>
        <v>267</v>
      </c>
      <c r="M199" s="6" t="str">
        <f t="shared" si="29"/>
        <v xml:space="preserve">Sheffield                    </v>
      </c>
      <c r="N199" s="9">
        <f t="shared" si="30"/>
        <v>328.81776416261999</v>
      </c>
      <c r="O199" s="526">
        <f t="shared" si="31"/>
        <v>4785519.9687805055</v>
      </c>
      <c r="P199" s="526">
        <f t="shared" si="32"/>
        <v>3948054</v>
      </c>
      <c r="Q199" s="526"/>
      <c r="R199" s="526"/>
    </row>
    <row r="200" spans="1:18">
      <c r="A200" s="6" t="s">
        <v>2413</v>
      </c>
      <c r="E200" s="9">
        <v>625.99999999373995</v>
      </c>
      <c r="F200" s="9">
        <v>9110625.4799088929</v>
      </c>
      <c r="G200" s="9">
        <v>7516265</v>
      </c>
      <c r="I200" s="6" t="str">
        <f t="shared" si="25"/>
        <v>765999</v>
      </c>
      <c r="J200" s="6">
        <f t="shared" si="26"/>
        <v>765</v>
      </c>
      <c r="K200" s="6">
        <f t="shared" si="27"/>
        <v>0</v>
      </c>
      <c r="L200" s="6">
        <f t="shared" si="28"/>
        <v>0</v>
      </c>
      <c r="M200" s="6">
        <f t="shared" si="29"/>
        <v>0</v>
      </c>
      <c r="N200" s="9">
        <f t="shared" si="30"/>
        <v>625.99999999373995</v>
      </c>
      <c r="O200" s="526">
        <f t="shared" si="31"/>
        <v>9110625.4799088929</v>
      </c>
      <c r="P200" s="526">
        <f t="shared" si="32"/>
        <v>7516265</v>
      </c>
      <c r="Q200" s="526">
        <f>VLOOKUP($J200,aidcalc,25,FALSE)</f>
        <v>2149694.9999993518</v>
      </c>
      <c r="R200" s="526">
        <f>VLOOKUP($J200,aidcalc,27,FALSE)</f>
        <v>9665959.9999993518</v>
      </c>
    </row>
    <row r="201" spans="1:18">
      <c r="A201" s="6">
        <v>766</v>
      </c>
      <c r="B201" s="6" t="s">
        <v>1548</v>
      </c>
      <c r="C201" s="6">
        <v>279</v>
      </c>
      <c r="D201" s="6" t="s">
        <v>1397</v>
      </c>
      <c r="E201" s="9">
        <v>1068.49358974488</v>
      </c>
      <c r="F201" s="9">
        <v>15700995.515083062</v>
      </c>
      <c r="G201" s="9">
        <v>10498701</v>
      </c>
      <c r="I201" s="6" t="str">
        <f t="shared" si="25"/>
        <v>766279</v>
      </c>
      <c r="J201" s="6">
        <f t="shared" si="26"/>
        <v>766</v>
      </c>
      <c r="K201" s="6" t="str">
        <f t="shared" si="27"/>
        <v>Southwick Tolland</v>
      </c>
      <c r="L201" s="6">
        <f t="shared" si="28"/>
        <v>279</v>
      </c>
      <c r="M201" s="6" t="str">
        <f t="shared" si="29"/>
        <v xml:space="preserve">Southwick                    </v>
      </c>
      <c r="N201" s="9">
        <f t="shared" si="30"/>
        <v>1068.49358974488</v>
      </c>
      <c r="O201" s="526">
        <f t="shared" si="31"/>
        <v>15700995.515083062</v>
      </c>
      <c r="P201" s="526">
        <f t="shared" si="32"/>
        <v>10498701</v>
      </c>
      <c r="Q201" s="526"/>
      <c r="R201" s="526"/>
    </row>
    <row r="202" spans="1:18">
      <c r="A202" s="6">
        <v>766</v>
      </c>
      <c r="B202" s="6" t="s">
        <v>1548</v>
      </c>
      <c r="C202" s="6">
        <v>297</v>
      </c>
      <c r="D202" s="6" t="s">
        <v>1415</v>
      </c>
      <c r="E202" s="9">
        <v>29.232371798419997</v>
      </c>
      <c r="F202" s="9">
        <v>429555.53772842116</v>
      </c>
      <c r="G202" s="9">
        <v>354383</v>
      </c>
      <c r="I202" s="6" t="str">
        <f t="shared" si="25"/>
        <v>766297</v>
      </c>
      <c r="J202" s="6">
        <f t="shared" si="26"/>
        <v>766</v>
      </c>
      <c r="K202" s="6" t="str">
        <f t="shared" si="27"/>
        <v>Southwick Tolland</v>
      </c>
      <c r="L202" s="6">
        <f t="shared" si="28"/>
        <v>297</v>
      </c>
      <c r="M202" s="6" t="str">
        <f t="shared" si="29"/>
        <v xml:space="preserve">Tolland                      </v>
      </c>
      <c r="N202" s="9">
        <f t="shared" si="30"/>
        <v>29.232371798419997</v>
      </c>
      <c r="O202" s="526">
        <f t="shared" si="31"/>
        <v>429555.53772842116</v>
      </c>
      <c r="P202" s="526">
        <f t="shared" si="32"/>
        <v>354383</v>
      </c>
      <c r="Q202" s="526"/>
      <c r="R202" s="526"/>
    </row>
    <row r="203" spans="1:18">
      <c r="A203" s="6">
        <v>766</v>
      </c>
      <c r="B203" s="6" t="s">
        <v>1084</v>
      </c>
      <c r="C203" s="6">
        <v>112</v>
      </c>
      <c r="D203" s="6" t="s">
        <v>1230</v>
      </c>
      <c r="E203" s="9">
        <v>160.2740384567</v>
      </c>
      <c r="F203" s="9">
        <v>2355149.3271885165</v>
      </c>
      <c r="G203" s="9">
        <v>1749216</v>
      </c>
      <c r="I203" s="6" t="str">
        <f t="shared" si="25"/>
        <v>766112</v>
      </c>
      <c r="J203" s="6">
        <f t="shared" si="26"/>
        <v>766</v>
      </c>
      <c r="K203" s="6" t="str">
        <f t="shared" si="27"/>
        <v>Southwick Tolland Granville</v>
      </c>
      <c r="L203" s="6">
        <f t="shared" si="28"/>
        <v>112</v>
      </c>
      <c r="M203" s="6" t="str">
        <f t="shared" si="29"/>
        <v xml:space="preserve">Granville                    </v>
      </c>
      <c r="N203" s="9">
        <f t="shared" si="30"/>
        <v>160.2740384567</v>
      </c>
      <c r="O203" s="526">
        <f t="shared" si="31"/>
        <v>2355149.3271885165</v>
      </c>
      <c r="P203" s="526">
        <f t="shared" si="32"/>
        <v>1749216</v>
      </c>
      <c r="Q203" s="526"/>
      <c r="R203" s="526"/>
    </row>
    <row r="204" spans="1:18">
      <c r="A204" s="6" t="s">
        <v>2414</v>
      </c>
      <c r="E204" s="9">
        <v>1258</v>
      </c>
      <c r="F204" s="9">
        <v>18485700.379999999</v>
      </c>
      <c r="G204" s="9">
        <v>12602300</v>
      </c>
      <c r="I204" s="6" t="str">
        <f t="shared" si="25"/>
        <v>766999</v>
      </c>
      <c r="J204" s="6">
        <f t="shared" si="26"/>
        <v>766</v>
      </c>
      <c r="K204" s="6">
        <f t="shared" si="27"/>
        <v>0</v>
      </c>
      <c r="L204" s="6">
        <f t="shared" si="28"/>
        <v>0</v>
      </c>
      <c r="M204" s="6">
        <f t="shared" si="29"/>
        <v>0</v>
      </c>
      <c r="N204" s="9">
        <f t="shared" si="30"/>
        <v>1258</v>
      </c>
      <c r="O204" s="526">
        <f t="shared" si="31"/>
        <v>18485700.379999999</v>
      </c>
      <c r="P204" s="526">
        <f t="shared" si="32"/>
        <v>12602300</v>
      </c>
      <c r="Q204" s="526">
        <f>VLOOKUP($J204,aidcalc,25,FALSE)</f>
        <v>10171940.000000769</v>
      </c>
      <c r="R204" s="526">
        <f>VLOOKUP($J204,aidcalc,27,FALSE)</f>
        <v>22774240.000000767</v>
      </c>
    </row>
    <row r="205" spans="1:18">
      <c r="A205" s="6">
        <v>767</v>
      </c>
      <c r="B205" s="6" t="s">
        <v>1085</v>
      </c>
      <c r="C205" s="6">
        <v>84</v>
      </c>
      <c r="D205" s="6" t="s">
        <v>1203</v>
      </c>
      <c r="E205" s="9">
        <v>249.36375488592</v>
      </c>
      <c r="F205" s="9">
        <v>3940407.7812979217</v>
      </c>
      <c r="G205" s="9">
        <v>2090612</v>
      </c>
      <c r="I205" s="6" t="str">
        <f t="shared" si="25"/>
        <v>767084</v>
      </c>
      <c r="J205" s="6">
        <f t="shared" si="26"/>
        <v>767</v>
      </c>
      <c r="K205" s="6" t="str">
        <f t="shared" si="27"/>
        <v>Spencer East Brookfield</v>
      </c>
      <c r="L205" s="6">
        <f t="shared" si="28"/>
        <v>84</v>
      </c>
      <c r="M205" s="6" t="str">
        <f t="shared" si="29"/>
        <v xml:space="preserve">East Brookfield              </v>
      </c>
      <c r="N205" s="9">
        <f t="shared" si="30"/>
        <v>249.36375488592</v>
      </c>
      <c r="O205" s="526">
        <f t="shared" si="31"/>
        <v>3940407.7812979217</v>
      </c>
      <c r="P205" s="526">
        <f t="shared" si="32"/>
        <v>2090612</v>
      </c>
      <c r="Q205" s="526"/>
      <c r="R205" s="526"/>
    </row>
    <row r="206" spans="1:18">
      <c r="A206" s="6">
        <v>767</v>
      </c>
      <c r="B206" s="6" t="s">
        <v>1085</v>
      </c>
      <c r="C206" s="6">
        <v>280</v>
      </c>
      <c r="D206" s="6" t="s">
        <v>1398</v>
      </c>
      <c r="E206" s="9">
        <v>1274.6362451140801</v>
      </c>
      <c r="F206" s="9">
        <v>20141606.308702081</v>
      </c>
      <c r="G206" s="9">
        <v>8962650</v>
      </c>
      <c r="I206" s="6" t="str">
        <f t="shared" si="25"/>
        <v>767280</v>
      </c>
      <c r="J206" s="6">
        <f t="shared" si="26"/>
        <v>767</v>
      </c>
      <c r="K206" s="6" t="str">
        <f t="shared" si="27"/>
        <v>Spencer East Brookfield</v>
      </c>
      <c r="L206" s="6">
        <f t="shared" si="28"/>
        <v>280</v>
      </c>
      <c r="M206" s="6" t="str">
        <f t="shared" si="29"/>
        <v xml:space="preserve">Spencer                      </v>
      </c>
      <c r="N206" s="9">
        <f t="shared" si="30"/>
        <v>1274.6362451140801</v>
      </c>
      <c r="O206" s="526">
        <f t="shared" si="31"/>
        <v>20141606.308702081</v>
      </c>
      <c r="P206" s="526">
        <f t="shared" si="32"/>
        <v>8962650</v>
      </c>
      <c r="Q206" s="526"/>
      <c r="R206" s="526"/>
    </row>
    <row r="207" spans="1:18">
      <c r="A207" s="6" t="s">
        <v>2415</v>
      </c>
      <c r="E207" s="9">
        <v>1524</v>
      </c>
      <c r="F207" s="9">
        <v>24082014.090000004</v>
      </c>
      <c r="G207" s="9">
        <v>11053262</v>
      </c>
      <c r="I207" s="6" t="str">
        <f t="shared" si="25"/>
        <v>767999</v>
      </c>
      <c r="J207" s="6">
        <f t="shared" si="26"/>
        <v>767</v>
      </c>
      <c r="K207" s="6">
        <f t="shared" si="27"/>
        <v>0</v>
      </c>
      <c r="L207" s="6">
        <f t="shared" si="28"/>
        <v>0</v>
      </c>
      <c r="M207" s="6">
        <f t="shared" si="29"/>
        <v>0</v>
      </c>
      <c r="N207" s="9">
        <f t="shared" si="30"/>
        <v>1524</v>
      </c>
      <c r="O207" s="526">
        <f t="shared" si="31"/>
        <v>24082014.090000004</v>
      </c>
      <c r="P207" s="526">
        <f t="shared" si="32"/>
        <v>11053262</v>
      </c>
      <c r="Q207" s="526">
        <f>VLOOKUP($J207,aidcalc,25,FALSE)</f>
        <v>14079530</v>
      </c>
      <c r="R207" s="526">
        <f>VLOOKUP($J207,aidcalc,27,FALSE)</f>
        <v>25132792</v>
      </c>
    </row>
    <row r="208" spans="1:18">
      <c r="A208" s="6">
        <v>770</v>
      </c>
      <c r="B208" s="6" t="s">
        <v>1086</v>
      </c>
      <c r="C208" s="6">
        <v>43</v>
      </c>
      <c r="D208" s="6" t="s">
        <v>1162</v>
      </c>
      <c r="E208" s="9">
        <v>257.33771353283998</v>
      </c>
      <c r="F208" s="9">
        <v>4046777.7902447754</v>
      </c>
      <c r="G208" s="9">
        <v>2116420</v>
      </c>
      <c r="I208" s="6" t="str">
        <f t="shared" si="25"/>
        <v>770043</v>
      </c>
      <c r="J208" s="6">
        <f t="shared" si="26"/>
        <v>770</v>
      </c>
      <c r="K208" s="6" t="str">
        <f t="shared" si="27"/>
        <v>Tantasqua</v>
      </c>
      <c r="L208" s="6">
        <f t="shared" si="28"/>
        <v>43</v>
      </c>
      <c r="M208" s="6" t="str">
        <f t="shared" si="29"/>
        <v xml:space="preserve">Brimfield                    </v>
      </c>
      <c r="N208" s="9">
        <f t="shared" si="30"/>
        <v>257.33771353283998</v>
      </c>
      <c r="O208" s="526">
        <f t="shared" si="31"/>
        <v>4046777.7902447754</v>
      </c>
      <c r="P208" s="526">
        <f t="shared" si="32"/>
        <v>2116420</v>
      </c>
      <c r="Q208" s="526"/>
      <c r="R208" s="526"/>
    </row>
    <row r="209" spans="1:18">
      <c r="A209" s="6">
        <v>770</v>
      </c>
      <c r="B209" s="6" t="s">
        <v>1086</v>
      </c>
      <c r="C209" s="6">
        <v>45</v>
      </c>
      <c r="D209" s="6" t="s">
        <v>1164</v>
      </c>
      <c r="E209" s="9">
        <v>207.27201050976001</v>
      </c>
      <c r="F209" s="9">
        <v>3259466.9360938333</v>
      </c>
      <c r="G209" s="9">
        <v>1418556</v>
      </c>
      <c r="I209" s="6" t="str">
        <f t="shared" si="25"/>
        <v>770045</v>
      </c>
      <c r="J209" s="6">
        <f t="shared" si="26"/>
        <v>770</v>
      </c>
      <c r="K209" s="6" t="str">
        <f t="shared" si="27"/>
        <v>Tantasqua</v>
      </c>
      <c r="L209" s="6">
        <f t="shared" si="28"/>
        <v>45</v>
      </c>
      <c r="M209" s="6" t="str">
        <f t="shared" si="29"/>
        <v xml:space="preserve">Brookfield                   </v>
      </c>
      <c r="N209" s="9">
        <f t="shared" si="30"/>
        <v>207.27201050976001</v>
      </c>
      <c r="O209" s="526">
        <f t="shared" si="31"/>
        <v>3259466.9360938333</v>
      </c>
      <c r="P209" s="526">
        <f t="shared" si="32"/>
        <v>1418556</v>
      </c>
      <c r="Q209" s="526"/>
      <c r="R209" s="526"/>
    </row>
    <row r="210" spans="1:18">
      <c r="A210" s="6">
        <v>770</v>
      </c>
      <c r="B210" s="6" t="s">
        <v>1086</v>
      </c>
      <c r="C210" s="6">
        <v>135</v>
      </c>
      <c r="D210" s="6" t="s">
        <v>1253</v>
      </c>
      <c r="E210" s="9">
        <v>128.16819973116</v>
      </c>
      <c r="F210" s="9">
        <v>2015515.7865017913</v>
      </c>
      <c r="G210" s="9">
        <v>1287649</v>
      </c>
      <c r="I210" s="6" t="str">
        <f t="shared" si="25"/>
        <v>770135</v>
      </c>
      <c r="J210" s="6">
        <f t="shared" si="26"/>
        <v>770</v>
      </c>
      <c r="K210" s="6" t="str">
        <f t="shared" si="27"/>
        <v>Tantasqua</v>
      </c>
      <c r="L210" s="6">
        <f t="shared" si="28"/>
        <v>135</v>
      </c>
      <c r="M210" s="6" t="str">
        <f t="shared" si="29"/>
        <v xml:space="preserve">Holland                      </v>
      </c>
      <c r="N210" s="9">
        <f t="shared" si="30"/>
        <v>128.16819973116</v>
      </c>
      <c r="O210" s="526">
        <f t="shared" si="31"/>
        <v>2015515.7865017913</v>
      </c>
      <c r="P210" s="526">
        <f t="shared" si="32"/>
        <v>1287649</v>
      </c>
      <c r="Q210" s="526"/>
      <c r="R210" s="526"/>
    </row>
    <row r="211" spans="1:18">
      <c r="A211" s="6">
        <v>770</v>
      </c>
      <c r="B211" s="6" t="s">
        <v>1086</v>
      </c>
      <c r="C211" s="6">
        <v>287</v>
      </c>
      <c r="D211" s="6" t="s">
        <v>1405</v>
      </c>
      <c r="E211" s="9">
        <v>794.04204993660005</v>
      </c>
      <c r="F211" s="9">
        <v>12486750.146685364</v>
      </c>
      <c r="G211" s="9">
        <v>6886611</v>
      </c>
      <c r="I211" s="6" t="str">
        <f t="shared" si="25"/>
        <v>770287</v>
      </c>
      <c r="J211" s="6">
        <f t="shared" si="26"/>
        <v>770</v>
      </c>
      <c r="K211" s="6" t="str">
        <f t="shared" si="27"/>
        <v>Tantasqua</v>
      </c>
      <c r="L211" s="6">
        <f t="shared" si="28"/>
        <v>287</v>
      </c>
      <c r="M211" s="6" t="str">
        <f t="shared" si="29"/>
        <v xml:space="preserve">Sturbridge                   </v>
      </c>
      <c r="N211" s="9">
        <f t="shared" si="30"/>
        <v>794.04204993660005</v>
      </c>
      <c r="O211" s="526">
        <f t="shared" si="31"/>
        <v>12486750.146685364</v>
      </c>
      <c r="P211" s="526">
        <f t="shared" si="32"/>
        <v>6886611</v>
      </c>
      <c r="Q211" s="526"/>
      <c r="R211" s="526"/>
    </row>
    <row r="212" spans="1:18">
      <c r="A212" s="6">
        <v>770</v>
      </c>
      <c r="B212" s="6" t="s">
        <v>1086</v>
      </c>
      <c r="C212" s="6">
        <v>306</v>
      </c>
      <c r="D212" s="6" t="s">
        <v>1424</v>
      </c>
      <c r="E212" s="9">
        <v>137.18002627440001</v>
      </c>
      <c r="F212" s="9">
        <v>2157231.7402345818</v>
      </c>
      <c r="G212" s="9">
        <v>795557</v>
      </c>
      <c r="I212" s="6" t="str">
        <f t="shared" si="25"/>
        <v>770306</v>
      </c>
      <c r="J212" s="6">
        <f t="shared" si="26"/>
        <v>770</v>
      </c>
      <c r="K212" s="6" t="str">
        <f t="shared" si="27"/>
        <v>Tantasqua</v>
      </c>
      <c r="L212" s="6">
        <f t="shared" si="28"/>
        <v>306</v>
      </c>
      <c r="M212" s="6" t="str">
        <f t="shared" si="29"/>
        <v xml:space="preserve">Wales                        </v>
      </c>
      <c r="N212" s="9">
        <f t="shared" si="30"/>
        <v>137.18002627440001</v>
      </c>
      <c r="O212" s="526">
        <f t="shared" si="31"/>
        <v>2157231.7402345818</v>
      </c>
      <c r="P212" s="526">
        <f t="shared" si="32"/>
        <v>795557</v>
      </c>
      <c r="Q212" s="526"/>
      <c r="R212" s="526"/>
    </row>
    <row r="213" spans="1:18">
      <c r="A213" s="6" t="s">
        <v>2416</v>
      </c>
      <c r="E213" s="9">
        <v>1523.9999999847601</v>
      </c>
      <c r="F213" s="9">
        <v>23965742.399760343</v>
      </c>
      <c r="G213" s="9">
        <v>12504793</v>
      </c>
      <c r="I213" s="6" t="str">
        <f t="shared" si="25"/>
        <v>770999</v>
      </c>
      <c r="J213" s="6">
        <f t="shared" si="26"/>
        <v>770</v>
      </c>
      <c r="K213" s="6">
        <f t="shared" si="27"/>
        <v>0</v>
      </c>
      <c r="L213" s="6">
        <f t="shared" si="28"/>
        <v>0</v>
      </c>
      <c r="M213" s="6">
        <f t="shared" si="29"/>
        <v>0</v>
      </c>
      <c r="N213" s="9">
        <f t="shared" si="30"/>
        <v>1523.9999999847601</v>
      </c>
      <c r="O213" s="526">
        <f t="shared" si="31"/>
        <v>23965742.399760343</v>
      </c>
      <c r="P213" s="526">
        <f t="shared" si="32"/>
        <v>12504793</v>
      </c>
      <c r="Q213" s="526">
        <f>VLOOKUP($J213,aidcalc,25,FALSE)</f>
        <v>11460949</v>
      </c>
      <c r="R213" s="526">
        <f>VLOOKUP($J213,aidcalc,27,FALSE)</f>
        <v>23965742</v>
      </c>
    </row>
    <row r="214" spans="1:18">
      <c r="A214" s="6">
        <v>773</v>
      </c>
      <c r="B214" s="6" t="s">
        <v>1087</v>
      </c>
      <c r="C214" s="6">
        <v>203</v>
      </c>
      <c r="D214" s="6" t="s">
        <v>1321</v>
      </c>
      <c r="E214" s="9">
        <v>617.42263279619999</v>
      </c>
      <c r="F214" s="9">
        <v>8627410.4962582532</v>
      </c>
      <c r="G214" s="9">
        <v>7117613</v>
      </c>
      <c r="I214" s="6" t="str">
        <f t="shared" si="25"/>
        <v>773203</v>
      </c>
      <c r="J214" s="6">
        <f t="shared" si="26"/>
        <v>773</v>
      </c>
      <c r="K214" s="6" t="str">
        <f t="shared" si="27"/>
        <v>Triton</v>
      </c>
      <c r="L214" s="6">
        <f t="shared" si="28"/>
        <v>203</v>
      </c>
      <c r="M214" s="6" t="str">
        <f t="shared" si="29"/>
        <v xml:space="preserve">Newbury                      </v>
      </c>
      <c r="N214" s="9">
        <f t="shared" si="30"/>
        <v>617.42263279619999</v>
      </c>
      <c r="O214" s="526">
        <f t="shared" si="31"/>
        <v>8627410.4962582532</v>
      </c>
      <c r="P214" s="526">
        <f t="shared" si="32"/>
        <v>7117613</v>
      </c>
      <c r="Q214" s="526"/>
      <c r="R214" s="526"/>
    </row>
    <row r="215" spans="1:18">
      <c r="A215" s="6">
        <v>773</v>
      </c>
      <c r="B215" s="6" t="s">
        <v>1087</v>
      </c>
      <c r="C215" s="6">
        <v>254</v>
      </c>
      <c r="D215" s="6" t="s">
        <v>1372</v>
      </c>
      <c r="E215" s="9">
        <v>708.04434179555994</v>
      </c>
      <c r="F215" s="9">
        <v>9893691.7141481172</v>
      </c>
      <c r="G215" s="9">
        <v>7727538</v>
      </c>
      <c r="I215" s="6" t="str">
        <f t="shared" si="25"/>
        <v>773254</v>
      </c>
      <c r="J215" s="6">
        <f t="shared" si="26"/>
        <v>773</v>
      </c>
      <c r="K215" s="6" t="str">
        <f t="shared" si="27"/>
        <v>Triton</v>
      </c>
      <c r="L215" s="6">
        <f t="shared" si="28"/>
        <v>254</v>
      </c>
      <c r="M215" s="6" t="str">
        <f t="shared" si="29"/>
        <v xml:space="preserve">Rowley                       </v>
      </c>
      <c r="N215" s="9">
        <f t="shared" si="30"/>
        <v>708.04434179555994</v>
      </c>
      <c r="O215" s="526">
        <f t="shared" si="31"/>
        <v>9893691.7141481172</v>
      </c>
      <c r="P215" s="526">
        <f t="shared" si="32"/>
        <v>7727538</v>
      </c>
      <c r="Q215" s="526"/>
      <c r="R215" s="526"/>
    </row>
    <row r="216" spans="1:18">
      <c r="A216" s="6">
        <v>773</v>
      </c>
      <c r="B216" s="6" t="s">
        <v>1087</v>
      </c>
      <c r="C216" s="6">
        <v>259</v>
      </c>
      <c r="D216" s="6" t="s">
        <v>1377</v>
      </c>
      <c r="E216" s="9">
        <v>830.53302540824006</v>
      </c>
      <c r="F216" s="9">
        <v>11605258.635313623</v>
      </c>
      <c r="G216" s="9">
        <v>9305123</v>
      </c>
      <c r="I216" s="6" t="str">
        <f t="shared" si="25"/>
        <v>773259</v>
      </c>
      <c r="J216" s="6">
        <f t="shared" si="26"/>
        <v>773</v>
      </c>
      <c r="K216" s="6" t="str">
        <f t="shared" si="27"/>
        <v>Triton</v>
      </c>
      <c r="L216" s="6">
        <f t="shared" si="28"/>
        <v>259</v>
      </c>
      <c r="M216" s="6" t="str">
        <f t="shared" si="29"/>
        <v xml:space="preserve">Salisbury                    </v>
      </c>
      <c r="N216" s="9">
        <f t="shared" si="30"/>
        <v>830.53302540824006</v>
      </c>
      <c r="O216" s="526">
        <f t="shared" si="31"/>
        <v>11605258.635313623</v>
      </c>
      <c r="P216" s="526">
        <f t="shared" si="32"/>
        <v>9305123</v>
      </c>
      <c r="Q216" s="526"/>
      <c r="R216" s="526"/>
    </row>
    <row r="217" spans="1:18">
      <c r="A217" s="6" t="s">
        <v>2417</v>
      </c>
      <c r="E217" s="9">
        <v>2156</v>
      </c>
      <c r="F217" s="9">
        <v>30126360.845719993</v>
      </c>
      <c r="G217" s="9">
        <v>24150274</v>
      </c>
      <c r="I217" s="6" t="str">
        <f t="shared" si="25"/>
        <v>773999</v>
      </c>
      <c r="J217" s="6">
        <f t="shared" si="26"/>
        <v>773</v>
      </c>
      <c r="K217" s="6">
        <f t="shared" si="27"/>
        <v>0</v>
      </c>
      <c r="L217" s="6">
        <f t="shared" si="28"/>
        <v>0</v>
      </c>
      <c r="M217" s="6">
        <f t="shared" si="29"/>
        <v>0</v>
      </c>
      <c r="N217" s="9">
        <f t="shared" si="30"/>
        <v>2156</v>
      </c>
      <c r="O217" s="526">
        <f t="shared" si="31"/>
        <v>30126360.845719993</v>
      </c>
      <c r="P217" s="526">
        <f t="shared" si="32"/>
        <v>24150274</v>
      </c>
      <c r="Q217" s="526">
        <f>VLOOKUP($J217,aidcalc,25,FALSE)</f>
        <v>9331284.9999986663</v>
      </c>
      <c r="R217" s="526">
        <f>VLOOKUP($J217,aidcalc,27,FALSE)</f>
        <v>33481558.999998666</v>
      </c>
    </row>
    <row r="218" spans="1:18">
      <c r="A218" s="6">
        <v>774</v>
      </c>
      <c r="B218" s="6" t="s">
        <v>1088</v>
      </c>
      <c r="C218" s="6">
        <v>62</v>
      </c>
      <c r="D218" s="6" t="s">
        <v>1181</v>
      </c>
      <c r="E218" s="9">
        <v>64.8214285719</v>
      </c>
      <c r="F218" s="9">
        <v>867359.50041447137</v>
      </c>
      <c r="G218" s="9">
        <v>715572</v>
      </c>
      <c r="I218" s="6" t="str">
        <f t="shared" si="25"/>
        <v>774062</v>
      </c>
      <c r="J218" s="6">
        <f t="shared" si="26"/>
        <v>774</v>
      </c>
      <c r="K218" s="6" t="str">
        <f t="shared" si="27"/>
        <v>Upisland</v>
      </c>
      <c r="L218" s="6">
        <f t="shared" si="28"/>
        <v>62</v>
      </c>
      <c r="M218" s="6" t="str">
        <f t="shared" si="29"/>
        <v xml:space="preserve">Chilmark                     </v>
      </c>
      <c r="N218" s="9">
        <f t="shared" si="30"/>
        <v>64.8214285719</v>
      </c>
      <c r="O218" s="526">
        <f t="shared" si="31"/>
        <v>867359.50041447137</v>
      </c>
      <c r="P218" s="526">
        <f t="shared" si="32"/>
        <v>715572</v>
      </c>
      <c r="Q218" s="526"/>
      <c r="R218" s="526"/>
    </row>
    <row r="219" spans="1:18">
      <c r="A219" s="6">
        <v>774</v>
      </c>
      <c r="B219" s="6" t="s">
        <v>1088</v>
      </c>
      <c r="C219" s="6">
        <v>104</v>
      </c>
      <c r="D219" s="6" t="s">
        <v>785</v>
      </c>
      <c r="E219" s="9">
        <v>43.214285714600003</v>
      </c>
      <c r="F219" s="9">
        <v>578239.66694298096</v>
      </c>
      <c r="G219" s="9">
        <v>477048</v>
      </c>
      <c r="I219" s="6" t="str">
        <f t="shared" si="25"/>
        <v>774104</v>
      </c>
      <c r="J219" s="6">
        <f t="shared" si="26"/>
        <v>774</v>
      </c>
      <c r="K219" s="6" t="str">
        <f t="shared" si="27"/>
        <v>Upisland</v>
      </c>
      <c r="L219" s="6">
        <f t="shared" si="28"/>
        <v>104</v>
      </c>
      <c r="M219" s="6" t="str">
        <f t="shared" si="29"/>
        <v>Aquinnah</v>
      </c>
      <c r="N219" s="9">
        <f t="shared" si="30"/>
        <v>43.214285714600003</v>
      </c>
      <c r="O219" s="526">
        <f t="shared" si="31"/>
        <v>578239.66694298096</v>
      </c>
      <c r="P219" s="526">
        <f t="shared" si="32"/>
        <v>477048</v>
      </c>
      <c r="Q219" s="526"/>
      <c r="R219" s="526"/>
    </row>
    <row r="220" spans="1:18">
      <c r="A220" s="6">
        <v>774</v>
      </c>
      <c r="B220" s="6" t="s">
        <v>1088</v>
      </c>
      <c r="C220" s="6">
        <v>334</v>
      </c>
      <c r="D220" s="6" t="s">
        <v>1452</v>
      </c>
      <c r="E220" s="9">
        <v>276.96428571349998</v>
      </c>
      <c r="F220" s="9">
        <v>3705990.592642548</v>
      </c>
      <c r="G220" s="9">
        <v>3057442</v>
      </c>
      <c r="I220" s="6" t="str">
        <f t="shared" si="25"/>
        <v>774334</v>
      </c>
      <c r="J220" s="6">
        <f t="shared" si="26"/>
        <v>774</v>
      </c>
      <c r="K220" s="6" t="str">
        <f t="shared" si="27"/>
        <v>Upisland</v>
      </c>
      <c r="L220" s="6">
        <f t="shared" si="28"/>
        <v>334</v>
      </c>
      <c r="M220" s="6" t="str">
        <f t="shared" si="29"/>
        <v xml:space="preserve">West Tisbury                 </v>
      </c>
      <c r="N220" s="9">
        <f t="shared" si="30"/>
        <v>276.96428571349998</v>
      </c>
      <c r="O220" s="526">
        <f t="shared" si="31"/>
        <v>3705990.592642548</v>
      </c>
      <c r="P220" s="526">
        <f t="shared" si="32"/>
        <v>3057442</v>
      </c>
      <c r="Q220" s="526"/>
      <c r="R220" s="526"/>
    </row>
    <row r="221" spans="1:18">
      <c r="A221" s="6" t="s">
        <v>2418</v>
      </c>
      <c r="E221" s="9">
        <v>385</v>
      </c>
      <c r="F221" s="9">
        <v>5151589.76</v>
      </c>
      <c r="G221" s="9">
        <v>4250062</v>
      </c>
      <c r="I221" s="6" t="str">
        <f t="shared" si="25"/>
        <v>774999</v>
      </c>
      <c r="J221" s="6">
        <f t="shared" si="26"/>
        <v>774</v>
      </c>
      <c r="K221" s="6">
        <f t="shared" si="27"/>
        <v>0</v>
      </c>
      <c r="L221" s="6">
        <f t="shared" si="28"/>
        <v>0</v>
      </c>
      <c r="M221" s="6">
        <f t="shared" si="29"/>
        <v>0</v>
      </c>
      <c r="N221" s="9">
        <f t="shared" si="30"/>
        <v>385</v>
      </c>
      <c r="O221" s="526">
        <f t="shared" si="31"/>
        <v>5151589.76</v>
      </c>
      <c r="P221" s="526">
        <f t="shared" si="32"/>
        <v>4250062</v>
      </c>
      <c r="Q221" s="526">
        <f>VLOOKUP($J221,aidcalc,25,FALSE)</f>
        <v>1007712</v>
      </c>
      <c r="R221" s="526">
        <f>VLOOKUP($J221,aidcalc,27,FALSE)</f>
        <v>5257774</v>
      </c>
    </row>
    <row r="222" spans="1:18">
      <c r="A222" s="6">
        <v>775</v>
      </c>
      <c r="B222" s="6" t="s">
        <v>1089</v>
      </c>
      <c r="C222" s="6">
        <v>134</v>
      </c>
      <c r="D222" s="6" t="s">
        <v>1252</v>
      </c>
      <c r="E222" s="9">
        <v>3198.0863656347897</v>
      </c>
      <c r="F222" s="9">
        <v>40636539.975623816</v>
      </c>
      <c r="G222" s="9">
        <v>23138212</v>
      </c>
      <c r="I222" s="6" t="str">
        <f t="shared" si="25"/>
        <v>775134</v>
      </c>
      <c r="J222" s="6">
        <f t="shared" si="26"/>
        <v>775</v>
      </c>
      <c r="K222" s="6" t="str">
        <f t="shared" si="27"/>
        <v>Wachusett</v>
      </c>
      <c r="L222" s="6">
        <f t="shared" si="28"/>
        <v>134</v>
      </c>
      <c r="M222" s="6" t="str">
        <f t="shared" si="29"/>
        <v xml:space="preserve">Holden                       </v>
      </c>
      <c r="N222" s="9">
        <f t="shared" si="30"/>
        <v>3198.0863656347897</v>
      </c>
      <c r="O222" s="526">
        <f t="shared" si="31"/>
        <v>40636539.975623816</v>
      </c>
      <c r="P222" s="526">
        <f t="shared" si="32"/>
        <v>23138212</v>
      </c>
      <c r="Q222" s="526"/>
      <c r="R222" s="526"/>
    </row>
    <row r="223" spans="1:18">
      <c r="A223" s="6">
        <v>775</v>
      </c>
      <c r="B223" s="6" t="s">
        <v>1089</v>
      </c>
      <c r="C223" s="6">
        <v>228</v>
      </c>
      <c r="D223" s="6" t="s">
        <v>1346</v>
      </c>
      <c r="E223" s="9">
        <v>616.73827268321998</v>
      </c>
      <c r="F223" s="9">
        <v>7836595.578435624</v>
      </c>
      <c r="G223" s="9">
        <v>4998051</v>
      </c>
      <c r="I223" s="6" t="str">
        <f t="shared" si="25"/>
        <v>775228</v>
      </c>
      <c r="J223" s="6">
        <f t="shared" si="26"/>
        <v>775</v>
      </c>
      <c r="K223" s="6" t="str">
        <f t="shared" si="27"/>
        <v>Wachusett</v>
      </c>
      <c r="L223" s="6">
        <f t="shared" si="28"/>
        <v>228</v>
      </c>
      <c r="M223" s="6" t="str">
        <f t="shared" si="29"/>
        <v xml:space="preserve">Paxton                       </v>
      </c>
      <c r="N223" s="9">
        <f t="shared" si="30"/>
        <v>616.73827268321998</v>
      </c>
      <c r="O223" s="526">
        <f t="shared" si="31"/>
        <v>7836595.578435624</v>
      </c>
      <c r="P223" s="526">
        <f t="shared" si="32"/>
        <v>4998051</v>
      </c>
      <c r="Q223" s="526"/>
      <c r="R223" s="526"/>
    </row>
    <row r="224" spans="1:18">
      <c r="A224" s="6">
        <v>775</v>
      </c>
      <c r="B224" s="6" t="s">
        <v>1089</v>
      </c>
      <c r="C224" s="6">
        <v>241</v>
      </c>
      <c r="D224" s="6" t="s">
        <v>1359</v>
      </c>
      <c r="E224" s="9">
        <v>422.76413856030001</v>
      </c>
      <c r="F224" s="9">
        <v>5371859.8726635063</v>
      </c>
      <c r="G224" s="9">
        <v>4223374</v>
      </c>
      <c r="I224" s="6" t="str">
        <f t="shared" si="25"/>
        <v>775241</v>
      </c>
      <c r="J224" s="6">
        <f t="shared" si="26"/>
        <v>775</v>
      </c>
      <c r="K224" s="6" t="str">
        <f t="shared" si="27"/>
        <v>Wachusett</v>
      </c>
      <c r="L224" s="6">
        <f t="shared" si="28"/>
        <v>241</v>
      </c>
      <c r="M224" s="6" t="str">
        <f t="shared" si="29"/>
        <v xml:space="preserve">Princeton                    </v>
      </c>
      <c r="N224" s="9">
        <f t="shared" si="30"/>
        <v>422.76413856030001</v>
      </c>
      <c r="O224" s="526">
        <f t="shared" si="31"/>
        <v>5371859.8726635063</v>
      </c>
      <c r="P224" s="526">
        <f t="shared" si="32"/>
        <v>4223374</v>
      </c>
      <c r="Q224" s="526"/>
      <c r="R224" s="526"/>
    </row>
    <row r="225" spans="1:18">
      <c r="A225" s="6">
        <v>775</v>
      </c>
      <c r="B225" s="6" t="s">
        <v>1089</v>
      </c>
      <c r="C225" s="6">
        <v>257</v>
      </c>
      <c r="D225" s="6" t="s">
        <v>1375</v>
      </c>
      <c r="E225" s="9">
        <v>1645.29855327204</v>
      </c>
      <c r="F225" s="9">
        <v>20906014.656237829</v>
      </c>
      <c r="G225" s="9">
        <v>9185777</v>
      </c>
      <c r="I225" s="6" t="str">
        <f t="shared" si="25"/>
        <v>775257</v>
      </c>
      <c r="J225" s="6">
        <f t="shared" si="26"/>
        <v>775</v>
      </c>
      <c r="K225" s="6" t="str">
        <f t="shared" si="27"/>
        <v>Wachusett</v>
      </c>
      <c r="L225" s="6">
        <f t="shared" si="28"/>
        <v>257</v>
      </c>
      <c r="M225" s="6" t="str">
        <f t="shared" si="29"/>
        <v xml:space="preserve">Rutland                      </v>
      </c>
      <c r="N225" s="9">
        <f t="shared" si="30"/>
        <v>1645.29855327204</v>
      </c>
      <c r="O225" s="526">
        <f t="shared" si="31"/>
        <v>20906014.656237829</v>
      </c>
      <c r="P225" s="526">
        <f t="shared" si="32"/>
        <v>9185777</v>
      </c>
      <c r="Q225" s="526"/>
      <c r="R225" s="526"/>
    </row>
    <row r="226" spans="1:18">
      <c r="A226" s="6">
        <v>775</v>
      </c>
      <c r="B226" s="6" t="s">
        <v>1089</v>
      </c>
      <c r="C226" s="6">
        <v>282</v>
      </c>
      <c r="D226" s="6" t="s">
        <v>1400</v>
      </c>
      <c r="E226" s="9">
        <v>924.11266984965005</v>
      </c>
      <c r="F226" s="9">
        <v>11742253.697039196</v>
      </c>
      <c r="G226" s="9">
        <v>9647691</v>
      </c>
      <c r="I226" s="6" t="str">
        <f t="shared" si="25"/>
        <v>775282</v>
      </c>
      <c r="J226" s="6">
        <f t="shared" si="26"/>
        <v>775</v>
      </c>
      <c r="K226" s="6" t="str">
        <f t="shared" si="27"/>
        <v>Wachusett</v>
      </c>
      <c r="L226" s="6">
        <f t="shared" si="28"/>
        <v>282</v>
      </c>
      <c r="M226" s="6" t="str">
        <f t="shared" si="29"/>
        <v xml:space="preserve">Sterling                     </v>
      </c>
      <c r="N226" s="9">
        <f t="shared" si="30"/>
        <v>924.11266984965005</v>
      </c>
      <c r="O226" s="526">
        <f t="shared" si="31"/>
        <v>11742253.697039196</v>
      </c>
      <c r="P226" s="526">
        <f t="shared" si="32"/>
        <v>9647691</v>
      </c>
      <c r="Q226" s="526"/>
      <c r="R226" s="526"/>
    </row>
    <row r="227" spans="1:18">
      <c r="A227" s="6" t="s">
        <v>2419</v>
      </c>
      <c r="E227" s="9">
        <v>6807</v>
      </c>
      <c r="F227" s="9">
        <v>86493263.779999971</v>
      </c>
      <c r="G227" s="9">
        <v>51193105</v>
      </c>
      <c r="I227" s="6" t="str">
        <f t="shared" si="25"/>
        <v>775999</v>
      </c>
      <c r="J227" s="6">
        <f t="shared" si="26"/>
        <v>775</v>
      </c>
      <c r="K227" s="6">
        <f t="shared" si="27"/>
        <v>0</v>
      </c>
      <c r="L227" s="6">
        <f t="shared" si="28"/>
        <v>0</v>
      </c>
      <c r="M227" s="6">
        <f t="shared" si="29"/>
        <v>0</v>
      </c>
      <c r="N227" s="9">
        <f t="shared" si="30"/>
        <v>6807</v>
      </c>
      <c r="O227" s="526">
        <f t="shared" si="31"/>
        <v>86493263.779999971</v>
      </c>
      <c r="P227" s="526">
        <f t="shared" si="32"/>
        <v>51193105</v>
      </c>
      <c r="Q227" s="526">
        <f>VLOOKUP($J227,aidcalc,25,FALSE)</f>
        <v>36558963</v>
      </c>
      <c r="R227" s="526">
        <f>VLOOKUP($J227,aidcalc,27,FALSE)</f>
        <v>87752068</v>
      </c>
    </row>
    <row r="228" spans="1:18">
      <c r="A228" s="6">
        <v>778</v>
      </c>
      <c r="B228" s="6" t="s">
        <v>1090</v>
      </c>
      <c r="C228" s="6">
        <v>311</v>
      </c>
      <c r="D228" s="6" t="s">
        <v>1429</v>
      </c>
      <c r="E228" s="9">
        <v>608.81291548242007</v>
      </c>
      <c r="F228" s="9">
        <v>9239613.683993686</v>
      </c>
      <c r="G228" s="9">
        <v>2961937</v>
      </c>
      <c r="I228" s="6" t="str">
        <f t="shared" si="25"/>
        <v>778311</v>
      </c>
      <c r="J228" s="6">
        <f t="shared" si="26"/>
        <v>778</v>
      </c>
      <c r="K228" s="6" t="str">
        <f t="shared" si="27"/>
        <v>Quaboag</v>
      </c>
      <c r="L228" s="6">
        <f t="shared" si="28"/>
        <v>311</v>
      </c>
      <c r="M228" s="6" t="str">
        <f t="shared" si="29"/>
        <v xml:space="preserve">Warren                       </v>
      </c>
      <c r="N228" s="9">
        <f t="shared" si="30"/>
        <v>608.81291548242007</v>
      </c>
      <c r="O228" s="526">
        <f t="shared" si="31"/>
        <v>9239613.683993686</v>
      </c>
      <c r="P228" s="526">
        <f t="shared" si="32"/>
        <v>2961937</v>
      </c>
      <c r="Q228" s="526"/>
      <c r="R228" s="526"/>
    </row>
    <row r="229" spans="1:18">
      <c r="A229" s="6">
        <v>778</v>
      </c>
      <c r="B229" s="6" t="s">
        <v>1090</v>
      </c>
      <c r="C229" s="6">
        <v>324</v>
      </c>
      <c r="D229" s="6" t="s">
        <v>1442</v>
      </c>
      <c r="E229" s="9">
        <v>425.18708451758005</v>
      </c>
      <c r="F229" s="9">
        <v>6452826.9760063142</v>
      </c>
      <c r="G229" s="9">
        <v>3659871</v>
      </c>
      <c r="I229" s="6" t="str">
        <f t="shared" si="25"/>
        <v>778324</v>
      </c>
      <c r="J229" s="6">
        <f t="shared" si="26"/>
        <v>778</v>
      </c>
      <c r="K229" s="6" t="str">
        <f t="shared" si="27"/>
        <v>Quaboag</v>
      </c>
      <c r="L229" s="6">
        <f t="shared" si="28"/>
        <v>324</v>
      </c>
      <c r="M229" s="6" t="str">
        <f t="shared" si="29"/>
        <v xml:space="preserve">West Brookfield              </v>
      </c>
      <c r="N229" s="9">
        <f t="shared" si="30"/>
        <v>425.18708451758005</v>
      </c>
      <c r="O229" s="526">
        <f t="shared" si="31"/>
        <v>6452826.9760063142</v>
      </c>
      <c r="P229" s="526">
        <f t="shared" si="32"/>
        <v>3659871</v>
      </c>
      <c r="Q229" s="526"/>
      <c r="R229" s="526"/>
    </row>
    <row r="230" spans="1:18">
      <c r="A230" s="6" t="s">
        <v>2420</v>
      </c>
      <c r="E230" s="9">
        <v>1034</v>
      </c>
      <c r="F230" s="9">
        <v>15692440.66</v>
      </c>
      <c r="G230" s="9">
        <v>6621808</v>
      </c>
      <c r="I230" s="6" t="str">
        <f t="shared" si="25"/>
        <v>778999</v>
      </c>
      <c r="J230" s="6">
        <f t="shared" si="26"/>
        <v>778</v>
      </c>
      <c r="K230" s="6">
        <f t="shared" si="27"/>
        <v>0</v>
      </c>
      <c r="L230" s="6">
        <f t="shared" si="28"/>
        <v>0</v>
      </c>
      <c r="M230" s="6">
        <f t="shared" si="29"/>
        <v>0</v>
      </c>
      <c r="N230" s="9">
        <f t="shared" si="30"/>
        <v>1034</v>
      </c>
      <c r="O230" s="526">
        <f t="shared" si="31"/>
        <v>15692440.66</v>
      </c>
      <c r="P230" s="526">
        <f t="shared" si="32"/>
        <v>6621808</v>
      </c>
      <c r="Q230" s="526">
        <f>VLOOKUP($J230,aidcalc,25,FALSE)</f>
        <v>10445665</v>
      </c>
      <c r="R230" s="526">
        <f>VLOOKUP($J230,aidcalc,27,FALSE)</f>
        <v>17067473</v>
      </c>
    </row>
    <row r="231" spans="1:18">
      <c r="A231" s="6">
        <v>780</v>
      </c>
      <c r="B231" s="6" t="s">
        <v>1091</v>
      </c>
      <c r="C231" s="6">
        <v>123</v>
      </c>
      <c r="D231" s="6" t="s">
        <v>1241</v>
      </c>
      <c r="E231" s="9">
        <v>1360.7477678672401</v>
      </c>
      <c r="F231" s="9">
        <v>18866191.058510531</v>
      </c>
      <c r="G231" s="9">
        <v>11412032</v>
      </c>
      <c r="I231" s="6" t="str">
        <f t="shared" si="25"/>
        <v>780123</v>
      </c>
      <c r="J231" s="6">
        <f t="shared" si="26"/>
        <v>780</v>
      </c>
      <c r="K231" s="6" t="str">
        <f t="shared" si="27"/>
        <v>Whitman Hanson</v>
      </c>
      <c r="L231" s="6">
        <f t="shared" si="28"/>
        <v>123</v>
      </c>
      <c r="M231" s="6" t="str">
        <f t="shared" si="29"/>
        <v xml:space="preserve">Hanson                       </v>
      </c>
      <c r="N231" s="9">
        <f t="shared" si="30"/>
        <v>1360.7477678672401</v>
      </c>
      <c r="O231" s="526">
        <f t="shared" si="31"/>
        <v>18866191.058510531</v>
      </c>
      <c r="P231" s="526">
        <f t="shared" si="32"/>
        <v>11412032</v>
      </c>
      <c r="Q231" s="526"/>
      <c r="R231" s="526"/>
    </row>
    <row r="232" spans="1:18">
      <c r="A232" s="6">
        <v>780</v>
      </c>
      <c r="B232" s="6" t="s">
        <v>1091</v>
      </c>
      <c r="C232" s="6">
        <v>338</v>
      </c>
      <c r="D232" s="6" t="s">
        <v>1456</v>
      </c>
      <c r="E232" s="9">
        <v>2173.2522321327601</v>
      </c>
      <c r="F232" s="9">
        <v>30131221.081489474</v>
      </c>
      <c r="G232" s="9">
        <v>13276139</v>
      </c>
      <c r="I232" s="6" t="str">
        <f t="shared" si="25"/>
        <v>780338</v>
      </c>
      <c r="J232" s="6">
        <f t="shared" si="26"/>
        <v>780</v>
      </c>
      <c r="K232" s="6" t="str">
        <f t="shared" si="27"/>
        <v>Whitman Hanson</v>
      </c>
      <c r="L232" s="6">
        <f t="shared" si="28"/>
        <v>338</v>
      </c>
      <c r="M232" s="6" t="str">
        <f t="shared" si="29"/>
        <v xml:space="preserve">Whitman                      </v>
      </c>
      <c r="N232" s="9">
        <f t="shared" si="30"/>
        <v>2173.2522321327601</v>
      </c>
      <c r="O232" s="526">
        <f t="shared" si="31"/>
        <v>30131221.081489474</v>
      </c>
      <c r="P232" s="526">
        <f t="shared" si="32"/>
        <v>13276139</v>
      </c>
      <c r="Q232" s="526"/>
      <c r="R232" s="526"/>
    </row>
    <row r="233" spans="1:18">
      <c r="A233" s="6" t="s">
        <v>2421</v>
      </c>
      <c r="E233" s="9">
        <v>3534</v>
      </c>
      <c r="F233" s="9">
        <v>48997412.140000001</v>
      </c>
      <c r="G233" s="9">
        <v>24688171</v>
      </c>
      <c r="I233" s="6" t="str">
        <f t="shared" si="25"/>
        <v>780999</v>
      </c>
      <c r="J233" s="6">
        <f t="shared" si="26"/>
        <v>780</v>
      </c>
      <c r="K233" s="6">
        <f t="shared" si="27"/>
        <v>0</v>
      </c>
      <c r="L233" s="6">
        <f t="shared" si="28"/>
        <v>0</v>
      </c>
      <c r="M233" s="6">
        <f t="shared" si="29"/>
        <v>0</v>
      </c>
      <c r="N233" s="9">
        <f t="shared" si="30"/>
        <v>3534</v>
      </c>
      <c r="O233" s="526">
        <f t="shared" si="31"/>
        <v>48997412.140000001</v>
      </c>
      <c r="P233" s="526">
        <f t="shared" si="32"/>
        <v>24688171</v>
      </c>
      <c r="Q233" s="526">
        <f>VLOOKUP($J233,aidcalc,25,FALSE)</f>
        <v>25670796</v>
      </c>
      <c r="R233" s="526">
        <f>VLOOKUP($J233,aidcalc,27,FALSE)</f>
        <v>50358967</v>
      </c>
    </row>
    <row r="234" spans="1:18">
      <c r="A234" s="6">
        <v>801</v>
      </c>
      <c r="B234" s="6" t="s">
        <v>1092</v>
      </c>
      <c r="C234" s="6">
        <v>28</v>
      </c>
      <c r="D234" s="6" t="s">
        <v>1147</v>
      </c>
      <c r="E234" s="9">
        <v>37.000000001050005</v>
      </c>
      <c r="F234" s="9">
        <v>847371.62566977821</v>
      </c>
      <c r="G234" s="9">
        <v>597909</v>
      </c>
      <c r="I234" s="6" t="str">
        <f t="shared" si="25"/>
        <v>801028</v>
      </c>
      <c r="J234" s="6">
        <f t="shared" si="26"/>
        <v>801</v>
      </c>
      <c r="K234" s="6" t="str">
        <f t="shared" si="27"/>
        <v>Assabet Valley</v>
      </c>
      <c r="L234" s="6">
        <f t="shared" si="28"/>
        <v>28</v>
      </c>
      <c r="M234" s="6" t="str">
        <f t="shared" si="29"/>
        <v xml:space="preserve">Berlin                       </v>
      </c>
      <c r="N234" s="9">
        <f t="shared" si="30"/>
        <v>37.000000001050005</v>
      </c>
      <c r="O234" s="526">
        <f t="shared" si="31"/>
        <v>847371.62566977821</v>
      </c>
      <c r="P234" s="526">
        <f t="shared" si="32"/>
        <v>597909</v>
      </c>
      <c r="Q234" s="526"/>
      <c r="R234" s="526"/>
    </row>
    <row r="235" spans="1:18">
      <c r="A235" s="6">
        <v>801</v>
      </c>
      <c r="B235" s="6" t="s">
        <v>1092</v>
      </c>
      <c r="C235" s="6">
        <v>141</v>
      </c>
      <c r="D235" s="6" t="s">
        <v>1259</v>
      </c>
      <c r="E235" s="9">
        <v>193.0000000041</v>
      </c>
      <c r="F235" s="9">
        <v>4420073.6149486573</v>
      </c>
      <c r="G235" s="9">
        <v>2802088</v>
      </c>
      <c r="I235" s="6" t="str">
        <f t="shared" si="25"/>
        <v>801141</v>
      </c>
      <c r="J235" s="6">
        <f t="shared" si="26"/>
        <v>801</v>
      </c>
      <c r="K235" s="6" t="str">
        <f t="shared" si="27"/>
        <v>Assabet Valley</v>
      </c>
      <c r="L235" s="6">
        <f t="shared" si="28"/>
        <v>141</v>
      </c>
      <c r="M235" s="6" t="str">
        <f t="shared" si="29"/>
        <v xml:space="preserve">Hudson                       </v>
      </c>
      <c r="N235" s="9">
        <f t="shared" si="30"/>
        <v>193.0000000041</v>
      </c>
      <c r="O235" s="526">
        <f t="shared" si="31"/>
        <v>4420073.6149486573</v>
      </c>
      <c r="P235" s="526">
        <f t="shared" si="32"/>
        <v>2802088</v>
      </c>
      <c r="Q235" s="526"/>
      <c r="R235" s="526"/>
    </row>
    <row r="236" spans="1:18">
      <c r="A236" s="6">
        <v>801</v>
      </c>
      <c r="B236" s="6" t="s">
        <v>1092</v>
      </c>
      <c r="C236" s="6">
        <v>170</v>
      </c>
      <c r="D236" s="6" t="s">
        <v>1288</v>
      </c>
      <c r="E236" s="9">
        <v>564.99999999647991</v>
      </c>
      <c r="F236" s="9">
        <v>12939593.742887981</v>
      </c>
      <c r="G236" s="9">
        <v>6160982</v>
      </c>
      <c r="I236" s="6" t="str">
        <f t="shared" si="25"/>
        <v>801170</v>
      </c>
      <c r="J236" s="6">
        <f t="shared" si="26"/>
        <v>801</v>
      </c>
      <c r="K236" s="6" t="str">
        <f t="shared" si="27"/>
        <v>Assabet Valley</v>
      </c>
      <c r="L236" s="6">
        <f t="shared" si="28"/>
        <v>170</v>
      </c>
      <c r="M236" s="6" t="str">
        <f t="shared" si="29"/>
        <v xml:space="preserve">Marlborough                  </v>
      </c>
      <c r="N236" s="9">
        <f t="shared" si="30"/>
        <v>564.99999999647991</v>
      </c>
      <c r="O236" s="526">
        <f t="shared" si="31"/>
        <v>12939593.742887981</v>
      </c>
      <c r="P236" s="526">
        <f t="shared" si="32"/>
        <v>6160982</v>
      </c>
      <c r="Q236" s="526"/>
      <c r="R236" s="526"/>
    </row>
    <row r="237" spans="1:18">
      <c r="A237" s="6">
        <v>801</v>
      </c>
      <c r="B237" s="6" t="s">
        <v>1092</v>
      </c>
      <c r="C237" s="6">
        <v>174</v>
      </c>
      <c r="D237" s="6" t="s">
        <v>1292</v>
      </c>
      <c r="E237" s="9">
        <v>65.00000000211999</v>
      </c>
      <c r="F237" s="9">
        <v>1488625.8288856472</v>
      </c>
      <c r="G237" s="9">
        <v>1063034</v>
      </c>
      <c r="I237" s="6" t="str">
        <f t="shared" si="25"/>
        <v>801174</v>
      </c>
      <c r="J237" s="6">
        <f t="shared" si="26"/>
        <v>801</v>
      </c>
      <c r="K237" s="6" t="str">
        <f t="shared" si="27"/>
        <v>Assabet Valley</v>
      </c>
      <c r="L237" s="6">
        <f t="shared" si="28"/>
        <v>174</v>
      </c>
      <c r="M237" s="6" t="str">
        <f t="shared" si="29"/>
        <v xml:space="preserve">Maynard                      </v>
      </c>
      <c r="N237" s="9">
        <f t="shared" si="30"/>
        <v>65.00000000211999</v>
      </c>
      <c r="O237" s="526">
        <f t="shared" si="31"/>
        <v>1488625.8288856472</v>
      </c>
      <c r="P237" s="526">
        <f t="shared" si="32"/>
        <v>1063034</v>
      </c>
      <c r="Q237" s="526"/>
      <c r="R237" s="526"/>
    </row>
    <row r="238" spans="1:18">
      <c r="A238" s="6">
        <v>801</v>
      </c>
      <c r="B238" s="6" t="s">
        <v>1092</v>
      </c>
      <c r="C238" s="6">
        <v>213</v>
      </c>
      <c r="D238" s="6" t="s">
        <v>1331</v>
      </c>
      <c r="E238" s="9">
        <v>67.000000004380013</v>
      </c>
      <c r="F238" s="9">
        <v>1534429.7005939318</v>
      </c>
      <c r="G238" s="9">
        <v>1227594</v>
      </c>
      <c r="I238" s="6" t="str">
        <f t="shared" si="25"/>
        <v>801213</v>
      </c>
      <c r="J238" s="6">
        <f t="shared" si="26"/>
        <v>801</v>
      </c>
      <c r="K238" s="6" t="str">
        <f t="shared" si="27"/>
        <v>Assabet Valley</v>
      </c>
      <c r="L238" s="6">
        <f t="shared" si="28"/>
        <v>213</v>
      </c>
      <c r="M238" s="6" t="str">
        <f t="shared" si="29"/>
        <v xml:space="preserve">Northborough                 </v>
      </c>
      <c r="N238" s="9">
        <f t="shared" si="30"/>
        <v>67.000000004380013</v>
      </c>
      <c r="O238" s="526">
        <f t="shared" si="31"/>
        <v>1534429.7005939318</v>
      </c>
      <c r="P238" s="526">
        <f t="shared" si="32"/>
        <v>1227594</v>
      </c>
      <c r="Q238" s="526"/>
      <c r="R238" s="526"/>
    </row>
    <row r="239" spans="1:18">
      <c r="A239" s="6">
        <v>801</v>
      </c>
      <c r="B239" s="6" t="s">
        <v>1092</v>
      </c>
      <c r="C239" s="6">
        <v>276</v>
      </c>
      <c r="D239" s="6" t="s">
        <v>1394</v>
      </c>
      <c r="E239" s="9">
        <v>24.99999999768</v>
      </c>
      <c r="F239" s="9">
        <v>572548.3956534426</v>
      </c>
      <c r="G239" s="9">
        <v>463423</v>
      </c>
      <c r="I239" s="6" t="str">
        <f t="shared" si="25"/>
        <v>801276</v>
      </c>
      <c r="J239" s="6">
        <f t="shared" si="26"/>
        <v>801</v>
      </c>
      <c r="K239" s="6" t="str">
        <f t="shared" si="27"/>
        <v>Assabet Valley</v>
      </c>
      <c r="L239" s="6">
        <f t="shared" si="28"/>
        <v>276</v>
      </c>
      <c r="M239" s="6" t="str">
        <f t="shared" si="29"/>
        <v xml:space="preserve">Southborough                 </v>
      </c>
      <c r="N239" s="9">
        <f t="shared" si="30"/>
        <v>24.99999999768</v>
      </c>
      <c r="O239" s="526">
        <f t="shared" si="31"/>
        <v>572548.3956534426</v>
      </c>
      <c r="P239" s="526">
        <f t="shared" si="32"/>
        <v>463423</v>
      </c>
      <c r="Q239" s="526"/>
      <c r="R239" s="526"/>
    </row>
    <row r="240" spans="1:18">
      <c r="A240" s="6">
        <v>801</v>
      </c>
      <c r="B240" s="6" t="s">
        <v>1092</v>
      </c>
      <c r="C240" s="6">
        <v>321</v>
      </c>
      <c r="D240" s="6" t="s">
        <v>1439</v>
      </c>
      <c r="E240" s="9">
        <v>67.000000004380013</v>
      </c>
      <c r="F240" s="9">
        <v>1534429.7005939318</v>
      </c>
      <c r="G240" s="9">
        <v>1173562</v>
      </c>
      <c r="I240" s="6" t="str">
        <f t="shared" si="25"/>
        <v>801321</v>
      </c>
      <c r="J240" s="6">
        <f t="shared" si="26"/>
        <v>801</v>
      </c>
      <c r="K240" s="6" t="str">
        <f t="shared" si="27"/>
        <v>Assabet Valley</v>
      </c>
      <c r="L240" s="6">
        <f t="shared" si="28"/>
        <v>321</v>
      </c>
      <c r="M240" s="6" t="str">
        <f t="shared" si="29"/>
        <v xml:space="preserve">Westborough                  </v>
      </c>
      <c r="N240" s="9">
        <f t="shared" si="30"/>
        <v>67.000000004380013</v>
      </c>
      <c r="O240" s="526">
        <f t="shared" si="31"/>
        <v>1534429.7005939318</v>
      </c>
      <c r="P240" s="526">
        <f t="shared" si="32"/>
        <v>1173562</v>
      </c>
      <c r="Q240" s="526"/>
      <c r="R240" s="526"/>
    </row>
    <row r="241" spans="1:18">
      <c r="A241" s="6" t="s">
        <v>2422</v>
      </c>
      <c r="E241" s="9">
        <v>1019.00000001019</v>
      </c>
      <c r="F241" s="9">
        <v>23337072.609233376</v>
      </c>
      <c r="G241" s="9">
        <v>13488592</v>
      </c>
      <c r="I241" s="6" t="str">
        <f t="shared" si="25"/>
        <v>801999</v>
      </c>
      <c r="J241" s="6">
        <f t="shared" si="26"/>
        <v>801</v>
      </c>
      <c r="K241" s="6">
        <f t="shared" si="27"/>
        <v>0</v>
      </c>
      <c r="L241" s="6">
        <f t="shared" si="28"/>
        <v>0</v>
      </c>
      <c r="M241" s="6">
        <f t="shared" si="29"/>
        <v>0</v>
      </c>
      <c r="N241" s="9">
        <f t="shared" si="30"/>
        <v>1019.00000001019</v>
      </c>
      <c r="O241" s="526">
        <f t="shared" si="31"/>
        <v>23337072.609233376</v>
      </c>
      <c r="P241" s="526">
        <f t="shared" si="32"/>
        <v>13488592</v>
      </c>
      <c r="Q241" s="526">
        <f>VLOOKUP($J241,aidcalc,25,FALSE)</f>
        <v>9848481</v>
      </c>
      <c r="R241" s="526">
        <f>VLOOKUP($J241,aidcalc,27,FALSE)</f>
        <v>23337073</v>
      </c>
    </row>
    <row r="242" spans="1:18">
      <c r="A242" s="6">
        <v>805</v>
      </c>
      <c r="B242" s="6" t="s">
        <v>1093</v>
      </c>
      <c r="C242" s="6">
        <v>25</v>
      </c>
      <c r="D242" s="6" t="s">
        <v>1144</v>
      </c>
      <c r="E242" s="9">
        <v>76.000000000080007</v>
      </c>
      <c r="F242" s="9">
        <v>1472203.4469166964</v>
      </c>
      <c r="G242" s="9">
        <v>1018807</v>
      </c>
      <c r="I242" s="6" t="str">
        <f t="shared" si="25"/>
        <v>805025</v>
      </c>
      <c r="J242" s="6">
        <f t="shared" si="26"/>
        <v>805</v>
      </c>
      <c r="K242" s="6" t="str">
        <f t="shared" si="27"/>
        <v>Blackstone Valley</v>
      </c>
      <c r="L242" s="6">
        <f t="shared" si="28"/>
        <v>25</v>
      </c>
      <c r="M242" s="6" t="str">
        <f t="shared" si="29"/>
        <v xml:space="preserve">Bellingham                   </v>
      </c>
      <c r="N242" s="9">
        <f t="shared" si="30"/>
        <v>76.000000000080007</v>
      </c>
      <c r="O242" s="526">
        <f t="shared" si="31"/>
        <v>1472203.4469166964</v>
      </c>
      <c r="P242" s="526">
        <f t="shared" si="32"/>
        <v>1018807</v>
      </c>
      <c r="Q242" s="526"/>
      <c r="R242" s="526"/>
    </row>
    <row r="243" spans="1:18">
      <c r="A243" s="6">
        <v>805</v>
      </c>
      <c r="B243" s="6" t="s">
        <v>1093</v>
      </c>
      <c r="C243" s="6">
        <v>32</v>
      </c>
      <c r="D243" s="6" t="s">
        <v>1151</v>
      </c>
      <c r="E243" s="9">
        <v>56.000000002050001</v>
      </c>
      <c r="F243" s="9">
        <v>1084781.4872403452</v>
      </c>
      <c r="G243" s="9">
        <v>557680</v>
      </c>
      <c r="I243" s="6" t="str">
        <f t="shared" si="25"/>
        <v>805032</v>
      </c>
      <c r="J243" s="6">
        <f t="shared" si="26"/>
        <v>805</v>
      </c>
      <c r="K243" s="6" t="str">
        <f t="shared" si="27"/>
        <v>Blackstone Valley</v>
      </c>
      <c r="L243" s="6">
        <f t="shared" si="28"/>
        <v>32</v>
      </c>
      <c r="M243" s="6" t="str">
        <f t="shared" si="29"/>
        <v xml:space="preserve">Blackstone                   </v>
      </c>
      <c r="N243" s="9">
        <f t="shared" si="30"/>
        <v>56.000000002050001</v>
      </c>
      <c r="O243" s="526">
        <f t="shared" si="31"/>
        <v>1084781.4872403452</v>
      </c>
      <c r="P243" s="526">
        <f t="shared" si="32"/>
        <v>557680</v>
      </c>
      <c r="Q243" s="526"/>
      <c r="R243" s="526"/>
    </row>
    <row r="244" spans="1:18">
      <c r="A244" s="6">
        <v>805</v>
      </c>
      <c r="B244" s="6" t="s">
        <v>1093</v>
      </c>
      <c r="C244" s="6">
        <v>77</v>
      </c>
      <c r="D244" s="6" t="s">
        <v>1196</v>
      </c>
      <c r="E244" s="9">
        <v>126.00000000146001</v>
      </c>
      <c r="F244" s="9">
        <v>2440758.3462297092</v>
      </c>
      <c r="G244" s="9">
        <v>1517300</v>
      </c>
      <c r="I244" s="6" t="str">
        <f t="shared" si="25"/>
        <v>805077</v>
      </c>
      <c r="J244" s="6">
        <f t="shared" si="26"/>
        <v>805</v>
      </c>
      <c r="K244" s="6" t="str">
        <f t="shared" si="27"/>
        <v>Blackstone Valley</v>
      </c>
      <c r="L244" s="6">
        <f t="shared" si="28"/>
        <v>77</v>
      </c>
      <c r="M244" s="6" t="str">
        <f t="shared" si="29"/>
        <v xml:space="preserve">Douglas                      </v>
      </c>
      <c r="N244" s="9">
        <f t="shared" si="30"/>
        <v>126.00000000146001</v>
      </c>
      <c r="O244" s="526">
        <f t="shared" si="31"/>
        <v>2440758.3462297092</v>
      </c>
      <c r="P244" s="526">
        <f t="shared" si="32"/>
        <v>1517300</v>
      </c>
      <c r="Q244" s="526"/>
      <c r="R244" s="526"/>
    </row>
    <row r="245" spans="1:18">
      <c r="A245" s="6">
        <v>805</v>
      </c>
      <c r="B245" s="6" t="s">
        <v>1093</v>
      </c>
      <c r="C245" s="6">
        <v>110</v>
      </c>
      <c r="D245" s="6" t="s">
        <v>1228</v>
      </c>
      <c r="E245" s="9">
        <v>103.99999999479999</v>
      </c>
      <c r="F245" s="9">
        <v>2014594.190414734</v>
      </c>
      <c r="G245" s="9">
        <v>1401598</v>
      </c>
      <c r="I245" s="6" t="str">
        <f t="shared" si="25"/>
        <v>805110</v>
      </c>
      <c r="J245" s="6">
        <f t="shared" si="26"/>
        <v>805</v>
      </c>
      <c r="K245" s="6" t="str">
        <f t="shared" si="27"/>
        <v>Blackstone Valley</v>
      </c>
      <c r="L245" s="6">
        <f t="shared" si="28"/>
        <v>110</v>
      </c>
      <c r="M245" s="6" t="str">
        <f t="shared" si="29"/>
        <v xml:space="preserve">Grafton                      </v>
      </c>
      <c r="N245" s="9">
        <f t="shared" si="30"/>
        <v>103.99999999479999</v>
      </c>
      <c r="O245" s="526">
        <f t="shared" si="31"/>
        <v>2014594.190414734</v>
      </c>
      <c r="P245" s="526">
        <f t="shared" si="32"/>
        <v>1401598</v>
      </c>
      <c r="Q245" s="526"/>
      <c r="R245" s="526"/>
    </row>
    <row r="246" spans="1:18">
      <c r="A246" s="6">
        <v>805</v>
      </c>
      <c r="B246" s="6" t="s">
        <v>1093</v>
      </c>
      <c r="C246" s="6">
        <v>138</v>
      </c>
      <c r="D246" s="6" t="s">
        <v>1256</v>
      </c>
      <c r="E246" s="9">
        <v>70.999999997420005</v>
      </c>
      <c r="F246" s="9">
        <v>1375347.9569365412</v>
      </c>
      <c r="G246" s="9">
        <v>807260</v>
      </c>
      <c r="I246" s="6" t="str">
        <f t="shared" si="25"/>
        <v>805138</v>
      </c>
      <c r="J246" s="6">
        <f t="shared" si="26"/>
        <v>805</v>
      </c>
      <c r="K246" s="6" t="str">
        <f t="shared" si="27"/>
        <v>Blackstone Valley</v>
      </c>
      <c r="L246" s="6">
        <f t="shared" si="28"/>
        <v>138</v>
      </c>
      <c r="M246" s="6" t="str">
        <f t="shared" si="29"/>
        <v xml:space="preserve">Hopedale                     </v>
      </c>
      <c r="N246" s="9">
        <f t="shared" si="30"/>
        <v>70.999999997420005</v>
      </c>
      <c r="O246" s="526">
        <f t="shared" si="31"/>
        <v>1375347.9569365412</v>
      </c>
      <c r="P246" s="526">
        <f t="shared" si="32"/>
        <v>807260</v>
      </c>
      <c r="Q246" s="526"/>
      <c r="R246" s="526"/>
    </row>
    <row r="247" spans="1:18">
      <c r="A247" s="6">
        <v>805</v>
      </c>
      <c r="B247" s="6" t="s">
        <v>1093</v>
      </c>
      <c r="C247" s="6">
        <v>179</v>
      </c>
      <c r="D247" s="6" t="s">
        <v>1297</v>
      </c>
      <c r="E247" s="9">
        <v>75.000000002069996</v>
      </c>
      <c r="F247" s="9">
        <v>1452832.3489695191</v>
      </c>
      <c r="G247" s="9">
        <v>1167729</v>
      </c>
      <c r="I247" s="6" t="str">
        <f t="shared" si="25"/>
        <v>805179</v>
      </c>
      <c r="J247" s="6">
        <f t="shared" si="26"/>
        <v>805</v>
      </c>
      <c r="K247" s="6" t="str">
        <f t="shared" si="27"/>
        <v>Blackstone Valley</v>
      </c>
      <c r="L247" s="6">
        <f t="shared" si="28"/>
        <v>179</v>
      </c>
      <c r="M247" s="6" t="str">
        <f t="shared" si="29"/>
        <v xml:space="preserve">Mendon                       </v>
      </c>
      <c r="N247" s="9">
        <f t="shared" si="30"/>
        <v>75.000000002069996</v>
      </c>
      <c r="O247" s="526">
        <f t="shared" si="31"/>
        <v>1452832.3489695191</v>
      </c>
      <c r="P247" s="526">
        <f t="shared" si="32"/>
        <v>1167729</v>
      </c>
      <c r="Q247" s="526"/>
      <c r="R247" s="526"/>
    </row>
    <row r="248" spans="1:18">
      <c r="A248" s="6">
        <v>805</v>
      </c>
      <c r="B248" s="6" t="s">
        <v>1093</v>
      </c>
      <c r="C248" s="6">
        <v>185</v>
      </c>
      <c r="D248" s="6" t="s">
        <v>1303</v>
      </c>
      <c r="E248" s="9">
        <v>158.99999999884</v>
      </c>
      <c r="F248" s="9">
        <v>3080004.5797079019</v>
      </c>
      <c r="G248" s="9">
        <v>1183572</v>
      </c>
      <c r="I248" s="6" t="str">
        <f t="shared" si="25"/>
        <v>805185</v>
      </c>
      <c r="J248" s="6">
        <f t="shared" si="26"/>
        <v>805</v>
      </c>
      <c r="K248" s="6" t="str">
        <f t="shared" si="27"/>
        <v>Blackstone Valley</v>
      </c>
      <c r="L248" s="6">
        <f t="shared" si="28"/>
        <v>185</v>
      </c>
      <c r="M248" s="6" t="str">
        <f t="shared" si="29"/>
        <v xml:space="preserve">Milford                      </v>
      </c>
      <c r="N248" s="9">
        <f t="shared" si="30"/>
        <v>158.99999999884</v>
      </c>
      <c r="O248" s="526">
        <f t="shared" si="31"/>
        <v>3080004.5797079019</v>
      </c>
      <c r="P248" s="526">
        <f t="shared" si="32"/>
        <v>1183572</v>
      </c>
      <c r="Q248" s="526"/>
      <c r="R248" s="526"/>
    </row>
    <row r="249" spans="1:18">
      <c r="A249" s="6">
        <v>805</v>
      </c>
      <c r="B249" s="6" t="s">
        <v>1093</v>
      </c>
      <c r="C249" s="6">
        <v>186</v>
      </c>
      <c r="D249" s="6" t="s">
        <v>1304</v>
      </c>
      <c r="E249" s="9">
        <v>90.999999995449997</v>
      </c>
      <c r="F249" s="9">
        <v>1762769.9166128924</v>
      </c>
      <c r="G249" s="9">
        <v>1082426</v>
      </c>
      <c r="I249" s="6" t="str">
        <f t="shared" si="25"/>
        <v>805186</v>
      </c>
      <c r="J249" s="6">
        <f t="shared" si="26"/>
        <v>805</v>
      </c>
      <c r="K249" s="6" t="str">
        <f t="shared" si="27"/>
        <v>Blackstone Valley</v>
      </c>
      <c r="L249" s="6">
        <f t="shared" si="28"/>
        <v>186</v>
      </c>
      <c r="M249" s="6" t="str">
        <f t="shared" si="29"/>
        <v xml:space="preserve">Millbury                     </v>
      </c>
      <c r="N249" s="9">
        <f t="shared" si="30"/>
        <v>90.999999995449997</v>
      </c>
      <c r="O249" s="526">
        <f t="shared" si="31"/>
        <v>1762769.9166128924</v>
      </c>
      <c r="P249" s="526">
        <f t="shared" si="32"/>
        <v>1082426</v>
      </c>
      <c r="Q249" s="526"/>
      <c r="R249" s="526"/>
    </row>
    <row r="250" spans="1:18">
      <c r="A250" s="6">
        <v>805</v>
      </c>
      <c r="B250" s="6" t="s">
        <v>1093</v>
      </c>
      <c r="C250" s="6">
        <v>188</v>
      </c>
      <c r="D250" s="6" t="s">
        <v>1306</v>
      </c>
      <c r="E250" s="9">
        <v>25.999999998699998</v>
      </c>
      <c r="F250" s="9">
        <v>503648.54760368349</v>
      </c>
      <c r="G250" s="9">
        <v>243108</v>
      </c>
      <c r="I250" s="6" t="str">
        <f t="shared" si="25"/>
        <v>805188</v>
      </c>
      <c r="J250" s="6">
        <f t="shared" si="26"/>
        <v>805</v>
      </c>
      <c r="K250" s="6" t="str">
        <f t="shared" si="27"/>
        <v>Blackstone Valley</v>
      </c>
      <c r="L250" s="6">
        <f t="shared" si="28"/>
        <v>188</v>
      </c>
      <c r="M250" s="6" t="str">
        <f t="shared" si="29"/>
        <v xml:space="preserve">Millville                    </v>
      </c>
      <c r="N250" s="9">
        <f t="shared" si="30"/>
        <v>25.999999998699998</v>
      </c>
      <c r="O250" s="526">
        <f t="shared" si="31"/>
        <v>503648.54760368349</v>
      </c>
      <c r="P250" s="526">
        <f t="shared" si="32"/>
        <v>243108</v>
      </c>
      <c r="Q250" s="526"/>
      <c r="R250" s="526"/>
    </row>
    <row r="251" spans="1:18">
      <c r="A251" s="6">
        <v>805</v>
      </c>
      <c r="B251" s="6" t="s">
        <v>1093</v>
      </c>
      <c r="C251" s="6">
        <v>214</v>
      </c>
      <c r="D251" s="6" t="s">
        <v>1332</v>
      </c>
      <c r="E251" s="9">
        <v>158.00000000082997</v>
      </c>
      <c r="F251" s="9">
        <v>3060633.4817607244</v>
      </c>
      <c r="G251" s="9">
        <v>1675980</v>
      </c>
      <c r="I251" s="6" t="str">
        <f t="shared" si="25"/>
        <v>805214</v>
      </c>
      <c r="J251" s="6">
        <f t="shared" si="26"/>
        <v>805</v>
      </c>
      <c r="K251" s="6" t="str">
        <f t="shared" si="27"/>
        <v>Blackstone Valley</v>
      </c>
      <c r="L251" s="6">
        <f t="shared" si="28"/>
        <v>214</v>
      </c>
      <c r="M251" s="6" t="str">
        <f t="shared" si="29"/>
        <v xml:space="preserve">Northbridge                  </v>
      </c>
      <c r="N251" s="9">
        <f t="shared" si="30"/>
        <v>158.00000000082997</v>
      </c>
      <c r="O251" s="526">
        <f t="shared" si="31"/>
        <v>3060633.4817607244</v>
      </c>
      <c r="P251" s="526">
        <f t="shared" si="32"/>
        <v>1675980</v>
      </c>
      <c r="Q251" s="526"/>
      <c r="R251" s="526"/>
    </row>
    <row r="252" spans="1:18">
      <c r="A252" s="6">
        <v>805</v>
      </c>
      <c r="B252" s="6" t="s">
        <v>1093</v>
      </c>
      <c r="C252" s="6">
        <v>290</v>
      </c>
      <c r="D252" s="6" t="s">
        <v>1408</v>
      </c>
      <c r="E252" s="9">
        <v>88.999999999429988</v>
      </c>
      <c r="F252" s="9">
        <v>1724027.7207185379</v>
      </c>
      <c r="G252" s="9">
        <v>1375925</v>
      </c>
      <c r="I252" s="6" t="str">
        <f t="shared" si="25"/>
        <v>805290</v>
      </c>
      <c r="J252" s="6">
        <f t="shared" si="26"/>
        <v>805</v>
      </c>
      <c r="K252" s="6" t="str">
        <f t="shared" si="27"/>
        <v>Blackstone Valley</v>
      </c>
      <c r="L252" s="6">
        <f t="shared" si="28"/>
        <v>290</v>
      </c>
      <c r="M252" s="6" t="str">
        <f t="shared" si="29"/>
        <v xml:space="preserve">Sutton                       </v>
      </c>
      <c r="N252" s="9">
        <f t="shared" si="30"/>
        <v>88.999999999429988</v>
      </c>
      <c r="O252" s="526">
        <f t="shared" si="31"/>
        <v>1724027.7207185379</v>
      </c>
      <c r="P252" s="526">
        <f t="shared" si="32"/>
        <v>1375925</v>
      </c>
      <c r="Q252" s="526"/>
      <c r="R252" s="526"/>
    </row>
    <row r="253" spans="1:18">
      <c r="A253" s="6">
        <v>805</v>
      </c>
      <c r="B253" s="6" t="s">
        <v>1093</v>
      </c>
      <c r="C253" s="6">
        <v>303</v>
      </c>
      <c r="D253" s="6" t="s">
        <v>1421</v>
      </c>
      <c r="E253" s="9">
        <v>93.000000004079993</v>
      </c>
      <c r="F253" s="9">
        <v>1801512.112751516</v>
      </c>
      <c r="G253" s="9">
        <v>1399699</v>
      </c>
      <c r="I253" s="6" t="str">
        <f t="shared" si="25"/>
        <v>805303</v>
      </c>
      <c r="J253" s="6">
        <f t="shared" si="26"/>
        <v>805</v>
      </c>
      <c r="K253" s="6" t="str">
        <f t="shared" si="27"/>
        <v>Blackstone Valley</v>
      </c>
      <c r="L253" s="6">
        <f t="shared" si="28"/>
        <v>303</v>
      </c>
      <c r="M253" s="6" t="str">
        <f t="shared" si="29"/>
        <v xml:space="preserve">Upton                        </v>
      </c>
      <c r="N253" s="9">
        <f t="shared" si="30"/>
        <v>93.000000004079993</v>
      </c>
      <c r="O253" s="526">
        <f t="shared" si="31"/>
        <v>1801512.112751516</v>
      </c>
      <c r="P253" s="526">
        <f t="shared" si="32"/>
        <v>1399699</v>
      </c>
      <c r="Q253" s="526"/>
      <c r="R253" s="526"/>
    </row>
    <row r="254" spans="1:18">
      <c r="A254" s="6">
        <v>805</v>
      </c>
      <c r="B254" s="6" t="s">
        <v>1093</v>
      </c>
      <c r="C254" s="6">
        <v>304</v>
      </c>
      <c r="D254" s="6" t="s">
        <v>1422</v>
      </c>
      <c r="E254" s="9">
        <v>137.00000000479</v>
      </c>
      <c r="F254" s="9">
        <v>2653840.4241371965</v>
      </c>
      <c r="G254" s="9">
        <v>1850105</v>
      </c>
      <c r="I254" s="6" t="str">
        <f t="shared" si="25"/>
        <v>805304</v>
      </c>
      <c r="J254" s="6">
        <f t="shared" si="26"/>
        <v>805</v>
      </c>
      <c r="K254" s="6" t="str">
        <f t="shared" si="27"/>
        <v>Blackstone Valley</v>
      </c>
      <c r="L254" s="6">
        <f t="shared" si="28"/>
        <v>304</v>
      </c>
      <c r="M254" s="6" t="str">
        <f t="shared" si="29"/>
        <v xml:space="preserve">Uxbridge                     </v>
      </c>
      <c r="N254" s="9">
        <f t="shared" si="30"/>
        <v>137.00000000479</v>
      </c>
      <c r="O254" s="526">
        <f t="shared" si="31"/>
        <v>2653840.4241371965</v>
      </c>
      <c r="P254" s="526">
        <f t="shared" si="32"/>
        <v>1850105</v>
      </c>
      <c r="Q254" s="526"/>
      <c r="R254" s="526"/>
    </row>
    <row r="255" spans="1:18">
      <c r="A255" s="6" t="s">
        <v>2423</v>
      </c>
      <c r="E255" s="9">
        <v>1261</v>
      </c>
      <c r="F255" s="9">
        <v>24426954.559999999</v>
      </c>
      <c r="G255" s="9">
        <v>15281189</v>
      </c>
      <c r="I255" s="6" t="str">
        <f t="shared" si="25"/>
        <v>805999</v>
      </c>
      <c r="J255" s="6">
        <f t="shared" si="26"/>
        <v>805</v>
      </c>
      <c r="K255" s="6">
        <f t="shared" si="27"/>
        <v>0</v>
      </c>
      <c r="L255" s="6">
        <f t="shared" si="28"/>
        <v>0</v>
      </c>
      <c r="M255" s="6">
        <f t="shared" si="29"/>
        <v>0</v>
      </c>
      <c r="N255" s="9">
        <f t="shared" si="30"/>
        <v>1261</v>
      </c>
      <c r="O255" s="526">
        <f t="shared" si="31"/>
        <v>24426954.559999999</v>
      </c>
      <c r="P255" s="526">
        <f t="shared" si="32"/>
        <v>15281189</v>
      </c>
      <c r="Q255" s="526">
        <f>VLOOKUP($J255,aidcalc,25,FALSE)</f>
        <v>9407272</v>
      </c>
      <c r="R255" s="526">
        <f>VLOOKUP($J255,aidcalc,27,FALSE)</f>
        <v>24688461</v>
      </c>
    </row>
    <row r="256" spans="1:18">
      <c r="A256" s="6">
        <v>806</v>
      </c>
      <c r="B256" s="6" t="s">
        <v>1094</v>
      </c>
      <c r="C256" s="6">
        <v>18</v>
      </c>
      <c r="D256" s="6" t="s">
        <v>1137</v>
      </c>
      <c r="E256" s="9">
        <v>46.99999999616</v>
      </c>
      <c r="F256" s="9">
        <v>1045392.6972575741</v>
      </c>
      <c r="G256" s="9">
        <v>623498</v>
      </c>
      <c r="I256" s="6" t="str">
        <f t="shared" si="25"/>
        <v>806018</v>
      </c>
      <c r="J256" s="6">
        <f t="shared" si="26"/>
        <v>806</v>
      </c>
      <c r="K256" s="6" t="str">
        <f t="shared" si="27"/>
        <v>Blue Hills</v>
      </c>
      <c r="L256" s="6">
        <f t="shared" si="28"/>
        <v>18</v>
      </c>
      <c r="M256" s="6" t="str">
        <f t="shared" si="29"/>
        <v xml:space="preserve">Avon                         </v>
      </c>
      <c r="N256" s="9">
        <f t="shared" si="30"/>
        <v>46.99999999616</v>
      </c>
      <c r="O256" s="526">
        <f t="shared" si="31"/>
        <v>1045392.6972575741</v>
      </c>
      <c r="P256" s="526">
        <f t="shared" si="32"/>
        <v>623498</v>
      </c>
      <c r="Q256" s="526"/>
      <c r="R256" s="526"/>
    </row>
    <row r="257" spans="1:18">
      <c r="A257" s="6">
        <v>806</v>
      </c>
      <c r="B257" s="6" t="s">
        <v>1094</v>
      </c>
      <c r="C257" s="6">
        <v>40</v>
      </c>
      <c r="D257" s="6" t="s">
        <v>1159</v>
      </c>
      <c r="E257" s="9">
        <v>159.9999999968</v>
      </c>
      <c r="F257" s="9">
        <v>3558783.6504581342</v>
      </c>
      <c r="G257" s="9">
        <v>2670407</v>
      </c>
      <c r="I257" s="6" t="str">
        <f t="shared" si="25"/>
        <v>806040</v>
      </c>
      <c r="J257" s="6">
        <f t="shared" si="26"/>
        <v>806</v>
      </c>
      <c r="K257" s="6" t="str">
        <f t="shared" si="27"/>
        <v>Blue Hills</v>
      </c>
      <c r="L257" s="6">
        <f t="shared" si="28"/>
        <v>40</v>
      </c>
      <c r="M257" s="6" t="str">
        <f t="shared" si="29"/>
        <v xml:space="preserve">Braintree                    </v>
      </c>
      <c r="N257" s="9">
        <f t="shared" si="30"/>
        <v>159.9999999968</v>
      </c>
      <c r="O257" s="526">
        <f t="shared" si="31"/>
        <v>3558783.6504581342</v>
      </c>
      <c r="P257" s="526">
        <f t="shared" si="32"/>
        <v>2670407</v>
      </c>
      <c r="Q257" s="526"/>
      <c r="R257" s="526"/>
    </row>
    <row r="258" spans="1:18">
      <c r="A258" s="6">
        <v>806</v>
      </c>
      <c r="B258" s="6" t="s">
        <v>1094</v>
      </c>
      <c r="C258" s="6">
        <v>50</v>
      </c>
      <c r="D258" s="6" t="s">
        <v>1169</v>
      </c>
      <c r="E258" s="9">
        <v>75.00000000256</v>
      </c>
      <c r="F258" s="9">
        <v>1668179.8362425545</v>
      </c>
      <c r="G258" s="9">
        <v>1356376</v>
      </c>
      <c r="I258" s="6" t="str">
        <f t="shared" si="25"/>
        <v>806050</v>
      </c>
      <c r="J258" s="6">
        <f t="shared" si="26"/>
        <v>806</v>
      </c>
      <c r="K258" s="6" t="str">
        <f t="shared" si="27"/>
        <v>Blue Hills</v>
      </c>
      <c r="L258" s="6">
        <f t="shared" si="28"/>
        <v>50</v>
      </c>
      <c r="M258" s="6" t="str">
        <f t="shared" si="29"/>
        <v xml:space="preserve">Canton                       </v>
      </c>
      <c r="N258" s="9">
        <f t="shared" si="30"/>
        <v>75.00000000256</v>
      </c>
      <c r="O258" s="526">
        <f t="shared" si="31"/>
        <v>1668179.8362425545</v>
      </c>
      <c r="P258" s="526">
        <f t="shared" si="32"/>
        <v>1356376</v>
      </c>
      <c r="Q258" s="526"/>
      <c r="R258" s="526"/>
    </row>
    <row r="259" spans="1:18">
      <c r="A259" s="6">
        <v>806</v>
      </c>
      <c r="B259" s="6" t="s">
        <v>1094</v>
      </c>
      <c r="C259" s="6">
        <v>73</v>
      </c>
      <c r="D259" s="6" t="s">
        <v>1192</v>
      </c>
      <c r="E259" s="9">
        <v>101.9999999968</v>
      </c>
      <c r="F259" s="9">
        <v>2268724.5771412598</v>
      </c>
      <c r="G259" s="9">
        <v>1703037</v>
      </c>
      <c r="I259" s="6" t="str">
        <f t="shared" si="25"/>
        <v>806073</v>
      </c>
      <c r="J259" s="6">
        <f t="shared" si="26"/>
        <v>806</v>
      </c>
      <c r="K259" s="6" t="str">
        <f t="shared" si="27"/>
        <v>Blue Hills</v>
      </c>
      <c r="L259" s="6">
        <f t="shared" si="28"/>
        <v>73</v>
      </c>
      <c r="M259" s="6" t="str">
        <f t="shared" si="29"/>
        <v xml:space="preserve">Dedham                       </v>
      </c>
      <c r="N259" s="9">
        <f t="shared" si="30"/>
        <v>101.9999999968</v>
      </c>
      <c r="O259" s="526">
        <f t="shared" si="31"/>
        <v>2268724.5771412598</v>
      </c>
      <c r="P259" s="526">
        <f t="shared" si="32"/>
        <v>1703037</v>
      </c>
      <c r="Q259" s="526"/>
      <c r="R259" s="526"/>
    </row>
    <row r="260" spans="1:18">
      <c r="A260" s="6">
        <v>806</v>
      </c>
      <c r="B260" s="6" t="s">
        <v>1094</v>
      </c>
      <c r="C260" s="6">
        <v>133</v>
      </c>
      <c r="D260" s="6" t="s">
        <v>1251</v>
      </c>
      <c r="E260" s="9">
        <v>110.00000000128</v>
      </c>
      <c r="F260" s="9">
        <v>2446663.7597673712</v>
      </c>
      <c r="G260" s="9">
        <v>1150829</v>
      </c>
      <c r="I260" s="6" t="str">
        <f t="shared" si="25"/>
        <v>806133</v>
      </c>
      <c r="J260" s="6">
        <f t="shared" si="26"/>
        <v>806</v>
      </c>
      <c r="K260" s="6" t="str">
        <f t="shared" si="27"/>
        <v>Blue Hills</v>
      </c>
      <c r="L260" s="6">
        <f t="shared" si="28"/>
        <v>133</v>
      </c>
      <c r="M260" s="6" t="str">
        <f t="shared" si="29"/>
        <v xml:space="preserve">Holbrook                     </v>
      </c>
      <c r="N260" s="9">
        <f t="shared" si="30"/>
        <v>110.00000000128</v>
      </c>
      <c r="O260" s="526">
        <f t="shared" si="31"/>
        <v>2446663.7597673712</v>
      </c>
      <c r="P260" s="526">
        <f t="shared" si="32"/>
        <v>1150829</v>
      </c>
      <c r="Q260" s="526"/>
      <c r="R260" s="526"/>
    </row>
    <row r="261" spans="1:18">
      <c r="A261" s="6">
        <v>806</v>
      </c>
      <c r="B261" s="6" t="s">
        <v>1094</v>
      </c>
      <c r="C261" s="6">
        <v>189</v>
      </c>
      <c r="D261" s="6" t="s">
        <v>1307</v>
      </c>
      <c r="E261" s="9">
        <v>33.99999999584</v>
      </c>
      <c r="F261" s="9">
        <v>756241.5256449501</v>
      </c>
      <c r="G261" s="9">
        <v>607886</v>
      </c>
      <c r="I261" s="6" t="str">
        <f t="shared" ref="I261:I324" si="33">IF(L261=0,J261&amp;999,J261&amp;TEXT(L261,"000"))</f>
        <v>806189</v>
      </c>
      <c r="J261" s="6">
        <f t="shared" ref="J261:J324" si="34">VALUE(LEFT(A261,3))</f>
        <v>806</v>
      </c>
      <c r="K261" s="6" t="str">
        <f t="shared" ref="K261:K324" si="35">B261</f>
        <v>Blue Hills</v>
      </c>
      <c r="L261" s="6">
        <f t="shared" ref="L261:L324" si="36">C261</f>
        <v>189</v>
      </c>
      <c r="M261" s="6" t="str">
        <f t="shared" ref="M261:M324" si="37">D261</f>
        <v xml:space="preserve">Milton                       </v>
      </c>
      <c r="N261" s="9">
        <f t="shared" ref="N261:N324" si="38">E261</f>
        <v>33.99999999584</v>
      </c>
      <c r="O261" s="526">
        <f t="shared" ref="O261:O324" si="39">F261</f>
        <v>756241.5256449501</v>
      </c>
      <c r="P261" s="526">
        <f t="shared" ref="P261:P324" si="40">G261</f>
        <v>607886</v>
      </c>
      <c r="Q261" s="526"/>
      <c r="R261" s="526"/>
    </row>
    <row r="262" spans="1:18">
      <c r="A262" s="6">
        <v>806</v>
      </c>
      <c r="B262" s="6" t="s">
        <v>1094</v>
      </c>
      <c r="C262" s="6">
        <v>220</v>
      </c>
      <c r="D262" s="6" t="s">
        <v>1338</v>
      </c>
      <c r="E262" s="9">
        <v>107.99999999552</v>
      </c>
      <c r="F262" s="9">
        <v>2402178.9640076384</v>
      </c>
      <c r="G262" s="9">
        <v>1662150</v>
      </c>
      <c r="I262" s="6" t="str">
        <f t="shared" si="33"/>
        <v>806220</v>
      </c>
      <c r="J262" s="6">
        <f t="shared" si="34"/>
        <v>806</v>
      </c>
      <c r="K262" s="6" t="str">
        <f t="shared" si="35"/>
        <v>Blue Hills</v>
      </c>
      <c r="L262" s="6">
        <f t="shared" si="36"/>
        <v>220</v>
      </c>
      <c r="M262" s="6" t="str">
        <f t="shared" si="37"/>
        <v xml:space="preserve">Norwood                      </v>
      </c>
      <c r="N262" s="9">
        <f t="shared" si="38"/>
        <v>107.99999999552</v>
      </c>
      <c r="O262" s="526">
        <f t="shared" si="39"/>
        <v>2402178.9640076384</v>
      </c>
      <c r="P262" s="526">
        <f t="shared" si="40"/>
        <v>1662150</v>
      </c>
      <c r="Q262" s="526"/>
      <c r="R262" s="526"/>
    </row>
    <row r="263" spans="1:18">
      <c r="A263" s="6">
        <v>806</v>
      </c>
      <c r="B263" s="6" t="s">
        <v>1094</v>
      </c>
      <c r="C263" s="6">
        <v>244</v>
      </c>
      <c r="D263" s="6" t="s">
        <v>1362</v>
      </c>
      <c r="E263" s="9">
        <v>287.00000000064</v>
      </c>
      <c r="F263" s="9">
        <v>6383568.1731511848</v>
      </c>
      <c r="G263" s="9">
        <v>3300262</v>
      </c>
      <c r="I263" s="6" t="str">
        <f t="shared" si="33"/>
        <v>806244</v>
      </c>
      <c r="J263" s="6">
        <f t="shared" si="34"/>
        <v>806</v>
      </c>
      <c r="K263" s="6" t="str">
        <f t="shared" si="35"/>
        <v>Blue Hills</v>
      </c>
      <c r="L263" s="6">
        <f t="shared" si="36"/>
        <v>244</v>
      </c>
      <c r="M263" s="6" t="str">
        <f t="shared" si="37"/>
        <v xml:space="preserve">Randolph                     </v>
      </c>
      <c r="N263" s="9">
        <f t="shared" si="38"/>
        <v>287.00000000064</v>
      </c>
      <c r="O263" s="526">
        <f t="shared" si="39"/>
        <v>6383568.1731511848</v>
      </c>
      <c r="P263" s="526">
        <f t="shared" si="40"/>
        <v>3300262</v>
      </c>
      <c r="Q263" s="526"/>
      <c r="R263" s="526"/>
    </row>
    <row r="264" spans="1:18">
      <c r="A264" s="6">
        <v>806</v>
      </c>
      <c r="B264" s="6" t="s">
        <v>1094</v>
      </c>
      <c r="C264" s="6">
        <v>335</v>
      </c>
      <c r="D264" s="6" t="s">
        <v>1453</v>
      </c>
      <c r="E264" s="9">
        <v>4.9999999958400005</v>
      </c>
      <c r="F264" s="9">
        <v>111211.98898651257</v>
      </c>
      <c r="G264" s="9">
        <v>90833</v>
      </c>
      <c r="I264" s="6" t="str">
        <f t="shared" si="33"/>
        <v>806335</v>
      </c>
      <c r="J264" s="6">
        <f t="shared" si="34"/>
        <v>806</v>
      </c>
      <c r="K264" s="6" t="str">
        <f t="shared" si="35"/>
        <v>Blue Hills</v>
      </c>
      <c r="L264" s="6">
        <f t="shared" si="36"/>
        <v>335</v>
      </c>
      <c r="M264" s="6" t="str">
        <f t="shared" si="37"/>
        <v xml:space="preserve">Westwood                     </v>
      </c>
      <c r="N264" s="9">
        <f t="shared" si="38"/>
        <v>4.9999999958400005</v>
      </c>
      <c r="O264" s="526">
        <f t="shared" si="39"/>
        <v>111211.98898651257</v>
      </c>
      <c r="P264" s="526">
        <f t="shared" si="40"/>
        <v>90833</v>
      </c>
      <c r="Q264" s="526"/>
      <c r="R264" s="526"/>
    </row>
    <row r="265" spans="1:18">
      <c r="A265" s="6" t="s">
        <v>2424</v>
      </c>
      <c r="E265" s="9">
        <v>927.99999998143994</v>
      </c>
      <c r="F265" s="9">
        <v>20640945.172657177</v>
      </c>
      <c r="G265" s="9">
        <v>13165278</v>
      </c>
      <c r="I265" s="6" t="str">
        <f t="shared" si="33"/>
        <v>806999</v>
      </c>
      <c r="J265" s="6">
        <f t="shared" si="34"/>
        <v>806</v>
      </c>
      <c r="K265" s="6">
        <f t="shared" si="35"/>
        <v>0</v>
      </c>
      <c r="L265" s="6">
        <f t="shared" si="36"/>
        <v>0</v>
      </c>
      <c r="M265" s="6">
        <f t="shared" si="37"/>
        <v>0</v>
      </c>
      <c r="N265" s="9">
        <f t="shared" si="38"/>
        <v>927.99999998143994</v>
      </c>
      <c r="O265" s="526">
        <f t="shared" si="39"/>
        <v>20640945.172657177</v>
      </c>
      <c r="P265" s="526">
        <f t="shared" si="40"/>
        <v>13165278</v>
      </c>
      <c r="Q265" s="526">
        <f>VLOOKUP($J265,aidcalc,25,FALSE)</f>
        <v>7475667</v>
      </c>
      <c r="R265" s="526">
        <f>VLOOKUP($J265,aidcalc,27,FALSE)</f>
        <v>20640945</v>
      </c>
    </row>
    <row r="266" spans="1:18">
      <c r="A266" s="6">
        <v>810</v>
      </c>
      <c r="B266" s="6" t="s">
        <v>1095</v>
      </c>
      <c r="C266" s="6">
        <v>27</v>
      </c>
      <c r="D266" s="6" t="s">
        <v>1146</v>
      </c>
      <c r="E266" s="9">
        <v>111.32695140036</v>
      </c>
      <c r="F266" s="9">
        <v>2255481.6339132669</v>
      </c>
      <c r="G266" s="9">
        <v>1272249</v>
      </c>
      <c r="I266" s="6" t="str">
        <f t="shared" si="33"/>
        <v>810027</v>
      </c>
      <c r="J266" s="6">
        <f t="shared" si="34"/>
        <v>810</v>
      </c>
      <c r="K266" s="6" t="str">
        <f t="shared" si="35"/>
        <v>Bristol Plymouth</v>
      </c>
      <c r="L266" s="6">
        <f t="shared" si="36"/>
        <v>27</v>
      </c>
      <c r="M266" s="6" t="str">
        <f t="shared" si="37"/>
        <v xml:space="preserve">Berkley                      </v>
      </c>
      <c r="N266" s="9">
        <f t="shared" si="38"/>
        <v>111.32695140036</v>
      </c>
      <c r="O266" s="526">
        <f t="shared" si="39"/>
        <v>2255481.6339132669</v>
      </c>
      <c r="P266" s="526">
        <f t="shared" si="40"/>
        <v>1272249</v>
      </c>
      <c r="Q266" s="526"/>
      <c r="R266" s="526"/>
    </row>
    <row r="267" spans="1:18">
      <c r="A267" s="6">
        <v>810</v>
      </c>
      <c r="B267" s="6" t="s">
        <v>1095</v>
      </c>
      <c r="C267" s="6">
        <v>42</v>
      </c>
      <c r="D267" s="6" t="s">
        <v>1161</v>
      </c>
      <c r="E267" s="9">
        <v>150.44182622112001</v>
      </c>
      <c r="F267" s="9">
        <v>3047948.1540263421</v>
      </c>
      <c r="G267" s="9">
        <v>1778649</v>
      </c>
      <c r="I267" s="6" t="str">
        <f t="shared" si="33"/>
        <v>810042</v>
      </c>
      <c r="J267" s="6">
        <f t="shared" si="34"/>
        <v>810</v>
      </c>
      <c r="K267" s="6" t="str">
        <f t="shared" si="35"/>
        <v>Bristol Plymouth</v>
      </c>
      <c r="L267" s="6">
        <f t="shared" si="36"/>
        <v>42</v>
      </c>
      <c r="M267" s="6" t="str">
        <f t="shared" si="37"/>
        <v xml:space="preserve">Bridgewater                  </v>
      </c>
      <c r="N267" s="9">
        <f t="shared" si="38"/>
        <v>150.44182622112001</v>
      </c>
      <c r="O267" s="526">
        <f t="shared" si="39"/>
        <v>3047948.1540263421</v>
      </c>
      <c r="P267" s="526">
        <f t="shared" si="40"/>
        <v>1778649</v>
      </c>
      <c r="Q267" s="526"/>
      <c r="R267" s="526"/>
    </row>
    <row r="268" spans="1:18">
      <c r="A268" s="6">
        <v>810</v>
      </c>
      <c r="B268" s="6" t="s">
        <v>1095</v>
      </c>
      <c r="C268" s="6">
        <v>76</v>
      </c>
      <c r="D268" s="6" t="s">
        <v>1195</v>
      </c>
      <c r="E268" s="9">
        <v>110.3240058855</v>
      </c>
      <c r="F268" s="9">
        <v>2235161.9794169609</v>
      </c>
      <c r="G268" s="9">
        <v>1140996</v>
      </c>
      <c r="I268" s="6" t="str">
        <f t="shared" si="33"/>
        <v>810076</v>
      </c>
      <c r="J268" s="6">
        <f t="shared" si="34"/>
        <v>810</v>
      </c>
      <c r="K268" s="6" t="str">
        <f t="shared" si="35"/>
        <v>Bristol Plymouth</v>
      </c>
      <c r="L268" s="6">
        <f t="shared" si="36"/>
        <v>76</v>
      </c>
      <c r="M268" s="6" t="str">
        <f t="shared" si="37"/>
        <v xml:space="preserve">Dighton                      </v>
      </c>
      <c r="N268" s="9">
        <f t="shared" si="38"/>
        <v>110.3240058855</v>
      </c>
      <c r="O268" s="526">
        <f t="shared" si="39"/>
        <v>2235161.9794169609</v>
      </c>
      <c r="P268" s="526">
        <f t="shared" si="40"/>
        <v>1140996</v>
      </c>
      <c r="Q268" s="526"/>
      <c r="R268" s="526"/>
    </row>
    <row r="269" spans="1:18">
      <c r="A269" s="6">
        <v>810</v>
      </c>
      <c r="B269" s="6" t="s">
        <v>1095</v>
      </c>
      <c r="C269" s="6">
        <v>102</v>
      </c>
      <c r="D269" s="6" t="s">
        <v>1221</v>
      </c>
      <c r="E269" s="9">
        <v>51.150220917359995</v>
      </c>
      <c r="F269" s="9">
        <v>1036302.3724131067</v>
      </c>
      <c r="G269" s="9">
        <v>755373</v>
      </c>
      <c r="I269" s="6" t="str">
        <f t="shared" si="33"/>
        <v>810102</v>
      </c>
      <c r="J269" s="6">
        <f t="shared" si="34"/>
        <v>810</v>
      </c>
      <c r="K269" s="6" t="str">
        <f t="shared" si="35"/>
        <v>Bristol Plymouth</v>
      </c>
      <c r="L269" s="6">
        <f t="shared" si="36"/>
        <v>102</v>
      </c>
      <c r="M269" s="6" t="str">
        <f t="shared" si="37"/>
        <v xml:space="preserve">Freetown                     </v>
      </c>
      <c r="N269" s="9">
        <f t="shared" si="38"/>
        <v>51.150220917359995</v>
      </c>
      <c r="O269" s="526">
        <f t="shared" si="39"/>
        <v>1036302.3724131067</v>
      </c>
      <c r="P269" s="526">
        <f t="shared" si="40"/>
        <v>755373</v>
      </c>
      <c r="Q269" s="526"/>
      <c r="R269" s="526"/>
    </row>
    <row r="270" spans="1:18">
      <c r="A270" s="6">
        <v>810</v>
      </c>
      <c r="B270" s="6" t="s">
        <v>1095</v>
      </c>
      <c r="C270" s="6">
        <v>182</v>
      </c>
      <c r="D270" s="6" t="s">
        <v>1300</v>
      </c>
      <c r="E270" s="9">
        <v>164.48306333381998</v>
      </c>
      <c r="F270" s="9">
        <v>3332423.3150430457</v>
      </c>
      <c r="G270" s="9">
        <v>1695019</v>
      </c>
      <c r="I270" s="6" t="str">
        <f t="shared" si="33"/>
        <v>810182</v>
      </c>
      <c r="J270" s="6">
        <f t="shared" si="34"/>
        <v>810</v>
      </c>
      <c r="K270" s="6" t="str">
        <f t="shared" si="35"/>
        <v>Bristol Plymouth</v>
      </c>
      <c r="L270" s="6">
        <f t="shared" si="36"/>
        <v>182</v>
      </c>
      <c r="M270" s="6" t="str">
        <f t="shared" si="37"/>
        <v xml:space="preserve">Middleborough                </v>
      </c>
      <c r="N270" s="9">
        <f t="shared" si="38"/>
        <v>164.48306333381998</v>
      </c>
      <c r="O270" s="526">
        <f t="shared" si="39"/>
        <v>3332423.3150430457</v>
      </c>
      <c r="P270" s="526">
        <f t="shared" si="40"/>
        <v>1695019</v>
      </c>
      <c r="Q270" s="526"/>
      <c r="R270" s="526"/>
    </row>
    <row r="271" spans="1:18">
      <c r="A271" s="6">
        <v>810</v>
      </c>
      <c r="B271" s="6" t="s">
        <v>1095</v>
      </c>
      <c r="C271" s="6">
        <v>245</v>
      </c>
      <c r="D271" s="6" t="s">
        <v>1363</v>
      </c>
      <c r="E271" s="9">
        <v>177.52135493166</v>
      </c>
      <c r="F271" s="9">
        <v>3596578.8215634432</v>
      </c>
      <c r="G271" s="9">
        <v>2139560</v>
      </c>
      <c r="I271" s="6" t="str">
        <f t="shared" si="33"/>
        <v>810245</v>
      </c>
      <c r="J271" s="6">
        <f t="shared" si="34"/>
        <v>810</v>
      </c>
      <c r="K271" s="6" t="str">
        <f t="shared" si="35"/>
        <v>Bristol Plymouth</v>
      </c>
      <c r="L271" s="6">
        <f t="shared" si="36"/>
        <v>245</v>
      </c>
      <c r="M271" s="6" t="str">
        <f t="shared" si="37"/>
        <v xml:space="preserve">Raynham                      </v>
      </c>
      <c r="N271" s="9">
        <f t="shared" si="38"/>
        <v>177.52135493166</v>
      </c>
      <c r="O271" s="526">
        <f t="shared" si="39"/>
        <v>3596578.8215634432</v>
      </c>
      <c r="P271" s="526">
        <f t="shared" si="40"/>
        <v>2139560</v>
      </c>
      <c r="Q271" s="526"/>
      <c r="R271" s="526"/>
    </row>
    <row r="272" spans="1:18">
      <c r="A272" s="6">
        <v>810</v>
      </c>
      <c r="B272" s="6" t="s">
        <v>1095</v>
      </c>
      <c r="C272" s="6">
        <v>247</v>
      </c>
      <c r="D272" s="6" t="s">
        <v>1365</v>
      </c>
      <c r="E272" s="9">
        <v>57.167893965660006</v>
      </c>
      <c r="F272" s="9">
        <v>1158220.298563123</v>
      </c>
      <c r="G272" s="9">
        <v>955532</v>
      </c>
      <c r="I272" s="6" t="str">
        <f t="shared" si="33"/>
        <v>810247</v>
      </c>
      <c r="J272" s="6">
        <f t="shared" si="34"/>
        <v>810</v>
      </c>
      <c r="K272" s="6" t="str">
        <f t="shared" si="35"/>
        <v>Bristol Plymouth</v>
      </c>
      <c r="L272" s="6">
        <f t="shared" si="36"/>
        <v>247</v>
      </c>
      <c r="M272" s="6" t="str">
        <f t="shared" si="37"/>
        <v xml:space="preserve">Rehoboth                     </v>
      </c>
      <c r="N272" s="9">
        <f t="shared" si="38"/>
        <v>57.167893965660006</v>
      </c>
      <c r="O272" s="526">
        <f t="shared" si="39"/>
        <v>1158220.298563123</v>
      </c>
      <c r="P272" s="526">
        <f t="shared" si="40"/>
        <v>955532</v>
      </c>
      <c r="Q272" s="526"/>
      <c r="R272" s="526"/>
    </row>
    <row r="273" spans="1:18">
      <c r="A273" s="6">
        <v>810</v>
      </c>
      <c r="B273" s="6" t="s">
        <v>1095</v>
      </c>
      <c r="C273" s="6">
        <v>293</v>
      </c>
      <c r="D273" s="6" t="s">
        <v>1411</v>
      </c>
      <c r="E273" s="9">
        <v>539.58468335813996</v>
      </c>
      <c r="F273" s="9">
        <v>10931974.045336653</v>
      </c>
      <c r="G273" s="9">
        <v>3517819</v>
      </c>
      <c r="I273" s="6" t="str">
        <f t="shared" si="33"/>
        <v>810293</v>
      </c>
      <c r="J273" s="6">
        <f t="shared" si="34"/>
        <v>810</v>
      </c>
      <c r="K273" s="6" t="str">
        <f t="shared" si="35"/>
        <v>Bristol Plymouth</v>
      </c>
      <c r="L273" s="6">
        <f t="shared" si="36"/>
        <v>293</v>
      </c>
      <c r="M273" s="6" t="str">
        <f t="shared" si="37"/>
        <v xml:space="preserve">Taunton                      </v>
      </c>
      <c r="N273" s="9">
        <f t="shared" si="38"/>
        <v>539.58468335813996</v>
      </c>
      <c r="O273" s="526">
        <f t="shared" si="39"/>
        <v>10931974.045336653</v>
      </c>
      <c r="P273" s="526">
        <f t="shared" si="40"/>
        <v>3517819</v>
      </c>
      <c r="Q273" s="526"/>
      <c r="R273" s="526"/>
    </row>
    <row r="274" spans="1:18">
      <c r="A274" s="6" t="s">
        <v>2425</v>
      </c>
      <c r="E274" s="9">
        <v>1362.0000000136201</v>
      </c>
      <c r="F274" s="9">
        <v>27594090.620275941</v>
      </c>
      <c r="G274" s="9">
        <v>13255197</v>
      </c>
      <c r="I274" s="6" t="str">
        <f t="shared" si="33"/>
        <v>810999</v>
      </c>
      <c r="J274" s="6">
        <f t="shared" si="34"/>
        <v>810</v>
      </c>
      <c r="K274" s="6">
        <f t="shared" si="35"/>
        <v>0</v>
      </c>
      <c r="L274" s="6">
        <f t="shared" si="36"/>
        <v>0</v>
      </c>
      <c r="M274" s="6">
        <f t="shared" si="37"/>
        <v>0</v>
      </c>
      <c r="N274" s="9">
        <f t="shared" si="38"/>
        <v>1362.0000000136201</v>
      </c>
      <c r="O274" s="526">
        <f t="shared" si="39"/>
        <v>27594090.620275941</v>
      </c>
      <c r="P274" s="526">
        <f t="shared" si="40"/>
        <v>13255197</v>
      </c>
      <c r="Q274" s="526">
        <f>VLOOKUP($J274,aidcalc,25,FALSE)</f>
        <v>14460069.000001416</v>
      </c>
      <c r="R274" s="526">
        <f>VLOOKUP($J274,aidcalc,27,FALSE)</f>
        <v>27715266.000001416</v>
      </c>
    </row>
    <row r="275" spans="1:18">
      <c r="A275" s="6">
        <v>815</v>
      </c>
      <c r="B275" s="6" t="s">
        <v>1096</v>
      </c>
      <c r="C275" s="6">
        <v>20</v>
      </c>
      <c r="D275" s="6" t="s">
        <v>1139</v>
      </c>
      <c r="E275" s="9">
        <v>181.27177177058999</v>
      </c>
      <c r="F275" s="9">
        <v>3950438.4538180893</v>
      </c>
      <c r="G275" s="9">
        <v>2840639</v>
      </c>
      <c r="I275" s="6" t="str">
        <f t="shared" si="33"/>
        <v>815020</v>
      </c>
      <c r="J275" s="6">
        <f t="shared" si="34"/>
        <v>815</v>
      </c>
      <c r="K275" s="6" t="str">
        <f t="shared" si="35"/>
        <v>Cape Cod</v>
      </c>
      <c r="L275" s="6">
        <f t="shared" si="36"/>
        <v>20</v>
      </c>
      <c r="M275" s="6" t="str">
        <f t="shared" si="37"/>
        <v xml:space="preserve">Barnstable                   </v>
      </c>
      <c r="N275" s="9">
        <f t="shared" si="38"/>
        <v>181.27177177058999</v>
      </c>
      <c r="O275" s="526">
        <f t="shared" si="39"/>
        <v>3950438.4538180893</v>
      </c>
      <c r="P275" s="526">
        <f t="shared" si="40"/>
        <v>2840639</v>
      </c>
      <c r="Q275" s="526"/>
      <c r="R275" s="526"/>
    </row>
    <row r="276" spans="1:18">
      <c r="A276" s="6">
        <v>815</v>
      </c>
      <c r="B276" s="6" t="s">
        <v>1096</v>
      </c>
      <c r="C276" s="6">
        <v>41</v>
      </c>
      <c r="D276" s="6" t="s">
        <v>1160</v>
      </c>
      <c r="E276" s="9">
        <v>51.076576578859999</v>
      </c>
      <c r="F276" s="9">
        <v>1113106.96770742</v>
      </c>
      <c r="G276" s="9">
        <v>918313</v>
      </c>
      <c r="I276" s="6" t="str">
        <f t="shared" si="33"/>
        <v>815041</v>
      </c>
      <c r="J276" s="6">
        <f t="shared" si="34"/>
        <v>815</v>
      </c>
      <c r="K276" s="6" t="str">
        <f t="shared" si="35"/>
        <v>Cape Cod</v>
      </c>
      <c r="L276" s="6">
        <f t="shared" si="36"/>
        <v>41</v>
      </c>
      <c r="M276" s="6" t="str">
        <f t="shared" si="37"/>
        <v xml:space="preserve">Brewster                     </v>
      </c>
      <c r="N276" s="9">
        <f t="shared" si="38"/>
        <v>51.076576578859999</v>
      </c>
      <c r="O276" s="526">
        <f t="shared" si="39"/>
        <v>1113106.96770742</v>
      </c>
      <c r="P276" s="526">
        <f t="shared" si="40"/>
        <v>918313</v>
      </c>
      <c r="Q276" s="526"/>
      <c r="R276" s="526"/>
    </row>
    <row r="277" spans="1:18">
      <c r="A277" s="6">
        <v>815</v>
      </c>
      <c r="B277" s="6" t="s">
        <v>1096</v>
      </c>
      <c r="C277" s="6">
        <v>55</v>
      </c>
      <c r="D277" s="6" t="s">
        <v>1174</v>
      </c>
      <c r="E277" s="9">
        <v>20.03003003001</v>
      </c>
      <c r="F277" s="9">
        <v>436512.53633589984</v>
      </c>
      <c r="G277" s="9">
        <v>360123</v>
      </c>
      <c r="I277" s="6" t="str">
        <f t="shared" si="33"/>
        <v>815055</v>
      </c>
      <c r="J277" s="6">
        <f t="shared" si="34"/>
        <v>815</v>
      </c>
      <c r="K277" s="6" t="str">
        <f t="shared" si="35"/>
        <v>Cape Cod</v>
      </c>
      <c r="L277" s="6">
        <f t="shared" si="36"/>
        <v>55</v>
      </c>
      <c r="M277" s="6" t="str">
        <f t="shared" si="37"/>
        <v xml:space="preserve">Chatham                      </v>
      </c>
      <c r="N277" s="9">
        <f t="shared" si="38"/>
        <v>20.03003003001</v>
      </c>
      <c r="O277" s="526">
        <f t="shared" si="39"/>
        <v>436512.53633589984</v>
      </c>
      <c r="P277" s="526">
        <f t="shared" si="40"/>
        <v>360123</v>
      </c>
      <c r="Q277" s="526"/>
      <c r="R277" s="526"/>
    </row>
    <row r="278" spans="1:18">
      <c r="A278" s="6">
        <v>815</v>
      </c>
      <c r="B278" s="6" t="s">
        <v>1096</v>
      </c>
      <c r="C278" s="6">
        <v>75</v>
      </c>
      <c r="D278" s="6" t="s">
        <v>1194</v>
      </c>
      <c r="E278" s="9">
        <v>63.094594591529997</v>
      </c>
      <c r="F278" s="9">
        <v>1375014.4893926729</v>
      </c>
      <c r="G278" s="9">
        <v>1134387</v>
      </c>
      <c r="I278" s="6" t="str">
        <f t="shared" si="33"/>
        <v>815075</v>
      </c>
      <c r="J278" s="6">
        <f t="shared" si="34"/>
        <v>815</v>
      </c>
      <c r="K278" s="6" t="str">
        <f t="shared" si="35"/>
        <v>Cape Cod</v>
      </c>
      <c r="L278" s="6">
        <f t="shared" si="36"/>
        <v>75</v>
      </c>
      <c r="M278" s="6" t="str">
        <f t="shared" si="37"/>
        <v xml:space="preserve">Dennis                       </v>
      </c>
      <c r="N278" s="9">
        <f t="shared" si="38"/>
        <v>63.094594591529997</v>
      </c>
      <c r="O278" s="526">
        <f t="shared" si="39"/>
        <v>1375014.4893926729</v>
      </c>
      <c r="P278" s="526">
        <f t="shared" si="40"/>
        <v>1134387</v>
      </c>
      <c r="Q278" s="526"/>
      <c r="R278" s="526"/>
    </row>
    <row r="279" spans="1:18">
      <c r="A279" s="6">
        <v>815</v>
      </c>
      <c r="B279" s="6" t="s">
        <v>1096</v>
      </c>
      <c r="C279" s="6">
        <v>85</v>
      </c>
      <c r="D279" s="6" t="s">
        <v>1204</v>
      </c>
      <c r="E279" s="9">
        <v>28.042042040679998</v>
      </c>
      <c r="F279" s="9">
        <v>611117.55084118794</v>
      </c>
      <c r="G279" s="9">
        <v>504172</v>
      </c>
      <c r="I279" s="6" t="str">
        <f t="shared" si="33"/>
        <v>815085</v>
      </c>
      <c r="J279" s="6">
        <f t="shared" si="34"/>
        <v>815</v>
      </c>
      <c r="K279" s="6" t="str">
        <f t="shared" si="35"/>
        <v>Cape Cod</v>
      </c>
      <c r="L279" s="6">
        <f t="shared" si="36"/>
        <v>85</v>
      </c>
      <c r="M279" s="6" t="str">
        <f t="shared" si="37"/>
        <v xml:space="preserve">Eastham                      </v>
      </c>
      <c r="N279" s="9">
        <f t="shared" si="38"/>
        <v>28.042042040679998</v>
      </c>
      <c r="O279" s="526">
        <f t="shared" si="39"/>
        <v>611117.55084118794</v>
      </c>
      <c r="P279" s="526">
        <f t="shared" si="40"/>
        <v>504172</v>
      </c>
      <c r="Q279" s="526"/>
      <c r="R279" s="526"/>
    </row>
    <row r="280" spans="1:18">
      <c r="A280" s="6">
        <v>815</v>
      </c>
      <c r="B280" s="6" t="s">
        <v>1096</v>
      </c>
      <c r="C280" s="6">
        <v>126</v>
      </c>
      <c r="D280" s="6" t="s">
        <v>1244</v>
      </c>
      <c r="E280" s="9">
        <v>77.115615618540005</v>
      </c>
      <c r="F280" s="9">
        <v>1680573.2649586257</v>
      </c>
      <c r="G280" s="9">
        <v>1386473</v>
      </c>
      <c r="I280" s="6" t="str">
        <f t="shared" si="33"/>
        <v>815126</v>
      </c>
      <c r="J280" s="6">
        <f t="shared" si="34"/>
        <v>815</v>
      </c>
      <c r="K280" s="6" t="str">
        <f t="shared" si="35"/>
        <v>Cape Cod</v>
      </c>
      <c r="L280" s="6">
        <f t="shared" si="36"/>
        <v>126</v>
      </c>
      <c r="M280" s="6" t="str">
        <f t="shared" si="37"/>
        <v xml:space="preserve">Harwich                      </v>
      </c>
      <c r="N280" s="9">
        <f t="shared" si="38"/>
        <v>77.115615618540005</v>
      </c>
      <c r="O280" s="526">
        <f t="shared" si="39"/>
        <v>1680573.2649586257</v>
      </c>
      <c r="P280" s="526">
        <f t="shared" si="40"/>
        <v>1386473</v>
      </c>
      <c r="Q280" s="526"/>
      <c r="R280" s="526"/>
    </row>
    <row r="281" spans="1:18">
      <c r="A281" s="6">
        <v>815</v>
      </c>
      <c r="B281" s="6" t="s">
        <v>1096</v>
      </c>
      <c r="C281" s="6">
        <v>172</v>
      </c>
      <c r="D281" s="6" t="s">
        <v>1290</v>
      </c>
      <c r="E281" s="9">
        <v>57.085585588530002</v>
      </c>
      <c r="F281" s="9">
        <v>1244060.7286227257</v>
      </c>
      <c r="G281" s="9">
        <v>1006442</v>
      </c>
      <c r="I281" s="6" t="str">
        <f t="shared" si="33"/>
        <v>815172</v>
      </c>
      <c r="J281" s="6">
        <f t="shared" si="34"/>
        <v>815</v>
      </c>
      <c r="K281" s="6" t="str">
        <f t="shared" si="35"/>
        <v>Cape Cod</v>
      </c>
      <c r="L281" s="6">
        <f t="shared" si="36"/>
        <v>172</v>
      </c>
      <c r="M281" s="6" t="str">
        <f t="shared" si="37"/>
        <v xml:space="preserve">Mashpee                      </v>
      </c>
      <c r="N281" s="9">
        <f t="shared" si="38"/>
        <v>57.085585588530002</v>
      </c>
      <c r="O281" s="526">
        <f t="shared" si="39"/>
        <v>1244060.7286227257</v>
      </c>
      <c r="P281" s="526">
        <f t="shared" si="40"/>
        <v>1006442</v>
      </c>
      <c r="Q281" s="526"/>
      <c r="R281" s="526"/>
    </row>
    <row r="282" spans="1:18">
      <c r="A282" s="6">
        <v>815</v>
      </c>
      <c r="B282" s="6" t="s">
        <v>1096</v>
      </c>
      <c r="C282" s="6">
        <v>224</v>
      </c>
      <c r="D282" s="6" t="s">
        <v>1342</v>
      </c>
      <c r="E282" s="9">
        <v>15.022522520840001</v>
      </c>
      <c r="F282" s="9">
        <v>327384.40221558517</v>
      </c>
      <c r="G282" s="9">
        <v>270092</v>
      </c>
      <c r="I282" s="6" t="str">
        <f t="shared" si="33"/>
        <v>815224</v>
      </c>
      <c r="J282" s="6">
        <f t="shared" si="34"/>
        <v>815</v>
      </c>
      <c r="K282" s="6" t="str">
        <f t="shared" si="35"/>
        <v>Cape Cod</v>
      </c>
      <c r="L282" s="6">
        <f t="shared" si="36"/>
        <v>224</v>
      </c>
      <c r="M282" s="6" t="str">
        <f t="shared" si="37"/>
        <v xml:space="preserve">Orleans                      </v>
      </c>
      <c r="N282" s="9">
        <f t="shared" si="38"/>
        <v>15.022522520840001</v>
      </c>
      <c r="O282" s="526">
        <f t="shared" si="39"/>
        <v>327384.40221558517</v>
      </c>
      <c r="P282" s="526">
        <f t="shared" si="40"/>
        <v>270092</v>
      </c>
      <c r="Q282" s="526"/>
      <c r="R282" s="526"/>
    </row>
    <row r="283" spans="1:18">
      <c r="A283" s="6">
        <v>815</v>
      </c>
      <c r="B283" s="6" t="s">
        <v>1096</v>
      </c>
      <c r="C283" s="6">
        <v>242</v>
      </c>
      <c r="D283" s="6" t="s">
        <v>1360</v>
      </c>
      <c r="E283" s="9">
        <v>6.0090090096699997</v>
      </c>
      <c r="F283" s="9">
        <v>130953.7609153058</v>
      </c>
      <c r="G283" s="9">
        <v>108037</v>
      </c>
      <c r="I283" s="6" t="str">
        <f t="shared" si="33"/>
        <v>815242</v>
      </c>
      <c r="J283" s="6">
        <f t="shared" si="34"/>
        <v>815</v>
      </c>
      <c r="K283" s="6" t="str">
        <f t="shared" si="35"/>
        <v>Cape Cod</v>
      </c>
      <c r="L283" s="6">
        <f t="shared" si="36"/>
        <v>242</v>
      </c>
      <c r="M283" s="6" t="str">
        <f t="shared" si="37"/>
        <v xml:space="preserve">Provincetown                 </v>
      </c>
      <c r="N283" s="9">
        <f t="shared" si="38"/>
        <v>6.0090090096699997</v>
      </c>
      <c r="O283" s="526">
        <f t="shared" si="39"/>
        <v>130953.7609153058</v>
      </c>
      <c r="P283" s="526">
        <f t="shared" si="40"/>
        <v>108037</v>
      </c>
      <c r="Q283" s="526"/>
      <c r="R283" s="526"/>
    </row>
    <row r="284" spans="1:18">
      <c r="A284" s="6">
        <v>815</v>
      </c>
      <c r="B284" s="6" t="s">
        <v>1096</v>
      </c>
      <c r="C284" s="6">
        <v>300</v>
      </c>
      <c r="D284" s="6" t="s">
        <v>1418</v>
      </c>
      <c r="E284" s="9">
        <v>11.01651651884</v>
      </c>
      <c r="F284" s="9">
        <v>240081.89503562043</v>
      </c>
      <c r="G284" s="9">
        <v>198068</v>
      </c>
      <c r="I284" s="6" t="str">
        <f t="shared" si="33"/>
        <v>815300</v>
      </c>
      <c r="J284" s="6">
        <f t="shared" si="34"/>
        <v>815</v>
      </c>
      <c r="K284" s="6" t="str">
        <f t="shared" si="35"/>
        <v>Cape Cod</v>
      </c>
      <c r="L284" s="6">
        <f t="shared" si="36"/>
        <v>300</v>
      </c>
      <c r="M284" s="6" t="str">
        <f t="shared" si="37"/>
        <v xml:space="preserve">Truro                        </v>
      </c>
      <c r="N284" s="9">
        <f t="shared" si="38"/>
        <v>11.01651651884</v>
      </c>
      <c r="O284" s="526">
        <f t="shared" si="39"/>
        <v>240081.89503562043</v>
      </c>
      <c r="P284" s="526">
        <f t="shared" si="40"/>
        <v>198068</v>
      </c>
      <c r="Q284" s="526"/>
      <c r="R284" s="526"/>
    </row>
    <row r="285" spans="1:18">
      <c r="A285" s="6">
        <v>815</v>
      </c>
      <c r="B285" s="6" t="s">
        <v>1096</v>
      </c>
      <c r="C285" s="6">
        <v>318</v>
      </c>
      <c r="D285" s="6" t="s">
        <v>1436</v>
      </c>
      <c r="E285" s="9">
        <v>11.01651651884</v>
      </c>
      <c r="F285" s="9">
        <v>240081.89503562043</v>
      </c>
      <c r="G285" s="9">
        <v>198068</v>
      </c>
      <c r="I285" s="6" t="str">
        <f t="shared" si="33"/>
        <v>815318</v>
      </c>
      <c r="J285" s="6">
        <f t="shared" si="34"/>
        <v>815</v>
      </c>
      <c r="K285" s="6" t="str">
        <f t="shared" si="35"/>
        <v>Cape Cod</v>
      </c>
      <c r="L285" s="6">
        <f t="shared" si="36"/>
        <v>318</v>
      </c>
      <c r="M285" s="6" t="str">
        <f t="shared" si="37"/>
        <v xml:space="preserve">Wellfleet                    </v>
      </c>
      <c r="N285" s="9">
        <f t="shared" si="38"/>
        <v>11.01651651884</v>
      </c>
      <c r="O285" s="526">
        <f t="shared" si="39"/>
        <v>240081.89503562043</v>
      </c>
      <c r="P285" s="526">
        <f t="shared" si="40"/>
        <v>198068</v>
      </c>
      <c r="Q285" s="526"/>
      <c r="R285" s="526"/>
    </row>
    <row r="286" spans="1:18">
      <c r="A286" s="6">
        <v>815</v>
      </c>
      <c r="B286" s="6" t="s">
        <v>1096</v>
      </c>
      <c r="C286" s="6">
        <v>351</v>
      </c>
      <c r="D286" s="6" t="s">
        <v>1468</v>
      </c>
      <c r="E286" s="9">
        <v>146.21921921974001</v>
      </c>
      <c r="F286" s="9">
        <v>3186541.5152666047</v>
      </c>
      <c r="G286" s="9">
        <v>2348618</v>
      </c>
      <c r="I286" s="6" t="str">
        <f t="shared" si="33"/>
        <v>815351</v>
      </c>
      <c r="J286" s="6">
        <f t="shared" si="34"/>
        <v>815</v>
      </c>
      <c r="K286" s="6" t="str">
        <f t="shared" si="35"/>
        <v>Cape Cod</v>
      </c>
      <c r="L286" s="6">
        <f t="shared" si="36"/>
        <v>351</v>
      </c>
      <c r="M286" s="6" t="str">
        <f t="shared" si="37"/>
        <v xml:space="preserve">Yarmouth                     </v>
      </c>
      <c r="N286" s="9">
        <f t="shared" si="38"/>
        <v>146.21921921974001</v>
      </c>
      <c r="O286" s="526">
        <f t="shared" si="39"/>
        <v>3186541.5152666047</v>
      </c>
      <c r="P286" s="526">
        <f t="shared" si="40"/>
        <v>2348618</v>
      </c>
      <c r="Q286" s="526"/>
      <c r="R286" s="526"/>
    </row>
    <row r="287" spans="1:18">
      <c r="A287" s="6" t="s">
        <v>2426</v>
      </c>
      <c r="E287" s="9">
        <v>667.00000000667001</v>
      </c>
      <c r="F287" s="9">
        <v>14535867.460145356</v>
      </c>
      <c r="G287" s="9">
        <v>11273432</v>
      </c>
      <c r="I287" s="6" t="str">
        <f t="shared" si="33"/>
        <v>815999</v>
      </c>
      <c r="J287" s="6">
        <f t="shared" si="34"/>
        <v>815</v>
      </c>
      <c r="K287" s="6">
        <f t="shared" si="35"/>
        <v>0</v>
      </c>
      <c r="L287" s="6">
        <f t="shared" si="36"/>
        <v>0</v>
      </c>
      <c r="M287" s="6">
        <f t="shared" si="37"/>
        <v>0</v>
      </c>
      <c r="N287" s="9">
        <f t="shared" si="38"/>
        <v>667.00000000667001</v>
      </c>
      <c r="O287" s="526">
        <f t="shared" si="39"/>
        <v>14535867.460145356</v>
      </c>
      <c r="P287" s="526">
        <f t="shared" si="40"/>
        <v>11273432</v>
      </c>
      <c r="Q287" s="526">
        <f>VLOOKUP($J287,aidcalc,25,FALSE)</f>
        <v>3476640.0000006938</v>
      </c>
      <c r="R287" s="526">
        <f>VLOOKUP($J287,aidcalc,27,FALSE)</f>
        <v>14750072.000000693</v>
      </c>
    </row>
    <row r="288" spans="1:18">
      <c r="A288" s="6">
        <v>817</v>
      </c>
      <c r="B288" s="6" t="s">
        <v>1097</v>
      </c>
      <c r="C288" s="6">
        <v>30</v>
      </c>
      <c r="D288" s="6" t="s">
        <v>1149</v>
      </c>
      <c r="E288" s="9">
        <v>198.00000000702002</v>
      </c>
      <c r="F288" s="9">
        <v>3994905.3921161601</v>
      </c>
      <c r="G288" s="9">
        <v>3132367</v>
      </c>
      <c r="I288" s="6" t="str">
        <f t="shared" si="33"/>
        <v>817030</v>
      </c>
      <c r="J288" s="6">
        <f t="shared" si="34"/>
        <v>817</v>
      </c>
      <c r="K288" s="6" t="str">
        <f t="shared" si="35"/>
        <v>Essex North Shore</v>
      </c>
      <c r="L288" s="6">
        <f t="shared" si="36"/>
        <v>30</v>
      </c>
      <c r="M288" s="6" t="str">
        <f t="shared" si="37"/>
        <v xml:space="preserve">Beverly                      </v>
      </c>
      <c r="N288" s="9">
        <f t="shared" si="38"/>
        <v>198.00000000702002</v>
      </c>
      <c r="O288" s="526">
        <f t="shared" si="39"/>
        <v>3994905.3921161601</v>
      </c>
      <c r="P288" s="526">
        <f t="shared" si="40"/>
        <v>3132367</v>
      </c>
      <c r="Q288" s="526"/>
      <c r="R288" s="526"/>
    </row>
    <row r="289" spans="1:18">
      <c r="A289" s="6">
        <v>817</v>
      </c>
      <c r="B289" s="6" t="s">
        <v>1097</v>
      </c>
      <c r="C289" s="6">
        <v>38</v>
      </c>
      <c r="D289" s="6" t="s">
        <v>719</v>
      </c>
      <c r="E289" s="9">
        <v>25.000000003169998</v>
      </c>
      <c r="F289" s="9">
        <v>504407.24652538839</v>
      </c>
      <c r="G289" s="9">
        <v>399080</v>
      </c>
      <c r="I289" s="6" t="str">
        <f t="shared" si="33"/>
        <v>817038</v>
      </c>
      <c r="J289" s="6">
        <f t="shared" si="34"/>
        <v>817</v>
      </c>
      <c r="K289" s="6" t="str">
        <f t="shared" si="35"/>
        <v>Essex North Shore</v>
      </c>
      <c r="L289" s="6">
        <f t="shared" si="36"/>
        <v>38</v>
      </c>
      <c r="M289" s="6" t="str">
        <f t="shared" si="37"/>
        <v>Boxford</v>
      </c>
      <c r="N289" s="9">
        <f t="shared" si="38"/>
        <v>25.000000003169998</v>
      </c>
      <c r="O289" s="526">
        <f t="shared" si="39"/>
        <v>504407.24652538839</v>
      </c>
      <c r="P289" s="526">
        <f t="shared" si="40"/>
        <v>399080</v>
      </c>
      <c r="Q289" s="526"/>
      <c r="R289" s="526"/>
    </row>
    <row r="290" spans="1:18">
      <c r="A290" s="6">
        <v>817</v>
      </c>
      <c r="B290" s="6" t="s">
        <v>1097</v>
      </c>
      <c r="C290" s="6">
        <v>71</v>
      </c>
      <c r="D290" s="6" t="s">
        <v>1190</v>
      </c>
      <c r="E290" s="9">
        <v>239.99999999651999</v>
      </c>
      <c r="F290" s="9">
        <v>4842309.5659595104</v>
      </c>
      <c r="G290" s="9">
        <v>3814450</v>
      </c>
      <c r="I290" s="6" t="str">
        <f t="shared" si="33"/>
        <v>817071</v>
      </c>
      <c r="J290" s="6">
        <f t="shared" si="34"/>
        <v>817</v>
      </c>
      <c r="K290" s="6" t="str">
        <f t="shared" si="35"/>
        <v>Essex North Shore</v>
      </c>
      <c r="L290" s="6">
        <f t="shared" si="36"/>
        <v>71</v>
      </c>
      <c r="M290" s="6" t="str">
        <f t="shared" si="37"/>
        <v xml:space="preserve">Danvers                      </v>
      </c>
      <c r="N290" s="9">
        <f t="shared" si="38"/>
        <v>239.99999999651999</v>
      </c>
      <c r="O290" s="526">
        <f t="shared" si="39"/>
        <v>4842309.5659595104</v>
      </c>
      <c r="P290" s="526">
        <f t="shared" si="40"/>
        <v>3814450</v>
      </c>
      <c r="Q290" s="526"/>
      <c r="R290" s="526"/>
    </row>
    <row r="291" spans="1:18">
      <c r="A291" s="6">
        <v>817</v>
      </c>
      <c r="B291" s="6" t="s">
        <v>1097</v>
      </c>
      <c r="C291" s="6">
        <v>92</v>
      </c>
      <c r="D291" s="6" t="s">
        <v>1211</v>
      </c>
      <c r="E291" s="9">
        <v>19.000000004669999</v>
      </c>
      <c r="F291" s="9">
        <v>383349.50740490976</v>
      </c>
      <c r="G291" s="9">
        <v>308061</v>
      </c>
      <c r="I291" s="6" t="str">
        <f t="shared" si="33"/>
        <v>817092</v>
      </c>
      <c r="J291" s="6">
        <f t="shared" si="34"/>
        <v>817</v>
      </c>
      <c r="K291" s="6" t="str">
        <f t="shared" si="35"/>
        <v>Essex North Shore</v>
      </c>
      <c r="L291" s="6">
        <f t="shared" si="36"/>
        <v>92</v>
      </c>
      <c r="M291" s="6" t="str">
        <f t="shared" si="37"/>
        <v xml:space="preserve">Essex                        </v>
      </c>
      <c r="N291" s="9">
        <f t="shared" si="38"/>
        <v>19.000000004669999</v>
      </c>
      <c r="O291" s="526">
        <f t="shared" si="39"/>
        <v>383349.50740490976</v>
      </c>
      <c r="P291" s="526">
        <f t="shared" si="40"/>
        <v>308061</v>
      </c>
      <c r="Q291" s="526"/>
      <c r="R291" s="526"/>
    </row>
    <row r="292" spans="1:18">
      <c r="A292" s="6">
        <v>817</v>
      </c>
      <c r="B292" s="6" t="s">
        <v>1097</v>
      </c>
      <c r="C292" s="6">
        <v>107</v>
      </c>
      <c r="D292" s="6" t="s">
        <v>1225</v>
      </c>
      <c r="E292" s="9">
        <v>99.00000000351001</v>
      </c>
      <c r="F292" s="9">
        <v>1997452.6960580801</v>
      </c>
      <c r="G292" s="9">
        <v>1523721</v>
      </c>
      <c r="I292" s="6" t="str">
        <f t="shared" si="33"/>
        <v>817107</v>
      </c>
      <c r="J292" s="6">
        <f t="shared" si="34"/>
        <v>817</v>
      </c>
      <c r="K292" s="6" t="str">
        <f t="shared" si="35"/>
        <v>Essex North Shore</v>
      </c>
      <c r="L292" s="6">
        <f t="shared" si="36"/>
        <v>107</v>
      </c>
      <c r="M292" s="6" t="str">
        <f t="shared" si="37"/>
        <v xml:space="preserve">Gloucester                   </v>
      </c>
      <c r="N292" s="9">
        <f t="shared" si="38"/>
        <v>99.00000000351001</v>
      </c>
      <c r="O292" s="526">
        <f t="shared" si="39"/>
        <v>1997452.6960580801</v>
      </c>
      <c r="P292" s="526">
        <f t="shared" si="40"/>
        <v>1523721</v>
      </c>
      <c r="Q292" s="526"/>
      <c r="R292" s="526"/>
    </row>
    <row r="293" spans="1:18">
      <c r="A293" s="6">
        <v>817</v>
      </c>
      <c r="B293" s="6" t="s">
        <v>1097</v>
      </c>
      <c r="C293" s="6">
        <v>119</v>
      </c>
      <c r="D293" s="6" t="s">
        <v>1237</v>
      </c>
      <c r="E293" s="9">
        <v>25.000000003169998</v>
      </c>
      <c r="F293" s="9">
        <v>504407.24652538839</v>
      </c>
      <c r="G293" s="9">
        <v>409400</v>
      </c>
      <c r="I293" s="6" t="str">
        <f t="shared" si="33"/>
        <v>817119</v>
      </c>
      <c r="J293" s="6">
        <f t="shared" si="34"/>
        <v>817</v>
      </c>
      <c r="K293" s="6" t="str">
        <f t="shared" si="35"/>
        <v>Essex North Shore</v>
      </c>
      <c r="L293" s="6">
        <f t="shared" si="36"/>
        <v>119</v>
      </c>
      <c r="M293" s="6" t="str">
        <f t="shared" si="37"/>
        <v xml:space="preserve">Hamilton                     </v>
      </c>
      <c r="N293" s="9">
        <f t="shared" si="38"/>
        <v>25.000000003169998</v>
      </c>
      <c r="O293" s="526">
        <f t="shared" si="39"/>
        <v>504407.24652538839</v>
      </c>
      <c r="P293" s="526">
        <f t="shared" si="40"/>
        <v>409400</v>
      </c>
      <c r="Q293" s="526"/>
      <c r="R293" s="526"/>
    </row>
    <row r="294" spans="1:18">
      <c r="A294" s="6">
        <v>817</v>
      </c>
      <c r="B294" s="6" t="s">
        <v>1097</v>
      </c>
      <c r="C294" s="6">
        <v>164</v>
      </c>
      <c r="D294" s="6" t="s">
        <v>1282</v>
      </c>
      <c r="E294" s="9">
        <v>36.000000005129998</v>
      </c>
      <c r="F294" s="9">
        <v>726346.43500796298</v>
      </c>
      <c r="G294" s="9">
        <v>581797</v>
      </c>
      <c r="I294" s="6" t="str">
        <f t="shared" si="33"/>
        <v>817164</v>
      </c>
      <c r="J294" s="6">
        <f t="shared" si="34"/>
        <v>817</v>
      </c>
      <c r="K294" s="6" t="str">
        <f t="shared" si="35"/>
        <v>Essex North Shore</v>
      </c>
      <c r="L294" s="6">
        <f t="shared" si="36"/>
        <v>164</v>
      </c>
      <c r="M294" s="6" t="str">
        <f t="shared" si="37"/>
        <v xml:space="preserve">Lynnfield                    </v>
      </c>
      <c r="N294" s="9">
        <f t="shared" si="38"/>
        <v>36.000000005129998</v>
      </c>
      <c r="O294" s="526">
        <f t="shared" si="39"/>
        <v>726346.43500796298</v>
      </c>
      <c r="P294" s="526">
        <f t="shared" si="40"/>
        <v>581797</v>
      </c>
      <c r="Q294" s="526"/>
      <c r="R294" s="526"/>
    </row>
    <row r="295" spans="1:18">
      <c r="A295" s="6">
        <v>817</v>
      </c>
      <c r="B295" s="6" t="s">
        <v>1097</v>
      </c>
      <c r="C295" s="6">
        <v>166</v>
      </c>
      <c r="D295" s="6" t="s">
        <v>1284</v>
      </c>
      <c r="E295" s="9">
        <v>13.000000006170001</v>
      </c>
      <c r="F295" s="9">
        <v>262291.76828443113</v>
      </c>
      <c r="G295" s="9">
        <v>216391</v>
      </c>
      <c r="I295" s="6" t="str">
        <f t="shared" si="33"/>
        <v>817166</v>
      </c>
      <c r="J295" s="6">
        <f t="shared" si="34"/>
        <v>817</v>
      </c>
      <c r="K295" s="6" t="str">
        <f t="shared" si="35"/>
        <v>Essex North Shore</v>
      </c>
      <c r="L295" s="6">
        <f t="shared" si="36"/>
        <v>166</v>
      </c>
      <c r="M295" s="6" t="str">
        <f t="shared" si="37"/>
        <v xml:space="preserve">Manchester                   </v>
      </c>
      <c r="N295" s="9">
        <f t="shared" si="38"/>
        <v>13.000000006170001</v>
      </c>
      <c r="O295" s="526">
        <f t="shared" si="39"/>
        <v>262291.76828443113</v>
      </c>
      <c r="P295" s="526">
        <f t="shared" si="40"/>
        <v>216391</v>
      </c>
      <c r="Q295" s="526"/>
      <c r="R295" s="526"/>
    </row>
    <row r="296" spans="1:18">
      <c r="A296" s="6">
        <v>817</v>
      </c>
      <c r="B296" s="6" t="s">
        <v>1097</v>
      </c>
      <c r="C296" s="6">
        <v>168</v>
      </c>
      <c r="D296" s="6" t="s">
        <v>1286</v>
      </c>
      <c r="E296" s="9">
        <v>25.000000003169998</v>
      </c>
      <c r="F296" s="9">
        <v>504407.24652538839</v>
      </c>
      <c r="G296" s="9">
        <v>416136</v>
      </c>
      <c r="I296" s="6" t="str">
        <f t="shared" si="33"/>
        <v>817168</v>
      </c>
      <c r="J296" s="6">
        <f t="shared" si="34"/>
        <v>817</v>
      </c>
      <c r="K296" s="6" t="str">
        <f t="shared" si="35"/>
        <v>Essex North Shore</v>
      </c>
      <c r="L296" s="6">
        <f t="shared" si="36"/>
        <v>168</v>
      </c>
      <c r="M296" s="6" t="str">
        <f t="shared" si="37"/>
        <v xml:space="preserve">Marblehead                   </v>
      </c>
      <c r="N296" s="9">
        <f t="shared" si="38"/>
        <v>25.000000003169998</v>
      </c>
      <c r="O296" s="526">
        <f t="shared" si="39"/>
        <v>504407.24652538839</v>
      </c>
      <c r="P296" s="526">
        <f t="shared" si="40"/>
        <v>416136</v>
      </c>
      <c r="Q296" s="526"/>
      <c r="R296" s="526"/>
    </row>
    <row r="297" spans="1:18">
      <c r="A297" s="6">
        <v>817</v>
      </c>
      <c r="B297" s="6" t="s">
        <v>1097</v>
      </c>
      <c r="C297" s="6">
        <v>184</v>
      </c>
      <c r="D297" s="6" t="s">
        <v>1302</v>
      </c>
      <c r="E297" s="9">
        <v>54.000000000629996</v>
      </c>
      <c r="F297" s="9">
        <v>1089519.6523693989</v>
      </c>
      <c r="G297" s="9">
        <v>898854</v>
      </c>
      <c r="I297" s="6" t="str">
        <f t="shared" si="33"/>
        <v>817184</v>
      </c>
      <c r="J297" s="6">
        <f t="shared" si="34"/>
        <v>817</v>
      </c>
      <c r="K297" s="6" t="str">
        <f t="shared" si="35"/>
        <v>Essex North Shore</v>
      </c>
      <c r="L297" s="6">
        <f t="shared" si="36"/>
        <v>184</v>
      </c>
      <c r="M297" s="6" t="str">
        <f t="shared" si="37"/>
        <v xml:space="preserve">Middleton                    </v>
      </c>
      <c r="N297" s="9">
        <f t="shared" si="38"/>
        <v>54.000000000629996</v>
      </c>
      <c r="O297" s="526">
        <f t="shared" si="39"/>
        <v>1089519.6523693989</v>
      </c>
      <c r="P297" s="526">
        <f t="shared" si="40"/>
        <v>898854</v>
      </c>
      <c r="Q297" s="526"/>
      <c r="R297" s="526"/>
    </row>
    <row r="298" spans="1:18">
      <c r="A298" s="6">
        <v>817</v>
      </c>
      <c r="B298" s="6" t="s">
        <v>1097</v>
      </c>
      <c r="C298" s="6">
        <v>196</v>
      </c>
      <c r="D298" s="6" t="s">
        <v>1314</v>
      </c>
      <c r="E298" s="9">
        <v>14.000000001210001</v>
      </c>
      <c r="F298" s="9">
        <v>282468.05804281391</v>
      </c>
      <c r="G298" s="9">
        <v>233036</v>
      </c>
      <c r="I298" s="6" t="str">
        <f t="shared" si="33"/>
        <v>817196</v>
      </c>
      <c r="J298" s="6">
        <f t="shared" si="34"/>
        <v>817</v>
      </c>
      <c r="K298" s="6" t="str">
        <f t="shared" si="35"/>
        <v>Essex North Shore</v>
      </c>
      <c r="L298" s="6">
        <f t="shared" si="36"/>
        <v>196</v>
      </c>
      <c r="M298" s="6" t="str">
        <f t="shared" si="37"/>
        <v xml:space="preserve">Nahant                       </v>
      </c>
      <c r="N298" s="9">
        <f t="shared" si="38"/>
        <v>14.000000001210001</v>
      </c>
      <c r="O298" s="526">
        <f t="shared" si="39"/>
        <v>282468.05804281391</v>
      </c>
      <c r="P298" s="526">
        <f t="shared" si="40"/>
        <v>233036</v>
      </c>
      <c r="Q298" s="526"/>
      <c r="R298" s="526"/>
    </row>
    <row r="299" spans="1:18">
      <c r="A299" s="6">
        <v>817</v>
      </c>
      <c r="B299" s="6" t="s">
        <v>1097</v>
      </c>
      <c r="C299" s="6">
        <v>229</v>
      </c>
      <c r="D299" s="6" t="s">
        <v>1347</v>
      </c>
      <c r="E299" s="9">
        <v>415.00000000457999</v>
      </c>
      <c r="F299" s="9">
        <v>8373160.2913521379</v>
      </c>
      <c r="G299" s="9">
        <v>5116925</v>
      </c>
      <c r="I299" s="6" t="str">
        <f t="shared" si="33"/>
        <v>817229</v>
      </c>
      <c r="J299" s="6">
        <f t="shared" si="34"/>
        <v>817</v>
      </c>
      <c r="K299" s="6" t="str">
        <f t="shared" si="35"/>
        <v>Essex North Shore</v>
      </c>
      <c r="L299" s="6">
        <f t="shared" si="36"/>
        <v>229</v>
      </c>
      <c r="M299" s="6" t="str">
        <f t="shared" si="37"/>
        <v xml:space="preserve">Peabody                      </v>
      </c>
      <c r="N299" s="9">
        <f t="shared" si="38"/>
        <v>415.00000000457999</v>
      </c>
      <c r="O299" s="526">
        <f t="shared" si="39"/>
        <v>8373160.2913521379</v>
      </c>
      <c r="P299" s="526">
        <f t="shared" si="40"/>
        <v>5116925</v>
      </c>
      <c r="Q299" s="526"/>
      <c r="R299" s="526"/>
    </row>
    <row r="300" spans="1:18">
      <c r="A300" s="6">
        <v>817</v>
      </c>
      <c r="B300" s="6" t="s">
        <v>1097</v>
      </c>
      <c r="C300" s="6">
        <v>252</v>
      </c>
      <c r="D300" s="6" t="s">
        <v>1370</v>
      </c>
      <c r="E300" s="9">
        <v>14.999999996249999</v>
      </c>
      <c r="F300" s="9">
        <v>302644.34780119668</v>
      </c>
      <c r="G300" s="9">
        <v>249682</v>
      </c>
      <c r="I300" s="6" t="str">
        <f t="shared" si="33"/>
        <v>817252</v>
      </c>
      <c r="J300" s="6">
        <f t="shared" si="34"/>
        <v>817</v>
      </c>
      <c r="K300" s="6" t="str">
        <f t="shared" si="35"/>
        <v>Essex North Shore</v>
      </c>
      <c r="L300" s="6">
        <f t="shared" si="36"/>
        <v>252</v>
      </c>
      <c r="M300" s="6" t="str">
        <f t="shared" si="37"/>
        <v xml:space="preserve">Rockport                     </v>
      </c>
      <c r="N300" s="9">
        <f t="shared" si="38"/>
        <v>14.999999996249999</v>
      </c>
      <c r="O300" s="526">
        <f t="shared" si="39"/>
        <v>302644.34780119668</v>
      </c>
      <c r="P300" s="526">
        <f t="shared" si="40"/>
        <v>249682</v>
      </c>
      <c r="Q300" s="526"/>
      <c r="R300" s="526"/>
    </row>
    <row r="301" spans="1:18">
      <c r="A301" s="6">
        <v>817</v>
      </c>
      <c r="B301" s="6" t="s">
        <v>1097</v>
      </c>
      <c r="C301" s="6">
        <v>258</v>
      </c>
      <c r="D301" s="6" t="s">
        <v>1376</v>
      </c>
      <c r="E301" s="9">
        <v>170.0000000046</v>
      </c>
      <c r="F301" s="9">
        <v>3429969.2760305321</v>
      </c>
      <c r="G301" s="9">
        <v>2077783</v>
      </c>
      <c r="I301" s="6" t="str">
        <f t="shared" si="33"/>
        <v>817258</v>
      </c>
      <c r="J301" s="6">
        <f t="shared" si="34"/>
        <v>817</v>
      </c>
      <c r="K301" s="6" t="str">
        <f t="shared" si="35"/>
        <v>Essex North Shore</v>
      </c>
      <c r="L301" s="6">
        <f t="shared" si="36"/>
        <v>258</v>
      </c>
      <c r="M301" s="6" t="str">
        <f t="shared" si="37"/>
        <v xml:space="preserve">Salem                        </v>
      </c>
      <c r="N301" s="9">
        <f t="shared" si="38"/>
        <v>170.0000000046</v>
      </c>
      <c r="O301" s="526">
        <f t="shared" si="39"/>
        <v>3429969.2760305321</v>
      </c>
      <c r="P301" s="526">
        <f t="shared" si="40"/>
        <v>2077783</v>
      </c>
      <c r="Q301" s="526"/>
      <c r="R301" s="526"/>
    </row>
    <row r="302" spans="1:18">
      <c r="A302" s="6">
        <v>817</v>
      </c>
      <c r="B302" s="6" t="s">
        <v>1097</v>
      </c>
      <c r="C302" s="6">
        <v>291</v>
      </c>
      <c r="D302" s="6" t="s">
        <v>1409</v>
      </c>
      <c r="E302" s="9">
        <v>23.999999994</v>
      </c>
      <c r="F302" s="9">
        <v>484230.95648191468</v>
      </c>
      <c r="G302" s="9">
        <v>388190</v>
      </c>
      <c r="I302" s="6" t="str">
        <f t="shared" si="33"/>
        <v>817291</v>
      </c>
      <c r="J302" s="6">
        <f t="shared" si="34"/>
        <v>817</v>
      </c>
      <c r="K302" s="6" t="str">
        <f t="shared" si="35"/>
        <v>Essex North Shore</v>
      </c>
      <c r="L302" s="6">
        <f t="shared" si="36"/>
        <v>291</v>
      </c>
      <c r="M302" s="6" t="str">
        <f t="shared" si="37"/>
        <v xml:space="preserve">Swampscott                   </v>
      </c>
      <c r="N302" s="9">
        <f t="shared" si="38"/>
        <v>23.999999994</v>
      </c>
      <c r="O302" s="526">
        <f t="shared" si="39"/>
        <v>484230.95648191468</v>
      </c>
      <c r="P302" s="526">
        <f t="shared" si="40"/>
        <v>388190</v>
      </c>
      <c r="Q302" s="526"/>
      <c r="R302" s="526"/>
    </row>
    <row r="303" spans="1:18">
      <c r="A303" s="6">
        <v>817</v>
      </c>
      <c r="B303" s="6" t="s">
        <v>1097</v>
      </c>
      <c r="C303" s="6">
        <v>298</v>
      </c>
      <c r="D303" s="6" t="s">
        <v>1416</v>
      </c>
      <c r="E303" s="9">
        <v>25.000000003169998</v>
      </c>
      <c r="F303" s="9">
        <v>504407.24652538839</v>
      </c>
      <c r="G303" s="9">
        <v>394663</v>
      </c>
      <c r="I303" s="6" t="str">
        <f t="shared" si="33"/>
        <v>817298</v>
      </c>
      <c r="J303" s="6">
        <f t="shared" si="34"/>
        <v>817</v>
      </c>
      <c r="K303" s="6" t="str">
        <f t="shared" si="35"/>
        <v>Essex North Shore</v>
      </c>
      <c r="L303" s="6">
        <f t="shared" si="36"/>
        <v>298</v>
      </c>
      <c r="M303" s="6" t="str">
        <f t="shared" si="37"/>
        <v xml:space="preserve">Topsfield                    </v>
      </c>
      <c r="N303" s="9">
        <f t="shared" si="38"/>
        <v>25.000000003169998</v>
      </c>
      <c r="O303" s="526">
        <f t="shared" si="39"/>
        <v>504407.24652538839</v>
      </c>
      <c r="P303" s="526">
        <f t="shared" si="40"/>
        <v>394663</v>
      </c>
      <c r="Q303" s="526"/>
      <c r="R303" s="526"/>
    </row>
    <row r="304" spans="1:18">
      <c r="A304" s="6">
        <v>817</v>
      </c>
      <c r="B304" s="6" t="s">
        <v>1097</v>
      </c>
      <c r="C304" s="6">
        <v>320</v>
      </c>
      <c r="D304" s="6" t="s">
        <v>1438</v>
      </c>
      <c r="E304" s="9">
        <v>16.000000005419999</v>
      </c>
      <c r="F304" s="9">
        <v>322820.63784467045</v>
      </c>
      <c r="G304" s="9">
        <v>256782</v>
      </c>
      <c r="I304" s="6" t="str">
        <f t="shared" si="33"/>
        <v>817320</v>
      </c>
      <c r="J304" s="6">
        <f t="shared" si="34"/>
        <v>817</v>
      </c>
      <c r="K304" s="6" t="str">
        <f t="shared" si="35"/>
        <v>Essex North Shore</v>
      </c>
      <c r="L304" s="6">
        <f t="shared" si="36"/>
        <v>320</v>
      </c>
      <c r="M304" s="6" t="str">
        <f t="shared" si="37"/>
        <v xml:space="preserve">Wenham                       </v>
      </c>
      <c r="N304" s="9">
        <f t="shared" si="38"/>
        <v>16.000000005419999</v>
      </c>
      <c r="O304" s="526">
        <f t="shared" si="39"/>
        <v>322820.63784467045</v>
      </c>
      <c r="P304" s="526">
        <f t="shared" si="40"/>
        <v>256782</v>
      </c>
      <c r="Q304" s="526"/>
      <c r="R304" s="526"/>
    </row>
    <row r="305" spans="1:18">
      <c r="A305" s="6" t="s">
        <v>2427</v>
      </c>
      <c r="E305" s="9">
        <v>1413.00000004239</v>
      </c>
      <c r="F305" s="9">
        <v>28509097.570855275</v>
      </c>
      <c r="G305" s="9">
        <v>20417318</v>
      </c>
      <c r="I305" s="6" t="str">
        <f t="shared" si="33"/>
        <v>817999</v>
      </c>
      <c r="J305" s="6">
        <f t="shared" si="34"/>
        <v>817</v>
      </c>
      <c r="K305" s="6">
        <f t="shared" si="35"/>
        <v>0</v>
      </c>
      <c r="L305" s="6">
        <f t="shared" si="36"/>
        <v>0</v>
      </c>
      <c r="M305" s="6">
        <f t="shared" si="37"/>
        <v>0</v>
      </c>
      <c r="N305" s="9">
        <f t="shared" si="38"/>
        <v>1413.00000004239</v>
      </c>
      <c r="O305" s="526">
        <f t="shared" si="39"/>
        <v>28509097.570855275</v>
      </c>
      <c r="P305" s="526">
        <f t="shared" si="40"/>
        <v>20417318</v>
      </c>
      <c r="Q305" s="526">
        <f>VLOOKUP($J305,aidcalc,25,FALSE)</f>
        <v>8091780</v>
      </c>
      <c r="R305" s="526">
        <f>VLOOKUP($J305,aidcalc,27,FALSE)</f>
        <v>28509098</v>
      </c>
    </row>
    <row r="306" spans="1:18">
      <c r="A306" s="6">
        <v>818</v>
      </c>
      <c r="B306" s="6" t="s">
        <v>1098</v>
      </c>
      <c r="C306" s="6">
        <v>29</v>
      </c>
      <c r="D306" s="6" t="s">
        <v>1148</v>
      </c>
      <c r="E306" s="9">
        <v>29.999999998050001</v>
      </c>
      <c r="F306" s="9">
        <v>655707.95144599548</v>
      </c>
      <c r="G306" s="9">
        <v>353029</v>
      </c>
      <c r="I306" s="6" t="str">
        <f t="shared" si="33"/>
        <v>818029</v>
      </c>
      <c r="J306" s="6">
        <f t="shared" si="34"/>
        <v>818</v>
      </c>
      <c r="K306" s="6" t="str">
        <f t="shared" si="35"/>
        <v>Franklin County</v>
      </c>
      <c r="L306" s="6">
        <f t="shared" si="36"/>
        <v>29</v>
      </c>
      <c r="M306" s="6" t="str">
        <f t="shared" si="37"/>
        <v xml:space="preserve">Bernardston                  </v>
      </c>
      <c r="N306" s="9">
        <f t="shared" si="38"/>
        <v>29.999999998050001</v>
      </c>
      <c r="O306" s="526">
        <f t="shared" si="39"/>
        <v>655707.95144599548</v>
      </c>
      <c r="P306" s="526">
        <f t="shared" si="40"/>
        <v>353029</v>
      </c>
      <c r="Q306" s="526"/>
      <c r="R306" s="526"/>
    </row>
    <row r="307" spans="1:18">
      <c r="A307" s="6">
        <v>818</v>
      </c>
      <c r="B307" s="6" t="s">
        <v>1098</v>
      </c>
      <c r="C307" s="6">
        <v>47</v>
      </c>
      <c r="D307" s="6" t="s">
        <v>1166</v>
      </c>
      <c r="E307" s="9">
        <v>17.999999998830003</v>
      </c>
      <c r="F307" s="9">
        <v>393424.77086759731</v>
      </c>
      <c r="G307" s="9">
        <v>208880</v>
      </c>
      <c r="I307" s="6" t="str">
        <f t="shared" si="33"/>
        <v>818047</v>
      </c>
      <c r="J307" s="6">
        <f t="shared" si="34"/>
        <v>818</v>
      </c>
      <c r="K307" s="6" t="str">
        <f t="shared" si="35"/>
        <v>Franklin County</v>
      </c>
      <c r="L307" s="6">
        <f t="shared" si="36"/>
        <v>47</v>
      </c>
      <c r="M307" s="6" t="str">
        <f t="shared" si="37"/>
        <v xml:space="preserve">Buckland                     </v>
      </c>
      <c r="N307" s="9">
        <f t="shared" si="38"/>
        <v>17.999999998830003</v>
      </c>
      <c r="O307" s="526">
        <f t="shared" si="39"/>
        <v>393424.77086759731</v>
      </c>
      <c r="P307" s="526">
        <f t="shared" si="40"/>
        <v>208880</v>
      </c>
      <c r="Q307" s="526"/>
      <c r="R307" s="526"/>
    </row>
    <row r="308" spans="1:18">
      <c r="A308" s="6">
        <v>818</v>
      </c>
      <c r="B308" s="6" t="s">
        <v>1098</v>
      </c>
      <c r="C308" s="6">
        <v>66</v>
      </c>
      <c r="D308" s="6" t="s">
        <v>1185</v>
      </c>
      <c r="E308" s="9">
        <v>23.00000000136</v>
      </c>
      <c r="F308" s="9">
        <v>502709.42950433143</v>
      </c>
      <c r="G308" s="9">
        <v>290827</v>
      </c>
      <c r="I308" s="6" t="str">
        <f t="shared" si="33"/>
        <v>818066</v>
      </c>
      <c r="J308" s="6">
        <f t="shared" si="34"/>
        <v>818</v>
      </c>
      <c r="K308" s="6" t="str">
        <f t="shared" si="35"/>
        <v>Franklin County</v>
      </c>
      <c r="L308" s="6">
        <f t="shared" si="36"/>
        <v>66</v>
      </c>
      <c r="M308" s="6" t="str">
        <f t="shared" si="37"/>
        <v xml:space="preserve">Colrain                      </v>
      </c>
      <c r="N308" s="9">
        <f t="shared" si="38"/>
        <v>23.00000000136</v>
      </c>
      <c r="O308" s="526">
        <f t="shared" si="39"/>
        <v>502709.42950433143</v>
      </c>
      <c r="P308" s="526">
        <f t="shared" si="40"/>
        <v>290827</v>
      </c>
      <c r="Q308" s="526"/>
      <c r="R308" s="526"/>
    </row>
    <row r="309" spans="1:18">
      <c r="A309" s="6">
        <v>818</v>
      </c>
      <c r="B309" s="6" t="s">
        <v>1098</v>
      </c>
      <c r="C309" s="6">
        <v>68</v>
      </c>
      <c r="D309" s="6" t="s">
        <v>1187</v>
      </c>
      <c r="E309" s="9">
        <v>7.0000000023999993</v>
      </c>
      <c r="F309" s="9">
        <v>152998.52206646712</v>
      </c>
      <c r="G309" s="9">
        <v>126224</v>
      </c>
      <c r="I309" s="6" t="str">
        <f t="shared" si="33"/>
        <v>818068</v>
      </c>
      <c r="J309" s="6">
        <f t="shared" si="34"/>
        <v>818</v>
      </c>
      <c r="K309" s="6" t="str">
        <f t="shared" si="35"/>
        <v>Franklin County</v>
      </c>
      <c r="L309" s="6">
        <f t="shared" si="36"/>
        <v>68</v>
      </c>
      <c r="M309" s="6" t="str">
        <f t="shared" si="37"/>
        <v xml:space="preserve">Conway                       </v>
      </c>
      <c r="N309" s="9">
        <f t="shared" si="38"/>
        <v>7.0000000023999993</v>
      </c>
      <c r="O309" s="526">
        <f t="shared" si="39"/>
        <v>152998.52206646712</v>
      </c>
      <c r="P309" s="526">
        <f t="shared" si="40"/>
        <v>126224</v>
      </c>
      <c r="Q309" s="526"/>
      <c r="R309" s="526"/>
    </row>
    <row r="310" spans="1:18">
      <c r="A310" s="6">
        <v>818</v>
      </c>
      <c r="B310" s="6" t="s">
        <v>1098</v>
      </c>
      <c r="C310" s="6">
        <v>74</v>
      </c>
      <c r="D310" s="6" t="s">
        <v>1193</v>
      </c>
      <c r="E310" s="9">
        <v>35.000000000580002</v>
      </c>
      <c r="F310" s="9">
        <v>764992.6100827296</v>
      </c>
      <c r="G310" s="9">
        <v>631119</v>
      </c>
      <c r="I310" s="6" t="str">
        <f t="shared" si="33"/>
        <v>818074</v>
      </c>
      <c r="J310" s="6">
        <f t="shared" si="34"/>
        <v>818</v>
      </c>
      <c r="K310" s="6" t="str">
        <f t="shared" si="35"/>
        <v>Franklin County</v>
      </c>
      <c r="L310" s="6">
        <f t="shared" si="36"/>
        <v>74</v>
      </c>
      <c r="M310" s="6" t="str">
        <f t="shared" si="37"/>
        <v xml:space="preserve">Deerfield                    </v>
      </c>
      <c r="N310" s="9">
        <f t="shared" si="38"/>
        <v>35.000000000580002</v>
      </c>
      <c r="O310" s="526">
        <f t="shared" si="39"/>
        <v>764992.6100827296</v>
      </c>
      <c r="P310" s="526">
        <f t="shared" si="40"/>
        <v>631119</v>
      </c>
      <c r="Q310" s="526"/>
      <c r="R310" s="526"/>
    </row>
    <row r="311" spans="1:18">
      <c r="A311" s="6">
        <v>818</v>
      </c>
      <c r="B311" s="6" t="s">
        <v>1098</v>
      </c>
      <c r="C311" s="6">
        <v>91</v>
      </c>
      <c r="D311" s="6" t="s">
        <v>1210</v>
      </c>
      <c r="E311" s="9">
        <v>27.000000001100002</v>
      </c>
      <c r="F311" s="9">
        <v>590137.15636379749</v>
      </c>
      <c r="G311" s="9">
        <v>475480</v>
      </c>
      <c r="I311" s="6" t="str">
        <f t="shared" si="33"/>
        <v>818091</v>
      </c>
      <c r="J311" s="6">
        <f t="shared" si="34"/>
        <v>818</v>
      </c>
      <c r="K311" s="6" t="str">
        <f t="shared" si="35"/>
        <v>Franklin County</v>
      </c>
      <c r="L311" s="6">
        <f t="shared" si="36"/>
        <v>91</v>
      </c>
      <c r="M311" s="6" t="str">
        <f t="shared" si="37"/>
        <v xml:space="preserve">Erving                       </v>
      </c>
      <c r="N311" s="9">
        <f t="shared" si="38"/>
        <v>27.000000001100002</v>
      </c>
      <c r="O311" s="526">
        <f t="shared" si="39"/>
        <v>590137.15636379749</v>
      </c>
      <c r="P311" s="526">
        <f t="shared" si="40"/>
        <v>475480</v>
      </c>
      <c r="Q311" s="526"/>
      <c r="R311" s="526"/>
    </row>
    <row r="312" spans="1:18">
      <c r="A312" s="6">
        <v>818</v>
      </c>
      <c r="B312" s="6" t="s">
        <v>1098</v>
      </c>
      <c r="C312" s="6">
        <v>106</v>
      </c>
      <c r="D312" s="6" t="s">
        <v>1224</v>
      </c>
      <c r="E312" s="9">
        <v>13.000000002009999</v>
      </c>
      <c r="F312" s="9">
        <v>284140.11235566624</v>
      </c>
      <c r="G312" s="9">
        <v>189794</v>
      </c>
      <c r="I312" s="6" t="str">
        <f t="shared" si="33"/>
        <v>818106</v>
      </c>
      <c r="J312" s="6">
        <f t="shared" si="34"/>
        <v>818</v>
      </c>
      <c r="K312" s="6" t="str">
        <f t="shared" si="35"/>
        <v>Franklin County</v>
      </c>
      <c r="L312" s="6">
        <f t="shared" si="36"/>
        <v>106</v>
      </c>
      <c r="M312" s="6" t="str">
        <f t="shared" si="37"/>
        <v xml:space="preserve">Gill                         </v>
      </c>
      <c r="N312" s="9">
        <f t="shared" si="38"/>
        <v>13.000000002009999</v>
      </c>
      <c r="O312" s="526">
        <f t="shared" si="39"/>
        <v>284140.11235566624</v>
      </c>
      <c r="P312" s="526">
        <f t="shared" si="40"/>
        <v>189794</v>
      </c>
      <c r="Q312" s="526"/>
      <c r="R312" s="526"/>
    </row>
    <row r="313" spans="1:18">
      <c r="A313" s="6">
        <v>818</v>
      </c>
      <c r="B313" s="6" t="s">
        <v>1098</v>
      </c>
      <c r="C313" s="6">
        <v>114</v>
      </c>
      <c r="D313" s="6" t="s">
        <v>1232</v>
      </c>
      <c r="E313" s="9">
        <v>132.00000000283998</v>
      </c>
      <c r="F313" s="9">
        <v>2885114.9866119861</v>
      </c>
      <c r="G313" s="9">
        <v>1183083</v>
      </c>
      <c r="I313" s="6" t="str">
        <f t="shared" si="33"/>
        <v>818114</v>
      </c>
      <c r="J313" s="6">
        <f t="shared" si="34"/>
        <v>818</v>
      </c>
      <c r="K313" s="6" t="str">
        <f t="shared" si="35"/>
        <v>Franklin County</v>
      </c>
      <c r="L313" s="6">
        <f t="shared" si="36"/>
        <v>114</v>
      </c>
      <c r="M313" s="6" t="str">
        <f t="shared" si="37"/>
        <v xml:space="preserve">Greenfield                   </v>
      </c>
      <c r="N313" s="9">
        <f t="shared" si="38"/>
        <v>132.00000000283998</v>
      </c>
      <c r="O313" s="526">
        <f t="shared" si="39"/>
        <v>2885114.9866119861</v>
      </c>
      <c r="P313" s="526">
        <f t="shared" si="40"/>
        <v>1183083</v>
      </c>
      <c r="Q313" s="526"/>
      <c r="R313" s="526"/>
    </row>
    <row r="314" spans="1:18">
      <c r="A314" s="6">
        <v>818</v>
      </c>
      <c r="B314" s="6" t="s">
        <v>1098</v>
      </c>
      <c r="C314" s="6">
        <v>130</v>
      </c>
      <c r="D314" s="6" t="s">
        <v>1248</v>
      </c>
      <c r="E314" s="9">
        <v>11.00000000214</v>
      </c>
      <c r="F314" s="9">
        <v>240426.24892593321</v>
      </c>
      <c r="G314" s="9">
        <v>86390</v>
      </c>
      <c r="I314" s="6" t="str">
        <f t="shared" si="33"/>
        <v>818130</v>
      </c>
      <c r="J314" s="6">
        <f t="shared" si="34"/>
        <v>818</v>
      </c>
      <c r="K314" s="6" t="str">
        <f t="shared" si="35"/>
        <v>Franklin County</v>
      </c>
      <c r="L314" s="6">
        <f t="shared" si="36"/>
        <v>130</v>
      </c>
      <c r="M314" s="6" t="str">
        <f t="shared" si="37"/>
        <v xml:space="preserve">Heath                        </v>
      </c>
      <c r="N314" s="9">
        <f t="shared" si="38"/>
        <v>11.00000000214</v>
      </c>
      <c r="O314" s="526">
        <f t="shared" si="39"/>
        <v>240426.24892593321</v>
      </c>
      <c r="P314" s="526">
        <f t="shared" si="40"/>
        <v>86390</v>
      </c>
      <c r="Q314" s="526"/>
      <c r="R314" s="526"/>
    </row>
    <row r="315" spans="1:18">
      <c r="A315" s="6">
        <v>818</v>
      </c>
      <c r="B315" s="6" t="s">
        <v>1098</v>
      </c>
      <c r="C315" s="6">
        <v>156</v>
      </c>
      <c r="D315" s="6" t="s">
        <v>1274</v>
      </c>
      <c r="E315" s="9">
        <v>3.99999999974</v>
      </c>
      <c r="F315" s="9">
        <v>87427.726859466056</v>
      </c>
      <c r="G315" s="9">
        <v>49023</v>
      </c>
      <c r="I315" s="6" t="str">
        <f t="shared" si="33"/>
        <v>818156</v>
      </c>
      <c r="J315" s="6">
        <f t="shared" si="34"/>
        <v>818</v>
      </c>
      <c r="K315" s="6" t="str">
        <f t="shared" si="35"/>
        <v>Franklin County</v>
      </c>
      <c r="L315" s="6">
        <f t="shared" si="36"/>
        <v>156</v>
      </c>
      <c r="M315" s="6" t="str">
        <f t="shared" si="37"/>
        <v xml:space="preserve">Leyden                       </v>
      </c>
      <c r="N315" s="9">
        <f t="shared" si="38"/>
        <v>3.99999999974</v>
      </c>
      <c r="O315" s="526">
        <f t="shared" si="39"/>
        <v>87427.726859466056</v>
      </c>
      <c r="P315" s="526">
        <f t="shared" si="40"/>
        <v>49023</v>
      </c>
      <c r="Q315" s="526"/>
      <c r="R315" s="526"/>
    </row>
    <row r="316" spans="1:18">
      <c r="A316" s="6">
        <v>818</v>
      </c>
      <c r="B316" s="6" t="s">
        <v>1098</v>
      </c>
      <c r="C316" s="6">
        <v>192</v>
      </c>
      <c r="D316" s="6" t="s">
        <v>1310</v>
      </c>
      <c r="E316" s="9">
        <v>74.000000000899988</v>
      </c>
      <c r="F316" s="9">
        <v>1617412.9470249249</v>
      </c>
      <c r="G316" s="9">
        <v>749611</v>
      </c>
      <c r="I316" s="6" t="str">
        <f t="shared" si="33"/>
        <v>818192</v>
      </c>
      <c r="J316" s="6">
        <f t="shared" si="34"/>
        <v>818</v>
      </c>
      <c r="K316" s="6" t="str">
        <f t="shared" si="35"/>
        <v>Franklin County</v>
      </c>
      <c r="L316" s="6">
        <f t="shared" si="36"/>
        <v>192</v>
      </c>
      <c r="M316" s="6" t="str">
        <f t="shared" si="37"/>
        <v xml:space="preserve">Montague                     </v>
      </c>
      <c r="N316" s="9">
        <f t="shared" si="38"/>
        <v>74.000000000899988</v>
      </c>
      <c r="O316" s="526">
        <f t="shared" si="39"/>
        <v>1617412.9470249249</v>
      </c>
      <c r="P316" s="526">
        <f t="shared" si="40"/>
        <v>749611</v>
      </c>
      <c r="Q316" s="526"/>
      <c r="R316" s="526"/>
    </row>
    <row r="317" spans="1:18">
      <c r="A317" s="6">
        <v>818</v>
      </c>
      <c r="B317" s="6" t="s">
        <v>1098</v>
      </c>
      <c r="C317" s="6">
        <v>206</v>
      </c>
      <c r="D317" s="6" t="s">
        <v>1324</v>
      </c>
      <c r="E317" s="9">
        <v>13.999999999090001</v>
      </c>
      <c r="F317" s="9">
        <v>305997.0440081312</v>
      </c>
      <c r="G317" s="9">
        <v>195953</v>
      </c>
      <c r="I317" s="6" t="str">
        <f t="shared" si="33"/>
        <v>818206</v>
      </c>
      <c r="J317" s="6">
        <f t="shared" si="34"/>
        <v>818</v>
      </c>
      <c r="K317" s="6" t="str">
        <f t="shared" si="35"/>
        <v>Franklin County</v>
      </c>
      <c r="L317" s="6">
        <f t="shared" si="36"/>
        <v>206</v>
      </c>
      <c r="M317" s="6" t="str">
        <f t="shared" si="37"/>
        <v xml:space="preserve">New Salem                    </v>
      </c>
      <c r="N317" s="9">
        <f t="shared" si="38"/>
        <v>13.999999999090001</v>
      </c>
      <c r="O317" s="526">
        <f t="shared" si="39"/>
        <v>305997.0440081312</v>
      </c>
      <c r="P317" s="526">
        <f t="shared" si="40"/>
        <v>195953</v>
      </c>
      <c r="Q317" s="526"/>
      <c r="R317" s="526"/>
    </row>
    <row r="318" spans="1:18">
      <c r="A318" s="6">
        <v>818</v>
      </c>
      <c r="B318" s="6" t="s">
        <v>1098</v>
      </c>
      <c r="C318" s="6">
        <v>216</v>
      </c>
      <c r="D318" s="6" t="s">
        <v>1334</v>
      </c>
      <c r="E318" s="9">
        <v>39.999999997400003</v>
      </c>
      <c r="F318" s="9">
        <v>874277.26859466056</v>
      </c>
      <c r="G318" s="9">
        <v>682301</v>
      </c>
      <c r="I318" s="6" t="str">
        <f t="shared" si="33"/>
        <v>818216</v>
      </c>
      <c r="J318" s="6">
        <f t="shared" si="34"/>
        <v>818</v>
      </c>
      <c r="K318" s="6" t="str">
        <f t="shared" si="35"/>
        <v>Franklin County</v>
      </c>
      <c r="L318" s="6">
        <f t="shared" si="36"/>
        <v>216</v>
      </c>
      <c r="M318" s="6" t="str">
        <f t="shared" si="37"/>
        <v xml:space="preserve">Northfield                   </v>
      </c>
      <c r="N318" s="9">
        <f t="shared" si="38"/>
        <v>39.999999997400003</v>
      </c>
      <c r="O318" s="526">
        <f t="shared" si="39"/>
        <v>874277.26859466056</v>
      </c>
      <c r="P318" s="526">
        <f t="shared" si="40"/>
        <v>682301</v>
      </c>
      <c r="Q318" s="526"/>
      <c r="R318" s="526"/>
    </row>
    <row r="319" spans="1:18">
      <c r="A319" s="6">
        <v>818</v>
      </c>
      <c r="B319" s="6" t="s">
        <v>1098</v>
      </c>
      <c r="C319" s="6">
        <v>223</v>
      </c>
      <c r="D319" s="6" t="s">
        <v>1341</v>
      </c>
      <c r="E319" s="9">
        <v>93.000000002519997</v>
      </c>
      <c r="F319" s="9">
        <v>2032694.6496697904</v>
      </c>
      <c r="G319" s="9">
        <v>528116</v>
      </c>
      <c r="I319" s="6" t="str">
        <f t="shared" si="33"/>
        <v>818223</v>
      </c>
      <c r="J319" s="6">
        <f t="shared" si="34"/>
        <v>818</v>
      </c>
      <c r="K319" s="6" t="str">
        <f t="shared" si="35"/>
        <v>Franklin County</v>
      </c>
      <c r="L319" s="6">
        <f t="shared" si="36"/>
        <v>223</v>
      </c>
      <c r="M319" s="6" t="str">
        <f t="shared" si="37"/>
        <v xml:space="preserve">Orange                       </v>
      </c>
      <c r="N319" s="9">
        <f t="shared" si="38"/>
        <v>93.000000002519997</v>
      </c>
      <c r="O319" s="526">
        <f t="shared" si="39"/>
        <v>2032694.6496697904</v>
      </c>
      <c r="P319" s="526">
        <f t="shared" si="40"/>
        <v>528116</v>
      </c>
      <c r="Q319" s="526"/>
      <c r="R319" s="526"/>
    </row>
    <row r="320" spans="1:18">
      <c r="A320" s="6">
        <v>818</v>
      </c>
      <c r="B320" s="6" t="s">
        <v>1098</v>
      </c>
      <c r="C320" s="6">
        <v>268</v>
      </c>
      <c r="D320" s="6" t="s">
        <v>1386</v>
      </c>
      <c r="E320" s="9">
        <v>9.9999999993500008</v>
      </c>
      <c r="F320" s="9">
        <v>218569.31714866514</v>
      </c>
      <c r="G320" s="9">
        <v>166036</v>
      </c>
      <c r="I320" s="6" t="str">
        <f t="shared" si="33"/>
        <v>818268</v>
      </c>
      <c r="J320" s="6">
        <f t="shared" si="34"/>
        <v>818</v>
      </c>
      <c r="K320" s="6" t="str">
        <f t="shared" si="35"/>
        <v>Franklin County</v>
      </c>
      <c r="L320" s="6">
        <f t="shared" si="36"/>
        <v>268</v>
      </c>
      <c r="M320" s="6" t="str">
        <f t="shared" si="37"/>
        <v xml:space="preserve">Shelburne                    </v>
      </c>
      <c r="N320" s="9">
        <f t="shared" si="38"/>
        <v>9.9999999993500008</v>
      </c>
      <c r="O320" s="526">
        <f t="shared" si="39"/>
        <v>218569.31714866514</v>
      </c>
      <c r="P320" s="526">
        <f t="shared" si="40"/>
        <v>166036</v>
      </c>
      <c r="Q320" s="526"/>
      <c r="R320" s="526"/>
    </row>
    <row r="321" spans="1:18">
      <c r="A321" s="6">
        <v>818</v>
      </c>
      <c r="B321" s="6" t="s">
        <v>1098</v>
      </c>
      <c r="C321" s="6">
        <v>289</v>
      </c>
      <c r="D321" s="6" t="s">
        <v>1407</v>
      </c>
      <c r="E321" s="9">
        <v>9.0000000022700011</v>
      </c>
      <c r="F321" s="9">
        <v>196712.38549620018</v>
      </c>
      <c r="G321" s="9">
        <v>158948</v>
      </c>
      <c r="I321" s="6" t="str">
        <f t="shared" si="33"/>
        <v>818289</v>
      </c>
      <c r="J321" s="6">
        <f t="shared" si="34"/>
        <v>818</v>
      </c>
      <c r="K321" s="6" t="str">
        <f t="shared" si="35"/>
        <v>Franklin County</v>
      </c>
      <c r="L321" s="6">
        <f t="shared" si="36"/>
        <v>289</v>
      </c>
      <c r="M321" s="6" t="str">
        <f t="shared" si="37"/>
        <v xml:space="preserve">Sunderland                   </v>
      </c>
      <c r="N321" s="9">
        <f t="shared" si="38"/>
        <v>9.0000000022700011</v>
      </c>
      <c r="O321" s="526">
        <f t="shared" si="39"/>
        <v>196712.38549620018</v>
      </c>
      <c r="P321" s="526">
        <f t="shared" si="40"/>
        <v>158948</v>
      </c>
      <c r="Q321" s="526"/>
      <c r="R321" s="526"/>
    </row>
    <row r="322" spans="1:18">
      <c r="A322" s="6">
        <v>818</v>
      </c>
      <c r="B322" s="6" t="s">
        <v>1098</v>
      </c>
      <c r="C322" s="6">
        <v>312</v>
      </c>
      <c r="D322" s="6" t="s">
        <v>1430</v>
      </c>
      <c r="E322" s="9">
        <v>5.0000000025300002</v>
      </c>
      <c r="F322" s="9">
        <v>109284.65863673412</v>
      </c>
      <c r="G322" s="9">
        <v>78190</v>
      </c>
      <c r="I322" s="6" t="str">
        <f t="shared" si="33"/>
        <v>818312</v>
      </c>
      <c r="J322" s="6">
        <f t="shared" si="34"/>
        <v>818</v>
      </c>
      <c r="K322" s="6" t="str">
        <f t="shared" si="35"/>
        <v>Franklin County</v>
      </c>
      <c r="L322" s="6">
        <f t="shared" si="36"/>
        <v>312</v>
      </c>
      <c r="M322" s="6" t="str">
        <f t="shared" si="37"/>
        <v xml:space="preserve">Warwick                      </v>
      </c>
      <c r="N322" s="9">
        <f t="shared" si="38"/>
        <v>5.0000000025300002</v>
      </c>
      <c r="O322" s="526">
        <f t="shared" si="39"/>
        <v>109284.65863673412</v>
      </c>
      <c r="P322" s="526">
        <f t="shared" si="40"/>
        <v>78190</v>
      </c>
      <c r="Q322" s="526"/>
      <c r="R322" s="526"/>
    </row>
    <row r="323" spans="1:18">
      <c r="A323" s="6">
        <v>818</v>
      </c>
      <c r="B323" s="6" t="s">
        <v>1098</v>
      </c>
      <c r="C323" s="6">
        <v>319</v>
      </c>
      <c r="D323" s="6" t="s">
        <v>1437</v>
      </c>
      <c r="E323" s="9">
        <v>7.99999999948</v>
      </c>
      <c r="F323" s="9">
        <v>174855.45371893211</v>
      </c>
      <c r="G323" s="9">
        <v>65714</v>
      </c>
      <c r="I323" s="6" t="str">
        <f t="shared" si="33"/>
        <v>818319</v>
      </c>
      <c r="J323" s="6">
        <f t="shared" si="34"/>
        <v>818</v>
      </c>
      <c r="K323" s="6" t="str">
        <f t="shared" si="35"/>
        <v>Franklin County</v>
      </c>
      <c r="L323" s="6">
        <f t="shared" si="36"/>
        <v>319</v>
      </c>
      <c r="M323" s="6" t="str">
        <f t="shared" si="37"/>
        <v xml:space="preserve">Wendell                      </v>
      </c>
      <c r="N323" s="9">
        <f t="shared" si="38"/>
        <v>7.99999999948</v>
      </c>
      <c r="O323" s="526">
        <f t="shared" si="39"/>
        <v>174855.45371893211</v>
      </c>
      <c r="P323" s="526">
        <f t="shared" si="40"/>
        <v>65714</v>
      </c>
      <c r="Q323" s="526"/>
      <c r="R323" s="526"/>
    </row>
    <row r="324" spans="1:18">
      <c r="A324" s="6">
        <v>818</v>
      </c>
      <c r="B324" s="6" t="s">
        <v>1098</v>
      </c>
      <c r="C324" s="6">
        <v>337</v>
      </c>
      <c r="D324" s="6" t="s">
        <v>1455</v>
      </c>
      <c r="E324" s="9">
        <v>17.999999998830003</v>
      </c>
      <c r="F324" s="9">
        <v>393424.77086759731</v>
      </c>
      <c r="G324" s="9">
        <v>300655</v>
      </c>
      <c r="I324" s="6" t="str">
        <f t="shared" si="33"/>
        <v>818337</v>
      </c>
      <c r="J324" s="6">
        <f t="shared" si="34"/>
        <v>818</v>
      </c>
      <c r="K324" s="6" t="str">
        <f t="shared" si="35"/>
        <v>Franklin County</v>
      </c>
      <c r="L324" s="6">
        <f t="shared" si="36"/>
        <v>337</v>
      </c>
      <c r="M324" s="6" t="str">
        <f t="shared" si="37"/>
        <v xml:space="preserve">Whately                      </v>
      </c>
      <c r="N324" s="9">
        <f t="shared" si="38"/>
        <v>17.999999998830003</v>
      </c>
      <c r="O324" s="526">
        <f t="shared" si="39"/>
        <v>393424.77086759731</v>
      </c>
      <c r="P324" s="526">
        <f t="shared" si="40"/>
        <v>300655</v>
      </c>
      <c r="Q324" s="526"/>
      <c r="R324" s="526"/>
    </row>
    <row r="325" spans="1:18">
      <c r="A325" s="6" t="s">
        <v>2428</v>
      </c>
      <c r="E325" s="9">
        <v>571.00000001142007</v>
      </c>
      <c r="F325" s="9">
        <v>12480308.010249607</v>
      </c>
      <c r="G325" s="9">
        <v>6519373</v>
      </c>
      <c r="I325" s="6" t="str">
        <f t="shared" ref="I325:I388" si="41">IF(L325=0,J325&amp;999,J325&amp;TEXT(L325,"000"))</f>
        <v>818999</v>
      </c>
      <c r="J325" s="6">
        <f t="shared" ref="J325:J388" si="42">VALUE(LEFT(A325,3))</f>
        <v>818</v>
      </c>
      <c r="K325" s="6">
        <f t="shared" ref="K325:K388" si="43">B325</f>
        <v>0</v>
      </c>
      <c r="L325" s="6">
        <f t="shared" ref="L325:L388" si="44">C325</f>
        <v>0</v>
      </c>
      <c r="M325" s="6">
        <f t="shared" ref="M325:M388" si="45">D325</f>
        <v>0</v>
      </c>
      <c r="N325" s="9">
        <f t="shared" ref="N325:N388" si="46">E325</f>
        <v>571.00000001142007</v>
      </c>
      <c r="O325" s="526">
        <f t="shared" ref="O325:O388" si="47">F325</f>
        <v>12480308.010249607</v>
      </c>
      <c r="P325" s="526">
        <f t="shared" ref="P325:P388" si="48">G325</f>
        <v>6519373</v>
      </c>
      <c r="Q325" s="526">
        <f>VLOOKUP($J325,aidcalc,25,FALSE)</f>
        <v>6017077.0000011874</v>
      </c>
      <c r="R325" s="526">
        <f>VLOOKUP($J325,aidcalc,27,FALSE)</f>
        <v>12536450.000001188</v>
      </c>
    </row>
    <row r="326" spans="1:18">
      <c r="A326" s="6">
        <v>821</v>
      </c>
      <c r="B326" s="6" t="s">
        <v>1099</v>
      </c>
      <c r="C326" s="6">
        <v>95</v>
      </c>
      <c r="D326" s="6" t="s">
        <v>1214</v>
      </c>
      <c r="E326" s="9">
        <v>1074.99999999648</v>
      </c>
      <c r="F326" s="9">
        <v>23586429.675041087</v>
      </c>
      <c r="G326" s="9">
        <v>3951711</v>
      </c>
      <c r="I326" s="6" t="str">
        <f t="shared" si="41"/>
        <v>821095</v>
      </c>
      <c r="J326" s="6">
        <f t="shared" si="42"/>
        <v>821</v>
      </c>
      <c r="K326" s="6" t="str">
        <f t="shared" si="43"/>
        <v>Greater Fall River</v>
      </c>
      <c r="L326" s="6">
        <f t="shared" si="44"/>
        <v>95</v>
      </c>
      <c r="M326" s="6" t="str">
        <f t="shared" si="45"/>
        <v xml:space="preserve">Fall River                   </v>
      </c>
      <c r="N326" s="9">
        <f t="shared" si="46"/>
        <v>1074.99999999648</v>
      </c>
      <c r="O326" s="526">
        <f t="shared" si="47"/>
        <v>23586429.675041087</v>
      </c>
      <c r="P326" s="526">
        <f t="shared" si="48"/>
        <v>3951711</v>
      </c>
      <c r="Q326" s="526"/>
      <c r="R326" s="526"/>
    </row>
    <row r="327" spans="1:18">
      <c r="A327" s="6">
        <v>821</v>
      </c>
      <c r="B327" s="6" t="s">
        <v>1099</v>
      </c>
      <c r="C327" s="6">
        <v>273</v>
      </c>
      <c r="D327" s="6" t="s">
        <v>1391</v>
      </c>
      <c r="E327" s="9">
        <v>151.00000000278001</v>
      </c>
      <c r="F327" s="9">
        <v>3313070.5869845925</v>
      </c>
      <c r="G327" s="9">
        <v>1723789</v>
      </c>
      <c r="I327" s="6" t="str">
        <f t="shared" si="41"/>
        <v>821273</v>
      </c>
      <c r="J327" s="6">
        <f t="shared" si="42"/>
        <v>821</v>
      </c>
      <c r="K327" s="6" t="str">
        <f t="shared" si="43"/>
        <v>Greater Fall River</v>
      </c>
      <c r="L327" s="6">
        <f t="shared" si="44"/>
        <v>273</v>
      </c>
      <c r="M327" s="6" t="str">
        <f t="shared" si="45"/>
        <v xml:space="preserve">Somerset                     </v>
      </c>
      <c r="N327" s="9">
        <f t="shared" si="46"/>
        <v>151.00000000278001</v>
      </c>
      <c r="O327" s="526">
        <f t="shared" si="47"/>
        <v>3313070.5869845925</v>
      </c>
      <c r="P327" s="526">
        <f t="shared" si="48"/>
        <v>1723789</v>
      </c>
      <c r="Q327" s="526"/>
      <c r="R327" s="526"/>
    </row>
    <row r="328" spans="1:18">
      <c r="A328" s="6">
        <v>821</v>
      </c>
      <c r="B328" s="6" t="s">
        <v>1099</v>
      </c>
      <c r="C328" s="6">
        <v>292</v>
      </c>
      <c r="D328" s="6" t="s">
        <v>1410</v>
      </c>
      <c r="E328" s="9">
        <v>136.99999999929</v>
      </c>
      <c r="F328" s="9">
        <v>3005898.4795111292</v>
      </c>
      <c r="G328" s="9">
        <v>1827713</v>
      </c>
      <c r="I328" s="6" t="str">
        <f t="shared" si="41"/>
        <v>821292</v>
      </c>
      <c r="J328" s="6">
        <f t="shared" si="42"/>
        <v>821</v>
      </c>
      <c r="K328" s="6" t="str">
        <f t="shared" si="43"/>
        <v>Greater Fall River</v>
      </c>
      <c r="L328" s="6">
        <f t="shared" si="44"/>
        <v>292</v>
      </c>
      <c r="M328" s="6" t="str">
        <f t="shared" si="45"/>
        <v xml:space="preserve">Swansea                      </v>
      </c>
      <c r="N328" s="9">
        <f t="shared" si="46"/>
        <v>136.99999999929</v>
      </c>
      <c r="O328" s="526">
        <f t="shared" si="47"/>
        <v>3005898.4795111292</v>
      </c>
      <c r="P328" s="526">
        <f t="shared" si="48"/>
        <v>1827713</v>
      </c>
      <c r="Q328" s="526"/>
      <c r="R328" s="526"/>
    </row>
    <row r="329" spans="1:18">
      <c r="A329" s="6">
        <v>821</v>
      </c>
      <c r="B329" s="6" t="s">
        <v>1099</v>
      </c>
      <c r="C329" s="6">
        <v>331</v>
      </c>
      <c r="D329" s="6" t="s">
        <v>1449</v>
      </c>
      <c r="E329" s="9">
        <v>116.00000000145</v>
      </c>
      <c r="F329" s="9">
        <v>2545140.3184631867</v>
      </c>
      <c r="G329" s="9">
        <v>1902695</v>
      </c>
      <c r="I329" s="6" t="str">
        <f t="shared" si="41"/>
        <v>821331</v>
      </c>
      <c r="J329" s="6">
        <f t="shared" si="42"/>
        <v>821</v>
      </c>
      <c r="K329" s="6" t="str">
        <f t="shared" si="43"/>
        <v>Greater Fall River</v>
      </c>
      <c r="L329" s="6">
        <f t="shared" si="44"/>
        <v>331</v>
      </c>
      <c r="M329" s="6" t="str">
        <f t="shared" si="45"/>
        <v xml:space="preserve">Westport                     </v>
      </c>
      <c r="N329" s="9">
        <f t="shared" si="46"/>
        <v>116.00000000145</v>
      </c>
      <c r="O329" s="526">
        <f t="shared" si="47"/>
        <v>2545140.3184631867</v>
      </c>
      <c r="P329" s="526">
        <f t="shared" si="48"/>
        <v>1902695</v>
      </c>
      <c r="Q329" s="526"/>
      <c r="R329" s="526"/>
    </row>
    <row r="330" spans="1:18">
      <c r="A330" s="6" t="s">
        <v>2429</v>
      </c>
      <c r="E330" s="9">
        <v>1479</v>
      </c>
      <c r="F330" s="9">
        <v>32450539.059999999</v>
      </c>
      <c r="G330" s="9">
        <v>9405908</v>
      </c>
      <c r="I330" s="6" t="str">
        <f t="shared" si="41"/>
        <v>821999</v>
      </c>
      <c r="J330" s="6">
        <f t="shared" si="42"/>
        <v>821</v>
      </c>
      <c r="K330" s="6">
        <f t="shared" si="43"/>
        <v>0</v>
      </c>
      <c r="L330" s="6">
        <f t="shared" si="44"/>
        <v>0</v>
      </c>
      <c r="M330" s="6">
        <f t="shared" si="45"/>
        <v>0</v>
      </c>
      <c r="N330" s="9">
        <f t="shared" si="46"/>
        <v>1479</v>
      </c>
      <c r="O330" s="526">
        <f t="shared" si="47"/>
        <v>32450539.059999999</v>
      </c>
      <c r="P330" s="526">
        <f t="shared" si="48"/>
        <v>9405908</v>
      </c>
      <c r="Q330" s="526">
        <f>VLOOKUP($J330,aidcalc,25,FALSE)</f>
        <v>23044631</v>
      </c>
      <c r="R330" s="526">
        <f>VLOOKUP($J330,aidcalc,27,FALSE)</f>
        <v>32450539</v>
      </c>
    </row>
    <row r="331" spans="1:18">
      <c r="A331" s="6">
        <v>823</v>
      </c>
      <c r="B331" s="6" t="s">
        <v>1100</v>
      </c>
      <c r="C331" s="6">
        <v>9</v>
      </c>
      <c r="D331" s="6" t="s">
        <v>1128</v>
      </c>
      <c r="E331" s="9">
        <v>49.00000000336</v>
      </c>
      <c r="F331" s="9">
        <v>1273886.7679272341</v>
      </c>
      <c r="G331" s="9">
        <v>1050957</v>
      </c>
      <c r="I331" s="6" t="str">
        <f t="shared" si="41"/>
        <v>823009</v>
      </c>
      <c r="J331" s="6">
        <f t="shared" si="42"/>
        <v>823</v>
      </c>
      <c r="K331" s="6" t="str">
        <f t="shared" si="43"/>
        <v>Greater Lawrence</v>
      </c>
      <c r="L331" s="6">
        <f t="shared" si="44"/>
        <v>9</v>
      </c>
      <c r="M331" s="6" t="str">
        <f t="shared" si="45"/>
        <v xml:space="preserve">Andover                      </v>
      </c>
      <c r="N331" s="9">
        <f t="shared" si="46"/>
        <v>49.00000000336</v>
      </c>
      <c r="O331" s="526">
        <f t="shared" si="47"/>
        <v>1273886.7679272341</v>
      </c>
      <c r="P331" s="526">
        <f t="shared" si="48"/>
        <v>1050957</v>
      </c>
      <c r="Q331" s="526"/>
      <c r="R331" s="526"/>
    </row>
    <row r="332" spans="1:18">
      <c r="A332" s="6">
        <v>823</v>
      </c>
      <c r="B332" s="6" t="s">
        <v>1100</v>
      </c>
      <c r="C332" s="6">
        <v>149</v>
      </c>
      <c r="D332" s="6" t="s">
        <v>1267</v>
      </c>
      <c r="E332" s="9">
        <v>1272.00000000304</v>
      </c>
      <c r="F332" s="9">
        <v>33069060.585636783</v>
      </c>
      <c r="G332" s="9">
        <v>1667783</v>
      </c>
      <c r="I332" s="6" t="str">
        <f t="shared" si="41"/>
        <v>823149</v>
      </c>
      <c r="J332" s="6">
        <f t="shared" si="42"/>
        <v>823</v>
      </c>
      <c r="K332" s="6" t="str">
        <f t="shared" si="43"/>
        <v>Greater Lawrence</v>
      </c>
      <c r="L332" s="6">
        <f t="shared" si="44"/>
        <v>149</v>
      </c>
      <c r="M332" s="6" t="str">
        <f t="shared" si="45"/>
        <v xml:space="preserve">Lawrence                     </v>
      </c>
      <c r="N332" s="9">
        <f t="shared" si="46"/>
        <v>1272.00000000304</v>
      </c>
      <c r="O332" s="526">
        <f t="shared" si="47"/>
        <v>33069060.585636783</v>
      </c>
      <c r="P332" s="526">
        <f t="shared" si="48"/>
        <v>1667783</v>
      </c>
      <c r="Q332" s="526"/>
      <c r="R332" s="526"/>
    </row>
    <row r="333" spans="1:18">
      <c r="A333" s="6">
        <v>823</v>
      </c>
      <c r="B333" s="6" t="s">
        <v>1100</v>
      </c>
      <c r="C333" s="6">
        <v>181</v>
      </c>
      <c r="D333" s="6" t="s">
        <v>1299</v>
      </c>
      <c r="E333" s="9">
        <v>418.00000000290004</v>
      </c>
      <c r="F333" s="9">
        <v>10867034.060423773</v>
      </c>
      <c r="G333" s="9">
        <v>4417949</v>
      </c>
      <c r="I333" s="6" t="str">
        <f t="shared" si="41"/>
        <v>823181</v>
      </c>
      <c r="J333" s="6">
        <f t="shared" si="42"/>
        <v>823</v>
      </c>
      <c r="K333" s="6" t="str">
        <f t="shared" si="43"/>
        <v>Greater Lawrence</v>
      </c>
      <c r="L333" s="6">
        <f t="shared" si="44"/>
        <v>181</v>
      </c>
      <c r="M333" s="6" t="str">
        <f t="shared" si="45"/>
        <v xml:space="preserve">Methuen                      </v>
      </c>
      <c r="N333" s="9">
        <f t="shared" si="46"/>
        <v>418.00000000290004</v>
      </c>
      <c r="O333" s="526">
        <f t="shared" si="47"/>
        <v>10867034.060423773</v>
      </c>
      <c r="P333" s="526">
        <f t="shared" si="48"/>
        <v>4417949</v>
      </c>
      <c r="Q333" s="526"/>
      <c r="R333" s="526"/>
    </row>
    <row r="334" spans="1:18">
      <c r="A334" s="6">
        <v>823</v>
      </c>
      <c r="B334" s="6" t="s">
        <v>1100</v>
      </c>
      <c r="C334" s="6">
        <v>211</v>
      </c>
      <c r="D334" s="6" t="s">
        <v>1329</v>
      </c>
      <c r="E334" s="9">
        <v>39.000000008480001</v>
      </c>
      <c r="F334" s="9">
        <v>1013909.8766644481</v>
      </c>
      <c r="G334" s="9">
        <v>816648</v>
      </c>
      <c r="I334" s="6" t="str">
        <f t="shared" si="41"/>
        <v>823211</v>
      </c>
      <c r="J334" s="6">
        <f t="shared" si="42"/>
        <v>823</v>
      </c>
      <c r="K334" s="6" t="str">
        <f t="shared" si="43"/>
        <v>Greater Lawrence</v>
      </c>
      <c r="L334" s="6">
        <f t="shared" si="44"/>
        <v>211</v>
      </c>
      <c r="M334" s="6" t="str">
        <f t="shared" si="45"/>
        <v xml:space="preserve">North Andover                </v>
      </c>
      <c r="N334" s="9">
        <f t="shared" si="46"/>
        <v>39.000000008480001</v>
      </c>
      <c r="O334" s="526">
        <f t="shared" si="47"/>
        <v>1013909.8766644481</v>
      </c>
      <c r="P334" s="526">
        <f t="shared" si="48"/>
        <v>816648</v>
      </c>
      <c r="Q334" s="526"/>
      <c r="R334" s="526"/>
    </row>
    <row r="335" spans="1:18">
      <c r="A335" s="6" t="s">
        <v>2430</v>
      </c>
      <c r="E335" s="9">
        <v>1778.0000000177799</v>
      </c>
      <c r="F335" s="9">
        <v>46223891.29065223</v>
      </c>
      <c r="G335" s="9">
        <v>7953337</v>
      </c>
      <c r="I335" s="6" t="str">
        <f t="shared" si="41"/>
        <v>823999</v>
      </c>
      <c r="J335" s="6">
        <f t="shared" si="42"/>
        <v>823</v>
      </c>
      <c r="K335" s="6">
        <f t="shared" si="43"/>
        <v>0</v>
      </c>
      <c r="L335" s="6">
        <f t="shared" si="44"/>
        <v>0</v>
      </c>
      <c r="M335" s="6">
        <f t="shared" si="45"/>
        <v>0</v>
      </c>
      <c r="N335" s="9">
        <f t="shared" si="46"/>
        <v>1778.0000000177799</v>
      </c>
      <c r="O335" s="526">
        <f t="shared" si="47"/>
        <v>46223891.29065223</v>
      </c>
      <c r="P335" s="526">
        <f t="shared" si="48"/>
        <v>7953337</v>
      </c>
      <c r="Q335" s="526">
        <f>VLOOKUP($J335,aidcalc,25,FALSE)</f>
        <v>38270554</v>
      </c>
      <c r="R335" s="526">
        <f>VLOOKUP($J335,aidcalc,27,FALSE)</f>
        <v>46223891</v>
      </c>
    </row>
    <row r="336" spans="1:18">
      <c r="A336" s="6">
        <v>825</v>
      </c>
      <c r="B336" s="6" t="s">
        <v>1101</v>
      </c>
      <c r="C336" s="6">
        <v>72</v>
      </c>
      <c r="D336" s="6" t="s">
        <v>1191</v>
      </c>
      <c r="E336" s="9">
        <v>319.00000001040002</v>
      </c>
      <c r="F336" s="9">
        <v>7249663.3162780199</v>
      </c>
      <c r="G336" s="9">
        <v>5868424</v>
      </c>
      <c r="I336" s="6" t="str">
        <f t="shared" si="41"/>
        <v>825072</v>
      </c>
      <c r="J336" s="6">
        <f t="shared" si="42"/>
        <v>825</v>
      </c>
      <c r="K336" s="6" t="str">
        <f t="shared" si="43"/>
        <v>Greater New Bedford</v>
      </c>
      <c r="L336" s="6">
        <f t="shared" si="44"/>
        <v>72</v>
      </c>
      <c r="M336" s="6" t="str">
        <f t="shared" si="45"/>
        <v xml:space="preserve">Dartmouth                    </v>
      </c>
      <c r="N336" s="9">
        <f t="shared" si="46"/>
        <v>319.00000001040002</v>
      </c>
      <c r="O336" s="526">
        <f t="shared" si="47"/>
        <v>7249663.3162780199</v>
      </c>
      <c r="P336" s="526">
        <f t="shared" si="48"/>
        <v>5868424</v>
      </c>
      <c r="Q336" s="526"/>
      <c r="R336" s="526"/>
    </row>
    <row r="337" spans="1:18">
      <c r="A337" s="6">
        <v>825</v>
      </c>
      <c r="B337" s="6" t="s">
        <v>1101</v>
      </c>
      <c r="C337" s="6">
        <v>94</v>
      </c>
      <c r="D337" s="6" t="s">
        <v>1213</v>
      </c>
      <c r="E337" s="9">
        <v>175.9999999968</v>
      </c>
      <c r="F337" s="9">
        <v>3999814.2432606099</v>
      </c>
      <c r="G337" s="9">
        <v>2523723</v>
      </c>
      <c r="I337" s="6" t="str">
        <f t="shared" si="41"/>
        <v>825094</v>
      </c>
      <c r="J337" s="6">
        <f t="shared" si="42"/>
        <v>825</v>
      </c>
      <c r="K337" s="6" t="str">
        <f t="shared" si="43"/>
        <v>Greater New Bedford</v>
      </c>
      <c r="L337" s="6">
        <f t="shared" si="44"/>
        <v>94</v>
      </c>
      <c r="M337" s="6" t="str">
        <f t="shared" si="45"/>
        <v xml:space="preserve">Fairhaven                    </v>
      </c>
      <c r="N337" s="9">
        <f t="shared" si="46"/>
        <v>175.9999999968</v>
      </c>
      <c r="O337" s="526">
        <f t="shared" si="47"/>
        <v>3999814.2432606099</v>
      </c>
      <c r="P337" s="526">
        <f t="shared" si="48"/>
        <v>2523723</v>
      </c>
      <c r="Q337" s="526"/>
      <c r="R337" s="526"/>
    </row>
    <row r="338" spans="1:18">
      <c r="A338" s="6">
        <v>825</v>
      </c>
      <c r="B338" s="6" t="s">
        <v>1101</v>
      </c>
      <c r="C338" s="6">
        <v>201</v>
      </c>
      <c r="D338" s="6" t="s">
        <v>1319</v>
      </c>
      <c r="E338" s="9">
        <v>1664.9999999928</v>
      </c>
      <c r="F338" s="9">
        <v>37839151.790461376</v>
      </c>
      <c r="G338" s="9">
        <v>5253388</v>
      </c>
      <c r="I338" s="6" t="str">
        <f t="shared" si="41"/>
        <v>825201</v>
      </c>
      <c r="J338" s="6">
        <f t="shared" si="42"/>
        <v>825</v>
      </c>
      <c r="K338" s="6" t="str">
        <f t="shared" si="43"/>
        <v>Greater New Bedford</v>
      </c>
      <c r="L338" s="6">
        <f t="shared" si="44"/>
        <v>201</v>
      </c>
      <c r="M338" s="6" t="str">
        <f t="shared" si="45"/>
        <v xml:space="preserve">New Bedford                  </v>
      </c>
      <c r="N338" s="9">
        <f t="shared" si="46"/>
        <v>1664.9999999928</v>
      </c>
      <c r="O338" s="526">
        <f t="shared" si="47"/>
        <v>37839151.790461376</v>
      </c>
      <c r="P338" s="526">
        <f t="shared" si="48"/>
        <v>5253388</v>
      </c>
      <c r="Q338" s="526"/>
      <c r="R338" s="526"/>
    </row>
    <row r="339" spans="1:18">
      <c r="A339" s="6" t="s">
        <v>2431</v>
      </c>
      <c r="E339" s="9">
        <v>2160</v>
      </c>
      <c r="F339" s="9">
        <v>49088629.350000009</v>
      </c>
      <c r="G339" s="9">
        <v>13645535</v>
      </c>
      <c r="I339" s="6" t="str">
        <f t="shared" si="41"/>
        <v>825999</v>
      </c>
      <c r="J339" s="6">
        <f t="shared" si="42"/>
        <v>825</v>
      </c>
      <c r="K339" s="6">
        <f t="shared" si="43"/>
        <v>0</v>
      </c>
      <c r="L339" s="6">
        <f t="shared" si="44"/>
        <v>0</v>
      </c>
      <c r="M339" s="6">
        <f t="shared" si="45"/>
        <v>0</v>
      </c>
      <c r="N339" s="9">
        <f t="shared" si="46"/>
        <v>2160</v>
      </c>
      <c r="O339" s="526">
        <f t="shared" si="47"/>
        <v>49088629.350000009</v>
      </c>
      <c r="P339" s="526">
        <f t="shared" si="48"/>
        <v>13645535</v>
      </c>
      <c r="Q339" s="526">
        <f>VLOOKUP($J339,aidcalc,25,FALSE)</f>
        <v>35443094</v>
      </c>
      <c r="R339" s="526">
        <f>VLOOKUP($J339,aidcalc,27,FALSE)</f>
        <v>49088629</v>
      </c>
    </row>
    <row r="340" spans="1:18">
      <c r="A340" s="6">
        <v>828</v>
      </c>
      <c r="B340" s="6" t="s">
        <v>1102</v>
      </c>
      <c r="C340" s="6">
        <v>79</v>
      </c>
      <c r="D340" s="6" t="s">
        <v>1198</v>
      </c>
      <c r="E340" s="9">
        <v>503.00000000019003</v>
      </c>
      <c r="F340" s="9">
        <v>11361316.332123971</v>
      </c>
      <c r="G340" s="9">
        <v>5822817</v>
      </c>
      <c r="I340" s="6" t="str">
        <f t="shared" si="41"/>
        <v>828079</v>
      </c>
      <c r="J340" s="6">
        <f t="shared" si="42"/>
        <v>828</v>
      </c>
      <c r="K340" s="6" t="str">
        <f t="shared" si="43"/>
        <v>Greater Lowell</v>
      </c>
      <c r="L340" s="6">
        <f t="shared" si="44"/>
        <v>79</v>
      </c>
      <c r="M340" s="6" t="str">
        <f t="shared" si="45"/>
        <v xml:space="preserve">Dracut                       </v>
      </c>
      <c r="N340" s="9">
        <f t="shared" si="46"/>
        <v>503.00000000019003</v>
      </c>
      <c r="O340" s="526">
        <f t="shared" si="47"/>
        <v>11361316.332123971</v>
      </c>
      <c r="P340" s="526">
        <f t="shared" si="48"/>
        <v>5822817</v>
      </c>
      <c r="Q340" s="526"/>
      <c r="R340" s="526"/>
    </row>
    <row r="341" spans="1:18">
      <c r="A341" s="6">
        <v>828</v>
      </c>
      <c r="B341" s="6" t="s">
        <v>1102</v>
      </c>
      <c r="C341" s="6">
        <v>81</v>
      </c>
      <c r="D341" s="6" t="s">
        <v>1200</v>
      </c>
      <c r="E341" s="9">
        <v>8.0000000037299994</v>
      </c>
      <c r="F341" s="9">
        <v>180696.88011796252</v>
      </c>
      <c r="G341" s="9">
        <v>146403</v>
      </c>
      <c r="I341" s="6" t="str">
        <f t="shared" si="41"/>
        <v>828081</v>
      </c>
      <c r="J341" s="6">
        <f t="shared" si="42"/>
        <v>828</v>
      </c>
      <c r="K341" s="6" t="str">
        <f t="shared" si="43"/>
        <v>Greater Lowell</v>
      </c>
      <c r="L341" s="6">
        <f t="shared" si="44"/>
        <v>81</v>
      </c>
      <c r="M341" s="6" t="str">
        <f t="shared" si="45"/>
        <v xml:space="preserve">Dunstable                    </v>
      </c>
      <c r="N341" s="9">
        <f t="shared" si="46"/>
        <v>8.0000000037299994</v>
      </c>
      <c r="O341" s="526">
        <f t="shared" si="47"/>
        <v>180696.88011796252</v>
      </c>
      <c r="P341" s="526">
        <f t="shared" si="48"/>
        <v>146403</v>
      </c>
      <c r="Q341" s="526"/>
      <c r="R341" s="526"/>
    </row>
    <row r="342" spans="1:18">
      <c r="A342" s="6">
        <v>828</v>
      </c>
      <c r="B342" s="6" t="s">
        <v>1102</v>
      </c>
      <c r="C342" s="6">
        <v>160</v>
      </c>
      <c r="D342" s="6" t="s">
        <v>1278</v>
      </c>
      <c r="E342" s="9">
        <v>1763.0000000062801</v>
      </c>
      <c r="F342" s="9">
        <v>39821074.937571257</v>
      </c>
      <c r="G342" s="9">
        <v>8401339</v>
      </c>
      <c r="I342" s="6" t="str">
        <f t="shared" si="41"/>
        <v>828160</v>
      </c>
      <c r="J342" s="6">
        <f t="shared" si="42"/>
        <v>828</v>
      </c>
      <c r="K342" s="6" t="str">
        <f t="shared" si="43"/>
        <v>Greater Lowell</v>
      </c>
      <c r="L342" s="6">
        <f t="shared" si="44"/>
        <v>160</v>
      </c>
      <c r="M342" s="6" t="str">
        <f t="shared" si="45"/>
        <v xml:space="preserve">Lowell                       </v>
      </c>
      <c r="N342" s="9">
        <f t="shared" si="46"/>
        <v>1763.0000000062801</v>
      </c>
      <c r="O342" s="526">
        <f t="shared" si="47"/>
        <v>39821074.937571257</v>
      </c>
      <c r="P342" s="526">
        <f t="shared" si="48"/>
        <v>8401339</v>
      </c>
      <c r="Q342" s="526"/>
      <c r="R342" s="526"/>
    </row>
    <row r="343" spans="1:18">
      <c r="A343" s="6">
        <v>828</v>
      </c>
      <c r="B343" s="6" t="s">
        <v>1102</v>
      </c>
      <c r="C343" s="6">
        <v>301</v>
      </c>
      <c r="D343" s="6" t="s">
        <v>1419</v>
      </c>
      <c r="E343" s="9">
        <v>98.999999989800003</v>
      </c>
      <c r="F343" s="9">
        <v>2236123.8901868048</v>
      </c>
      <c r="G343" s="9">
        <v>1558140</v>
      </c>
      <c r="I343" s="6" t="str">
        <f t="shared" si="41"/>
        <v>828301</v>
      </c>
      <c r="J343" s="6">
        <f t="shared" si="42"/>
        <v>828</v>
      </c>
      <c r="K343" s="6" t="str">
        <f t="shared" si="43"/>
        <v>Greater Lowell</v>
      </c>
      <c r="L343" s="6">
        <f t="shared" si="44"/>
        <v>301</v>
      </c>
      <c r="M343" s="6" t="str">
        <f t="shared" si="45"/>
        <v xml:space="preserve">Tyngsborough                 </v>
      </c>
      <c r="N343" s="9">
        <f t="shared" si="46"/>
        <v>98.999999989800003</v>
      </c>
      <c r="O343" s="526">
        <f t="shared" si="47"/>
        <v>2236123.8901868048</v>
      </c>
      <c r="P343" s="526">
        <f t="shared" si="48"/>
        <v>1558140</v>
      </c>
      <c r="Q343" s="526"/>
      <c r="R343" s="526"/>
    </row>
    <row r="344" spans="1:18">
      <c r="A344" s="6" t="s">
        <v>2432</v>
      </c>
      <c r="E344" s="9">
        <v>2373</v>
      </c>
      <c r="F344" s="9">
        <v>53599212.039999992</v>
      </c>
      <c r="G344" s="9">
        <v>15928699</v>
      </c>
      <c r="I344" s="6" t="str">
        <f t="shared" si="41"/>
        <v>828999</v>
      </c>
      <c r="J344" s="6">
        <f t="shared" si="42"/>
        <v>828</v>
      </c>
      <c r="K344" s="6">
        <f t="shared" si="43"/>
        <v>0</v>
      </c>
      <c r="L344" s="6">
        <f t="shared" si="44"/>
        <v>0</v>
      </c>
      <c r="M344" s="6">
        <f t="shared" si="45"/>
        <v>0</v>
      </c>
      <c r="N344" s="9">
        <f t="shared" si="46"/>
        <v>2373</v>
      </c>
      <c r="O344" s="526">
        <f t="shared" si="47"/>
        <v>53599212.039999992</v>
      </c>
      <c r="P344" s="526">
        <f t="shared" si="48"/>
        <v>15928699</v>
      </c>
      <c r="Q344" s="526">
        <f>VLOOKUP($J344,aidcalc,25,FALSE)</f>
        <v>37683807</v>
      </c>
      <c r="R344" s="526">
        <f>VLOOKUP($J344,aidcalc,27,FALSE)</f>
        <v>53612506</v>
      </c>
    </row>
    <row r="345" spans="1:18">
      <c r="A345" s="6">
        <v>829</v>
      </c>
      <c r="B345" s="6" t="s">
        <v>1103</v>
      </c>
      <c r="C345" s="6">
        <v>14</v>
      </c>
      <c r="D345" s="6" t="s">
        <v>1133</v>
      </c>
      <c r="E345" s="9">
        <v>62.214780602810002</v>
      </c>
      <c r="F345" s="9">
        <v>1461366.5006528683</v>
      </c>
      <c r="G345" s="9">
        <v>1036710</v>
      </c>
      <c r="I345" s="6" t="str">
        <f t="shared" si="41"/>
        <v>829014</v>
      </c>
      <c r="J345" s="6">
        <f t="shared" si="42"/>
        <v>829</v>
      </c>
      <c r="K345" s="6" t="str">
        <f t="shared" si="43"/>
        <v>South Middlesex</v>
      </c>
      <c r="L345" s="6">
        <f t="shared" si="44"/>
        <v>14</v>
      </c>
      <c r="M345" s="6" t="str">
        <f t="shared" si="45"/>
        <v xml:space="preserve">Ashland                      </v>
      </c>
      <c r="N345" s="9">
        <f t="shared" si="46"/>
        <v>62.214780602810002</v>
      </c>
      <c r="O345" s="526">
        <f t="shared" si="47"/>
        <v>1461366.5006528683</v>
      </c>
      <c r="P345" s="526">
        <f t="shared" si="48"/>
        <v>1036710</v>
      </c>
      <c r="Q345" s="526"/>
      <c r="R345" s="526"/>
    </row>
    <row r="346" spans="1:18">
      <c r="A346" s="6">
        <v>829</v>
      </c>
      <c r="B346" s="6" t="s">
        <v>1103</v>
      </c>
      <c r="C346" s="6">
        <v>100</v>
      </c>
      <c r="D346" s="6" t="s">
        <v>1219</v>
      </c>
      <c r="E346" s="9">
        <v>636.1963048514699</v>
      </c>
      <c r="F346" s="9">
        <v>14943650.990020309</v>
      </c>
      <c r="G346" s="9">
        <v>7106696</v>
      </c>
      <c r="I346" s="6" t="str">
        <f t="shared" si="41"/>
        <v>829100</v>
      </c>
      <c r="J346" s="6">
        <f t="shared" si="42"/>
        <v>829</v>
      </c>
      <c r="K346" s="6" t="str">
        <f t="shared" si="43"/>
        <v>South Middlesex</v>
      </c>
      <c r="L346" s="6">
        <f t="shared" si="44"/>
        <v>100</v>
      </c>
      <c r="M346" s="6" t="str">
        <f t="shared" si="45"/>
        <v xml:space="preserve">Framingham                   </v>
      </c>
      <c r="N346" s="9">
        <f t="shared" si="46"/>
        <v>636.1963048514699</v>
      </c>
      <c r="O346" s="526">
        <f t="shared" si="47"/>
        <v>14943650.990020309</v>
      </c>
      <c r="P346" s="526">
        <f t="shared" si="48"/>
        <v>7106696</v>
      </c>
      <c r="Q346" s="526"/>
      <c r="R346" s="526"/>
    </row>
    <row r="347" spans="1:18">
      <c r="A347" s="6">
        <v>829</v>
      </c>
      <c r="B347" s="6" t="s">
        <v>1103</v>
      </c>
      <c r="C347" s="6">
        <v>136</v>
      </c>
      <c r="D347" s="6" t="s">
        <v>1254</v>
      </c>
      <c r="E347" s="9">
        <v>83.287528868280006</v>
      </c>
      <c r="F347" s="9">
        <v>1956345.4766047308</v>
      </c>
      <c r="G347" s="9">
        <v>1489115</v>
      </c>
      <c r="I347" s="6" t="str">
        <f t="shared" si="41"/>
        <v>829136</v>
      </c>
      <c r="J347" s="6">
        <f t="shared" si="42"/>
        <v>829</v>
      </c>
      <c r="K347" s="6" t="str">
        <f t="shared" si="43"/>
        <v>South Middlesex</v>
      </c>
      <c r="L347" s="6">
        <f t="shared" si="44"/>
        <v>136</v>
      </c>
      <c r="M347" s="6" t="str">
        <f t="shared" si="45"/>
        <v xml:space="preserve">Holliston                    </v>
      </c>
      <c r="N347" s="9">
        <f t="shared" si="46"/>
        <v>83.287528868280006</v>
      </c>
      <c r="O347" s="526">
        <f t="shared" si="47"/>
        <v>1956345.4766047308</v>
      </c>
      <c r="P347" s="526">
        <f t="shared" si="48"/>
        <v>1489115</v>
      </c>
      <c r="Q347" s="526"/>
      <c r="R347" s="526"/>
    </row>
    <row r="348" spans="1:18">
      <c r="A348" s="6">
        <v>829</v>
      </c>
      <c r="B348" s="6" t="s">
        <v>1103</v>
      </c>
      <c r="C348" s="6">
        <v>139</v>
      </c>
      <c r="D348" s="6" t="s">
        <v>1257</v>
      </c>
      <c r="E348" s="9">
        <v>26.090069285609999</v>
      </c>
      <c r="F348" s="9">
        <v>612831.11319017829</v>
      </c>
      <c r="G348" s="9">
        <v>505586</v>
      </c>
      <c r="I348" s="6" t="str">
        <f t="shared" si="41"/>
        <v>829139</v>
      </c>
      <c r="J348" s="6">
        <f t="shared" si="42"/>
        <v>829</v>
      </c>
      <c r="K348" s="6" t="str">
        <f t="shared" si="43"/>
        <v>South Middlesex</v>
      </c>
      <c r="L348" s="6">
        <f t="shared" si="44"/>
        <v>139</v>
      </c>
      <c r="M348" s="6" t="str">
        <f t="shared" si="45"/>
        <v xml:space="preserve">Hopkinton                    </v>
      </c>
      <c r="N348" s="9">
        <f t="shared" si="46"/>
        <v>26.090069285609999</v>
      </c>
      <c r="O348" s="526">
        <f t="shared" si="47"/>
        <v>612831.11319017829</v>
      </c>
      <c r="P348" s="526">
        <f t="shared" si="48"/>
        <v>505586</v>
      </c>
      <c r="Q348" s="526"/>
      <c r="R348" s="526"/>
    </row>
    <row r="349" spans="1:18">
      <c r="A349" s="6">
        <v>829</v>
      </c>
      <c r="B349" s="6" t="s">
        <v>1103</v>
      </c>
      <c r="C349" s="6">
        <v>198</v>
      </c>
      <c r="D349" s="6" t="s">
        <v>1316</v>
      </c>
      <c r="E349" s="9">
        <v>61.211316400520005</v>
      </c>
      <c r="F349" s="9">
        <v>1437796.073246029</v>
      </c>
      <c r="G349" s="9">
        <v>1160422</v>
      </c>
      <c r="I349" s="6" t="str">
        <f t="shared" si="41"/>
        <v>829198</v>
      </c>
      <c r="J349" s="6">
        <f t="shared" si="42"/>
        <v>829</v>
      </c>
      <c r="K349" s="6" t="str">
        <f t="shared" si="43"/>
        <v>South Middlesex</v>
      </c>
      <c r="L349" s="6">
        <f t="shared" si="44"/>
        <v>198</v>
      </c>
      <c r="M349" s="6" t="str">
        <f t="shared" si="45"/>
        <v xml:space="preserve">Natick                       </v>
      </c>
      <c r="N349" s="9">
        <f t="shared" si="46"/>
        <v>61.211316400520005</v>
      </c>
      <c r="O349" s="526">
        <f t="shared" si="47"/>
        <v>1437796.073246029</v>
      </c>
      <c r="P349" s="526">
        <f t="shared" si="48"/>
        <v>1160422</v>
      </c>
      <c r="Q349" s="526"/>
      <c r="R349" s="526"/>
    </row>
    <row r="350" spans="1:18">
      <c r="A350" s="6" t="s">
        <v>2433</v>
      </c>
      <c r="E350" s="9">
        <v>869.00000000868988</v>
      </c>
      <c r="F350" s="9">
        <v>20411990.153714113</v>
      </c>
      <c r="G350" s="9">
        <v>11298529</v>
      </c>
      <c r="I350" s="6" t="str">
        <f t="shared" si="41"/>
        <v>829999</v>
      </c>
      <c r="J350" s="6">
        <f t="shared" si="42"/>
        <v>829</v>
      </c>
      <c r="K350" s="6">
        <f t="shared" si="43"/>
        <v>0</v>
      </c>
      <c r="L350" s="6">
        <f t="shared" si="44"/>
        <v>0</v>
      </c>
      <c r="M350" s="6">
        <f t="shared" si="45"/>
        <v>0</v>
      </c>
      <c r="N350" s="9">
        <f t="shared" si="46"/>
        <v>869.00000000868988</v>
      </c>
      <c r="O350" s="526">
        <f t="shared" si="47"/>
        <v>20411990.153714113</v>
      </c>
      <c r="P350" s="526">
        <f t="shared" si="48"/>
        <v>11298529</v>
      </c>
      <c r="Q350" s="526">
        <f>VLOOKUP($J350,aidcalc,25,FALSE)</f>
        <v>9063820</v>
      </c>
      <c r="R350" s="526">
        <f>VLOOKUP($J350,aidcalc,27,FALSE)</f>
        <v>20362349</v>
      </c>
    </row>
    <row r="351" spans="1:18">
      <c r="A351" s="6">
        <v>830</v>
      </c>
      <c r="B351" s="6" t="s">
        <v>1104</v>
      </c>
      <c r="C351" s="6">
        <v>2</v>
      </c>
      <c r="D351" s="6" t="s">
        <v>1121</v>
      </c>
      <c r="E351" s="9">
        <v>96.999999997739991</v>
      </c>
      <c r="F351" s="9">
        <v>2025766.5799320068</v>
      </c>
      <c r="G351" s="9">
        <v>1630390</v>
      </c>
      <c r="I351" s="6" t="str">
        <f t="shared" si="41"/>
        <v>830002</v>
      </c>
      <c r="J351" s="6">
        <f t="shared" si="42"/>
        <v>830</v>
      </c>
      <c r="K351" s="6" t="str">
        <f t="shared" si="43"/>
        <v>Minuteman</v>
      </c>
      <c r="L351" s="6">
        <f t="shared" si="44"/>
        <v>2</v>
      </c>
      <c r="M351" s="6" t="str">
        <f t="shared" si="45"/>
        <v xml:space="preserve">Acton                        </v>
      </c>
      <c r="N351" s="9">
        <f t="shared" si="46"/>
        <v>96.999999997739991</v>
      </c>
      <c r="O351" s="526">
        <f t="shared" si="47"/>
        <v>2025766.5799320068</v>
      </c>
      <c r="P351" s="526">
        <f t="shared" si="48"/>
        <v>1630390</v>
      </c>
      <c r="Q351" s="526"/>
      <c r="R351" s="526"/>
    </row>
    <row r="352" spans="1:18">
      <c r="A352" s="6">
        <v>830</v>
      </c>
      <c r="B352" s="6" t="s">
        <v>1104</v>
      </c>
      <c r="C352" s="6">
        <v>10</v>
      </c>
      <c r="D352" s="6" t="s">
        <v>1129</v>
      </c>
      <c r="E352" s="9">
        <v>216.00000000143999</v>
      </c>
      <c r="F352" s="9">
        <v>4510985.3740043854</v>
      </c>
      <c r="G352" s="9">
        <v>3430220</v>
      </c>
      <c r="I352" s="6" t="str">
        <f t="shared" si="41"/>
        <v>830010</v>
      </c>
      <c r="J352" s="6">
        <f t="shared" si="42"/>
        <v>830</v>
      </c>
      <c r="K352" s="6" t="str">
        <f t="shared" si="43"/>
        <v>Minuteman</v>
      </c>
      <c r="L352" s="6">
        <f t="shared" si="44"/>
        <v>10</v>
      </c>
      <c r="M352" s="6" t="str">
        <f t="shared" si="45"/>
        <v xml:space="preserve">Arlington                    </v>
      </c>
      <c r="N352" s="9">
        <f t="shared" si="46"/>
        <v>216.00000000143999</v>
      </c>
      <c r="O352" s="526">
        <f t="shared" si="47"/>
        <v>4510985.3740043854</v>
      </c>
      <c r="P352" s="526">
        <f t="shared" si="48"/>
        <v>3430220</v>
      </c>
      <c r="Q352" s="526"/>
      <c r="R352" s="526"/>
    </row>
    <row r="353" spans="1:18">
      <c r="A353" s="6">
        <v>830</v>
      </c>
      <c r="B353" s="6" t="s">
        <v>1104</v>
      </c>
      <c r="C353" s="6">
        <v>34</v>
      </c>
      <c r="D353" s="6" t="s">
        <v>1153</v>
      </c>
      <c r="E353" s="9">
        <v>36.00000000024</v>
      </c>
      <c r="F353" s="9">
        <v>751830.89566739765</v>
      </c>
      <c r="G353" s="9">
        <v>607112</v>
      </c>
      <c r="I353" s="6" t="str">
        <f t="shared" si="41"/>
        <v>830034</v>
      </c>
      <c r="J353" s="6">
        <f t="shared" si="42"/>
        <v>830</v>
      </c>
      <c r="K353" s="6" t="str">
        <f t="shared" si="43"/>
        <v>Minuteman</v>
      </c>
      <c r="L353" s="6">
        <f t="shared" si="44"/>
        <v>34</v>
      </c>
      <c r="M353" s="6" t="str">
        <f t="shared" si="45"/>
        <v xml:space="preserve">Bolton                       </v>
      </c>
      <c r="N353" s="9">
        <f t="shared" si="46"/>
        <v>36.00000000024</v>
      </c>
      <c r="O353" s="526">
        <f t="shared" si="47"/>
        <v>751830.89566739765</v>
      </c>
      <c r="P353" s="526">
        <f t="shared" si="48"/>
        <v>607112</v>
      </c>
      <c r="Q353" s="526"/>
      <c r="R353" s="526"/>
    </row>
    <row r="354" spans="1:18">
      <c r="A354" s="6">
        <v>830</v>
      </c>
      <c r="B354" s="6" t="s">
        <v>1104</v>
      </c>
      <c r="C354" s="6">
        <v>67</v>
      </c>
      <c r="D354" s="6" t="s">
        <v>1186</v>
      </c>
      <c r="E354" s="9">
        <v>42.000000002459998</v>
      </c>
      <c r="F354" s="9">
        <v>877136.04499082477</v>
      </c>
      <c r="G354" s="9">
        <v>723637</v>
      </c>
      <c r="I354" s="6" t="str">
        <f t="shared" si="41"/>
        <v>830067</v>
      </c>
      <c r="J354" s="6">
        <f t="shared" si="42"/>
        <v>830</v>
      </c>
      <c r="K354" s="6" t="str">
        <f t="shared" si="43"/>
        <v>Minuteman</v>
      </c>
      <c r="L354" s="6">
        <f t="shared" si="44"/>
        <v>67</v>
      </c>
      <c r="M354" s="6" t="str">
        <f t="shared" si="45"/>
        <v xml:space="preserve">Concord                      </v>
      </c>
      <c r="N354" s="9">
        <f t="shared" si="46"/>
        <v>42.000000002459998</v>
      </c>
      <c r="O354" s="526">
        <f t="shared" si="47"/>
        <v>877136.04499082477</v>
      </c>
      <c r="P354" s="526">
        <f t="shared" si="48"/>
        <v>723637</v>
      </c>
      <c r="Q354" s="526"/>
      <c r="R354" s="526"/>
    </row>
    <row r="355" spans="1:18">
      <c r="A355" s="6">
        <v>830</v>
      </c>
      <c r="B355" s="6" t="s">
        <v>1104</v>
      </c>
      <c r="C355" s="6">
        <v>78</v>
      </c>
      <c r="D355" s="6" t="s">
        <v>1197</v>
      </c>
      <c r="E355" s="9">
        <v>5.0000000007600001</v>
      </c>
      <c r="F355" s="9">
        <v>104420.95774675885</v>
      </c>
      <c r="G355" s="9">
        <v>86147</v>
      </c>
      <c r="I355" s="6" t="str">
        <f t="shared" si="41"/>
        <v>830078</v>
      </c>
      <c r="J355" s="6">
        <f t="shared" si="42"/>
        <v>830</v>
      </c>
      <c r="K355" s="6" t="str">
        <f t="shared" si="43"/>
        <v>Minuteman</v>
      </c>
      <c r="L355" s="6">
        <f t="shared" si="44"/>
        <v>78</v>
      </c>
      <c r="M355" s="6" t="str">
        <f t="shared" si="45"/>
        <v xml:space="preserve">Dover                        </v>
      </c>
      <c r="N355" s="9">
        <f t="shared" si="46"/>
        <v>5.0000000007600001</v>
      </c>
      <c r="O355" s="526">
        <f t="shared" si="47"/>
        <v>104420.95774675885</v>
      </c>
      <c r="P355" s="526">
        <f t="shared" si="48"/>
        <v>86147</v>
      </c>
      <c r="Q355" s="526"/>
      <c r="R355" s="526"/>
    </row>
    <row r="356" spans="1:18">
      <c r="A356" s="6">
        <v>830</v>
      </c>
      <c r="B356" s="6" t="s">
        <v>1104</v>
      </c>
      <c r="C356" s="6">
        <v>147</v>
      </c>
      <c r="D356" s="6" t="s">
        <v>1265</v>
      </c>
      <c r="E356" s="9">
        <v>57.999999999659998</v>
      </c>
      <c r="F356" s="9">
        <v>1211283.1096711869</v>
      </c>
      <c r="G356" s="9">
        <v>793908</v>
      </c>
      <c r="I356" s="6" t="str">
        <f t="shared" si="41"/>
        <v>830147</v>
      </c>
      <c r="J356" s="6">
        <f t="shared" si="42"/>
        <v>830</v>
      </c>
      <c r="K356" s="6" t="str">
        <f t="shared" si="43"/>
        <v>Minuteman</v>
      </c>
      <c r="L356" s="6">
        <f t="shared" si="44"/>
        <v>147</v>
      </c>
      <c r="M356" s="6" t="str">
        <f t="shared" si="45"/>
        <v xml:space="preserve">Lancaster                    </v>
      </c>
      <c r="N356" s="9">
        <f t="shared" si="46"/>
        <v>57.999999999659998</v>
      </c>
      <c r="O356" s="526">
        <f t="shared" si="47"/>
        <v>1211283.1096711869</v>
      </c>
      <c r="P356" s="526">
        <f t="shared" si="48"/>
        <v>793908</v>
      </c>
      <c r="Q356" s="526"/>
      <c r="R356" s="526"/>
    </row>
    <row r="357" spans="1:18">
      <c r="A357" s="6">
        <v>830</v>
      </c>
      <c r="B357" s="6" t="s">
        <v>1104</v>
      </c>
      <c r="C357" s="6">
        <v>155</v>
      </c>
      <c r="D357" s="6" t="s">
        <v>1273</v>
      </c>
      <c r="E357" s="9">
        <v>81.000000000539998</v>
      </c>
      <c r="F357" s="9">
        <v>1691619.5152516447</v>
      </c>
      <c r="G357" s="9">
        <v>1395586</v>
      </c>
      <c r="I357" s="6" t="str">
        <f t="shared" si="41"/>
        <v>830155</v>
      </c>
      <c r="J357" s="6">
        <f t="shared" si="42"/>
        <v>830</v>
      </c>
      <c r="K357" s="6" t="str">
        <f t="shared" si="43"/>
        <v>Minuteman</v>
      </c>
      <c r="L357" s="6">
        <f t="shared" si="44"/>
        <v>155</v>
      </c>
      <c r="M357" s="6" t="str">
        <f t="shared" si="45"/>
        <v xml:space="preserve">Lexington                    </v>
      </c>
      <c r="N357" s="9">
        <f t="shared" si="46"/>
        <v>81.000000000539998</v>
      </c>
      <c r="O357" s="526">
        <f t="shared" si="47"/>
        <v>1691619.5152516447</v>
      </c>
      <c r="P357" s="526">
        <f t="shared" si="48"/>
        <v>1395586</v>
      </c>
      <c r="Q357" s="526"/>
      <c r="R357" s="526"/>
    </row>
    <row r="358" spans="1:18">
      <c r="A358" s="6">
        <v>830</v>
      </c>
      <c r="B358" s="6" t="s">
        <v>1104</v>
      </c>
      <c r="C358" s="6">
        <v>199</v>
      </c>
      <c r="D358" s="6" t="s">
        <v>1317</v>
      </c>
      <c r="E358" s="9">
        <v>47.000000003219995</v>
      </c>
      <c r="F358" s="9">
        <v>981557.00273758348</v>
      </c>
      <c r="G358" s="9">
        <v>809785</v>
      </c>
      <c r="I358" s="6" t="str">
        <f t="shared" si="41"/>
        <v>830199</v>
      </c>
      <c r="J358" s="6">
        <f t="shared" si="42"/>
        <v>830</v>
      </c>
      <c r="K358" s="6" t="str">
        <f t="shared" si="43"/>
        <v>Minuteman</v>
      </c>
      <c r="L358" s="6">
        <f t="shared" si="44"/>
        <v>199</v>
      </c>
      <c r="M358" s="6" t="str">
        <f t="shared" si="45"/>
        <v xml:space="preserve">Needham                      </v>
      </c>
      <c r="N358" s="9">
        <f t="shared" si="46"/>
        <v>47.000000003219995</v>
      </c>
      <c r="O358" s="526">
        <f t="shared" si="47"/>
        <v>981557.00273758348</v>
      </c>
      <c r="P358" s="526">
        <f t="shared" si="48"/>
        <v>809785</v>
      </c>
      <c r="Q358" s="526"/>
      <c r="R358" s="526"/>
    </row>
    <row r="359" spans="1:18">
      <c r="A359" s="6">
        <v>830</v>
      </c>
      <c r="B359" s="6" t="s">
        <v>1104</v>
      </c>
      <c r="C359" s="6">
        <v>286</v>
      </c>
      <c r="D359" s="6" t="s">
        <v>1404</v>
      </c>
      <c r="E359" s="9">
        <v>72.00000000048</v>
      </c>
      <c r="F359" s="9">
        <v>1503661.7913347953</v>
      </c>
      <c r="G359" s="9">
        <v>1235823</v>
      </c>
      <c r="I359" s="6" t="str">
        <f t="shared" si="41"/>
        <v>830286</v>
      </c>
      <c r="J359" s="6">
        <f t="shared" si="42"/>
        <v>830</v>
      </c>
      <c r="K359" s="6" t="str">
        <f t="shared" si="43"/>
        <v>Minuteman</v>
      </c>
      <c r="L359" s="6">
        <f t="shared" si="44"/>
        <v>286</v>
      </c>
      <c r="M359" s="6" t="str">
        <f t="shared" si="45"/>
        <v xml:space="preserve">Stow                         </v>
      </c>
      <c r="N359" s="9">
        <f t="shared" si="46"/>
        <v>72.00000000048</v>
      </c>
      <c r="O359" s="526">
        <f t="shared" si="47"/>
        <v>1503661.7913347953</v>
      </c>
      <c r="P359" s="526">
        <f t="shared" si="48"/>
        <v>1235823</v>
      </c>
      <c r="Q359" s="526"/>
      <c r="R359" s="526"/>
    </row>
    <row r="360" spans="1:18">
      <c r="A360" s="6" t="s">
        <v>2434</v>
      </c>
      <c r="E360" s="9">
        <v>654.00000000653995</v>
      </c>
      <c r="F360" s="9">
        <v>13658261.271336583</v>
      </c>
      <c r="G360" s="9">
        <v>10712608</v>
      </c>
      <c r="I360" s="6" t="str">
        <f t="shared" si="41"/>
        <v>830999</v>
      </c>
      <c r="J360" s="6">
        <f t="shared" si="42"/>
        <v>830</v>
      </c>
      <c r="K360" s="6">
        <f t="shared" si="43"/>
        <v>0</v>
      </c>
      <c r="L360" s="6">
        <f t="shared" si="44"/>
        <v>0</v>
      </c>
      <c r="M360" s="6">
        <f t="shared" si="45"/>
        <v>0</v>
      </c>
      <c r="N360" s="9">
        <f t="shared" si="46"/>
        <v>654.00000000653995</v>
      </c>
      <c r="O360" s="526">
        <f t="shared" si="47"/>
        <v>13658261.271336583</v>
      </c>
      <c r="P360" s="526">
        <f t="shared" si="48"/>
        <v>10712608</v>
      </c>
      <c r="Q360" s="526">
        <f>VLOOKUP($J360,aidcalc,25,FALSE)</f>
        <v>3046779.0000006803</v>
      </c>
      <c r="R360" s="526">
        <f>VLOOKUP($J360,aidcalc,27,FALSE)</f>
        <v>13759387.00000068</v>
      </c>
    </row>
    <row r="361" spans="1:18">
      <c r="A361" s="6">
        <v>832</v>
      </c>
      <c r="B361" s="6" t="s">
        <v>1105</v>
      </c>
      <c r="C361" s="6">
        <v>11</v>
      </c>
      <c r="D361" s="6" t="s">
        <v>1130</v>
      </c>
      <c r="E361" s="9">
        <v>63.999999993599999</v>
      </c>
      <c r="F361" s="9">
        <v>1296723.9859949888</v>
      </c>
      <c r="G361" s="9">
        <v>594906</v>
      </c>
      <c r="I361" s="6" t="str">
        <f t="shared" si="41"/>
        <v>832011</v>
      </c>
      <c r="J361" s="6">
        <f t="shared" si="42"/>
        <v>832</v>
      </c>
      <c r="K361" s="6" t="str">
        <f t="shared" si="43"/>
        <v>Montachusett</v>
      </c>
      <c r="L361" s="6">
        <f t="shared" si="44"/>
        <v>11</v>
      </c>
      <c r="M361" s="6" t="str">
        <f t="shared" si="45"/>
        <v xml:space="preserve">Ashburnham                   </v>
      </c>
      <c r="N361" s="9">
        <f t="shared" si="46"/>
        <v>63.999999993599999</v>
      </c>
      <c r="O361" s="526">
        <f t="shared" si="47"/>
        <v>1296723.9859949888</v>
      </c>
      <c r="P361" s="526">
        <f t="shared" si="48"/>
        <v>594906</v>
      </c>
      <c r="Q361" s="526"/>
      <c r="R361" s="526"/>
    </row>
    <row r="362" spans="1:18">
      <c r="A362" s="6">
        <v>832</v>
      </c>
      <c r="B362" s="6" t="s">
        <v>1105</v>
      </c>
      <c r="C362" s="6">
        <v>12</v>
      </c>
      <c r="D362" s="6" t="s">
        <v>1131</v>
      </c>
      <c r="E362" s="9">
        <v>31.00000000428</v>
      </c>
      <c r="F362" s="9">
        <v>628100.68086585123</v>
      </c>
      <c r="G362" s="9">
        <v>326341</v>
      </c>
      <c r="I362" s="6" t="str">
        <f t="shared" si="41"/>
        <v>832012</v>
      </c>
      <c r="J362" s="6">
        <f t="shared" si="42"/>
        <v>832</v>
      </c>
      <c r="K362" s="6" t="str">
        <f t="shared" si="43"/>
        <v>Montachusett</v>
      </c>
      <c r="L362" s="6">
        <f t="shared" si="44"/>
        <v>12</v>
      </c>
      <c r="M362" s="6" t="str">
        <f t="shared" si="45"/>
        <v xml:space="preserve">Ashby                        </v>
      </c>
      <c r="N362" s="9">
        <f t="shared" si="46"/>
        <v>31.00000000428</v>
      </c>
      <c r="O362" s="526">
        <f t="shared" si="47"/>
        <v>628100.68086585123</v>
      </c>
      <c r="P362" s="526">
        <f t="shared" si="48"/>
        <v>326341</v>
      </c>
      <c r="Q362" s="526"/>
      <c r="R362" s="526"/>
    </row>
    <row r="363" spans="1:18">
      <c r="A363" s="6">
        <v>832</v>
      </c>
      <c r="B363" s="6" t="s">
        <v>1105</v>
      </c>
      <c r="C363" s="6">
        <v>15</v>
      </c>
      <c r="D363" s="6" t="s">
        <v>1134</v>
      </c>
      <c r="E363" s="9">
        <v>104.00000000435999</v>
      </c>
      <c r="F363" s="9">
        <v>2107176.4775409135</v>
      </c>
      <c r="G363" s="9">
        <v>317195</v>
      </c>
      <c r="I363" s="6" t="str">
        <f t="shared" si="41"/>
        <v>832015</v>
      </c>
      <c r="J363" s="6">
        <f t="shared" si="42"/>
        <v>832</v>
      </c>
      <c r="K363" s="6" t="str">
        <f t="shared" si="43"/>
        <v>Montachusett</v>
      </c>
      <c r="L363" s="6">
        <f t="shared" si="44"/>
        <v>15</v>
      </c>
      <c r="M363" s="6" t="str">
        <f t="shared" si="45"/>
        <v xml:space="preserve">Athol                        </v>
      </c>
      <c r="N363" s="9">
        <f t="shared" si="46"/>
        <v>104.00000000435999</v>
      </c>
      <c r="O363" s="526">
        <f t="shared" si="47"/>
        <v>2107176.4775409135</v>
      </c>
      <c r="P363" s="526">
        <f t="shared" si="48"/>
        <v>317195</v>
      </c>
      <c r="Q363" s="526"/>
      <c r="R363" s="526"/>
    </row>
    <row r="364" spans="1:18">
      <c r="A364" s="6">
        <v>832</v>
      </c>
      <c r="B364" s="6" t="s">
        <v>1105</v>
      </c>
      <c r="C364" s="6">
        <v>21</v>
      </c>
      <c r="D364" s="6" t="s">
        <v>1140</v>
      </c>
      <c r="E364" s="9">
        <v>45.00000000288</v>
      </c>
      <c r="F364" s="9">
        <v>911759.05280225503</v>
      </c>
      <c r="G364" s="9">
        <v>349102</v>
      </c>
      <c r="I364" s="6" t="str">
        <f t="shared" si="41"/>
        <v>832021</v>
      </c>
      <c r="J364" s="6">
        <f t="shared" si="42"/>
        <v>832</v>
      </c>
      <c r="K364" s="6" t="str">
        <f t="shared" si="43"/>
        <v>Montachusett</v>
      </c>
      <c r="L364" s="6">
        <f t="shared" si="44"/>
        <v>21</v>
      </c>
      <c r="M364" s="6" t="str">
        <f t="shared" si="45"/>
        <v xml:space="preserve">Barre                        </v>
      </c>
      <c r="N364" s="9">
        <f t="shared" si="46"/>
        <v>45.00000000288</v>
      </c>
      <c r="O364" s="526">
        <f t="shared" si="47"/>
        <v>911759.05280225503</v>
      </c>
      <c r="P364" s="526">
        <f t="shared" si="48"/>
        <v>349102</v>
      </c>
      <c r="Q364" s="526"/>
      <c r="R364" s="526"/>
    </row>
    <row r="365" spans="1:18">
      <c r="A365" s="6">
        <v>832</v>
      </c>
      <c r="B365" s="6" t="s">
        <v>1105</v>
      </c>
      <c r="C365" s="6">
        <v>97</v>
      </c>
      <c r="D365" s="6" t="s">
        <v>1216</v>
      </c>
      <c r="E365" s="9">
        <v>386.00000000568002</v>
      </c>
      <c r="F365" s="9">
        <v>7820866.541429447</v>
      </c>
      <c r="G365" s="9">
        <v>1788912</v>
      </c>
      <c r="I365" s="6" t="str">
        <f t="shared" si="41"/>
        <v>832097</v>
      </c>
      <c r="J365" s="6">
        <f t="shared" si="42"/>
        <v>832</v>
      </c>
      <c r="K365" s="6" t="str">
        <f t="shared" si="43"/>
        <v>Montachusett</v>
      </c>
      <c r="L365" s="6">
        <f t="shared" si="44"/>
        <v>97</v>
      </c>
      <c r="M365" s="6" t="str">
        <f t="shared" si="45"/>
        <v xml:space="preserve">Fitchburg                    </v>
      </c>
      <c r="N365" s="9">
        <f t="shared" si="46"/>
        <v>386.00000000568002</v>
      </c>
      <c r="O365" s="526">
        <f t="shared" si="47"/>
        <v>7820866.541429447</v>
      </c>
      <c r="P365" s="526">
        <f t="shared" si="48"/>
        <v>1788912</v>
      </c>
      <c r="Q365" s="526"/>
      <c r="R365" s="526"/>
    </row>
    <row r="366" spans="1:18">
      <c r="A366" s="6">
        <v>832</v>
      </c>
      <c r="B366" s="6" t="s">
        <v>1105</v>
      </c>
      <c r="C366" s="6">
        <v>103</v>
      </c>
      <c r="D366" s="6" t="s">
        <v>1222</v>
      </c>
      <c r="E366" s="9">
        <v>165.99999999816001</v>
      </c>
      <c r="F366" s="9">
        <v>3363377.8389735594</v>
      </c>
      <c r="G366" s="9">
        <v>963184</v>
      </c>
      <c r="I366" s="6" t="str">
        <f t="shared" si="41"/>
        <v>832103</v>
      </c>
      <c r="J366" s="6">
        <f t="shared" si="42"/>
        <v>832</v>
      </c>
      <c r="K366" s="6" t="str">
        <f t="shared" si="43"/>
        <v>Montachusett</v>
      </c>
      <c r="L366" s="6">
        <f t="shared" si="44"/>
        <v>103</v>
      </c>
      <c r="M366" s="6" t="str">
        <f t="shared" si="45"/>
        <v xml:space="preserve">Gardner                      </v>
      </c>
      <c r="N366" s="9">
        <f t="shared" si="46"/>
        <v>165.99999999816001</v>
      </c>
      <c r="O366" s="526">
        <f t="shared" si="47"/>
        <v>3363377.8389735594</v>
      </c>
      <c r="P366" s="526">
        <f t="shared" si="48"/>
        <v>963184</v>
      </c>
      <c r="Q366" s="526"/>
      <c r="R366" s="526"/>
    </row>
    <row r="367" spans="1:18">
      <c r="A367" s="6">
        <v>832</v>
      </c>
      <c r="B367" s="6" t="s">
        <v>1105</v>
      </c>
      <c r="C367" s="6">
        <v>125</v>
      </c>
      <c r="D367" s="6" t="s">
        <v>1243</v>
      </c>
      <c r="E367" s="9">
        <v>9.0000000064799988</v>
      </c>
      <c r="F367" s="9">
        <v>182351.81068007377</v>
      </c>
      <c r="G367" s="9">
        <v>144466</v>
      </c>
      <c r="I367" s="6" t="str">
        <f t="shared" si="41"/>
        <v>832125</v>
      </c>
      <c r="J367" s="6">
        <f t="shared" si="42"/>
        <v>832</v>
      </c>
      <c r="K367" s="6" t="str">
        <f t="shared" si="43"/>
        <v>Montachusett</v>
      </c>
      <c r="L367" s="6">
        <f t="shared" si="44"/>
        <v>125</v>
      </c>
      <c r="M367" s="6" t="str">
        <f t="shared" si="45"/>
        <v xml:space="preserve">Harvard                      </v>
      </c>
      <c r="N367" s="9">
        <f t="shared" si="46"/>
        <v>9.0000000064799988</v>
      </c>
      <c r="O367" s="526">
        <f t="shared" si="47"/>
        <v>182351.81068007377</v>
      </c>
      <c r="P367" s="526">
        <f t="shared" si="48"/>
        <v>144466</v>
      </c>
      <c r="Q367" s="526"/>
      <c r="R367" s="526"/>
    </row>
    <row r="368" spans="1:18">
      <c r="A368" s="6">
        <v>832</v>
      </c>
      <c r="B368" s="6" t="s">
        <v>1105</v>
      </c>
      <c r="C368" s="6">
        <v>134</v>
      </c>
      <c r="D368" s="6" t="s">
        <v>1252</v>
      </c>
      <c r="E368" s="9">
        <v>147.99999999996001</v>
      </c>
      <c r="F368" s="9">
        <v>2998674.2179124686</v>
      </c>
      <c r="G368" s="9">
        <v>1707428</v>
      </c>
      <c r="I368" s="6" t="str">
        <f t="shared" si="41"/>
        <v>832134</v>
      </c>
      <c r="J368" s="6">
        <f t="shared" si="42"/>
        <v>832</v>
      </c>
      <c r="K368" s="6" t="str">
        <f t="shared" si="43"/>
        <v>Montachusett</v>
      </c>
      <c r="L368" s="6">
        <f t="shared" si="44"/>
        <v>134</v>
      </c>
      <c r="M368" s="6" t="str">
        <f t="shared" si="45"/>
        <v xml:space="preserve">Holden                       </v>
      </c>
      <c r="N368" s="9">
        <f t="shared" si="46"/>
        <v>147.99999999996001</v>
      </c>
      <c r="O368" s="526">
        <f t="shared" si="47"/>
        <v>2998674.2179124686</v>
      </c>
      <c r="P368" s="526">
        <f t="shared" si="48"/>
        <v>1707428</v>
      </c>
      <c r="Q368" s="526"/>
      <c r="R368" s="526"/>
    </row>
    <row r="369" spans="1:18">
      <c r="A369" s="6">
        <v>832</v>
      </c>
      <c r="B369" s="6" t="s">
        <v>1105</v>
      </c>
      <c r="C369" s="6">
        <v>140</v>
      </c>
      <c r="D369" s="6" t="s">
        <v>1258</v>
      </c>
      <c r="E369" s="9">
        <v>31.9999999968</v>
      </c>
      <c r="F369" s="9">
        <v>648361.99299749441</v>
      </c>
      <c r="G369" s="9">
        <v>340322</v>
      </c>
      <c r="I369" s="6" t="str">
        <f t="shared" si="41"/>
        <v>832140</v>
      </c>
      <c r="J369" s="6">
        <f t="shared" si="42"/>
        <v>832</v>
      </c>
      <c r="K369" s="6" t="str">
        <f t="shared" si="43"/>
        <v>Montachusett</v>
      </c>
      <c r="L369" s="6">
        <f t="shared" si="44"/>
        <v>140</v>
      </c>
      <c r="M369" s="6" t="str">
        <f t="shared" si="45"/>
        <v xml:space="preserve">Hubbardston                  </v>
      </c>
      <c r="N369" s="9">
        <f t="shared" si="46"/>
        <v>31.9999999968</v>
      </c>
      <c r="O369" s="526">
        <f t="shared" si="47"/>
        <v>648361.99299749441</v>
      </c>
      <c r="P369" s="526">
        <f t="shared" si="48"/>
        <v>340322</v>
      </c>
      <c r="Q369" s="526"/>
      <c r="R369" s="526"/>
    </row>
    <row r="370" spans="1:18">
      <c r="A370" s="6">
        <v>832</v>
      </c>
      <c r="B370" s="6" t="s">
        <v>1105</v>
      </c>
      <c r="C370" s="6">
        <v>162</v>
      </c>
      <c r="D370" s="6" t="s">
        <v>1280</v>
      </c>
      <c r="E370" s="9">
        <v>98.999999997480003</v>
      </c>
      <c r="F370" s="9">
        <v>2005869.915985527</v>
      </c>
      <c r="G370" s="9">
        <v>1172254</v>
      </c>
      <c r="I370" s="6" t="str">
        <f t="shared" si="41"/>
        <v>832162</v>
      </c>
      <c r="J370" s="6">
        <f t="shared" si="42"/>
        <v>832</v>
      </c>
      <c r="K370" s="6" t="str">
        <f t="shared" si="43"/>
        <v>Montachusett</v>
      </c>
      <c r="L370" s="6">
        <f t="shared" si="44"/>
        <v>162</v>
      </c>
      <c r="M370" s="6" t="str">
        <f t="shared" si="45"/>
        <v xml:space="preserve">Lunenburg                    </v>
      </c>
      <c r="N370" s="9">
        <f t="shared" si="46"/>
        <v>98.999999997480003</v>
      </c>
      <c r="O370" s="526">
        <f t="shared" si="47"/>
        <v>2005869.915985527</v>
      </c>
      <c r="P370" s="526">
        <f t="shared" si="48"/>
        <v>1172254</v>
      </c>
      <c r="Q370" s="526"/>
      <c r="R370" s="526"/>
    </row>
    <row r="371" spans="1:18">
      <c r="A371" s="6">
        <v>832</v>
      </c>
      <c r="B371" s="6" t="s">
        <v>1105</v>
      </c>
      <c r="C371" s="6">
        <v>234</v>
      </c>
      <c r="D371" s="6" t="s">
        <v>1352</v>
      </c>
      <c r="E371" s="9">
        <v>11.9999999988</v>
      </c>
      <c r="F371" s="9">
        <v>243135.74737406039</v>
      </c>
      <c r="G371" s="9">
        <v>134551</v>
      </c>
      <c r="I371" s="6" t="str">
        <f t="shared" si="41"/>
        <v>832234</v>
      </c>
      <c r="J371" s="6">
        <f t="shared" si="42"/>
        <v>832</v>
      </c>
      <c r="K371" s="6" t="str">
        <f t="shared" si="43"/>
        <v>Montachusett</v>
      </c>
      <c r="L371" s="6">
        <f t="shared" si="44"/>
        <v>234</v>
      </c>
      <c r="M371" s="6" t="str">
        <f t="shared" si="45"/>
        <v xml:space="preserve">Petersham                    </v>
      </c>
      <c r="N371" s="9">
        <f t="shared" si="46"/>
        <v>11.9999999988</v>
      </c>
      <c r="O371" s="526">
        <f t="shared" si="47"/>
        <v>243135.74737406039</v>
      </c>
      <c r="P371" s="526">
        <f t="shared" si="48"/>
        <v>134551</v>
      </c>
      <c r="Q371" s="526"/>
      <c r="R371" s="526"/>
    </row>
    <row r="372" spans="1:18">
      <c r="A372" s="6">
        <v>832</v>
      </c>
      <c r="B372" s="6" t="s">
        <v>1105</v>
      </c>
      <c r="C372" s="6">
        <v>235</v>
      </c>
      <c r="D372" s="6" t="s">
        <v>1353</v>
      </c>
      <c r="E372" s="9">
        <v>23.9999999976</v>
      </c>
      <c r="F372" s="9">
        <v>486271.49474812078</v>
      </c>
      <c r="G372" s="9">
        <v>244947</v>
      </c>
      <c r="I372" s="6" t="str">
        <f t="shared" si="41"/>
        <v>832235</v>
      </c>
      <c r="J372" s="6">
        <f t="shared" si="42"/>
        <v>832</v>
      </c>
      <c r="K372" s="6" t="str">
        <f t="shared" si="43"/>
        <v>Montachusett</v>
      </c>
      <c r="L372" s="6">
        <f t="shared" si="44"/>
        <v>235</v>
      </c>
      <c r="M372" s="6" t="str">
        <f t="shared" si="45"/>
        <v xml:space="preserve">Phillipston                  </v>
      </c>
      <c r="N372" s="9">
        <f t="shared" si="46"/>
        <v>23.9999999976</v>
      </c>
      <c r="O372" s="526">
        <f t="shared" si="47"/>
        <v>486271.49474812078</v>
      </c>
      <c r="P372" s="526">
        <f t="shared" si="48"/>
        <v>244947</v>
      </c>
      <c r="Q372" s="526"/>
      <c r="R372" s="526"/>
    </row>
    <row r="373" spans="1:18">
      <c r="A373" s="6">
        <v>832</v>
      </c>
      <c r="B373" s="6" t="s">
        <v>1105</v>
      </c>
      <c r="C373" s="6">
        <v>241</v>
      </c>
      <c r="D373" s="6" t="s">
        <v>1359</v>
      </c>
      <c r="E373" s="9">
        <v>25.00000000488</v>
      </c>
      <c r="F373" s="9">
        <v>506532.80717882095</v>
      </c>
      <c r="G373" s="9">
        <v>398238</v>
      </c>
      <c r="I373" s="6" t="str">
        <f t="shared" si="41"/>
        <v>832241</v>
      </c>
      <c r="J373" s="6">
        <f t="shared" si="42"/>
        <v>832</v>
      </c>
      <c r="K373" s="6" t="str">
        <f t="shared" si="43"/>
        <v>Montachusett</v>
      </c>
      <c r="L373" s="6">
        <f t="shared" si="44"/>
        <v>241</v>
      </c>
      <c r="M373" s="6" t="str">
        <f t="shared" si="45"/>
        <v xml:space="preserve">Princeton                    </v>
      </c>
      <c r="N373" s="9">
        <f t="shared" si="46"/>
        <v>25.00000000488</v>
      </c>
      <c r="O373" s="526">
        <f t="shared" si="47"/>
        <v>506532.80717882095</v>
      </c>
      <c r="P373" s="526">
        <f t="shared" si="48"/>
        <v>398238</v>
      </c>
      <c r="Q373" s="526"/>
      <c r="R373" s="526"/>
    </row>
    <row r="374" spans="1:18">
      <c r="A374" s="6">
        <v>832</v>
      </c>
      <c r="B374" s="6" t="s">
        <v>1105</v>
      </c>
      <c r="C374" s="6">
        <v>255</v>
      </c>
      <c r="D374" s="6" t="s">
        <v>1373</v>
      </c>
      <c r="E374" s="9">
        <v>11.000000006279999</v>
      </c>
      <c r="F374" s="9">
        <v>222874.43524241718</v>
      </c>
      <c r="G374" s="9">
        <v>79983</v>
      </c>
      <c r="I374" s="6" t="str">
        <f t="shared" si="41"/>
        <v>832255</v>
      </c>
      <c r="J374" s="6">
        <f t="shared" si="42"/>
        <v>832</v>
      </c>
      <c r="K374" s="6" t="str">
        <f t="shared" si="43"/>
        <v>Montachusett</v>
      </c>
      <c r="L374" s="6">
        <f t="shared" si="44"/>
        <v>255</v>
      </c>
      <c r="M374" s="6" t="str">
        <f t="shared" si="45"/>
        <v xml:space="preserve">Royalston                    </v>
      </c>
      <c r="N374" s="9">
        <f t="shared" si="46"/>
        <v>11.000000006279999</v>
      </c>
      <c r="O374" s="526">
        <f t="shared" si="47"/>
        <v>222874.43524241718</v>
      </c>
      <c r="P374" s="526">
        <f t="shared" si="48"/>
        <v>79983</v>
      </c>
      <c r="Q374" s="526"/>
      <c r="R374" s="526"/>
    </row>
    <row r="375" spans="1:18">
      <c r="A375" s="6">
        <v>832</v>
      </c>
      <c r="B375" s="6" t="s">
        <v>1105</v>
      </c>
      <c r="C375" s="6">
        <v>282</v>
      </c>
      <c r="D375" s="6" t="s">
        <v>1400</v>
      </c>
      <c r="E375" s="9">
        <v>65.999999993399996</v>
      </c>
      <c r="F375" s="9">
        <v>1337246.6105573322</v>
      </c>
      <c r="G375" s="9">
        <v>1098711</v>
      </c>
      <c r="I375" s="6" t="str">
        <f t="shared" si="41"/>
        <v>832282</v>
      </c>
      <c r="J375" s="6">
        <f t="shared" si="42"/>
        <v>832</v>
      </c>
      <c r="K375" s="6" t="str">
        <f t="shared" si="43"/>
        <v>Montachusett</v>
      </c>
      <c r="L375" s="6">
        <f t="shared" si="44"/>
        <v>282</v>
      </c>
      <c r="M375" s="6" t="str">
        <f t="shared" si="45"/>
        <v xml:space="preserve">Sterling                     </v>
      </c>
      <c r="N375" s="9">
        <f t="shared" si="46"/>
        <v>65.999999993399996</v>
      </c>
      <c r="O375" s="526">
        <f t="shared" si="47"/>
        <v>1337246.6105573322</v>
      </c>
      <c r="P375" s="526">
        <f t="shared" si="48"/>
        <v>1098711</v>
      </c>
      <c r="Q375" s="526"/>
      <c r="R375" s="526"/>
    </row>
    <row r="376" spans="1:18">
      <c r="A376" s="6">
        <v>832</v>
      </c>
      <c r="B376" s="6" t="s">
        <v>1105</v>
      </c>
      <c r="C376" s="6">
        <v>294</v>
      </c>
      <c r="D376" s="6" t="s">
        <v>1412</v>
      </c>
      <c r="E376" s="9">
        <v>86.999999998679996</v>
      </c>
      <c r="F376" s="9">
        <v>1762734.1686114664</v>
      </c>
      <c r="G376" s="9">
        <v>604576</v>
      </c>
      <c r="I376" s="6" t="str">
        <f t="shared" si="41"/>
        <v>832294</v>
      </c>
      <c r="J376" s="6">
        <f t="shared" si="42"/>
        <v>832</v>
      </c>
      <c r="K376" s="6" t="str">
        <f t="shared" si="43"/>
        <v>Montachusett</v>
      </c>
      <c r="L376" s="6">
        <f t="shared" si="44"/>
        <v>294</v>
      </c>
      <c r="M376" s="6" t="str">
        <f t="shared" si="45"/>
        <v xml:space="preserve">Templeton                    </v>
      </c>
      <c r="N376" s="9">
        <f t="shared" si="46"/>
        <v>86.999999998679996</v>
      </c>
      <c r="O376" s="526">
        <f t="shared" si="47"/>
        <v>1762734.1686114664</v>
      </c>
      <c r="P376" s="526">
        <f t="shared" si="48"/>
        <v>604576</v>
      </c>
      <c r="Q376" s="526"/>
      <c r="R376" s="526"/>
    </row>
    <row r="377" spans="1:18">
      <c r="A377" s="6">
        <v>832</v>
      </c>
      <c r="B377" s="6" t="s">
        <v>1105</v>
      </c>
      <c r="C377" s="6">
        <v>328</v>
      </c>
      <c r="D377" s="6" t="s">
        <v>1446</v>
      </c>
      <c r="E377" s="9">
        <v>71.000000000279996</v>
      </c>
      <c r="F377" s="9">
        <v>1438553.1721127192</v>
      </c>
      <c r="G377" s="9">
        <v>767450</v>
      </c>
      <c r="I377" s="6" t="str">
        <f t="shared" si="41"/>
        <v>832328</v>
      </c>
      <c r="J377" s="6">
        <f t="shared" si="42"/>
        <v>832</v>
      </c>
      <c r="K377" s="6" t="str">
        <f t="shared" si="43"/>
        <v>Montachusett</v>
      </c>
      <c r="L377" s="6">
        <f t="shared" si="44"/>
        <v>328</v>
      </c>
      <c r="M377" s="6" t="str">
        <f t="shared" si="45"/>
        <v xml:space="preserve">Westminster                  </v>
      </c>
      <c r="N377" s="9">
        <f t="shared" si="46"/>
        <v>71.000000000279996</v>
      </c>
      <c r="O377" s="526">
        <f t="shared" si="47"/>
        <v>1438553.1721127192</v>
      </c>
      <c r="P377" s="526">
        <f t="shared" si="48"/>
        <v>767450</v>
      </c>
      <c r="Q377" s="526"/>
      <c r="R377" s="526"/>
    </row>
    <row r="378" spans="1:18">
      <c r="A378" s="6">
        <v>832</v>
      </c>
      <c r="B378" s="6" t="s">
        <v>1105</v>
      </c>
      <c r="C378" s="6">
        <v>343</v>
      </c>
      <c r="D378" s="6" t="s">
        <v>1461</v>
      </c>
      <c r="E378" s="9">
        <v>96.00000000515999</v>
      </c>
      <c r="F378" s="9">
        <v>1945085.9792915401</v>
      </c>
      <c r="G378" s="9">
        <v>613683</v>
      </c>
      <c r="I378" s="6" t="str">
        <f t="shared" si="41"/>
        <v>832343</v>
      </c>
      <c r="J378" s="6">
        <f t="shared" si="42"/>
        <v>832</v>
      </c>
      <c r="K378" s="6" t="str">
        <f t="shared" si="43"/>
        <v>Montachusett</v>
      </c>
      <c r="L378" s="6">
        <f t="shared" si="44"/>
        <v>343</v>
      </c>
      <c r="M378" s="6" t="str">
        <f t="shared" si="45"/>
        <v xml:space="preserve">Winchendon                   </v>
      </c>
      <c r="N378" s="9">
        <f t="shared" si="46"/>
        <v>96.00000000515999</v>
      </c>
      <c r="O378" s="526">
        <f t="shared" si="47"/>
        <v>1945085.9792915401</v>
      </c>
      <c r="P378" s="526">
        <f t="shared" si="48"/>
        <v>613683</v>
      </c>
      <c r="Q378" s="526"/>
      <c r="R378" s="526"/>
    </row>
    <row r="379" spans="1:18">
      <c r="A379" s="6" t="s">
        <v>2435</v>
      </c>
      <c r="E379" s="9">
        <v>1476.00000001476</v>
      </c>
      <c r="F379" s="9">
        <v>29905696.930299059</v>
      </c>
      <c r="G379" s="9">
        <v>11646249</v>
      </c>
      <c r="I379" s="6" t="str">
        <f t="shared" si="41"/>
        <v>832999</v>
      </c>
      <c r="J379" s="6">
        <f t="shared" si="42"/>
        <v>832</v>
      </c>
      <c r="K379" s="6">
        <f t="shared" si="43"/>
        <v>0</v>
      </c>
      <c r="L379" s="6">
        <f t="shared" si="44"/>
        <v>0</v>
      </c>
      <c r="M379" s="6">
        <f t="shared" si="45"/>
        <v>0</v>
      </c>
      <c r="N379" s="9">
        <f t="shared" si="46"/>
        <v>1476.00000001476</v>
      </c>
      <c r="O379" s="526">
        <f t="shared" si="47"/>
        <v>29905696.930299059</v>
      </c>
      <c r="P379" s="526">
        <f t="shared" si="48"/>
        <v>11646249</v>
      </c>
      <c r="Q379" s="526">
        <f>VLOOKUP($J379,aidcalc,25,FALSE)</f>
        <v>18472208.000001535</v>
      </c>
      <c r="R379" s="526">
        <f>VLOOKUP($J379,aidcalc,27,FALSE)</f>
        <v>30118457.000001535</v>
      </c>
    </row>
    <row r="380" spans="1:18">
      <c r="A380" s="6">
        <v>851</v>
      </c>
      <c r="B380" s="6" t="s">
        <v>1106</v>
      </c>
      <c r="C380" s="6">
        <v>4</v>
      </c>
      <c r="D380" s="6" t="s">
        <v>1123</v>
      </c>
      <c r="E380" s="9">
        <v>142.99999999871002</v>
      </c>
      <c r="F380" s="9">
        <v>3135139.4365448644</v>
      </c>
      <c r="G380" s="9">
        <v>938581</v>
      </c>
      <c r="I380" s="6" t="str">
        <f t="shared" si="41"/>
        <v>851004</v>
      </c>
      <c r="J380" s="6">
        <f t="shared" si="42"/>
        <v>851</v>
      </c>
      <c r="K380" s="6" t="str">
        <f t="shared" si="43"/>
        <v>Northern Berkshire</v>
      </c>
      <c r="L380" s="6">
        <f t="shared" si="44"/>
        <v>4</v>
      </c>
      <c r="M380" s="6" t="str">
        <f t="shared" si="45"/>
        <v xml:space="preserve">Adams                        </v>
      </c>
      <c r="N380" s="9">
        <f t="shared" si="46"/>
        <v>142.99999999871002</v>
      </c>
      <c r="O380" s="526">
        <f t="shared" si="47"/>
        <v>3135139.4365448644</v>
      </c>
      <c r="P380" s="526">
        <f t="shared" si="48"/>
        <v>938581</v>
      </c>
      <c r="Q380" s="526"/>
      <c r="R380" s="526"/>
    </row>
    <row r="381" spans="1:18">
      <c r="A381" s="6">
        <v>851</v>
      </c>
      <c r="B381" s="6" t="s">
        <v>1106</v>
      </c>
      <c r="C381" s="6">
        <v>58</v>
      </c>
      <c r="D381" s="6" t="s">
        <v>1177</v>
      </c>
      <c r="E381" s="9">
        <v>46.000000001259998</v>
      </c>
      <c r="F381" s="9">
        <v>1008506.3922119929</v>
      </c>
      <c r="G381" s="9">
        <v>506532</v>
      </c>
      <c r="I381" s="6" t="str">
        <f t="shared" si="41"/>
        <v>851058</v>
      </c>
      <c r="J381" s="6">
        <f t="shared" si="42"/>
        <v>851</v>
      </c>
      <c r="K381" s="6" t="str">
        <f t="shared" si="43"/>
        <v>Northern Berkshire</v>
      </c>
      <c r="L381" s="6">
        <f t="shared" si="44"/>
        <v>58</v>
      </c>
      <c r="M381" s="6" t="str">
        <f t="shared" si="45"/>
        <v xml:space="preserve">Cheshire                     </v>
      </c>
      <c r="N381" s="9">
        <f t="shared" si="46"/>
        <v>46.000000001259998</v>
      </c>
      <c r="O381" s="526">
        <f t="shared" si="47"/>
        <v>1008506.3922119929</v>
      </c>
      <c r="P381" s="526">
        <f t="shared" si="48"/>
        <v>506532</v>
      </c>
      <c r="Q381" s="526"/>
      <c r="R381" s="526"/>
    </row>
    <row r="382" spans="1:18">
      <c r="A382" s="6">
        <v>851</v>
      </c>
      <c r="B382" s="6" t="s">
        <v>1106</v>
      </c>
      <c r="C382" s="6">
        <v>63</v>
      </c>
      <c r="D382" s="6" t="s">
        <v>1182</v>
      </c>
      <c r="E382" s="9">
        <v>51.999999998169997</v>
      </c>
      <c r="F382" s="9">
        <v>1140050.7041682957</v>
      </c>
      <c r="G382" s="9">
        <v>318303</v>
      </c>
      <c r="I382" s="6" t="str">
        <f t="shared" si="41"/>
        <v>851063</v>
      </c>
      <c r="J382" s="6">
        <f t="shared" si="42"/>
        <v>851</v>
      </c>
      <c r="K382" s="6" t="str">
        <f t="shared" si="43"/>
        <v>Northern Berkshire</v>
      </c>
      <c r="L382" s="6">
        <f t="shared" si="44"/>
        <v>63</v>
      </c>
      <c r="M382" s="6" t="str">
        <f t="shared" si="45"/>
        <v xml:space="preserve">Clarksburg                   </v>
      </c>
      <c r="N382" s="9">
        <f t="shared" si="46"/>
        <v>51.999999998169997</v>
      </c>
      <c r="O382" s="526">
        <f t="shared" si="47"/>
        <v>1140050.7041682957</v>
      </c>
      <c r="P382" s="526">
        <f t="shared" si="48"/>
        <v>318303</v>
      </c>
      <c r="Q382" s="526"/>
      <c r="R382" s="526"/>
    </row>
    <row r="383" spans="1:18">
      <c r="A383" s="6">
        <v>851</v>
      </c>
      <c r="B383" s="6" t="s">
        <v>1106</v>
      </c>
      <c r="C383" s="6">
        <v>98</v>
      </c>
      <c r="D383" s="6" t="s">
        <v>1217</v>
      </c>
      <c r="E383" s="9">
        <v>31.999999998489997</v>
      </c>
      <c r="F383" s="9">
        <v>701569.66409515112</v>
      </c>
      <c r="G383" s="9">
        <v>356794</v>
      </c>
      <c r="I383" s="6" t="str">
        <f t="shared" si="41"/>
        <v>851098</v>
      </c>
      <c r="J383" s="6">
        <f t="shared" si="42"/>
        <v>851</v>
      </c>
      <c r="K383" s="6" t="str">
        <f t="shared" si="43"/>
        <v>Northern Berkshire</v>
      </c>
      <c r="L383" s="6">
        <f t="shared" si="44"/>
        <v>98</v>
      </c>
      <c r="M383" s="6" t="str">
        <f t="shared" si="45"/>
        <v xml:space="preserve">Florida                      </v>
      </c>
      <c r="N383" s="9">
        <f t="shared" si="46"/>
        <v>31.999999998489997</v>
      </c>
      <c r="O383" s="526">
        <f t="shared" si="47"/>
        <v>701569.66409515112</v>
      </c>
      <c r="P383" s="526">
        <f t="shared" si="48"/>
        <v>356794</v>
      </c>
      <c r="Q383" s="526"/>
      <c r="R383" s="526"/>
    </row>
    <row r="384" spans="1:18">
      <c r="A384" s="6">
        <v>851</v>
      </c>
      <c r="B384" s="6" t="s">
        <v>1106</v>
      </c>
      <c r="C384" s="6">
        <v>148</v>
      </c>
      <c r="D384" s="6" t="s">
        <v>1266</v>
      </c>
      <c r="E384" s="9">
        <v>31.000000001499998</v>
      </c>
      <c r="F384" s="9">
        <v>679645.61215713457</v>
      </c>
      <c r="G384" s="9">
        <v>365907</v>
      </c>
      <c r="I384" s="6" t="str">
        <f t="shared" si="41"/>
        <v>851148</v>
      </c>
      <c r="J384" s="6">
        <f t="shared" si="42"/>
        <v>851</v>
      </c>
      <c r="K384" s="6" t="str">
        <f t="shared" si="43"/>
        <v>Northern Berkshire</v>
      </c>
      <c r="L384" s="6">
        <f t="shared" si="44"/>
        <v>148</v>
      </c>
      <c r="M384" s="6" t="str">
        <f t="shared" si="45"/>
        <v xml:space="preserve">Lanesborough                 </v>
      </c>
      <c r="N384" s="9">
        <f t="shared" si="46"/>
        <v>31.000000001499998</v>
      </c>
      <c r="O384" s="526">
        <f t="shared" si="47"/>
        <v>679645.61215713457</v>
      </c>
      <c r="P384" s="526">
        <f t="shared" si="48"/>
        <v>365907</v>
      </c>
      <c r="Q384" s="526"/>
      <c r="R384" s="526"/>
    </row>
    <row r="385" spans="1:18">
      <c r="A385" s="6">
        <v>851</v>
      </c>
      <c r="B385" s="6" t="s">
        <v>1106</v>
      </c>
      <c r="C385" s="6">
        <v>190</v>
      </c>
      <c r="D385" s="6" t="s">
        <v>1308</v>
      </c>
      <c r="E385" s="9">
        <v>1.9999999989700001</v>
      </c>
      <c r="F385" s="9">
        <v>43848.10398543426</v>
      </c>
      <c r="G385" s="9">
        <v>20119</v>
      </c>
      <c r="I385" s="6" t="str">
        <f t="shared" si="41"/>
        <v>851190</v>
      </c>
      <c r="J385" s="6">
        <f t="shared" si="42"/>
        <v>851</v>
      </c>
      <c r="K385" s="6" t="str">
        <f t="shared" si="43"/>
        <v>Northern Berkshire</v>
      </c>
      <c r="L385" s="6">
        <f t="shared" si="44"/>
        <v>190</v>
      </c>
      <c r="M385" s="6" t="str">
        <f t="shared" si="45"/>
        <v xml:space="preserve">Monroe                       </v>
      </c>
      <c r="N385" s="9">
        <f t="shared" si="46"/>
        <v>1.9999999989700001</v>
      </c>
      <c r="O385" s="526">
        <f t="shared" si="47"/>
        <v>43848.10398543426</v>
      </c>
      <c r="P385" s="526">
        <f t="shared" si="48"/>
        <v>20119</v>
      </c>
      <c r="Q385" s="526"/>
      <c r="R385" s="526"/>
    </row>
    <row r="386" spans="1:18">
      <c r="A386" s="6">
        <v>851</v>
      </c>
      <c r="B386" s="6" t="s">
        <v>1106</v>
      </c>
      <c r="C386" s="6">
        <v>209</v>
      </c>
      <c r="D386" s="6" t="s">
        <v>1327</v>
      </c>
      <c r="E386" s="9">
        <v>162.99999999839002</v>
      </c>
      <c r="F386" s="9">
        <v>3573620.4766180092</v>
      </c>
      <c r="G386" s="9">
        <v>927637</v>
      </c>
      <c r="I386" s="6" t="str">
        <f t="shared" si="41"/>
        <v>851209</v>
      </c>
      <c r="J386" s="6">
        <f t="shared" si="42"/>
        <v>851</v>
      </c>
      <c r="K386" s="6" t="str">
        <f t="shared" si="43"/>
        <v>Northern Berkshire</v>
      </c>
      <c r="L386" s="6">
        <f t="shared" si="44"/>
        <v>209</v>
      </c>
      <c r="M386" s="6" t="str">
        <f t="shared" si="45"/>
        <v xml:space="preserve">North Adams                  </v>
      </c>
      <c r="N386" s="9">
        <f t="shared" si="46"/>
        <v>162.99999999839002</v>
      </c>
      <c r="O386" s="526">
        <f t="shared" si="47"/>
        <v>3573620.4766180092</v>
      </c>
      <c r="P386" s="526">
        <f t="shared" si="48"/>
        <v>927637</v>
      </c>
      <c r="Q386" s="526"/>
      <c r="R386" s="526"/>
    </row>
    <row r="387" spans="1:18">
      <c r="A387" s="6">
        <v>851</v>
      </c>
      <c r="B387" s="6" t="s">
        <v>1106</v>
      </c>
      <c r="C387" s="6">
        <v>263</v>
      </c>
      <c r="D387" s="6" t="s">
        <v>1381</v>
      </c>
      <c r="E387" s="9">
        <v>11.00000000182</v>
      </c>
      <c r="F387" s="9">
        <v>241164.57208398994</v>
      </c>
      <c r="G387" s="9">
        <v>164868</v>
      </c>
      <c r="I387" s="6" t="str">
        <f t="shared" si="41"/>
        <v>851263</v>
      </c>
      <c r="J387" s="6">
        <f t="shared" si="42"/>
        <v>851</v>
      </c>
      <c r="K387" s="6" t="str">
        <f t="shared" si="43"/>
        <v>Northern Berkshire</v>
      </c>
      <c r="L387" s="6">
        <f t="shared" si="44"/>
        <v>263</v>
      </c>
      <c r="M387" s="6" t="str">
        <f t="shared" si="45"/>
        <v xml:space="preserve">Savoy                        </v>
      </c>
      <c r="N387" s="9">
        <f t="shared" si="46"/>
        <v>11.00000000182</v>
      </c>
      <c r="O387" s="526">
        <f t="shared" si="47"/>
        <v>241164.57208398994</v>
      </c>
      <c r="P387" s="526">
        <f t="shared" si="48"/>
        <v>164868</v>
      </c>
      <c r="Q387" s="526"/>
      <c r="R387" s="526"/>
    </row>
    <row r="388" spans="1:18">
      <c r="A388" s="6">
        <v>851</v>
      </c>
      <c r="B388" s="6" t="s">
        <v>1106</v>
      </c>
      <c r="C388" s="6">
        <v>341</v>
      </c>
      <c r="D388" s="6" t="s">
        <v>1459</v>
      </c>
      <c r="E388" s="9">
        <v>18.999999997699998</v>
      </c>
      <c r="F388" s="9">
        <v>416556.98802572693</v>
      </c>
      <c r="G388" s="9">
        <v>306759</v>
      </c>
      <c r="I388" s="6" t="str">
        <f t="shared" si="41"/>
        <v>851341</v>
      </c>
      <c r="J388" s="6">
        <f t="shared" si="42"/>
        <v>851</v>
      </c>
      <c r="K388" s="6" t="str">
        <f t="shared" si="43"/>
        <v>Northern Berkshire</v>
      </c>
      <c r="L388" s="6">
        <f t="shared" si="44"/>
        <v>341</v>
      </c>
      <c r="M388" s="6" t="str">
        <f t="shared" si="45"/>
        <v xml:space="preserve">Williamstown                 </v>
      </c>
      <c r="N388" s="9">
        <f t="shared" si="46"/>
        <v>18.999999997699998</v>
      </c>
      <c r="O388" s="526">
        <f t="shared" si="47"/>
        <v>416556.98802572693</v>
      </c>
      <c r="P388" s="526">
        <f t="shared" si="48"/>
        <v>306759</v>
      </c>
      <c r="Q388" s="526"/>
      <c r="R388" s="526"/>
    </row>
    <row r="389" spans="1:18">
      <c r="A389" s="6" t="s">
        <v>2436</v>
      </c>
      <c r="E389" s="9">
        <v>498.99999999501006</v>
      </c>
      <c r="F389" s="9">
        <v>10940101.949890599</v>
      </c>
      <c r="G389" s="9">
        <v>3905500</v>
      </c>
      <c r="I389" s="6" t="str">
        <f t="shared" ref="I389:I452" si="49">IF(L389=0,J389&amp;999,J389&amp;TEXT(L389,"000"))</f>
        <v>851999</v>
      </c>
      <c r="J389" s="6">
        <f t="shared" ref="J389:J452" si="50">VALUE(LEFT(A389,3))</f>
        <v>851</v>
      </c>
      <c r="K389" s="6">
        <f t="shared" ref="K389:K452" si="51">B389</f>
        <v>0</v>
      </c>
      <c r="L389" s="6">
        <f t="shared" ref="L389:L452" si="52">C389</f>
        <v>0</v>
      </c>
      <c r="M389" s="6">
        <f t="shared" ref="M389:M452" si="53">D389</f>
        <v>0</v>
      </c>
      <c r="N389" s="9">
        <f t="shared" ref="N389:N452" si="54">E389</f>
        <v>498.99999999501006</v>
      </c>
      <c r="O389" s="526">
        <f t="shared" ref="O389:O452" si="55">F389</f>
        <v>10940101.949890599</v>
      </c>
      <c r="P389" s="526">
        <f t="shared" ref="P389:P452" si="56">G389</f>
        <v>3905500</v>
      </c>
      <c r="Q389" s="526">
        <f>VLOOKUP($J389,aidcalc,25,FALSE)</f>
        <v>7034602</v>
      </c>
      <c r="R389" s="526">
        <f>VLOOKUP($J389,aidcalc,27,FALSE)</f>
        <v>10940102</v>
      </c>
    </row>
    <row r="390" spans="1:18">
      <c r="A390" s="6">
        <v>852</v>
      </c>
      <c r="B390" s="6" t="s">
        <v>1107</v>
      </c>
      <c r="C390" s="6">
        <v>19</v>
      </c>
      <c r="D390" s="6" t="s">
        <v>1138</v>
      </c>
      <c r="E390" s="9">
        <v>63.000000000189999</v>
      </c>
      <c r="F390" s="9">
        <v>1298334.7969871652</v>
      </c>
      <c r="G390" s="9">
        <v>925929</v>
      </c>
      <c r="I390" s="6" t="str">
        <f t="shared" si="49"/>
        <v>852019</v>
      </c>
      <c r="J390" s="6">
        <f t="shared" si="50"/>
        <v>852</v>
      </c>
      <c r="K390" s="6" t="str">
        <f t="shared" si="51"/>
        <v>Nashoba Valley</v>
      </c>
      <c r="L390" s="6">
        <f t="shared" si="52"/>
        <v>19</v>
      </c>
      <c r="M390" s="6" t="str">
        <f t="shared" si="53"/>
        <v xml:space="preserve">Ayer                         </v>
      </c>
      <c r="N390" s="9">
        <f t="shared" si="54"/>
        <v>63.000000000189999</v>
      </c>
      <c r="O390" s="526">
        <f t="shared" si="55"/>
        <v>1298334.7969871652</v>
      </c>
      <c r="P390" s="526">
        <f t="shared" si="56"/>
        <v>925929</v>
      </c>
      <c r="Q390" s="526"/>
      <c r="R390" s="526"/>
    </row>
    <row r="391" spans="1:18">
      <c r="A391" s="6">
        <v>852</v>
      </c>
      <c r="B391" s="6" t="s">
        <v>1107</v>
      </c>
      <c r="C391" s="6">
        <v>56</v>
      </c>
      <c r="D391" s="6" t="s">
        <v>1175</v>
      </c>
      <c r="E391" s="9">
        <v>218.00000000258001</v>
      </c>
      <c r="F391" s="9">
        <v>4492650.5673920335</v>
      </c>
      <c r="G391" s="9">
        <v>3523815</v>
      </c>
      <c r="I391" s="6" t="str">
        <f t="shared" si="49"/>
        <v>852056</v>
      </c>
      <c r="J391" s="6">
        <f t="shared" si="50"/>
        <v>852</v>
      </c>
      <c r="K391" s="6" t="str">
        <f t="shared" si="51"/>
        <v>Nashoba Valley</v>
      </c>
      <c r="L391" s="6">
        <f t="shared" si="52"/>
        <v>56</v>
      </c>
      <c r="M391" s="6" t="str">
        <f t="shared" si="53"/>
        <v xml:space="preserve">Chelmsford                   </v>
      </c>
      <c r="N391" s="9">
        <f t="shared" si="54"/>
        <v>218.00000000258001</v>
      </c>
      <c r="O391" s="526">
        <f t="shared" si="55"/>
        <v>4492650.5673920335</v>
      </c>
      <c r="P391" s="526">
        <f t="shared" si="56"/>
        <v>3523815</v>
      </c>
      <c r="Q391" s="526"/>
      <c r="R391" s="526"/>
    </row>
    <row r="392" spans="1:18">
      <c r="A392" s="6">
        <v>852</v>
      </c>
      <c r="B392" s="6" t="s">
        <v>1107</v>
      </c>
      <c r="C392" s="6">
        <v>115</v>
      </c>
      <c r="D392" s="6" t="s">
        <v>1233</v>
      </c>
      <c r="E392" s="9">
        <v>49.999999999549999</v>
      </c>
      <c r="F392" s="9">
        <v>1030424.4420409243</v>
      </c>
      <c r="G392" s="9">
        <v>848655</v>
      </c>
      <c r="I392" s="6" t="str">
        <f t="shared" si="49"/>
        <v>852115</v>
      </c>
      <c r="J392" s="6">
        <f t="shared" si="50"/>
        <v>852</v>
      </c>
      <c r="K392" s="6" t="str">
        <f t="shared" si="51"/>
        <v>Nashoba Valley</v>
      </c>
      <c r="L392" s="6">
        <f t="shared" si="52"/>
        <v>115</v>
      </c>
      <c r="M392" s="6" t="str">
        <f t="shared" si="53"/>
        <v xml:space="preserve">Groton                       </v>
      </c>
      <c r="N392" s="9">
        <f t="shared" si="54"/>
        <v>49.999999999549999</v>
      </c>
      <c r="O392" s="526">
        <f t="shared" si="55"/>
        <v>1030424.4420409243</v>
      </c>
      <c r="P392" s="526">
        <f t="shared" si="56"/>
        <v>848655</v>
      </c>
      <c r="Q392" s="526"/>
      <c r="R392" s="526"/>
    </row>
    <row r="393" spans="1:18">
      <c r="A393" s="6">
        <v>852</v>
      </c>
      <c r="B393" s="6" t="s">
        <v>1107</v>
      </c>
      <c r="C393" s="6">
        <v>158</v>
      </c>
      <c r="D393" s="6" t="s">
        <v>1276</v>
      </c>
      <c r="E393" s="9">
        <v>47.999999996539998</v>
      </c>
      <c r="F393" s="9">
        <v>989207.4642968846</v>
      </c>
      <c r="G393" s="9">
        <v>781285</v>
      </c>
      <c r="I393" s="6" t="str">
        <f t="shared" si="49"/>
        <v>852158</v>
      </c>
      <c r="J393" s="6">
        <f t="shared" si="50"/>
        <v>852</v>
      </c>
      <c r="K393" s="6" t="str">
        <f t="shared" si="51"/>
        <v>Nashoba Valley</v>
      </c>
      <c r="L393" s="6">
        <f t="shared" si="52"/>
        <v>158</v>
      </c>
      <c r="M393" s="6" t="str">
        <f t="shared" si="53"/>
        <v xml:space="preserve">Littleton                    </v>
      </c>
      <c r="N393" s="9">
        <f t="shared" si="54"/>
        <v>47.999999996539998</v>
      </c>
      <c r="O393" s="526">
        <f t="shared" si="55"/>
        <v>989207.4642968846</v>
      </c>
      <c r="P393" s="526">
        <f t="shared" si="56"/>
        <v>781285</v>
      </c>
      <c r="Q393" s="526"/>
      <c r="R393" s="526"/>
    </row>
    <row r="394" spans="1:18">
      <c r="A394" s="6">
        <v>852</v>
      </c>
      <c r="B394" s="6" t="s">
        <v>1107</v>
      </c>
      <c r="C394" s="6">
        <v>232</v>
      </c>
      <c r="D394" s="6" t="s">
        <v>1350</v>
      </c>
      <c r="E394" s="9">
        <v>132.99999999956</v>
      </c>
      <c r="F394" s="9">
        <v>2740929.0158444592</v>
      </c>
      <c r="G394" s="9">
        <v>1592235</v>
      </c>
      <c r="I394" s="6" t="str">
        <f t="shared" si="49"/>
        <v>852232</v>
      </c>
      <c r="J394" s="6">
        <f t="shared" si="50"/>
        <v>852</v>
      </c>
      <c r="K394" s="6" t="str">
        <f t="shared" si="51"/>
        <v>Nashoba Valley</v>
      </c>
      <c r="L394" s="6">
        <f t="shared" si="52"/>
        <v>232</v>
      </c>
      <c r="M394" s="6" t="str">
        <f t="shared" si="53"/>
        <v xml:space="preserve">Pepperell                    </v>
      </c>
      <c r="N394" s="9">
        <f t="shared" si="54"/>
        <v>132.99999999956</v>
      </c>
      <c r="O394" s="526">
        <f t="shared" si="55"/>
        <v>2740929.0158444592</v>
      </c>
      <c r="P394" s="526">
        <f t="shared" si="56"/>
        <v>1592235</v>
      </c>
      <c r="Q394" s="526"/>
      <c r="R394" s="526"/>
    </row>
    <row r="395" spans="1:18">
      <c r="A395" s="6">
        <v>852</v>
      </c>
      <c r="B395" s="6" t="s">
        <v>1107</v>
      </c>
      <c r="C395" s="6">
        <v>270</v>
      </c>
      <c r="D395" s="6" t="s">
        <v>1388</v>
      </c>
      <c r="E395" s="9">
        <v>49.999999999549999</v>
      </c>
      <c r="F395" s="9">
        <v>1030424.4420409243</v>
      </c>
      <c r="G395" s="9">
        <v>597710</v>
      </c>
      <c r="I395" s="6" t="str">
        <f t="shared" si="49"/>
        <v>852270</v>
      </c>
      <c r="J395" s="6">
        <f t="shared" si="50"/>
        <v>852</v>
      </c>
      <c r="K395" s="6" t="str">
        <f t="shared" si="51"/>
        <v>Nashoba Valley</v>
      </c>
      <c r="L395" s="6">
        <f t="shared" si="52"/>
        <v>270</v>
      </c>
      <c r="M395" s="6" t="str">
        <f t="shared" si="53"/>
        <v xml:space="preserve">Shirley                      </v>
      </c>
      <c r="N395" s="9">
        <f t="shared" si="54"/>
        <v>49.999999999549999</v>
      </c>
      <c r="O395" s="526">
        <f t="shared" si="55"/>
        <v>1030424.4420409243</v>
      </c>
      <c r="P395" s="526">
        <f t="shared" si="56"/>
        <v>597710</v>
      </c>
      <c r="Q395" s="526"/>
      <c r="R395" s="526"/>
    </row>
    <row r="396" spans="1:18">
      <c r="A396" s="6">
        <v>852</v>
      </c>
      <c r="B396" s="6" t="s">
        <v>1107</v>
      </c>
      <c r="C396" s="6">
        <v>299</v>
      </c>
      <c r="D396" s="6" t="s">
        <v>1417</v>
      </c>
      <c r="E396" s="9">
        <v>113.99999999745999</v>
      </c>
      <c r="F396" s="9">
        <v>2349367.7278221059</v>
      </c>
      <c r="G396" s="9">
        <v>1149538</v>
      </c>
      <c r="I396" s="6" t="str">
        <f t="shared" si="49"/>
        <v>852299</v>
      </c>
      <c r="J396" s="6">
        <f t="shared" si="50"/>
        <v>852</v>
      </c>
      <c r="K396" s="6" t="str">
        <f t="shared" si="51"/>
        <v>Nashoba Valley</v>
      </c>
      <c r="L396" s="6">
        <f t="shared" si="52"/>
        <v>299</v>
      </c>
      <c r="M396" s="6" t="str">
        <f t="shared" si="53"/>
        <v xml:space="preserve">Townsend                     </v>
      </c>
      <c r="N396" s="9">
        <f t="shared" si="54"/>
        <v>113.99999999745999</v>
      </c>
      <c r="O396" s="526">
        <f t="shared" si="55"/>
        <v>2349367.7278221059</v>
      </c>
      <c r="P396" s="526">
        <f t="shared" si="56"/>
        <v>1149538</v>
      </c>
      <c r="Q396" s="526"/>
      <c r="R396" s="526"/>
    </row>
    <row r="397" spans="1:18">
      <c r="A397" s="6">
        <v>852</v>
      </c>
      <c r="B397" s="6" t="s">
        <v>1107</v>
      </c>
      <c r="C397" s="6">
        <v>326</v>
      </c>
      <c r="D397" s="6" t="s">
        <v>1444</v>
      </c>
      <c r="E397" s="9">
        <v>80.999999997000003</v>
      </c>
      <c r="F397" s="9">
        <v>1669287.5960594954</v>
      </c>
      <c r="G397" s="9">
        <v>1294395</v>
      </c>
      <c r="I397" s="6" t="str">
        <f t="shared" si="49"/>
        <v>852326</v>
      </c>
      <c r="J397" s="6">
        <f t="shared" si="50"/>
        <v>852</v>
      </c>
      <c r="K397" s="6" t="str">
        <f t="shared" si="51"/>
        <v>Nashoba Valley</v>
      </c>
      <c r="L397" s="6">
        <f t="shared" si="52"/>
        <v>326</v>
      </c>
      <c r="M397" s="6" t="str">
        <f t="shared" si="53"/>
        <v xml:space="preserve">Westford                     </v>
      </c>
      <c r="N397" s="9">
        <f t="shared" si="54"/>
        <v>80.999999997000003</v>
      </c>
      <c r="O397" s="526">
        <f t="shared" si="55"/>
        <v>1669287.5960594954</v>
      </c>
      <c r="P397" s="526">
        <f t="shared" si="56"/>
        <v>1294395</v>
      </c>
      <c r="Q397" s="526"/>
      <c r="R397" s="526"/>
    </row>
    <row r="398" spans="1:18">
      <c r="A398" s="6" t="s">
        <v>2437</v>
      </c>
      <c r="E398" s="9">
        <v>756.99999999243005</v>
      </c>
      <c r="F398" s="9">
        <v>15600626.052483993</v>
      </c>
      <c r="G398" s="9">
        <v>10713562</v>
      </c>
      <c r="I398" s="6" t="str">
        <f t="shared" si="49"/>
        <v>852999</v>
      </c>
      <c r="J398" s="6">
        <f t="shared" si="50"/>
        <v>852</v>
      </c>
      <c r="K398" s="6">
        <f t="shared" si="51"/>
        <v>0</v>
      </c>
      <c r="L398" s="6">
        <f t="shared" si="52"/>
        <v>0</v>
      </c>
      <c r="M398" s="6">
        <f t="shared" si="53"/>
        <v>0</v>
      </c>
      <c r="N398" s="9">
        <f t="shared" si="54"/>
        <v>756.99999999243005</v>
      </c>
      <c r="O398" s="526">
        <f t="shared" si="55"/>
        <v>15600626.052483993</v>
      </c>
      <c r="P398" s="526">
        <f t="shared" si="56"/>
        <v>10713562</v>
      </c>
      <c r="Q398" s="526">
        <f>VLOOKUP($J398,aidcalc,25,FALSE)</f>
        <v>4887064</v>
      </c>
      <c r="R398" s="526">
        <f>VLOOKUP($J398,aidcalc,27,FALSE)</f>
        <v>15600626</v>
      </c>
    </row>
    <row r="399" spans="1:18">
      <c r="A399" s="6">
        <v>853</v>
      </c>
      <c r="B399" s="6" t="s">
        <v>1108</v>
      </c>
      <c r="C399" s="6">
        <v>57</v>
      </c>
      <c r="D399" s="6" t="s">
        <v>1176</v>
      </c>
      <c r="E399" s="9">
        <v>252.00000000599999</v>
      </c>
      <c r="F399" s="9">
        <v>5984947.2699612621</v>
      </c>
      <c r="G399" s="9">
        <v>966514</v>
      </c>
      <c r="I399" s="6" t="str">
        <f t="shared" si="49"/>
        <v>853057</v>
      </c>
      <c r="J399" s="6">
        <f t="shared" si="50"/>
        <v>853</v>
      </c>
      <c r="K399" s="6" t="str">
        <f t="shared" si="51"/>
        <v>Northeast Metropolitan</v>
      </c>
      <c r="L399" s="6">
        <f t="shared" si="52"/>
        <v>57</v>
      </c>
      <c r="M399" s="6" t="str">
        <f t="shared" si="53"/>
        <v xml:space="preserve">Chelsea                      </v>
      </c>
      <c r="N399" s="9">
        <f t="shared" si="54"/>
        <v>252.00000000599999</v>
      </c>
      <c r="O399" s="526">
        <f t="shared" si="55"/>
        <v>5984947.2699612621</v>
      </c>
      <c r="P399" s="526">
        <f t="shared" si="56"/>
        <v>966514</v>
      </c>
      <c r="Q399" s="526"/>
      <c r="R399" s="526"/>
    </row>
    <row r="400" spans="1:18">
      <c r="A400" s="6">
        <v>853</v>
      </c>
      <c r="B400" s="6" t="s">
        <v>1108</v>
      </c>
      <c r="C400" s="6">
        <v>165</v>
      </c>
      <c r="D400" s="6" t="s">
        <v>1283</v>
      </c>
      <c r="E400" s="9">
        <v>179.00000000170002</v>
      </c>
      <c r="F400" s="9">
        <v>4251212.544871957</v>
      </c>
      <c r="G400" s="9">
        <v>2016577</v>
      </c>
      <c r="I400" s="6" t="str">
        <f t="shared" si="49"/>
        <v>853165</v>
      </c>
      <c r="J400" s="6">
        <f t="shared" si="50"/>
        <v>853</v>
      </c>
      <c r="K400" s="6" t="str">
        <f t="shared" si="51"/>
        <v>Northeast Metropolitan</v>
      </c>
      <c r="L400" s="6">
        <f t="shared" si="52"/>
        <v>165</v>
      </c>
      <c r="M400" s="6" t="str">
        <f t="shared" si="53"/>
        <v xml:space="preserve">Malden                       </v>
      </c>
      <c r="N400" s="9">
        <f t="shared" si="54"/>
        <v>179.00000000170002</v>
      </c>
      <c r="O400" s="526">
        <f t="shared" si="55"/>
        <v>4251212.544871957</v>
      </c>
      <c r="P400" s="526">
        <f t="shared" si="56"/>
        <v>2016577</v>
      </c>
      <c r="Q400" s="526"/>
      <c r="R400" s="526"/>
    </row>
    <row r="401" spans="1:18">
      <c r="A401" s="6">
        <v>853</v>
      </c>
      <c r="B401" s="6" t="s">
        <v>1108</v>
      </c>
      <c r="C401" s="6">
        <v>178</v>
      </c>
      <c r="D401" s="6" t="s">
        <v>1296</v>
      </c>
      <c r="E401" s="9">
        <v>71.999999995950006</v>
      </c>
      <c r="F401" s="9">
        <v>1709984.9341377458</v>
      </c>
      <c r="G401" s="9">
        <v>1312445</v>
      </c>
      <c r="I401" s="6" t="str">
        <f t="shared" si="49"/>
        <v>853178</v>
      </c>
      <c r="J401" s="6">
        <f t="shared" si="50"/>
        <v>853</v>
      </c>
      <c r="K401" s="6" t="str">
        <f t="shared" si="51"/>
        <v>Northeast Metropolitan</v>
      </c>
      <c r="L401" s="6">
        <f t="shared" si="52"/>
        <v>178</v>
      </c>
      <c r="M401" s="6" t="str">
        <f t="shared" si="53"/>
        <v xml:space="preserve">Melrose                      </v>
      </c>
      <c r="N401" s="9">
        <f t="shared" si="54"/>
        <v>71.999999995950006</v>
      </c>
      <c r="O401" s="526">
        <f t="shared" si="55"/>
        <v>1709984.9341377458</v>
      </c>
      <c r="P401" s="526">
        <f t="shared" si="56"/>
        <v>1312445</v>
      </c>
      <c r="Q401" s="526"/>
      <c r="R401" s="526"/>
    </row>
    <row r="402" spans="1:18">
      <c r="A402" s="6">
        <v>853</v>
      </c>
      <c r="B402" s="6" t="s">
        <v>1108</v>
      </c>
      <c r="C402" s="6">
        <v>217</v>
      </c>
      <c r="D402" s="6" t="s">
        <v>1335</v>
      </c>
      <c r="E402" s="9">
        <v>39.999999997750002</v>
      </c>
      <c r="F402" s="9">
        <v>949991.6300765255</v>
      </c>
      <c r="G402" s="9">
        <v>769819</v>
      </c>
      <c r="I402" s="6" t="str">
        <f t="shared" si="49"/>
        <v>853217</v>
      </c>
      <c r="J402" s="6">
        <f t="shared" si="50"/>
        <v>853</v>
      </c>
      <c r="K402" s="6" t="str">
        <f t="shared" si="51"/>
        <v>Northeast Metropolitan</v>
      </c>
      <c r="L402" s="6">
        <f t="shared" si="52"/>
        <v>217</v>
      </c>
      <c r="M402" s="6" t="str">
        <f t="shared" si="53"/>
        <v xml:space="preserve">North Reading                </v>
      </c>
      <c r="N402" s="9">
        <f t="shared" si="54"/>
        <v>39.999999997750002</v>
      </c>
      <c r="O402" s="526">
        <f t="shared" si="55"/>
        <v>949991.6300765255</v>
      </c>
      <c r="P402" s="526">
        <f t="shared" si="56"/>
        <v>769819</v>
      </c>
      <c r="Q402" s="526"/>
      <c r="R402" s="526"/>
    </row>
    <row r="403" spans="1:18">
      <c r="A403" s="6">
        <v>853</v>
      </c>
      <c r="B403" s="6" t="s">
        <v>1108</v>
      </c>
      <c r="C403" s="6">
        <v>246</v>
      </c>
      <c r="D403" s="6" t="s">
        <v>1364</v>
      </c>
      <c r="E403" s="9">
        <v>36.000000004699999</v>
      </c>
      <c r="F403" s="9">
        <v>854992.46722859028</v>
      </c>
      <c r="G403" s="9">
        <v>705369</v>
      </c>
      <c r="I403" s="6" t="str">
        <f t="shared" si="49"/>
        <v>853246</v>
      </c>
      <c r="J403" s="6">
        <f t="shared" si="50"/>
        <v>853</v>
      </c>
      <c r="K403" s="6" t="str">
        <f t="shared" si="51"/>
        <v>Northeast Metropolitan</v>
      </c>
      <c r="L403" s="6">
        <f t="shared" si="52"/>
        <v>246</v>
      </c>
      <c r="M403" s="6" t="str">
        <f t="shared" si="53"/>
        <v xml:space="preserve">Reading                      </v>
      </c>
      <c r="N403" s="9">
        <f t="shared" si="54"/>
        <v>36.000000004699999</v>
      </c>
      <c r="O403" s="526">
        <f t="shared" si="55"/>
        <v>854992.46722859028</v>
      </c>
      <c r="P403" s="526">
        <f t="shared" si="56"/>
        <v>705369</v>
      </c>
      <c r="Q403" s="526"/>
      <c r="R403" s="526"/>
    </row>
    <row r="404" spans="1:18">
      <c r="A404" s="6">
        <v>853</v>
      </c>
      <c r="B404" s="6" t="s">
        <v>1108</v>
      </c>
      <c r="C404" s="6">
        <v>248</v>
      </c>
      <c r="D404" s="6" t="s">
        <v>1366</v>
      </c>
      <c r="E404" s="9">
        <v>276.00000000465002</v>
      </c>
      <c r="F404" s="9">
        <v>6554942.2480071774</v>
      </c>
      <c r="G404" s="9">
        <v>2110342</v>
      </c>
      <c r="I404" s="6" t="str">
        <f t="shared" si="49"/>
        <v>853248</v>
      </c>
      <c r="J404" s="6">
        <f t="shared" si="50"/>
        <v>853</v>
      </c>
      <c r="K404" s="6" t="str">
        <f t="shared" si="51"/>
        <v>Northeast Metropolitan</v>
      </c>
      <c r="L404" s="6">
        <f t="shared" si="52"/>
        <v>248</v>
      </c>
      <c r="M404" s="6" t="str">
        <f t="shared" si="53"/>
        <v xml:space="preserve">Revere                       </v>
      </c>
      <c r="N404" s="9">
        <f t="shared" si="54"/>
        <v>276.00000000465002</v>
      </c>
      <c r="O404" s="526">
        <f t="shared" si="55"/>
        <v>6554942.2480071774</v>
      </c>
      <c r="P404" s="526">
        <f t="shared" si="56"/>
        <v>2110342</v>
      </c>
      <c r="Q404" s="526"/>
      <c r="R404" s="526"/>
    </row>
    <row r="405" spans="1:18">
      <c r="A405" s="6">
        <v>853</v>
      </c>
      <c r="B405" s="6" t="s">
        <v>1108</v>
      </c>
      <c r="C405" s="6">
        <v>262</v>
      </c>
      <c r="D405" s="6" t="s">
        <v>1380</v>
      </c>
      <c r="E405" s="9">
        <v>126.000000003</v>
      </c>
      <c r="F405" s="9">
        <v>2992473.6349806311</v>
      </c>
      <c r="G405" s="9">
        <v>2083754</v>
      </c>
      <c r="I405" s="6" t="str">
        <f t="shared" si="49"/>
        <v>853262</v>
      </c>
      <c r="J405" s="6">
        <f t="shared" si="50"/>
        <v>853</v>
      </c>
      <c r="K405" s="6" t="str">
        <f t="shared" si="51"/>
        <v>Northeast Metropolitan</v>
      </c>
      <c r="L405" s="6">
        <f t="shared" si="52"/>
        <v>262</v>
      </c>
      <c r="M405" s="6" t="str">
        <f t="shared" si="53"/>
        <v xml:space="preserve">Saugus                       </v>
      </c>
      <c r="N405" s="9">
        <f t="shared" si="54"/>
        <v>126.000000003</v>
      </c>
      <c r="O405" s="526">
        <f t="shared" si="55"/>
        <v>2992473.6349806311</v>
      </c>
      <c r="P405" s="526">
        <f t="shared" si="56"/>
        <v>2083754</v>
      </c>
      <c r="Q405" s="526"/>
      <c r="R405" s="526"/>
    </row>
    <row r="406" spans="1:18">
      <c r="A406" s="6">
        <v>853</v>
      </c>
      <c r="B406" s="6" t="s">
        <v>1108</v>
      </c>
      <c r="C406" s="6">
        <v>284</v>
      </c>
      <c r="D406" s="6" t="s">
        <v>1402</v>
      </c>
      <c r="E406" s="9">
        <v>71.999999995950006</v>
      </c>
      <c r="F406" s="9">
        <v>1709984.9341377458</v>
      </c>
      <c r="G406" s="9">
        <v>1343400</v>
      </c>
      <c r="I406" s="6" t="str">
        <f t="shared" si="49"/>
        <v>853284</v>
      </c>
      <c r="J406" s="6">
        <f t="shared" si="50"/>
        <v>853</v>
      </c>
      <c r="K406" s="6" t="str">
        <f t="shared" si="51"/>
        <v>Northeast Metropolitan</v>
      </c>
      <c r="L406" s="6">
        <f t="shared" si="52"/>
        <v>284</v>
      </c>
      <c r="M406" s="6" t="str">
        <f t="shared" si="53"/>
        <v xml:space="preserve">Stoneham                     </v>
      </c>
      <c r="N406" s="9">
        <f t="shared" si="54"/>
        <v>71.999999995950006</v>
      </c>
      <c r="O406" s="526">
        <f t="shared" si="55"/>
        <v>1709984.9341377458</v>
      </c>
      <c r="P406" s="526">
        <f t="shared" si="56"/>
        <v>1343400</v>
      </c>
      <c r="Q406" s="526"/>
      <c r="R406" s="526"/>
    </row>
    <row r="407" spans="1:18">
      <c r="A407" s="6">
        <v>853</v>
      </c>
      <c r="B407" s="6" t="s">
        <v>1108</v>
      </c>
      <c r="C407" s="6">
        <v>305</v>
      </c>
      <c r="D407" s="6" t="s">
        <v>1423</v>
      </c>
      <c r="E407" s="9">
        <v>100.999999996</v>
      </c>
      <c r="F407" s="9">
        <v>2398728.865983156</v>
      </c>
      <c r="G407" s="9">
        <v>1941522</v>
      </c>
      <c r="I407" s="6" t="str">
        <f t="shared" si="49"/>
        <v>853305</v>
      </c>
      <c r="J407" s="6">
        <f t="shared" si="50"/>
        <v>853</v>
      </c>
      <c r="K407" s="6" t="str">
        <f t="shared" si="51"/>
        <v>Northeast Metropolitan</v>
      </c>
      <c r="L407" s="6">
        <f t="shared" si="52"/>
        <v>305</v>
      </c>
      <c r="M407" s="6" t="str">
        <f t="shared" si="53"/>
        <v xml:space="preserve">Wakefield                    </v>
      </c>
      <c r="N407" s="9">
        <f t="shared" si="54"/>
        <v>100.999999996</v>
      </c>
      <c r="O407" s="526">
        <f t="shared" si="55"/>
        <v>2398728.865983156</v>
      </c>
      <c r="P407" s="526">
        <f t="shared" si="56"/>
        <v>1941522</v>
      </c>
      <c r="Q407" s="526"/>
      <c r="R407" s="526"/>
    </row>
    <row r="408" spans="1:18">
      <c r="A408" s="6">
        <v>853</v>
      </c>
      <c r="B408" s="6" t="s">
        <v>1108</v>
      </c>
      <c r="C408" s="6">
        <v>344</v>
      </c>
      <c r="D408" s="6" t="s">
        <v>1462</v>
      </c>
      <c r="E408" s="9">
        <v>5.9999999962999997</v>
      </c>
      <c r="F408" s="9">
        <v>142498.74443162014</v>
      </c>
      <c r="G408" s="9">
        <v>117561</v>
      </c>
      <c r="I408" s="6" t="str">
        <f t="shared" si="49"/>
        <v>853344</v>
      </c>
      <c r="J408" s="6">
        <f t="shared" si="50"/>
        <v>853</v>
      </c>
      <c r="K408" s="6" t="str">
        <f t="shared" si="51"/>
        <v>Northeast Metropolitan</v>
      </c>
      <c r="L408" s="6">
        <f t="shared" si="52"/>
        <v>344</v>
      </c>
      <c r="M408" s="6" t="str">
        <f t="shared" si="53"/>
        <v xml:space="preserve">Winchester                   </v>
      </c>
      <c r="N408" s="9">
        <f t="shared" si="54"/>
        <v>5.9999999962999997</v>
      </c>
      <c r="O408" s="526">
        <f t="shared" si="55"/>
        <v>142498.74443162014</v>
      </c>
      <c r="P408" s="526">
        <f t="shared" si="56"/>
        <v>117561</v>
      </c>
      <c r="Q408" s="526"/>
      <c r="R408" s="526"/>
    </row>
    <row r="409" spans="1:18">
      <c r="A409" s="6">
        <v>853</v>
      </c>
      <c r="B409" s="6" t="s">
        <v>1108</v>
      </c>
      <c r="C409" s="6">
        <v>346</v>
      </c>
      <c r="D409" s="6" t="s">
        <v>1464</v>
      </c>
      <c r="E409" s="9">
        <v>62.000000006600004</v>
      </c>
      <c r="F409" s="9">
        <v>1472487.0268581905</v>
      </c>
      <c r="G409" s="9">
        <v>980650</v>
      </c>
      <c r="I409" s="6" t="str">
        <f t="shared" si="49"/>
        <v>853346</v>
      </c>
      <c r="J409" s="6">
        <f t="shared" si="50"/>
        <v>853</v>
      </c>
      <c r="K409" s="6" t="str">
        <f t="shared" si="51"/>
        <v>Northeast Metropolitan</v>
      </c>
      <c r="L409" s="6">
        <f t="shared" si="52"/>
        <v>346</v>
      </c>
      <c r="M409" s="6" t="str">
        <f t="shared" si="53"/>
        <v xml:space="preserve">Winthrop                     </v>
      </c>
      <c r="N409" s="9">
        <f t="shared" si="54"/>
        <v>62.000000006600004</v>
      </c>
      <c r="O409" s="526">
        <f t="shared" si="55"/>
        <v>1472487.0268581905</v>
      </c>
      <c r="P409" s="526">
        <f t="shared" si="56"/>
        <v>980650</v>
      </c>
      <c r="Q409" s="526"/>
      <c r="R409" s="526"/>
    </row>
    <row r="410" spans="1:18">
      <c r="A410" s="6">
        <v>853</v>
      </c>
      <c r="B410" s="6" t="s">
        <v>1108</v>
      </c>
      <c r="C410" s="6">
        <v>347</v>
      </c>
      <c r="D410" s="6" t="s">
        <v>1028</v>
      </c>
      <c r="E410" s="9">
        <v>123.00000000485001</v>
      </c>
      <c r="F410" s="9">
        <v>2921224.2627648213</v>
      </c>
      <c r="G410" s="9">
        <v>2312833</v>
      </c>
      <c r="I410" s="6" t="str">
        <f t="shared" si="49"/>
        <v>853347</v>
      </c>
      <c r="J410" s="6">
        <f t="shared" si="50"/>
        <v>853</v>
      </c>
      <c r="K410" s="6" t="str">
        <f t="shared" si="51"/>
        <v>Northeast Metropolitan</v>
      </c>
      <c r="L410" s="6">
        <f t="shared" si="52"/>
        <v>347</v>
      </c>
      <c r="M410" s="6" t="str">
        <f t="shared" si="53"/>
        <v>Woburn</v>
      </c>
      <c r="N410" s="9">
        <f t="shared" si="54"/>
        <v>123.00000000485001</v>
      </c>
      <c r="O410" s="526">
        <f t="shared" si="55"/>
        <v>2921224.2627648213</v>
      </c>
      <c r="P410" s="526">
        <f t="shared" si="56"/>
        <v>2312833</v>
      </c>
      <c r="Q410" s="526"/>
      <c r="R410" s="526"/>
    </row>
    <row r="411" spans="1:18">
      <c r="A411" s="6" t="s">
        <v>2438</v>
      </c>
      <c r="E411" s="9">
        <v>1345.0000000134501</v>
      </c>
      <c r="F411" s="9">
        <v>31943468.563439425</v>
      </c>
      <c r="G411" s="9">
        <v>16660786</v>
      </c>
      <c r="I411" s="6" t="str">
        <f t="shared" si="49"/>
        <v>853999</v>
      </c>
      <c r="J411" s="6">
        <f t="shared" si="50"/>
        <v>853</v>
      </c>
      <c r="K411" s="6">
        <f t="shared" si="51"/>
        <v>0</v>
      </c>
      <c r="L411" s="6">
        <f t="shared" si="52"/>
        <v>0</v>
      </c>
      <c r="M411" s="6">
        <f t="shared" si="53"/>
        <v>0</v>
      </c>
      <c r="N411" s="9">
        <f t="shared" si="54"/>
        <v>1345.0000000134501</v>
      </c>
      <c r="O411" s="526">
        <f t="shared" si="55"/>
        <v>31943468.563439425</v>
      </c>
      <c r="P411" s="526">
        <f t="shared" si="56"/>
        <v>16660786</v>
      </c>
      <c r="Q411" s="526">
        <f>VLOOKUP($J411,aidcalc,25,FALSE)</f>
        <v>15282683</v>
      </c>
      <c r="R411" s="526">
        <f>VLOOKUP($J411,aidcalc,27,FALSE)</f>
        <v>31943469</v>
      </c>
    </row>
    <row r="412" spans="1:18">
      <c r="A412" s="6">
        <v>855</v>
      </c>
      <c r="B412" s="6" t="s">
        <v>1109</v>
      </c>
      <c r="C412" s="6">
        <v>3</v>
      </c>
      <c r="D412" s="6" t="s">
        <v>1122</v>
      </c>
      <c r="E412" s="9">
        <v>189.99999999847998</v>
      </c>
      <c r="F412" s="9">
        <v>3747380.4963533846</v>
      </c>
      <c r="G412" s="9">
        <v>2123499</v>
      </c>
      <c r="I412" s="6" t="str">
        <f t="shared" si="49"/>
        <v>855003</v>
      </c>
      <c r="J412" s="6">
        <f t="shared" si="50"/>
        <v>855</v>
      </c>
      <c r="K412" s="6" t="str">
        <f t="shared" si="51"/>
        <v>Old Colony</v>
      </c>
      <c r="L412" s="6">
        <f t="shared" si="52"/>
        <v>3</v>
      </c>
      <c r="M412" s="6" t="str">
        <f t="shared" si="53"/>
        <v xml:space="preserve">Acushnet                     </v>
      </c>
      <c r="N412" s="9">
        <f t="shared" si="54"/>
        <v>189.99999999847998</v>
      </c>
      <c r="O412" s="526">
        <f t="shared" si="55"/>
        <v>3747380.4963533846</v>
      </c>
      <c r="P412" s="526">
        <f t="shared" si="56"/>
        <v>2123499</v>
      </c>
      <c r="Q412" s="526"/>
      <c r="R412" s="526"/>
    </row>
    <row r="413" spans="1:18">
      <c r="A413" s="6">
        <v>855</v>
      </c>
      <c r="B413" s="6" t="s">
        <v>1109</v>
      </c>
      <c r="C413" s="6">
        <v>52</v>
      </c>
      <c r="D413" s="6" t="s">
        <v>1171</v>
      </c>
      <c r="E413" s="9">
        <v>77.999999998269999</v>
      </c>
      <c r="F413" s="9">
        <v>1538398.3090074707</v>
      </c>
      <c r="G413" s="9">
        <v>837845</v>
      </c>
      <c r="I413" s="6" t="str">
        <f t="shared" si="49"/>
        <v>855052</v>
      </c>
      <c r="J413" s="6">
        <f t="shared" si="50"/>
        <v>855</v>
      </c>
      <c r="K413" s="6" t="str">
        <f t="shared" si="51"/>
        <v>Old Colony</v>
      </c>
      <c r="L413" s="6">
        <f t="shared" si="52"/>
        <v>52</v>
      </c>
      <c r="M413" s="6" t="str">
        <f t="shared" si="53"/>
        <v xml:space="preserve">Carver                       </v>
      </c>
      <c r="N413" s="9">
        <f t="shared" si="54"/>
        <v>77.999999998269999</v>
      </c>
      <c r="O413" s="526">
        <f t="shared" si="55"/>
        <v>1538398.3090074707</v>
      </c>
      <c r="P413" s="526">
        <f t="shared" si="56"/>
        <v>837845</v>
      </c>
      <c r="Q413" s="526"/>
      <c r="R413" s="526"/>
    </row>
    <row r="414" spans="1:18">
      <c r="A414" s="6">
        <v>855</v>
      </c>
      <c r="B414" s="6" t="s">
        <v>1109</v>
      </c>
      <c r="C414" s="6">
        <v>146</v>
      </c>
      <c r="D414" s="6" t="s">
        <v>1264</v>
      </c>
      <c r="E414" s="9">
        <v>151.99999999988998</v>
      </c>
      <c r="F414" s="9">
        <v>2997904.3971045213</v>
      </c>
      <c r="G414" s="9">
        <v>2055263</v>
      </c>
      <c r="I414" s="6" t="str">
        <f t="shared" si="49"/>
        <v>855146</v>
      </c>
      <c r="J414" s="6">
        <f t="shared" si="50"/>
        <v>855</v>
      </c>
      <c r="K414" s="6" t="str">
        <f t="shared" si="51"/>
        <v>Old Colony</v>
      </c>
      <c r="L414" s="6">
        <f t="shared" si="52"/>
        <v>146</v>
      </c>
      <c r="M414" s="6" t="str">
        <f t="shared" si="53"/>
        <v xml:space="preserve">Lakeville                    </v>
      </c>
      <c r="N414" s="9">
        <f t="shared" si="54"/>
        <v>151.99999999988998</v>
      </c>
      <c r="O414" s="526">
        <f t="shared" si="55"/>
        <v>2997904.3971045213</v>
      </c>
      <c r="P414" s="526">
        <f t="shared" si="56"/>
        <v>2055263</v>
      </c>
      <c r="Q414" s="526"/>
      <c r="R414" s="526"/>
    </row>
    <row r="415" spans="1:18">
      <c r="A415" s="6">
        <v>855</v>
      </c>
      <c r="B415" s="6" t="s">
        <v>1109</v>
      </c>
      <c r="C415" s="6">
        <v>173</v>
      </c>
      <c r="D415" s="6" t="s">
        <v>1291</v>
      </c>
      <c r="E415" s="9">
        <v>34.999999999720004</v>
      </c>
      <c r="F415" s="9">
        <v>690306.93353878136</v>
      </c>
      <c r="G415" s="9">
        <v>569503</v>
      </c>
      <c r="I415" s="6" t="str">
        <f t="shared" si="49"/>
        <v>855173</v>
      </c>
      <c r="J415" s="6">
        <f t="shared" si="50"/>
        <v>855</v>
      </c>
      <c r="K415" s="6" t="str">
        <f t="shared" si="51"/>
        <v>Old Colony</v>
      </c>
      <c r="L415" s="6">
        <f t="shared" si="52"/>
        <v>173</v>
      </c>
      <c r="M415" s="6" t="str">
        <f t="shared" si="53"/>
        <v xml:space="preserve">Mattapoisett                 </v>
      </c>
      <c r="N415" s="9">
        <f t="shared" si="54"/>
        <v>34.999999999720004</v>
      </c>
      <c r="O415" s="526">
        <f t="shared" si="55"/>
        <v>690306.93353878136</v>
      </c>
      <c r="P415" s="526">
        <f t="shared" si="56"/>
        <v>569503</v>
      </c>
      <c r="Q415" s="526"/>
      <c r="R415" s="526"/>
    </row>
    <row r="416" spans="1:18">
      <c r="A416" s="6">
        <v>855</v>
      </c>
      <c r="B416" s="6" t="s">
        <v>1109</v>
      </c>
      <c r="C416" s="6">
        <v>250</v>
      </c>
      <c r="D416" s="6" t="s">
        <v>1368</v>
      </c>
      <c r="E416" s="9">
        <v>97.999999998110013</v>
      </c>
      <c r="F416" s="9">
        <v>1932859.4138867743</v>
      </c>
      <c r="G416" s="9">
        <v>1278211</v>
      </c>
      <c r="I416" s="6" t="str">
        <f t="shared" si="49"/>
        <v>855250</v>
      </c>
      <c r="J416" s="6">
        <f t="shared" si="50"/>
        <v>855</v>
      </c>
      <c r="K416" s="6" t="str">
        <f t="shared" si="51"/>
        <v>Old Colony</v>
      </c>
      <c r="L416" s="6">
        <f t="shared" si="52"/>
        <v>250</v>
      </c>
      <c r="M416" s="6" t="str">
        <f t="shared" si="53"/>
        <v xml:space="preserve">Rochester                    </v>
      </c>
      <c r="N416" s="9">
        <f t="shared" si="54"/>
        <v>97.999999998110013</v>
      </c>
      <c r="O416" s="526">
        <f t="shared" si="55"/>
        <v>1932859.4138867743</v>
      </c>
      <c r="P416" s="526">
        <f t="shared" si="56"/>
        <v>1278211</v>
      </c>
      <c r="Q416" s="526"/>
      <c r="R416" s="526"/>
    </row>
    <row r="417" spans="1:18">
      <c r="A417" s="6" t="s">
        <v>2439</v>
      </c>
      <c r="E417" s="9">
        <v>552.99999999447004</v>
      </c>
      <c r="F417" s="9">
        <v>10906849.549890932</v>
      </c>
      <c r="G417" s="9">
        <v>6864321</v>
      </c>
      <c r="I417" s="6" t="str">
        <f t="shared" si="49"/>
        <v>855999</v>
      </c>
      <c r="J417" s="6">
        <f t="shared" si="50"/>
        <v>855</v>
      </c>
      <c r="K417" s="6">
        <f t="shared" si="51"/>
        <v>0</v>
      </c>
      <c r="L417" s="6">
        <f t="shared" si="52"/>
        <v>0</v>
      </c>
      <c r="M417" s="6">
        <f t="shared" si="53"/>
        <v>0</v>
      </c>
      <c r="N417" s="9">
        <f t="shared" si="54"/>
        <v>552.99999999447004</v>
      </c>
      <c r="O417" s="526">
        <f t="shared" si="55"/>
        <v>10906849.549890932</v>
      </c>
      <c r="P417" s="526">
        <f t="shared" si="56"/>
        <v>6864321</v>
      </c>
      <c r="Q417" s="526">
        <f>VLOOKUP($J417,aidcalc,25,FALSE)</f>
        <v>4229114.9999994244</v>
      </c>
      <c r="R417" s="526">
        <f>VLOOKUP($J417,aidcalc,27,FALSE)</f>
        <v>11093435.999999424</v>
      </c>
    </row>
    <row r="418" spans="1:18">
      <c r="A418" s="6">
        <v>860</v>
      </c>
      <c r="B418" s="6" t="s">
        <v>1110</v>
      </c>
      <c r="C418" s="6">
        <v>24</v>
      </c>
      <c r="D418" s="6" t="s">
        <v>1143</v>
      </c>
      <c r="E418" s="9">
        <v>116.00000000295</v>
      </c>
      <c r="F418" s="9">
        <v>2527599.3125522411</v>
      </c>
      <c r="G418" s="9">
        <v>1291182</v>
      </c>
      <c r="I418" s="6" t="str">
        <f t="shared" si="49"/>
        <v>860024</v>
      </c>
      <c r="J418" s="6">
        <f t="shared" si="50"/>
        <v>860</v>
      </c>
      <c r="K418" s="6" t="str">
        <f t="shared" si="51"/>
        <v>Pathfinder</v>
      </c>
      <c r="L418" s="6">
        <f t="shared" si="52"/>
        <v>24</v>
      </c>
      <c r="M418" s="6" t="str">
        <f t="shared" si="53"/>
        <v xml:space="preserve">Belchertown                  </v>
      </c>
      <c r="N418" s="9">
        <f t="shared" si="54"/>
        <v>116.00000000295</v>
      </c>
      <c r="O418" s="526">
        <f t="shared" si="55"/>
        <v>2527599.3125522411</v>
      </c>
      <c r="P418" s="526">
        <f t="shared" si="56"/>
        <v>1291182</v>
      </c>
      <c r="Q418" s="526"/>
      <c r="R418" s="526"/>
    </row>
    <row r="419" spans="1:18">
      <c r="A419" s="6">
        <v>860</v>
      </c>
      <c r="B419" s="6" t="s">
        <v>1110</v>
      </c>
      <c r="C419" s="6">
        <v>111</v>
      </c>
      <c r="D419" s="6" t="s">
        <v>1229</v>
      </c>
      <c r="E419" s="9">
        <v>19.000000002900002</v>
      </c>
      <c r="F419" s="9">
        <v>414003.33572932164</v>
      </c>
      <c r="G419" s="9">
        <v>253615</v>
      </c>
      <c r="I419" s="6" t="str">
        <f t="shared" si="49"/>
        <v>860111</v>
      </c>
      <c r="J419" s="6">
        <f t="shared" si="50"/>
        <v>860</v>
      </c>
      <c r="K419" s="6" t="str">
        <f t="shared" si="51"/>
        <v>Pathfinder</v>
      </c>
      <c r="L419" s="6">
        <f t="shared" si="52"/>
        <v>111</v>
      </c>
      <c r="M419" s="6" t="str">
        <f t="shared" si="53"/>
        <v xml:space="preserve">Granby                       </v>
      </c>
      <c r="N419" s="9">
        <f t="shared" si="54"/>
        <v>19.000000002900002</v>
      </c>
      <c r="O419" s="526">
        <f t="shared" si="55"/>
        <v>414003.33572932164</v>
      </c>
      <c r="P419" s="526">
        <f t="shared" si="56"/>
        <v>253615</v>
      </c>
      <c r="Q419" s="526"/>
      <c r="R419" s="526"/>
    </row>
    <row r="420" spans="1:18">
      <c r="A420" s="6">
        <v>860</v>
      </c>
      <c r="B420" s="6" t="s">
        <v>1110</v>
      </c>
      <c r="C420" s="6">
        <v>124</v>
      </c>
      <c r="D420" s="6" t="s">
        <v>1242</v>
      </c>
      <c r="E420" s="9">
        <v>24.999999996930001</v>
      </c>
      <c r="F420" s="9">
        <v>544741.23107275274</v>
      </c>
      <c r="G420" s="9">
        <v>215787</v>
      </c>
      <c r="I420" s="6" t="str">
        <f t="shared" si="49"/>
        <v>860124</v>
      </c>
      <c r="J420" s="6">
        <f t="shared" si="50"/>
        <v>860</v>
      </c>
      <c r="K420" s="6" t="str">
        <f t="shared" si="51"/>
        <v>Pathfinder</v>
      </c>
      <c r="L420" s="6">
        <f t="shared" si="52"/>
        <v>124</v>
      </c>
      <c r="M420" s="6" t="str">
        <f t="shared" si="53"/>
        <v xml:space="preserve">Hardwick                     </v>
      </c>
      <c r="N420" s="9">
        <f t="shared" si="54"/>
        <v>24.999999996930001</v>
      </c>
      <c r="O420" s="526">
        <f t="shared" si="55"/>
        <v>544741.23107275274</v>
      </c>
      <c r="P420" s="526">
        <f t="shared" si="56"/>
        <v>215787</v>
      </c>
      <c r="Q420" s="526"/>
      <c r="R420" s="526"/>
    </row>
    <row r="421" spans="1:18">
      <c r="A421" s="6">
        <v>860</v>
      </c>
      <c r="B421" s="6" t="s">
        <v>1110</v>
      </c>
      <c r="C421" s="6">
        <v>191</v>
      </c>
      <c r="D421" s="6" t="s">
        <v>1309</v>
      </c>
      <c r="E421" s="9">
        <v>92.999999997800003</v>
      </c>
      <c r="F421" s="9">
        <v>2026437.3797915494</v>
      </c>
      <c r="G421" s="9">
        <v>1129707</v>
      </c>
      <c r="I421" s="6" t="str">
        <f t="shared" si="49"/>
        <v>860191</v>
      </c>
      <c r="J421" s="6">
        <f t="shared" si="50"/>
        <v>860</v>
      </c>
      <c r="K421" s="6" t="str">
        <f t="shared" si="51"/>
        <v>Pathfinder</v>
      </c>
      <c r="L421" s="6">
        <f t="shared" si="52"/>
        <v>191</v>
      </c>
      <c r="M421" s="6" t="str">
        <f t="shared" si="53"/>
        <v xml:space="preserve">Monson                       </v>
      </c>
      <c r="N421" s="9">
        <f t="shared" si="54"/>
        <v>92.999999997800003</v>
      </c>
      <c r="O421" s="526">
        <f t="shared" si="55"/>
        <v>2026437.3797915494</v>
      </c>
      <c r="P421" s="526">
        <f t="shared" si="56"/>
        <v>1129707</v>
      </c>
      <c r="Q421" s="526"/>
      <c r="R421" s="526"/>
    </row>
    <row r="422" spans="1:18">
      <c r="A422" s="6">
        <v>860</v>
      </c>
      <c r="B422" s="6" t="s">
        <v>1110</v>
      </c>
      <c r="C422" s="6">
        <v>202</v>
      </c>
      <c r="D422" s="6" t="s">
        <v>1320</v>
      </c>
      <c r="E422" s="9">
        <v>10.000000002510001</v>
      </c>
      <c r="F422" s="9">
        <v>217896.4925105508</v>
      </c>
      <c r="G422" s="9">
        <v>143649</v>
      </c>
      <c r="I422" s="6" t="str">
        <f t="shared" si="49"/>
        <v>860202</v>
      </c>
      <c r="J422" s="6">
        <f t="shared" si="50"/>
        <v>860</v>
      </c>
      <c r="K422" s="6" t="str">
        <f t="shared" si="51"/>
        <v>Pathfinder</v>
      </c>
      <c r="L422" s="6">
        <f t="shared" si="52"/>
        <v>202</v>
      </c>
      <c r="M422" s="6" t="str">
        <f t="shared" si="53"/>
        <v xml:space="preserve">New Braintree                </v>
      </c>
      <c r="N422" s="9">
        <f t="shared" si="54"/>
        <v>10.000000002510001</v>
      </c>
      <c r="O422" s="526">
        <f t="shared" si="55"/>
        <v>217896.4925105508</v>
      </c>
      <c r="P422" s="526">
        <f t="shared" si="56"/>
        <v>143649</v>
      </c>
      <c r="Q422" s="526"/>
      <c r="R422" s="526"/>
    </row>
    <row r="423" spans="1:18">
      <c r="A423" s="6">
        <v>860</v>
      </c>
      <c r="B423" s="6" t="s">
        <v>1110</v>
      </c>
      <c r="C423" s="6">
        <v>222</v>
      </c>
      <c r="D423" s="6" t="s">
        <v>1340</v>
      </c>
      <c r="E423" s="9">
        <v>13.999999998530001</v>
      </c>
      <c r="F423" s="9">
        <v>305055.08940617146</v>
      </c>
      <c r="G423" s="9">
        <v>168066</v>
      </c>
      <c r="I423" s="6" t="str">
        <f t="shared" si="49"/>
        <v>860222</v>
      </c>
      <c r="J423" s="6">
        <f t="shared" si="50"/>
        <v>860</v>
      </c>
      <c r="K423" s="6" t="str">
        <f t="shared" si="51"/>
        <v>Pathfinder</v>
      </c>
      <c r="L423" s="6">
        <f t="shared" si="52"/>
        <v>222</v>
      </c>
      <c r="M423" s="6" t="str">
        <f t="shared" si="53"/>
        <v xml:space="preserve">Oakham                       </v>
      </c>
      <c r="N423" s="9">
        <f t="shared" si="54"/>
        <v>13.999999998530001</v>
      </c>
      <c r="O423" s="526">
        <f t="shared" si="55"/>
        <v>305055.08940617146</v>
      </c>
      <c r="P423" s="526">
        <f t="shared" si="56"/>
        <v>168066</v>
      </c>
      <c r="Q423" s="526"/>
      <c r="R423" s="526"/>
    </row>
    <row r="424" spans="1:18">
      <c r="A424" s="6">
        <v>860</v>
      </c>
      <c r="B424" s="6" t="s">
        <v>1110</v>
      </c>
      <c r="C424" s="6">
        <v>227</v>
      </c>
      <c r="D424" s="6" t="s">
        <v>1345</v>
      </c>
      <c r="E424" s="9">
        <v>184.99999999970998</v>
      </c>
      <c r="F424" s="9">
        <v>4031085.1104270676</v>
      </c>
      <c r="G424" s="9">
        <v>1600136</v>
      </c>
      <c r="I424" s="6" t="str">
        <f t="shared" si="49"/>
        <v>860227</v>
      </c>
      <c r="J424" s="6">
        <f t="shared" si="50"/>
        <v>860</v>
      </c>
      <c r="K424" s="6" t="str">
        <f t="shared" si="51"/>
        <v>Pathfinder</v>
      </c>
      <c r="L424" s="6">
        <f t="shared" si="52"/>
        <v>227</v>
      </c>
      <c r="M424" s="6" t="str">
        <f t="shared" si="53"/>
        <v xml:space="preserve">Palmer                       </v>
      </c>
      <c r="N424" s="9">
        <f t="shared" si="54"/>
        <v>184.99999999970998</v>
      </c>
      <c r="O424" s="526">
        <f t="shared" si="55"/>
        <v>4031085.1104270676</v>
      </c>
      <c r="P424" s="526">
        <f t="shared" si="56"/>
        <v>1600136</v>
      </c>
      <c r="Q424" s="526"/>
      <c r="R424" s="526"/>
    </row>
    <row r="425" spans="1:18">
      <c r="A425" s="6">
        <v>860</v>
      </c>
      <c r="B425" s="6" t="s">
        <v>1110</v>
      </c>
      <c r="C425" s="6">
        <v>309</v>
      </c>
      <c r="D425" s="6" t="s">
        <v>1427</v>
      </c>
      <c r="E425" s="9">
        <v>107.99999999844999</v>
      </c>
      <c r="F425" s="9">
        <v>2353282.1184895006</v>
      </c>
      <c r="G425" s="9">
        <v>718594</v>
      </c>
      <c r="I425" s="6" t="str">
        <f t="shared" si="49"/>
        <v>860309</v>
      </c>
      <c r="J425" s="6">
        <f t="shared" si="50"/>
        <v>860</v>
      </c>
      <c r="K425" s="6" t="str">
        <f t="shared" si="51"/>
        <v>Pathfinder</v>
      </c>
      <c r="L425" s="6">
        <f t="shared" si="52"/>
        <v>309</v>
      </c>
      <c r="M425" s="6" t="str">
        <f t="shared" si="53"/>
        <v xml:space="preserve">Ware                         </v>
      </c>
      <c r="N425" s="9">
        <f t="shared" si="54"/>
        <v>107.99999999844999</v>
      </c>
      <c r="O425" s="526">
        <f t="shared" si="55"/>
        <v>2353282.1184895006</v>
      </c>
      <c r="P425" s="526">
        <f t="shared" si="56"/>
        <v>718594</v>
      </c>
      <c r="Q425" s="526"/>
      <c r="R425" s="526"/>
    </row>
    <row r="426" spans="1:18">
      <c r="A426" s="6">
        <v>860</v>
      </c>
      <c r="B426" s="6" t="s">
        <v>1110</v>
      </c>
      <c r="C426" s="6">
        <v>311</v>
      </c>
      <c r="D426" s="6" t="s">
        <v>1429</v>
      </c>
      <c r="E426" s="9">
        <v>53.000000000219998</v>
      </c>
      <c r="F426" s="9">
        <v>1154851.410020845</v>
      </c>
      <c r="G426" s="9">
        <v>370210</v>
      </c>
      <c r="I426" s="6" t="str">
        <f t="shared" si="49"/>
        <v>860311</v>
      </c>
      <c r="J426" s="6">
        <f t="shared" si="50"/>
        <v>860</v>
      </c>
      <c r="K426" s="6" t="str">
        <f t="shared" si="51"/>
        <v>Pathfinder</v>
      </c>
      <c r="L426" s="6">
        <f t="shared" si="52"/>
        <v>311</v>
      </c>
      <c r="M426" s="6" t="str">
        <f t="shared" si="53"/>
        <v xml:space="preserve">Warren                       </v>
      </c>
      <c r="N426" s="9">
        <f t="shared" si="54"/>
        <v>53.000000000219998</v>
      </c>
      <c r="O426" s="526">
        <f t="shared" si="55"/>
        <v>1154851.410020845</v>
      </c>
      <c r="P426" s="526">
        <f t="shared" si="56"/>
        <v>370210</v>
      </c>
      <c r="Q426" s="526"/>
      <c r="R426" s="526"/>
    </row>
    <row r="427" spans="1:18">
      <c r="A427" s="6" t="s">
        <v>2440</v>
      </c>
      <c r="E427" s="9">
        <v>623</v>
      </c>
      <c r="F427" s="9">
        <v>13574951.48</v>
      </c>
      <c r="G427" s="9">
        <v>5890946</v>
      </c>
      <c r="I427" s="6" t="str">
        <f t="shared" si="49"/>
        <v>860999</v>
      </c>
      <c r="J427" s="6">
        <f t="shared" si="50"/>
        <v>860</v>
      </c>
      <c r="K427" s="6">
        <f t="shared" si="51"/>
        <v>0</v>
      </c>
      <c r="L427" s="6">
        <f t="shared" si="52"/>
        <v>0</v>
      </c>
      <c r="M427" s="6">
        <f t="shared" si="53"/>
        <v>0</v>
      </c>
      <c r="N427" s="9">
        <f t="shared" si="54"/>
        <v>623</v>
      </c>
      <c r="O427" s="526">
        <f t="shared" si="55"/>
        <v>13574951.48</v>
      </c>
      <c r="P427" s="526">
        <f t="shared" si="56"/>
        <v>5890946</v>
      </c>
      <c r="Q427" s="526">
        <f>VLOOKUP($J427,aidcalc,25,FALSE)</f>
        <v>7684005</v>
      </c>
      <c r="R427" s="526">
        <f>VLOOKUP($J427,aidcalc,27,FALSE)</f>
        <v>13574951</v>
      </c>
    </row>
    <row r="428" spans="1:18">
      <c r="A428" s="6">
        <v>871</v>
      </c>
      <c r="B428" s="6" t="s">
        <v>1111</v>
      </c>
      <c r="C428" s="6">
        <v>23</v>
      </c>
      <c r="D428" s="6" t="s">
        <v>1142</v>
      </c>
      <c r="E428" s="9">
        <v>38.99999999808</v>
      </c>
      <c r="F428" s="9">
        <v>770608.62225564034</v>
      </c>
      <c r="G428" s="9">
        <v>635752</v>
      </c>
      <c r="I428" s="6" t="str">
        <f t="shared" si="49"/>
        <v>871023</v>
      </c>
      <c r="J428" s="6">
        <f t="shared" si="50"/>
        <v>871</v>
      </c>
      <c r="K428" s="6" t="str">
        <f t="shared" si="51"/>
        <v>Shawsheen Valley</v>
      </c>
      <c r="L428" s="6">
        <f t="shared" si="52"/>
        <v>23</v>
      </c>
      <c r="M428" s="6" t="str">
        <f t="shared" si="53"/>
        <v xml:space="preserve">Bedford                      </v>
      </c>
      <c r="N428" s="9">
        <f t="shared" si="54"/>
        <v>38.99999999808</v>
      </c>
      <c r="O428" s="526">
        <f t="shared" si="55"/>
        <v>770608.62225564034</v>
      </c>
      <c r="P428" s="526">
        <f t="shared" si="56"/>
        <v>635752</v>
      </c>
      <c r="Q428" s="526"/>
      <c r="R428" s="526"/>
    </row>
    <row r="429" spans="1:18">
      <c r="A429" s="6">
        <v>871</v>
      </c>
      <c r="B429" s="6" t="s">
        <v>1111</v>
      </c>
      <c r="C429" s="6">
        <v>31</v>
      </c>
      <c r="D429" s="6" t="s">
        <v>1150</v>
      </c>
      <c r="E429" s="9">
        <v>470.00000000604001</v>
      </c>
      <c r="F429" s="9">
        <v>9286821.8585291319</v>
      </c>
      <c r="G429" s="9">
        <v>7472836</v>
      </c>
      <c r="I429" s="6" t="str">
        <f t="shared" si="49"/>
        <v>871031</v>
      </c>
      <c r="J429" s="6">
        <f t="shared" si="50"/>
        <v>871</v>
      </c>
      <c r="K429" s="6" t="str">
        <f t="shared" si="51"/>
        <v>Shawsheen Valley</v>
      </c>
      <c r="L429" s="6">
        <f t="shared" si="52"/>
        <v>31</v>
      </c>
      <c r="M429" s="6" t="str">
        <f t="shared" si="53"/>
        <v xml:space="preserve">Billerica                    </v>
      </c>
      <c r="N429" s="9">
        <f t="shared" si="54"/>
        <v>470.00000000604001</v>
      </c>
      <c r="O429" s="526">
        <f t="shared" si="55"/>
        <v>9286821.8585291319</v>
      </c>
      <c r="P429" s="526">
        <f t="shared" si="56"/>
        <v>7472836</v>
      </c>
      <c r="Q429" s="526"/>
      <c r="R429" s="526"/>
    </row>
    <row r="430" spans="1:18">
      <c r="A430" s="6">
        <v>871</v>
      </c>
      <c r="B430" s="6" t="s">
        <v>1111</v>
      </c>
      <c r="C430" s="6">
        <v>48</v>
      </c>
      <c r="D430" s="6" t="s">
        <v>1167</v>
      </c>
      <c r="E430" s="9">
        <v>118.00000000224</v>
      </c>
      <c r="F430" s="9">
        <v>2331585.06236842</v>
      </c>
      <c r="G430" s="9">
        <v>1857259</v>
      </c>
      <c r="I430" s="6" t="str">
        <f t="shared" si="49"/>
        <v>871048</v>
      </c>
      <c r="J430" s="6">
        <f t="shared" si="50"/>
        <v>871</v>
      </c>
      <c r="K430" s="6" t="str">
        <f t="shared" si="51"/>
        <v>Shawsheen Valley</v>
      </c>
      <c r="L430" s="6">
        <f t="shared" si="52"/>
        <v>48</v>
      </c>
      <c r="M430" s="6" t="str">
        <f t="shared" si="53"/>
        <v xml:space="preserve">Burlington                   </v>
      </c>
      <c r="N430" s="9">
        <f t="shared" si="54"/>
        <v>118.00000000224</v>
      </c>
      <c r="O430" s="526">
        <f t="shared" si="55"/>
        <v>2331585.06236842</v>
      </c>
      <c r="P430" s="526">
        <f t="shared" si="56"/>
        <v>1857259</v>
      </c>
      <c r="Q430" s="526"/>
      <c r="R430" s="526"/>
    </row>
    <row r="431" spans="1:18">
      <c r="A431" s="6">
        <v>871</v>
      </c>
      <c r="B431" s="6" t="s">
        <v>1111</v>
      </c>
      <c r="C431" s="6">
        <v>295</v>
      </c>
      <c r="D431" s="6" t="s">
        <v>1413</v>
      </c>
      <c r="E431" s="9">
        <v>363.00000000023999</v>
      </c>
      <c r="F431" s="9">
        <v>7172587.9459680449</v>
      </c>
      <c r="G431" s="9">
        <v>5755316</v>
      </c>
      <c r="I431" s="6" t="str">
        <f t="shared" si="49"/>
        <v>871295</v>
      </c>
      <c r="J431" s="6">
        <f t="shared" si="50"/>
        <v>871</v>
      </c>
      <c r="K431" s="6" t="str">
        <f t="shared" si="51"/>
        <v>Shawsheen Valley</v>
      </c>
      <c r="L431" s="6">
        <f t="shared" si="52"/>
        <v>295</v>
      </c>
      <c r="M431" s="6" t="str">
        <f t="shared" si="53"/>
        <v xml:space="preserve">Tewksbury                    </v>
      </c>
      <c r="N431" s="9">
        <f t="shared" si="54"/>
        <v>363.00000000023999</v>
      </c>
      <c r="O431" s="526">
        <f t="shared" si="55"/>
        <v>7172587.9459680449</v>
      </c>
      <c r="P431" s="526">
        <f t="shared" si="56"/>
        <v>5755316</v>
      </c>
      <c r="Q431" s="526"/>
      <c r="R431" s="526"/>
    </row>
    <row r="432" spans="1:18">
      <c r="A432" s="6">
        <v>871</v>
      </c>
      <c r="B432" s="6" t="s">
        <v>1111</v>
      </c>
      <c r="C432" s="6">
        <v>342</v>
      </c>
      <c r="D432" s="6" t="s">
        <v>1460</v>
      </c>
      <c r="E432" s="9">
        <v>318.00000000647998</v>
      </c>
      <c r="F432" s="9">
        <v>6283424.1511372142</v>
      </c>
      <c r="G432" s="9">
        <v>5083817</v>
      </c>
      <c r="I432" s="6" t="str">
        <f t="shared" si="49"/>
        <v>871342</v>
      </c>
      <c r="J432" s="6">
        <f t="shared" si="50"/>
        <v>871</v>
      </c>
      <c r="K432" s="6" t="str">
        <f t="shared" si="51"/>
        <v>Shawsheen Valley</v>
      </c>
      <c r="L432" s="6">
        <f t="shared" si="52"/>
        <v>342</v>
      </c>
      <c r="M432" s="6" t="str">
        <f t="shared" si="53"/>
        <v xml:space="preserve">Wilmington                   </v>
      </c>
      <c r="N432" s="9">
        <f t="shared" si="54"/>
        <v>318.00000000647998</v>
      </c>
      <c r="O432" s="526">
        <f t="shared" si="55"/>
        <v>6283424.1511372142</v>
      </c>
      <c r="P432" s="526">
        <f t="shared" si="56"/>
        <v>5083817</v>
      </c>
      <c r="Q432" s="526"/>
      <c r="R432" s="526"/>
    </row>
    <row r="433" spans="1:18">
      <c r="A433" s="6" t="s">
        <v>2441</v>
      </c>
      <c r="E433" s="9">
        <v>1308.0000000130799</v>
      </c>
      <c r="F433" s="9">
        <v>25845027.64025845</v>
      </c>
      <c r="G433" s="9">
        <v>20804980</v>
      </c>
      <c r="I433" s="6" t="str">
        <f t="shared" si="49"/>
        <v>871999</v>
      </c>
      <c r="J433" s="6">
        <f t="shared" si="50"/>
        <v>871</v>
      </c>
      <c r="K433" s="6">
        <f t="shared" si="51"/>
        <v>0</v>
      </c>
      <c r="L433" s="6">
        <f t="shared" si="52"/>
        <v>0</v>
      </c>
      <c r="M433" s="6">
        <f t="shared" si="53"/>
        <v>0</v>
      </c>
      <c r="N433" s="9">
        <f t="shared" si="54"/>
        <v>1308.0000000130799</v>
      </c>
      <c r="O433" s="526">
        <f t="shared" si="55"/>
        <v>25845027.64025845</v>
      </c>
      <c r="P433" s="526">
        <f t="shared" si="56"/>
        <v>20804980</v>
      </c>
      <c r="Q433" s="526">
        <f>VLOOKUP($J433,aidcalc,25,FALSE)</f>
        <v>6803073.0000013607</v>
      </c>
      <c r="R433" s="526">
        <f>VLOOKUP($J433,aidcalc,27,FALSE)</f>
        <v>27608053.00000136</v>
      </c>
    </row>
    <row r="434" spans="1:18">
      <c r="A434" s="6">
        <v>872</v>
      </c>
      <c r="B434" s="6" t="s">
        <v>1112</v>
      </c>
      <c r="C434" s="6">
        <v>44</v>
      </c>
      <c r="D434" s="6" t="s">
        <v>1163</v>
      </c>
      <c r="E434" s="9">
        <v>1039.86021505743</v>
      </c>
      <c r="F434" s="9">
        <v>22725861.007248588</v>
      </c>
      <c r="G434" s="9">
        <v>4216427</v>
      </c>
      <c r="I434" s="6" t="str">
        <f t="shared" si="49"/>
        <v>872044</v>
      </c>
      <c r="J434" s="6">
        <f t="shared" si="50"/>
        <v>872</v>
      </c>
      <c r="K434" s="6" t="str">
        <f t="shared" si="51"/>
        <v>Southeastern</v>
      </c>
      <c r="L434" s="6">
        <f t="shared" si="52"/>
        <v>44</v>
      </c>
      <c r="M434" s="6" t="str">
        <f t="shared" si="53"/>
        <v xml:space="preserve">Brockton                     </v>
      </c>
      <c r="N434" s="9">
        <f t="shared" si="54"/>
        <v>1039.86021505743</v>
      </c>
      <c r="O434" s="526">
        <f t="shared" si="55"/>
        <v>22725861.007248588</v>
      </c>
      <c r="P434" s="526">
        <f t="shared" si="56"/>
        <v>4216427</v>
      </c>
      <c r="Q434" s="526"/>
      <c r="R434" s="526"/>
    </row>
    <row r="435" spans="1:18">
      <c r="A435" s="6">
        <v>872</v>
      </c>
      <c r="B435" s="6" t="s">
        <v>1112</v>
      </c>
      <c r="C435" s="6">
        <v>83</v>
      </c>
      <c r="D435" s="6" t="s">
        <v>1202</v>
      </c>
      <c r="E435" s="9">
        <v>100.17921146726999</v>
      </c>
      <c r="F435" s="9">
        <v>2189389.3069995041</v>
      </c>
      <c r="G435" s="9">
        <v>1208435</v>
      </c>
      <c r="I435" s="6" t="str">
        <f t="shared" si="49"/>
        <v>872083</v>
      </c>
      <c r="J435" s="6">
        <f t="shared" si="50"/>
        <v>872</v>
      </c>
      <c r="K435" s="6" t="str">
        <f t="shared" si="51"/>
        <v>Southeastern</v>
      </c>
      <c r="L435" s="6">
        <f t="shared" si="52"/>
        <v>83</v>
      </c>
      <c r="M435" s="6" t="str">
        <f t="shared" si="53"/>
        <v xml:space="preserve">East Bridgewater             </v>
      </c>
      <c r="N435" s="9">
        <f t="shared" si="54"/>
        <v>100.17921146726999</v>
      </c>
      <c r="O435" s="526">
        <f t="shared" si="55"/>
        <v>2189389.3069995041</v>
      </c>
      <c r="P435" s="526">
        <f t="shared" si="56"/>
        <v>1208435</v>
      </c>
      <c r="Q435" s="526"/>
      <c r="R435" s="526"/>
    </row>
    <row r="436" spans="1:18">
      <c r="A436" s="6">
        <v>872</v>
      </c>
      <c r="B436" s="6" t="s">
        <v>1112</v>
      </c>
      <c r="C436" s="6">
        <v>88</v>
      </c>
      <c r="D436" s="6" t="s">
        <v>1207</v>
      </c>
      <c r="E436" s="9">
        <v>88.15770609321001</v>
      </c>
      <c r="F436" s="9">
        <v>1926662.5902035444</v>
      </c>
      <c r="G436" s="9">
        <v>1508497</v>
      </c>
      <c r="I436" s="6" t="str">
        <f t="shared" si="49"/>
        <v>872088</v>
      </c>
      <c r="J436" s="6">
        <f t="shared" si="50"/>
        <v>872</v>
      </c>
      <c r="K436" s="6" t="str">
        <f t="shared" si="51"/>
        <v>Southeastern</v>
      </c>
      <c r="L436" s="6">
        <f t="shared" si="52"/>
        <v>88</v>
      </c>
      <c r="M436" s="6" t="str">
        <f t="shared" si="53"/>
        <v xml:space="preserve">Easton                       </v>
      </c>
      <c r="N436" s="9">
        <f t="shared" si="54"/>
        <v>88.15770609321001</v>
      </c>
      <c r="O436" s="526">
        <f t="shared" si="55"/>
        <v>1926662.5902035444</v>
      </c>
      <c r="P436" s="526">
        <f t="shared" si="56"/>
        <v>1508497</v>
      </c>
      <c r="Q436" s="526"/>
      <c r="R436" s="526"/>
    </row>
    <row r="437" spans="1:18">
      <c r="A437" s="6">
        <v>872</v>
      </c>
      <c r="B437" s="6" t="s">
        <v>1112</v>
      </c>
      <c r="C437" s="6">
        <v>99</v>
      </c>
      <c r="D437" s="6" t="s">
        <v>1218</v>
      </c>
      <c r="E437" s="9">
        <v>46.082437284000001</v>
      </c>
      <c r="F437" s="9">
        <v>1007119.081417684</v>
      </c>
      <c r="G437" s="9">
        <v>808534</v>
      </c>
      <c r="I437" s="6" t="str">
        <f t="shared" si="49"/>
        <v>872099</v>
      </c>
      <c r="J437" s="6">
        <f t="shared" si="50"/>
        <v>872</v>
      </c>
      <c r="K437" s="6" t="str">
        <f t="shared" si="51"/>
        <v>Southeastern</v>
      </c>
      <c r="L437" s="6">
        <f t="shared" si="52"/>
        <v>99</v>
      </c>
      <c r="M437" s="6" t="str">
        <f t="shared" si="53"/>
        <v xml:space="preserve">Foxborough                   </v>
      </c>
      <c r="N437" s="9">
        <f t="shared" si="54"/>
        <v>46.082437284000001</v>
      </c>
      <c r="O437" s="526">
        <f t="shared" si="55"/>
        <v>1007119.081417684</v>
      </c>
      <c r="P437" s="526">
        <f t="shared" si="56"/>
        <v>808534</v>
      </c>
      <c r="Q437" s="526"/>
      <c r="R437" s="526"/>
    </row>
    <row r="438" spans="1:18">
      <c r="A438" s="6">
        <v>872</v>
      </c>
      <c r="B438" s="6" t="s">
        <v>1112</v>
      </c>
      <c r="C438" s="6">
        <v>167</v>
      </c>
      <c r="D438" s="6" t="s">
        <v>1285</v>
      </c>
      <c r="E438" s="9">
        <v>86.154121864200008</v>
      </c>
      <c r="F438" s="9">
        <v>1882874.8040708841</v>
      </c>
      <c r="G438" s="9">
        <v>1428253</v>
      </c>
      <c r="I438" s="6" t="str">
        <f t="shared" si="49"/>
        <v>872167</v>
      </c>
      <c r="J438" s="6">
        <f t="shared" si="50"/>
        <v>872</v>
      </c>
      <c r="K438" s="6" t="str">
        <f t="shared" si="51"/>
        <v>Southeastern</v>
      </c>
      <c r="L438" s="6">
        <f t="shared" si="52"/>
        <v>167</v>
      </c>
      <c r="M438" s="6" t="str">
        <f t="shared" si="53"/>
        <v xml:space="preserve">Mansfield                    </v>
      </c>
      <c r="N438" s="9">
        <f t="shared" si="54"/>
        <v>86.154121864200008</v>
      </c>
      <c r="O438" s="526">
        <f t="shared" si="55"/>
        <v>1882874.8040708841</v>
      </c>
      <c r="P438" s="526">
        <f t="shared" si="56"/>
        <v>1428253</v>
      </c>
      <c r="Q438" s="526"/>
      <c r="R438" s="526"/>
    </row>
    <row r="439" spans="1:18">
      <c r="A439" s="6">
        <v>872</v>
      </c>
      <c r="B439" s="6" t="s">
        <v>1112</v>
      </c>
      <c r="C439" s="6">
        <v>218</v>
      </c>
      <c r="D439" s="6" t="s">
        <v>1336</v>
      </c>
      <c r="E439" s="9">
        <v>96.172043009250004</v>
      </c>
      <c r="F439" s="9">
        <v>2101813.7347341846</v>
      </c>
      <c r="G439" s="9">
        <v>1593386</v>
      </c>
      <c r="I439" s="6" t="str">
        <f t="shared" si="49"/>
        <v>872218</v>
      </c>
      <c r="J439" s="6">
        <f t="shared" si="50"/>
        <v>872</v>
      </c>
      <c r="K439" s="6" t="str">
        <f t="shared" si="51"/>
        <v>Southeastern</v>
      </c>
      <c r="L439" s="6">
        <f t="shared" si="52"/>
        <v>218</v>
      </c>
      <c r="M439" s="6" t="str">
        <f t="shared" si="53"/>
        <v xml:space="preserve">Norton                       </v>
      </c>
      <c r="N439" s="9">
        <f t="shared" si="54"/>
        <v>96.172043009250004</v>
      </c>
      <c r="O439" s="526">
        <f t="shared" si="55"/>
        <v>2101813.7347341846</v>
      </c>
      <c r="P439" s="526">
        <f t="shared" si="56"/>
        <v>1593386</v>
      </c>
      <c r="Q439" s="526"/>
      <c r="R439" s="526"/>
    </row>
    <row r="440" spans="1:18">
      <c r="A440" s="6">
        <v>872</v>
      </c>
      <c r="B440" s="6" t="s">
        <v>1112</v>
      </c>
      <c r="C440" s="6">
        <v>266</v>
      </c>
      <c r="D440" s="6" t="s">
        <v>1384</v>
      </c>
      <c r="E440" s="9">
        <v>22.039426519110002</v>
      </c>
      <c r="F440" s="9">
        <v>481665.64745926013</v>
      </c>
      <c r="G440" s="9">
        <v>373641</v>
      </c>
      <c r="I440" s="6" t="str">
        <f t="shared" si="49"/>
        <v>872266</v>
      </c>
      <c r="J440" s="6">
        <f t="shared" si="50"/>
        <v>872</v>
      </c>
      <c r="K440" s="6" t="str">
        <f t="shared" si="51"/>
        <v>Southeastern</v>
      </c>
      <c r="L440" s="6">
        <f t="shared" si="52"/>
        <v>266</v>
      </c>
      <c r="M440" s="6" t="str">
        <f t="shared" si="53"/>
        <v xml:space="preserve">Sharon                       </v>
      </c>
      <c r="N440" s="9">
        <f t="shared" si="54"/>
        <v>22.039426519110002</v>
      </c>
      <c r="O440" s="526">
        <f t="shared" si="55"/>
        <v>481665.64745926013</v>
      </c>
      <c r="P440" s="526">
        <f t="shared" si="56"/>
        <v>373641</v>
      </c>
      <c r="Q440" s="526"/>
      <c r="R440" s="526"/>
    </row>
    <row r="441" spans="1:18">
      <c r="A441" s="6">
        <v>872</v>
      </c>
      <c r="B441" s="6" t="s">
        <v>1112</v>
      </c>
      <c r="C441" s="6">
        <v>285</v>
      </c>
      <c r="D441" s="6" t="s">
        <v>1403</v>
      </c>
      <c r="E441" s="9">
        <v>123.22043010927001</v>
      </c>
      <c r="F441" s="9">
        <v>2692948.8477083463</v>
      </c>
      <c r="G441" s="9">
        <v>1420880</v>
      </c>
      <c r="I441" s="6" t="str">
        <f t="shared" si="49"/>
        <v>872285</v>
      </c>
      <c r="J441" s="6">
        <f t="shared" si="50"/>
        <v>872</v>
      </c>
      <c r="K441" s="6" t="str">
        <f t="shared" si="51"/>
        <v>Southeastern</v>
      </c>
      <c r="L441" s="6">
        <f t="shared" si="52"/>
        <v>285</v>
      </c>
      <c r="M441" s="6" t="str">
        <f t="shared" si="53"/>
        <v xml:space="preserve">Stoughton                    </v>
      </c>
      <c r="N441" s="9">
        <f t="shared" si="54"/>
        <v>123.22043010927001</v>
      </c>
      <c r="O441" s="526">
        <f t="shared" si="55"/>
        <v>2692948.8477083463</v>
      </c>
      <c r="P441" s="526">
        <f t="shared" si="56"/>
        <v>1420880</v>
      </c>
      <c r="Q441" s="526"/>
      <c r="R441" s="526"/>
    </row>
    <row r="442" spans="1:18">
      <c r="A442" s="6">
        <v>872</v>
      </c>
      <c r="B442" s="6" t="s">
        <v>1112</v>
      </c>
      <c r="C442" s="6">
        <v>323</v>
      </c>
      <c r="D442" s="6" t="s">
        <v>1441</v>
      </c>
      <c r="E442" s="9">
        <v>75.134408596260002</v>
      </c>
      <c r="F442" s="9">
        <v>1642041.9801580023</v>
      </c>
      <c r="G442" s="9">
        <v>930352</v>
      </c>
      <c r="I442" s="6" t="str">
        <f t="shared" si="49"/>
        <v>872323</v>
      </c>
      <c r="J442" s="6">
        <f t="shared" si="50"/>
        <v>872</v>
      </c>
      <c r="K442" s="6" t="str">
        <f t="shared" si="51"/>
        <v>Southeastern</v>
      </c>
      <c r="L442" s="6">
        <f t="shared" si="52"/>
        <v>323</v>
      </c>
      <c r="M442" s="6" t="str">
        <f t="shared" si="53"/>
        <v xml:space="preserve">West Bridgewater             </v>
      </c>
      <c r="N442" s="9">
        <f t="shared" si="54"/>
        <v>75.134408596260002</v>
      </c>
      <c r="O442" s="526">
        <f t="shared" si="55"/>
        <v>1642041.9801580023</v>
      </c>
      <c r="P442" s="526">
        <f t="shared" si="56"/>
        <v>930352</v>
      </c>
      <c r="Q442" s="526"/>
      <c r="R442" s="526"/>
    </row>
    <row r="443" spans="1:18">
      <c r="A443" s="6" t="s">
        <v>2442</v>
      </c>
      <c r="E443" s="9">
        <v>1677.0000000000002</v>
      </c>
      <c r="F443" s="9">
        <v>36650377</v>
      </c>
      <c r="G443" s="9">
        <v>13488405</v>
      </c>
      <c r="I443" s="6" t="str">
        <f t="shared" si="49"/>
        <v>872999</v>
      </c>
      <c r="J443" s="6">
        <f t="shared" si="50"/>
        <v>872</v>
      </c>
      <c r="K443" s="6">
        <f t="shared" si="51"/>
        <v>0</v>
      </c>
      <c r="L443" s="6">
        <f t="shared" si="52"/>
        <v>0</v>
      </c>
      <c r="M443" s="6">
        <f t="shared" si="53"/>
        <v>0</v>
      </c>
      <c r="N443" s="9">
        <f t="shared" si="54"/>
        <v>1677.0000000000002</v>
      </c>
      <c r="O443" s="526">
        <f t="shared" si="55"/>
        <v>36650377</v>
      </c>
      <c r="P443" s="526">
        <f t="shared" si="56"/>
        <v>13488405</v>
      </c>
      <c r="Q443" s="526">
        <f>VLOOKUP($J443,aidcalc,25,FALSE)</f>
        <v>23161972</v>
      </c>
      <c r="R443" s="526">
        <f>VLOOKUP($J443,aidcalc,27,FALSE)</f>
        <v>36650377</v>
      </c>
    </row>
    <row r="444" spans="1:18">
      <c r="A444" s="6">
        <v>873</v>
      </c>
      <c r="B444" s="6" t="s">
        <v>1113</v>
      </c>
      <c r="C444" s="6">
        <v>1</v>
      </c>
      <c r="D444" s="6" t="s">
        <v>1120</v>
      </c>
      <c r="E444" s="9">
        <v>114.00000000168001</v>
      </c>
      <c r="F444" s="9">
        <v>2379073.2041627523</v>
      </c>
      <c r="G444" s="9">
        <v>1310268</v>
      </c>
      <c r="I444" s="6" t="str">
        <f t="shared" si="49"/>
        <v>873001</v>
      </c>
      <c r="J444" s="6">
        <f t="shared" si="50"/>
        <v>873</v>
      </c>
      <c r="K444" s="6" t="str">
        <f t="shared" si="51"/>
        <v>South Shore</v>
      </c>
      <c r="L444" s="6">
        <f t="shared" si="52"/>
        <v>1</v>
      </c>
      <c r="M444" s="6" t="str">
        <f t="shared" si="53"/>
        <v xml:space="preserve">Abington                     </v>
      </c>
      <c r="N444" s="9">
        <f t="shared" si="54"/>
        <v>114.00000000168001</v>
      </c>
      <c r="O444" s="526">
        <f t="shared" si="55"/>
        <v>2379073.2041627523</v>
      </c>
      <c r="P444" s="526">
        <f t="shared" si="56"/>
        <v>1310268</v>
      </c>
      <c r="Q444" s="526"/>
      <c r="R444" s="526"/>
    </row>
    <row r="445" spans="1:18">
      <c r="A445" s="6">
        <v>873</v>
      </c>
      <c r="B445" s="6" t="s">
        <v>1113</v>
      </c>
      <c r="C445" s="6">
        <v>65</v>
      </c>
      <c r="D445" s="6" t="s">
        <v>1184</v>
      </c>
      <c r="E445" s="9">
        <v>8.9999999976900007</v>
      </c>
      <c r="F445" s="9">
        <v>187821.56869871556</v>
      </c>
      <c r="G445" s="9">
        <v>154953</v>
      </c>
      <c r="I445" s="6" t="str">
        <f t="shared" si="49"/>
        <v>873065</v>
      </c>
      <c r="J445" s="6">
        <f t="shared" si="50"/>
        <v>873</v>
      </c>
      <c r="K445" s="6" t="str">
        <f t="shared" si="51"/>
        <v>South Shore</v>
      </c>
      <c r="L445" s="6">
        <f t="shared" si="52"/>
        <v>65</v>
      </c>
      <c r="M445" s="6" t="str">
        <f t="shared" si="53"/>
        <v xml:space="preserve">Cohasset                     </v>
      </c>
      <c r="N445" s="9">
        <f t="shared" si="54"/>
        <v>8.9999999976900007</v>
      </c>
      <c r="O445" s="526">
        <f t="shared" si="55"/>
        <v>187821.56869871556</v>
      </c>
      <c r="P445" s="526">
        <f t="shared" si="56"/>
        <v>154953</v>
      </c>
      <c r="Q445" s="526"/>
      <c r="R445" s="526"/>
    </row>
    <row r="446" spans="1:18">
      <c r="A446" s="6">
        <v>873</v>
      </c>
      <c r="B446" s="6" t="s">
        <v>1113</v>
      </c>
      <c r="C446" s="6">
        <v>122</v>
      </c>
      <c r="D446" s="6" t="s">
        <v>1240</v>
      </c>
      <c r="E446" s="9">
        <v>80.00000000304</v>
      </c>
      <c r="F446" s="9">
        <v>1669525.055591647</v>
      </c>
      <c r="G446" s="9">
        <v>1276375</v>
      </c>
      <c r="I446" s="6" t="str">
        <f t="shared" si="49"/>
        <v>873122</v>
      </c>
      <c r="J446" s="6">
        <f t="shared" si="50"/>
        <v>873</v>
      </c>
      <c r="K446" s="6" t="str">
        <f t="shared" si="51"/>
        <v>South Shore</v>
      </c>
      <c r="L446" s="6">
        <f t="shared" si="52"/>
        <v>122</v>
      </c>
      <c r="M446" s="6" t="str">
        <f t="shared" si="53"/>
        <v xml:space="preserve">Hanover                      </v>
      </c>
      <c r="N446" s="9">
        <f t="shared" si="54"/>
        <v>80.00000000304</v>
      </c>
      <c r="O446" s="526">
        <f t="shared" si="55"/>
        <v>1669525.055591647</v>
      </c>
      <c r="P446" s="526">
        <f t="shared" si="56"/>
        <v>1276375</v>
      </c>
      <c r="Q446" s="526"/>
      <c r="R446" s="526"/>
    </row>
    <row r="447" spans="1:18">
      <c r="A447" s="6">
        <v>873</v>
      </c>
      <c r="B447" s="6" t="s">
        <v>1113</v>
      </c>
      <c r="C447" s="6">
        <v>123</v>
      </c>
      <c r="D447" s="6" t="s">
        <v>1241</v>
      </c>
      <c r="E447" s="9">
        <v>77.0000000016</v>
      </c>
      <c r="F447" s="9">
        <v>1606917.8659792878</v>
      </c>
      <c r="G447" s="9">
        <v>972014</v>
      </c>
      <c r="I447" s="6" t="str">
        <f t="shared" si="49"/>
        <v>873123</v>
      </c>
      <c r="J447" s="6">
        <f t="shared" si="50"/>
        <v>873</v>
      </c>
      <c r="K447" s="6" t="str">
        <f t="shared" si="51"/>
        <v>South Shore</v>
      </c>
      <c r="L447" s="6">
        <f t="shared" si="52"/>
        <v>123</v>
      </c>
      <c r="M447" s="6" t="str">
        <f t="shared" si="53"/>
        <v xml:space="preserve">Hanson                       </v>
      </c>
      <c r="N447" s="9">
        <f t="shared" si="54"/>
        <v>77.0000000016</v>
      </c>
      <c r="O447" s="526">
        <f t="shared" si="55"/>
        <v>1606917.8659792878</v>
      </c>
      <c r="P447" s="526">
        <f t="shared" si="56"/>
        <v>972014</v>
      </c>
      <c r="Q447" s="526"/>
      <c r="R447" s="526"/>
    </row>
    <row r="448" spans="1:18">
      <c r="A448" s="6">
        <v>873</v>
      </c>
      <c r="B448" s="6" t="s">
        <v>1113</v>
      </c>
      <c r="C448" s="6">
        <v>171</v>
      </c>
      <c r="D448" s="6" t="s">
        <v>1289</v>
      </c>
      <c r="E448" s="9">
        <v>3.0000000014399997</v>
      </c>
      <c r="F448" s="9">
        <v>62607.189612359136</v>
      </c>
      <c r="G448" s="9">
        <v>50874</v>
      </c>
      <c r="I448" s="6" t="str">
        <f t="shared" si="49"/>
        <v>873171</v>
      </c>
      <c r="J448" s="6">
        <f t="shared" si="50"/>
        <v>873</v>
      </c>
      <c r="K448" s="6" t="str">
        <f t="shared" si="51"/>
        <v>South Shore</v>
      </c>
      <c r="L448" s="6">
        <f t="shared" si="52"/>
        <v>171</v>
      </c>
      <c r="M448" s="6" t="str">
        <f t="shared" si="53"/>
        <v xml:space="preserve">Marshfield                   </v>
      </c>
      <c r="N448" s="9">
        <f t="shared" si="54"/>
        <v>3.0000000014399997</v>
      </c>
      <c r="O448" s="526">
        <f t="shared" si="55"/>
        <v>62607.189612359136</v>
      </c>
      <c r="P448" s="526">
        <f t="shared" si="56"/>
        <v>50874</v>
      </c>
      <c r="Q448" s="526"/>
      <c r="R448" s="526"/>
    </row>
    <row r="449" spans="1:18">
      <c r="A449" s="6">
        <v>873</v>
      </c>
      <c r="B449" s="6" t="s">
        <v>1113</v>
      </c>
      <c r="C449" s="6">
        <v>219</v>
      </c>
      <c r="D449" s="6" t="s">
        <v>1337</v>
      </c>
      <c r="E449" s="9">
        <v>21.999999999510003</v>
      </c>
      <c r="F449" s="9">
        <v>459119.39026003063</v>
      </c>
      <c r="G449" s="9">
        <v>378773</v>
      </c>
      <c r="I449" s="6" t="str">
        <f t="shared" si="49"/>
        <v>873219</v>
      </c>
      <c r="J449" s="6">
        <f t="shared" si="50"/>
        <v>873</v>
      </c>
      <c r="K449" s="6" t="str">
        <f t="shared" si="51"/>
        <v>South Shore</v>
      </c>
      <c r="L449" s="6">
        <f t="shared" si="52"/>
        <v>219</v>
      </c>
      <c r="M449" s="6" t="str">
        <f t="shared" si="53"/>
        <v xml:space="preserve">Norwell                      </v>
      </c>
      <c r="N449" s="9">
        <f t="shared" si="54"/>
        <v>21.999999999510003</v>
      </c>
      <c r="O449" s="526">
        <f t="shared" si="55"/>
        <v>459119.39026003063</v>
      </c>
      <c r="P449" s="526">
        <f t="shared" si="56"/>
        <v>378773</v>
      </c>
      <c r="Q449" s="526"/>
      <c r="R449" s="526"/>
    </row>
    <row r="450" spans="1:18">
      <c r="A450" s="6">
        <v>873</v>
      </c>
      <c r="B450" s="6" t="s">
        <v>1113</v>
      </c>
      <c r="C450" s="6">
        <v>251</v>
      </c>
      <c r="D450" s="6" t="s">
        <v>1369</v>
      </c>
      <c r="E450" s="9">
        <v>139.00000000263</v>
      </c>
      <c r="F450" s="9">
        <v>2900799.784035142</v>
      </c>
      <c r="G450" s="9">
        <v>1391008</v>
      </c>
      <c r="I450" s="6" t="str">
        <f t="shared" si="49"/>
        <v>873251</v>
      </c>
      <c r="J450" s="6">
        <f t="shared" si="50"/>
        <v>873</v>
      </c>
      <c r="K450" s="6" t="str">
        <f t="shared" si="51"/>
        <v>South Shore</v>
      </c>
      <c r="L450" s="6">
        <f t="shared" si="52"/>
        <v>251</v>
      </c>
      <c r="M450" s="6" t="str">
        <f t="shared" si="53"/>
        <v xml:space="preserve">Rockland                     </v>
      </c>
      <c r="N450" s="9">
        <f t="shared" si="54"/>
        <v>139.00000000263</v>
      </c>
      <c r="O450" s="526">
        <f t="shared" si="55"/>
        <v>2900799.784035142</v>
      </c>
      <c r="P450" s="526">
        <f t="shared" si="56"/>
        <v>1391008</v>
      </c>
      <c r="Q450" s="526"/>
      <c r="R450" s="526"/>
    </row>
    <row r="451" spans="1:18">
      <c r="A451" s="6">
        <v>873</v>
      </c>
      <c r="B451" s="6" t="s">
        <v>1113</v>
      </c>
      <c r="C451" s="6">
        <v>264</v>
      </c>
      <c r="D451" s="6" t="s">
        <v>1382</v>
      </c>
      <c r="E451" s="9">
        <v>53.999999999399996</v>
      </c>
      <c r="F451" s="9">
        <v>1126929.4124690169</v>
      </c>
      <c r="G451" s="9">
        <v>929717</v>
      </c>
      <c r="I451" s="6" t="str">
        <f t="shared" si="49"/>
        <v>873264</v>
      </c>
      <c r="J451" s="6">
        <f t="shared" si="50"/>
        <v>873</v>
      </c>
      <c r="K451" s="6" t="str">
        <f t="shared" si="51"/>
        <v>South Shore</v>
      </c>
      <c r="L451" s="6">
        <f t="shared" si="52"/>
        <v>264</v>
      </c>
      <c r="M451" s="6" t="str">
        <f t="shared" si="53"/>
        <v xml:space="preserve">Scituate                     </v>
      </c>
      <c r="N451" s="9">
        <f t="shared" si="54"/>
        <v>53.999999999399996</v>
      </c>
      <c r="O451" s="526">
        <f t="shared" si="55"/>
        <v>1126929.4124690169</v>
      </c>
      <c r="P451" s="526">
        <f t="shared" si="56"/>
        <v>929717</v>
      </c>
      <c r="Q451" s="526"/>
      <c r="R451" s="526"/>
    </row>
    <row r="452" spans="1:18">
      <c r="A452" s="6">
        <v>873</v>
      </c>
      <c r="B452" s="6" t="s">
        <v>1113</v>
      </c>
      <c r="C452" s="6">
        <v>338</v>
      </c>
      <c r="D452" s="6" t="s">
        <v>1456</v>
      </c>
      <c r="E452" s="9">
        <v>164.99999999964001</v>
      </c>
      <c r="F452" s="9">
        <v>3443395.4270194103</v>
      </c>
      <c r="G452" s="9">
        <v>1517197</v>
      </c>
      <c r="I452" s="6" t="str">
        <f t="shared" si="49"/>
        <v>873338</v>
      </c>
      <c r="J452" s="6">
        <f t="shared" si="50"/>
        <v>873</v>
      </c>
      <c r="K452" s="6" t="str">
        <f t="shared" si="51"/>
        <v>South Shore</v>
      </c>
      <c r="L452" s="6">
        <f t="shared" si="52"/>
        <v>338</v>
      </c>
      <c r="M452" s="6" t="str">
        <f t="shared" si="53"/>
        <v xml:space="preserve">Whitman                      </v>
      </c>
      <c r="N452" s="9">
        <f t="shared" si="54"/>
        <v>164.99999999964001</v>
      </c>
      <c r="O452" s="526">
        <f t="shared" si="55"/>
        <v>3443395.4270194103</v>
      </c>
      <c r="P452" s="526">
        <f t="shared" si="56"/>
        <v>1517197</v>
      </c>
      <c r="Q452" s="526"/>
      <c r="R452" s="526"/>
    </row>
    <row r="453" spans="1:18">
      <c r="A453" s="6" t="s">
        <v>2443</v>
      </c>
      <c r="E453" s="9">
        <v>663.00000000662999</v>
      </c>
      <c r="F453" s="9">
        <v>13836188.897828359</v>
      </c>
      <c r="G453" s="9">
        <v>7981179</v>
      </c>
      <c r="I453" s="6" t="str">
        <f t="shared" ref="I453:I516" si="57">IF(L453=0,J453&amp;999,J453&amp;TEXT(L453,"000"))</f>
        <v>873999</v>
      </c>
      <c r="J453" s="6">
        <f t="shared" ref="J453:J516" si="58">VALUE(LEFT(A453,3))</f>
        <v>873</v>
      </c>
      <c r="K453" s="6">
        <f t="shared" ref="K453:K516" si="59">B453</f>
        <v>0</v>
      </c>
      <c r="L453" s="6">
        <f t="shared" ref="L453:L516" si="60">C453</f>
        <v>0</v>
      </c>
      <c r="M453" s="6">
        <f t="shared" ref="M453:M516" si="61">D453</f>
        <v>0</v>
      </c>
      <c r="N453" s="9">
        <f t="shared" ref="N453:N516" si="62">E453</f>
        <v>663.00000000662999</v>
      </c>
      <c r="O453" s="526">
        <f t="shared" ref="O453:O516" si="63">F453</f>
        <v>13836188.897828359</v>
      </c>
      <c r="P453" s="526">
        <f t="shared" ref="P453:P516" si="64">G453</f>
        <v>7981179</v>
      </c>
      <c r="Q453" s="526">
        <f>VLOOKUP($J453,aidcalc,25,FALSE)</f>
        <v>5861247</v>
      </c>
      <c r="R453" s="526">
        <f>VLOOKUP($J453,aidcalc,27,FALSE)</f>
        <v>13842426</v>
      </c>
    </row>
    <row r="454" spans="1:18">
      <c r="A454" s="6">
        <v>876</v>
      </c>
      <c r="B454" s="6" t="s">
        <v>1114</v>
      </c>
      <c r="C454" s="6">
        <v>17</v>
      </c>
      <c r="D454" s="6" t="s">
        <v>1136</v>
      </c>
      <c r="E454" s="9">
        <v>131.00000000471999</v>
      </c>
      <c r="F454" s="9">
        <v>2706355.8060910753</v>
      </c>
      <c r="G454" s="9">
        <v>1480157</v>
      </c>
      <c r="I454" s="6" t="str">
        <f t="shared" si="57"/>
        <v>876017</v>
      </c>
      <c r="J454" s="6">
        <f t="shared" si="58"/>
        <v>876</v>
      </c>
      <c r="K454" s="6" t="str">
        <f t="shared" si="59"/>
        <v>Southern Worcester</v>
      </c>
      <c r="L454" s="6">
        <f t="shared" si="60"/>
        <v>17</v>
      </c>
      <c r="M454" s="6" t="str">
        <f t="shared" si="61"/>
        <v xml:space="preserve">Auburn                       </v>
      </c>
      <c r="N454" s="9">
        <f t="shared" si="62"/>
        <v>131.00000000471999</v>
      </c>
      <c r="O454" s="526">
        <f t="shared" si="63"/>
        <v>2706355.8060910753</v>
      </c>
      <c r="P454" s="526">
        <f t="shared" si="64"/>
        <v>1480157</v>
      </c>
      <c r="Q454" s="526"/>
      <c r="R454" s="526"/>
    </row>
    <row r="455" spans="1:18">
      <c r="A455" s="6">
        <v>876</v>
      </c>
      <c r="B455" s="6" t="s">
        <v>1114</v>
      </c>
      <c r="C455" s="6">
        <v>54</v>
      </c>
      <c r="D455" s="6" t="s">
        <v>1173</v>
      </c>
      <c r="E455" s="9">
        <v>196.00000000041999</v>
      </c>
      <c r="F455" s="9">
        <v>4049204.1066860701</v>
      </c>
      <c r="G455" s="9">
        <v>2270609</v>
      </c>
      <c r="I455" s="6" t="str">
        <f t="shared" si="57"/>
        <v>876054</v>
      </c>
      <c r="J455" s="6">
        <f t="shared" si="58"/>
        <v>876</v>
      </c>
      <c r="K455" s="6" t="str">
        <f t="shared" si="59"/>
        <v>Southern Worcester</v>
      </c>
      <c r="L455" s="6">
        <f t="shared" si="60"/>
        <v>54</v>
      </c>
      <c r="M455" s="6" t="str">
        <f t="shared" si="61"/>
        <v xml:space="preserve">Charlton                     </v>
      </c>
      <c r="N455" s="9">
        <f t="shared" si="62"/>
        <v>196.00000000041999</v>
      </c>
      <c r="O455" s="526">
        <f t="shared" si="63"/>
        <v>4049204.1066860701</v>
      </c>
      <c r="P455" s="526">
        <f t="shared" si="64"/>
        <v>2270609</v>
      </c>
      <c r="Q455" s="526"/>
      <c r="R455" s="526"/>
    </row>
    <row r="456" spans="1:18">
      <c r="A456" s="6">
        <v>876</v>
      </c>
      <c r="B456" s="6" t="s">
        <v>1114</v>
      </c>
      <c r="C456" s="6">
        <v>80</v>
      </c>
      <c r="D456" s="6" t="s">
        <v>1199</v>
      </c>
      <c r="E456" s="9">
        <v>130.00000000383</v>
      </c>
      <c r="F456" s="9">
        <v>2685696.6014467832</v>
      </c>
      <c r="G456" s="9">
        <v>1001605</v>
      </c>
      <c r="I456" s="6" t="str">
        <f t="shared" si="57"/>
        <v>876080</v>
      </c>
      <c r="J456" s="6">
        <f t="shared" si="58"/>
        <v>876</v>
      </c>
      <c r="K456" s="6" t="str">
        <f t="shared" si="59"/>
        <v>Southern Worcester</v>
      </c>
      <c r="L456" s="6">
        <f t="shared" si="60"/>
        <v>80</v>
      </c>
      <c r="M456" s="6" t="str">
        <f t="shared" si="61"/>
        <v xml:space="preserve">Dudley                       </v>
      </c>
      <c r="N456" s="9">
        <f t="shared" si="62"/>
        <v>130.00000000383</v>
      </c>
      <c r="O456" s="526">
        <f t="shared" si="63"/>
        <v>2685696.6014467832</v>
      </c>
      <c r="P456" s="526">
        <f t="shared" si="64"/>
        <v>1001605</v>
      </c>
      <c r="Q456" s="526"/>
      <c r="R456" s="526"/>
    </row>
    <row r="457" spans="1:18">
      <c r="A457" s="6">
        <v>876</v>
      </c>
      <c r="B457" s="6" t="s">
        <v>1114</v>
      </c>
      <c r="C457" s="6">
        <v>215</v>
      </c>
      <c r="D457" s="6" t="s">
        <v>1333</v>
      </c>
      <c r="E457" s="9">
        <v>49.999999994780005</v>
      </c>
      <c r="F457" s="9">
        <v>1032960.2311874123</v>
      </c>
      <c r="G457" s="9">
        <v>445933</v>
      </c>
      <c r="I457" s="6" t="str">
        <f t="shared" si="57"/>
        <v>876215</v>
      </c>
      <c r="J457" s="6">
        <f t="shared" si="58"/>
        <v>876</v>
      </c>
      <c r="K457" s="6" t="str">
        <f t="shared" si="59"/>
        <v>Southern Worcester</v>
      </c>
      <c r="L457" s="6">
        <f t="shared" si="60"/>
        <v>215</v>
      </c>
      <c r="M457" s="6" t="str">
        <f t="shared" si="61"/>
        <v xml:space="preserve">North Brookfield             </v>
      </c>
      <c r="N457" s="9">
        <f t="shared" si="62"/>
        <v>49.999999994780005</v>
      </c>
      <c r="O457" s="526">
        <f t="shared" si="63"/>
        <v>1032960.2311874123</v>
      </c>
      <c r="P457" s="526">
        <f t="shared" si="64"/>
        <v>445933</v>
      </c>
      <c r="Q457" s="526"/>
      <c r="R457" s="526"/>
    </row>
    <row r="458" spans="1:18">
      <c r="A458" s="6">
        <v>876</v>
      </c>
      <c r="B458" s="6" t="s">
        <v>1114</v>
      </c>
      <c r="C458" s="6">
        <v>226</v>
      </c>
      <c r="D458" s="6" t="s">
        <v>1344</v>
      </c>
      <c r="E458" s="9">
        <v>148.99999999587999</v>
      </c>
      <c r="F458" s="9">
        <v>3078221.489174739</v>
      </c>
      <c r="G458" s="9">
        <v>1502190</v>
      </c>
      <c r="I458" s="6" t="str">
        <f t="shared" si="57"/>
        <v>876226</v>
      </c>
      <c r="J458" s="6">
        <f t="shared" si="58"/>
        <v>876</v>
      </c>
      <c r="K458" s="6" t="str">
        <f t="shared" si="59"/>
        <v>Southern Worcester</v>
      </c>
      <c r="L458" s="6">
        <f t="shared" si="60"/>
        <v>226</v>
      </c>
      <c r="M458" s="6" t="str">
        <f t="shared" si="61"/>
        <v xml:space="preserve">Oxford                       </v>
      </c>
      <c r="N458" s="9">
        <f t="shared" si="62"/>
        <v>148.99999999587999</v>
      </c>
      <c r="O458" s="526">
        <f t="shared" si="63"/>
        <v>3078221.489174739</v>
      </c>
      <c r="P458" s="526">
        <f t="shared" si="64"/>
        <v>1502190</v>
      </c>
      <c r="Q458" s="526"/>
      <c r="R458" s="526"/>
    </row>
    <row r="459" spans="1:18">
      <c r="A459" s="6">
        <v>876</v>
      </c>
      <c r="B459" s="6" t="s">
        <v>1114</v>
      </c>
      <c r="C459" s="6">
        <v>228</v>
      </c>
      <c r="D459" s="6" t="s">
        <v>1346</v>
      </c>
      <c r="E459" s="9">
        <v>39.999999998310003</v>
      </c>
      <c r="F459" s="9">
        <v>826368.18500128866</v>
      </c>
      <c r="G459" s="9">
        <v>527044</v>
      </c>
      <c r="I459" s="6" t="str">
        <f t="shared" si="57"/>
        <v>876228</v>
      </c>
      <c r="J459" s="6">
        <f t="shared" si="58"/>
        <v>876</v>
      </c>
      <c r="K459" s="6" t="str">
        <f t="shared" si="59"/>
        <v>Southern Worcester</v>
      </c>
      <c r="L459" s="6">
        <f t="shared" si="60"/>
        <v>228</v>
      </c>
      <c r="M459" s="6" t="str">
        <f t="shared" si="61"/>
        <v xml:space="preserve">Paxton                       </v>
      </c>
      <c r="N459" s="9">
        <f t="shared" si="62"/>
        <v>39.999999998310003</v>
      </c>
      <c r="O459" s="526">
        <f t="shared" si="63"/>
        <v>826368.18500128866</v>
      </c>
      <c r="P459" s="526">
        <f t="shared" si="64"/>
        <v>527044</v>
      </c>
      <c r="Q459" s="526"/>
      <c r="R459" s="526"/>
    </row>
    <row r="460" spans="1:18">
      <c r="A460" s="6">
        <v>876</v>
      </c>
      <c r="B460" s="6" t="s">
        <v>1114</v>
      </c>
      <c r="C460" s="6">
        <v>257</v>
      </c>
      <c r="D460" s="6" t="s">
        <v>1375</v>
      </c>
      <c r="E460" s="9">
        <v>68.999999999259998</v>
      </c>
      <c r="F460" s="9">
        <v>1425485.1191721619</v>
      </c>
      <c r="G460" s="9">
        <v>626336</v>
      </c>
      <c r="I460" s="6" t="str">
        <f t="shared" si="57"/>
        <v>876257</v>
      </c>
      <c r="J460" s="6">
        <f t="shared" si="58"/>
        <v>876</v>
      </c>
      <c r="K460" s="6" t="str">
        <f t="shared" si="59"/>
        <v>Southern Worcester</v>
      </c>
      <c r="L460" s="6">
        <f t="shared" si="60"/>
        <v>257</v>
      </c>
      <c r="M460" s="6" t="str">
        <f t="shared" si="61"/>
        <v xml:space="preserve">Rutland                      </v>
      </c>
      <c r="N460" s="9">
        <f t="shared" si="62"/>
        <v>68.999999999259998</v>
      </c>
      <c r="O460" s="526">
        <f t="shared" si="63"/>
        <v>1425485.1191721619</v>
      </c>
      <c r="P460" s="526">
        <f t="shared" si="64"/>
        <v>626336</v>
      </c>
      <c r="Q460" s="526"/>
      <c r="R460" s="526"/>
    </row>
    <row r="461" spans="1:18">
      <c r="A461" s="6">
        <v>876</v>
      </c>
      <c r="B461" s="6" t="s">
        <v>1114</v>
      </c>
      <c r="C461" s="6">
        <v>277</v>
      </c>
      <c r="D461" s="6" t="s">
        <v>1395</v>
      </c>
      <c r="E461" s="9">
        <v>202.99999999421999</v>
      </c>
      <c r="F461" s="9">
        <v>4193818.5389393182</v>
      </c>
      <c r="G461" s="9">
        <v>969813</v>
      </c>
      <c r="I461" s="6" t="str">
        <f t="shared" si="57"/>
        <v>876277</v>
      </c>
      <c r="J461" s="6">
        <f t="shared" si="58"/>
        <v>876</v>
      </c>
      <c r="K461" s="6" t="str">
        <f t="shared" si="59"/>
        <v>Southern Worcester</v>
      </c>
      <c r="L461" s="6">
        <f t="shared" si="60"/>
        <v>277</v>
      </c>
      <c r="M461" s="6" t="str">
        <f t="shared" si="61"/>
        <v xml:space="preserve">Southbridge                  </v>
      </c>
      <c r="N461" s="9">
        <f t="shared" si="62"/>
        <v>202.99999999421999</v>
      </c>
      <c r="O461" s="526">
        <f t="shared" si="63"/>
        <v>4193818.5389393182</v>
      </c>
      <c r="P461" s="526">
        <f t="shared" si="64"/>
        <v>969813</v>
      </c>
      <c r="Q461" s="526"/>
      <c r="R461" s="526"/>
    </row>
    <row r="462" spans="1:18">
      <c r="A462" s="6">
        <v>876</v>
      </c>
      <c r="B462" s="6" t="s">
        <v>1114</v>
      </c>
      <c r="C462" s="6">
        <v>280</v>
      </c>
      <c r="D462" s="6" t="s">
        <v>1398</v>
      </c>
      <c r="E462" s="9">
        <v>121.99999999670999</v>
      </c>
      <c r="F462" s="9">
        <v>2520422.9642924494</v>
      </c>
      <c r="G462" s="9">
        <v>1121543</v>
      </c>
      <c r="I462" s="6" t="str">
        <f t="shared" si="57"/>
        <v>876280</v>
      </c>
      <c r="J462" s="6">
        <f t="shared" si="58"/>
        <v>876</v>
      </c>
      <c r="K462" s="6" t="str">
        <f t="shared" si="59"/>
        <v>Southern Worcester</v>
      </c>
      <c r="L462" s="6">
        <f t="shared" si="60"/>
        <v>280</v>
      </c>
      <c r="M462" s="6" t="str">
        <f t="shared" si="61"/>
        <v xml:space="preserve">Spencer                      </v>
      </c>
      <c r="N462" s="9">
        <f t="shared" si="62"/>
        <v>121.99999999670999</v>
      </c>
      <c r="O462" s="526">
        <f t="shared" si="63"/>
        <v>2520422.9642924494</v>
      </c>
      <c r="P462" s="526">
        <f t="shared" si="64"/>
        <v>1121543</v>
      </c>
      <c r="Q462" s="526"/>
      <c r="R462" s="526"/>
    </row>
    <row r="463" spans="1:18">
      <c r="A463" s="6">
        <v>876</v>
      </c>
      <c r="B463" s="6" t="s">
        <v>1114</v>
      </c>
      <c r="C463" s="6">
        <v>316</v>
      </c>
      <c r="D463" s="6" t="s">
        <v>1434</v>
      </c>
      <c r="E463" s="9">
        <v>152.99999999944001</v>
      </c>
      <c r="F463" s="9">
        <v>3160858.3077519061</v>
      </c>
      <c r="G463" s="9">
        <v>1275174</v>
      </c>
      <c r="I463" s="6" t="str">
        <f t="shared" si="57"/>
        <v>876316</v>
      </c>
      <c r="J463" s="6">
        <f t="shared" si="58"/>
        <v>876</v>
      </c>
      <c r="K463" s="6" t="str">
        <f t="shared" si="59"/>
        <v>Southern Worcester</v>
      </c>
      <c r="L463" s="6">
        <f t="shared" si="60"/>
        <v>316</v>
      </c>
      <c r="M463" s="6" t="str">
        <f t="shared" si="61"/>
        <v xml:space="preserve">Webster                      </v>
      </c>
      <c r="N463" s="9">
        <f t="shared" si="62"/>
        <v>152.99999999944001</v>
      </c>
      <c r="O463" s="526">
        <f t="shared" si="63"/>
        <v>3160858.3077519061</v>
      </c>
      <c r="P463" s="526">
        <f t="shared" si="64"/>
        <v>1275174</v>
      </c>
      <c r="Q463" s="526"/>
      <c r="R463" s="526"/>
    </row>
    <row r="464" spans="1:18">
      <c r="A464" s="6" t="s">
        <v>2444</v>
      </c>
      <c r="E464" s="9">
        <v>1242.9999999875699</v>
      </c>
      <c r="F464" s="9">
        <v>25679391.349743202</v>
      </c>
      <c r="G464" s="9">
        <v>11220404</v>
      </c>
      <c r="I464" s="6" t="str">
        <f t="shared" si="57"/>
        <v>876999</v>
      </c>
      <c r="J464" s="6">
        <f t="shared" si="58"/>
        <v>876</v>
      </c>
      <c r="K464" s="6">
        <f t="shared" si="59"/>
        <v>0</v>
      </c>
      <c r="L464" s="6">
        <f t="shared" si="60"/>
        <v>0</v>
      </c>
      <c r="M464" s="6">
        <f t="shared" si="61"/>
        <v>0</v>
      </c>
      <c r="N464" s="9">
        <f t="shared" si="62"/>
        <v>1242.9999999875699</v>
      </c>
      <c r="O464" s="526">
        <f t="shared" si="63"/>
        <v>25679391.349743202</v>
      </c>
      <c r="P464" s="526">
        <f t="shared" si="64"/>
        <v>11220404</v>
      </c>
      <c r="Q464" s="526">
        <f>VLOOKUP($J464,aidcalc,25,FALSE)</f>
        <v>14458987</v>
      </c>
      <c r="R464" s="526">
        <f>VLOOKUP($J464,aidcalc,27,FALSE)</f>
        <v>25679391</v>
      </c>
    </row>
    <row r="465" spans="1:18">
      <c r="A465" s="6">
        <v>878</v>
      </c>
      <c r="B465" s="6" t="s">
        <v>1115</v>
      </c>
      <c r="C465" s="6">
        <v>101</v>
      </c>
      <c r="D465" s="6" t="s">
        <v>1220</v>
      </c>
      <c r="E465" s="9">
        <v>172.99999999913999</v>
      </c>
      <c r="F465" s="9">
        <v>3617639.1802543737</v>
      </c>
      <c r="G465" s="9">
        <v>2711384</v>
      </c>
      <c r="I465" s="6" t="str">
        <f t="shared" si="57"/>
        <v>878101</v>
      </c>
      <c r="J465" s="6">
        <f t="shared" si="58"/>
        <v>878</v>
      </c>
      <c r="K465" s="6" t="str">
        <f t="shared" si="59"/>
        <v>Tri County</v>
      </c>
      <c r="L465" s="6">
        <f t="shared" si="60"/>
        <v>101</v>
      </c>
      <c r="M465" s="6" t="str">
        <f t="shared" si="61"/>
        <v xml:space="preserve">Franklin                     </v>
      </c>
      <c r="N465" s="9">
        <f t="shared" si="62"/>
        <v>172.99999999913999</v>
      </c>
      <c r="O465" s="526">
        <f t="shared" si="63"/>
        <v>3617639.1802543737</v>
      </c>
      <c r="P465" s="526">
        <f t="shared" si="64"/>
        <v>2711384</v>
      </c>
      <c r="Q465" s="526"/>
      <c r="R465" s="526"/>
    </row>
    <row r="466" spans="1:18">
      <c r="A466" s="6">
        <v>878</v>
      </c>
      <c r="B466" s="6" t="s">
        <v>1115</v>
      </c>
      <c r="C466" s="6">
        <v>175</v>
      </c>
      <c r="D466" s="6" t="s">
        <v>1293</v>
      </c>
      <c r="E466" s="9">
        <v>7.0000000029600002</v>
      </c>
      <c r="F466" s="9">
        <v>146378.46400355324</v>
      </c>
      <c r="G466" s="9">
        <v>120762</v>
      </c>
      <c r="I466" s="6" t="str">
        <f t="shared" si="57"/>
        <v>878175</v>
      </c>
      <c r="J466" s="6">
        <f t="shared" si="58"/>
        <v>878</v>
      </c>
      <c r="K466" s="6" t="str">
        <f t="shared" si="59"/>
        <v>Tri County</v>
      </c>
      <c r="L466" s="6">
        <f t="shared" si="60"/>
        <v>175</v>
      </c>
      <c r="M466" s="6" t="str">
        <f t="shared" si="61"/>
        <v xml:space="preserve">Medfield                     </v>
      </c>
      <c r="N466" s="9">
        <f t="shared" si="62"/>
        <v>7.0000000029600002</v>
      </c>
      <c r="O466" s="526">
        <f t="shared" si="63"/>
        <v>146378.46400355324</v>
      </c>
      <c r="P466" s="526">
        <f t="shared" si="64"/>
        <v>120762</v>
      </c>
      <c r="Q466" s="526"/>
      <c r="R466" s="526"/>
    </row>
    <row r="467" spans="1:18">
      <c r="A467" s="6">
        <v>878</v>
      </c>
      <c r="B467" s="6" t="s">
        <v>1115</v>
      </c>
      <c r="C467" s="6">
        <v>177</v>
      </c>
      <c r="D467" s="6" t="s">
        <v>1295</v>
      </c>
      <c r="E467" s="9">
        <v>81.999999998340002</v>
      </c>
      <c r="F467" s="9">
        <v>1714719.1489961157</v>
      </c>
      <c r="G467" s="9">
        <v>1235417</v>
      </c>
      <c r="I467" s="6" t="str">
        <f t="shared" si="57"/>
        <v>878177</v>
      </c>
      <c r="J467" s="6">
        <f t="shared" si="58"/>
        <v>878</v>
      </c>
      <c r="K467" s="6" t="str">
        <f t="shared" si="59"/>
        <v>Tri County</v>
      </c>
      <c r="L467" s="6">
        <f t="shared" si="60"/>
        <v>177</v>
      </c>
      <c r="M467" s="6" t="str">
        <f t="shared" si="61"/>
        <v xml:space="preserve">Medway                       </v>
      </c>
      <c r="N467" s="9">
        <f t="shared" si="62"/>
        <v>81.999999998340002</v>
      </c>
      <c r="O467" s="526">
        <f t="shared" si="63"/>
        <v>1714719.1489961157</v>
      </c>
      <c r="P467" s="526">
        <f t="shared" si="64"/>
        <v>1235417</v>
      </c>
      <c r="Q467" s="526"/>
      <c r="R467" s="526"/>
    </row>
    <row r="468" spans="1:18">
      <c r="A468" s="6">
        <v>878</v>
      </c>
      <c r="B468" s="6" t="s">
        <v>1115</v>
      </c>
      <c r="C468" s="6">
        <v>187</v>
      </c>
      <c r="D468" s="6" t="s">
        <v>1305</v>
      </c>
      <c r="E468" s="9">
        <v>34.000000000920004</v>
      </c>
      <c r="F468" s="9">
        <v>710981.11059299647</v>
      </c>
      <c r="G468" s="9">
        <v>586559</v>
      </c>
      <c r="I468" s="6" t="str">
        <f t="shared" si="57"/>
        <v>878187</v>
      </c>
      <c r="J468" s="6">
        <f t="shared" si="58"/>
        <v>878</v>
      </c>
      <c r="K468" s="6" t="str">
        <f t="shared" si="59"/>
        <v>Tri County</v>
      </c>
      <c r="L468" s="6">
        <f t="shared" si="60"/>
        <v>187</v>
      </c>
      <c r="M468" s="6" t="str">
        <f t="shared" si="61"/>
        <v xml:space="preserve">Millis                       </v>
      </c>
      <c r="N468" s="9">
        <f t="shared" si="62"/>
        <v>34.000000000920004</v>
      </c>
      <c r="O468" s="526">
        <f t="shared" si="63"/>
        <v>710981.11059299647</v>
      </c>
      <c r="P468" s="526">
        <f t="shared" si="64"/>
        <v>586559</v>
      </c>
      <c r="Q468" s="526"/>
      <c r="R468" s="526"/>
    </row>
    <row r="469" spans="1:18">
      <c r="A469" s="6">
        <v>878</v>
      </c>
      <c r="B469" s="6" t="s">
        <v>1115</v>
      </c>
      <c r="C469" s="6">
        <v>208</v>
      </c>
      <c r="D469" s="6" t="s">
        <v>1326</v>
      </c>
      <c r="E469" s="9">
        <v>41.999999998920003</v>
      </c>
      <c r="F469" s="9">
        <v>878270.78362735233</v>
      </c>
      <c r="G469" s="9">
        <v>684222</v>
      </c>
      <c r="I469" s="6" t="str">
        <f t="shared" si="57"/>
        <v>878208</v>
      </c>
      <c r="J469" s="6">
        <f t="shared" si="58"/>
        <v>878</v>
      </c>
      <c r="K469" s="6" t="str">
        <f t="shared" si="59"/>
        <v>Tri County</v>
      </c>
      <c r="L469" s="6">
        <f t="shared" si="60"/>
        <v>208</v>
      </c>
      <c r="M469" s="6" t="str">
        <f t="shared" si="61"/>
        <v xml:space="preserve">Norfolk                      </v>
      </c>
      <c r="N469" s="9">
        <f t="shared" si="62"/>
        <v>41.999999998920003</v>
      </c>
      <c r="O469" s="526">
        <f t="shared" si="63"/>
        <v>878270.78362735233</v>
      </c>
      <c r="P469" s="526">
        <f t="shared" si="64"/>
        <v>684222</v>
      </c>
      <c r="Q469" s="526"/>
      <c r="R469" s="526"/>
    </row>
    <row r="470" spans="1:18">
      <c r="A470" s="6">
        <v>878</v>
      </c>
      <c r="B470" s="6" t="s">
        <v>1115</v>
      </c>
      <c r="C470" s="6">
        <v>212</v>
      </c>
      <c r="D470" s="6" t="s">
        <v>1330</v>
      </c>
      <c r="E470" s="9">
        <v>244.99999999998002</v>
      </c>
      <c r="F470" s="9">
        <v>5123246.2379575446</v>
      </c>
      <c r="G470" s="9">
        <v>3353750</v>
      </c>
      <c r="I470" s="6" t="str">
        <f t="shared" si="57"/>
        <v>878212</v>
      </c>
      <c r="J470" s="6">
        <f t="shared" si="58"/>
        <v>878</v>
      </c>
      <c r="K470" s="6" t="str">
        <f t="shared" si="59"/>
        <v>Tri County</v>
      </c>
      <c r="L470" s="6">
        <f t="shared" si="60"/>
        <v>212</v>
      </c>
      <c r="M470" s="6" t="str">
        <f t="shared" si="61"/>
        <v xml:space="preserve">North Attleborough           </v>
      </c>
      <c r="N470" s="9">
        <f t="shared" si="62"/>
        <v>244.99999999998002</v>
      </c>
      <c r="O470" s="526">
        <f t="shared" si="63"/>
        <v>5123246.2379575446</v>
      </c>
      <c r="P470" s="526">
        <f t="shared" si="64"/>
        <v>3353750</v>
      </c>
      <c r="Q470" s="526"/>
      <c r="R470" s="526"/>
    </row>
    <row r="471" spans="1:18">
      <c r="A471" s="6">
        <v>878</v>
      </c>
      <c r="B471" s="6" t="s">
        <v>1115</v>
      </c>
      <c r="C471" s="6">
        <v>238</v>
      </c>
      <c r="D471" s="6" t="s">
        <v>1356</v>
      </c>
      <c r="E471" s="9">
        <v>104.00000000226001</v>
      </c>
      <c r="F471" s="9">
        <v>2174765.7500375779</v>
      </c>
      <c r="G471" s="9">
        <v>1656899</v>
      </c>
      <c r="I471" s="6" t="str">
        <f t="shared" si="57"/>
        <v>878238</v>
      </c>
      <c r="J471" s="6">
        <f t="shared" si="58"/>
        <v>878</v>
      </c>
      <c r="K471" s="6" t="str">
        <f t="shared" si="59"/>
        <v>Tri County</v>
      </c>
      <c r="L471" s="6">
        <f t="shared" si="60"/>
        <v>238</v>
      </c>
      <c r="M471" s="6" t="str">
        <f t="shared" si="61"/>
        <v xml:space="preserve">Plainville                   </v>
      </c>
      <c r="N471" s="9">
        <f t="shared" si="62"/>
        <v>104.00000000226001</v>
      </c>
      <c r="O471" s="526">
        <f t="shared" si="63"/>
        <v>2174765.7500375779</v>
      </c>
      <c r="P471" s="526">
        <f t="shared" si="64"/>
        <v>1656899</v>
      </c>
      <c r="Q471" s="526"/>
      <c r="R471" s="526"/>
    </row>
    <row r="472" spans="1:18">
      <c r="A472" s="6">
        <v>878</v>
      </c>
      <c r="B472" s="6" t="s">
        <v>1115</v>
      </c>
      <c r="C472" s="6">
        <v>265</v>
      </c>
      <c r="D472" s="6" t="s">
        <v>1383</v>
      </c>
      <c r="E472" s="9">
        <v>83.000000002799993</v>
      </c>
      <c r="F472" s="9">
        <v>1735630.3582239018</v>
      </c>
      <c r="G472" s="9">
        <v>1248891</v>
      </c>
      <c r="I472" s="6" t="str">
        <f t="shared" si="57"/>
        <v>878265</v>
      </c>
      <c r="J472" s="6">
        <f t="shared" si="58"/>
        <v>878</v>
      </c>
      <c r="K472" s="6" t="str">
        <f t="shared" si="59"/>
        <v>Tri County</v>
      </c>
      <c r="L472" s="6">
        <f t="shared" si="60"/>
        <v>265</v>
      </c>
      <c r="M472" s="6" t="str">
        <f t="shared" si="61"/>
        <v xml:space="preserve">Seekonk                      </v>
      </c>
      <c r="N472" s="9">
        <f t="shared" si="62"/>
        <v>83.000000002799993</v>
      </c>
      <c r="O472" s="526">
        <f t="shared" si="63"/>
        <v>1735630.3582239018</v>
      </c>
      <c r="P472" s="526">
        <f t="shared" si="64"/>
        <v>1248891</v>
      </c>
      <c r="Q472" s="526"/>
      <c r="R472" s="526"/>
    </row>
    <row r="473" spans="1:18">
      <c r="A473" s="6">
        <v>878</v>
      </c>
      <c r="B473" s="6" t="s">
        <v>1115</v>
      </c>
      <c r="C473" s="6">
        <v>269</v>
      </c>
      <c r="D473" s="6" t="s">
        <v>1387</v>
      </c>
      <c r="E473" s="9">
        <v>3.9999999989999999</v>
      </c>
      <c r="F473" s="9">
        <v>83644.836517177973</v>
      </c>
      <c r="G473" s="9">
        <v>69007</v>
      </c>
      <c r="I473" s="6" t="str">
        <f t="shared" si="57"/>
        <v>878269</v>
      </c>
      <c r="J473" s="6">
        <f t="shared" si="58"/>
        <v>878</v>
      </c>
      <c r="K473" s="6" t="str">
        <f t="shared" si="59"/>
        <v>Tri County</v>
      </c>
      <c r="L473" s="6">
        <f t="shared" si="60"/>
        <v>269</v>
      </c>
      <c r="M473" s="6" t="str">
        <f t="shared" si="61"/>
        <v xml:space="preserve">Sherborn                     </v>
      </c>
      <c r="N473" s="9">
        <f t="shared" si="62"/>
        <v>3.9999999989999999</v>
      </c>
      <c r="O473" s="526">
        <f t="shared" si="63"/>
        <v>83644.836517177973</v>
      </c>
      <c r="P473" s="526">
        <f t="shared" si="64"/>
        <v>69007</v>
      </c>
      <c r="Q473" s="526"/>
      <c r="R473" s="526"/>
    </row>
    <row r="474" spans="1:18">
      <c r="A474" s="6">
        <v>878</v>
      </c>
      <c r="B474" s="6" t="s">
        <v>1115</v>
      </c>
      <c r="C474" s="6">
        <v>307</v>
      </c>
      <c r="D474" s="6" t="s">
        <v>1425</v>
      </c>
      <c r="E474" s="9">
        <v>91.0000000008</v>
      </c>
      <c r="F474" s="9">
        <v>1902920.0312582578</v>
      </c>
      <c r="G474" s="9">
        <v>1561294</v>
      </c>
      <c r="I474" s="6" t="str">
        <f t="shared" si="57"/>
        <v>878307</v>
      </c>
      <c r="J474" s="6">
        <f t="shared" si="58"/>
        <v>878</v>
      </c>
      <c r="K474" s="6" t="str">
        <f t="shared" si="59"/>
        <v>Tri County</v>
      </c>
      <c r="L474" s="6">
        <f t="shared" si="60"/>
        <v>307</v>
      </c>
      <c r="M474" s="6" t="str">
        <f t="shared" si="61"/>
        <v xml:space="preserve">Walpole                      </v>
      </c>
      <c r="N474" s="9">
        <f t="shared" si="62"/>
        <v>91.0000000008</v>
      </c>
      <c r="O474" s="526">
        <f t="shared" si="63"/>
        <v>1902920.0312582578</v>
      </c>
      <c r="P474" s="526">
        <f t="shared" si="64"/>
        <v>1561294</v>
      </c>
      <c r="Q474" s="526"/>
      <c r="R474" s="526"/>
    </row>
    <row r="475" spans="1:18">
      <c r="A475" s="6">
        <v>878</v>
      </c>
      <c r="B475" s="6" t="s">
        <v>1115</v>
      </c>
      <c r="C475" s="6">
        <v>350</v>
      </c>
      <c r="D475" s="6" t="s">
        <v>1467</v>
      </c>
      <c r="E475" s="9">
        <v>77.000000004300006</v>
      </c>
      <c r="F475" s="9">
        <v>1610163.1034481351</v>
      </c>
      <c r="G475" s="9">
        <v>1265248</v>
      </c>
      <c r="I475" s="6" t="str">
        <f t="shared" si="57"/>
        <v>878350</v>
      </c>
      <c r="J475" s="6">
        <f t="shared" si="58"/>
        <v>878</v>
      </c>
      <c r="K475" s="6" t="str">
        <f t="shared" si="59"/>
        <v>Tri County</v>
      </c>
      <c r="L475" s="6">
        <f t="shared" si="60"/>
        <v>350</v>
      </c>
      <c r="M475" s="6" t="str">
        <f t="shared" si="61"/>
        <v xml:space="preserve">Wrentham                     </v>
      </c>
      <c r="N475" s="9">
        <f t="shared" si="62"/>
        <v>77.000000004300006</v>
      </c>
      <c r="O475" s="526">
        <f t="shared" si="63"/>
        <v>1610163.1034481351</v>
      </c>
      <c r="P475" s="526">
        <f t="shared" si="64"/>
        <v>1265248</v>
      </c>
      <c r="Q475" s="526"/>
      <c r="R475" s="526"/>
    </row>
    <row r="476" spans="1:18">
      <c r="A476" s="6" t="s">
        <v>2445</v>
      </c>
      <c r="E476" s="9">
        <v>942.00000000941998</v>
      </c>
      <c r="F476" s="9">
        <v>19698359.004916985</v>
      </c>
      <c r="G476" s="9">
        <v>14493433</v>
      </c>
      <c r="I476" s="6" t="str">
        <f t="shared" si="57"/>
        <v>878999</v>
      </c>
      <c r="J476" s="6">
        <f t="shared" si="58"/>
        <v>878</v>
      </c>
      <c r="K476" s="6">
        <f t="shared" si="59"/>
        <v>0</v>
      </c>
      <c r="L476" s="6">
        <f t="shared" si="60"/>
        <v>0</v>
      </c>
      <c r="M476" s="6">
        <f t="shared" si="61"/>
        <v>0</v>
      </c>
      <c r="N476" s="9">
        <f t="shared" si="62"/>
        <v>942.00000000941998</v>
      </c>
      <c r="O476" s="526">
        <f t="shared" si="63"/>
        <v>19698359.004916985</v>
      </c>
      <c r="P476" s="526">
        <f t="shared" si="64"/>
        <v>14493433</v>
      </c>
      <c r="Q476" s="526">
        <f>VLOOKUP($J476,aidcalc,25,FALSE)</f>
        <v>5951816.0000015404</v>
      </c>
      <c r="R476" s="526">
        <f>VLOOKUP($J476,aidcalc,27,FALSE)</f>
        <v>20445249.000001542</v>
      </c>
    </row>
    <row r="477" spans="1:18">
      <c r="A477" s="6">
        <v>879</v>
      </c>
      <c r="B477" s="6" t="s">
        <v>1116</v>
      </c>
      <c r="C477" s="6">
        <v>36</v>
      </c>
      <c r="D477" s="6" t="s">
        <v>1155</v>
      </c>
      <c r="E477" s="9">
        <v>199.69988276792</v>
      </c>
      <c r="F477" s="9">
        <v>4229788.8126869136</v>
      </c>
      <c r="G477" s="9">
        <v>3389488</v>
      </c>
      <c r="I477" s="6" t="str">
        <f t="shared" si="57"/>
        <v>879036</v>
      </c>
      <c r="J477" s="6">
        <f t="shared" si="58"/>
        <v>879</v>
      </c>
      <c r="K477" s="6" t="str">
        <f t="shared" si="59"/>
        <v>Upper Cape Cod</v>
      </c>
      <c r="L477" s="6">
        <f t="shared" si="60"/>
        <v>36</v>
      </c>
      <c r="M477" s="6" t="str">
        <f t="shared" si="61"/>
        <v xml:space="preserve">Bourne                       </v>
      </c>
      <c r="N477" s="9">
        <f t="shared" si="62"/>
        <v>199.69988276792</v>
      </c>
      <c r="O477" s="526">
        <f t="shared" si="63"/>
        <v>4229788.8126869136</v>
      </c>
      <c r="P477" s="526">
        <f t="shared" si="64"/>
        <v>3389488</v>
      </c>
      <c r="Q477" s="526"/>
      <c r="R477" s="526"/>
    </row>
    <row r="478" spans="1:18">
      <c r="A478" s="6">
        <v>879</v>
      </c>
      <c r="B478" s="6" t="s">
        <v>1116</v>
      </c>
      <c r="C478" s="6">
        <v>96</v>
      </c>
      <c r="D478" s="6" t="s">
        <v>1215</v>
      </c>
      <c r="E478" s="9">
        <v>203.71395076304</v>
      </c>
      <c r="F478" s="9">
        <v>4314809.6933393814</v>
      </c>
      <c r="G478" s="9">
        <v>3559718</v>
      </c>
      <c r="I478" s="6" t="str">
        <f t="shared" si="57"/>
        <v>879096</v>
      </c>
      <c r="J478" s="6">
        <f t="shared" si="58"/>
        <v>879</v>
      </c>
      <c r="K478" s="6" t="str">
        <f t="shared" si="59"/>
        <v>Upper Cape Cod</v>
      </c>
      <c r="L478" s="6">
        <f t="shared" si="60"/>
        <v>96</v>
      </c>
      <c r="M478" s="6" t="str">
        <f t="shared" si="61"/>
        <v xml:space="preserve">Falmouth                     </v>
      </c>
      <c r="N478" s="9">
        <f t="shared" si="62"/>
        <v>203.71395076304</v>
      </c>
      <c r="O478" s="526">
        <f t="shared" si="63"/>
        <v>4314809.6933393814</v>
      </c>
      <c r="P478" s="526">
        <f t="shared" si="64"/>
        <v>3559718</v>
      </c>
      <c r="Q478" s="526"/>
      <c r="R478" s="526"/>
    </row>
    <row r="479" spans="1:18">
      <c r="A479" s="6">
        <v>879</v>
      </c>
      <c r="B479" s="6" t="s">
        <v>1116</v>
      </c>
      <c r="C479" s="6">
        <v>169</v>
      </c>
      <c r="D479" s="6" t="s">
        <v>1287</v>
      </c>
      <c r="E479" s="9">
        <v>32.112543960960004</v>
      </c>
      <c r="F479" s="9">
        <v>680167.04521974351</v>
      </c>
      <c r="G479" s="9">
        <v>526560</v>
      </c>
      <c r="I479" s="6" t="str">
        <f t="shared" si="57"/>
        <v>879169</v>
      </c>
      <c r="J479" s="6">
        <f t="shared" si="58"/>
        <v>879</v>
      </c>
      <c r="K479" s="6" t="str">
        <f t="shared" si="59"/>
        <v>Upper Cape Cod</v>
      </c>
      <c r="L479" s="6">
        <f t="shared" si="60"/>
        <v>169</v>
      </c>
      <c r="M479" s="6" t="str">
        <f t="shared" si="61"/>
        <v xml:space="preserve">Marion                       </v>
      </c>
      <c r="N479" s="9">
        <f t="shared" si="62"/>
        <v>32.112543960960004</v>
      </c>
      <c r="O479" s="526">
        <f t="shared" si="63"/>
        <v>680167.04521974351</v>
      </c>
      <c r="P479" s="526">
        <f t="shared" si="64"/>
        <v>526560</v>
      </c>
      <c r="Q479" s="526"/>
      <c r="R479" s="526"/>
    </row>
    <row r="480" spans="1:18">
      <c r="A480" s="6">
        <v>879</v>
      </c>
      <c r="B480" s="6" t="s">
        <v>1116</v>
      </c>
      <c r="C480" s="6">
        <v>261</v>
      </c>
      <c r="D480" s="6" t="s">
        <v>1379</v>
      </c>
      <c r="E480" s="9">
        <v>157.55216881487999</v>
      </c>
      <c r="F480" s="9">
        <v>3337069.5657453467</v>
      </c>
      <c r="G480" s="9">
        <v>2753082</v>
      </c>
      <c r="I480" s="6" t="str">
        <f t="shared" si="57"/>
        <v>879261</v>
      </c>
      <c r="J480" s="6">
        <f t="shared" si="58"/>
        <v>879</v>
      </c>
      <c r="K480" s="6" t="str">
        <f t="shared" si="59"/>
        <v>Upper Cape Cod</v>
      </c>
      <c r="L480" s="6">
        <f t="shared" si="60"/>
        <v>261</v>
      </c>
      <c r="M480" s="6" t="str">
        <f t="shared" si="61"/>
        <v xml:space="preserve">Sandwich                     </v>
      </c>
      <c r="N480" s="9">
        <f t="shared" si="62"/>
        <v>157.55216881487999</v>
      </c>
      <c r="O480" s="526">
        <f t="shared" si="63"/>
        <v>3337069.5657453467</v>
      </c>
      <c r="P480" s="526">
        <f t="shared" si="64"/>
        <v>2753082</v>
      </c>
      <c r="Q480" s="526"/>
      <c r="R480" s="526"/>
    </row>
    <row r="481" spans="1:18">
      <c r="A481" s="6">
        <v>879</v>
      </c>
      <c r="B481" s="6" t="s">
        <v>1116</v>
      </c>
      <c r="C481" s="6">
        <v>310</v>
      </c>
      <c r="D481" s="6" t="s">
        <v>1428</v>
      </c>
      <c r="E481" s="9">
        <v>262.92145369320002</v>
      </c>
      <c r="F481" s="9">
        <v>5568867.6830086112</v>
      </c>
      <c r="G481" s="9">
        <v>3341728</v>
      </c>
      <c r="I481" s="6" t="str">
        <f t="shared" si="57"/>
        <v>879310</v>
      </c>
      <c r="J481" s="6">
        <f t="shared" si="58"/>
        <v>879</v>
      </c>
      <c r="K481" s="6" t="str">
        <f t="shared" si="59"/>
        <v>Upper Cape Cod</v>
      </c>
      <c r="L481" s="6">
        <f t="shared" si="60"/>
        <v>310</v>
      </c>
      <c r="M481" s="6" t="str">
        <f t="shared" si="61"/>
        <v xml:space="preserve">Wareham                      </v>
      </c>
      <c r="N481" s="9">
        <f t="shared" si="62"/>
        <v>262.92145369320002</v>
      </c>
      <c r="O481" s="526">
        <f t="shared" si="63"/>
        <v>5568867.6830086112</v>
      </c>
      <c r="P481" s="526">
        <f t="shared" si="64"/>
        <v>3341728</v>
      </c>
      <c r="Q481" s="526"/>
      <c r="R481" s="526"/>
    </row>
    <row r="482" spans="1:18">
      <c r="A482" s="6" t="s">
        <v>2446</v>
      </c>
      <c r="E482" s="9">
        <v>856</v>
      </c>
      <c r="F482" s="9">
        <v>18130702.799999997</v>
      </c>
      <c r="G482" s="9">
        <v>13570576</v>
      </c>
      <c r="I482" s="6" t="str">
        <f t="shared" si="57"/>
        <v>879999</v>
      </c>
      <c r="J482" s="6">
        <f t="shared" si="58"/>
        <v>879</v>
      </c>
      <c r="K482" s="6">
        <f t="shared" si="59"/>
        <v>0</v>
      </c>
      <c r="L482" s="6">
        <f t="shared" si="60"/>
        <v>0</v>
      </c>
      <c r="M482" s="6">
        <f t="shared" si="61"/>
        <v>0</v>
      </c>
      <c r="N482" s="9">
        <f t="shared" si="62"/>
        <v>856</v>
      </c>
      <c r="O482" s="526">
        <f t="shared" si="63"/>
        <v>18130702.799999997</v>
      </c>
      <c r="P482" s="526">
        <f t="shared" si="64"/>
        <v>13570576</v>
      </c>
      <c r="Q482" s="526">
        <f>VLOOKUP($J482,aidcalc,25,FALSE)</f>
        <v>4589560</v>
      </c>
      <c r="R482" s="526">
        <f>VLOOKUP($J482,aidcalc,27,FALSE)</f>
        <v>18160136</v>
      </c>
    </row>
    <row r="483" spans="1:18">
      <c r="A483" s="6">
        <v>885</v>
      </c>
      <c r="B483" s="6" t="s">
        <v>1117</v>
      </c>
      <c r="C483" s="6">
        <v>7</v>
      </c>
      <c r="D483" s="6" t="s">
        <v>1126</v>
      </c>
      <c r="E483" s="9">
        <v>123.28963892991</v>
      </c>
      <c r="F483" s="9">
        <v>2625539.1183829177</v>
      </c>
      <c r="G483" s="9">
        <v>1898614</v>
      </c>
      <c r="I483" s="6" t="str">
        <f t="shared" si="57"/>
        <v>885007</v>
      </c>
      <c r="J483" s="6">
        <f t="shared" si="58"/>
        <v>885</v>
      </c>
      <c r="K483" s="6" t="str">
        <f t="shared" si="59"/>
        <v>Whittier</v>
      </c>
      <c r="L483" s="6">
        <f t="shared" si="60"/>
        <v>7</v>
      </c>
      <c r="M483" s="6" t="str">
        <f t="shared" si="61"/>
        <v xml:space="preserve">Amesbury                     </v>
      </c>
      <c r="N483" s="9">
        <f t="shared" si="62"/>
        <v>123.28963892991</v>
      </c>
      <c r="O483" s="526">
        <f t="shared" si="63"/>
        <v>2625539.1183829177</v>
      </c>
      <c r="P483" s="526">
        <f t="shared" si="64"/>
        <v>1898614</v>
      </c>
      <c r="Q483" s="526"/>
      <c r="R483" s="526"/>
    </row>
    <row r="484" spans="1:18">
      <c r="A484" s="6">
        <v>885</v>
      </c>
      <c r="B484" s="6" t="s">
        <v>1117</v>
      </c>
      <c r="C484" s="6">
        <v>105</v>
      </c>
      <c r="D484" s="6" t="s">
        <v>1223</v>
      </c>
      <c r="E484" s="9">
        <v>61.143642074980001</v>
      </c>
      <c r="F484" s="9">
        <v>1302096.6360322267</v>
      </c>
      <c r="G484" s="9">
        <v>1029931</v>
      </c>
      <c r="I484" s="6" t="str">
        <f t="shared" si="57"/>
        <v>885105</v>
      </c>
      <c r="J484" s="6">
        <f t="shared" si="58"/>
        <v>885</v>
      </c>
      <c r="K484" s="6" t="str">
        <f t="shared" si="59"/>
        <v>Whittier</v>
      </c>
      <c r="L484" s="6">
        <f t="shared" si="60"/>
        <v>105</v>
      </c>
      <c r="M484" s="6" t="str">
        <f t="shared" si="61"/>
        <v xml:space="preserve">Georgetown                   </v>
      </c>
      <c r="N484" s="9">
        <f t="shared" si="62"/>
        <v>61.143642074980001</v>
      </c>
      <c r="O484" s="526">
        <f t="shared" si="63"/>
        <v>1302096.6360322267</v>
      </c>
      <c r="P484" s="526">
        <f t="shared" si="64"/>
        <v>1029931</v>
      </c>
      <c r="Q484" s="526"/>
      <c r="R484" s="526"/>
    </row>
    <row r="485" spans="1:18">
      <c r="A485" s="6">
        <v>885</v>
      </c>
      <c r="B485" s="6" t="s">
        <v>1117</v>
      </c>
      <c r="C485" s="6">
        <v>116</v>
      </c>
      <c r="D485" s="6" t="s">
        <v>1234</v>
      </c>
      <c r="E485" s="9">
        <v>37.087127164629997</v>
      </c>
      <c r="F485" s="9">
        <v>789796.32030988939</v>
      </c>
      <c r="G485" s="9">
        <v>574271</v>
      </c>
      <c r="I485" s="6" t="str">
        <f t="shared" si="57"/>
        <v>885116</v>
      </c>
      <c r="J485" s="6">
        <f t="shared" si="58"/>
        <v>885</v>
      </c>
      <c r="K485" s="6" t="str">
        <f t="shared" si="59"/>
        <v>Whittier</v>
      </c>
      <c r="L485" s="6">
        <f t="shared" si="60"/>
        <v>116</v>
      </c>
      <c r="M485" s="6" t="str">
        <f t="shared" si="61"/>
        <v xml:space="preserve">Groveland                    </v>
      </c>
      <c r="N485" s="9">
        <f t="shared" si="62"/>
        <v>37.087127164629997</v>
      </c>
      <c r="O485" s="526">
        <f t="shared" si="63"/>
        <v>789796.32030988939</v>
      </c>
      <c r="P485" s="526">
        <f t="shared" si="64"/>
        <v>574271</v>
      </c>
      <c r="Q485" s="526"/>
      <c r="R485" s="526"/>
    </row>
    <row r="486" spans="1:18">
      <c r="A486" s="6">
        <v>885</v>
      </c>
      <c r="B486" s="6" t="s">
        <v>1117</v>
      </c>
      <c r="C486" s="6">
        <v>128</v>
      </c>
      <c r="D486" s="6" t="s">
        <v>1246</v>
      </c>
      <c r="E486" s="9">
        <v>852.00156985330011</v>
      </c>
      <c r="F486" s="9">
        <v>18143969.51754564</v>
      </c>
      <c r="G486" s="9">
        <v>6817895</v>
      </c>
      <c r="I486" s="6" t="str">
        <f t="shared" si="57"/>
        <v>885128</v>
      </c>
      <c r="J486" s="6">
        <f t="shared" si="58"/>
        <v>885</v>
      </c>
      <c r="K486" s="6" t="str">
        <f t="shared" si="59"/>
        <v>Whittier</v>
      </c>
      <c r="L486" s="6">
        <f t="shared" si="60"/>
        <v>128</v>
      </c>
      <c r="M486" s="6" t="str">
        <f t="shared" si="61"/>
        <v xml:space="preserve">Haverhill                    </v>
      </c>
      <c r="N486" s="9">
        <f t="shared" si="62"/>
        <v>852.00156985330011</v>
      </c>
      <c r="O486" s="526">
        <f t="shared" si="63"/>
        <v>18143969.51754564</v>
      </c>
      <c r="P486" s="526">
        <f t="shared" si="64"/>
        <v>6817895</v>
      </c>
      <c r="Q486" s="526"/>
      <c r="R486" s="526"/>
    </row>
    <row r="487" spans="1:18">
      <c r="A487" s="6">
        <v>885</v>
      </c>
      <c r="B487" s="6" t="s">
        <v>1117</v>
      </c>
      <c r="C487" s="6">
        <v>144</v>
      </c>
      <c r="D487" s="6" t="s">
        <v>1262</v>
      </c>
      <c r="E487" s="9">
        <v>27.06357927574</v>
      </c>
      <c r="F487" s="9">
        <v>576337.85522162274</v>
      </c>
      <c r="G487" s="9">
        <v>471071</v>
      </c>
      <c r="I487" s="6" t="str">
        <f t="shared" si="57"/>
        <v>885144</v>
      </c>
      <c r="J487" s="6">
        <f t="shared" si="58"/>
        <v>885</v>
      </c>
      <c r="K487" s="6" t="str">
        <f t="shared" si="59"/>
        <v>Whittier</v>
      </c>
      <c r="L487" s="6">
        <f t="shared" si="60"/>
        <v>144</v>
      </c>
      <c r="M487" s="6" t="str">
        <f t="shared" si="61"/>
        <v xml:space="preserve">Ipswich                      </v>
      </c>
      <c r="N487" s="9">
        <f t="shared" si="62"/>
        <v>27.06357927574</v>
      </c>
      <c r="O487" s="526">
        <f t="shared" si="63"/>
        <v>576337.85522162274</v>
      </c>
      <c r="P487" s="526">
        <f t="shared" si="64"/>
        <v>471071</v>
      </c>
      <c r="Q487" s="526"/>
      <c r="R487" s="526"/>
    </row>
    <row r="488" spans="1:18">
      <c r="A488" s="6">
        <v>885</v>
      </c>
      <c r="B488" s="6" t="s">
        <v>1117</v>
      </c>
      <c r="C488" s="6">
        <v>180</v>
      </c>
      <c r="D488" s="6" t="s">
        <v>1298</v>
      </c>
      <c r="E488" s="9">
        <v>40.094191517250003</v>
      </c>
      <c r="F488" s="9">
        <v>853833.85953722883</v>
      </c>
      <c r="G488" s="9">
        <v>615345</v>
      </c>
      <c r="I488" s="6" t="str">
        <f t="shared" si="57"/>
        <v>885180</v>
      </c>
      <c r="J488" s="6">
        <f t="shared" si="58"/>
        <v>885</v>
      </c>
      <c r="K488" s="6" t="str">
        <f t="shared" si="59"/>
        <v>Whittier</v>
      </c>
      <c r="L488" s="6">
        <f t="shared" si="60"/>
        <v>180</v>
      </c>
      <c r="M488" s="6" t="str">
        <f t="shared" si="61"/>
        <v xml:space="preserve">Merrimac                     </v>
      </c>
      <c r="N488" s="9">
        <f t="shared" si="62"/>
        <v>40.094191517250003</v>
      </c>
      <c r="O488" s="526">
        <f t="shared" si="63"/>
        <v>853833.85953722883</v>
      </c>
      <c r="P488" s="526">
        <f t="shared" si="64"/>
        <v>615345</v>
      </c>
      <c r="Q488" s="526"/>
      <c r="R488" s="526"/>
    </row>
    <row r="489" spans="1:18">
      <c r="A489" s="6">
        <v>885</v>
      </c>
      <c r="B489" s="6" t="s">
        <v>1117</v>
      </c>
      <c r="C489" s="6">
        <v>203</v>
      </c>
      <c r="D489" s="6" t="s">
        <v>1321</v>
      </c>
      <c r="E489" s="9">
        <v>16.0376766069</v>
      </c>
      <c r="F489" s="9">
        <v>341533.54381489148</v>
      </c>
      <c r="G489" s="9">
        <v>281765</v>
      </c>
      <c r="I489" s="6" t="str">
        <f t="shared" si="57"/>
        <v>885203</v>
      </c>
      <c r="J489" s="6">
        <f t="shared" si="58"/>
        <v>885</v>
      </c>
      <c r="K489" s="6" t="str">
        <f t="shared" si="59"/>
        <v>Whittier</v>
      </c>
      <c r="L489" s="6">
        <f t="shared" si="60"/>
        <v>203</v>
      </c>
      <c r="M489" s="6" t="str">
        <f t="shared" si="61"/>
        <v xml:space="preserve">Newbury                      </v>
      </c>
      <c r="N489" s="9">
        <f t="shared" si="62"/>
        <v>16.0376766069</v>
      </c>
      <c r="O489" s="526">
        <f t="shared" si="63"/>
        <v>341533.54381489148</v>
      </c>
      <c r="P489" s="526">
        <f t="shared" si="64"/>
        <v>281765</v>
      </c>
      <c r="Q489" s="526"/>
      <c r="R489" s="526"/>
    </row>
    <row r="490" spans="1:18">
      <c r="A490" s="6">
        <v>885</v>
      </c>
      <c r="B490" s="6" t="s">
        <v>1117</v>
      </c>
      <c r="C490" s="6">
        <v>204</v>
      </c>
      <c r="D490" s="6" t="s">
        <v>1322</v>
      </c>
      <c r="E490" s="9">
        <v>32.0753532138</v>
      </c>
      <c r="F490" s="9">
        <v>683067.08762978297</v>
      </c>
      <c r="G490" s="9">
        <v>562671</v>
      </c>
      <c r="I490" s="6" t="str">
        <f t="shared" si="57"/>
        <v>885204</v>
      </c>
      <c r="J490" s="6">
        <f t="shared" si="58"/>
        <v>885</v>
      </c>
      <c r="K490" s="6" t="str">
        <f t="shared" si="59"/>
        <v>Whittier</v>
      </c>
      <c r="L490" s="6">
        <f t="shared" si="60"/>
        <v>204</v>
      </c>
      <c r="M490" s="6" t="str">
        <f t="shared" si="61"/>
        <v xml:space="preserve">Newburyport                  </v>
      </c>
      <c r="N490" s="9">
        <f t="shared" si="62"/>
        <v>32.0753532138</v>
      </c>
      <c r="O490" s="526">
        <f t="shared" si="63"/>
        <v>683067.08762978297</v>
      </c>
      <c r="P490" s="526">
        <f t="shared" si="64"/>
        <v>562671</v>
      </c>
      <c r="Q490" s="526"/>
      <c r="R490" s="526"/>
    </row>
    <row r="491" spans="1:18">
      <c r="A491" s="6">
        <v>885</v>
      </c>
      <c r="B491" s="6" t="s">
        <v>1117</v>
      </c>
      <c r="C491" s="6">
        <v>254</v>
      </c>
      <c r="D491" s="6" t="s">
        <v>1372</v>
      </c>
      <c r="E491" s="9">
        <v>20.047095765009999</v>
      </c>
      <c r="F491" s="9">
        <v>426916.92990458745</v>
      </c>
      <c r="G491" s="9">
        <v>333447</v>
      </c>
      <c r="I491" s="6" t="str">
        <f t="shared" si="57"/>
        <v>885254</v>
      </c>
      <c r="J491" s="6">
        <f t="shared" si="58"/>
        <v>885</v>
      </c>
      <c r="K491" s="6" t="str">
        <f t="shared" si="59"/>
        <v>Whittier</v>
      </c>
      <c r="L491" s="6">
        <f t="shared" si="60"/>
        <v>254</v>
      </c>
      <c r="M491" s="6" t="str">
        <f t="shared" si="61"/>
        <v xml:space="preserve">Rowley                       </v>
      </c>
      <c r="N491" s="9">
        <f t="shared" si="62"/>
        <v>20.047095765009999</v>
      </c>
      <c r="O491" s="526">
        <f t="shared" si="63"/>
        <v>426916.92990458745</v>
      </c>
      <c r="P491" s="526">
        <f t="shared" si="64"/>
        <v>333447</v>
      </c>
      <c r="Q491" s="526"/>
      <c r="R491" s="526"/>
    </row>
    <row r="492" spans="1:18">
      <c r="A492" s="6">
        <v>885</v>
      </c>
      <c r="B492" s="6" t="s">
        <v>1117</v>
      </c>
      <c r="C492" s="6">
        <v>259</v>
      </c>
      <c r="D492" s="6" t="s">
        <v>1377</v>
      </c>
      <c r="E492" s="9">
        <v>53.124803771530004</v>
      </c>
      <c r="F492" s="9">
        <v>1131329.864124781</v>
      </c>
      <c r="G492" s="9">
        <v>907103</v>
      </c>
      <c r="I492" s="6" t="str">
        <f t="shared" si="57"/>
        <v>885259</v>
      </c>
      <c r="J492" s="6">
        <f t="shared" si="58"/>
        <v>885</v>
      </c>
      <c r="K492" s="6" t="str">
        <f t="shared" si="59"/>
        <v>Whittier</v>
      </c>
      <c r="L492" s="6">
        <f t="shared" si="60"/>
        <v>259</v>
      </c>
      <c r="M492" s="6" t="str">
        <f t="shared" si="61"/>
        <v xml:space="preserve">Salisbury                    </v>
      </c>
      <c r="N492" s="9">
        <f t="shared" si="62"/>
        <v>53.124803771530004</v>
      </c>
      <c r="O492" s="526">
        <f t="shared" si="63"/>
        <v>1131329.864124781</v>
      </c>
      <c r="P492" s="526">
        <f t="shared" si="64"/>
        <v>907103</v>
      </c>
      <c r="Q492" s="526"/>
      <c r="R492" s="526"/>
    </row>
    <row r="493" spans="1:18">
      <c r="A493" s="6">
        <v>885</v>
      </c>
      <c r="B493" s="6" t="s">
        <v>1117</v>
      </c>
      <c r="C493" s="6">
        <v>329</v>
      </c>
      <c r="D493" s="6" t="s">
        <v>1447</v>
      </c>
      <c r="E493" s="9">
        <v>15.03532182695</v>
      </c>
      <c r="F493" s="9">
        <v>320187.69749642711</v>
      </c>
      <c r="G493" s="9">
        <v>257751</v>
      </c>
      <c r="I493" s="6" t="str">
        <f t="shared" si="57"/>
        <v>885329</v>
      </c>
      <c r="J493" s="6">
        <f t="shared" si="58"/>
        <v>885</v>
      </c>
      <c r="K493" s="6" t="str">
        <f t="shared" si="59"/>
        <v>Whittier</v>
      </c>
      <c r="L493" s="6">
        <f t="shared" si="60"/>
        <v>329</v>
      </c>
      <c r="M493" s="6" t="str">
        <f t="shared" si="61"/>
        <v xml:space="preserve">West Newbury                 </v>
      </c>
      <c r="N493" s="9">
        <f t="shared" si="62"/>
        <v>15.03532182695</v>
      </c>
      <c r="O493" s="526">
        <f t="shared" si="63"/>
        <v>320187.69749642711</v>
      </c>
      <c r="P493" s="526">
        <f t="shared" si="64"/>
        <v>257751</v>
      </c>
      <c r="Q493" s="526"/>
      <c r="R493" s="526"/>
    </row>
    <row r="494" spans="1:18">
      <c r="A494" s="6" t="s">
        <v>2371</v>
      </c>
      <c r="E494" s="9">
        <v>1277.0000000000002</v>
      </c>
      <c r="F494" s="9">
        <v>27194608.429999992</v>
      </c>
      <c r="G494" s="9">
        <v>13749864</v>
      </c>
      <c r="I494" s="6" t="str">
        <f t="shared" si="57"/>
        <v>885999</v>
      </c>
      <c r="J494" s="6">
        <f t="shared" si="58"/>
        <v>885</v>
      </c>
      <c r="K494" s="6">
        <f t="shared" si="59"/>
        <v>0</v>
      </c>
      <c r="L494" s="6">
        <f t="shared" si="60"/>
        <v>0</v>
      </c>
      <c r="M494" s="6">
        <f t="shared" si="61"/>
        <v>0</v>
      </c>
      <c r="N494" s="9">
        <f t="shared" si="62"/>
        <v>1277.0000000000002</v>
      </c>
      <c r="O494" s="526">
        <f t="shared" si="63"/>
        <v>27194608.429999992</v>
      </c>
      <c r="P494" s="526">
        <f t="shared" si="64"/>
        <v>13749864</v>
      </c>
      <c r="Q494" s="526">
        <f>VLOOKUP($J494,aidcalc,25,FALSE)</f>
        <v>13520415</v>
      </c>
      <c r="R494" s="526">
        <f>VLOOKUP($J494,aidcalc,27,FALSE)</f>
        <v>27270279</v>
      </c>
    </row>
    <row r="495" spans="1:18">
      <c r="A495" s="6">
        <v>910</v>
      </c>
      <c r="B495" s="6" t="s">
        <v>1118</v>
      </c>
      <c r="C495" s="6">
        <v>3</v>
      </c>
      <c r="D495" s="6" t="s">
        <v>1122</v>
      </c>
      <c r="E495" s="9">
        <v>19.000000001990003</v>
      </c>
      <c r="F495" s="9">
        <v>396103.94753659435</v>
      </c>
      <c r="G495" s="9">
        <v>224457</v>
      </c>
      <c r="I495" s="6" t="str">
        <f t="shared" si="57"/>
        <v>910003</v>
      </c>
      <c r="J495" s="6">
        <f t="shared" si="58"/>
        <v>910</v>
      </c>
      <c r="K495" s="6" t="str">
        <f t="shared" si="59"/>
        <v>Bristol County</v>
      </c>
      <c r="L495" s="6">
        <f t="shared" si="60"/>
        <v>3</v>
      </c>
      <c r="M495" s="6" t="str">
        <f t="shared" si="61"/>
        <v xml:space="preserve">Acushnet                     </v>
      </c>
      <c r="N495" s="9">
        <f t="shared" si="62"/>
        <v>19.000000001990003</v>
      </c>
      <c r="O495" s="526">
        <f t="shared" si="63"/>
        <v>396103.94753659435</v>
      </c>
      <c r="P495" s="526">
        <f t="shared" si="64"/>
        <v>224457</v>
      </c>
      <c r="Q495" s="526"/>
      <c r="R495" s="526"/>
    </row>
    <row r="496" spans="1:18">
      <c r="A496" s="6">
        <v>910</v>
      </c>
      <c r="B496" s="6" t="s">
        <v>1118</v>
      </c>
      <c r="C496" s="6">
        <v>16</v>
      </c>
      <c r="D496" s="6" t="s">
        <v>1135</v>
      </c>
      <c r="E496" s="9">
        <v>20.999999999510003</v>
      </c>
      <c r="F496" s="9">
        <v>437799.09985279839</v>
      </c>
      <c r="G496" s="9">
        <v>197554</v>
      </c>
      <c r="I496" s="6" t="str">
        <f t="shared" si="57"/>
        <v>910016</v>
      </c>
      <c r="J496" s="6">
        <f t="shared" si="58"/>
        <v>910</v>
      </c>
      <c r="K496" s="6" t="str">
        <f t="shared" si="59"/>
        <v>Bristol County</v>
      </c>
      <c r="L496" s="6">
        <f t="shared" si="60"/>
        <v>16</v>
      </c>
      <c r="M496" s="6" t="str">
        <f t="shared" si="61"/>
        <v xml:space="preserve">Attleboro                    </v>
      </c>
      <c r="N496" s="9">
        <f t="shared" si="62"/>
        <v>20.999999999510003</v>
      </c>
      <c r="O496" s="526">
        <f t="shared" si="63"/>
        <v>437799.09985279839</v>
      </c>
      <c r="P496" s="526">
        <f t="shared" si="64"/>
        <v>197554</v>
      </c>
      <c r="Q496" s="526"/>
      <c r="R496" s="526"/>
    </row>
    <row r="497" spans="1:18">
      <c r="A497" s="6">
        <v>910</v>
      </c>
      <c r="B497" s="6" t="s">
        <v>1118</v>
      </c>
      <c r="C497" s="6">
        <v>27</v>
      </c>
      <c r="D497" s="6" t="s">
        <v>1146</v>
      </c>
      <c r="E497" s="9">
        <v>13.999999997970001</v>
      </c>
      <c r="F497" s="9">
        <v>291866.06653302186</v>
      </c>
      <c r="G497" s="9">
        <v>164633</v>
      </c>
      <c r="I497" s="6" t="str">
        <f t="shared" si="57"/>
        <v>910027</v>
      </c>
      <c r="J497" s="6">
        <f t="shared" si="58"/>
        <v>910</v>
      </c>
      <c r="K497" s="6" t="str">
        <f t="shared" si="59"/>
        <v>Bristol County</v>
      </c>
      <c r="L497" s="6">
        <f t="shared" si="60"/>
        <v>27</v>
      </c>
      <c r="M497" s="6" t="str">
        <f t="shared" si="61"/>
        <v xml:space="preserve">Berkley                      </v>
      </c>
      <c r="N497" s="9">
        <f t="shared" si="62"/>
        <v>13.999999997970001</v>
      </c>
      <c r="O497" s="526">
        <f t="shared" si="63"/>
        <v>291866.06653302186</v>
      </c>
      <c r="P497" s="526">
        <f t="shared" si="64"/>
        <v>164633</v>
      </c>
      <c r="Q497" s="526"/>
      <c r="R497" s="526"/>
    </row>
    <row r="498" spans="1:18">
      <c r="A498" s="6">
        <v>910</v>
      </c>
      <c r="B498" s="6" t="s">
        <v>1118</v>
      </c>
      <c r="C498" s="6">
        <v>72</v>
      </c>
      <c r="D498" s="6" t="s">
        <v>1191</v>
      </c>
      <c r="E498" s="9">
        <v>23.000000002140002</v>
      </c>
      <c r="F498" s="9">
        <v>479494.25227553357</v>
      </c>
      <c r="G498" s="9">
        <v>388139</v>
      </c>
      <c r="I498" s="6" t="str">
        <f t="shared" si="57"/>
        <v>910072</v>
      </c>
      <c r="J498" s="6">
        <f t="shared" si="58"/>
        <v>910</v>
      </c>
      <c r="K498" s="6" t="str">
        <f t="shared" si="59"/>
        <v>Bristol County</v>
      </c>
      <c r="L498" s="6">
        <f t="shared" si="60"/>
        <v>72</v>
      </c>
      <c r="M498" s="6" t="str">
        <f t="shared" si="61"/>
        <v xml:space="preserve">Dartmouth                    </v>
      </c>
      <c r="N498" s="9">
        <f t="shared" si="62"/>
        <v>23.000000002140002</v>
      </c>
      <c r="O498" s="526">
        <f t="shared" si="63"/>
        <v>479494.25227553357</v>
      </c>
      <c r="P498" s="526">
        <f t="shared" si="64"/>
        <v>388139</v>
      </c>
      <c r="Q498" s="526"/>
      <c r="R498" s="526"/>
    </row>
    <row r="499" spans="1:18">
      <c r="A499" s="6">
        <v>910</v>
      </c>
      <c r="B499" s="6" t="s">
        <v>1118</v>
      </c>
      <c r="C499" s="6">
        <v>76</v>
      </c>
      <c r="D499" s="6" t="s">
        <v>1195</v>
      </c>
      <c r="E499" s="9">
        <v>28.000000001050001</v>
      </c>
      <c r="F499" s="9">
        <v>583732.13317257492</v>
      </c>
      <c r="G499" s="9">
        <v>297981</v>
      </c>
      <c r="I499" s="6" t="str">
        <f t="shared" si="57"/>
        <v>910076</v>
      </c>
      <c r="J499" s="6">
        <f t="shared" si="58"/>
        <v>910</v>
      </c>
      <c r="K499" s="6" t="str">
        <f t="shared" si="59"/>
        <v>Bristol County</v>
      </c>
      <c r="L499" s="6">
        <f t="shared" si="60"/>
        <v>76</v>
      </c>
      <c r="M499" s="6" t="str">
        <f t="shared" si="61"/>
        <v xml:space="preserve">Dighton                      </v>
      </c>
      <c r="N499" s="9">
        <f t="shared" si="62"/>
        <v>28.000000001050001</v>
      </c>
      <c r="O499" s="526">
        <f t="shared" si="63"/>
        <v>583732.13317257492</v>
      </c>
      <c r="P499" s="526">
        <f t="shared" si="64"/>
        <v>297981</v>
      </c>
      <c r="Q499" s="526"/>
      <c r="R499" s="526"/>
    </row>
    <row r="500" spans="1:18">
      <c r="A500" s="6">
        <v>910</v>
      </c>
      <c r="B500" s="6" t="s">
        <v>1118</v>
      </c>
      <c r="C500" s="6">
        <v>88</v>
      </c>
      <c r="D500" s="6" t="s">
        <v>1207</v>
      </c>
      <c r="E500" s="9">
        <v>8.9999999990599999</v>
      </c>
      <c r="F500" s="9">
        <v>187628.18563598057</v>
      </c>
      <c r="G500" s="9">
        <v>146905</v>
      </c>
      <c r="I500" s="6" t="str">
        <f t="shared" si="57"/>
        <v>910088</v>
      </c>
      <c r="J500" s="6">
        <f t="shared" si="58"/>
        <v>910</v>
      </c>
      <c r="K500" s="6" t="str">
        <f t="shared" si="59"/>
        <v>Bristol County</v>
      </c>
      <c r="L500" s="6">
        <f t="shared" si="60"/>
        <v>88</v>
      </c>
      <c r="M500" s="6" t="str">
        <f t="shared" si="61"/>
        <v xml:space="preserve">Easton                       </v>
      </c>
      <c r="N500" s="9">
        <f t="shared" si="62"/>
        <v>8.9999999990599999</v>
      </c>
      <c r="O500" s="526">
        <f t="shared" si="63"/>
        <v>187628.18563598057</v>
      </c>
      <c r="P500" s="526">
        <f t="shared" si="64"/>
        <v>146905</v>
      </c>
      <c r="Q500" s="526"/>
      <c r="R500" s="526"/>
    </row>
    <row r="501" spans="1:18">
      <c r="A501" s="6">
        <v>910</v>
      </c>
      <c r="B501" s="6" t="s">
        <v>1118</v>
      </c>
      <c r="C501" s="6">
        <v>94</v>
      </c>
      <c r="D501" s="6" t="s">
        <v>1213</v>
      </c>
      <c r="E501" s="9">
        <v>29.999999998570001</v>
      </c>
      <c r="F501" s="9">
        <v>625427.28548877896</v>
      </c>
      <c r="G501" s="9">
        <v>394620</v>
      </c>
      <c r="I501" s="6" t="str">
        <f t="shared" si="57"/>
        <v>910094</v>
      </c>
      <c r="J501" s="6">
        <f t="shared" si="58"/>
        <v>910</v>
      </c>
      <c r="K501" s="6" t="str">
        <f t="shared" si="59"/>
        <v>Bristol County</v>
      </c>
      <c r="L501" s="6">
        <f t="shared" si="60"/>
        <v>94</v>
      </c>
      <c r="M501" s="6" t="str">
        <f t="shared" si="61"/>
        <v xml:space="preserve">Fairhaven                    </v>
      </c>
      <c r="N501" s="9">
        <f t="shared" si="62"/>
        <v>29.999999998570001</v>
      </c>
      <c r="O501" s="526">
        <f t="shared" si="63"/>
        <v>625427.28548877896</v>
      </c>
      <c r="P501" s="526">
        <f t="shared" si="64"/>
        <v>394620</v>
      </c>
      <c r="Q501" s="526"/>
      <c r="R501" s="526"/>
    </row>
    <row r="502" spans="1:18">
      <c r="A502" s="6">
        <v>910</v>
      </c>
      <c r="B502" s="6" t="s">
        <v>1118</v>
      </c>
      <c r="C502" s="6">
        <v>95</v>
      </c>
      <c r="D502" s="6" t="s">
        <v>1214</v>
      </c>
      <c r="E502" s="9">
        <v>50.99999999808</v>
      </c>
      <c r="F502" s="9">
        <v>1063226.3853415775</v>
      </c>
      <c r="G502" s="9">
        <v>178135</v>
      </c>
      <c r="I502" s="6" t="str">
        <f t="shared" si="57"/>
        <v>910095</v>
      </c>
      <c r="J502" s="6">
        <f t="shared" si="58"/>
        <v>910</v>
      </c>
      <c r="K502" s="6" t="str">
        <f t="shared" si="59"/>
        <v>Bristol County</v>
      </c>
      <c r="L502" s="6">
        <f t="shared" si="60"/>
        <v>95</v>
      </c>
      <c r="M502" s="6" t="str">
        <f t="shared" si="61"/>
        <v xml:space="preserve">Fall River                   </v>
      </c>
      <c r="N502" s="9">
        <f t="shared" si="62"/>
        <v>50.99999999808</v>
      </c>
      <c r="O502" s="526">
        <f t="shared" si="63"/>
        <v>1063226.3853415775</v>
      </c>
      <c r="P502" s="526">
        <f t="shared" si="64"/>
        <v>178135</v>
      </c>
      <c r="Q502" s="526"/>
      <c r="R502" s="526"/>
    </row>
    <row r="503" spans="1:18">
      <c r="A503" s="6">
        <v>910</v>
      </c>
      <c r="B503" s="6" t="s">
        <v>1118</v>
      </c>
      <c r="C503" s="6">
        <v>102</v>
      </c>
      <c r="D503" s="6" t="s">
        <v>1221</v>
      </c>
      <c r="E503" s="9">
        <v>21.999999998270003</v>
      </c>
      <c r="F503" s="9">
        <v>458646.67601090041</v>
      </c>
      <c r="G503" s="9">
        <v>334313</v>
      </c>
      <c r="I503" s="6" t="str">
        <f t="shared" si="57"/>
        <v>910102</v>
      </c>
      <c r="J503" s="6">
        <f t="shared" si="58"/>
        <v>910</v>
      </c>
      <c r="K503" s="6" t="str">
        <f t="shared" si="59"/>
        <v>Bristol County</v>
      </c>
      <c r="L503" s="6">
        <f t="shared" si="60"/>
        <v>102</v>
      </c>
      <c r="M503" s="6" t="str">
        <f t="shared" si="61"/>
        <v xml:space="preserve">Freetown                     </v>
      </c>
      <c r="N503" s="9">
        <f t="shared" si="62"/>
        <v>21.999999998270003</v>
      </c>
      <c r="O503" s="526">
        <f t="shared" si="63"/>
        <v>458646.67601090041</v>
      </c>
      <c r="P503" s="526">
        <f t="shared" si="64"/>
        <v>334313</v>
      </c>
      <c r="Q503" s="526"/>
      <c r="R503" s="526"/>
    </row>
    <row r="504" spans="1:18">
      <c r="A504" s="6">
        <v>910</v>
      </c>
      <c r="B504" s="6" t="s">
        <v>1118</v>
      </c>
      <c r="C504" s="6">
        <v>167</v>
      </c>
      <c r="D504" s="6" t="s">
        <v>1285</v>
      </c>
      <c r="E504" s="9">
        <v>9.9999999978199998</v>
      </c>
      <c r="F504" s="9">
        <v>208475.76179408262</v>
      </c>
      <c r="G504" s="9">
        <v>158139</v>
      </c>
      <c r="I504" s="6" t="str">
        <f t="shared" si="57"/>
        <v>910167</v>
      </c>
      <c r="J504" s="6">
        <f t="shared" si="58"/>
        <v>910</v>
      </c>
      <c r="K504" s="6" t="str">
        <f t="shared" si="59"/>
        <v>Bristol County</v>
      </c>
      <c r="L504" s="6">
        <f t="shared" si="60"/>
        <v>167</v>
      </c>
      <c r="M504" s="6" t="str">
        <f t="shared" si="61"/>
        <v xml:space="preserve">Mansfield                    </v>
      </c>
      <c r="N504" s="9">
        <f t="shared" si="62"/>
        <v>9.9999999978199998</v>
      </c>
      <c r="O504" s="526">
        <f t="shared" si="63"/>
        <v>208475.76179408262</v>
      </c>
      <c r="P504" s="526">
        <f t="shared" si="64"/>
        <v>158139</v>
      </c>
      <c r="Q504" s="526"/>
      <c r="R504" s="526"/>
    </row>
    <row r="505" spans="1:18">
      <c r="A505" s="6">
        <v>910</v>
      </c>
      <c r="B505" s="6" t="s">
        <v>1118</v>
      </c>
      <c r="C505" s="6">
        <v>201</v>
      </c>
      <c r="D505" s="6" t="s">
        <v>1319</v>
      </c>
      <c r="E505" s="9">
        <v>58.999999998380005</v>
      </c>
      <c r="F505" s="9">
        <v>1230006.994819456</v>
      </c>
      <c r="G505" s="9">
        <v>170768</v>
      </c>
      <c r="I505" s="6" t="str">
        <f t="shared" si="57"/>
        <v>910201</v>
      </c>
      <c r="J505" s="6">
        <f t="shared" si="58"/>
        <v>910</v>
      </c>
      <c r="K505" s="6" t="str">
        <f t="shared" si="59"/>
        <v>Bristol County</v>
      </c>
      <c r="L505" s="6">
        <f t="shared" si="60"/>
        <v>201</v>
      </c>
      <c r="M505" s="6" t="str">
        <f t="shared" si="61"/>
        <v xml:space="preserve">New Bedford                  </v>
      </c>
      <c r="N505" s="9">
        <f t="shared" si="62"/>
        <v>58.999999998380005</v>
      </c>
      <c r="O505" s="526">
        <f t="shared" si="63"/>
        <v>1230006.994819456</v>
      </c>
      <c r="P505" s="526">
        <f t="shared" si="64"/>
        <v>170768</v>
      </c>
      <c r="Q505" s="526"/>
      <c r="R505" s="526"/>
    </row>
    <row r="506" spans="1:18">
      <c r="A506" s="6">
        <v>910</v>
      </c>
      <c r="B506" s="6" t="s">
        <v>1118</v>
      </c>
      <c r="C506" s="6">
        <v>212</v>
      </c>
      <c r="D506" s="6" t="s">
        <v>1330</v>
      </c>
      <c r="E506" s="9">
        <v>8.9999999990599999</v>
      </c>
      <c r="F506" s="9">
        <v>187628.18563598057</v>
      </c>
      <c r="G506" s="9">
        <v>122824</v>
      </c>
      <c r="I506" s="6" t="str">
        <f t="shared" si="57"/>
        <v>910212</v>
      </c>
      <c r="J506" s="6">
        <f t="shared" si="58"/>
        <v>910</v>
      </c>
      <c r="K506" s="6" t="str">
        <f t="shared" si="59"/>
        <v>Bristol County</v>
      </c>
      <c r="L506" s="6">
        <f t="shared" si="60"/>
        <v>212</v>
      </c>
      <c r="M506" s="6" t="str">
        <f t="shared" si="61"/>
        <v xml:space="preserve">North Attleborough           </v>
      </c>
      <c r="N506" s="9">
        <f t="shared" si="62"/>
        <v>8.9999999990599999</v>
      </c>
      <c r="O506" s="526">
        <f t="shared" si="63"/>
        <v>187628.18563598057</v>
      </c>
      <c r="P506" s="526">
        <f t="shared" si="64"/>
        <v>122824</v>
      </c>
      <c r="Q506" s="526"/>
      <c r="R506" s="526"/>
    </row>
    <row r="507" spans="1:18">
      <c r="A507" s="6">
        <v>910</v>
      </c>
      <c r="B507" s="6" t="s">
        <v>1118</v>
      </c>
      <c r="C507" s="6">
        <v>218</v>
      </c>
      <c r="D507" s="6" t="s">
        <v>1336</v>
      </c>
      <c r="E507" s="9">
        <v>15.000000001839998</v>
      </c>
      <c r="F507" s="9">
        <v>312713.64279765502</v>
      </c>
      <c r="G507" s="9">
        <v>237068</v>
      </c>
      <c r="I507" s="6" t="str">
        <f t="shared" si="57"/>
        <v>910218</v>
      </c>
      <c r="J507" s="6">
        <f t="shared" si="58"/>
        <v>910</v>
      </c>
      <c r="K507" s="6" t="str">
        <f t="shared" si="59"/>
        <v>Bristol County</v>
      </c>
      <c r="L507" s="6">
        <f t="shared" si="60"/>
        <v>218</v>
      </c>
      <c r="M507" s="6" t="str">
        <f t="shared" si="61"/>
        <v xml:space="preserve">Norton                       </v>
      </c>
      <c r="N507" s="9">
        <f t="shared" si="62"/>
        <v>15.000000001839998</v>
      </c>
      <c r="O507" s="526">
        <f t="shared" si="63"/>
        <v>312713.64279765502</v>
      </c>
      <c r="P507" s="526">
        <f t="shared" si="64"/>
        <v>237068</v>
      </c>
      <c r="Q507" s="526"/>
      <c r="R507" s="526"/>
    </row>
    <row r="508" spans="1:18">
      <c r="A508" s="6">
        <v>910</v>
      </c>
      <c r="B508" s="6" t="s">
        <v>1118</v>
      </c>
      <c r="C508" s="6">
        <v>245</v>
      </c>
      <c r="D508" s="6" t="s">
        <v>1363</v>
      </c>
      <c r="E508" s="9">
        <v>9.9999999978199998</v>
      </c>
      <c r="F508" s="9">
        <v>208475.76179408262</v>
      </c>
      <c r="G508" s="9">
        <v>124020</v>
      </c>
      <c r="I508" s="6" t="str">
        <f t="shared" si="57"/>
        <v>910245</v>
      </c>
      <c r="J508" s="6">
        <f t="shared" si="58"/>
        <v>910</v>
      </c>
      <c r="K508" s="6" t="str">
        <f t="shared" si="59"/>
        <v>Bristol County</v>
      </c>
      <c r="L508" s="6">
        <f t="shared" si="60"/>
        <v>245</v>
      </c>
      <c r="M508" s="6" t="str">
        <f t="shared" si="61"/>
        <v xml:space="preserve">Raynham                      </v>
      </c>
      <c r="N508" s="9">
        <f t="shared" si="62"/>
        <v>9.9999999978199998</v>
      </c>
      <c r="O508" s="526">
        <f t="shared" si="63"/>
        <v>208475.76179408262</v>
      </c>
      <c r="P508" s="526">
        <f t="shared" si="64"/>
        <v>124020</v>
      </c>
      <c r="Q508" s="526"/>
      <c r="R508" s="526"/>
    </row>
    <row r="509" spans="1:18">
      <c r="A509" s="6">
        <v>910</v>
      </c>
      <c r="B509" s="6" t="s">
        <v>1118</v>
      </c>
      <c r="C509" s="6">
        <v>247</v>
      </c>
      <c r="D509" s="6" t="s">
        <v>1365</v>
      </c>
      <c r="E509" s="9">
        <v>34.999999997480003</v>
      </c>
      <c r="F509" s="9">
        <v>729665.16638582025</v>
      </c>
      <c r="G509" s="9">
        <v>601974</v>
      </c>
      <c r="I509" s="6" t="str">
        <f t="shared" si="57"/>
        <v>910247</v>
      </c>
      <c r="J509" s="6">
        <f t="shared" si="58"/>
        <v>910</v>
      </c>
      <c r="K509" s="6" t="str">
        <f t="shared" si="59"/>
        <v>Bristol County</v>
      </c>
      <c r="L509" s="6">
        <f t="shared" si="60"/>
        <v>247</v>
      </c>
      <c r="M509" s="6" t="str">
        <f t="shared" si="61"/>
        <v xml:space="preserve">Rehoboth                     </v>
      </c>
      <c r="N509" s="9">
        <f t="shared" si="62"/>
        <v>34.999999997480003</v>
      </c>
      <c r="O509" s="526">
        <f t="shared" si="63"/>
        <v>729665.16638582025</v>
      </c>
      <c r="P509" s="526">
        <f t="shared" si="64"/>
        <v>601974</v>
      </c>
      <c r="Q509" s="526"/>
      <c r="R509" s="526"/>
    </row>
    <row r="510" spans="1:18">
      <c r="A510" s="6">
        <v>910</v>
      </c>
      <c r="B510" s="6" t="s">
        <v>1118</v>
      </c>
      <c r="C510" s="6">
        <v>265</v>
      </c>
      <c r="D510" s="6" t="s">
        <v>1383</v>
      </c>
      <c r="E510" s="9">
        <v>12.999999999210001</v>
      </c>
      <c r="F510" s="9">
        <v>271018.49037491984</v>
      </c>
      <c r="G510" s="9">
        <v>195014</v>
      </c>
      <c r="I510" s="6" t="str">
        <f t="shared" si="57"/>
        <v>910265</v>
      </c>
      <c r="J510" s="6">
        <f t="shared" si="58"/>
        <v>910</v>
      </c>
      <c r="K510" s="6" t="str">
        <f t="shared" si="59"/>
        <v>Bristol County</v>
      </c>
      <c r="L510" s="6">
        <f t="shared" si="60"/>
        <v>265</v>
      </c>
      <c r="M510" s="6" t="str">
        <f t="shared" si="61"/>
        <v xml:space="preserve">Seekonk                      </v>
      </c>
      <c r="N510" s="9">
        <f t="shared" si="62"/>
        <v>12.999999999210001</v>
      </c>
      <c r="O510" s="526">
        <f t="shared" si="63"/>
        <v>271018.49037491984</v>
      </c>
      <c r="P510" s="526">
        <f t="shared" si="64"/>
        <v>195014</v>
      </c>
      <c r="Q510" s="526"/>
      <c r="R510" s="526"/>
    </row>
    <row r="511" spans="1:18">
      <c r="A511" s="6">
        <v>910</v>
      </c>
      <c r="B511" s="6" t="s">
        <v>1118</v>
      </c>
      <c r="C511" s="6">
        <v>273</v>
      </c>
      <c r="D511" s="6" t="s">
        <v>1391</v>
      </c>
      <c r="E511" s="9">
        <v>32.999999999960004</v>
      </c>
      <c r="F511" s="9">
        <v>687970.01406961621</v>
      </c>
      <c r="G511" s="9">
        <v>357950</v>
      </c>
      <c r="I511" s="6" t="str">
        <f t="shared" si="57"/>
        <v>910273</v>
      </c>
      <c r="J511" s="6">
        <f t="shared" si="58"/>
        <v>910</v>
      </c>
      <c r="K511" s="6" t="str">
        <f t="shared" si="59"/>
        <v>Bristol County</v>
      </c>
      <c r="L511" s="6">
        <f t="shared" si="60"/>
        <v>273</v>
      </c>
      <c r="M511" s="6" t="str">
        <f t="shared" si="61"/>
        <v xml:space="preserve">Somerset                     </v>
      </c>
      <c r="N511" s="9">
        <f t="shared" si="62"/>
        <v>32.999999999960004</v>
      </c>
      <c r="O511" s="526">
        <f t="shared" si="63"/>
        <v>687970.01406961621</v>
      </c>
      <c r="P511" s="526">
        <f t="shared" si="64"/>
        <v>357950</v>
      </c>
      <c r="Q511" s="526"/>
      <c r="R511" s="526"/>
    </row>
    <row r="512" spans="1:18">
      <c r="A512" s="6">
        <v>910</v>
      </c>
      <c r="B512" s="6" t="s">
        <v>1118</v>
      </c>
      <c r="C512" s="6">
        <v>292</v>
      </c>
      <c r="D512" s="6" t="s">
        <v>1410</v>
      </c>
      <c r="E512" s="9">
        <v>29.999999998570001</v>
      </c>
      <c r="F512" s="9">
        <v>625427.28548877896</v>
      </c>
      <c r="G512" s="9">
        <v>380286</v>
      </c>
      <c r="I512" s="6" t="str">
        <f t="shared" si="57"/>
        <v>910292</v>
      </c>
      <c r="J512" s="6">
        <f t="shared" si="58"/>
        <v>910</v>
      </c>
      <c r="K512" s="6" t="str">
        <f t="shared" si="59"/>
        <v>Bristol County</v>
      </c>
      <c r="L512" s="6">
        <f t="shared" si="60"/>
        <v>292</v>
      </c>
      <c r="M512" s="6" t="str">
        <f t="shared" si="61"/>
        <v xml:space="preserve">Swansea                      </v>
      </c>
      <c r="N512" s="9">
        <f t="shared" si="62"/>
        <v>29.999999998570001</v>
      </c>
      <c r="O512" s="526">
        <f t="shared" si="63"/>
        <v>625427.28548877896</v>
      </c>
      <c r="P512" s="526">
        <f t="shared" si="64"/>
        <v>380286</v>
      </c>
      <c r="Q512" s="526"/>
      <c r="R512" s="526"/>
    </row>
    <row r="513" spans="1:18">
      <c r="A513" s="6">
        <v>910</v>
      </c>
      <c r="B513" s="6" t="s">
        <v>1118</v>
      </c>
      <c r="C513" s="6">
        <v>293</v>
      </c>
      <c r="D513" s="6" t="s">
        <v>1411</v>
      </c>
      <c r="E513" s="9">
        <v>46.999999997930004</v>
      </c>
      <c r="F513" s="9">
        <v>979836.08060263807</v>
      </c>
      <c r="G513" s="9">
        <v>315303</v>
      </c>
      <c r="I513" s="6" t="str">
        <f t="shared" si="57"/>
        <v>910293</v>
      </c>
      <c r="J513" s="6">
        <f t="shared" si="58"/>
        <v>910</v>
      </c>
      <c r="K513" s="6" t="str">
        <f t="shared" si="59"/>
        <v>Bristol County</v>
      </c>
      <c r="L513" s="6">
        <f t="shared" si="60"/>
        <v>293</v>
      </c>
      <c r="M513" s="6" t="str">
        <f t="shared" si="61"/>
        <v xml:space="preserve">Taunton                      </v>
      </c>
      <c r="N513" s="9">
        <f t="shared" si="62"/>
        <v>46.999999997930004</v>
      </c>
      <c r="O513" s="526">
        <f t="shared" si="63"/>
        <v>979836.08060263807</v>
      </c>
      <c r="P513" s="526">
        <f t="shared" si="64"/>
        <v>315303</v>
      </c>
      <c r="Q513" s="526"/>
      <c r="R513" s="526"/>
    </row>
    <row r="514" spans="1:18">
      <c r="A514" s="6">
        <v>910</v>
      </c>
      <c r="B514" s="6" t="s">
        <v>1118</v>
      </c>
      <c r="C514" s="6">
        <v>331</v>
      </c>
      <c r="D514" s="6" t="s">
        <v>1449</v>
      </c>
      <c r="E514" s="9">
        <v>32.999999999960004</v>
      </c>
      <c r="F514" s="9">
        <v>687970.01406961621</v>
      </c>
      <c r="G514" s="9">
        <v>514312</v>
      </c>
      <c r="I514" s="6" t="str">
        <f t="shared" si="57"/>
        <v>910331</v>
      </c>
      <c r="J514" s="6">
        <f t="shared" si="58"/>
        <v>910</v>
      </c>
      <c r="K514" s="6" t="str">
        <f t="shared" si="59"/>
        <v>Bristol County</v>
      </c>
      <c r="L514" s="6">
        <f t="shared" si="60"/>
        <v>331</v>
      </c>
      <c r="M514" s="6" t="str">
        <f t="shared" si="61"/>
        <v xml:space="preserve">Westport                     </v>
      </c>
      <c r="N514" s="9">
        <f t="shared" si="62"/>
        <v>32.999999999960004</v>
      </c>
      <c r="O514" s="526">
        <f t="shared" si="63"/>
        <v>687970.01406961621</v>
      </c>
      <c r="P514" s="526">
        <f t="shared" si="64"/>
        <v>514312</v>
      </c>
      <c r="Q514" s="526"/>
      <c r="R514" s="526"/>
    </row>
    <row r="515" spans="1:18">
      <c r="A515" s="6" t="s">
        <v>2372</v>
      </c>
      <c r="E515" s="9">
        <v>510.99999998466996</v>
      </c>
      <c r="F515" s="9">
        <v>10653111.429680407</v>
      </c>
      <c r="G515" s="9">
        <v>5504395</v>
      </c>
      <c r="I515" s="6" t="str">
        <f t="shared" si="57"/>
        <v>910999</v>
      </c>
      <c r="J515" s="6">
        <f t="shared" si="58"/>
        <v>910</v>
      </c>
      <c r="K515" s="6">
        <f t="shared" si="59"/>
        <v>0</v>
      </c>
      <c r="L515" s="6">
        <f t="shared" si="60"/>
        <v>0</v>
      </c>
      <c r="M515" s="6">
        <f t="shared" si="61"/>
        <v>0</v>
      </c>
      <c r="N515" s="9">
        <f t="shared" si="62"/>
        <v>510.99999998466996</v>
      </c>
      <c r="O515" s="526">
        <f t="shared" si="63"/>
        <v>10653111.429680407</v>
      </c>
      <c r="P515" s="526">
        <f t="shared" si="64"/>
        <v>5504395</v>
      </c>
      <c r="Q515" s="526">
        <f>VLOOKUP($J515,aidcalc,25,FALSE)</f>
        <v>5148716</v>
      </c>
      <c r="R515" s="526">
        <f>VLOOKUP($J515,aidcalc,27,FALSE)</f>
        <v>10653111</v>
      </c>
    </row>
    <row r="516" spans="1:18">
      <c r="A516" s="6">
        <v>915</v>
      </c>
      <c r="B516" s="6" t="s">
        <v>1119</v>
      </c>
      <c r="C516" s="6">
        <v>18</v>
      </c>
      <c r="D516" s="6" t="s">
        <v>1137</v>
      </c>
      <c r="E516" s="9">
        <v>0.99999999888000002</v>
      </c>
      <c r="F516" s="9">
        <v>22023.971857067027</v>
      </c>
      <c r="G516" s="9">
        <v>13136</v>
      </c>
      <c r="I516" s="6" t="str">
        <f t="shared" si="57"/>
        <v>915018</v>
      </c>
      <c r="J516" s="6">
        <f t="shared" si="58"/>
        <v>915</v>
      </c>
      <c r="K516" s="6" t="str">
        <f t="shared" si="59"/>
        <v>Norfolk County</v>
      </c>
      <c r="L516" s="6">
        <f t="shared" si="60"/>
        <v>18</v>
      </c>
      <c r="M516" s="6" t="str">
        <f t="shared" si="61"/>
        <v xml:space="preserve">Avon                         </v>
      </c>
      <c r="N516" s="9">
        <f t="shared" si="62"/>
        <v>0.99999999888000002</v>
      </c>
      <c r="O516" s="526">
        <f t="shared" si="63"/>
        <v>22023.971857067027</v>
      </c>
      <c r="P516" s="526">
        <f t="shared" si="64"/>
        <v>13136</v>
      </c>
      <c r="Q516" s="526"/>
      <c r="R516" s="526"/>
    </row>
    <row r="517" spans="1:18">
      <c r="A517" s="6">
        <v>915</v>
      </c>
      <c r="B517" s="6" t="s">
        <v>1119</v>
      </c>
      <c r="C517" s="6">
        <v>25</v>
      </c>
      <c r="D517" s="6" t="s">
        <v>1144</v>
      </c>
      <c r="E517" s="9">
        <v>13.9999999992</v>
      </c>
      <c r="F517" s="9">
        <v>308335.60632665508</v>
      </c>
      <c r="G517" s="9">
        <v>213377</v>
      </c>
      <c r="I517" s="6" t="str">
        <f t="shared" ref="I517:I544" si="65">IF(L517=0,J517&amp;999,J517&amp;TEXT(L517,"000"))</f>
        <v>915025</v>
      </c>
      <c r="J517" s="6">
        <f t="shared" ref="J517:J544" si="66">VALUE(LEFT(A517,3))</f>
        <v>915</v>
      </c>
      <c r="K517" s="6" t="str">
        <f t="shared" ref="K517:K544" si="67">B517</f>
        <v>Norfolk County</v>
      </c>
      <c r="L517" s="6">
        <f t="shared" ref="L517:L544" si="68">C517</f>
        <v>25</v>
      </c>
      <c r="M517" s="6" t="str">
        <f t="shared" ref="M517:M544" si="69">D517</f>
        <v xml:space="preserve">Bellingham                   </v>
      </c>
      <c r="N517" s="9">
        <f t="shared" ref="N517:N544" si="70">E517</f>
        <v>13.9999999992</v>
      </c>
      <c r="O517" s="526">
        <f t="shared" ref="O517:O544" si="71">F517</f>
        <v>308335.60632665508</v>
      </c>
      <c r="P517" s="526">
        <f t="shared" ref="P517:P544" si="72">G517</f>
        <v>213377</v>
      </c>
      <c r="Q517" s="526"/>
      <c r="R517" s="526"/>
    </row>
    <row r="518" spans="1:18">
      <c r="A518" s="6">
        <v>915</v>
      </c>
      <c r="B518" s="6" t="s">
        <v>1119</v>
      </c>
      <c r="C518" s="6">
        <v>40</v>
      </c>
      <c r="D518" s="6" t="s">
        <v>1159</v>
      </c>
      <c r="E518" s="9">
        <v>17.99999999968</v>
      </c>
      <c r="F518" s="9">
        <v>396431.49386416201</v>
      </c>
      <c r="G518" s="9">
        <v>297471</v>
      </c>
      <c r="I518" s="6" t="str">
        <f t="shared" si="65"/>
        <v>915040</v>
      </c>
      <c r="J518" s="6">
        <f t="shared" si="66"/>
        <v>915</v>
      </c>
      <c r="K518" s="6" t="str">
        <f t="shared" si="67"/>
        <v>Norfolk County</v>
      </c>
      <c r="L518" s="6">
        <f t="shared" si="68"/>
        <v>40</v>
      </c>
      <c r="M518" s="6" t="str">
        <f t="shared" si="69"/>
        <v xml:space="preserve">Braintree                    </v>
      </c>
      <c r="N518" s="9">
        <f t="shared" si="70"/>
        <v>17.99999999968</v>
      </c>
      <c r="O518" s="526">
        <f t="shared" si="71"/>
        <v>396431.49386416201</v>
      </c>
      <c r="P518" s="526">
        <f t="shared" si="72"/>
        <v>297471</v>
      </c>
      <c r="Q518" s="526"/>
      <c r="R518" s="526"/>
    </row>
    <row r="519" spans="1:18">
      <c r="A519" s="6">
        <v>915</v>
      </c>
      <c r="B519" s="6" t="s">
        <v>1119</v>
      </c>
      <c r="C519" s="6">
        <v>46</v>
      </c>
      <c r="D519" s="6" t="s">
        <v>1165</v>
      </c>
      <c r="E519" s="9">
        <v>0</v>
      </c>
      <c r="F519" s="9">
        <v>0</v>
      </c>
      <c r="G519" s="9">
        <v>0</v>
      </c>
      <c r="I519" s="6" t="str">
        <f t="shared" si="65"/>
        <v>915046</v>
      </c>
      <c r="J519" s="6">
        <f t="shared" si="66"/>
        <v>915</v>
      </c>
      <c r="K519" s="6" t="str">
        <f t="shared" si="67"/>
        <v>Norfolk County</v>
      </c>
      <c r="L519" s="6">
        <f t="shared" si="68"/>
        <v>46</v>
      </c>
      <c r="M519" s="6" t="str">
        <f t="shared" si="69"/>
        <v xml:space="preserve">Brookline                    </v>
      </c>
      <c r="N519" s="9">
        <f t="shared" si="70"/>
        <v>0</v>
      </c>
      <c r="O519" s="526">
        <f t="shared" si="71"/>
        <v>0</v>
      </c>
      <c r="P519" s="526">
        <f t="shared" si="72"/>
        <v>0</v>
      </c>
      <c r="Q519" s="526"/>
      <c r="R519" s="526"/>
    </row>
    <row r="520" spans="1:18">
      <c r="A520" s="6">
        <v>915</v>
      </c>
      <c r="B520" s="6" t="s">
        <v>1119</v>
      </c>
      <c r="C520" s="6">
        <v>50</v>
      </c>
      <c r="D520" s="6" t="s">
        <v>1169</v>
      </c>
      <c r="E520" s="9">
        <v>6.9999999996</v>
      </c>
      <c r="F520" s="9">
        <v>154167.80316332754</v>
      </c>
      <c r="G520" s="9">
        <v>125352</v>
      </c>
      <c r="I520" s="6" t="str">
        <f t="shared" si="65"/>
        <v>915050</v>
      </c>
      <c r="J520" s="6">
        <f t="shared" si="66"/>
        <v>915</v>
      </c>
      <c r="K520" s="6" t="str">
        <f t="shared" si="67"/>
        <v>Norfolk County</v>
      </c>
      <c r="L520" s="6">
        <f t="shared" si="68"/>
        <v>50</v>
      </c>
      <c r="M520" s="6" t="str">
        <f t="shared" si="69"/>
        <v xml:space="preserve">Canton                       </v>
      </c>
      <c r="N520" s="9">
        <f t="shared" si="70"/>
        <v>6.9999999996</v>
      </c>
      <c r="O520" s="526">
        <f t="shared" si="71"/>
        <v>154167.80316332754</v>
      </c>
      <c r="P520" s="526">
        <f t="shared" si="72"/>
        <v>125352</v>
      </c>
      <c r="Q520" s="526"/>
      <c r="R520" s="526"/>
    </row>
    <row r="521" spans="1:18">
      <c r="A521" s="6">
        <v>915</v>
      </c>
      <c r="B521" s="6" t="s">
        <v>1119</v>
      </c>
      <c r="C521" s="6">
        <v>65</v>
      </c>
      <c r="D521" s="6" t="s">
        <v>1184</v>
      </c>
      <c r="E521" s="9">
        <v>0</v>
      </c>
      <c r="F521" s="9">
        <v>0</v>
      </c>
      <c r="G521" s="9">
        <v>0</v>
      </c>
      <c r="I521" s="6" t="str">
        <f t="shared" si="65"/>
        <v>915065</v>
      </c>
      <c r="J521" s="6">
        <f t="shared" si="66"/>
        <v>915</v>
      </c>
      <c r="K521" s="6" t="str">
        <f t="shared" si="67"/>
        <v>Norfolk County</v>
      </c>
      <c r="L521" s="6">
        <f t="shared" si="68"/>
        <v>65</v>
      </c>
      <c r="M521" s="6" t="str">
        <f t="shared" si="69"/>
        <v xml:space="preserve">Cohasset                     </v>
      </c>
      <c r="N521" s="9">
        <f t="shared" si="70"/>
        <v>0</v>
      </c>
      <c r="O521" s="526">
        <f t="shared" si="71"/>
        <v>0</v>
      </c>
      <c r="P521" s="526">
        <f t="shared" si="72"/>
        <v>0</v>
      </c>
      <c r="Q521" s="526"/>
      <c r="R521" s="526"/>
    </row>
    <row r="522" spans="1:18">
      <c r="A522" s="6">
        <v>915</v>
      </c>
      <c r="B522" s="6" t="s">
        <v>1119</v>
      </c>
      <c r="C522" s="6">
        <v>73</v>
      </c>
      <c r="D522" s="6" t="s">
        <v>1192</v>
      </c>
      <c r="E522" s="9">
        <v>11.99999999896</v>
      </c>
      <c r="F522" s="9">
        <v>264287.66255790152</v>
      </c>
      <c r="G522" s="9">
        <v>198390</v>
      </c>
      <c r="I522" s="6" t="str">
        <f t="shared" si="65"/>
        <v>915073</v>
      </c>
      <c r="J522" s="6">
        <f t="shared" si="66"/>
        <v>915</v>
      </c>
      <c r="K522" s="6" t="str">
        <f t="shared" si="67"/>
        <v>Norfolk County</v>
      </c>
      <c r="L522" s="6">
        <f t="shared" si="68"/>
        <v>73</v>
      </c>
      <c r="M522" s="6" t="str">
        <f t="shared" si="69"/>
        <v xml:space="preserve">Dedham                       </v>
      </c>
      <c r="N522" s="9">
        <f t="shared" si="70"/>
        <v>11.99999999896</v>
      </c>
      <c r="O522" s="526">
        <f t="shared" si="71"/>
        <v>264287.66255790152</v>
      </c>
      <c r="P522" s="526">
        <f t="shared" si="72"/>
        <v>198390</v>
      </c>
      <c r="Q522" s="526"/>
      <c r="R522" s="526"/>
    </row>
    <row r="523" spans="1:18">
      <c r="A523" s="6">
        <v>915</v>
      </c>
      <c r="B523" s="6" t="s">
        <v>1119</v>
      </c>
      <c r="C523" s="6">
        <v>78</v>
      </c>
      <c r="D523" s="6" t="s">
        <v>1197</v>
      </c>
      <c r="E523" s="9">
        <v>2.00000000024</v>
      </c>
      <c r="F523" s="9">
        <v>44047.943768753496</v>
      </c>
      <c r="G523" s="9">
        <v>36340</v>
      </c>
      <c r="I523" s="6" t="str">
        <f t="shared" si="65"/>
        <v>915078</v>
      </c>
      <c r="J523" s="6">
        <f t="shared" si="66"/>
        <v>915</v>
      </c>
      <c r="K523" s="6" t="str">
        <f t="shared" si="67"/>
        <v>Norfolk County</v>
      </c>
      <c r="L523" s="6">
        <f t="shared" si="68"/>
        <v>78</v>
      </c>
      <c r="M523" s="6" t="str">
        <f t="shared" si="69"/>
        <v xml:space="preserve">Dover                        </v>
      </c>
      <c r="N523" s="9">
        <f t="shared" si="70"/>
        <v>2.00000000024</v>
      </c>
      <c r="O523" s="526">
        <f t="shared" si="71"/>
        <v>44047.943768753496</v>
      </c>
      <c r="P523" s="526">
        <f t="shared" si="72"/>
        <v>36340</v>
      </c>
      <c r="Q523" s="526"/>
      <c r="R523" s="526"/>
    </row>
    <row r="524" spans="1:18">
      <c r="A524" s="6">
        <v>915</v>
      </c>
      <c r="B524" s="6" t="s">
        <v>1119</v>
      </c>
      <c r="C524" s="6">
        <v>99</v>
      </c>
      <c r="D524" s="6" t="s">
        <v>1218</v>
      </c>
      <c r="E524" s="9">
        <v>8.0000000009600001</v>
      </c>
      <c r="F524" s="9">
        <v>176191.77507501398</v>
      </c>
      <c r="G524" s="9">
        <v>141450</v>
      </c>
      <c r="I524" s="6" t="str">
        <f t="shared" si="65"/>
        <v>915099</v>
      </c>
      <c r="J524" s="6">
        <f t="shared" si="66"/>
        <v>915</v>
      </c>
      <c r="K524" s="6" t="str">
        <f t="shared" si="67"/>
        <v>Norfolk County</v>
      </c>
      <c r="L524" s="6">
        <f t="shared" si="68"/>
        <v>99</v>
      </c>
      <c r="M524" s="6" t="str">
        <f t="shared" si="69"/>
        <v xml:space="preserve">Foxborough                   </v>
      </c>
      <c r="N524" s="9">
        <f t="shared" si="70"/>
        <v>8.0000000009600001</v>
      </c>
      <c r="O524" s="526">
        <f t="shared" si="71"/>
        <v>176191.77507501398</v>
      </c>
      <c r="P524" s="526">
        <f t="shared" si="72"/>
        <v>141450</v>
      </c>
      <c r="Q524" s="526"/>
      <c r="R524" s="526"/>
    </row>
    <row r="525" spans="1:18">
      <c r="A525" s="6">
        <v>915</v>
      </c>
      <c r="B525" s="6" t="s">
        <v>1119</v>
      </c>
      <c r="C525" s="6">
        <v>101</v>
      </c>
      <c r="D525" s="6" t="s">
        <v>1220</v>
      </c>
      <c r="E525" s="9">
        <v>15.00000000056</v>
      </c>
      <c r="F525" s="9">
        <v>330359.57823834149</v>
      </c>
      <c r="G525" s="9">
        <v>247601</v>
      </c>
      <c r="I525" s="6" t="str">
        <f t="shared" si="65"/>
        <v>915101</v>
      </c>
      <c r="J525" s="6">
        <f t="shared" si="66"/>
        <v>915</v>
      </c>
      <c r="K525" s="6" t="str">
        <f t="shared" si="67"/>
        <v>Norfolk County</v>
      </c>
      <c r="L525" s="6">
        <f t="shared" si="68"/>
        <v>101</v>
      </c>
      <c r="M525" s="6" t="str">
        <f t="shared" si="69"/>
        <v xml:space="preserve">Franklin                     </v>
      </c>
      <c r="N525" s="9">
        <f t="shared" si="70"/>
        <v>15.00000000056</v>
      </c>
      <c r="O525" s="526">
        <f t="shared" si="71"/>
        <v>330359.57823834149</v>
      </c>
      <c r="P525" s="526">
        <f t="shared" si="72"/>
        <v>247601</v>
      </c>
      <c r="Q525" s="526"/>
      <c r="R525" s="526"/>
    </row>
    <row r="526" spans="1:18">
      <c r="A526" s="6">
        <v>915</v>
      </c>
      <c r="B526" s="6" t="s">
        <v>1119</v>
      </c>
      <c r="C526" s="6">
        <v>133</v>
      </c>
      <c r="D526" s="6" t="s">
        <v>1251</v>
      </c>
      <c r="E526" s="9">
        <v>8.99999999984</v>
      </c>
      <c r="F526" s="9">
        <v>198215.74693208101</v>
      </c>
      <c r="G526" s="9">
        <v>93234</v>
      </c>
      <c r="I526" s="6" t="str">
        <f t="shared" si="65"/>
        <v>915133</v>
      </c>
      <c r="J526" s="6">
        <f t="shared" si="66"/>
        <v>915</v>
      </c>
      <c r="K526" s="6" t="str">
        <f t="shared" si="67"/>
        <v>Norfolk County</v>
      </c>
      <c r="L526" s="6">
        <f t="shared" si="68"/>
        <v>133</v>
      </c>
      <c r="M526" s="6" t="str">
        <f t="shared" si="69"/>
        <v xml:space="preserve">Holbrook                     </v>
      </c>
      <c r="N526" s="9">
        <f t="shared" si="70"/>
        <v>8.99999999984</v>
      </c>
      <c r="O526" s="526">
        <f t="shared" si="71"/>
        <v>198215.74693208101</v>
      </c>
      <c r="P526" s="526">
        <f t="shared" si="72"/>
        <v>93234</v>
      </c>
      <c r="Q526" s="526"/>
      <c r="R526" s="526"/>
    </row>
    <row r="527" spans="1:18">
      <c r="A527" s="6">
        <v>915</v>
      </c>
      <c r="B527" s="6" t="s">
        <v>1119</v>
      </c>
      <c r="C527" s="6">
        <v>175</v>
      </c>
      <c r="D527" s="6" t="s">
        <v>1293</v>
      </c>
      <c r="E527" s="9">
        <v>2.9999999991199999</v>
      </c>
      <c r="F527" s="9">
        <v>66071.915625820518</v>
      </c>
      <c r="G527" s="9">
        <v>54509</v>
      </c>
      <c r="I527" s="6" t="str">
        <f t="shared" si="65"/>
        <v>915175</v>
      </c>
      <c r="J527" s="6">
        <f t="shared" si="66"/>
        <v>915</v>
      </c>
      <c r="K527" s="6" t="str">
        <f t="shared" si="67"/>
        <v>Norfolk County</v>
      </c>
      <c r="L527" s="6">
        <f t="shared" si="68"/>
        <v>175</v>
      </c>
      <c r="M527" s="6" t="str">
        <f t="shared" si="69"/>
        <v xml:space="preserve">Medfield                     </v>
      </c>
      <c r="N527" s="9">
        <f t="shared" si="70"/>
        <v>2.9999999991199999</v>
      </c>
      <c r="O527" s="526">
        <f t="shared" si="71"/>
        <v>66071.915625820518</v>
      </c>
      <c r="P527" s="526">
        <f t="shared" si="72"/>
        <v>54509</v>
      </c>
      <c r="Q527" s="526"/>
      <c r="R527" s="526"/>
    </row>
    <row r="528" spans="1:18">
      <c r="A528" s="6">
        <v>915</v>
      </c>
      <c r="B528" s="6" t="s">
        <v>1119</v>
      </c>
      <c r="C528" s="6">
        <v>177</v>
      </c>
      <c r="D528" s="6" t="s">
        <v>1295</v>
      </c>
      <c r="E528" s="9">
        <v>6.9999999996</v>
      </c>
      <c r="F528" s="9">
        <v>154167.80316332754</v>
      </c>
      <c r="G528" s="9">
        <v>111074</v>
      </c>
      <c r="I528" s="6" t="str">
        <f t="shared" si="65"/>
        <v>915177</v>
      </c>
      <c r="J528" s="6">
        <f t="shared" si="66"/>
        <v>915</v>
      </c>
      <c r="K528" s="6" t="str">
        <f t="shared" si="67"/>
        <v>Norfolk County</v>
      </c>
      <c r="L528" s="6">
        <f t="shared" si="68"/>
        <v>177</v>
      </c>
      <c r="M528" s="6" t="str">
        <f t="shared" si="69"/>
        <v xml:space="preserve">Medway                       </v>
      </c>
      <c r="N528" s="9">
        <f t="shared" si="70"/>
        <v>6.9999999996</v>
      </c>
      <c r="O528" s="526">
        <f t="shared" si="71"/>
        <v>154167.80316332754</v>
      </c>
      <c r="P528" s="526">
        <f t="shared" si="72"/>
        <v>111074</v>
      </c>
      <c r="Q528" s="526"/>
      <c r="R528" s="526"/>
    </row>
    <row r="529" spans="1:18">
      <c r="A529" s="6">
        <v>915</v>
      </c>
      <c r="B529" s="6" t="s">
        <v>1119</v>
      </c>
      <c r="C529" s="6">
        <v>187</v>
      </c>
      <c r="D529" s="6" t="s">
        <v>1305</v>
      </c>
      <c r="E529" s="9">
        <v>8.0000000009600001</v>
      </c>
      <c r="F529" s="9">
        <v>176191.77507501398</v>
      </c>
      <c r="G529" s="9">
        <v>145358</v>
      </c>
      <c r="I529" s="6" t="str">
        <f t="shared" si="65"/>
        <v>915187</v>
      </c>
      <c r="J529" s="6">
        <f t="shared" si="66"/>
        <v>915</v>
      </c>
      <c r="K529" s="6" t="str">
        <f t="shared" si="67"/>
        <v>Norfolk County</v>
      </c>
      <c r="L529" s="6">
        <f t="shared" si="68"/>
        <v>187</v>
      </c>
      <c r="M529" s="6" t="str">
        <f t="shared" si="69"/>
        <v xml:space="preserve">Millis                       </v>
      </c>
      <c r="N529" s="9">
        <f t="shared" si="70"/>
        <v>8.0000000009600001</v>
      </c>
      <c r="O529" s="526">
        <f t="shared" si="71"/>
        <v>176191.77507501398</v>
      </c>
      <c r="P529" s="526">
        <f t="shared" si="72"/>
        <v>145358</v>
      </c>
      <c r="Q529" s="526"/>
      <c r="R529" s="526"/>
    </row>
    <row r="530" spans="1:18">
      <c r="A530" s="6">
        <v>915</v>
      </c>
      <c r="B530" s="6" t="s">
        <v>1119</v>
      </c>
      <c r="C530" s="6">
        <v>189</v>
      </c>
      <c r="D530" s="6" t="s">
        <v>1307</v>
      </c>
      <c r="E530" s="9">
        <v>8.99999999984</v>
      </c>
      <c r="F530" s="9">
        <v>198215.74693208101</v>
      </c>
      <c r="G530" s="9">
        <v>159331</v>
      </c>
      <c r="I530" s="6" t="str">
        <f t="shared" si="65"/>
        <v>915189</v>
      </c>
      <c r="J530" s="6">
        <f t="shared" si="66"/>
        <v>915</v>
      </c>
      <c r="K530" s="6" t="str">
        <f t="shared" si="67"/>
        <v>Norfolk County</v>
      </c>
      <c r="L530" s="6">
        <f t="shared" si="68"/>
        <v>189</v>
      </c>
      <c r="M530" s="6" t="str">
        <f t="shared" si="69"/>
        <v xml:space="preserve">Milton                       </v>
      </c>
      <c r="N530" s="9">
        <f t="shared" si="70"/>
        <v>8.99999999984</v>
      </c>
      <c r="O530" s="526">
        <f t="shared" si="71"/>
        <v>198215.74693208101</v>
      </c>
      <c r="P530" s="526">
        <f t="shared" si="72"/>
        <v>159331</v>
      </c>
      <c r="Q530" s="526"/>
      <c r="R530" s="526"/>
    </row>
    <row r="531" spans="1:18">
      <c r="A531" s="6">
        <v>915</v>
      </c>
      <c r="B531" s="6" t="s">
        <v>1119</v>
      </c>
      <c r="C531" s="6">
        <v>199</v>
      </c>
      <c r="D531" s="6" t="s">
        <v>1317</v>
      </c>
      <c r="E531" s="9">
        <v>0.99999999888000002</v>
      </c>
      <c r="F531" s="9">
        <v>22023.971857067027</v>
      </c>
      <c r="G531" s="9">
        <v>18170</v>
      </c>
      <c r="I531" s="6" t="str">
        <f t="shared" si="65"/>
        <v>915199</v>
      </c>
      <c r="J531" s="6">
        <f t="shared" si="66"/>
        <v>915</v>
      </c>
      <c r="K531" s="6" t="str">
        <f t="shared" si="67"/>
        <v>Norfolk County</v>
      </c>
      <c r="L531" s="6">
        <f t="shared" si="68"/>
        <v>199</v>
      </c>
      <c r="M531" s="6" t="str">
        <f t="shared" si="69"/>
        <v xml:space="preserve">Needham                      </v>
      </c>
      <c r="N531" s="9">
        <f t="shared" si="70"/>
        <v>0.99999999888000002</v>
      </c>
      <c r="O531" s="526">
        <f t="shared" si="71"/>
        <v>22023.971857067027</v>
      </c>
      <c r="P531" s="526">
        <f t="shared" si="72"/>
        <v>18170</v>
      </c>
      <c r="Q531" s="526"/>
      <c r="R531" s="526"/>
    </row>
    <row r="532" spans="1:18">
      <c r="A532" s="6">
        <v>915</v>
      </c>
      <c r="B532" s="6" t="s">
        <v>1119</v>
      </c>
      <c r="C532" s="6">
        <v>208</v>
      </c>
      <c r="D532" s="6" t="s">
        <v>1326</v>
      </c>
      <c r="E532" s="9">
        <v>15.00000000056</v>
      </c>
      <c r="F532" s="9">
        <v>330359.57823834149</v>
      </c>
      <c r="G532" s="9">
        <v>257368</v>
      </c>
      <c r="I532" s="6" t="str">
        <f t="shared" si="65"/>
        <v>915208</v>
      </c>
      <c r="J532" s="6">
        <f t="shared" si="66"/>
        <v>915</v>
      </c>
      <c r="K532" s="6" t="str">
        <f t="shared" si="67"/>
        <v>Norfolk County</v>
      </c>
      <c r="L532" s="6">
        <f t="shared" si="68"/>
        <v>208</v>
      </c>
      <c r="M532" s="6" t="str">
        <f t="shared" si="69"/>
        <v xml:space="preserve">Norfolk                      </v>
      </c>
      <c r="N532" s="9">
        <f t="shared" si="70"/>
        <v>15.00000000056</v>
      </c>
      <c r="O532" s="526">
        <f t="shared" si="71"/>
        <v>330359.57823834149</v>
      </c>
      <c r="P532" s="526">
        <f t="shared" si="72"/>
        <v>257368</v>
      </c>
      <c r="Q532" s="526"/>
      <c r="R532" s="526"/>
    </row>
    <row r="533" spans="1:18">
      <c r="A533" s="6">
        <v>915</v>
      </c>
      <c r="B533" s="6" t="s">
        <v>1119</v>
      </c>
      <c r="C533" s="6">
        <v>220</v>
      </c>
      <c r="D533" s="6" t="s">
        <v>1338</v>
      </c>
      <c r="E533" s="9">
        <v>11.99999999896</v>
      </c>
      <c r="F533" s="9">
        <v>264287.66255790152</v>
      </c>
      <c r="G533" s="9">
        <v>182870</v>
      </c>
      <c r="I533" s="6" t="str">
        <f t="shared" si="65"/>
        <v>915220</v>
      </c>
      <c r="J533" s="6">
        <f t="shared" si="66"/>
        <v>915</v>
      </c>
      <c r="K533" s="6" t="str">
        <f t="shared" si="67"/>
        <v>Norfolk County</v>
      </c>
      <c r="L533" s="6">
        <f t="shared" si="68"/>
        <v>220</v>
      </c>
      <c r="M533" s="6" t="str">
        <f t="shared" si="69"/>
        <v xml:space="preserve">Norwood                      </v>
      </c>
      <c r="N533" s="9">
        <f t="shared" si="70"/>
        <v>11.99999999896</v>
      </c>
      <c r="O533" s="526">
        <f t="shared" si="71"/>
        <v>264287.66255790152</v>
      </c>
      <c r="P533" s="526">
        <f t="shared" si="72"/>
        <v>182870</v>
      </c>
      <c r="Q533" s="526"/>
      <c r="R533" s="526"/>
    </row>
    <row r="534" spans="1:18">
      <c r="A534" s="6">
        <v>915</v>
      </c>
      <c r="B534" s="6" t="s">
        <v>1119</v>
      </c>
      <c r="C534" s="6">
        <v>238</v>
      </c>
      <c r="D534" s="6" t="s">
        <v>1356</v>
      </c>
      <c r="E534" s="9">
        <v>2.9999999991199999</v>
      </c>
      <c r="F534" s="9">
        <v>66071.915625820518</v>
      </c>
      <c r="G534" s="9">
        <v>50339</v>
      </c>
      <c r="I534" s="6" t="str">
        <f t="shared" si="65"/>
        <v>915238</v>
      </c>
      <c r="J534" s="6">
        <f t="shared" si="66"/>
        <v>915</v>
      </c>
      <c r="K534" s="6" t="str">
        <f t="shared" si="67"/>
        <v>Norfolk County</v>
      </c>
      <c r="L534" s="6">
        <f t="shared" si="68"/>
        <v>238</v>
      </c>
      <c r="M534" s="6" t="str">
        <f t="shared" si="69"/>
        <v xml:space="preserve">Plainville                   </v>
      </c>
      <c r="N534" s="9">
        <f t="shared" si="70"/>
        <v>2.9999999991199999</v>
      </c>
      <c r="O534" s="526">
        <f t="shared" si="71"/>
        <v>66071.915625820518</v>
      </c>
      <c r="P534" s="526">
        <f t="shared" si="72"/>
        <v>50339</v>
      </c>
      <c r="Q534" s="526"/>
      <c r="R534" s="526"/>
    </row>
    <row r="535" spans="1:18">
      <c r="A535" s="6">
        <v>915</v>
      </c>
      <c r="B535" s="6" t="s">
        <v>1119</v>
      </c>
      <c r="C535" s="6">
        <v>243</v>
      </c>
      <c r="D535" s="6" t="s">
        <v>1361</v>
      </c>
      <c r="E535" s="9">
        <v>20.9999999988</v>
      </c>
      <c r="F535" s="9">
        <v>462503.40948998259</v>
      </c>
      <c r="G535" s="9">
        <v>351204</v>
      </c>
      <c r="I535" s="6" t="str">
        <f t="shared" si="65"/>
        <v>915243</v>
      </c>
      <c r="J535" s="6">
        <f t="shared" si="66"/>
        <v>915</v>
      </c>
      <c r="K535" s="6" t="str">
        <f t="shared" si="67"/>
        <v>Norfolk County</v>
      </c>
      <c r="L535" s="6">
        <f t="shared" si="68"/>
        <v>243</v>
      </c>
      <c r="M535" s="6" t="str">
        <f t="shared" si="69"/>
        <v xml:space="preserve">Quincy                       </v>
      </c>
      <c r="N535" s="9">
        <f t="shared" si="70"/>
        <v>20.9999999988</v>
      </c>
      <c r="O535" s="526">
        <f t="shared" si="71"/>
        <v>462503.40948998259</v>
      </c>
      <c r="P535" s="526">
        <f t="shared" si="72"/>
        <v>351204</v>
      </c>
      <c r="Q535" s="526"/>
      <c r="R535" s="526"/>
    </row>
    <row r="536" spans="1:18">
      <c r="A536" s="6">
        <v>915</v>
      </c>
      <c r="B536" s="6" t="s">
        <v>1119</v>
      </c>
      <c r="C536" s="6">
        <v>244</v>
      </c>
      <c r="D536" s="6" t="s">
        <v>1362</v>
      </c>
      <c r="E536" s="9">
        <v>6.9999999996</v>
      </c>
      <c r="F536" s="9">
        <v>154167.80316332754</v>
      </c>
      <c r="G536" s="9">
        <v>79704</v>
      </c>
      <c r="I536" s="6" t="str">
        <f t="shared" si="65"/>
        <v>915244</v>
      </c>
      <c r="J536" s="6">
        <f t="shared" si="66"/>
        <v>915</v>
      </c>
      <c r="K536" s="6" t="str">
        <f t="shared" si="67"/>
        <v>Norfolk County</v>
      </c>
      <c r="L536" s="6">
        <f t="shared" si="68"/>
        <v>244</v>
      </c>
      <c r="M536" s="6" t="str">
        <f t="shared" si="69"/>
        <v xml:space="preserve">Randolph                     </v>
      </c>
      <c r="N536" s="9">
        <f t="shared" si="70"/>
        <v>6.9999999996</v>
      </c>
      <c r="O536" s="526">
        <f t="shared" si="71"/>
        <v>154167.80316332754</v>
      </c>
      <c r="P536" s="526">
        <f t="shared" si="72"/>
        <v>79704</v>
      </c>
      <c r="Q536" s="526"/>
      <c r="R536" s="526"/>
    </row>
    <row r="537" spans="1:18">
      <c r="A537" s="6">
        <v>915</v>
      </c>
      <c r="B537" s="6" t="s">
        <v>1119</v>
      </c>
      <c r="C537" s="6">
        <v>266</v>
      </c>
      <c r="D537" s="6" t="s">
        <v>1384</v>
      </c>
      <c r="E537" s="9">
        <v>8.99999999984</v>
      </c>
      <c r="F537" s="9">
        <v>198215.74693208101</v>
      </c>
      <c r="G537" s="9">
        <v>153761</v>
      </c>
      <c r="I537" s="6" t="str">
        <f t="shared" si="65"/>
        <v>915266</v>
      </c>
      <c r="J537" s="6">
        <f t="shared" si="66"/>
        <v>915</v>
      </c>
      <c r="K537" s="6" t="str">
        <f t="shared" si="67"/>
        <v>Norfolk County</v>
      </c>
      <c r="L537" s="6">
        <f t="shared" si="68"/>
        <v>266</v>
      </c>
      <c r="M537" s="6" t="str">
        <f t="shared" si="69"/>
        <v xml:space="preserve">Sharon                       </v>
      </c>
      <c r="N537" s="9">
        <f t="shared" si="70"/>
        <v>8.99999999984</v>
      </c>
      <c r="O537" s="526">
        <f t="shared" si="71"/>
        <v>198215.74693208101</v>
      </c>
      <c r="P537" s="526">
        <f t="shared" si="72"/>
        <v>153761</v>
      </c>
      <c r="Q537" s="526"/>
      <c r="R537" s="526"/>
    </row>
    <row r="538" spans="1:18">
      <c r="A538" s="6">
        <v>915</v>
      </c>
      <c r="B538" s="6" t="s">
        <v>1119</v>
      </c>
      <c r="C538" s="6">
        <v>285</v>
      </c>
      <c r="D538" s="6" t="s">
        <v>1403</v>
      </c>
      <c r="E538" s="9">
        <v>4.9999999993599999</v>
      </c>
      <c r="F538" s="9">
        <v>110119.85939457403</v>
      </c>
      <c r="G538" s="9">
        <v>58103</v>
      </c>
      <c r="I538" s="6" t="str">
        <f t="shared" si="65"/>
        <v>915285</v>
      </c>
      <c r="J538" s="6">
        <f t="shared" si="66"/>
        <v>915</v>
      </c>
      <c r="K538" s="6" t="str">
        <f t="shared" si="67"/>
        <v>Norfolk County</v>
      </c>
      <c r="L538" s="6">
        <f t="shared" si="68"/>
        <v>285</v>
      </c>
      <c r="M538" s="6" t="str">
        <f t="shared" si="69"/>
        <v xml:space="preserve">Stoughton                    </v>
      </c>
      <c r="N538" s="9">
        <f t="shared" si="70"/>
        <v>4.9999999993599999</v>
      </c>
      <c r="O538" s="526">
        <f t="shared" si="71"/>
        <v>110119.85939457403</v>
      </c>
      <c r="P538" s="526">
        <f t="shared" si="72"/>
        <v>58103</v>
      </c>
      <c r="Q538" s="526"/>
      <c r="R538" s="526"/>
    </row>
    <row r="539" spans="1:18">
      <c r="A539" s="6">
        <v>915</v>
      </c>
      <c r="B539" s="6" t="s">
        <v>1119</v>
      </c>
      <c r="C539" s="6">
        <v>307</v>
      </c>
      <c r="D539" s="6" t="s">
        <v>1425</v>
      </c>
      <c r="E539" s="9">
        <v>24.99999999928</v>
      </c>
      <c r="F539" s="9">
        <v>550599.29702748952</v>
      </c>
      <c r="G539" s="9">
        <v>451752</v>
      </c>
      <c r="I539" s="6" t="str">
        <f t="shared" si="65"/>
        <v>915307</v>
      </c>
      <c r="J539" s="6">
        <f t="shared" si="66"/>
        <v>915</v>
      </c>
      <c r="K539" s="6" t="str">
        <f t="shared" si="67"/>
        <v>Norfolk County</v>
      </c>
      <c r="L539" s="6">
        <f t="shared" si="68"/>
        <v>307</v>
      </c>
      <c r="M539" s="6" t="str">
        <f t="shared" si="69"/>
        <v xml:space="preserve">Walpole                      </v>
      </c>
      <c r="N539" s="9">
        <f t="shared" si="70"/>
        <v>24.99999999928</v>
      </c>
      <c r="O539" s="526">
        <f t="shared" si="71"/>
        <v>550599.29702748952</v>
      </c>
      <c r="P539" s="526">
        <f t="shared" si="72"/>
        <v>451752</v>
      </c>
      <c r="Q539" s="526"/>
      <c r="R539" s="526"/>
    </row>
    <row r="540" spans="1:18">
      <c r="A540" s="6">
        <v>915</v>
      </c>
      <c r="B540" s="6" t="s">
        <v>1119</v>
      </c>
      <c r="C540" s="6">
        <v>317</v>
      </c>
      <c r="D540" s="6" t="s">
        <v>1435</v>
      </c>
      <c r="E540" s="9">
        <v>0.99999999888000002</v>
      </c>
      <c r="F540" s="9">
        <v>22023.971857067027</v>
      </c>
      <c r="G540" s="9">
        <v>18170</v>
      </c>
      <c r="I540" s="6" t="str">
        <f t="shared" si="65"/>
        <v>915317</v>
      </c>
      <c r="J540" s="6">
        <f t="shared" si="66"/>
        <v>915</v>
      </c>
      <c r="K540" s="6" t="str">
        <f t="shared" si="67"/>
        <v>Norfolk County</v>
      </c>
      <c r="L540" s="6">
        <f t="shared" si="68"/>
        <v>317</v>
      </c>
      <c r="M540" s="6" t="str">
        <f t="shared" si="69"/>
        <v xml:space="preserve">Wellesley                    </v>
      </c>
      <c r="N540" s="9">
        <f t="shared" si="70"/>
        <v>0.99999999888000002</v>
      </c>
      <c r="O540" s="526">
        <f t="shared" si="71"/>
        <v>22023.971857067027</v>
      </c>
      <c r="P540" s="526">
        <f t="shared" si="72"/>
        <v>18170</v>
      </c>
      <c r="Q540" s="526"/>
      <c r="R540" s="526"/>
    </row>
    <row r="541" spans="1:18">
      <c r="A541" s="6">
        <v>915</v>
      </c>
      <c r="B541" s="6" t="s">
        <v>1119</v>
      </c>
      <c r="C541" s="6">
        <v>335</v>
      </c>
      <c r="D541" s="6" t="s">
        <v>1453</v>
      </c>
      <c r="E541" s="9">
        <v>8.0000000009600001</v>
      </c>
      <c r="F541" s="9">
        <v>176191.77507501398</v>
      </c>
      <c r="G541" s="9">
        <v>143905</v>
      </c>
      <c r="I541" s="6" t="str">
        <f t="shared" si="65"/>
        <v>915335</v>
      </c>
      <c r="J541" s="6">
        <f t="shared" si="66"/>
        <v>915</v>
      </c>
      <c r="K541" s="6" t="str">
        <f t="shared" si="67"/>
        <v>Norfolk County</v>
      </c>
      <c r="L541" s="6">
        <f t="shared" si="68"/>
        <v>335</v>
      </c>
      <c r="M541" s="6" t="str">
        <f t="shared" si="69"/>
        <v xml:space="preserve">Westwood                     </v>
      </c>
      <c r="N541" s="9">
        <f t="shared" si="70"/>
        <v>8.0000000009600001</v>
      </c>
      <c r="O541" s="526">
        <f t="shared" si="71"/>
        <v>176191.77507501398</v>
      </c>
      <c r="P541" s="526">
        <f t="shared" si="72"/>
        <v>143905</v>
      </c>
      <c r="Q541" s="526"/>
      <c r="R541" s="526"/>
    </row>
    <row r="542" spans="1:18">
      <c r="A542" s="6">
        <v>915</v>
      </c>
      <c r="B542" s="6" t="s">
        <v>1119</v>
      </c>
      <c r="C542" s="6">
        <v>336</v>
      </c>
      <c r="D542" s="6" t="s">
        <v>1454</v>
      </c>
      <c r="E542" s="9">
        <v>19.00000000104</v>
      </c>
      <c r="F542" s="9">
        <v>418455.46577584854</v>
      </c>
      <c r="G542" s="9">
        <v>315751</v>
      </c>
      <c r="I542" s="6" t="str">
        <f t="shared" si="65"/>
        <v>915336</v>
      </c>
      <c r="J542" s="6">
        <f t="shared" si="66"/>
        <v>915</v>
      </c>
      <c r="K542" s="6" t="str">
        <f t="shared" si="67"/>
        <v>Norfolk County</v>
      </c>
      <c r="L542" s="6">
        <f t="shared" si="68"/>
        <v>336</v>
      </c>
      <c r="M542" s="6" t="str">
        <f t="shared" si="69"/>
        <v xml:space="preserve">Weymouth                     </v>
      </c>
      <c r="N542" s="9">
        <f t="shared" si="70"/>
        <v>19.00000000104</v>
      </c>
      <c r="O542" s="526">
        <f t="shared" si="71"/>
        <v>418455.46577584854</v>
      </c>
      <c r="P542" s="526">
        <f t="shared" si="72"/>
        <v>315751</v>
      </c>
      <c r="Q542" s="526"/>
      <c r="R542" s="526"/>
    </row>
    <row r="543" spans="1:18">
      <c r="A543" s="6">
        <v>915</v>
      </c>
      <c r="B543" s="6" t="s">
        <v>1119</v>
      </c>
      <c r="C543" s="6">
        <v>350</v>
      </c>
      <c r="D543" s="6" t="s">
        <v>1467</v>
      </c>
      <c r="E543" s="9">
        <v>8.99999999984</v>
      </c>
      <c r="F543" s="9">
        <v>198215.74693208101</v>
      </c>
      <c r="G543" s="9">
        <v>155756</v>
      </c>
      <c r="I543" s="6" t="str">
        <f t="shared" si="65"/>
        <v>915350</v>
      </c>
      <c r="J543" s="6">
        <f t="shared" si="66"/>
        <v>915</v>
      </c>
      <c r="K543" s="6" t="str">
        <f t="shared" si="67"/>
        <v>Norfolk County</v>
      </c>
      <c r="L543" s="6">
        <f t="shared" si="68"/>
        <v>350</v>
      </c>
      <c r="M543" s="6" t="str">
        <f t="shared" si="69"/>
        <v xml:space="preserve">Wrentham                     </v>
      </c>
      <c r="N543" s="9">
        <f t="shared" si="70"/>
        <v>8.99999999984</v>
      </c>
      <c r="O543" s="526">
        <f t="shared" si="71"/>
        <v>198215.74693208101</v>
      </c>
      <c r="P543" s="526">
        <f t="shared" si="72"/>
        <v>155756</v>
      </c>
      <c r="Q543" s="526"/>
      <c r="R543" s="526"/>
    </row>
    <row r="544" spans="1:18">
      <c r="A544" s="6" t="s">
        <v>2373</v>
      </c>
      <c r="E544" s="9">
        <v>247.99999999255999</v>
      </c>
      <c r="F544" s="9">
        <v>5461945.0265061418</v>
      </c>
      <c r="G544" s="9">
        <v>4073476</v>
      </c>
      <c r="I544" s="6" t="str">
        <f t="shared" si="65"/>
        <v>915999</v>
      </c>
      <c r="J544" s="6">
        <f t="shared" si="66"/>
        <v>915</v>
      </c>
      <c r="K544" s="6">
        <f t="shared" si="67"/>
        <v>0</v>
      </c>
      <c r="L544" s="6">
        <f t="shared" si="68"/>
        <v>0</v>
      </c>
      <c r="M544" s="6">
        <f t="shared" si="69"/>
        <v>0</v>
      </c>
      <c r="N544" s="9">
        <f t="shared" si="70"/>
        <v>247.99999999255999</v>
      </c>
      <c r="O544" s="526">
        <f t="shared" si="71"/>
        <v>5461945.0265061418</v>
      </c>
      <c r="P544" s="526">
        <f t="shared" si="72"/>
        <v>4073476</v>
      </c>
      <c r="Q544" s="526">
        <f>VLOOKUP($J544,aidcalc,25,FALSE)</f>
        <v>1492004.9999992263</v>
      </c>
      <c r="R544" s="526">
        <f>VLOOKUP($J544,aidcalc,27,FALSE)</f>
        <v>5565480.9999992261</v>
      </c>
    </row>
    <row r="545" spans="1:7">
      <c r="A545" s="6" t="s">
        <v>2356</v>
      </c>
      <c r="E545" s="9">
        <v>128941.00000007883</v>
      </c>
      <c r="F545" s="9">
        <v>2034288743.575767</v>
      </c>
      <c r="G545" s="9">
        <v>1209825154</v>
      </c>
    </row>
  </sheetData>
  <autoFilter ref="J3:R544" xr:uid="{046340CE-5143-4D61-B30D-8F2D0516E50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CM537"/>
  <sheetViews>
    <sheetView topLeftCell="E66" workbookViewId="0">
      <selection activeCell="J87" sqref="J87"/>
    </sheetView>
  </sheetViews>
  <sheetFormatPr defaultColWidth="9" defaultRowHeight="12.75"/>
  <cols>
    <col min="1" max="2" width="7.875" style="7" customWidth="1"/>
    <col min="3" max="3" width="32.625" style="6" customWidth="1"/>
    <col min="4" max="4" width="4.625" style="7" customWidth="1"/>
    <col min="5" max="5" width="27.625" style="6" customWidth="1"/>
    <col min="6" max="17" width="9" style="6"/>
    <col min="18" max="21" width="4.75" style="6" customWidth="1"/>
    <col min="22" max="22" width="5.75" style="6" bestFit="1" customWidth="1"/>
    <col min="23" max="37" width="4.75" style="6" customWidth="1"/>
    <col min="38" max="38" width="13.75" style="6" customWidth="1"/>
    <col min="39" max="89" width="5.75" style="6" customWidth="1"/>
    <col min="90" max="90" width="9.125" style="6" customWidth="1"/>
    <col min="91" max="91" width="13.75" style="6" bestFit="1" customWidth="1"/>
    <col min="92" max="16384" width="9" style="6"/>
  </cols>
  <sheetData>
    <row r="1" spans="1:91" ht="11.25" customHeight="1"/>
    <row r="2" spans="1:91" s="479" customFormat="1">
      <c r="A2" s="644" t="s">
        <v>635</v>
      </c>
      <c r="B2" s="644"/>
      <c r="C2" s="644"/>
      <c r="D2" s="644"/>
      <c r="E2" s="644"/>
      <c r="L2" s="644" t="s">
        <v>1649</v>
      </c>
      <c r="M2" s="644"/>
      <c r="N2" s="644"/>
      <c r="O2" s="644"/>
      <c r="P2" s="644"/>
      <c r="Q2" s="644"/>
    </row>
    <row r="3" spans="1:91" s="139" customFormat="1">
      <c r="A3" s="480">
        <f>Index!C4</f>
        <v>999</v>
      </c>
      <c r="B3" s="480">
        <f>'Regional District Members'!G4</f>
        <v>73</v>
      </c>
      <c r="D3" s="140"/>
    </row>
    <row r="4" spans="1:91" s="479" customFormat="1">
      <c r="A4" s="481" t="s">
        <v>646</v>
      </c>
      <c r="B4" s="481" t="s">
        <v>647</v>
      </c>
      <c r="C4" s="482" t="s">
        <v>671</v>
      </c>
      <c r="D4" s="480" t="s">
        <v>57</v>
      </c>
      <c r="E4" s="479" t="s">
        <v>594</v>
      </c>
      <c r="F4" s="483" t="s">
        <v>1650</v>
      </c>
      <c r="G4" s="483" t="s">
        <v>1650</v>
      </c>
      <c r="I4" s="14" t="s">
        <v>638</v>
      </c>
      <c r="J4" s="6"/>
      <c r="L4" s="6"/>
      <c r="M4" s="12" t="s">
        <v>61</v>
      </c>
      <c r="N4" s="6"/>
      <c r="O4" s="12"/>
      <c r="P4" s="12"/>
      <c r="Q4" s="12"/>
    </row>
    <row r="5" spans="1:91" s="479" customFormat="1">
      <c r="A5" s="481"/>
      <c r="B5" s="481"/>
      <c r="C5" s="482"/>
      <c r="D5" s="480"/>
      <c r="E5" s="6" t="s">
        <v>2110</v>
      </c>
      <c r="F5" s="484">
        <v>999</v>
      </c>
      <c r="G5" s="484" t="s">
        <v>2092</v>
      </c>
      <c r="I5" s="14"/>
      <c r="J5" s="6"/>
      <c r="L5" s="6"/>
      <c r="M5" s="12"/>
      <c r="N5" s="6"/>
      <c r="O5" s="12"/>
      <c r="P5" s="12"/>
      <c r="Q5" s="12"/>
    </row>
    <row r="6" spans="1:91" s="139" customFormat="1">
      <c r="A6" s="140">
        <v>1</v>
      </c>
      <c r="B6" s="140"/>
      <c r="C6" s="139" t="str">
        <f t="shared" ref="C6:C69" si="0">PROPER(D6&amp;" "&amp;E6)</f>
        <v>1 Abington</v>
      </c>
      <c r="D6" s="485">
        <v>1</v>
      </c>
      <c r="E6" s="486" t="s">
        <v>682</v>
      </c>
      <c r="F6" s="486">
        <v>1</v>
      </c>
      <c r="G6" s="486" t="s">
        <v>1651</v>
      </c>
      <c r="I6" s="6">
        <v>406</v>
      </c>
      <c r="J6" s="6">
        <v>1</v>
      </c>
      <c r="L6" s="12" t="s">
        <v>73</v>
      </c>
      <c r="M6" s="12" t="s">
        <v>62</v>
      </c>
      <c r="N6" s="12" t="s">
        <v>597</v>
      </c>
      <c r="O6" s="12" t="s">
        <v>594</v>
      </c>
      <c r="P6" s="12" t="s">
        <v>596</v>
      </c>
      <c r="Q6" s="12" t="s">
        <v>58</v>
      </c>
    </row>
    <row r="7" spans="1:91" s="139" customFormat="1">
      <c r="A7" s="140">
        <v>2</v>
      </c>
      <c r="B7" s="140"/>
      <c r="C7" s="139" t="str">
        <f t="shared" si="0"/>
        <v>2 Acton</v>
      </c>
      <c r="D7" s="485">
        <v>2</v>
      </c>
      <c r="E7" s="486" t="s">
        <v>683</v>
      </c>
      <c r="F7" s="486">
        <v>2</v>
      </c>
      <c r="G7" s="486" t="s">
        <v>1652</v>
      </c>
      <c r="I7" s="6">
        <v>600</v>
      </c>
      <c r="J7" s="6">
        <v>2</v>
      </c>
      <c r="L7" s="6">
        <v>40601</v>
      </c>
      <c r="M7" s="6">
        <v>1</v>
      </c>
      <c r="N7" s="6">
        <v>406</v>
      </c>
      <c r="O7" s="6" t="s">
        <v>143</v>
      </c>
      <c r="P7" s="6">
        <v>210</v>
      </c>
      <c r="Q7" s="139" t="str">
        <f>VLOOKUP(P7,'Townwide Contributions'!$A$6:$B$358,2,0)</f>
        <v>Northampton</v>
      </c>
      <c r="R7" s="6" t="s">
        <v>453</v>
      </c>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139" customFormat="1">
      <c r="A8" s="140">
        <v>355</v>
      </c>
      <c r="B8" s="140"/>
      <c r="C8" s="139" t="str">
        <f t="shared" si="0"/>
        <v>600 Acton Boxborough</v>
      </c>
      <c r="D8" s="485">
        <v>600</v>
      </c>
      <c r="E8" s="486" t="s">
        <v>1035</v>
      </c>
      <c r="F8" s="486">
        <v>600</v>
      </c>
      <c r="G8" s="486" t="s">
        <v>2004</v>
      </c>
      <c r="I8" s="6">
        <v>603</v>
      </c>
      <c r="J8" s="6">
        <v>2</v>
      </c>
      <c r="L8" s="6">
        <v>60001</v>
      </c>
      <c r="M8" s="6">
        <v>1</v>
      </c>
      <c r="N8" s="6">
        <v>600</v>
      </c>
      <c r="O8" s="6" t="s">
        <v>614</v>
      </c>
      <c r="P8" s="6">
        <v>2</v>
      </c>
      <c r="Q8" s="139" t="str">
        <f>VLOOKUP(P8,'Townwide Contributions'!$A$6:$B$358,2,0)</f>
        <v>Acton</v>
      </c>
      <c r="R8" s="6" t="s">
        <v>621</v>
      </c>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139" customFormat="1">
      <c r="A9" s="140">
        <v>3</v>
      </c>
      <c r="B9" s="140"/>
      <c r="C9" s="139" t="str">
        <f t="shared" si="0"/>
        <v>3 Acushnet</v>
      </c>
      <c r="D9" s="485">
        <v>3</v>
      </c>
      <c r="E9" s="486" t="s">
        <v>684</v>
      </c>
      <c r="F9" s="486">
        <v>3</v>
      </c>
      <c r="G9" s="486" t="s">
        <v>1653</v>
      </c>
      <c r="I9" s="6">
        <v>605</v>
      </c>
      <c r="J9" s="6">
        <v>4</v>
      </c>
      <c r="L9" s="6">
        <v>60002</v>
      </c>
      <c r="M9" s="6">
        <v>2</v>
      </c>
      <c r="N9" s="6">
        <v>600</v>
      </c>
      <c r="O9" s="6" t="s">
        <v>614</v>
      </c>
      <c r="P9" s="6">
        <v>37</v>
      </c>
      <c r="Q9" s="139" t="str">
        <f>VLOOKUP(P9,'Townwide Contributions'!$A$6:$B$358,2,0)</f>
        <v>Boxborough</v>
      </c>
      <c r="R9" s="6" t="s">
        <v>239</v>
      </c>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s="139" customFormat="1">
      <c r="A10" s="140">
        <v>4</v>
      </c>
      <c r="B10" s="140"/>
      <c r="C10" s="139" t="str">
        <f t="shared" si="0"/>
        <v>4 Adams</v>
      </c>
      <c r="D10" s="485">
        <v>4</v>
      </c>
      <c r="E10" s="486" t="s">
        <v>685</v>
      </c>
      <c r="F10" s="486">
        <v>4</v>
      </c>
      <c r="G10" s="486" t="s">
        <v>1654</v>
      </c>
      <c r="I10" s="6">
        <v>610</v>
      </c>
      <c r="J10" s="6">
        <v>2</v>
      </c>
      <c r="L10" s="6">
        <v>60301</v>
      </c>
      <c r="M10" s="6">
        <v>1</v>
      </c>
      <c r="N10" s="6">
        <v>603</v>
      </c>
      <c r="O10" s="6" t="s">
        <v>2177</v>
      </c>
      <c r="P10" s="6">
        <v>4</v>
      </c>
      <c r="Q10" s="139" t="str">
        <f>VLOOKUP(P10,'Townwide Contributions'!$A$6:$B$358,2,0)</f>
        <v>Adams</v>
      </c>
      <c r="R10" s="6" t="s">
        <v>627</v>
      </c>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91" s="139" customFormat="1">
      <c r="A11" s="140">
        <v>5</v>
      </c>
      <c r="B11" s="140"/>
      <c r="C11" s="139" t="str">
        <f t="shared" si="0"/>
        <v>5 Agawam</v>
      </c>
      <c r="D11" s="485">
        <v>5</v>
      </c>
      <c r="E11" s="486" t="s">
        <v>686</v>
      </c>
      <c r="F11" s="486">
        <v>5</v>
      </c>
      <c r="G11" s="486" t="s">
        <v>1655</v>
      </c>
      <c r="I11" s="6">
        <v>615</v>
      </c>
      <c r="J11" s="6">
        <v>2</v>
      </c>
      <c r="L11" s="6">
        <v>60302</v>
      </c>
      <c r="M11" s="6">
        <v>2</v>
      </c>
      <c r="N11" s="6">
        <v>603</v>
      </c>
      <c r="O11" s="6" t="s">
        <v>2177</v>
      </c>
      <c r="P11" s="6">
        <v>58</v>
      </c>
      <c r="Q11" s="139" t="str">
        <f>VLOOKUP(P11,'Townwide Contributions'!$A$6:$B$358,2,0)</f>
        <v>Cheshire</v>
      </c>
      <c r="R11" s="6" t="s">
        <v>269</v>
      </c>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91" s="139" customFormat="1">
      <c r="A12" s="140">
        <v>6</v>
      </c>
      <c r="B12" s="140"/>
      <c r="C12" s="139" t="str">
        <f t="shared" si="0"/>
        <v>6 Alford</v>
      </c>
      <c r="D12" s="485">
        <v>6</v>
      </c>
      <c r="E12" s="486" t="s">
        <v>687</v>
      </c>
      <c r="F12" s="486">
        <v>6</v>
      </c>
      <c r="G12" s="486" t="s">
        <v>1656</v>
      </c>
      <c r="I12" s="6">
        <v>616</v>
      </c>
      <c r="J12" s="6">
        <v>2</v>
      </c>
      <c r="L12" s="6">
        <v>60501</v>
      </c>
      <c r="M12" s="6">
        <v>1</v>
      </c>
      <c r="N12" s="6">
        <v>605</v>
      </c>
      <c r="O12" s="6" t="s">
        <v>144</v>
      </c>
      <c r="P12" s="6">
        <v>8</v>
      </c>
      <c r="Q12" s="139" t="str">
        <f>VLOOKUP(P12,'Townwide Contributions'!$A$6:$B$358,2,0)</f>
        <v>Amherst</v>
      </c>
      <c r="R12" s="6" t="s">
        <v>3</v>
      </c>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91" s="139" customFormat="1">
      <c r="A13" s="140">
        <v>7</v>
      </c>
      <c r="B13" s="140"/>
      <c r="C13" s="139" t="str">
        <f t="shared" si="0"/>
        <v>7 Amesbury</v>
      </c>
      <c r="D13" s="485">
        <v>7</v>
      </c>
      <c r="E13" s="486" t="s">
        <v>688</v>
      </c>
      <c r="F13" s="486">
        <v>7</v>
      </c>
      <c r="G13" s="486" t="s">
        <v>1657</v>
      </c>
      <c r="I13" s="6">
        <v>618</v>
      </c>
      <c r="J13" s="6">
        <v>3</v>
      </c>
      <c r="L13" s="6">
        <v>60502</v>
      </c>
      <c r="M13" s="6">
        <v>2</v>
      </c>
      <c r="N13" s="6">
        <v>605</v>
      </c>
      <c r="O13" s="6" t="s">
        <v>144</v>
      </c>
      <c r="P13" s="6">
        <v>154</v>
      </c>
      <c r="Q13" s="139" t="str">
        <f>VLOOKUP(P13,'Townwide Contributions'!$A$6:$B$358,2,0)</f>
        <v>Leverett</v>
      </c>
      <c r="R13" s="6" t="s">
        <v>378</v>
      </c>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39" customFormat="1">
      <c r="A14" s="140">
        <v>8</v>
      </c>
      <c r="B14" s="140"/>
      <c r="C14" s="139" t="str">
        <f t="shared" si="0"/>
        <v>8 Amherst</v>
      </c>
      <c r="D14" s="485">
        <v>8</v>
      </c>
      <c r="E14" s="486" t="s">
        <v>689</v>
      </c>
      <c r="F14" s="486">
        <v>8</v>
      </c>
      <c r="G14" s="486" t="s">
        <v>1658</v>
      </c>
      <c r="I14" s="6">
        <v>620</v>
      </c>
      <c r="J14" s="6">
        <v>2</v>
      </c>
      <c r="L14" s="6">
        <v>60503</v>
      </c>
      <c r="M14" s="6">
        <v>3</v>
      </c>
      <c r="N14" s="6">
        <v>605</v>
      </c>
      <c r="O14" s="6" t="s">
        <v>144</v>
      </c>
      <c r="P14" s="6">
        <v>230</v>
      </c>
      <c r="Q14" s="139" t="str">
        <f>VLOOKUP(P14,'Townwide Contributions'!$A$6:$B$358,2,0)</f>
        <v>Pelham</v>
      </c>
      <c r="R14" s="6" t="s">
        <v>481</v>
      </c>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39" customFormat="1">
      <c r="A15" s="140">
        <v>357</v>
      </c>
      <c r="B15" s="140"/>
      <c r="C15" s="139" t="str">
        <f t="shared" si="0"/>
        <v>605 Amherst Pelham</v>
      </c>
      <c r="D15" s="485">
        <v>605</v>
      </c>
      <c r="E15" s="486" t="s">
        <v>1036</v>
      </c>
      <c r="F15" s="486">
        <v>605</v>
      </c>
      <c r="G15" s="486" t="s">
        <v>2006</v>
      </c>
      <c r="I15" s="6">
        <v>622</v>
      </c>
      <c r="J15" s="6">
        <v>2</v>
      </c>
      <c r="L15" s="6">
        <v>60504</v>
      </c>
      <c r="M15" s="6">
        <v>4</v>
      </c>
      <c r="N15" s="6">
        <v>605</v>
      </c>
      <c r="O15" s="6" t="s">
        <v>144</v>
      </c>
      <c r="P15" s="6">
        <v>272</v>
      </c>
      <c r="Q15" s="139" t="str">
        <f>VLOOKUP(P15,'Townwide Contributions'!$A$6:$B$358,2,0)</f>
        <v>Shutesbury</v>
      </c>
      <c r="R15" s="6" t="s">
        <v>520</v>
      </c>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39" customFormat="1">
      <c r="A16" s="140">
        <v>9</v>
      </c>
      <c r="B16" s="140"/>
      <c r="C16" s="139" t="str">
        <f t="shared" si="0"/>
        <v>9 Andover</v>
      </c>
      <c r="D16" s="485">
        <v>9</v>
      </c>
      <c r="E16" s="486" t="s">
        <v>690</v>
      </c>
      <c r="F16" s="486">
        <v>9</v>
      </c>
      <c r="G16" s="486" t="s">
        <v>1659</v>
      </c>
      <c r="I16" s="6">
        <v>625</v>
      </c>
      <c r="J16" s="6">
        <v>2</v>
      </c>
      <c r="L16" s="6">
        <v>61001</v>
      </c>
      <c r="M16" s="6">
        <v>1</v>
      </c>
      <c r="N16" s="6">
        <v>610</v>
      </c>
      <c r="O16" s="6" t="s">
        <v>145</v>
      </c>
      <c r="P16" s="6">
        <v>11</v>
      </c>
      <c r="Q16" s="139" t="str">
        <f>VLOOKUP(P16,'Townwide Contributions'!$A$6:$B$358,2,0)</f>
        <v>Ashburnham</v>
      </c>
      <c r="R16" s="6" t="s">
        <v>8</v>
      </c>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39" customFormat="1">
      <c r="A17" s="140">
        <v>104</v>
      </c>
      <c r="B17" s="140"/>
      <c r="C17" s="139" t="str">
        <f t="shared" si="0"/>
        <v>104 Aquinnah</v>
      </c>
      <c r="D17" s="485">
        <v>104</v>
      </c>
      <c r="E17" s="486" t="s">
        <v>785</v>
      </c>
      <c r="F17" s="486">
        <v>104</v>
      </c>
      <c r="G17" s="486" t="s">
        <v>1754</v>
      </c>
      <c r="I17" s="6">
        <v>632</v>
      </c>
      <c r="J17" s="6">
        <v>2</v>
      </c>
      <c r="L17" s="6">
        <v>61002</v>
      </c>
      <c r="M17" s="6">
        <v>2</v>
      </c>
      <c r="N17" s="6">
        <v>610</v>
      </c>
      <c r="O17" s="6" t="s">
        <v>145</v>
      </c>
      <c r="P17" s="6">
        <v>328</v>
      </c>
      <c r="Q17" s="139" t="str">
        <f>VLOOKUP(P17,'Townwide Contributions'!$A$6:$B$358,2,0)</f>
        <v>Westminster</v>
      </c>
      <c r="R17" s="6" t="s">
        <v>571</v>
      </c>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39" customFormat="1">
      <c r="A18" s="140">
        <v>10</v>
      </c>
      <c r="B18" s="140"/>
      <c r="C18" s="139" t="str">
        <f t="shared" si="0"/>
        <v>10 Arlington</v>
      </c>
      <c r="D18" s="485">
        <v>10</v>
      </c>
      <c r="E18" s="486" t="s">
        <v>691</v>
      </c>
      <c r="F18" s="486">
        <v>10</v>
      </c>
      <c r="G18" s="486" t="s">
        <v>1660</v>
      </c>
      <c r="I18" s="6">
        <v>635</v>
      </c>
      <c r="J18" s="6">
        <v>7</v>
      </c>
      <c r="L18" s="6">
        <v>61501</v>
      </c>
      <c r="M18" s="6">
        <v>1</v>
      </c>
      <c r="N18" s="6">
        <v>615</v>
      </c>
      <c r="O18" s="6" t="s">
        <v>146</v>
      </c>
      <c r="P18" s="6">
        <v>15</v>
      </c>
      <c r="Q18" s="139" t="str">
        <f>VLOOKUP(P18,'Townwide Contributions'!$A$6:$B$358,2,0)</f>
        <v>Athol</v>
      </c>
      <c r="R18" s="6" t="s">
        <v>17</v>
      </c>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39" customFormat="1">
      <c r="A19" s="140">
        <v>11</v>
      </c>
      <c r="B19" s="140"/>
      <c r="C19" s="139" t="str">
        <f t="shared" si="0"/>
        <v>11 Ashburnham</v>
      </c>
      <c r="D19" s="485">
        <v>11</v>
      </c>
      <c r="E19" s="486" t="s">
        <v>692</v>
      </c>
      <c r="F19" s="486">
        <v>11</v>
      </c>
      <c r="G19" s="486" t="s">
        <v>1661</v>
      </c>
      <c r="I19" s="6">
        <v>640</v>
      </c>
      <c r="J19" s="6">
        <v>2</v>
      </c>
      <c r="L19" s="6">
        <v>61502</v>
      </c>
      <c r="M19" s="6">
        <v>2</v>
      </c>
      <c r="N19" s="6">
        <v>615</v>
      </c>
      <c r="O19" s="6" t="s">
        <v>146</v>
      </c>
      <c r="P19" s="6">
        <v>255</v>
      </c>
      <c r="Q19" s="139" t="str">
        <f>VLOOKUP(P19,'Townwide Contributions'!$A$6:$B$358,2,0)</f>
        <v>Royalston</v>
      </c>
      <c r="R19" s="6" t="s">
        <v>504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39" customFormat="1">
      <c r="A20" s="140">
        <v>358</v>
      </c>
      <c r="B20" s="140"/>
      <c r="C20" s="139" t="str">
        <f t="shared" si="0"/>
        <v>610 Ashburnham Westminster</v>
      </c>
      <c r="D20" s="485">
        <v>610</v>
      </c>
      <c r="E20" s="486" t="s">
        <v>1037</v>
      </c>
      <c r="F20" s="486">
        <v>610</v>
      </c>
      <c r="G20" s="486" t="s">
        <v>2007</v>
      </c>
      <c r="I20" s="6">
        <v>645</v>
      </c>
      <c r="J20" s="6">
        <v>2</v>
      </c>
      <c r="L20" s="6">
        <v>61601</v>
      </c>
      <c r="M20" s="6">
        <v>1</v>
      </c>
      <c r="N20" s="6">
        <v>616</v>
      </c>
      <c r="O20" s="6" t="s">
        <v>236</v>
      </c>
      <c r="P20" s="6">
        <v>19</v>
      </c>
      <c r="Q20" s="139" t="str">
        <f>VLOOKUP(P20,'Townwide Contributions'!$A$6:$B$358,2,0)</f>
        <v>Ayer</v>
      </c>
      <c r="R20" s="6" t="s">
        <v>25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39" customFormat="1">
      <c r="A21" s="140">
        <v>12</v>
      </c>
      <c r="B21" s="140"/>
      <c r="C21" s="139" t="str">
        <f t="shared" si="0"/>
        <v>12 Ashby</v>
      </c>
      <c r="D21" s="485">
        <v>12</v>
      </c>
      <c r="E21" s="486" t="s">
        <v>693</v>
      </c>
      <c r="F21" s="486">
        <v>12</v>
      </c>
      <c r="G21" s="486" t="s">
        <v>1662</v>
      </c>
      <c r="I21" s="6">
        <v>650</v>
      </c>
      <c r="J21" s="6">
        <v>2</v>
      </c>
      <c r="L21" s="6">
        <v>61602</v>
      </c>
      <c r="M21" s="6">
        <v>2</v>
      </c>
      <c r="N21" s="6">
        <v>616</v>
      </c>
      <c r="O21" s="6" t="s">
        <v>236</v>
      </c>
      <c r="P21" s="6">
        <v>270</v>
      </c>
      <c r="Q21" s="139" t="str">
        <f>VLOOKUP(P21,'Townwide Contributions'!$A$6:$B$358,2,0)</f>
        <v>Shirley</v>
      </c>
      <c r="R21" s="6" t="s">
        <v>519</v>
      </c>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39" customFormat="1">
      <c r="A22" s="140">
        <v>13</v>
      </c>
      <c r="B22" s="140"/>
      <c r="C22" s="139" t="str">
        <f t="shared" si="0"/>
        <v>13 Ashfield</v>
      </c>
      <c r="D22" s="485">
        <v>13</v>
      </c>
      <c r="E22" s="486" t="s">
        <v>694</v>
      </c>
      <c r="F22" s="486">
        <v>13</v>
      </c>
      <c r="G22" s="486" t="s">
        <v>1663</v>
      </c>
      <c r="I22" s="6">
        <v>655</v>
      </c>
      <c r="J22" s="6">
        <v>2</v>
      </c>
      <c r="L22" s="6">
        <v>61801</v>
      </c>
      <c r="M22" s="6">
        <v>1</v>
      </c>
      <c r="N22" s="6">
        <v>618</v>
      </c>
      <c r="O22" s="6" t="s">
        <v>147</v>
      </c>
      <c r="P22" s="6">
        <v>113</v>
      </c>
      <c r="Q22" s="139" t="str">
        <f>VLOOKUP(P22,'Townwide Contributions'!$A$6:$B$358,2,0)</f>
        <v>Great Barrington</v>
      </c>
      <c r="R22" s="6" t="s">
        <v>339</v>
      </c>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39" customFormat="1">
      <c r="A23" s="140">
        <v>14</v>
      </c>
      <c r="B23" s="140"/>
      <c r="C23" s="139" t="str">
        <f t="shared" si="0"/>
        <v>14 Ashland</v>
      </c>
      <c r="D23" s="485">
        <v>14</v>
      </c>
      <c r="E23" s="486" t="s">
        <v>695</v>
      </c>
      <c r="F23" s="486">
        <v>14</v>
      </c>
      <c r="G23" s="486" t="s">
        <v>1664</v>
      </c>
      <c r="I23" s="6">
        <v>658</v>
      </c>
      <c r="J23" s="6">
        <v>2</v>
      </c>
      <c r="L23" s="6">
        <v>61802</v>
      </c>
      <c r="M23" s="6">
        <v>2</v>
      </c>
      <c r="N23" s="6">
        <v>618</v>
      </c>
      <c r="O23" s="6" t="s">
        <v>147</v>
      </c>
      <c r="P23" s="6">
        <v>283</v>
      </c>
      <c r="Q23" s="139" t="str">
        <f>VLOOKUP(P23,'Townwide Contributions'!$A$6:$B$358,2,0)</f>
        <v>Stockbridge</v>
      </c>
      <c r="R23" s="6" t="s">
        <v>531</v>
      </c>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39" customFormat="1">
      <c r="A24" s="140">
        <v>413</v>
      </c>
      <c r="B24" s="140"/>
      <c r="C24" s="139" t="str">
        <f t="shared" si="0"/>
        <v>801 Assabet Valley</v>
      </c>
      <c r="D24" s="485">
        <v>801</v>
      </c>
      <c r="E24" s="486" t="s">
        <v>1092</v>
      </c>
      <c r="F24" s="486">
        <v>801</v>
      </c>
      <c r="G24" s="486" t="s">
        <v>2062</v>
      </c>
      <c r="I24" s="6">
        <v>660</v>
      </c>
      <c r="J24" s="6">
        <v>4</v>
      </c>
      <c r="L24" s="6">
        <v>61803</v>
      </c>
      <c r="M24" s="6">
        <v>3</v>
      </c>
      <c r="N24" s="6">
        <v>618</v>
      </c>
      <c r="O24" s="6" t="s">
        <v>147</v>
      </c>
      <c r="P24" s="6">
        <v>333</v>
      </c>
      <c r="Q24" s="139" t="str">
        <f>VLOOKUP(P24,'Townwide Contributions'!$A$6:$B$358,2,0)</f>
        <v>West Stockbridge</v>
      </c>
      <c r="R24" s="6" t="s">
        <v>574</v>
      </c>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39" customFormat="1">
      <c r="A25" s="140">
        <v>15</v>
      </c>
      <c r="B25" s="140"/>
      <c r="C25" s="139" t="str">
        <f t="shared" si="0"/>
        <v>15 Athol</v>
      </c>
      <c r="D25" s="485">
        <v>15</v>
      </c>
      <c r="E25" s="486" t="s">
        <v>696</v>
      </c>
      <c r="F25" s="486">
        <v>15</v>
      </c>
      <c r="G25" s="486" t="s">
        <v>1665</v>
      </c>
      <c r="I25" s="6">
        <v>662</v>
      </c>
      <c r="J25" s="6">
        <v>2</v>
      </c>
      <c r="L25" s="6">
        <v>62001</v>
      </c>
      <c r="M25" s="6">
        <v>1</v>
      </c>
      <c r="N25" s="6">
        <v>620</v>
      </c>
      <c r="O25" s="6" t="s">
        <v>148</v>
      </c>
      <c r="P25" s="6">
        <v>28</v>
      </c>
      <c r="Q25" s="139" t="str">
        <f>VLOOKUP(P25,'Townwide Contributions'!$A$6:$B$358,2,0)</f>
        <v>Berlin</v>
      </c>
      <c r="R25" s="6" t="s">
        <v>40</v>
      </c>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39" customFormat="1">
      <c r="A26" s="140">
        <v>359</v>
      </c>
      <c r="B26" s="140"/>
      <c r="C26" s="139" t="str">
        <f t="shared" si="0"/>
        <v>615 Athol Royalston</v>
      </c>
      <c r="D26" s="485">
        <v>615</v>
      </c>
      <c r="E26" s="486" t="s">
        <v>1038</v>
      </c>
      <c r="F26" s="486">
        <v>615</v>
      </c>
      <c r="G26" s="486" t="s">
        <v>2008</v>
      </c>
      <c r="I26" s="6">
        <v>665</v>
      </c>
      <c r="J26" s="6">
        <v>2</v>
      </c>
      <c r="L26" s="6">
        <v>62002</v>
      </c>
      <c r="M26" s="6">
        <v>2</v>
      </c>
      <c r="N26" s="6">
        <v>620</v>
      </c>
      <c r="O26" s="6" t="s">
        <v>148</v>
      </c>
      <c r="P26" s="6">
        <v>39</v>
      </c>
      <c r="Q26" s="139" t="str">
        <f>VLOOKUP(P26,'Townwide Contributions'!$A$6:$B$358,2,0)</f>
        <v>Boylston</v>
      </c>
      <c r="R26" s="6" t="s">
        <v>242</v>
      </c>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39" customFormat="1">
      <c r="A27" s="140">
        <v>16</v>
      </c>
      <c r="B27" s="140"/>
      <c r="C27" s="139" t="str">
        <f t="shared" si="0"/>
        <v>16 Attleboro</v>
      </c>
      <c r="D27" s="485">
        <v>16</v>
      </c>
      <c r="E27" s="486" t="s">
        <v>697</v>
      </c>
      <c r="F27" s="486">
        <v>16</v>
      </c>
      <c r="G27" s="486" t="s">
        <v>1666</v>
      </c>
      <c r="I27" s="6">
        <v>670</v>
      </c>
      <c r="J27" s="6">
        <v>4</v>
      </c>
      <c r="L27" s="6">
        <v>62201</v>
      </c>
      <c r="M27" s="6">
        <v>1</v>
      </c>
      <c r="N27" s="6">
        <v>622</v>
      </c>
      <c r="O27" s="6" t="s">
        <v>149</v>
      </c>
      <c r="P27" s="6">
        <v>32</v>
      </c>
      <c r="Q27" s="139" t="str">
        <f>VLOOKUP(P27,'Townwide Contributions'!$A$6:$B$358,2,0)</f>
        <v>Blackstone</v>
      </c>
      <c r="R27" s="6" t="s">
        <v>48</v>
      </c>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39" customFormat="1">
      <c r="A28" s="140">
        <v>17</v>
      </c>
      <c r="B28" s="140"/>
      <c r="C28" s="139" t="str">
        <f t="shared" si="0"/>
        <v>17 Auburn</v>
      </c>
      <c r="D28" s="485">
        <v>17</v>
      </c>
      <c r="E28" s="486" t="s">
        <v>698</v>
      </c>
      <c r="F28" s="486">
        <v>17</v>
      </c>
      <c r="G28" s="486" t="s">
        <v>1667</v>
      </c>
      <c r="I28" s="6">
        <v>672</v>
      </c>
      <c r="J28" s="6">
        <v>6</v>
      </c>
      <c r="L28" s="6">
        <v>62202</v>
      </c>
      <c r="M28" s="6">
        <v>2</v>
      </c>
      <c r="N28" s="6">
        <v>622</v>
      </c>
      <c r="O28" s="6" t="s">
        <v>149</v>
      </c>
      <c r="P28" s="6">
        <v>188</v>
      </c>
      <c r="Q28" s="139" t="str">
        <f>VLOOKUP(P28,'Townwide Contributions'!$A$6:$B$358,2,0)</f>
        <v>Millville</v>
      </c>
      <c r="R28" s="6" t="s">
        <v>430</v>
      </c>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39" customFormat="1">
      <c r="A29" s="140">
        <v>18</v>
      </c>
      <c r="B29" s="140"/>
      <c r="C29" s="139" t="str">
        <f t="shared" si="0"/>
        <v>18 Avon</v>
      </c>
      <c r="D29" s="485">
        <v>18</v>
      </c>
      <c r="E29" s="486" t="s">
        <v>699</v>
      </c>
      <c r="F29" s="486">
        <v>18</v>
      </c>
      <c r="G29" s="486" t="s">
        <v>1668</v>
      </c>
      <c r="I29" s="6">
        <v>673</v>
      </c>
      <c r="J29" s="6">
        <v>2</v>
      </c>
      <c r="L29" s="6">
        <v>62501</v>
      </c>
      <c r="M29" s="6">
        <v>1</v>
      </c>
      <c r="N29" s="6">
        <v>625</v>
      </c>
      <c r="O29" s="6" t="s">
        <v>150</v>
      </c>
      <c r="P29" s="6">
        <v>42</v>
      </c>
      <c r="Q29" s="139" t="str">
        <f>VLOOKUP(P29,'Townwide Contributions'!$A$6:$B$358,2,0)</f>
        <v>Bridgewater</v>
      </c>
      <c r="R29" s="6" t="s">
        <v>246</v>
      </c>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39" customFormat="1">
      <c r="A30" s="140">
        <v>19</v>
      </c>
      <c r="B30" s="140"/>
      <c r="C30" s="139" t="str">
        <f t="shared" si="0"/>
        <v>19 Ayer</v>
      </c>
      <c r="D30" s="485">
        <v>19</v>
      </c>
      <c r="E30" s="486" t="s">
        <v>700</v>
      </c>
      <c r="F30" s="486">
        <v>19</v>
      </c>
      <c r="G30" s="486" t="s">
        <v>1669</v>
      </c>
      <c r="I30" s="6">
        <v>674</v>
      </c>
      <c r="J30" s="6">
        <v>2</v>
      </c>
      <c r="L30" s="6">
        <v>62502</v>
      </c>
      <c r="M30" s="6">
        <v>2</v>
      </c>
      <c r="N30" s="6">
        <v>625</v>
      </c>
      <c r="O30" s="6" t="s">
        <v>150</v>
      </c>
      <c r="P30" s="6">
        <v>245</v>
      </c>
      <c r="Q30" s="139" t="str">
        <f>VLOOKUP(P30,'Townwide Contributions'!$A$6:$B$358,2,0)</f>
        <v>Raynham</v>
      </c>
      <c r="R30" s="6" t="s">
        <v>496</v>
      </c>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39" customFormat="1">
      <c r="A31" s="140">
        <v>360</v>
      </c>
      <c r="B31" s="140"/>
      <c r="C31" s="139" t="str">
        <f t="shared" si="0"/>
        <v>616 Ayer Shirley</v>
      </c>
      <c r="D31" s="485">
        <v>616</v>
      </c>
      <c r="E31" s="486" t="s">
        <v>1039</v>
      </c>
      <c r="F31" s="486">
        <v>616</v>
      </c>
      <c r="G31" s="486" t="s">
        <v>2009</v>
      </c>
      <c r="I31" s="6">
        <v>675</v>
      </c>
      <c r="J31" s="6">
        <v>2</v>
      </c>
      <c r="L31" s="6">
        <v>63201</v>
      </c>
      <c r="M31" s="6">
        <v>1</v>
      </c>
      <c r="N31" s="6">
        <v>632</v>
      </c>
      <c r="O31" s="6" t="s">
        <v>272</v>
      </c>
      <c r="P31" s="6">
        <v>60</v>
      </c>
      <c r="Q31" s="139" t="str">
        <f>VLOOKUP(P31,'Townwide Contributions'!$A$6:$B$358,2,0)</f>
        <v>Chesterfield</v>
      </c>
      <c r="R31" s="6" t="s">
        <v>271</v>
      </c>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39" customFormat="1">
      <c r="A32" s="140">
        <v>20</v>
      </c>
      <c r="B32" s="140"/>
      <c r="C32" s="139" t="str">
        <f t="shared" si="0"/>
        <v>20 Barnstable</v>
      </c>
      <c r="D32" s="485">
        <v>20</v>
      </c>
      <c r="E32" s="486" t="s">
        <v>701</v>
      </c>
      <c r="F32" s="486">
        <v>20</v>
      </c>
      <c r="G32" s="486" t="s">
        <v>1670</v>
      </c>
      <c r="I32" s="6">
        <v>680</v>
      </c>
      <c r="J32" s="6">
        <v>2</v>
      </c>
      <c r="L32" s="6">
        <v>63202</v>
      </c>
      <c r="M32" s="6">
        <v>2</v>
      </c>
      <c r="N32" s="6">
        <v>632</v>
      </c>
      <c r="O32" s="6" t="s">
        <v>272</v>
      </c>
      <c r="P32" s="6">
        <v>108</v>
      </c>
      <c r="Q32" s="139" t="str">
        <f>VLOOKUP(P32,'Townwide Contributions'!$A$6:$B$358,2,0)</f>
        <v>Goshen</v>
      </c>
      <c r="R32" s="6" t="s">
        <v>335</v>
      </c>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39" customFormat="1">
      <c r="A33" s="140">
        <v>21</v>
      </c>
      <c r="B33" s="140"/>
      <c r="C33" s="139" t="str">
        <f t="shared" si="0"/>
        <v>21 Barre</v>
      </c>
      <c r="D33" s="485">
        <v>21</v>
      </c>
      <c r="E33" s="486" t="s">
        <v>702</v>
      </c>
      <c r="F33" s="486">
        <v>21</v>
      </c>
      <c r="G33" s="486" t="s">
        <v>1671</v>
      </c>
      <c r="I33" s="6">
        <v>683</v>
      </c>
      <c r="J33" s="6">
        <v>5</v>
      </c>
      <c r="L33" s="6">
        <v>63501</v>
      </c>
      <c r="M33" s="6">
        <v>1</v>
      </c>
      <c r="N33" s="6">
        <v>635</v>
      </c>
      <c r="O33" s="6" t="s">
        <v>151</v>
      </c>
      <c r="P33" s="6">
        <v>22</v>
      </c>
      <c r="Q33" s="139" t="str">
        <f>VLOOKUP(P33,'Townwide Contributions'!$A$6:$B$358,2,0)</f>
        <v>Becket</v>
      </c>
      <c r="R33" s="6" t="s">
        <v>30</v>
      </c>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39" customFormat="1">
      <c r="A34" s="140">
        <v>22</v>
      </c>
      <c r="B34" s="140"/>
      <c r="C34" s="139" t="str">
        <f t="shared" si="0"/>
        <v>22 Becket</v>
      </c>
      <c r="D34" s="485">
        <v>22</v>
      </c>
      <c r="E34" s="486" t="s">
        <v>703</v>
      </c>
      <c r="F34" s="486">
        <v>22</v>
      </c>
      <c r="G34" s="486" t="s">
        <v>1672</v>
      </c>
      <c r="I34" s="6">
        <v>685</v>
      </c>
      <c r="J34" s="6">
        <v>2</v>
      </c>
      <c r="L34" s="6">
        <v>63502</v>
      </c>
      <c r="M34" s="6">
        <v>2</v>
      </c>
      <c r="N34" s="6">
        <v>635</v>
      </c>
      <c r="O34" s="6" t="s">
        <v>151</v>
      </c>
      <c r="P34" s="6">
        <v>69</v>
      </c>
      <c r="Q34" s="139" t="str">
        <f>VLOOKUP(P34,'Townwide Contributions'!$A$6:$B$358,2,0)</f>
        <v>Cummington</v>
      </c>
      <c r="R34" s="6" t="s">
        <v>283</v>
      </c>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39" customFormat="1">
      <c r="A35" s="140">
        <v>23</v>
      </c>
      <c r="B35" s="140"/>
      <c r="C35" s="139" t="str">
        <f t="shared" si="0"/>
        <v>23 Bedford</v>
      </c>
      <c r="D35" s="485">
        <v>23</v>
      </c>
      <c r="E35" s="486" t="s">
        <v>704</v>
      </c>
      <c r="F35" s="486">
        <v>23</v>
      </c>
      <c r="G35" s="486" t="s">
        <v>1673</v>
      </c>
      <c r="I35" s="6">
        <v>690</v>
      </c>
      <c r="J35" s="6">
        <v>3</v>
      </c>
      <c r="L35" s="6">
        <v>63503</v>
      </c>
      <c r="M35" s="6">
        <v>3</v>
      </c>
      <c r="N35" s="6">
        <v>635</v>
      </c>
      <c r="O35" s="6" t="s">
        <v>151</v>
      </c>
      <c r="P35" s="6">
        <v>70</v>
      </c>
      <c r="Q35" s="139" t="str">
        <f>VLOOKUP(P35,'Townwide Contributions'!$A$6:$B$358,2,0)</f>
        <v>Dalton</v>
      </c>
      <c r="R35" s="6" t="s">
        <v>284</v>
      </c>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39" customFormat="1">
      <c r="A36" s="140">
        <v>24</v>
      </c>
      <c r="B36" s="140"/>
      <c r="C36" s="139" t="str">
        <f t="shared" si="0"/>
        <v>24 Belchertown</v>
      </c>
      <c r="D36" s="485">
        <v>24</v>
      </c>
      <c r="E36" s="486" t="s">
        <v>705</v>
      </c>
      <c r="F36" s="486">
        <v>24</v>
      </c>
      <c r="G36" s="486" t="s">
        <v>1674</v>
      </c>
      <c r="I36" s="6">
        <v>695</v>
      </c>
      <c r="J36" s="6">
        <v>2</v>
      </c>
      <c r="L36" s="6">
        <v>63504</v>
      </c>
      <c r="M36" s="6">
        <v>4</v>
      </c>
      <c r="N36" s="6">
        <v>635</v>
      </c>
      <c r="O36" s="6" t="s">
        <v>151</v>
      </c>
      <c r="P36" s="6">
        <v>132</v>
      </c>
      <c r="Q36" s="139" t="str">
        <f>VLOOKUP(P36,'Townwide Contributions'!$A$6:$B$358,2,0)</f>
        <v>Hinsdale</v>
      </c>
      <c r="R36" s="6" t="s">
        <v>360</v>
      </c>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39" customFormat="1">
      <c r="A37" s="140">
        <v>25</v>
      </c>
      <c r="B37" s="140"/>
      <c r="C37" s="139" t="str">
        <f t="shared" si="0"/>
        <v>25 Bellingham</v>
      </c>
      <c r="D37" s="485">
        <v>25</v>
      </c>
      <c r="E37" s="486" t="s">
        <v>706</v>
      </c>
      <c r="F37" s="486">
        <v>25</v>
      </c>
      <c r="G37" s="486" t="s">
        <v>1675</v>
      </c>
      <c r="I37" s="6">
        <v>698</v>
      </c>
      <c r="J37" s="6">
        <v>2</v>
      </c>
      <c r="L37" s="6">
        <v>63505</v>
      </c>
      <c r="M37" s="6">
        <v>5</v>
      </c>
      <c r="N37" s="6">
        <v>635</v>
      </c>
      <c r="O37" s="6" t="s">
        <v>151</v>
      </c>
      <c r="P37" s="6">
        <v>233</v>
      </c>
      <c r="Q37" s="139" t="str">
        <f>VLOOKUP(P37,'Townwide Contributions'!$A$6:$B$358,2,0)</f>
        <v>Peru</v>
      </c>
      <c r="R37" s="6" t="s">
        <v>485</v>
      </c>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39" customFormat="1">
      <c r="A38" s="140">
        <v>26</v>
      </c>
      <c r="B38" s="140"/>
      <c r="C38" s="139" t="str">
        <f t="shared" si="0"/>
        <v>26 Belmont</v>
      </c>
      <c r="D38" s="485">
        <v>26</v>
      </c>
      <c r="E38" s="486" t="s">
        <v>707</v>
      </c>
      <c r="F38" s="486">
        <v>26</v>
      </c>
      <c r="G38" s="486" t="s">
        <v>1676</v>
      </c>
      <c r="I38" s="6">
        <v>700</v>
      </c>
      <c r="J38" s="6">
        <v>6</v>
      </c>
      <c r="L38" s="6">
        <v>63506</v>
      </c>
      <c r="M38" s="6">
        <v>6</v>
      </c>
      <c r="N38" s="6">
        <v>635</v>
      </c>
      <c r="O38" s="6" t="s">
        <v>151</v>
      </c>
      <c r="P38" s="6">
        <v>313</v>
      </c>
      <c r="Q38" s="139" t="str">
        <f>VLOOKUP(P38,'Townwide Contributions'!$A$6:$B$358,2,0)</f>
        <v>Washington</v>
      </c>
      <c r="R38" s="6" t="s">
        <v>560</v>
      </c>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39" customFormat="1">
      <c r="A39" s="140">
        <v>27</v>
      </c>
      <c r="B39" s="140"/>
      <c r="C39" s="139" t="str">
        <f t="shared" si="0"/>
        <v>27 Berkley</v>
      </c>
      <c r="D39" s="485">
        <v>27</v>
      </c>
      <c r="E39" s="486" t="s">
        <v>708</v>
      </c>
      <c r="F39" s="486">
        <v>27</v>
      </c>
      <c r="G39" s="486" t="s">
        <v>1677</v>
      </c>
      <c r="I39" s="6">
        <v>705</v>
      </c>
      <c r="J39" s="6">
        <v>3</v>
      </c>
      <c r="L39" s="6">
        <v>63507</v>
      </c>
      <c r="M39" s="6">
        <v>7</v>
      </c>
      <c r="N39" s="6">
        <v>635</v>
      </c>
      <c r="O39" s="6" t="s">
        <v>151</v>
      </c>
      <c r="P39" s="6">
        <v>345</v>
      </c>
      <c r="Q39" s="139" t="str">
        <f>VLOOKUP(P39,'Townwide Contributions'!$A$6:$B$358,2,0)</f>
        <v>Windsor</v>
      </c>
      <c r="R39" s="6" t="s">
        <v>586</v>
      </c>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39" customFormat="1">
      <c r="A40" s="140">
        <v>361</v>
      </c>
      <c r="B40" s="140"/>
      <c r="C40" s="139" t="str">
        <f t="shared" si="0"/>
        <v>618 Berkshire Hills</v>
      </c>
      <c r="D40" s="485">
        <v>618</v>
      </c>
      <c r="E40" s="486" t="s">
        <v>1040</v>
      </c>
      <c r="F40" s="486">
        <v>618</v>
      </c>
      <c r="G40" s="486" t="s">
        <v>2010</v>
      </c>
      <c r="I40" s="6">
        <v>710</v>
      </c>
      <c r="J40" s="6">
        <v>2</v>
      </c>
      <c r="L40" s="6">
        <v>64001</v>
      </c>
      <c r="M40" s="6">
        <v>1</v>
      </c>
      <c r="N40" s="6">
        <v>640</v>
      </c>
      <c r="O40" s="6" t="s">
        <v>152</v>
      </c>
      <c r="P40" s="6">
        <v>51</v>
      </c>
      <c r="Q40" s="139" t="str">
        <f>VLOOKUP(P40,'Townwide Contributions'!$A$6:$B$358,2,0)</f>
        <v>Carlisle</v>
      </c>
      <c r="R40" s="6" t="s">
        <v>257</v>
      </c>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39" customFormat="1">
      <c r="A41" s="140">
        <v>28</v>
      </c>
      <c r="B41" s="140"/>
      <c r="C41" s="139" t="str">
        <f t="shared" si="0"/>
        <v>28 Berlin</v>
      </c>
      <c r="D41" s="485">
        <v>28</v>
      </c>
      <c r="E41" s="486" t="s">
        <v>709</v>
      </c>
      <c r="F41" s="486">
        <v>28</v>
      </c>
      <c r="G41" s="486" t="s">
        <v>1678</v>
      </c>
      <c r="I41" s="6">
        <v>712</v>
      </c>
      <c r="J41" s="6">
        <v>2</v>
      </c>
      <c r="L41" s="6">
        <v>64002</v>
      </c>
      <c r="M41" s="6">
        <v>2</v>
      </c>
      <c r="N41" s="6">
        <v>640</v>
      </c>
      <c r="O41" s="6" t="s">
        <v>152</v>
      </c>
      <c r="P41" s="6">
        <v>67</v>
      </c>
      <c r="Q41" s="139" t="str">
        <f>VLOOKUP(P41,'Townwide Contributions'!$A$6:$B$358,2,0)</f>
        <v>Concord</v>
      </c>
      <c r="R41" s="6" t="s">
        <v>280</v>
      </c>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39" customFormat="1">
      <c r="A42" s="140">
        <v>362</v>
      </c>
      <c r="B42" s="140"/>
      <c r="C42" s="139" t="str">
        <f t="shared" si="0"/>
        <v>620 Berlin Boylston</v>
      </c>
      <c r="D42" s="485">
        <v>620</v>
      </c>
      <c r="E42" s="486" t="s">
        <v>1041</v>
      </c>
      <c r="F42" s="486">
        <v>620</v>
      </c>
      <c r="G42" s="486" t="s">
        <v>2011</v>
      </c>
      <c r="I42" s="6">
        <v>715</v>
      </c>
      <c r="J42" s="6">
        <v>2</v>
      </c>
      <c r="L42" s="6">
        <v>64501</v>
      </c>
      <c r="M42" s="6">
        <v>1</v>
      </c>
      <c r="N42" s="6">
        <v>645</v>
      </c>
      <c r="O42" s="6" t="s">
        <v>153</v>
      </c>
      <c r="P42" s="6">
        <v>75</v>
      </c>
      <c r="Q42" s="139" t="str">
        <f>VLOOKUP(P42,'Townwide Contributions'!$A$6:$B$358,2,0)</f>
        <v>Dennis</v>
      </c>
      <c r="R42" s="6" t="s">
        <v>294</v>
      </c>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39" customFormat="1">
      <c r="A43" s="140">
        <v>29</v>
      </c>
      <c r="B43" s="140"/>
      <c r="C43" s="139" t="str">
        <f t="shared" si="0"/>
        <v>29 Bernardston</v>
      </c>
      <c r="D43" s="485">
        <v>29</v>
      </c>
      <c r="E43" s="486" t="s">
        <v>710</v>
      </c>
      <c r="F43" s="486">
        <v>29</v>
      </c>
      <c r="G43" s="486" t="s">
        <v>1679</v>
      </c>
      <c r="I43" s="6">
        <v>717</v>
      </c>
      <c r="J43" s="6">
        <v>8</v>
      </c>
      <c r="L43" s="6">
        <v>64502</v>
      </c>
      <c r="M43" s="6">
        <v>2</v>
      </c>
      <c r="N43" s="6">
        <v>645</v>
      </c>
      <c r="O43" s="6" t="s">
        <v>153</v>
      </c>
      <c r="P43" s="6">
        <v>351</v>
      </c>
      <c r="Q43" s="139" t="str">
        <f>VLOOKUP(P43,'Townwide Contributions'!$A$6:$B$358,2,0)</f>
        <v>Yarmouth</v>
      </c>
      <c r="R43" s="6" t="s">
        <v>590</v>
      </c>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39" customFormat="1">
      <c r="A44" s="140">
        <v>30</v>
      </c>
      <c r="B44" s="140"/>
      <c r="C44" s="139" t="str">
        <f t="shared" si="0"/>
        <v>30 Beverly</v>
      </c>
      <c r="D44" s="485">
        <v>30</v>
      </c>
      <c r="E44" s="486" t="s">
        <v>711</v>
      </c>
      <c r="F44" s="486">
        <v>30</v>
      </c>
      <c r="G44" s="486" t="s">
        <v>1680</v>
      </c>
      <c r="I44" s="6">
        <v>720</v>
      </c>
      <c r="J44" s="6">
        <v>2</v>
      </c>
      <c r="L44" s="6">
        <v>65001</v>
      </c>
      <c r="M44" s="6">
        <v>1</v>
      </c>
      <c r="N44" s="6">
        <v>650</v>
      </c>
      <c r="O44" s="6" t="s">
        <v>154</v>
      </c>
      <c r="P44" s="6">
        <v>76</v>
      </c>
      <c r="Q44" s="139" t="str">
        <f>VLOOKUP(P44,'Townwide Contributions'!$A$6:$B$358,2,0)</f>
        <v>Dighton</v>
      </c>
      <c r="R44" s="6" t="s">
        <v>296</v>
      </c>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39" customFormat="1">
      <c r="A45" s="140">
        <v>31</v>
      </c>
      <c r="B45" s="140"/>
      <c r="C45" s="139" t="str">
        <f t="shared" si="0"/>
        <v>31 Billerica</v>
      </c>
      <c r="D45" s="485">
        <v>31</v>
      </c>
      <c r="E45" s="486" t="s">
        <v>712</v>
      </c>
      <c r="F45" s="486">
        <v>31</v>
      </c>
      <c r="G45" s="486" t="s">
        <v>1681</v>
      </c>
      <c r="I45" s="6">
        <v>725</v>
      </c>
      <c r="J45" s="6">
        <v>3</v>
      </c>
      <c r="L45" s="6">
        <v>65002</v>
      </c>
      <c r="M45" s="6">
        <v>2</v>
      </c>
      <c r="N45" s="6">
        <v>650</v>
      </c>
      <c r="O45" s="6" t="s">
        <v>154</v>
      </c>
      <c r="P45" s="6">
        <v>247</v>
      </c>
      <c r="Q45" s="139" t="str">
        <f>VLOOKUP(P45,'Townwide Contributions'!$A$6:$B$358,2,0)</f>
        <v>Rehoboth</v>
      </c>
      <c r="R45" s="6" t="s">
        <v>498</v>
      </c>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39" customFormat="1">
      <c r="A46" s="140">
        <v>32</v>
      </c>
      <c r="B46" s="140"/>
      <c r="C46" s="139" t="str">
        <f t="shared" si="0"/>
        <v>32 Blackstone</v>
      </c>
      <c r="D46" s="485">
        <v>32</v>
      </c>
      <c r="E46" s="486" t="s">
        <v>713</v>
      </c>
      <c r="F46" s="486">
        <v>32</v>
      </c>
      <c r="G46" s="486" t="s">
        <v>1682</v>
      </c>
      <c r="I46" s="6">
        <v>728</v>
      </c>
      <c r="J46" s="6">
        <v>2</v>
      </c>
      <c r="L46" s="6">
        <v>65501</v>
      </c>
      <c r="M46" s="6">
        <v>1</v>
      </c>
      <c r="N46" s="6">
        <v>655</v>
      </c>
      <c r="O46" s="6" t="s">
        <v>155</v>
      </c>
      <c r="P46" s="6">
        <v>78</v>
      </c>
      <c r="Q46" s="139" t="str">
        <f>VLOOKUP(P46,'Townwide Contributions'!$A$6:$B$358,2,0)</f>
        <v>Dover</v>
      </c>
      <c r="R46" s="6" t="s">
        <v>299</v>
      </c>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39" customFormat="1">
      <c r="A47" s="140">
        <v>363</v>
      </c>
      <c r="B47" s="140"/>
      <c r="C47" s="139" t="str">
        <f t="shared" si="0"/>
        <v>622 Blackstone Millville</v>
      </c>
      <c r="D47" s="485">
        <v>622</v>
      </c>
      <c r="E47" s="486" t="s">
        <v>1042</v>
      </c>
      <c r="F47" s="486">
        <v>622</v>
      </c>
      <c r="G47" s="486" t="s">
        <v>2012</v>
      </c>
      <c r="I47" s="6">
        <v>730</v>
      </c>
      <c r="J47" s="6">
        <v>2</v>
      </c>
      <c r="L47" s="6">
        <v>65502</v>
      </c>
      <c r="M47" s="6">
        <v>2</v>
      </c>
      <c r="N47" s="6">
        <v>655</v>
      </c>
      <c r="O47" s="6" t="s">
        <v>155</v>
      </c>
      <c r="P47" s="6">
        <v>269</v>
      </c>
      <c r="Q47" s="139" t="str">
        <f>VLOOKUP(P47,'Townwide Contributions'!$A$6:$B$358,2,0)</f>
        <v>Sherborn</v>
      </c>
      <c r="R47" s="6" t="s">
        <v>518</v>
      </c>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39" customFormat="1">
      <c r="A48" s="140">
        <v>414</v>
      </c>
      <c r="B48" s="140"/>
      <c r="C48" s="139" t="str">
        <f t="shared" si="0"/>
        <v>805 Blackstone Valley</v>
      </c>
      <c r="D48" s="485">
        <v>805</v>
      </c>
      <c r="E48" s="486" t="s">
        <v>1093</v>
      </c>
      <c r="F48" s="486">
        <v>805</v>
      </c>
      <c r="G48" s="486" t="s">
        <v>2063</v>
      </c>
      <c r="I48" s="6">
        <v>735</v>
      </c>
      <c r="J48" s="6">
        <v>3</v>
      </c>
      <c r="L48" s="6">
        <v>65801</v>
      </c>
      <c r="M48" s="6">
        <v>1</v>
      </c>
      <c r="N48" s="6">
        <v>658</v>
      </c>
      <c r="O48" s="6" t="s">
        <v>156</v>
      </c>
      <c r="P48" s="6">
        <v>54</v>
      </c>
      <c r="Q48" s="139" t="str">
        <f>VLOOKUP(P48,'Townwide Contributions'!$A$6:$B$358,2,0)</f>
        <v>Charlton</v>
      </c>
      <c r="R48" s="6" t="s">
        <v>262</v>
      </c>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39" customFormat="1">
      <c r="A49" s="140">
        <v>33</v>
      </c>
      <c r="B49" s="140"/>
      <c r="C49" s="139" t="str">
        <f t="shared" si="0"/>
        <v>33 Blandford</v>
      </c>
      <c r="D49" s="485">
        <v>33</v>
      </c>
      <c r="E49" s="486" t="s">
        <v>714</v>
      </c>
      <c r="F49" s="486">
        <v>33</v>
      </c>
      <c r="G49" s="486" t="s">
        <v>1683</v>
      </c>
      <c r="I49" s="6">
        <v>740</v>
      </c>
      <c r="J49" s="6">
        <v>3</v>
      </c>
      <c r="L49" s="6">
        <v>65802</v>
      </c>
      <c r="M49" s="6">
        <v>2</v>
      </c>
      <c r="N49" s="6">
        <v>658</v>
      </c>
      <c r="O49" s="6" t="s">
        <v>156</v>
      </c>
      <c r="P49" s="6">
        <v>80</v>
      </c>
      <c r="Q49" s="139" t="str">
        <f>VLOOKUP(P49,'Townwide Contributions'!$A$6:$B$358,2,0)</f>
        <v>Dudley</v>
      </c>
      <c r="R49" s="6" t="s">
        <v>304</v>
      </c>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39" customFormat="1">
      <c r="A50" s="140">
        <v>415</v>
      </c>
      <c r="B50" s="140"/>
      <c r="C50" s="139" t="str">
        <f t="shared" si="0"/>
        <v>806 Blue Hills</v>
      </c>
      <c r="D50" s="485">
        <v>806</v>
      </c>
      <c r="E50" s="486" t="s">
        <v>1094</v>
      </c>
      <c r="F50" s="486">
        <v>806</v>
      </c>
      <c r="G50" s="486" t="s">
        <v>2064</v>
      </c>
      <c r="I50" s="6">
        <v>745</v>
      </c>
      <c r="J50" s="6">
        <v>3</v>
      </c>
      <c r="L50" s="6">
        <v>66001</v>
      </c>
      <c r="M50" s="6">
        <v>1</v>
      </c>
      <c r="N50" s="6">
        <v>660</v>
      </c>
      <c r="O50" s="6" t="s">
        <v>157</v>
      </c>
      <c r="P50" s="6">
        <v>41</v>
      </c>
      <c r="Q50" s="139" t="str">
        <f>VLOOKUP(P50,'Townwide Contributions'!$A$6:$B$358,2,0)</f>
        <v>Brewster</v>
      </c>
      <c r="R50" s="6" t="s">
        <v>244</v>
      </c>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39" customFormat="1">
      <c r="A51" s="140">
        <v>34</v>
      </c>
      <c r="B51" s="140"/>
      <c r="C51" s="139" t="str">
        <f t="shared" si="0"/>
        <v>34 Bolton</v>
      </c>
      <c r="D51" s="485">
        <v>34</v>
      </c>
      <c r="E51" s="486" t="s">
        <v>715</v>
      </c>
      <c r="F51" s="486">
        <v>34</v>
      </c>
      <c r="G51" s="486" t="s">
        <v>1684</v>
      </c>
      <c r="I51" s="6">
        <v>750</v>
      </c>
      <c r="J51" s="6">
        <v>3</v>
      </c>
      <c r="L51" s="6">
        <v>66002</v>
      </c>
      <c r="M51" s="6">
        <v>2</v>
      </c>
      <c r="N51" s="6">
        <v>660</v>
      </c>
      <c r="O51" s="6" t="s">
        <v>157</v>
      </c>
      <c r="P51" s="6">
        <v>85</v>
      </c>
      <c r="Q51" s="139" t="str">
        <f>VLOOKUP(P51,'Townwide Contributions'!$A$6:$B$358,2,0)</f>
        <v>Eastham</v>
      </c>
      <c r="R51" s="6" t="s">
        <v>310</v>
      </c>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39" customFormat="1">
      <c r="A52" s="140">
        <v>35</v>
      </c>
      <c r="B52" s="140"/>
      <c r="C52" s="139" t="str">
        <f t="shared" si="0"/>
        <v>35 Boston</v>
      </c>
      <c r="D52" s="485">
        <v>35</v>
      </c>
      <c r="E52" s="486" t="s">
        <v>716</v>
      </c>
      <c r="F52" s="486">
        <v>35</v>
      </c>
      <c r="G52" s="486" t="s">
        <v>1685</v>
      </c>
      <c r="I52" s="6">
        <v>753</v>
      </c>
      <c r="J52" s="6">
        <v>5</v>
      </c>
      <c r="L52" s="6">
        <v>66003</v>
      </c>
      <c r="M52" s="6">
        <v>3</v>
      </c>
      <c r="N52" s="6">
        <v>660</v>
      </c>
      <c r="O52" s="6" t="s">
        <v>157</v>
      </c>
      <c r="P52" s="6">
        <v>224</v>
      </c>
      <c r="Q52" s="139" t="str">
        <f>VLOOKUP(P52,'Townwide Contributions'!$A$6:$B$358,2,0)</f>
        <v>Orleans</v>
      </c>
      <c r="R52" s="6" t="s">
        <v>472</v>
      </c>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39" customFormat="1">
      <c r="A53" s="140">
        <v>36</v>
      </c>
      <c r="B53" s="140"/>
      <c r="C53" s="139" t="str">
        <f t="shared" si="0"/>
        <v>36 Bourne</v>
      </c>
      <c r="D53" s="485">
        <v>36</v>
      </c>
      <c r="E53" s="486" t="s">
        <v>717</v>
      </c>
      <c r="F53" s="486">
        <v>36</v>
      </c>
      <c r="G53" s="486" t="s">
        <v>1686</v>
      </c>
      <c r="I53" s="6">
        <v>755</v>
      </c>
      <c r="J53" s="6">
        <v>4</v>
      </c>
      <c r="L53" s="6">
        <v>66004</v>
      </c>
      <c r="M53" s="6">
        <v>4</v>
      </c>
      <c r="N53" s="6">
        <v>660</v>
      </c>
      <c r="O53" s="6" t="s">
        <v>157</v>
      </c>
      <c r="P53" s="6">
        <v>318</v>
      </c>
      <c r="Q53" s="139" t="str">
        <f>VLOOKUP(P53,'Townwide Contributions'!$A$6:$B$358,2,0)</f>
        <v>Wellfleet</v>
      </c>
      <c r="R53" s="6" t="s">
        <v>563</v>
      </c>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39" customFormat="1">
      <c r="A54" s="140">
        <v>37</v>
      </c>
      <c r="B54" s="140"/>
      <c r="C54" s="139" t="str">
        <f t="shared" si="0"/>
        <v>37 Boxborough</v>
      </c>
      <c r="D54" s="485">
        <v>37</v>
      </c>
      <c r="E54" s="486" t="s">
        <v>718</v>
      </c>
      <c r="F54" s="486">
        <v>37</v>
      </c>
      <c r="G54" s="486" t="s">
        <v>1687</v>
      </c>
      <c r="I54" s="6">
        <v>760</v>
      </c>
      <c r="J54" s="6">
        <v>3</v>
      </c>
      <c r="L54" s="6">
        <v>66201</v>
      </c>
      <c r="M54" s="6">
        <v>1</v>
      </c>
      <c r="N54" s="6">
        <v>662</v>
      </c>
      <c r="O54" s="6" t="s">
        <v>475</v>
      </c>
      <c r="P54" s="6">
        <v>225</v>
      </c>
      <c r="Q54" s="139" t="str">
        <f>VLOOKUP(P54,'Townwide Contributions'!$A$6:$B$358,2,0)</f>
        <v>Otis</v>
      </c>
      <c r="R54" s="6" t="s">
        <v>474</v>
      </c>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39" customFormat="1">
      <c r="A55" s="140">
        <v>38</v>
      </c>
      <c r="B55" s="140"/>
      <c r="C55" s="139" t="str">
        <f t="shared" si="0"/>
        <v>38 Boxford</v>
      </c>
      <c r="D55" s="485">
        <v>38</v>
      </c>
      <c r="E55" s="486" t="s">
        <v>719</v>
      </c>
      <c r="F55" s="486">
        <v>38</v>
      </c>
      <c r="G55" s="486" t="s">
        <v>1688</v>
      </c>
      <c r="I55" s="6">
        <v>763</v>
      </c>
      <c r="J55" s="6">
        <v>2</v>
      </c>
      <c r="L55" s="6">
        <v>66202</v>
      </c>
      <c r="M55" s="6">
        <v>2</v>
      </c>
      <c r="N55" s="6">
        <v>662</v>
      </c>
      <c r="O55" s="6" t="s">
        <v>475</v>
      </c>
      <c r="P55" s="6">
        <v>260</v>
      </c>
      <c r="Q55" s="139" t="str">
        <f>VLOOKUP(P55,'Townwide Contributions'!$A$6:$B$358,2,0)</f>
        <v>Sandisfield</v>
      </c>
      <c r="R55" s="6" t="s">
        <v>509</v>
      </c>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39" customFormat="1">
      <c r="A56" s="140">
        <v>39</v>
      </c>
      <c r="B56" s="140"/>
      <c r="C56" s="139" t="str">
        <f t="shared" si="0"/>
        <v>39 Boylston</v>
      </c>
      <c r="D56" s="485">
        <v>39</v>
      </c>
      <c r="E56" s="486" t="s">
        <v>720</v>
      </c>
      <c r="F56" s="486">
        <v>39</v>
      </c>
      <c r="G56" s="486" t="s">
        <v>1689</v>
      </c>
      <c r="I56" s="6">
        <v>765</v>
      </c>
      <c r="J56" s="6">
        <v>5</v>
      </c>
      <c r="L56" s="6">
        <v>66501</v>
      </c>
      <c r="M56" s="6">
        <v>1</v>
      </c>
      <c r="N56" s="6">
        <v>665</v>
      </c>
      <c r="O56" s="6" t="s">
        <v>158</v>
      </c>
      <c r="P56" s="6">
        <v>102</v>
      </c>
      <c r="Q56" s="139" t="str">
        <f>VLOOKUP(P56,'Townwide Contributions'!$A$6:$B$358,2,0)</f>
        <v>Freetown</v>
      </c>
      <c r="R56" s="6" t="s">
        <v>327</v>
      </c>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39" customFormat="1">
      <c r="A57" s="140">
        <v>40</v>
      </c>
      <c r="B57" s="140"/>
      <c r="C57" s="139" t="str">
        <f t="shared" si="0"/>
        <v>40 Braintree</v>
      </c>
      <c r="D57" s="485">
        <v>40</v>
      </c>
      <c r="E57" s="486" t="s">
        <v>721</v>
      </c>
      <c r="F57" s="486">
        <v>40</v>
      </c>
      <c r="G57" s="486" t="s">
        <v>1690</v>
      </c>
      <c r="I57" s="6">
        <v>766</v>
      </c>
      <c r="J57" s="6">
        <v>3</v>
      </c>
      <c r="L57" s="6">
        <v>66502</v>
      </c>
      <c r="M57" s="6">
        <v>2</v>
      </c>
      <c r="N57" s="6">
        <v>665</v>
      </c>
      <c r="O57" s="6" t="s">
        <v>158</v>
      </c>
      <c r="P57" s="6">
        <v>146</v>
      </c>
      <c r="Q57" s="139" t="str">
        <f>VLOOKUP(P57,'Townwide Contributions'!$A$6:$B$358,2,0)</f>
        <v>Lakeville</v>
      </c>
      <c r="R57" s="6" t="s">
        <v>373</v>
      </c>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39" customFormat="1">
      <c r="A58" s="140">
        <v>41</v>
      </c>
      <c r="B58" s="140"/>
      <c r="C58" s="139" t="str">
        <f t="shared" si="0"/>
        <v>41 Brewster</v>
      </c>
      <c r="D58" s="485">
        <v>41</v>
      </c>
      <c r="E58" s="486" t="s">
        <v>722</v>
      </c>
      <c r="F58" s="486">
        <v>41</v>
      </c>
      <c r="G58" s="486" t="s">
        <v>1691</v>
      </c>
      <c r="I58" s="6">
        <v>767</v>
      </c>
      <c r="J58" s="6">
        <v>2</v>
      </c>
      <c r="L58" s="6">
        <v>67001</v>
      </c>
      <c r="M58" s="6">
        <v>1</v>
      </c>
      <c r="N58" s="6">
        <v>670</v>
      </c>
      <c r="O58" s="6" t="s">
        <v>159</v>
      </c>
      <c r="P58" s="6">
        <v>68</v>
      </c>
      <c r="Q58" s="139" t="str">
        <f>VLOOKUP(P58,'Townwide Contributions'!$A$6:$B$358,2,0)</f>
        <v>Conway</v>
      </c>
      <c r="R58" s="6" t="s">
        <v>281</v>
      </c>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39" customFormat="1">
      <c r="A59" s="140">
        <v>42</v>
      </c>
      <c r="B59" s="140"/>
      <c r="C59" s="139" t="str">
        <f t="shared" si="0"/>
        <v>42 Bridgewater</v>
      </c>
      <c r="D59" s="485">
        <v>42</v>
      </c>
      <c r="E59" s="486" t="s">
        <v>723</v>
      </c>
      <c r="F59" s="486">
        <v>42</v>
      </c>
      <c r="G59" s="486" t="s">
        <v>1692</v>
      </c>
      <c r="I59" s="6">
        <v>770</v>
      </c>
      <c r="J59" s="6">
        <v>5</v>
      </c>
      <c r="L59" s="6">
        <v>67002</v>
      </c>
      <c r="M59" s="6">
        <v>2</v>
      </c>
      <c r="N59" s="6">
        <v>670</v>
      </c>
      <c r="O59" s="6" t="s">
        <v>159</v>
      </c>
      <c r="P59" s="6">
        <v>74</v>
      </c>
      <c r="Q59" s="139" t="str">
        <f>VLOOKUP(P59,'Townwide Contributions'!$A$6:$B$358,2,0)</f>
        <v>Deerfield</v>
      </c>
      <c r="R59" s="6" t="s">
        <v>293</v>
      </c>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39" customFormat="1">
      <c r="A60" s="140">
        <v>364</v>
      </c>
      <c r="B60" s="140"/>
      <c r="C60" s="139" t="str">
        <f t="shared" si="0"/>
        <v>625 Bridgewater Raynham</v>
      </c>
      <c r="D60" s="485">
        <v>625</v>
      </c>
      <c r="E60" s="486" t="s">
        <v>1043</v>
      </c>
      <c r="F60" s="486">
        <v>625</v>
      </c>
      <c r="G60" s="486" t="s">
        <v>2013</v>
      </c>
      <c r="I60" s="6">
        <v>773</v>
      </c>
      <c r="J60" s="6">
        <v>3</v>
      </c>
      <c r="L60" s="6">
        <v>67003</v>
      </c>
      <c r="M60" s="6">
        <v>3</v>
      </c>
      <c r="N60" s="6">
        <v>670</v>
      </c>
      <c r="O60" s="6" t="s">
        <v>159</v>
      </c>
      <c r="P60" s="6">
        <v>289</v>
      </c>
      <c r="Q60" s="139" t="str">
        <f>VLOOKUP(P60,'Townwide Contributions'!$A$6:$B$358,2,0)</f>
        <v>Sunderland</v>
      </c>
      <c r="R60" s="6" t="s">
        <v>537</v>
      </c>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39" customFormat="1">
      <c r="A61" s="140">
        <v>43</v>
      </c>
      <c r="B61" s="140"/>
      <c r="C61" s="139" t="str">
        <f t="shared" si="0"/>
        <v>43 Brimfield</v>
      </c>
      <c r="D61" s="485">
        <v>43</v>
      </c>
      <c r="E61" s="486" t="s">
        <v>724</v>
      </c>
      <c r="F61" s="486">
        <v>43</v>
      </c>
      <c r="G61" s="486" t="s">
        <v>1693</v>
      </c>
      <c r="I61" s="6">
        <v>774</v>
      </c>
      <c r="J61" s="6">
        <v>3</v>
      </c>
      <c r="L61" s="6">
        <v>67004</v>
      </c>
      <c r="M61" s="6">
        <v>4</v>
      </c>
      <c r="N61" s="6">
        <v>670</v>
      </c>
      <c r="O61" s="6" t="s">
        <v>159</v>
      </c>
      <c r="P61" s="6">
        <v>337</v>
      </c>
      <c r="Q61" s="139" t="str">
        <f>VLOOKUP(P61,'Townwide Contributions'!$A$6:$B$358,2,0)</f>
        <v>Whately</v>
      </c>
      <c r="R61" s="6" t="s">
        <v>578</v>
      </c>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39" customFormat="1">
      <c r="A62" s="140">
        <v>439</v>
      </c>
      <c r="B62" s="140"/>
      <c r="C62" s="139" t="str">
        <f t="shared" si="0"/>
        <v>910 Bristol County</v>
      </c>
      <c r="D62" s="485">
        <v>910</v>
      </c>
      <c r="E62" s="486" t="s">
        <v>1118</v>
      </c>
      <c r="F62" s="486">
        <v>910</v>
      </c>
      <c r="G62" s="486" t="s">
        <v>2088</v>
      </c>
      <c r="I62" s="6">
        <v>775</v>
      </c>
      <c r="J62" s="6">
        <v>5</v>
      </c>
      <c r="L62" s="6">
        <v>67201</v>
      </c>
      <c r="M62" s="6">
        <v>1</v>
      </c>
      <c r="N62" s="6">
        <v>672</v>
      </c>
      <c r="O62" s="6" t="s">
        <v>160</v>
      </c>
      <c r="P62" s="6">
        <v>33</v>
      </c>
      <c r="Q62" s="139" t="str">
        <f>VLOOKUP(P62,'Townwide Contributions'!$A$6:$B$358,2,0)</f>
        <v>Blandford</v>
      </c>
      <c r="R62" s="6" t="s">
        <v>54</v>
      </c>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39" customFormat="1">
      <c r="A63" s="140">
        <v>416</v>
      </c>
      <c r="B63" s="140"/>
      <c r="C63" s="139" t="str">
        <f t="shared" si="0"/>
        <v>810 Bristol Plymouth</v>
      </c>
      <c r="D63" s="485">
        <v>810</v>
      </c>
      <c r="E63" s="486" t="s">
        <v>1095</v>
      </c>
      <c r="F63" s="486">
        <v>810</v>
      </c>
      <c r="G63" s="486" t="s">
        <v>2065</v>
      </c>
      <c r="I63" s="6">
        <v>778</v>
      </c>
      <c r="J63" s="6">
        <v>2</v>
      </c>
      <c r="L63" s="6">
        <v>67202</v>
      </c>
      <c r="M63" s="6">
        <v>2</v>
      </c>
      <c r="N63" s="6">
        <v>672</v>
      </c>
      <c r="O63" s="6" t="s">
        <v>160</v>
      </c>
      <c r="P63" s="6">
        <v>59</v>
      </c>
      <c r="Q63" s="139" t="str">
        <f>VLOOKUP(P63,'Townwide Contributions'!$A$6:$B$358,2,0)</f>
        <v>Chester</v>
      </c>
      <c r="R63" s="6" t="s">
        <v>270</v>
      </c>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39" customFormat="1">
      <c r="A64" s="140">
        <v>44</v>
      </c>
      <c r="B64" s="140"/>
      <c r="C64" s="139" t="str">
        <f t="shared" si="0"/>
        <v>44 Brockton</v>
      </c>
      <c r="D64" s="485">
        <v>44</v>
      </c>
      <c r="E64" s="486" t="s">
        <v>725</v>
      </c>
      <c r="F64" s="486">
        <v>44</v>
      </c>
      <c r="G64" s="486" t="s">
        <v>1694</v>
      </c>
      <c r="I64" s="6">
        <v>780</v>
      </c>
      <c r="J64" s="6">
        <v>2</v>
      </c>
      <c r="L64" s="6">
        <v>67203</v>
      </c>
      <c r="M64" s="6">
        <v>3</v>
      </c>
      <c r="N64" s="6">
        <v>672</v>
      </c>
      <c r="O64" s="6" t="s">
        <v>160</v>
      </c>
      <c r="P64" s="6">
        <v>143</v>
      </c>
      <c r="Q64" s="139" t="str">
        <f>VLOOKUP(P64,'Townwide Contributions'!$A$6:$B$358,2,0)</f>
        <v>Huntington</v>
      </c>
      <c r="R64" s="6" t="s">
        <v>370</v>
      </c>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39" customFormat="1">
      <c r="A65" s="140">
        <v>45</v>
      </c>
      <c r="B65" s="140"/>
      <c r="C65" s="139" t="str">
        <f t="shared" si="0"/>
        <v>45 Brookfield</v>
      </c>
      <c r="D65" s="485">
        <v>45</v>
      </c>
      <c r="E65" s="486" t="s">
        <v>726</v>
      </c>
      <c r="F65" s="486">
        <v>45</v>
      </c>
      <c r="G65" s="486" t="s">
        <v>1695</v>
      </c>
      <c r="I65" s="6">
        <v>801</v>
      </c>
      <c r="J65" s="6">
        <v>7</v>
      </c>
      <c r="L65" s="6">
        <v>67204</v>
      </c>
      <c r="M65" s="6">
        <v>4</v>
      </c>
      <c r="N65" s="6">
        <v>672</v>
      </c>
      <c r="O65" s="6" t="s">
        <v>160</v>
      </c>
      <c r="P65" s="6">
        <v>183</v>
      </c>
      <c r="Q65" s="139" t="str">
        <f>VLOOKUP(P65,'Townwide Contributions'!$A$6:$B$358,2,0)</f>
        <v>Middlefield</v>
      </c>
      <c r="R65" s="6" t="s">
        <v>425</v>
      </c>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39" customFormat="1">
      <c r="A66" s="140">
        <v>46</v>
      </c>
      <c r="B66" s="140"/>
      <c r="C66" s="139" t="str">
        <f t="shared" si="0"/>
        <v>46 Brookline</v>
      </c>
      <c r="D66" s="485">
        <v>46</v>
      </c>
      <c r="E66" s="486" t="s">
        <v>727</v>
      </c>
      <c r="F66" s="486">
        <v>46</v>
      </c>
      <c r="G66" s="486" t="s">
        <v>1696</v>
      </c>
      <c r="I66" s="6">
        <v>805</v>
      </c>
      <c r="J66" s="6">
        <v>13</v>
      </c>
      <c r="L66" s="6">
        <v>67205</v>
      </c>
      <c r="M66" s="6">
        <v>5</v>
      </c>
      <c r="N66" s="6">
        <v>672</v>
      </c>
      <c r="O66" s="6" t="s">
        <v>160</v>
      </c>
      <c r="P66" s="6">
        <v>194</v>
      </c>
      <c r="Q66" s="139" t="str">
        <f>VLOOKUP(P66,'Townwide Contributions'!$A$6:$B$358,2,0)</f>
        <v>Montgomery</v>
      </c>
      <c r="R66" s="6" t="s">
        <v>436</v>
      </c>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39" customFormat="1">
      <c r="A67" s="140">
        <v>47</v>
      </c>
      <c r="B67" s="140"/>
      <c r="C67" s="139" t="str">
        <f t="shared" si="0"/>
        <v>47 Buckland</v>
      </c>
      <c r="D67" s="485">
        <v>47</v>
      </c>
      <c r="E67" s="486" t="s">
        <v>728</v>
      </c>
      <c r="F67" s="486">
        <v>47</v>
      </c>
      <c r="G67" s="486" t="s">
        <v>1697</v>
      </c>
      <c r="I67" s="6">
        <v>806</v>
      </c>
      <c r="J67" s="6">
        <v>9</v>
      </c>
      <c r="L67" s="6">
        <v>67206</v>
      </c>
      <c r="M67" s="6">
        <v>6</v>
      </c>
      <c r="N67" s="6">
        <v>672</v>
      </c>
      <c r="O67" s="6" t="s">
        <v>160</v>
      </c>
      <c r="P67" s="6">
        <v>256</v>
      </c>
      <c r="Q67" s="139" t="str">
        <f>VLOOKUP(P67,'Townwide Contributions'!$A$6:$B$358,2,0)</f>
        <v>Russell</v>
      </c>
      <c r="R67" s="6" t="s">
        <v>505</v>
      </c>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39" customFormat="1">
      <c r="A68" s="140">
        <v>48</v>
      </c>
      <c r="B68" s="140"/>
      <c r="C68" s="139" t="str">
        <f t="shared" si="0"/>
        <v>48 Burlington</v>
      </c>
      <c r="D68" s="485">
        <v>48</v>
      </c>
      <c r="E68" s="486" t="s">
        <v>729</v>
      </c>
      <c r="F68" s="486">
        <v>48</v>
      </c>
      <c r="G68" s="486" t="s">
        <v>1698</v>
      </c>
      <c r="I68" s="6">
        <v>810</v>
      </c>
      <c r="J68" s="6">
        <v>8</v>
      </c>
      <c r="L68" s="6">
        <v>67301</v>
      </c>
      <c r="M68" s="6">
        <v>1</v>
      </c>
      <c r="N68" s="6">
        <v>673</v>
      </c>
      <c r="O68" s="6" t="s">
        <v>161</v>
      </c>
      <c r="P68" s="6">
        <v>81</v>
      </c>
      <c r="Q68" s="139" t="str">
        <f>VLOOKUP(P68,'Townwide Contributions'!$A$6:$B$358,2,0)</f>
        <v>Dunstable</v>
      </c>
      <c r="R68" s="6" t="s">
        <v>305</v>
      </c>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39" customFormat="1">
      <c r="A69" s="140">
        <v>49</v>
      </c>
      <c r="B69" s="140"/>
      <c r="C69" s="139" t="str">
        <f t="shared" si="0"/>
        <v>49 Cambridge</v>
      </c>
      <c r="D69" s="485">
        <v>49</v>
      </c>
      <c r="E69" s="486" t="s">
        <v>730</v>
      </c>
      <c r="F69" s="486">
        <v>49</v>
      </c>
      <c r="G69" s="486" t="s">
        <v>1699</v>
      </c>
      <c r="I69" s="6">
        <v>815</v>
      </c>
      <c r="J69" s="6">
        <v>12</v>
      </c>
      <c r="L69" s="6">
        <v>67302</v>
      </c>
      <c r="M69" s="6">
        <v>2</v>
      </c>
      <c r="N69" s="6">
        <v>673</v>
      </c>
      <c r="O69" s="6" t="s">
        <v>161</v>
      </c>
      <c r="P69" s="6">
        <v>115</v>
      </c>
      <c r="Q69" s="139" t="str">
        <f>VLOOKUP(P69,'Townwide Contributions'!$A$6:$B$358,2,0)</f>
        <v>Groton</v>
      </c>
      <c r="R69" s="6" t="s">
        <v>342</v>
      </c>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39" customFormat="1">
      <c r="A70" s="140">
        <v>50</v>
      </c>
      <c r="B70" s="140"/>
      <c r="C70" s="139" t="str">
        <f t="shared" ref="C70:C133" si="1">PROPER(D70&amp;" "&amp;E70)</f>
        <v>50 Canton</v>
      </c>
      <c r="D70" s="485">
        <v>50</v>
      </c>
      <c r="E70" s="486" t="s">
        <v>731</v>
      </c>
      <c r="F70" s="486">
        <v>50</v>
      </c>
      <c r="G70" s="486" t="s">
        <v>1700</v>
      </c>
      <c r="I70" s="6">
        <v>817</v>
      </c>
      <c r="J70" s="6">
        <v>17</v>
      </c>
      <c r="L70" s="6">
        <v>67401</v>
      </c>
      <c r="M70" s="6">
        <v>1</v>
      </c>
      <c r="N70" s="6">
        <v>674</v>
      </c>
      <c r="O70" s="6" t="s">
        <v>162</v>
      </c>
      <c r="P70" s="6">
        <v>106</v>
      </c>
      <c r="Q70" s="139" t="str">
        <f>VLOOKUP(P70,'Townwide Contributions'!$A$6:$B$358,2,0)</f>
        <v>Gill</v>
      </c>
      <c r="R70" s="6" t="s">
        <v>332</v>
      </c>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39" customFormat="1">
      <c r="A71" s="140">
        <v>417</v>
      </c>
      <c r="B71" s="140"/>
      <c r="C71" s="139" t="str">
        <f t="shared" si="1"/>
        <v>815 Cape Cod</v>
      </c>
      <c r="D71" s="485">
        <v>815</v>
      </c>
      <c r="E71" s="486" t="s">
        <v>1096</v>
      </c>
      <c r="F71" s="486">
        <v>815</v>
      </c>
      <c r="G71" s="486" t="s">
        <v>2066</v>
      </c>
      <c r="I71" s="6">
        <v>818</v>
      </c>
      <c r="J71" s="6">
        <v>19</v>
      </c>
      <c r="L71" s="6">
        <v>67402</v>
      </c>
      <c r="M71" s="6">
        <v>2</v>
      </c>
      <c r="N71" s="6">
        <v>674</v>
      </c>
      <c r="O71" s="6" t="s">
        <v>162</v>
      </c>
      <c r="P71" s="6">
        <v>192</v>
      </c>
      <c r="Q71" s="139" t="str">
        <f>VLOOKUP(P71,'Townwide Contributions'!$A$6:$B$358,2,0)</f>
        <v>Montague</v>
      </c>
      <c r="R71" s="6" t="s">
        <v>434</v>
      </c>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39" customFormat="1">
      <c r="A72" s="140">
        <v>51</v>
      </c>
      <c r="B72" s="140"/>
      <c r="C72" s="139" t="str">
        <f t="shared" si="1"/>
        <v>51 Carlisle</v>
      </c>
      <c r="D72" s="485">
        <v>51</v>
      </c>
      <c r="E72" s="486" t="s">
        <v>732</v>
      </c>
      <c r="F72" s="486">
        <v>51</v>
      </c>
      <c r="G72" s="486" t="s">
        <v>1701</v>
      </c>
      <c r="I72" s="6">
        <v>821</v>
      </c>
      <c r="J72" s="6">
        <v>4</v>
      </c>
      <c r="L72" s="6">
        <v>67501</v>
      </c>
      <c r="M72" s="6">
        <v>1</v>
      </c>
      <c r="N72" s="6">
        <v>675</v>
      </c>
      <c r="O72" s="6" t="s">
        <v>163</v>
      </c>
      <c r="P72" s="6">
        <v>119</v>
      </c>
      <c r="Q72" s="139" t="str">
        <f>VLOOKUP(P72,'Townwide Contributions'!$A$6:$B$358,2,0)</f>
        <v>Hamilton</v>
      </c>
      <c r="R72" s="6" t="s">
        <v>347</v>
      </c>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39" customFormat="1">
      <c r="A73" s="140">
        <v>52</v>
      </c>
      <c r="B73" s="140"/>
      <c r="C73" s="139" t="str">
        <f t="shared" si="1"/>
        <v>52 Carver</v>
      </c>
      <c r="D73" s="485">
        <v>52</v>
      </c>
      <c r="E73" s="486" t="s">
        <v>733</v>
      </c>
      <c r="F73" s="486">
        <v>52</v>
      </c>
      <c r="G73" s="486" t="s">
        <v>1702</v>
      </c>
      <c r="I73" s="6">
        <v>823</v>
      </c>
      <c r="J73" s="6">
        <v>4</v>
      </c>
      <c r="L73" s="6">
        <v>67502</v>
      </c>
      <c r="M73" s="6">
        <v>2</v>
      </c>
      <c r="N73" s="6">
        <v>675</v>
      </c>
      <c r="O73" s="6" t="s">
        <v>163</v>
      </c>
      <c r="P73" s="6">
        <v>320</v>
      </c>
      <c r="Q73" s="139" t="str">
        <f>VLOOKUP(P73,'Townwide Contributions'!$A$6:$B$358,2,0)</f>
        <v>Wenham</v>
      </c>
      <c r="R73" s="6" t="s">
        <v>565</v>
      </c>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39" customFormat="1">
      <c r="A74" s="140">
        <v>366</v>
      </c>
      <c r="B74" s="140"/>
      <c r="C74" s="139" t="str">
        <f t="shared" si="1"/>
        <v>635 Central Berkshire</v>
      </c>
      <c r="D74" s="485">
        <v>635</v>
      </c>
      <c r="E74" s="486" t="s">
        <v>1045</v>
      </c>
      <c r="F74" s="486">
        <v>635</v>
      </c>
      <c r="G74" s="486" t="s">
        <v>2015</v>
      </c>
      <c r="I74" s="6">
        <v>825</v>
      </c>
      <c r="J74" s="6">
        <v>3</v>
      </c>
      <c r="L74" s="6">
        <v>68001</v>
      </c>
      <c r="M74" s="6">
        <v>1</v>
      </c>
      <c r="N74" s="6">
        <v>680</v>
      </c>
      <c r="O74" s="6" t="s">
        <v>164</v>
      </c>
      <c r="P74" s="6">
        <v>120</v>
      </c>
      <c r="Q74" s="139" t="str">
        <f>VLOOKUP(P74,'Townwide Contributions'!$A$6:$B$358,2,0)</f>
        <v>Hampden</v>
      </c>
      <c r="R74" s="6" t="s">
        <v>349</v>
      </c>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39" customFormat="1">
      <c r="A75" s="140">
        <v>53</v>
      </c>
      <c r="B75" s="140"/>
      <c r="C75" s="139" t="str">
        <f t="shared" si="1"/>
        <v>53 Charlemont</v>
      </c>
      <c r="D75" s="485">
        <v>53</v>
      </c>
      <c r="E75" s="486" t="s">
        <v>734</v>
      </c>
      <c r="F75" s="486">
        <v>53</v>
      </c>
      <c r="G75" s="486" t="s">
        <v>1703</v>
      </c>
      <c r="I75" s="6">
        <v>828</v>
      </c>
      <c r="J75" s="6">
        <v>4</v>
      </c>
      <c r="L75" s="6">
        <v>68002</v>
      </c>
      <c r="M75" s="6">
        <v>2</v>
      </c>
      <c r="N75" s="6">
        <v>680</v>
      </c>
      <c r="O75" s="6" t="s">
        <v>164</v>
      </c>
      <c r="P75" s="6">
        <v>339</v>
      </c>
      <c r="Q75" s="139" t="str">
        <f>VLOOKUP(P75,'Townwide Contributions'!$A$6:$B$358,2,0)</f>
        <v>Wilbraham</v>
      </c>
      <c r="R75" s="6" t="s">
        <v>580</v>
      </c>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39" customFormat="1">
      <c r="A76" s="140">
        <v>54</v>
      </c>
      <c r="B76" s="140"/>
      <c r="C76" s="139" t="str">
        <f t="shared" si="1"/>
        <v>54 Charlton</v>
      </c>
      <c r="D76" s="485">
        <v>54</v>
      </c>
      <c r="E76" s="486" t="s">
        <v>735</v>
      </c>
      <c r="F76" s="486">
        <v>54</v>
      </c>
      <c r="G76" s="486" t="s">
        <v>1704</v>
      </c>
      <c r="I76" s="6">
        <v>829</v>
      </c>
      <c r="J76" s="6">
        <v>5</v>
      </c>
      <c r="L76" s="6">
        <v>68301</v>
      </c>
      <c r="M76" s="6">
        <v>1</v>
      </c>
      <c r="N76" s="6">
        <v>683</v>
      </c>
      <c r="O76" s="6" t="s">
        <v>165</v>
      </c>
      <c r="P76" s="6">
        <v>60</v>
      </c>
      <c r="Q76" s="139" t="str">
        <f>VLOOKUP(P76,'Townwide Contributions'!$A$6:$B$358,2,0)</f>
        <v>Chesterfield</v>
      </c>
      <c r="R76" s="6" t="s">
        <v>271</v>
      </c>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39" customFormat="1">
      <c r="A77" s="140">
        <v>55</v>
      </c>
      <c r="B77" s="140"/>
      <c r="C77" s="139" t="str">
        <f t="shared" si="1"/>
        <v>55 Chatham</v>
      </c>
      <c r="D77" s="485">
        <v>55</v>
      </c>
      <c r="E77" s="486" t="s">
        <v>736</v>
      </c>
      <c r="F77" s="486">
        <v>55</v>
      </c>
      <c r="G77" s="486" t="s">
        <v>1705</v>
      </c>
      <c r="I77" s="6">
        <v>830</v>
      </c>
      <c r="J77" s="6">
        <v>9</v>
      </c>
      <c r="L77" s="6">
        <v>68302</v>
      </c>
      <c r="M77" s="6">
        <v>2</v>
      </c>
      <c r="N77" s="6">
        <v>683</v>
      </c>
      <c r="O77" s="6" t="s">
        <v>165</v>
      </c>
      <c r="P77" s="6">
        <v>108</v>
      </c>
      <c r="Q77" s="139" t="str">
        <f>VLOOKUP(P77,'Townwide Contributions'!$A$6:$B$358,2,0)</f>
        <v>Goshen</v>
      </c>
      <c r="R77" s="6" t="s">
        <v>335</v>
      </c>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39" customFormat="1">
      <c r="A78" s="140">
        <v>56</v>
      </c>
      <c r="B78" s="140"/>
      <c r="C78" s="139" t="str">
        <f t="shared" si="1"/>
        <v>56 Chelmsford</v>
      </c>
      <c r="D78" s="485">
        <v>56</v>
      </c>
      <c r="E78" s="486" t="s">
        <v>737</v>
      </c>
      <c r="F78" s="486">
        <v>56</v>
      </c>
      <c r="G78" s="486" t="s">
        <v>1706</v>
      </c>
      <c r="I78" s="6">
        <v>832</v>
      </c>
      <c r="J78" s="6">
        <v>18</v>
      </c>
      <c r="L78" s="6">
        <v>68303</v>
      </c>
      <c r="M78" s="6">
        <v>3</v>
      </c>
      <c r="N78" s="6">
        <v>683</v>
      </c>
      <c r="O78" s="6" t="s">
        <v>165</v>
      </c>
      <c r="P78" s="6">
        <v>275</v>
      </c>
      <c r="Q78" s="139" t="str">
        <f>VLOOKUP(P78,'Townwide Contributions'!$A$6:$B$358,2,0)</f>
        <v>Southampton</v>
      </c>
      <c r="R78" s="6" t="s">
        <v>522</v>
      </c>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39" customFormat="1">
      <c r="A79" s="140">
        <v>57</v>
      </c>
      <c r="B79" s="140"/>
      <c r="C79" s="139" t="str">
        <f t="shared" si="1"/>
        <v>57 Chelsea</v>
      </c>
      <c r="D79" s="485">
        <v>57</v>
      </c>
      <c r="E79" s="486" t="s">
        <v>738</v>
      </c>
      <c r="F79" s="486">
        <v>57</v>
      </c>
      <c r="G79" s="486" t="s">
        <v>1707</v>
      </c>
      <c r="I79" s="6">
        <v>851</v>
      </c>
      <c r="J79" s="6">
        <v>9</v>
      </c>
      <c r="L79" s="6">
        <v>68304</v>
      </c>
      <c r="M79" s="6">
        <v>4</v>
      </c>
      <c r="N79" s="6">
        <v>683</v>
      </c>
      <c r="O79" s="6" t="s">
        <v>165</v>
      </c>
      <c r="P79" s="6">
        <v>327</v>
      </c>
      <c r="Q79" s="139" t="str">
        <f>VLOOKUP(P79,'Townwide Contributions'!$A$6:$B$358,2,0)</f>
        <v>Westhampton</v>
      </c>
      <c r="R79" s="6" t="s">
        <v>570</v>
      </c>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39" customFormat="1">
      <c r="A80" s="140">
        <v>58</v>
      </c>
      <c r="B80" s="140"/>
      <c r="C80" s="139" t="str">
        <f t="shared" si="1"/>
        <v>58 Cheshire</v>
      </c>
      <c r="D80" s="485">
        <v>58</v>
      </c>
      <c r="E80" s="486" t="s">
        <v>739</v>
      </c>
      <c r="F80" s="486">
        <v>58</v>
      </c>
      <c r="G80" s="486" t="s">
        <v>1708</v>
      </c>
      <c r="I80" s="6">
        <v>852</v>
      </c>
      <c r="J80" s="6">
        <v>8</v>
      </c>
      <c r="L80" s="6">
        <v>68305</v>
      </c>
      <c r="M80" s="6">
        <v>5</v>
      </c>
      <c r="N80" s="6">
        <v>683</v>
      </c>
      <c r="O80" s="6" t="s">
        <v>165</v>
      </c>
      <c r="P80" s="6">
        <v>340</v>
      </c>
      <c r="Q80" s="139" t="str">
        <f>VLOOKUP(P80,'Townwide Contributions'!$A$6:$B$358,2,0)</f>
        <v>Williamsburg</v>
      </c>
      <c r="R80" s="6" t="s">
        <v>581</v>
      </c>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39" customFormat="1">
      <c r="A81" s="140">
        <v>59</v>
      </c>
      <c r="B81" s="140"/>
      <c r="C81" s="139" t="str">
        <f t="shared" si="1"/>
        <v>59 Chester</v>
      </c>
      <c r="D81" s="485">
        <v>59</v>
      </c>
      <c r="E81" s="486" t="s">
        <v>740</v>
      </c>
      <c r="F81" s="486">
        <v>59</v>
      </c>
      <c r="G81" s="486" t="s">
        <v>1709</v>
      </c>
      <c r="I81" s="6">
        <v>853</v>
      </c>
      <c r="J81" s="6">
        <v>12</v>
      </c>
      <c r="L81" s="6">
        <v>68501</v>
      </c>
      <c r="M81" s="6">
        <v>1</v>
      </c>
      <c r="N81" s="6">
        <v>685</v>
      </c>
      <c r="O81" s="6" t="s">
        <v>166</v>
      </c>
      <c r="P81" s="6">
        <v>53</v>
      </c>
      <c r="Q81" s="139" t="str">
        <f>VLOOKUP(P81,'Townwide Contributions'!$A$6:$B$358,2,0)</f>
        <v>Charlemont</v>
      </c>
      <c r="R81" s="6" t="s">
        <v>260</v>
      </c>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39" customFormat="1">
      <c r="A82" s="140">
        <v>60</v>
      </c>
      <c r="B82" s="140"/>
      <c r="C82" s="139" t="str">
        <f t="shared" si="1"/>
        <v>60 Chesterfield</v>
      </c>
      <c r="D82" s="485">
        <v>60</v>
      </c>
      <c r="E82" s="486" t="s">
        <v>741</v>
      </c>
      <c r="F82" s="486">
        <v>60</v>
      </c>
      <c r="G82" s="486" t="s">
        <v>1710</v>
      </c>
      <c r="I82" s="6">
        <v>855</v>
      </c>
      <c r="J82" s="6">
        <v>5</v>
      </c>
      <c r="L82" s="6">
        <v>68502</v>
      </c>
      <c r="M82" s="6">
        <v>2</v>
      </c>
      <c r="N82" s="6">
        <v>685</v>
      </c>
      <c r="O82" s="6" t="s">
        <v>166</v>
      </c>
      <c r="P82" s="6">
        <v>129</v>
      </c>
      <c r="Q82" s="139" t="str">
        <f>VLOOKUP(P82,'Townwide Contributions'!$A$6:$B$358,2,0)</f>
        <v>Hawley</v>
      </c>
      <c r="R82" s="6" t="s">
        <v>358</v>
      </c>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39" customFormat="1">
      <c r="A83" s="140">
        <v>365</v>
      </c>
      <c r="B83" s="140"/>
      <c r="C83" s="139" t="str">
        <f t="shared" si="1"/>
        <v>632 Chesterfield Goshen</v>
      </c>
      <c r="D83" s="485">
        <v>632</v>
      </c>
      <c r="E83" s="486" t="s">
        <v>1044</v>
      </c>
      <c r="F83" s="486">
        <v>632</v>
      </c>
      <c r="G83" s="486" t="s">
        <v>2014</v>
      </c>
      <c r="I83" s="6">
        <v>860</v>
      </c>
      <c r="J83" s="6">
        <v>9</v>
      </c>
      <c r="L83" s="6">
        <v>69001</v>
      </c>
      <c r="M83" s="6">
        <v>1</v>
      </c>
      <c r="N83" s="6">
        <v>690</v>
      </c>
      <c r="O83" s="6" t="s">
        <v>167</v>
      </c>
      <c r="P83" s="6">
        <v>208</v>
      </c>
      <c r="Q83" s="139" t="str">
        <f>VLOOKUP(P83,'Townwide Contributions'!$A$6:$B$358,2,0)</f>
        <v>Norfolk</v>
      </c>
      <c r="R83" s="6" t="s">
        <v>450</v>
      </c>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39" customFormat="1">
      <c r="A84" s="140">
        <v>61</v>
      </c>
      <c r="B84" s="140"/>
      <c r="C84" s="139" t="str">
        <f t="shared" si="1"/>
        <v>61 Chicopee</v>
      </c>
      <c r="D84" s="485">
        <v>61</v>
      </c>
      <c r="E84" s="486" t="s">
        <v>742</v>
      </c>
      <c r="F84" s="486">
        <v>61</v>
      </c>
      <c r="G84" s="486" t="s">
        <v>1711</v>
      </c>
      <c r="I84" s="6">
        <v>871</v>
      </c>
      <c r="J84" s="6">
        <v>5</v>
      </c>
      <c r="L84" s="6">
        <v>69002</v>
      </c>
      <c r="M84" s="6">
        <v>2</v>
      </c>
      <c r="N84" s="6">
        <v>690</v>
      </c>
      <c r="O84" s="6" t="s">
        <v>167</v>
      </c>
      <c r="P84" s="6">
        <v>238</v>
      </c>
      <c r="Q84" s="139" t="str">
        <f>VLOOKUP(P84,'Townwide Contributions'!$A$6:$B$358,2,0)</f>
        <v>Plainville</v>
      </c>
      <c r="R84" s="6" t="s">
        <v>490</v>
      </c>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39" customFormat="1">
      <c r="A85" s="140">
        <v>62</v>
      </c>
      <c r="B85" s="140"/>
      <c r="C85" s="139" t="str">
        <f t="shared" si="1"/>
        <v>62 Chilmark</v>
      </c>
      <c r="D85" s="485">
        <v>62</v>
      </c>
      <c r="E85" s="486" t="s">
        <v>743</v>
      </c>
      <c r="F85" s="486">
        <v>62</v>
      </c>
      <c r="G85" s="486" t="s">
        <v>1712</v>
      </c>
      <c r="I85" s="6">
        <v>872</v>
      </c>
      <c r="J85" s="6">
        <v>9</v>
      </c>
      <c r="L85" s="6">
        <v>69003</v>
      </c>
      <c r="M85" s="6">
        <v>3</v>
      </c>
      <c r="N85" s="6">
        <v>690</v>
      </c>
      <c r="O85" s="6" t="s">
        <v>167</v>
      </c>
      <c r="P85" s="6">
        <v>350</v>
      </c>
      <c r="Q85" s="139" t="str">
        <f>VLOOKUP(P85,'Townwide Contributions'!$A$6:$B$358,2,0)</f>
        <v>Wrentham</v>
      </c>
      <c r="R85" s="6" t="s">
        <v>589</v>
      </c>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39" customFormat="1">
      <c r="A86" s="140">
        <v>63</v>
      </c>
      <c r="B86" s="140"/>
      <c r="C86" s="139" t="str">
        <f t="shared" si="1"/>
        <v>63 Clarksburg</v>
      </c>
      <c r="D86" s="485">
        <v>63</v>
      </c>
      <c r="E86" s="486" t="s">
        <v>744</v>
      </c>
      <c r="F86" s="486">
        <v>63</v>
      </c>
      <c r="G86" s="486" t="s">
        <v>1713</v>
      </c>
      <c r="I86" s="6">
        <v>873</v>
      </c>
      <c r="J86" s="6">
        <v>9</v>
      </c>
      <c r="L86" s="6">
        <v>69501</v>
      </c>
      <c r="M86" s="6">
        <v>1</v>
      </c>
      <c r="N86" s="6">
        <v>695</v>
      </c>
      <c r="O86" s="6" t="s">
        <v>168</v>
      </c>
      <c r="P86" s="6">
        <v>157</v>
      </c>
      <c r="Q86" s="139" t="str">
        <f>VLOOKUP(P86,'Townwide Contributions'!$A$6:$B$358,2,0)</f>
        <v>Lincoln</v>
      </c>
      <c r="R86" s="6" t="s">
        <v>381</v>
      </c>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39" customFormat="1">
      <c r="A87" s="140">
        <v>64</v>
      </c>
      <c r="B87" s="140"/>
      <c r="C87" s="139" t="str">
        <f t="shared" si="1"/>
        <v>64 Clinton</v>
      </c>
      <c r="D87" s="485">
        <v>64</v>
      </c>
      <c r="E87" s="486" t="s">
        <v>745</v>
      </c>
      <c r="F87" s="486">
        <v>64</v>
      </c>
      <c r="G87" s="486" t="s">
        <v>1714</v>
      </c>
      <c r="I87" s="6">
        <v>876</v>
      </c>
      <c r="J87" s="6">
        <v>10</v>
      </c>
      <c r="L87" s="6">
        <v>69502</v>
      </c>
      <c r="M87" s="6">
        <v>2</v>
      </c>
      <c r="N87" s="6">
        <v>695</v>
      </c>
      <c r="O87" s="6" t="s">
        <v>168</v>
      </c>
      <c r="P87" s="6">
        <v>288</v>
      </c>
      <c r="Q87" s="139" t="str">
        <f>VLOOKUP(P87,'Townwide Contributions'!$A$6:$B$358,2,0)</f>
        <v>Sudbury</v>
      </c>
      <c r="R87" s="6" t="s">
        <v>536</v>
      </c>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39" customFormat="1">
      <c r="A88" s="140">
        <v>65</v>
      </c>
      <c r="B88" s="140"/>
      <c r="C88" s="139" t="str">
        <f t="shared" si="1"/>
        <v>65 Cohasset</v>
      </c>
      <c r="D88" s="485">
        <v>65</v>
      </c>
      <c r="E88" s="486" t="s">
        <v>746</v>
      </c>
      <c r="F88" s="486">
        <v>65</v>
      </c>
      <c r="G88" s="486" t="s">
        <v>1715</v>
      </c>
      <c r="I88" s="6">
        <v>878</v>
      </c>
      <c r="J88" s="6">
        <v>11</v>
      </c>
      <c r="L88" s="6">
        <v>69801</v>
      </c>
      <c r="M88" s="6">
        <v>1</v>
      </c>
      <c r="N88" s="6">
        <v>698</v>
      </c>
      <c r="O88" s="6" t="s">
        <v>595</v>
      </c>
      <c r="P88" s="6">
        <v>92</v>
      </c>
      <c r="Q88" s="139" t="str">
        <f>VLOOKUP(P88,'Townwide Contributions'!$A$6:$B$358,2,0)</f>
        <v>Essex</v>
      </c>
      <c r="R88" s="6" t="s">
        <v>316</v>
      </c>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39" customFormat="1">
      <c r="A89" s="140">
        <v>66</v>
      </c>
      <c r="B89" s="140"/>
      <c r="C89" s="139" t="str">
        <f t="shared" si="1"/>
        <v>66 Colrain</v>
      </c>
      <c r="D89" s="485">
        <v>66</v>
      </c>
      <c r="E89" s="486" t="s">
        <v>747</v>
      </c>
      <c r="F89" s="486">
        <v>66</v>
      </c>
      <c r="G89" s="486" t="s">
        <v>1716</v>
      </c>
      <c r="I89" s="6">
        <v>879</v>
      </c>
      <c r="J89" s="6">
        <v>5</v>
      </c>
      <c r="L89" s="6">
        <v>69802</v>
      </c>
      <c r="M89" s="6">
        <v>2</v>
      </c>
      <c r="N89" s="6">
        <v>698</v>
      </c>
      <c r="O89" s="6" t="s">
        <v>595</v>
      </c>
      <c r="P89" s="6">
        <v>166</v>
      </c>
      <c r="Q89" s="139" t="str">
        <f>VLOOKUP(P89,'Townwide Contributions'!$A$6:$B$358,2,0)</f>
        <v>Manchester</v>
      </c>
      <c r="R89" s="6" t="s">
        <v>407</v>
      </c>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39" customFormat="1">
      <c r="A90" s="140">
        <v>67</v>
      </c>
      <c r="B90" s="140"/>
      <c r="C90" s="139" t="str">
        <f t="shared" si="1"/>
        <v>67 Concord</v>
      </c>
      <c r="D90" s="485">
        <v>67</v>
      </c>
      <c r="E90" s="486" t="s">
        <v>748</v>
      </c>
      <c r="F90" s="486">
        <v>67</v>
      </c>
      <c r="G90" s="486" t="s">
        <v>1717</v>
      </c>
      <c r="I90" s="6">
        <v>885</v>
      </c>
      <c r="J90" s="6">
        <v>11</v>
      </c>
      <c r="L90" s="6">
        <v>70001</v>
      </c>
      <c r="M90" s="6">
        <v>1</v>
      </c>
      <c r="N90" s="6">
        <v>700</v>
      </c>
      <c r="O90" s="6" t="s">
        <v>169</v>
      </c>
      <c r="P90" s="6">
        <v>62</v>
      </c>
      <c r="Q90" s="139" t="str">
        <f>VLOOKUP(P90,'Townwide Contributions'!$A$6:$B$358,2,0)</f>
        <v>Chilmark</v>
      </c>
      <c r="R90" s="6" t="s">
        <v>274</v>
      </c>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39" customFormat="1">
      <c r="A91" s="140">
        <v>367</v>
      </c>
      <c r="B91" s="140"/>
      <c r="C91" s="139" t="str">
        <f t="shared" si="1"/>
        <v>640 Concord Carlisle</v>
      </c>
      <c r="D91" s="485">
        <v>640</v>
      </c>
      <c r="E91" s="486" t="s">
        <v>1046</v>
      </c>
      <c r="F91" s="486">
        <v>640</v>
      </c>
      <c r="G91" s="486" t="s">
        <v>2016</v>
      </c>
      <c r="I91" s="6">
        <v>910</v>
      </c>
      <c r="J91" s="6">
        <v>20</v>
      </c>
      <c r="L91" s="6">
        <v>70002</v>
      </c>
      <c r="M91" s="6">
        <v>2</v>
      </c>
      <c r="N91" s="6">
        <v>700</v>
      </c>
      <c r="O91" s="6" t="s">
        <v>169</v>
      </c>
      <c r="P91" s="6">
        <v>89</v>
      </c>
      <c r="Q91" s="139" t="str">
        <f>VLOOKUP(P91,'Townwide Contributions'!$A$6:$B$358,2,0)</f>
        <v>Edgartown</v>
      </c>
      <c r="R91" s="6" t="s">
        <v>312</v>
      </c>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39" customFormat="1">
      <c r="A92" s="140">
        <v>68</v>
      </c>
      <c r="B92" s="140"/>
      <c r="C92" s="139" t="str">
        <f t="shared" si="1"/>
        <v>68 Conway</v>
      </c>
      <c r="D92" s="485">
        <v>68</v>
      </c>
      <c r="E92" s="486" t="s">
        <v>749</v>
      </c>
      <c r="F92" s="486">
        <v>68</v>
      </c>
      <c r="G92" s="486" t="s">
        <v>1718</v>
      </c>
      <c r="I92" s="6">
        <v>915</v>
      </c>
      <c r="J92" s="6">
        <v>28</v>
      </c>
      <c r="L92" s="6">
        <v>70003</v>
      </c>
      <c r="M92" s="6">
        <v>3</v>
      </c>
      <c r="N92" s="6">
        <v>700</v>
      </c>
      <c r="O92" s="6" t="s">
        <v>169</v>
      </c>
      <c r="P92" s="6">
        <v>104</v>
      </c>
      <c r="Q92" s="139" t="str">
        <f>VLOOKUP(P92,'Townwide Contributions'!$A$6:$B$358,2,0)</f>
        <v>Aquinnah</v>
      </c>
      <c r="R92" s="6" t="s">
        <v>592</v>
      </c>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39" customFormat="1">
      <c r="A93" s="140">
        <v>69</v>
      </c>
      <c r="B93" s="140"/>
      <c r="C93" s="139" t="str">
        <f t="shared" si="1"/>
        <v>69 Cummington</v>
      </c>
      <c r="D93" s="485">
        <v>69</v>
      </c>
      <c r="E93" s="486" t="s">
        <v>750</v>
      </c>
      <c r="F93" s="486">
        <v>69</v>
      </c>
      <c r="G93" s="486" t="s">
        <v>1719</v>
      </c>
      <c r="I93" s="139">
        <v>999</v>
      </c>
      <c r="J93" s="139">
        <v>0</v>
      </c>
      <c r="L93" s="139">
        <v>70004</v>
      </c>
      <c r="M93" s="139">
        <v>4</v>
      </c>
      <c r="N93" s="139">
        <v>700</v>
      </c>
      <c r="O93" s="139" t="s">
        <v>169</v>
      </c>
      <c r="P93" s="139">
        <v>221</v>
      </c>
      <c r="Q93" s="139" t="str">
        <f>VLOOKUP(P93,'Townwide Contributions'!$A$6:$B$358,2,0)</f>
        <v>Oak Bluffs</v>
      </c>
      <c r="R93" s="139" t="s">
        <v>468</v>
      </c>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39" customFormat="1">
      <c r="A94" s="140">
        <v>70</v>
      </c>
      <c r="B94" s="140"/>
      <c r="C94" s="139" t="str">
        <f t="shared" si="1"/>
        <v>70 Dalton</v>
      </c>
      <c r="D94" s="485">
        <v>70</v>
      </c>
      <c r="E94" s="486" t="s">
        <v>751</v>
      </c>
      <c r="F94" s="486">
        <v>70</v>
      </c>
      <c r="G94" s="486" t="s">
        <v>1720</v>
      </c>
      <c r="L94" s="139">
        <v>70005</v>
      </c>
      <c r="M94" s="139">
        <v>5</v>
      </c>
      <c r="N94" s="139">
        <v>700</v>
      </c>
      <c r="O94" s="139" t="s">
        <v>169</v>
      </c>
      <c r="P94" s="139">
        <v>296</v>
      </c>
      <c r="Q94" s="139" t="str">
        <f>VLOOKUP(P94,'Townwide Contributions'!$A$6:$B$358,2,0)</f>
        <v>Tisbury</v>
      </c>
      <c r="R94" s="139" t="s">
        <v>544</v>
      </c>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39" customFormat="1">
      <c r="A95" s="140">
        <v>71</v>
      </c>
      <c r="B95" s="140"/>
      <c r="C95" s="139" t="str">
        <f t="shared" si="1"/>
        <v>71 Danvers</v>
      </c>
      <c r="D95" s="485">
        <v>71</v>
      </c>
      <c r="E95" s="486" t="s">
        <v>752</v>
      </c>
      <c r="F95" s="486">
        <v>71</v>
      </c>
      <c r="G95" s="486" t="s">
        <v>1721</v>
      </c>
      <c r="L95" s="139">
        <v>70006</v>
      </c>
      <c r="M95" s="139">
        <v>6</v>
      </c>
      <c r="N95" s="139">
        <v>700</v>
      </c>
      <c r="O95" s="139" t="s">
        <v>169</v>
      </c>
      <c r="P95" s="139">
        <v>334</v>
      </c>
      <c r="Q95" s="139" t="str">
        <f>VLOOKUP(P95,'Townwide Contributions'!$A$6:$B$358,2,0)</f>
        <v>West Tisbury</v>
      </c>
      <c r="R95" s="139" t="s">
        <v>575</v>
      </c>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39" customFormat="1">
      <c r="A96" s="140">
        <v>72</v>
      </c>
      <c r="B96" s="140"/>
      <c r="C96" s="139" t="str">
        <f t="shared" si="1"/>
        <v>72 Dartmouth</v>
      </c>
      <c r="D96" s="485">
        <v>72</v>
      </c>
      <c r="E96" s="486" t="s">
        <v>753</v>
      </c>
      <c r="F96" s="486">
        <v>72</v>
      </c>
      <c r="G96" s="486" t="s">
        <v>1722</v>
      </c>
      <c r="L96" s="139">
        <v>70501</v>
      </c>
      <c r="M96" s="139">
        <v>1</v>
      </c>
      <c r="N96" s="139">
        <v>705</v>
      </c>
      <c r="O96" s="139" t="s">
        <v>170</v>
      </c>
      <c r="P96" s="139">
        <v>38</v>
      </c>
      <c r="Q96" s="139" t="str">
        <f>VLOOKUP(P96,'Townwide Contributions'!$A$6:$B$358,2,0)</f>
        <v>Boxford</v>
      </c>
      <c r="R96" s="139" t="s">
        <v>240</v>
      </c>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39" customFormat="1">
      <c r="A97" s="140">
        <v>73</v>
      </c>
      <c r="B97" s="140"/>
      <c r="C97" s="139" t="str">
        <f t="shared" si="1"/>
        <v>73 Dedham</v>
      </c>
      <c r="D97" s="485">
        <v>73</v>
      </c>
      <c r="E97" s="486" t="s">
        <v>754</v>
      </c>
      <c r="F97" s="486">
        <v>73</v>
      </c>
      <c r="G97" s="486" t="s">
        <v>1723</v>
      </c>
      <c r="L97" s="139">
        <v>70502</v>
      </c>
      <c r="M97" s="139">
        <v>2</v>
      </c>
      <c r="N97" s="139">
        <v>705</v>
      </c>
      <c r="O97" s="139" t="s">
        <v>170</v>
      </c>
      <c r="P97" s="139">
        <v>184</v>
      </c>
      <c r="Q97" s="139" t="str">
        <f>VLOOKUP(P97,'Townwide Contributions'!$A$6:$B$358,2,0)</f>
        <v>Middleton</v>
      </c>
      <c r="R97" s="139" t="s">
        <v>426</v>
      </c>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39" customFormat="1">
      <c r="A98" s="140">
        <v>74</v>
      </c>
      <c r="B98" s="140"/>
      <c r="C98" s="139" t="str">
        <f t="shared" si="1"/>
        <v>74 Deerfield</v>
      </c>
      <c r="D98" s="485">
        <v>74</v>
      </c>
      <c r="E98" s="486" t="s">
        <v>755</v>
      </c>
      <c r="F98" s="486">
        <v>74</v>
      </c>
      <c r="G98" s="486" t="s">
        <v>1724</v>
      </c>
      <c r="L98" s="139">
        <v>70503</v>
      </c>
      <c r="M98" s="139">
        <v>3</v>
      </c>
      <c r="N98" s="139">
        <v>705</v>
      </c>
      <c r="O98" s="139" t="s">
        <v>170</v>
      </c>
      <c r="P98" s="139">
        <v>298</v>
      </c>
      <c r="Q98" s="139" t="str">
        <f>VLOOKUP(P98,'Townwide Contributions'!$A$6:$B$358,2,0)</f>
        <v>Topsfield</v>
      </c>
      <c r="R98" s="139" t="s">
        <v>546</v>
      </c>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139" customFormat="1">
      <c r="A99" s="140">
        <v>75</v>
      </c>
      <c r="B99" s="140"/>
      <c r="C99" s="139" t="str">
        <f t="shared" si="1"/>
        <v>75 Dennis</v>
      </c>
      <c r="D99" s="485">
        <v>75</v>
      </c>
      <c r="E99" s="486" t="s">
        <v>756</v>
      </c>
      <c r="F99" s="486">
        <v>75</v>
      </c>
      <c r="G99" s="486" t="s">
        <v>1725</v>
      </c>
      <c r="L99" s="139">
        <v>71001</v>
      </c>
      <c r="M99" s="139">
        <v>1</v>
      </c>
      <c r="N99" s="139">
        <v>710</v>
      </c>
      <c r="O99" s="139" t="s">
        <v>171</v>
      </c>
      <c r="P99" s="139">
        <v>179</v>
      </c>
      <c r="Q99" s="139" t="str">
        <f>VLOOKUP(P99,'Townwide Contributions'!$A$6:$B$358,2,0)</f>
        <v>Mendon</v>
      </c>
      <c r="R99" s="139" t="s">
        <v>420</v>
      </c>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s="139" customFormat="1">
      <c r="A100" s="140">
        <v>368</v>
      </c>
      <c r="B100" s="140"/>
      <c r="C100" s="139" t="str">
        <f t="shared" si="1"/>
        <v>645 Dennis Yarmouth</v>
      </c>
      <c r="D100" s="485">
        <v>645</v>
      </c>
      <c r="E100" s="486" t="s">
        <v>1047</v>
      </c>
      <c r="F100" s="486">
        <v>645</v>
      </c>
      <c r="G100" s="486" t="s">
        <v>2017</v>
      </c>
      <c r="L100" s="139">
        <v>71002</v>
      </c>
      <c r="M100" s="139">
        <v>2</v>
      </c>
      <c r="N100" s="139">
        <v>710</v>
      </c>
      <c r="O100" s="139" t="s">
        <v>171</v>
      </c>
      <c r="P100" s="139">
        <v>303</v>
      </c>
      <c r="Q100" s="139" t="str">
        <f>VLOOKUP(P100,'Townwide Contributions'!$A$6:$B$358,2,0)</f>
        <v>Upton</v>
      </c>
      <c r="R100" s="139" t="s">
        <v>550</v>
      </c>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139" customFormat="1">
      <c r="A101" s="140">
        <v>352</v>
      </c>
      <c r="B101" s="140"/>
      <c r="C101" s="139" t="str">
        <f t="shared" si="1"/>
        <v>352 Devens</v>
      </c>
      <c r="D101" s="485">
        <v>352</v>
      </c>
      <c r="E101" s="486" t="s">
        <v>1033</v>
      </c>
      <c r="F101" s="486">
        <v>352</v>
      </c>
      <c r="G101" s="486" t="s">
        <v>2002</v>
      </c>
      <c r="L101" s="139">
        <v>71201</v>
      </c>
      <c r="M101" s="139">
        <v>1</v>
      </c>
      <c r="N101" s="139">
        <v>712</v>
      </c>
      <c r="O101" s="139" t="s">
        <v>78</v>
      </c>
      <c r="P101" s="139">
        <v>55</v>
      </c>
      <c r="Q101" s="139" t="str">
        <f>VLOOKUP(P101,'Townwide Contributions'!$A$6:$B$358,2,0)</f>
        <v>Chatham</v>
      </c>
      <c r="R101" s="139" t="s">
        <v>264</v>
      </c>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139" customFormat="1">
      <c r="A102" s="140">
        <v>76</v>
      </c>
      <c r="B102" s="140"/>
      <c r="C102" s="139" t="str">
        <f t="shared" si="1"/>
        <v>76 Dighton</v>
      </c>
      <c r="D102" s="485">
        <v>76</v>
      </c>
      <c r="E102" s="486" t="s">
        <v>757</v>
      </c>
      <c r="F102" s="486">
        <v>76</v>
      </c>
      <c r="G102" s="486" t="s">
        <v>1726</v>
      </c>
      <c r="L102" s="139">
        <v>71202</v>
      </c>
      <c r="M102" s="139">
        <v>2</v>
      </c>
      <c r="N102" s="139">
        <v>712</v>
      </c>
      <c r="O102" s="139" t="s">
        <v>78</v>
      </c>
      <c r="P102" s="139">
        <v>126</v>
      </c>
      <c r="Q102" s="139" t="str">
        <f>VLOOKUP(P102,'Townwide Contributions'!$A$6:$B$358,2,0)</f>
        <v>Harwich</v>
      </c>
      <c r="R102" s="139" t="s">
        <v>356</v>
      </c>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139" customFormat="1">
      <c r="A103" s="140">
        <v>369</v>
      </c>
      <c r="B103" s="140"/>
      <c r="C103" s="139" t="str">
        <f t="shared" si="1"/>
        <v>650 Dighton Rehoboth</v>
      </c>
      <c r="D103" s="485">
        <v>650</v>
      </c>
      <c r="E103" s="486" t="s">
        <v>1048</v>
      </c>
      <c r="F103" s="486">
        <v>650</v>
      </c>
      <c r="G103" s="486" t="s">
        <v>2018</v>
      </c>
      <c r="L103" s="139">
        <v>71501</v>
      </c>
      <c r="M103" s="139">
        <v>1</v>
      </c>
      <c r="N103" s="139">
        <v>715</v>
      </c>
      <c r="O103" s="139" t="s">
        <v>174</v>
      </c>
      <c r="P103" s="139">
        <v>148</v>
      </c>
      <c r="Q103" s="139" t="str">
        <f>VLOOKUP(P103,'Townwide Contributions'!$A$6:$B$358,2,0)</f>
        <v>Lanesborough</v>
      </c>
      <c r="R103" s="139" t="s">
        <v>375</v>
      </c>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139" customFormat="1">
      <c r="A104" s="140">
        <v>77</v>
      </c>
      <c r="B104" s="140"/>
      <c r="C104" s="139" t="str">
        <f t="shared" si="1"/>
        <v>77 Douglas</v>
      </c>
      <c r="D104" s="485">
        <v>77</v>
      </c>
      <c r="E104" s="486" t="s">
        <v>758</v>
      </c>
      <c r="F104" s="486">
        <v>77</v>
      </c>
      <c r="G104" s="486" t="s">
        <v>1727</v>
      </c>
      <c r="L104" s="139">
        <v>71502</v>
      </c>
      <c r="M104" s="139">
        <v>2</v>
      </c>
      <c r="N104" s="139">
        <v>715</v>
      </c>
      <c r="O104" s="139" t="s">
        <v>174</v>
      </c>
      <c r="P104" s="139">
        <v>341</v>
      </c>
      <c r="Q104" s="139" t="str">
        <f>VLOOKUP(P104,'Townwide Contributions'!$A$6:$B$358,2,0)</f>
        <v>Williamstown</v>
      </c>
      <c r="R104" s="139" t="s">
        <v>582</v>
      </c>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139" customFormat="1">
      <c r="A105" s="140">
        <v>78</v>
      </c>
      <c r="B105" s="140"/>
      <c r="C105" s="139" t="str">
        <f t="shared" si="1"/>
        <v>78 Dover</v>
      </c>
      <c r="D105" s="485">
        <v>78</v>
      </c>
      <c r="E105" s="486" t="s">
        <v>759</v>
      </c>
      <c r="F105" s="486">
        <v>78</v>
      </c>
      <c r="G105" s="486" t="s">
        <v>1728</v>
      </c>
      <c r="L105" s="139">
        <v>71701</v>
      </c>
      <c r="M105" s="139">
        <v>1</v>
      </c>
      <c r="N105" s="139">
        <v>717</v>
      </c>
      <c r="O105" s="139" t="s">
        <v>175</v>
      </c>
      <c r="P105" s="139">
        <v>13</v>
      </c>
      <c r="Q105" s="139" t="str">
        <f>VLOOKUP(P105,'Townwide Contributions'!$A$6:$B$358,2,0)</f>
        <v>Ashfield</v>
      </c>
      <c r="R105" s="139" t="s">
        <v>13</v>
      </c>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139" customFormat="1">
      <c r="A106" s="140">
        <v>370</v>
      </c>
      <c r="B106" s="140"/>
      <c r="C106" s="139" t="str">
        <f t="shared" si="1"/>
        <v>655 Dover Sherborn</v>
      </c>
      <c r="D106" s="485">
        <v>655</v>
      </c>
      <c r="E106" s="486" t="s">
        <v>1049</v>
      </c>
      <c r="F106" s="486">
        <v>655</v>
      </c>
      <c r="G106" s="486" t="s">
        <v>2019</v>
      </c>
      <c r="L106" s="139">
        <v>71702</v>
      </c>
      <c r="M106" s="139">
        <v>2</v>
      </c>
      <c r="N106" s="139">
        <v>717</v>
      </c>
      <c r="O106" s="139" t="s">
        <v>175</v>
      </c>
      <c r="P106" s="139">
        <v>47</v>
      </c>
      <c r="Q106" s="139" t="str">
        <f>VLOOKUP(P106,'Townwide Contributions'!$A$6:$B$358,2,0)</f>
        <v>Buckland</v>
      </c>
      <c r="R106" s="139" t="s">
        <v>254</v>
      </c>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139" customFormat="1">
      <c r="A107" s="140">
        <v>79</v>
      </c>
      <c r="B107" s="140"/>
      <c r="C107" s="139" t="str">
        <f t="shared" si="1"/>
        <v>79 Dracut</v>
      </c>
      <c r="D107" s="485">
        <v>79</v>
      </c>
      <c r="E107" s="486" t="s">
        <v>760</v>
      </c>
      <c r="F107" s="486">
        <v>79</v>
      </c>
      <c r="G107" s="486" t="s">
        <v>1729</v>
      </c>
      <c r="L107" s="139">
        <v>71703</v>
      </c>
      <c r="M107" s="139">
        <v>3</v>
      </c>
      <c r="N107" s="139">
        <v>717</v>
      </c>
      <c r="O107" s="139" t="s">
        <v>175</v>
      </c>
      <c r="P107" s="139">
        <v>53</v>
      </c>
      <c r="Q107" s="139" t="str">
        <f>VLOOKUP(P107,'Townwide Contributions'!$A$6:$B$358,2,0)</f>
        <v>Charlemont</v>
      </c>
      <c r="R107" s="139" t="s">
        <v>260</v>
      </c>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139" customFormat="1">
      <c r="A108" s="140">
        <v>80</v>
      </c>
      <c r="B108" s="140"/>
      <c r="C108" s="139" t="str">
        <f t="shared" si="1"/>
        <v>80 Dudley</v>
      </c>
      <c r="D108" s="485">
        <v>80</v>
      </c>
      <c r="E108" s="486" t="s">
        <v>761</v>
      </c>
      <c r="F108" s="486">
        <v>80</v>
      </c>
      <c r="G108" s="486" t="s">
        <v>1730</v>
      </c>
      <c r="L108" s="139">
        <v>71704</v>
      </c>
      <c r="M108" s="139">
        <v>4</v>
      </c>
      <c r="N108" s="139">
        <v>717</v>
      </c>
      <c r="O108" s="139" t="s">
        <v>175</v>
      </c>
      <c r="P108" s="139">
        <v>66</v>
      </c>
      <c r="Q108" s="139" t="str">
        <f>VLOOKUP(P108,'Townwide Contributions'!$A$6:$B$358,2,0)</f>
        <v>Colrain</v>
      </c>
      <c r="R108" s="139" t="s">
        <v>279</v>
      </c>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139" customFormat="1">
      <c r="A109" s="140">
        <v>371</v>
      </c>
      <c r="B109" s="140"/>
      <c r="C109" s="139" t="str">
        <f t="shared" si="1"/>
        <v>658 Dudley Charlton</v>
      </c>
      <c r="D109" s="485">
        <v>658</v>
      </c>
      <c r="E109" s="486" t="s">
        <v>1050</v>
      </c>
      <c r="F109" s="486">
        <v>658</v>
      </c>
      <c r="G109" s="486" t="s">
        <v>2020</v>
      </c>
      <c r="L109" s="139">
        <v>71705</v>
      </c>
      <c r="M109" s="139">
        <v>5</v>
      </c>
      <c r="N109" s="139">
        <v>717</v>
      </c>
      <c r="O109" s="139" t="s">
        <v>175</v>
      </c>
      <c r="P109" s="139">
        <v>129</v>
      </c>
      <c r="Q109" s="139" t="str">
        <f>VLOOKUP(P109,'Townwide Contributions'!$A$6:$B$358,2,0)</f>
        <v>Hawley</v>
      </c>
      <c r="R109" s="139" t="s">
        <v>358</v>
      </c>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s="139" customFormat="1">
      <c r="A110" s="140">
        <v>81</v>
      </c>
      <c r="B110" s="140"/>
      <c r="C110" s="139" t="str">
        <f t="shared" si="1"/>
        <v>81 Dunstable</v>
      </c>
      <c r="D110" s="485">
        <v>81</v>
      </c>
      <c r="E110" s="486" t="s">
        <v>762</v>
      </c>
      <c r="F110" s="486">
        <v>81</v>
      </c>
      <c r="G110" s="486" t="s">
        <v>1731</v>
      </c>
      <c r="L110" s="139">
        <v>71706</v>
      </c>
      <c r="M110" s="139">
        <v>6</v>
      </c>
      <c r="N110" s="139">
        <v>717</v>
      </c>
      <c r="O110" s="139" t="s">
        <v>175</v>
      </c>
      <c r="P110" s="139">
        <v>130</v>
      </c>
      <c r="Q110" s="139" t="str">
        <f>VLOOKUP(P110,'Townwide Contributions'!$A$6:$B$358,2,0)</f>
        <v>Heath</v>
      </c>
      <c r="R110" s="139" t="s">
        <v>359</v>
      </c>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139" customFormat="1">
      <c r="A111" s="140">
        <v>82</v>
      </c>
      <c r="B111" s="140"/>
      <c r="C111" s="139" t="str">
        <f t="shared" si="1"/>
        <v>82 Duxbury</v>
      </c>
      <c r="D111" s="485">
        <v>82</v>
      </c>
      <c r="E111" s="486" t="s">
        <v>763</v>
      </c>
      <c r="F111" s="486">
        <v>82</v>
      </c>
      <c r="G111" s="486" t="s">
        <v>1732</v>
      </c>
      <c r="L111" s="139">
        <v>71707</v>
      </c>
      <c r="M111" s="139">
        <v>7</v>
      </c>
      <c r="N111" s="139">
        <v>717</v>
      </c>
      <c r="O111" s="139" t="s">
        <v>175</v>
      </c>
      <c r="P111" s="139">
        <v>237</v>
      </c>
      <c r="Q111" s="139" t="str">
        <f>VLOOKUP(P111,'Townwide Contributions'!$A$6:$B$358,2,0)</f>
        <v>Plainfield</v>
      </c>
      <c r="R111" s="139" t="s">
        <v>489</v>
      </c>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139" customFormat="1">
      <c r="A112" s="140">
        <v>83</v>
      </c>
      <c r="B112" s="140"/>
      <c r="C112" s="139" t="str">
        <f t="shared" si="1"/>
        <v>83 East Bridgewater</v>
      </c>
      <c r="D112" s="485">
        <v>83</v>
      </c>
      <c r="E112" s="486" t="s">
        <v>764</v>
      </c>
      <c r="F112" s="486">
        <v>83</v>
      </c>
      <c r="G112" s="486" t="s">
        <v>1733</v>
      </c>
      <c r="L112" s="139">
        <v>71708</v>
      </c>
      <c r="M112" s="139">
        <v>8</v>
      </c>
      <c r="N112" s="139">
        <v>717</v>
      </c>
      <c r="O112" s="139" t="s">
        <v>175</v>
      </c>
      <c r="P112" s="139">
        <v>268</v>
      </c>
      <c r="Q112" s="139" t="str">
        <f>VLOOKUP(P112,'Townwide Contributions'!$A$6:$B$358,2,0)</f>
        <v>Shelburne</v>
      </c>
      <c r="R112" s="139" t="s">
        <v>517</v>
      </c>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139" customFormat="1">
      <c r="A113" s="140">
        <v>84</v>
      </c>
      <c r="B113" s="140"/>
      <c r="C113" s="139" t="str">
        <f t="shared" si="1"/>
        <v>84 East Brookfield</v>
      </c>
      <c r="D113" s="485">
        <v>84</v>
      </c>
      <c r="E113" s="486" t="s">
        <v>765</v>
      </c>
      <c r="F113" s="486">
        <v>84</v>
      </c>
      <c r="G113" s="486" t="s">
        <v>1734</v>
      </c>
      <c r="L113" s="139">
        <v>72001</v>
      </c>
      <c r="M113" s="139">
        <v>1</v>
      </c>
      <c r="N113" s="139">
        <v>720</v>
      </c>
      <c r="O113" s="139" t="s">
        <v>178</v>
      </c>
      <c r="P113" s="139">
        <v>235</v>
      </c>
      <c r="Q113" s="139" t="str">
        <f>VLOOKUP(P113,'Townwide Contributions'!$A$6:$B$358,2,0)</f>
        <v>Phillipston</v>
      </c>
      <c r="R113" s="139" t="s">
        <v>487</v>
      </c>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139" customFormat="1">
      <c r="A114" s="140">
        <v>87</v>
      </c>
      <c r="B114" s="140"/>
      <c r="C114" s="139" t="str">
        <f t="shared" si="1"/>
        <v>87 East Longmeadow</v>
      </c>
      <c r="D114" s="485">
        <v>87</v>
      </c>
      <c r="E114" s="486" t="s">
        <v>768</v>
      </c>
      <c r="F114" s="486">
        <v>87</v>
      </c>
      <c r="G114" s="486" t="s">
        <v>1737</v>
      </c>
      <c r="L114" s="139">
        <v>72002</v>
      </c>
      <c r="M114" s="139">
        <v>2</v>
      </c>
      <c r="N114" s="139">
        <v>720</v>
      </c>
      <c r="O114" s="139" t="s">
        <v>178</v>
      </c>
      <c r="P114" s="139">
        <v>294</v>
      </c>
      <c r="Q114" s="139" t="str">
        <f>VLOOKUP(P114,'Townwide Contributions'!$A$6:$B$358,2,0)</f>
        <v>Templeton</v>
      </c>
      <c r="R114" s="139" t="s">
        <v>542</v>
      </c>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139" customFormat="1">
      <c r="A115" s="140">
        <v>85</v>
      </c>
      <c r="B115" s="140"/>
      <c r="C115" s="139" t="str">
        <f t="shared" si="1"/>
        <v>85 Eastham</v>
      </c>
      <c r="D115" s="485">
        <v>85</v>
      </c>
      <c r="E115" s="486" t="s">
        <v>766</v>
      </c>
      <c r="F115" s="486">
        <v>85</v>
      </c>
      <c r="G115" s="486" t="s">
        <v>1735</v>
      </c>
      <c r="L115" s="139">
        <v>72501</v>
      </c>
      <c r="M115" s="139">
        <v>1</v>
      </c>
      <c r="N115" s="139">
        <v>725</v>
      </c>
      <c r="O115" s="139" t="s">
        <v>179</v>
      </c>
      <c r="P115" s="139">
        <v>34</v>
      </c>
      <c r="Q115" s="139" t="str">
        <f>VLOOKUP(P115,'Townwide Contributions'!$A$6:$B$358,2,0)</f>
        <v>Bolton</v>
      </c>
      <c r="R115" s="139" t="s">
        <v>56</v>
      </c>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139" customFormat="1">
      <c r="A116" s="140">
        <v>86</v>
      </c>
      <c r="B116" s="140"/>
      <c r="C116" s="139" t="str">
        <f t="shared" si="1"/>
        <v>86 Easthampton</v>
      </c>
      <c r="D116" s="485">
        <v>86</v>
      </c>
      <c r="E116" s="486" t="s">
        <v>767</v>
      </c>
      <c r="F116" s="486">
        <v>86</v>
      </c>
      <c r="G116" s="486" t="s">
        <v>1736</v>
      </c>
      <c r="L116" s="139">
        <v>72502</v>
      </c>
      <c r="M116" s="139">
        <v>2</v>
      </c>
      <c r="N116" s="139">
        <v>725</v>
      </c>
      <c r="O116" s="139" t="s">
        <v>179</v>
      </c>
      <c r="P116" s="139">
        <v>147</v>
      </c>
      <c r="Q116" s="139" t="str">
        <f>VLOOKUP(P116,'Townwide Contributions'!$A$6:$B$358,2,0)</f>
        <v>Lancaster</v>
      </c>
      <c r="R116" s="139" t="s">
        <v>374</v>
      </c>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139" customFormat="1">
      <c r="A117" s="140">
        <v>88</v>
      </c>
      <c r="B117" s="140"/>
      <c r="C117" s="139" t="str">
        <f t="shared" si="1"/>
        <v>88 Easton</v>
      </c>
      <c r="D117" s="485">
        <v>88</v>
      </c>
      <c r="E117" s="486" t="s">
        <v>769</v>
      </c>
      <c r="F117" s="486">
        <v>88</v>
      </c>
      <c r="G117" s="486" t="s">
        <v>1738</v>
      </c>
      <c r="L117" s="139">
        <v>72503</v>
      </c>
      <c r="M117" s="139">
        <v>3</v>
      </c>
      <c r="N117" s="139">
        <v>725</v>
      </c>
      <c r="O117" s="139" t="s">
        <v>179</v>
      </c>
      <c r="P117" s="139">
        <v>286</v>
      </c>
      <c r="Q117" s="139" t="str">
        <f>VLOOKUP(P117,'Townwide Contributions'!$A$6:$B$358,2,0)</f>
        <v>Stow</v>
      </c>
      <c r="R117" s="139" t="s">
        <v>534</v>
      </c>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139" customFormat="1">
      <c r="A118" s="140">
        <v>89</v>
      </c>
      <c r="B118" s="140"/>
      <c r="C118" s="139" t="str">
        <f t="shared" si="1"/>
        <v>89 Edgartown</v>
      </c>
      <c r="D118" s="485">
        <v>89</v>
      </c>
      <c r="E118" s="486" t="s">
        <v>770</v>
      </c>
      <c r="F118" s="486">
        <v>89</v>
      </c>
      <c r="G118" s="486" t="s">
        <v>1739</v>
      </c>
      <c r="L118" s="139">
        <v>72801</v>
      </c>
      <c r="M118" s="139">
        <v>1</v>
      </c>
      <c r="N118" s="139">
        <v>728</v>
      </c>
      <c r="O118" s="139" t="s">
        <v>180</v>
      </c>
      <c r="P118" s="139">
        <v>206</v>
      </c>
      <c r="Q118" s="139" t="str">
        <f>VLOOKUP(P118,'Townwide Contributions'!$A$6:$B$358,2,0)</f>
        <v>New Salem</v>
      </c>
      <c r="R118" s="139" t="s">
        <v>447</v>
      </c>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139" customFormat="1">
      <c r="A119" s="140">
        <v>90</v>
      </c>
      <c r="B119" s="140"/>
      <c r="C119" s="139" t="str">
        <f t="shared" si="1"/>
        <v>90 Egremont</v>
      </c>
      <c r="D119" s="485">
        <v>90</v>
      </c>
      <c r="E119" s="486" t="s">
        <v>771</v>
      </c>
      <c r="F119" s="486">
        <v>90</v>
      </c>
      <c r="G119" s="486" t="s">
        <v>1740</v>
      </c>
      <c r="L119" s="139">
        <v>72802</v>
      </c>
      <c r="M119" s="139">
        <v>2</v>
      </c>
      <c r="N119" s="139">
        <v>728</v>
      </c>
      <c r="O119" s="139" t="s">
        <v>180</v>
      </c>
      <c r="P119" s="139">
        <v>319</v>
      </c>
      <c r="Q119" s="139" t="str">
        <f>VLOOKUP(P119,'Townwide Contributions'!$A$6:$B$358,2,0)</f>
        <v>Wendell</v>
      </c>
      <c r="R119" s="139" t="s">
        <v>564</v>
      </c>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139" customFormat="1">
      <c r="A120" s="140">
        <v>91</v>
      </c>
      <c r="B120" s="140"/>
      <c r="C120" s="139" t="str">
        <f t="shared" si="1"/>
        <v>91 Erving</v>
      </c>
      <c r="D120" s="485">
        <v>91</v>
      </c>
      <c r="E120" s="486" t="s">
        <v>772</v>
      </c>
      <c r="F120" s="486">
        <v>91</v>
      </c>
      <c r="G120" s="486" t="s">
        <v>1741</v>
      </c>
      <c r="L120" s="139">
        <v>73001</v>
      </c>
      <c r="M120" s="139">
        <v>1</v>
      </c>
      <c r="N120" s="139">
        <v>730</v>
      </c>
      <c r="O120" s="139" t="s">
        <v>181</v>
      </c>
      <c r="P120" s="139">
        <v>213</v>
      </c>
      <c r="Q120" s="139" t="str">
        <f>VLOOKUP(P120,'Townwide Contributions'!$A$6:$B$358,2,0)</f>
        <v>Northborough</v>
      </c>
      <c r="R120" s="139" t="s">
        <v>458</v>
      </c>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139" customFormat="1">
      <c r="A121" s="140">
        <v>92</v>
      </c>
      <c r="B121" s="140"/>
      <c r="C121" s="139" t="str">
        <f t="shared" si="1"/>
        <v>92 Essex</v>
      </c>
      <c r="D121" s="485">
        <v>92</v>
      </c>
      <c r="E121" s="486" t="s">
        <v>773</v>
      </c>
      <c r="F121" s="486">
        <v>92</v>
      </c>
      <c r="G121" s="486" t="s">
        <v>1742</v>
      </c>
      <c r="L121" s="139">
        <v>73002</v>
      </c>
      <c r="M121" s="139">
        <v>2</v>
      </c>
      <c r="N121" s="139">
        <v>730</v>
      </c>
      <c r="O121" s="139" t="s">
        <v>181</v>
      </c>
      <c r="P121" s="139">
        <v>276</v>
      </c>
      <c r="Q121" s="139" t="str">
        <f>VLOOKUP(P121,'Townwide Contributions'!$A$6:$B$358,2,0)</f>
        <v>Southborough</v>
      </c>
      <c r="R121" s="139" t="s">
        <v>523</v>
      </c>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139" customFormat="1">
      <c r="A122" s="140">
        <v>418</v>
      </c>
      <c r="B122" s="140"/>
      <c r="C122" s="139" t="str">
        <f t="shared" si="1"/>
        <v>817 Essex North Shore</v>
      </c>
      <c r="D122" s="485">
        <v>817</v>
      </c>
      <c r="E122" s="486" t="s">
        <v>1097</v>
      </c>
      <c r="F122" s="486">
        <v>817</v>
      </c>
      <c r="G122" s="486" t="s">
        <v>2067</v>
      </c>
      <c r="L122" s="139">
        <v>73501</v>
      </c>
      <c r="M122" s="139">
        <v>1</v>
      </c>
      <c r="N122" s="139">
        <v>735</v>
      </c>
      <c r="O122" s="139" t="s">
        <v>182</v>
      </c>
      <c r="P122" s="139">
        <v>12</v>
      </c>
      <c r="Q122" s="139" t="str">
        <f>VLOOKUP(P122,'Townwide Contributions'!$A$6:$B$358,2,0)</f>
        <v>Ashby</v>
      </c>
      <c r="R122" s="139" t="s">
        <v>11</v>
      </c>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139" customFormat="1">
      <c r="A123" s="140">
        <v>93</v>
      </c>
      <c r="B123" s="140"/>
      <c r="C123" s="139" t="str">
        <f t="shared" si="1"/>
        <v>93 Everett</v>
      </c>
      <c r="D123" s="485">
        <v>93</v>
      </c>
      <c r="E123" s="486" t="s">
        <v>774</v>
      </c>
      <c r="F123" s="486">
        <v>93</v>
      </c>
      <c r="G123" s="486" t="s">
        <v>1743</v>
      </c>
      <c r="L123" s="139">
        <v>73502</v>
      </c>
      <c r="M123" s="139">
        <v>2</v>
      </c>
      <c r="N123" s="139">
        <v>735</v>
      </c>
      <c r="O123" s="139" t="s">
        <v>182</v>
      </c>
      <c r="P123" s="139">
        <v>232</v>
      </c>
      <c r="Q123" s="139" t="str">
        <f>VLOOKUP(P123,'Townwide Contributions'!$A$6:$B$358,2,0)</f>
        <v>Pepperell</v>
      </c>
      <c r="R123" s="139" t="s">
        <v>484</v>
      </c>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139" customFormat="1">
      <c r="A124" s="140">
        <v>94</v>
      </c>
      <c r="B124" s="140"/>
      <c r="C124" s="139" t="str">
        <f t="shared" si="1"/>
        <v>94 Fairhaven</v>
      </c>
      <c r="D124" s="485">
        <v>94</v>
      </c>
      <c r="E124" s="486" t="s">
        <v>775</v>
      </c>
      <c r="F124" s="486">
        <v>94</v>
      </c>
      <c r="G124" s="486" t="s">
        <v>1744</v>
      </c>
      <c r="L124" s="139">
        <v>73503</v>
      </c>
      <c r="M124" s="139">
        <v>3</v>
      </c>
      <c r="N124" s="139">
        <v>735</v>
      </c>
      <c r="O124" s="139" t="s">
        <v>182</v>
      </c>
      <c r="P124" s="139">
        <v>299</v>
      </c>
      <c r="Q124" s="139" t="str">
        <f>VLOOKUP(P124,'Townwide Contributions'!$A$6:$B$358,2,0)</f>
        <v>Townsend</v>
      </c>
      <c r="R124" s="139" t="s">
        <v>547</v>
      </c>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139" customFormat="1">
      <c r="A125" s="140">
        <v>95</v>
      </c>
      <c r="B125" s="140"/>
      <c r="C125" s="139" t="str">
        <f t="shared" si="1"/>
        <v>95 Fall River</v>
      </c>
      <c r="D125" s="485">
        <v>95</v>
      </c>
      <c r="E125" s="486" t="s">
        <v>776</v>
      </c>
      <c r="F125" s="486">
        <v>95</v>
      </c>
      <c r="G125" s="486" t="s">
        <v>1745</v>
      </c>
      <c r="L125" s="139">
        <v>74001</v>
      </c>
      <c r="M125" s="139">
        <v>1</v>
      </c>
      <c r="N125" s="139">
        <v>740</v>
      </c>
      <c r="O125" s="139" t="s">
        <v>183</v>
      </c>
      <c r="P125" s="139">
        <v>169</v>
      </c>
      <c r="Q125" s="139" t="str">
        <f>VLOOKUP(P125,'Townwide Contributions'!$A$6:$B$358,2,0)</f>
        <v>Marion</v>
      </c>
      <c r="R125" s="139" t="s">
        <v>410</v>
      </c>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139" customFormat="1">
      <c r="A126" s="140">
        <v>96</v>
      </c>
      <c r="B126" s="140"/>
      <c r="C126" s="139" t="str">
        <f t="shared" si="1"/>
        <v>96 Falmouth</v>
      </c>
      <c r="D126" s="485">
        <v>96</v>
      </c>
      <c r="E126" s="486" t="s">
        <v>777</v>
      </c>
      <c r="F126" s="486">
        <v>96</v>
      </c>
      <c r="G126" s="486" t="s">
        <v>1746</v>
      </c>
      <c r="L126" s="139">
        <v>74002</v>
      </c>
      <c r="M126" s="139">
        <v>2</v>
      </c>
      <c r="N126" s="139">
        <v>740</v>
      </c>
      <c r="O126" s="139" t="s">
        <v>183</v>
      </c>
      <c r="P126" s="139">
        <v>173</v>
      </c>
      <c r="Q126" s="139" t="str">
        <f>VLOOKUP(P126,'Townwide Contributions'!$A$6:$B$358,2,0)</f>
        <v>Mattapoisett</v>
      </c>
      <c r="R126" s="139" t="s">
        <v>414</v>
      </c>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139" customFormat="1">
      <c r="A127" s="140">
        <v>373</v>
      </c>
      <c r="B127" s="140"/>
      <c r="C127" s="139" t="str">
        <f t="shared" si="1"/>
        <v>662 Farmington River</v>
      </c>
      <c r="D127" s="485">
        <v>662</v>
      </c>
      <c r="E127" s="486" t="s">
        <v>1052</v>
      </c>
      <c r="F127" s="486">
        <v>662</v>
      </c>
      <c r="G127" s="486" t="s">
        <v>2022</v>
      </c>
      <c r="L127" s="139">
        <v>74003</v>
      </c>
      <c r="M127" s="139">
        <v>3</v>
      </c>
      <c r="N127" s="139">
        <v>740</v>
      </c>
      <c r="O127" s="139" t="s">
        <v>183</v>
      </c>
      <c r="P127" s="139">
        <v>250</v>
      </c>
      <c r="Q127" s="139" t="str">
        <f>VLOOKUP(P127,'Townwide Contributions'!$A$6:$B$358,2,0)</f>
        <v>Rochester</v>
      </c>
      <c r="R127" s="139" t="s">
        <v>500</v>
      </c>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139" customFormat="1">
      <c r="A128" s="140">
        <v>97</v>
      </c>
      <c r="B128" s="140"/>
      <c r="C128" s="139" t="str">
        <f t="shared" si="1"/>
        <v>97 Fitchburg</v>
      </c>
      <c r="D128" s="485">
        <v>97</v>
      </c>
      <c r="E128" s="486" t="s">
        <v>778</v>
      </c>
      <c r="F128" s="486">
        <v>97</v>
      </c>
      <c r="G128" s="486" t="s">
        <v>1747</v>
      </c>
      <c r="L128" s="139">
        <v>74501</v>
      </c>
      <c r="M128" s="139">
        <v>1</v>
      </c>
      <c r="N128" s="139">
        <v>745</v>
      </c>
      <c r="O128" s="139" t="s">
        <v>184</v>
      </c>
      <c r="P128" s="139">
        <v>116</v>
      </c>
      <c r="Q128" s="139" t="str">
        <f>VLOOKUP(P128,'Townwide Contributions'!$A$6:$B$358,2,0)</f>
        <v>Groveland</v>
      </c>
      <c r="R128" s="139" t="s">
        <v>343</v>
      </c>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139" customFormat="1">
      <c r="A129" s="140">
        <v>98</v>
      </c>
      <c r="B129" s="140"/>
      <c r="C129" s="139" t="str">
        <f t="shared" si="1"/>
        <v>98 Florida</v>
      </c>
      <c r="D129" s="485">
        <v>98</v>
      </c>
      <c r="E129" s="486" t="s">
        <v>779</v>
      </c>
      <c r="F129" s="486">
        <v>98</v>
      </c>
      <c r="G129" s="486" t="s">
        <v>1748</v>
      </c>
      <c r="L129" s="139">
        <v>74502</v>
      </c>
      <c r="M129" s="139">
        <v>2</v>
      </c>
      <c r="N129" s="139">
        <v>745</v>
      </c>
      <c r="O129" s="139" t="s">
        <v>184</v>
      </c>
      <c r="P129" s="139">
        <v>180</v>
      </c>
      <c r="Q129" s="139" t="str">
        <f>VLOOKUP(P129,'Townwide Contributions'!$A$6:$B$358,2,0)</f>
        <v>Merrimac</v>
      </c>
      <c r="R129" s="139" t="s">
        <v>422</v>
      </c>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139" customFormat="1">
      <c r="A130" s="140">
        <v>99</v>
      </c>
      <c r="B130" s="140"/>
      <c r="C130" s="139" t="str">
        <f t="shared" si="1"/>
        <v>99 Foxborough</v>
      </c>
      <c r="D130" s="485">
        <v>99</v>
      </c>
      <c r="E130" s="486" t="s">
        <v>780</v>
      </c>
      <c r="F130" s="486">
        <v>99</v>
      </c>
      <c r="G130" s="486" t="s">
        <v>1749</v>
      </c>
      <c r="L130" s="139">
        <v>74503</v>
      </c>
      <c r="M130" s="139">
        <v>3</v>
      </c>
      <c r="N130" s="139">
        <v>745</v>
      </c>
      <c r="O130" s="139" t="s">
        <v>184</v>
      </c>
      <c r="P130" s="139">
        <v>329</v>
      </c>
      <c r="Q130" s="139" t="str">
        <f>VLOOKUP(P130,'Townwide Contributions'!$A$6:$B$358,2,0)</f>
        <v>West Newbury</v>
      </c>
      <c r="R130" s="139" t="s">
        <v>572</v>
      </c>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139" customFormat="1">
      <c r="A131" s="140">
        <v>100</v>
      </c>
      <c r="B131" s="140"/>
      <c r="C131" s="139" t="str">
        <f t="shared" si="1"/>
        <v>100 Framingham</v>
      </c>
      <c r="D131" s="485">
        <v>100</v>
      </c>
      <c r="E131" s="486" t="s">
        <v>781</v>
      </c>
      <c r="F131" s="486">
        <v>100</v>
      </c>
      <c r="G131" s="486" t="s">
        <v>1750</v>
      </c>
      <c r="L131" s="139">
        <v>75001</v>
      </c>
      <c r="M131" s="139">
        <v>1</v>
      </c>
      <c r="N131" s="139">
        <v>750</v>
      </c>
      <c r="O131" s="139" t="s">
        <v>185</v>
      </c>
      <c r="P131" s="139">
        <v>29</v>
      </c>
      <c r="Q131" s="139" t="str">
        <f>VLOOKUP(P131,'Townwide Contributions'!$A$6:$B$358,2,0)</f>
        <v>Bernardston</v>
      </c>
      <c r="R131" s="139" t="s">
        <v>43</v>
      </c>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139" customFormat="1">
      <c r="A132" s="140">
        <v>101</v>
      </c>
      <c r="B132" s="140"/>
      <c r="C132" s="139" t="str">
        <f t="shared" si="1"/>
        <v>101 Franklin</v>
      </c>
      <c r="D132" s="485">
        <v>101</v>
      </c>
      <c r="E132" s="486" t="s">
        <v>782</v>
      </c>
      <c r="F132" s="486">
        <v>101</v>
      </c>
      <c r="G132" s="486" t="s">
        <v>1751</v>
      </c>
      <c r="L132" s="139">
        <v>75002</v>
      </c>
      <c r="M132" s="139">
        <v>2</v>
      </c>
      <c r="N132" s="139">
        <v>750</v>
      </c>
      <c r="O132" s="139" t="s">
        <v>185</v>
      </c>
      <c r="P132" s="139">
        <v>156</v>
      </c>
      <c r="Q132" s="139" t="str">
        <f>VLOOKUP(P132,'Townwide Contributions'!$A$6:$B$358,2,0)</f>
        <v>Leyden</v>
      </c>
      <c r="R132" s="139" t="s">
        <v>380</v>
      </c>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139" customFormat="1">
      <c r="A133" s="140">
        <v>419</v>
      </c>
      <c r="B133" s="140"/>
      <c r="C133" s="139" t="str">
        <f t="shared" si="1"/>
        <v>818 Franklin County</v>
      </c>
      <c r="D133" s="485">
        <v>818</v>
      </c>
      <c r="E133" s="486" t="s">
        <v>1098</v>
      </c>
      <c r="F133" s="486">
        <v>818</v>
      </c>
      <c r="G133" s="486" t="s">
        <v>2068</v>
      </c>
      <c r="L133" s="139">
        <v>75003</v>
      </c>
      <c r="M133" s="139">
        <v>3</v>
      </c>
      <c r="N133" s="139">
        <v>750</v>
      </c>
      <c r="O133" s="139" t="s">
        <v>185</v>
      </c>
      <c r="P133" s="139">
        <v>216</v>
      </c>
      <c r="Q133" s="139" t="str">
        <f>VLOOKUP(P133,'Townwide Contributions'!$A$6:$B$358,2,0)</f>
        <v>Northfield</v>
      </c>
      <c r="R133" s="139" t="s">
        <v>462</v>
      </c>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139" customFormat="1">
      <c r="A134" s="140">
        <v>102</v>
      </c>
      <c r="B134" s="140"/>
      <c r="C134" s="139" t="str">
        <f t="shared" ref="C134:C197" si="2">PROPER(D134&amp;" "&amp;E134)</f>
        <v>102 Freetown</v>
      </c>
      <c r="D134" s="485">
        <v>102</v>
      </c>
      <c r="E134" s="486" t="s">
        <v>783</v>
      </c>
      <c r="F134" s="486">
        <v>102</v>
      </c>
      <c r="G134" s="486" t="s">
        <v>1752</v>
      </c>
      <c r="L134" s="139">
        <v>75301</v>
      </c>
      <c r="M134" s="139">
        <v>1</v>
      </c>
      <c r="N134" s="139">
        <v>753</v>
      </c>
      <c r="O134" s="139" t="s">
        <v>186</v>
      </c>
      <c r="P134" s="139">
        <v>21</v>
      </c>
      <c r="Q134" s="139" t="str">
        <f>VLOOKUP(P134,'Townwide Contributions'!$A$6:$B$358,2,0)</f>
        <v>Barre</v>
      </c>
      <c r="R134" s="139" t="s">
        <v>28</v>
      </c>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139" customFormat="1">
      <c r="A135" s="140">
        <v>374</v>
      </c>
      <c r="B135" s="140"/>
      <c r="C135" s="139" t="str">
        <f t="shared" si="2"/>
        <v>665 Freetown Lakeville</v>
      </c>
      <c r="D135" s="485">
        <v>665</v>
      </c>
      <c r="E135" s="486" t="s">
        <v>1053</v>
      </c>
      <c r="F135" s="486">
        <v>665</v>
      </c>
      <c r="G135" s="486" t="s">
        <v>2023</v>
      </c>
      <c r="L135" s="139">
        <v>75302</v>
      </c>
      <c r="M135" s="139">
        <v>2</v>
      </c>
      <c r="N135" s="139">
        <v>753</v>
      </c>
      <c r="O135" s="139" t="s">
        <v>186</v>
      </c>
      <c r="P135" s="139">
        <v>124</v>
      </c>
      <c r="Q135" s="139" t="str">
        <f>VLOOKUP(P135,'Townwide Contributions'!$A$6:$B$358,2,0)</f>
        <v>Hardwick</v>
      </c>
      <c r="R135" s="139" t="s">
        <v>354</v>
      </c>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139" customFormat="1">
      <c r="A136" s="140">
        <v>375</v>
      </c>
      <c r="B136" s="140"/>
      <c r="C136" s="139" t="str">
        <f t="shared" si="2"/>
        <v>670 Frontier</v>
      </c>
      <c r="D136" s="485">
        <v>670</v>
      </c>
      <c r="E136" s="486" t="s">
        <v>1054</v>
      </c>
      <c r="F136" s="486">
        <v>670</v>
      </c>
      <c r="G136" s="486" t="s">
        <v>2024</v>
      </c>
      <c r="L136" s="139">
        <v>75303</v>
      </c>
      <c r="M136" s="139">
        <v>3</v>
      </c>
      <c r="N136" s="139">
        <v>753</v>
      </c>
      <c r="O136" s="139" t="s">
        <v>186</v>
      </c>
      <c r="P136" s="139">
        <v>140</v>
      </c>
      <c r="Q136" s="139" t="str">
        <f>VLOOKUP(P136,'Townwide Contributions'!$A$6:$B$358,2,0)</f>
        <v>Hubbardston</v>
      </c>
      <c r="R136" s="139" t="s">
        <v>368</v>
      </c>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139" customFormat="1">
      <c r="A137" s="140">
        <v>103</v>
      </c>
      <c r="B137" s="140"/>
      <c r="C137" s="139" t="str">
        <f t="shared" si="2"/>
        <v>103 Gardner</v>
      </c>
      <c r="D137" s="485">
        <v>103</v>
      </c>
      <c r="E137" s="486" t="s">
        <v>784</v>
      </c>
      <c r="F137" s="486">
        <v>103</v>
      </c>
      <c r="G137" s="486" t="s">
        <v>1753</v>
      </c>
      <c r="L137" s="139">
        <v>75304</v>
      </c>
      <c r="M137" s="139">
        <v>4</v>
      </c>
      <c r="N137" s="139">
        <v>753</v>
      </c>
      <c r="O137" s="139" t="s">
        <v>186</v>
      </c>
      <c r="P137" s="139">
        <v>202</v>
      </c>
      <c r="Q137" s="139" t="str">
        <f>VLOOKUP(P137,'Townwide Contributions'!$A$6:$B$358,2,0)</f>
        <v>New Braintree</v>
      </c>
      <c r="R137" s="139" t="s">
        <v>442</v>
      </c>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139" customFormat="1">
      <c r="A138" s="140">
        <v>376</v>
      </c>
      <c r="B138" s="140"/>
      <c r="C138" s="139" t="str">
        <f t="shared" si="2"/>
        <v>672 Gateway</v>
      </c>
      <c r="D138" s="485">
        <v>672</v>
      </c>
      <c r="E138" s="486" t="s">
        <v>1055</v>
      </c>
      <c r="F138" s="486">
        <v>672</v>
      </c>
      <c r="G138" s="486" t="s">
        <v>2025</v>
      </c>
      <c r="L138" s="139">
        <v>75305</v>
      </c>
      <c r="M138" s="139">
        <v>5</v>
      </c>
      <c r="N138" s="139">
        <v>753</v>
      </c>
      <c r="O138" s="139" t="s">
        <v>186</v>
      </c>
      <c r="P138" s="139">
        <v>222</v>
      </c>
      <c r="Q138" s="139" t="str">
        <f>VLOOKUP(P138,'Townwide Contributions'!$A$6:$B$358,2,0)</f>
        <v>Oakham</v>
      </c>
      <c r="R138" s="139" t="s">
        <v>470</v>
      </c>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139" customFormat="1">
      <c r="A139" s="140">
        <v>105</v>
      </c>
      <c r="B139" s="140"/>
      <c r="C139" s="139" t="str">
        <f t="shared" si="2"/>
        <v>105 Georgetown</v>
      </c>
      <c r="D139" s="485">
        <v>105</v>
      </c>
      <c r="E139" s="486" t="s">
        <v>786</v>
      </c>
      <c r="F139" s="486">
        <v>105</v>
      </c>
      <c r="G139" s="486" t="s">
        <v>1755</v>
      </c>
      <c r="L139" s="139">
        <v>75501</v>
      </c>
      <c r="M139" s="139">
        <v>1</v>
      </c>
      <c r="N139" s="139">
        <v>755</v>
      </c>
      <c r="O139" s="139" t="s">
        <v>187</v>
      </c>
      <c r="P139" s="139">
        <v>206</v>
      </c>
      <c r="Q139" s="139" t="str">
        <f>VLOOKUP(P139,'Townwide Contributions'!$A$6:$B$358,2,0)</f>
        <v>New Salem</v>
      </c>
      <c r="R139" s="139" t="s">
        <v>447</v>
      </c>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139" customFormat="1">
      <c r="A140" s="140">
        <v>106</v>
      </c>
      <c r="B140" s="140"/>
      <c r="C140" s="139" t="str">
        <f t="shared" si="2"/>
        <v>106 Gill</v>
      </c>
      <c r="D140" s="485">
        <v>106</v>
      </c>
      <c r="E140" s="486" t="s">
        <v>787</v>
      </c>
      <c r="F140" s="486">
        <v>106</v>
      </c>
      <c r="G140" s="486" t="s">
        <v>1756</v>
      </c>
      <c r="L140" s="139">
        <v>75502</v>
      </c>
      <c r="M140" s="139">
        <v>2</v>
      </c>
      <c r="N140" s="139">
        <v>755</v>
      </c>
      <c r="O140" s="139" t="s">
        <v>187</v>
      </c>
      <c r="P140" s="139">
        <v>223</v>
      </c>
      <c r="Q140" s="139" t="str">
        <f>VLOOKUP(P140,'Townwide Contributions'!$A$6:$B$358,2,0)</f>
        <v>Orange</v>
      </c>
      <c r="R140" s="139" t="s">
        <v>471</v>
      </c>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139" customFormat="1">
      <c r="A141" s="140">
        <v>378</v>
      </c>
      <c r="B141" s="140"/>
      <c r="C141" s="139" t="str">
        <f t="shared" si="2"/>
        <v>674 Gill Montague</v>
      </c>
      <c r="D141" s="485">
        <v>674</v>
      </c>
      <c r="E141" s="486" t="s">
        <v>1057</v>
      </c>
      <c r="F141" s="486">
        <v>674</v>
      </c>
      <c r="G141" s="486" t="s">
        <v>2027</v>
      </c>
      <c r="L141" s="139">
        <v>75503</v>
      </c>
      <c r="M141" s="139">
        <v>3</v>
      </c>
      <c r="N141" s="139">
        <v>755</v>
      </c>
      <c r="O141" s="139" t="s">
        <v>187</v>
      </c>
      <c r="P141" s="139">
        <v>234</v>
      </c>
      <c r="Q141" s="139" t="str">
        <f>VLOOKUP(P141,'Townwide Contributions'!$A$6:$B$358,2,0)</f>
        <v>Petersham</v>
      </c>
      <c r="R141" s="139" t="s">
        <v>486</v>
      </c>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139" customFormat="1">
      <c r="A142" s="140">
        <v>107</v>
      </c>
      <c r="B142" s="140"/>
      <c r="C142" s="139" t="str">
        <f t="shared" si="2"/>
        <v>107 Gloucester</v>
      </c>
      <c r="D142" s="485">
        <v>107</v>
      </c>
      <c r="E142" s="486" t="s">
        <v>788</v>
      </c>
      <c r="F142" s="486">
        <v>107</v>
      </c>
      <c r="G142" s="486" t="s">
        <v>1757</v>
      </c>
      <c r="L142" s="139">
        <v>75504</v>
      </c>
      <c r="M142" s="139">
        <v>4</v>
      </c>
      <c r="N142" s="139">
        <v>755</v>
      </c>
      <c r="O142" s="139" t="s">
        <v>187</v>
      </c>
      <c r="P142" s="139">
        <v>319</v>
      </c>
      <c r="Q142" s="139" t="str">
        <f>VLOOKUP(P142,'Townwide Contributions'!$A$6:$B$358,2,0)</f>
        <v>Wendell</v>
      </c>
      <c r="R142" s="139" t="s">
        <v>564</v>
      </c>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139" customFormat="1">
      <c r="A143" s="140">
        <v>108</v>
      </c>
      <c r="B143" s="140"/>
      <c r="C143" s="139" t="str">
        <f t="shared" si="2"/>
        <v>108 Goshen</v>
      </c>
      <c r="D143" s="485">
        <v>108</v>
      </c>
      <c r="E143" s="486" t="s">
        <v>789</v>
      </c>
      <c r="F143" s="486">
        <v>108</v>
      </c>
      <c r="G143" s="486" t="s">
        <v>1758</v>
      </c>
      <c r="L143" s="139">
        <v>76001</v>
      </c>
      <c r="M143" s="139">
        <v>1</v>
      </c>
      <c r="N143" s="139">
        <v>760</v>
      </c>
      <c r="O143" s="139" t="s">
        <v>188</v>
      </c>
      <c r="P143" s="139">
        <v>118</v>
      </c>
      <c r="Q143" s="139" t="str">
        <f>VLOOKUP(P143,'Townwide Contributions'!$A$6:$B$358,2,0)</f>
        <v>Halifax</v>
      </c>
      <c r="R143" s="139" t="s">
        <v>345</v>
      </c>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139" customFormat="1">
      <c r="A144" s="140">
        <v>109</v>
      </c>
      <c r="B144" s="140"/>
      <c r="C144" s="139" t="str">
        <f t="shared" si="2"/>
        <v>109 Gosnold</v>
      </c>
      <c r="D144" s="485">
        <v>109</v>
      </c>
      <c r="E144" s="486" t="s">
        <v>790</v>
      </c>
      <c r="F144" s="486">
        <v>109</v>
      </c>
      <c r="G144" s="486" t="s">
        <v>1759</v>
      </c>
      <c r="L144" s="139">
        <v>76002</v>
      </c>
      <c r="M144" s="139">
        <v>2</v>
      </c>
      <c r="N144" s="139">
        <v>760</v>
      </c>
      <c r="O144" s="139" t="s">
        <v>188</v>
      </c>
      <c r="P144" s="139">
        <v>145</v>
      </c>
      <c r="Q144" s="139" t="str">
        <f>VLOOKUP(P144,'Townwide Contributions'!$A$6:$B$358,2,0)</f>
        <v>Kingston</v>
      </c>
      <c r="R144" s="139" t="s">
        <v>372</v>
      </c>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139" customFormat="1">
      <c r="A145" s="140">
        <v>110</v>
      </c>
      <c r="B145" s="140"/>
      <c r="C145" s="139" t="str">
        <f t="shared" si="2"/>
        <v>110 Grafton</v>
      </c>
      <c r="D145" s="485">
        <v>110</v>
      </c>
      <c r="E145" s="486" t="s">
        <v>791</v>
      </c>
      <c r="F145" s="486">
        <v>110</v>
      </c>
      <c r="G145" s="486" t="s">
        <v>1760</v>
      </c>
      <c r="L145" s="139">
        <v>76003</v>
      </c>
      <c r="M145" s="139">
        <v>3</v>
      </c>
      <c r="N145" s="139">
        <v>760</v>
      </c>
      <c r="O145" s="139" t="s">
        <v>188</v>
      </c>
      <c r="P145" s="139">
        <v>240</v>
      </c>
      <c r="Q145" s="139" t="str">
        <f>VLOOKUP(P145,'Townwide Contributions'!$A$6:$B$358,2,0)</f>
        <v>Plympton</v>
      </c>
      <c r="R145" s="139" t="s">
        <v>491</v>
      </c>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139" customFormat="1">
      <c r="A146" s="140">
        <v>111</v>
      </c>
      <c r="B146" s="140"/>
      <c r="C146" s="139" t="str">
        <f t="shared" si="2"/>
        <v>111 Granby</v>
      </c>
      <c r="D146" s="485">
        <v>111</v>
      </c>
      <c r="E146" s="486" t="s">
        <v>792</v>
      </c>
      <c r="F146" s="486">
        <v>111</v>
      </c>
      <c r="G146" s="486" t="s">
        <v>1761</v>
      </c>
      <c r="L146" s="139">
        <v>76301</v>
      </c>
      <c r="M146" s="139">
        <v>1</v>
      </c>
      <c r="N146" s="139">
        <v>763</v>
      </c>
      <c r="O146" s="139" t="s">
        <v>237</v>
      </c>
      <c r="P146" s="139">
        <v>27</v>
      </c>
      <c r="Q146" s="139" t="str">
        <f>VLOOKUP(P146,'Townwide Contributions'!$A$6:$B$358,2,0)</f>
        <v>Berkley</v>
      </c>
      <c r="R146" s="139" t="s">
        <v>38</v>
      </c>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139" customFormat="1">
      <c r="A147" s="140">
        <v>112</v>
      </c>
      <c r="B147" s="140"/>
      <c r="C147" s="139" t="str">
        <f t="shared" si="2"/>
        <v>112 Granville</v>
      </c>
      <c r="D147" s="485">
        <v>112</v>
      </c>
      <c r="E147" s="486" t="s">
        <v>793</v>
      </c>
      <c r="F147" s="486">
        <v>112</v>
      </c>
      <c r="G147" s="486" t="s">
        <v>1762</v>
      </c>
      <c r="L147" s="139">
        <v>76302</v>
      </c>
      <c r="M147" s="139">
        <v>2</v>
      </c>
      <c r="N147" s="139">
        <v>763</v>
      </c>
      <c r="O147" s="139" t="s">
        <v>237</v>
      </c>
      <c r="P147" s="139">
        <v>273</v>
      </c>
      <c r="Q147" s="139" t="str">
        <f>VLOOKUP(P147,'Townwide Contributions'!$A$6:$B$358,2,0)</f>
        <v>Somerset</v>
      </c>
      <c r="R147" s="139" t="s">
        <v>521</v>
      </c>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139" customFormat="1">
      <c r="A148" s="140">
        <v>113</v>
      </c>
      <c r="B148" s="140"/>
      <c r="C148" s="139" t="str">
        <f t="shared" si="2"/>
        <v>113 Great Barrington</v>
      </c>
      <c r="D148" s="485">
        <v>113</v>
      </c>
      <c r="E148" s="486" t="s">
        <v>794</v>
      </c>
      <c r="F148" s="486">
        <v>113</v>
      </c>
      <c r="G148" s="486" t="s">
        <v>1763</v>
      </c>
      <c r="L148" s="139">
        <v>76501</v>
      </c>
      <c r="M148" s="139">
        <v>1</v>
      </c>
      <c r="N148" s="139">
        <v>765</v>
      </c>
      <c r="O148" s="139" t="s">
        <v>189</v>
      </c>
      <c r="P148" s="139">
        <v>6</v>
      </c>
      <c r="Q148" s="139" t="str">
        <f>VLOOKUP(P148,'Townwide Contributions'!$A$6:$B$358,2,0)</f>
        <v>Alford</v>
      </c>
      <c r="R148" s="139" t="s">
        <v>629</v>
      </c>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139" customFormat="1">
      <c r="A149" s="140">
        <v>420</v>
      </c>
      <c r="B149" s="140"/>
      <c r="C149" s="139" t="str">
        <f t="shared" si="2"/>
        <v>821 Greater Fall River</v>
      </c>
      <c r="D149" s="485">
        <v>821</v>
      </c>
      <c r="E149" s="486" t="s">
        <v>1099</v>
      </c>
      <c r="F149" s="486">
        <v>821</v>
      </c>
      <c r="G149" s="486" t="s">
        <v>2069</v>
      </c>
      <c r="L149" s="139">
        <v>76502</v>
      </c>
      <c r="M149" s="139">
        <v>2</v>
      </c>
      <c r="N149" s="139">
        <v>765</v>
      </c>
      <c r="O149" s="139" t="s">
        <v>189</v>
      </c>
      <c r="P149" s="139">
        <v>90</v>
      </c>
      <c r="Q149" s="139" t="str">
        <f>VLOOKUP(P149,'Townwide Contributions'!$A$6:$B$358,2,0)</f>
        <v>Egremont</v>
      </c>
      <c r="R149" s="139" t="s">
        <v>314</v>
      </c>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s="139" customFormat="1">
      <c r="A150" s="140">
        <v>421</v>
      </c>
      <c r="B150" s="140"/>
      <c r="C150" s="139" t="str">
        <f t="shared" si="2"/>
        <v>823 Greater Lawrence</v>
      </c>
      <c r="D150" s="485">
        <v>823</v>
      </c>
      <c r="E150" s="486" t="s">
        <v>1100</v>
      </c>
      <c r="F150" s="486">
        <v>823</v>
      </c>
      <c r="G150" s="486" t="s">
        <v>2070</v>
      </c>
      <c r="L150" s="139">
        <v>76503</v>
      </c>
      <c r="M150" s="139">
        <v>3</v>
      </c>
      <c r="N150" s="139">
        <v>765</v>
      </c>
      <c r="O150" s="139" t="s">
        <v>189</v>
      </c>
      <c r="P150" s="139">
        <v>193</v>
      </c>
      <c r="Q150" s="139" t="str">
        <f>VLOOKUP(P150,'Townwide Contributions'!$A$6:$B$358,2,0)</f>
        <v>Monterey</v>
      </c>
      <c r="R150" s="139" t="s">
        <v>435</v>
      </c>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139" customFormat="1">
      <c r="A151" s="140">
        <v>423</v>
      </c>
      <c r="B151" s="140"/>
      <c r="C151" s="139" t="str">
        <f t="shared" si="2"/>
        <v>828 Greater Lowell</v>
      </c>
      <c r="D151" s="485">
        <v>828</v>
      </c>
      <c r="E151" s="486" t="s">
        <v>1102</v>
      </c>
      <c r="F151" s="486">
        <v>828</v>
      </c>
      <c r="G151" s="486" t="s">
        <v>2072</v>
      </c>
      <c r="L151" s="139">
        <v>76504</v>
      </c>
      <c r="M151" s="139">
        <v>4</v>
      </c>
      <c r="N151" s="139">
        <v>765</v>
      </c>
      <c r="O151" s="139" t="s">
        <v>189</v>
      </c>
      <c r="P151" s="139">
        <v>205</v>
      </c>
      <c r="Q151" s="139" t="str">
        <f>VLOOKUP(P151,'Townwide Contributions'!$A$6:$B$358,2,0)</f>
        <v>New Marlborough</v>
      </c>
      <c r="R151" s="139" t="s">
        <v>446</v>
      </c>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139" customFormat="1">
      <c r="A152" s="140">
        <v>422</v>
      </c>
      <c r="B152" s="140"/>
      <c r="C152" s="139" t="str">
        <f t="shared" si="2"/>
        <v>825 Greater New Bedford</v>
      </c>
      <c r="D152" s="485">
        <v>825</v>
      </c>
      <c r="E152" s="486" t="s">
        <v>1101</v>
      </c>
      <c r="F152" s="486">
        <v>825</v>
      </c>
      <c r="G152" s="486" t="s">
        <v>2071</v>
      </c>
      <c r="L152" s="139">
        <v>76505</v>
      </c>
      <c r="M152" s="139">
        <v>5</v>
      </c>
      <c r="N152" s="139">
        <v>765</v>
      </c>
      <c r="O152" s="139" t="s">
        <v>189</v>
      </c>
      <c r="P152" s="139">
        <v>267</v>
      </c>
      <c r="Q152" s="139" t="str">
        <f>VLOOKUP(P152,'Townwide Contributions'!$A$6:$B$358,2,0)</f>
        <v>Sheffield</v>
      </c>
      <c r="R152" s="139" t="s">
        <v>516</v>
      </c>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139" customFormat="1">
      <c r="A153" s="140">
        <v>114</v>
      </c>
      <c r="B153" s="140"/>
      <c r="C153" s="139" t="str">
        <f t="shared" si="2"/>
        <v>114 Greenfield</v>
      </c>
      <c r="D153" s="485">
        <v>114</v>
      </c>
      <c r="E153" s="486" t="s">
        <v>795</v>
      </c>
      <c r="F153" s="486">
        <v>114</v>
      </c>
      <c r="G153" s="486" t="s">
        <v>1764</v>
      </c>
      <c r="L153" s="139">
        <v>76601</v>
      </c>
      <c r="M153" s="139">
        <v>1</v>
      </c>
      <c r="N153" s="139">
        <v>766</v>
      </c>
      <c r="O153" s="139" t="s">
        <v>80</v>
      </c>
      <c r="P153" s="139">
        <v>112</v>
      </c>
      <c r="Q153" s="139" t="str">
        <f>VLOOKUP(P153,'Townwide Contributions'!$A$6:$B$358,2,0)</f>
        <v>Granville</v>
      </c>
      <c r="R153" s="139" t="s">
        <v>338</v>
      </c>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139" customFormat="1">
      <c r="A154" s="140">
        <v>115</v>
      </c>
      <c r="B154" s="140"/>
      <c r="C154" s="139" t="str">
        <f t="shared" si="2"/>
        <v>115 Groton</v>
      </c>
      <c r="D154" s="485">
        <v>115</v>
      </c>
      <c r="E154" s="486" t="s">
        <v>796</v>
      </c>
      <c r="F154" s="486">
        <v>115</v>
      </c>
      <c r="G154" s="486" t="s">
        <v>1765</v>
      </c>
      <c r="L154" s="139">
        <v>76602</v>
      </c>
      <c r="M154" s="139">
        <v>2</v>
      </c>
      <c r="N154" s="139">
        <v>766</v>
      </c>
      <c r="O154" s="139" t="s">
        <v>80</v>
      </c>
      <c r="P154" s="139">
        <v>279</v>
      </c>
      <c r="Q154" s="139" t="str">
        <f>VLOOKUP(P154,'Townwide Contributions'!$A$6:$B$358,2,0)</f>
        <v>Southwick</v>
      </c>
      <c r="R154" s="139" t="s">
        <v>527</v>
      </c>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139" customFormat="1">
      <c r="A155" s="140">
        <v>377</v>
      </c>
      <c r="B155" s="140"/>
      <c r="C155" s="139" t="str">
        <f t="shared" si="2"/>
        <v>673 Groton Dunstable</v>
      </c>
      <c r="D155" s="485">
        <v>673</v>
      </c>
      <c r="E155" s="486" t="s">
        <v>1056</v>
      </c>
      <c r="F155" s="486">
        <v>673</v>
      </c>
      <c r="G155" s="486" t="s">
        <v>2026</v>
      </c>
      <c r="L155" s="139">
        <v>76603</v>
      </c>
      <c r="M155" s="139">
        <v>3</v>
      </c>
      <c r="N155" s="139">
        <v>766</v>
      </c>
      <c r="O155" s="139" t="s">
        <v>80</v>
      </c>
      <c r="P155" s="139">
        <v>297</v>
      </c>
      <c r="Q155" s="139" t="str">
        <f>VLOOKUP(P155,'Townwide Contributions'!$A$6:$B$358,2,0)</f>
        <v>Tolland</v>
      </c>
      <c r="R155" s="139" t="s">
        <v>545</v>
      </c>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s="139" customFormat="1">
      <c r="A156" s="140">
        <v>116</v>
      </c>
      <c r="B156" s="140"/>
      <c r="C156" s="139" t="str">
        <f t="shared" si="2"/>
        <v>116 Groveland</v>
      </c>
      <c r="D156" s="485">
        <v>116</v>
      </c>
      <c r="E156" s="486" t="s">
        <v>797</v>
      </c>
      <c r="F156" s="486">
        <v>116</v>
      </c>
      <c r="G156" s="486" t="s">
        <v>1766</v>
      </c>
      <c r="L156" s="139">
        <v>76701</v>
      </c>
      <c r="M156" s="139">
        <v>1</v>
      </c>
      <c r="N156" s="139">
        <v>767</v>
      </c>
      <c r="O156" s="139" t="s">
        <v>190</v>
      </c>
      <c r="P156" s="139">
        <v>84</v>
      </c>
      <c r="Q156" s="139" t="str">
        <f>VLOOKUP(P156,'Townwide Contributions'!$A$6:$B$358,2,0)</f>
        <v>East Brookfield</v>
      </c>
      <c r="R156" s="139" t="s">
        <v>308</v>
      </c>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s="139" customFormat="1">
      <c r="A157" s="140">
        <v>117</v>
      </c>
      <c r="B157" s="140"/>
      <c r="C157" s="139" t="str">
        <f t="shared" si="2"/>
        <v>117 Hadley</v>
      </c>
      <c r="D157" s="485">
        <v>117</v>
      </c>
      <c r="E157" s="486" t="s">
        <v>798</v>
      </c>
      <c r="F157" s="486">
        <v>117</v>
      </c>
      <c r="G157" s="486" t="s">
        <v>1767</v>
      </c>
      <c r="L157" s="139">
        <v>76702</v>
      </c>
      <c r="M157" s="139">
        <v>2</v>
      </c>
      <c r="N157" s="139">
        <v>767</v>
      </c>
      <c r="O157" s="139" t="s">
        <v>190</v>
      </c>
      <c r="P157" s="139">
        <v>280</v>
      </c>
      <c r="Q157" s="139" t="str">
        <f>VLOOKUP(P157,'Townwide Contributions'!$A$6:$B$358,2,0)</f>
        <v>Spencer</v>
      </c>
      <c r="R157" s="139" t="s">
        <v>529</v>
      </c>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139" customFormat="1">
      <c r="A158" s="140">
        <v>118</v>
      </c>
      <c r="B158" s="140"/>
      <c r="C158" s="139" t="str">
        <f t="shared" si="2"/>
        <v>118 Halifax</v>
      </c>
      <c r="D158" s="485">
        <v>118</v>
      </c>
      <c r="E158" s="486" t="s">
        <v>799</v>
      </c>
      <c r="F158" s="486">
        <v>118</v>
      </c>
      <c r="G158" s="486" t="s">
        <v>1768</v>
      </c>
      <c r="L158" s="139">
        <v>77001</v>
      </c>
      <c r="M158" s="139">
        <v>1</v>
      </c>
      <c r="N158" s="139">
        <v>770</v>
      </c>
      <c r="O158" s="139" t="s">
        <v>191</v>
      </c>
      <c r="P158" s="139">
        <v>43</v>
      </c>
      <c r="Q158" s="139" t="str">
        <f>VLOOKUP(P158,'Townwide Contributions'!$A$6:$B$358,2,0)</f>
        <v>Brimfield</v>
      </c>
      <c r="R158" s="139" t="s">
        <v>248</v>
      </c>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139" customFormat="1">
      <c r="A159" s="140">
        <v>119</v>
      </c>
      <c r="B159" s="140"/>
      <c r="C159" s="139" t="str">
        <f t="shared" si="2"/>
        <v>119 Hamilton</v>
      </c>
      <c r="D159" s="485">
        <v>119</v>
      </c>
      <c r="E159" s="486" t="s">
        <v>800</v>
      </c>
      <c r="F159" s="486">
        <v>119</v>
      </c>
      <c r="G159" s="486" t="s">
        <v>1769</v>
      </c>
      <c r="L159" s="139">
        <v>77002</v>
      </c>
      <c r="M159" s="139">
        <v>2</v>
      </c>
      <c r="N159" s="139">
        <v>770</v>
      </c>
      <c r="O159" s="139" t="s">
        <v>191</v>
      </c>
      <c r="P159" s="139">
        <v>45</v>
      </c>
      <c r="Q159" s="139" t="str">
        <f>VLOOKUP(P159,'Townwide Contributions'!$A$6:$B$358,2,0)</f>
        <v>Brookfield</v>
      </c>
      <c r="R159" s="139" t="s">
        <v>252</v>
      </c>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139" customFormat="1">
      <c r="A160" s="140">
        <v>379</v>
      </c>
      <c r="B160" s="140"/>
      <c r="C160" s="139" t="str">
        <f t="shared" si="2"/>
        <v>675 Hamilton Wenham</v>
      </c>
      <c r="D160" s="485">
        <v>675</v>
      </c>
      <c r="E160" s="486" t="s">
        <v>1058</v>
      </c>
      <c r="F160" s="486">
        <v>675</v>
      </c>
      <c r="G160" s="486" t="s">
        <v>2028</v>
      </c>
      <c r="L160" s="139">
        <v>77003</v>
      </c>
      <c r="M160" s="139">
        <v>3</v>
      </c>
      <c r="N160" s="139">
        <v>770</v>
      </c>
      <c r="O160" s="139" t="s">
        <v>191</v>
      </c>
      <c r="P160" s="139">
        <v>135</v>
      </c>
      <c r="Q160" s="139" t="str">
        <f>VLOOKUP(P160,'Townwide Contributions'!$A$6:$B$358,2,0)</f>
        <v>Holland</v>
      </c>
      <c r="R160" s="139" t="s">
        <v>364</v>
      </c>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139" customFormat="1">
      <c r="A161" s="140">
        <v>120</v>
      </c>
      <c r="B161" s="140"/>
      <c r="C161" s="139" t="str">
        <f t="shared" si="2"/>
        <v>120 Hampden</v>
      </c>
      <c r="D161" s="485">
        <v>120</v>
      </c>
      <c r="E161" s="486" t="s">
        <v>801</v>
      </c>
      <c r="F161" s="486">
        <v>120</v>
      </c>
      <c r="G161" s="486" t="s">
        <v>1770</v>
      </c>
      <c r="L161" s="139">
        <v>77004</v>
      </c>
      <c r="M161" s="139">
        <v>4</v>
      </c>
      <c r="N161" s="139">
        <v>770</v>
      </c>
      <c r="O161" s="139" t="s">
        <v>191</v>
      </c>
      <c r="P161" s="139">
        <v>287</v>
      </c>
      <c r="Q161" s="139" t="str">
        <f>VLOOKUP(P161,'Townwide Contributions'!$A$6:$B$358,2,0)</f>
        <v>Sturbridge</v>
      </c>
      <c r="R161" s="139" t="s">
        <v>535</v>
      </c>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139" customFormat="1">
      <c r="A162" s="140">
        <v>380</v>
      </c>
      <c r="B162" s="140"/>
      <c r="C162" s="139" t="str">
        <f t="shared" si="2"/>
        <v>680 Hampden Wilbraham</v>
      </c>
      <c r="D162" s="485">
        <v>680</v>
      </c>
      <c r="E162" s="486" t="s">
        <v>1059</v>
      </c>
      <c r="F162" s="486">
        <v>680</v>
      </c>
      <c r="G162" s="486" t="s">
        <v>2029</v>
      </c>
      <c r="L162" s="139">
        <v>77005</v>
      </c>
      <c r="M162" s="139">
        <v>5</v>
      </c>
      <c r="N162" s="139">
        <v>770</v>
      </c>
      <c r="O162" s="139" t="s">
        <v>191</v>
      </c>
      <c r="P162" s="139">
        <v>306</v>
      </c>
      <c r="Q162" s="139" t="str">
        <f>VLOOKUP(P162,'Townwide Contributions'!$A$6:$B$358,2,0)</f>
        <v>Wales</v>
      </c>
      <c r="R162" s="139" t="s">
        <v>553</v>
      </c>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139" customFormat="1">
      <c r="A163" s="140">
        <v>381</v>
      </c>
      <c r="B163" s="140"/>
      <c r="C163" s="139" t="str">
        <f t="shared" si="2"/>
        <v>683 Hampshire</v>
      </c>
      <c r="D163" s="485">
        <v>683</v>
      </c>
      <c r="E163" s="486" t="s">
        <v>1060</v>
      </c>
      <c r="F163" s="486">
        <v>683</v>
      </c>
      <c r="G163" s="486" t="s">
        <v>2030</v>
      </c>
      <c r="L163" s="139">
        <v>77301</v>
      </c>
      <c r="M163" s="139">
        <v>1</v>
      </c>
      <c r="N163" s="139">
        <v>773</v>
      </c>
      <c r="O163" s="139" t="s">
        <v>192</v>
      </c>
      <c r="P163" s="139">
        <v>203</v>
      </c>
      <c r="Q163" s="139" t="str">
        <f>VLOOKUP(P163,'Townwide Contributions'!$A$6:$B$358,2,0)</f>
        <v>Newbury</v>
      </c>
      <c r="R163" s="139" t="s">
        <v>443</v>
      </c>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139" customFormat="1">
      <c r="A164" s="140">
        <v>121</v>
      </c>
      <c r="B164" s="140"/>
      <c r="C164" s="139" t="str">
        <f t="shared" si="2"/>
        <v>121 Hancock</v>
      </c>
      <c r="D164" s="485">
        <v>121</v>
      </c>
      <c r="E164" s="486" t="s">
        <v>802</v>
      </c>
      <c r="F164" s="486">
        <v>121</v>
      </c>
      <c r="G164" s="486" t="s">
        <v>1771</v>
      </c>
      <c r="L164" s="139">
        <v>77302</v>
      </c>
      <c r="M164" s="139">
        <v>2</v>
      </c>
      <c r="N164" s="139">
        <v>773</v>
      </c>
      <c r="O164" s="139" t="s">
        <v>192</v>
      </c>
      <c r="P164" s="139">
        <v>254</v>
      </c>
      <c r="Q164" s="139" t="str">
        <f>VLOOKUP(P164,'Townwide Contributions'!$A$6:$B$358,2,0)</f>
        <v>Rowley</v>
      </c>
      <c r="R164" s="139" t="s">
        <v>503</v>
      </c>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s="139" customFormat="1">
      <c r="A165" s="140">
        <v>122</v>
      </c>
      <c r="B165" s="140"/>
      <c r="C165" s="139" t="str">
        <f t="shared" si="2"/>
        <v>122 Hanover</v>
      </c>
      <c r="D165" s="485">
        <v>122</v>
      </c>
      <c r="E165" s="486" t="s">
        <v>803</v>
      </c>
      <c r="F165" s="486">
        <v>122</v>
      </c>
      <c r="G165" s="486" t="s">
        <v>1772</v>
      </c>
      <c r="L165" s="139">
        <v>77303</v>
      </c>
      <c r="M165" s="139">
        <v>3</v>
      </c>
      <c r="N165" s="139">
        <v>773</v>
      </c>
      <c r="O165" s="139" t="s">
        <v>192</v>
      </c>
      <c r="P165" s="139">
        <v>259</v>
      </c>
      <c r="Q165" s="139" t="str">
        <f>VLOOKUP(P165,'Townwide Contributions'!$A$6:$B$358,2,0)</f>
        <v>Salisbury</v>
      </c>
      <c r="R165" s="139" t="s">
        <v>508</v>
      </c>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1:91" s="139" customFormat="1">
      <c r="A166" s="140">
        <v>123</v>
      </c>
      <c r="B166" s="140"/>
      <c r="C166" s="139" t="str">
        <f t="shared" si="2"/>
        <v>123 Hanson</v>
      </c>
      <c r="D166" s="485">
        <v>123</v>
      </c>
      <c r="E166" s="486" t="s">
        <v>804</v>
      </c>
      <c r="F166" s="486">
        <v>123</v>
      </c>
      <c r="G166" s="486" t="s">
        <v>1773</v>
      </c>
      <c r="L166" s="139">
        <v>77401</v>
      </c>
      <c r="M166" s="139">
        <v>1</v>
      </c>
      <c r="N166" s="139">
        <v>774</v>
      </c>
      <c r="O166" s="139" t="s">
        <v>276</v>
      </c>
      <c r="P166" s="139">
        <v>62</v>
      </c>
      <c r="Q166" s="139" t="str">
        <f>VLOOKUP(P166,'Townwide Contributions'!$A$6:$B$358,2,0)</f>
        <v>Chilmark</v>
      </c>
      <c r="R166" s="139" t="s">
        <v>274</v>
      </c>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139" customFormat="1">
      <c r="A167" s="140">
        <v>124</v>
      </c>
      <c r="B167" s="140"/>
      <c r="C167" s="139" t="str">
        <f t="shared" si="2"/>
        <v>124 Hardwick</v>
      </c>
      <c r="D167" s="485">
        <v>124</v>
      </c>
      <c r="E167" s="486" t="s">
        <v>805</v>
      </c>
      <c r="F167" s="486">
        <v>124</v>
      </c>
      <c r="G167" s="486" t="s">
        <v>1774</v>
      </c>
      <c r="L167" s="139">
        <v>77402</v>
      </c>
      <c r="M167" s="139">
        <v>2</v>
      </c>
      <c r="N167" s="139">
        <v>774</v>
      </c>
      <c r="O167" s="139" t="s">
        <v>276</v>
      </c>
      <c r="P167" s="139">
        <v>104</v>
      </c>
      <c r="Q167" s="139" t="str">
        <f>VLOOKUP(P167,'Townwide Contributions'!$A$6:$B$358,2,0)</f>
        <v>Aquinnah</v>
      </c>
      <c r="R167" s="139" t="s">
        <v>592</v>
      </c>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139" customFormat="1">
      <c r="A168" s="140">
        <v>125</v>
      </c>
      <c r="B168" s="140"/>
      <c r="C168" s="139" t="str">
        <f t="shared" si="2"/>
        <v>125 Harvard</v>
      </c>
      <c r="D168" s="485">
        <v>125</v>
      </c>
      <c r="E168" s="486" t="s">
        <v>806</v>
      </c>
      <c r="F168" s="486">
        <v>125</v>
      </c>
      <c r="G168" s="486" t="s">
        <v>1775</v>
      </c>
      <c r="L168" s="139">
        <v>77403</v>
      </c>
      <c r="M168" s="139">
        <v>3</v>
      </c>
      <c r="N168" s="139">
        <v>774</v>
      </c>
      <c r="O168" s="139" t="s">
        <v>276</v>
      </c>
      <c r="P168" s="139">
        <v>334</v>
      </c>
      <c r="Q168" s="139" t="str">
        <f>VLOOKUP(P168,'Townwide Contributions'!$A$6:$B$358,2,0)</f>
        <v>West Tisbury</v>
      </c>
      <c r="R168" s="139" t="s">
        <v>575</v>
      </c>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139" customFormat="1">
      <c r="A169" s="140">
        <v>126</v>
      </c>
      <c r="B169" s="140"/>
      <c r="C169" s="139" t="str">
        <f t="shared" si="2"/>
        <v>126 Harwich</v>
      </c>
      <c r="D169" s="485">
        <v>126</v>
      </c>
      <c r="E169" s="486" t="s">
        <v>807</v>
      </c>
      <c r="F169" s="486">
        <v>126</v>
      </c>
      <c r="G169" s="486" t="s">
        <v>1776</v>
      </c>
      <c r="L169" s="139">
        <v>77501</v>
      </c>
      <c r="M169" s="139">
        <v>1</v>
      </c>
      <c r="N169" s="139">
        <v>775</v>
      </c>
      <c r="O169" s="139" t="s">
        <v>193</v>
      </c>
      <c r="P169" s="139">
        <v>134</v>
      </c>
      <c r="Q169" s="139" t="str">
        <f>VLOOKUP(P169,'Townwide Contributions'!$A$6:$B$358,2,0)</f>
        <v>Holden</v>
      </c>
      <c r="R169" s="139" t="s">
        <v>362</v>
      </c>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139" customFormat="1">
      <c r="A170" s="140">
        <v>127</v>
      </c>
      <c r="B170" s="140"/>
      <c r="C170" s="139" t="str">
        <f t="shared" si="2"/>
        <v>127 Hatfield</v>
      </c>
      <c r="D170" s="485">
        <v>127</v>
      </c>
      <c r="E170" s="486" t="s">
        <v>808</v>
      </c>
      <c r="F170" s="486">
        <v>127</v>
      </c>
      <c r="G170" s="486" t="s">
        <v>1777</v>
      </c>
      <c r="L170" s="139">
        <v>77502</v>
      </c>
      <c r="M170" s="139">
        <v>2</v>
      </c>
      <c r="N170" s="139">
        <v>775</v>
      </c>
      <c r="O170" s="139" t="s">
        <v>193</v>
      </c>
      <c r="P170" s="139">
        <v>228</v>
      </c>
      <c r="Q170" s="139" t="str">
        <f>VLOOKUP(P170,'Townwide Contributions'!$A$6:$B$358,2,0)</f>
        <v>Paxton</v>
      </c>
      <c r="R170" s="139" t="s">
        <v>478</v>
      </c>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139" customFormat="1">
      <c r="A171" s="140">
        <v>128</v>
      </c>
      <c r="B171" s="140"/>
      <c r="C171" s="139" t="str">
        <f t="shared" si="2"/>
        <v>128 Haverhill</v>
      </c>
      <c r="D171" s="485">
        <v>128</v>
      </c>
      <c r="E171" s="486" t="s">
        <v>809</v>
      </c>
      <c r="F171" s="486">
        <v>128</v>
      </c>
      <c r="G171" s="486" t="s">
        <v>1778</v>
      </c>
      <c r="L171" s="139">
        <v>77503</v>
      </c>
      <c r="M171" s="139">
        <v>3</v>
      </c>
      <c r="N171" s="139">
        <v>775</v>
      </c>
      <c r="O171" s="139" t="s">
        <v>193</v>
      </c>
      <c r="P171" s="139">
        <v>241</v>
      </c>
      <c r="Q171" s="139" t="str">
        <f>VLOOKUP(P171,'Townwide Contributions'!$A$6:$B$358,2,0)</f>
        <v>Princeton</v>
      </c>
      <c r="R171" s="139" t="s">
        <v>492</v>
      </c>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139" customFormat="1">
      <c r="A172" s="140">
        <v>382</v>
      </c>
      <c r="B172" s="140"/>
      <c r="C172" s="139" t="str">
        <f t="shared" si="2"/>
        <v>685 Hawlemont</v>
      </c>
      <c r="D172" s="485">
        <v>685</v>
      </c>
      <c r="E172" s="486" t="s">
        <v>1061</v>
      </c>
      <c r="F172" s="486">
        <v>685</v>
      </c>
      <c r="G172" s="486" t="s">
        <v>2031</v>
      </c>
      <c r="L172" s="139">
        <v>77504</v>
      </c>
      <c r="M172" s="139">
        <v>4</v>
      </c>
      <c r="N172" s="139">
        <v>775</v>
      </c>
      <c r="O172" s="139" t="s">
        <v>193</v>
      </c>
      <c r="P172" s="139">
        <v>257</v>
      </c>
      <c r="Q172" s="139" t="str">
        <f>VLOOKUP(P172,'Townwide Contributions'!$A$6:$B$358,2,0)</f>
        <v>Rutland</v>
      </c>
      <c r="R172" s="139" t="s">
        <v>506</v>
      </c>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139" customFormat="1">
      <c r="A173" s="140">
        <v>129</v>
      </c>
      <c r="B173" s="140"/>
      <c r="C173" s="139" t="str">
        <f t="shared" si="2"/>
        <v>129 Hawley</v>
      </c>
      <c r="D173" s="485">
        <v>129</v>
      </c>
      <c r="E173" s="486" t="s">
        <v>810</v>
      </c>
      <c r="F173" s="486">
        <v>129</v>
      </c>
      <c r="G173" s="486" t="s">
        <v>1779</v>
      </c>
      <c r="L173" s="139">
        <v>77505</v>
      </c>
      <c r="M173" s="139">
        <v>5</v>
      </c>
      <c r="N173" s="139">
        <v>775</v>
      </c>
      <c r="O173" s="139" t="s">
        <v>193</v>
      </c>
      <c r="P173" s="139">
        <v>282</v>
      </c>
      <c r="Q173" s="139" t="str">
        <f>VLOOKUP(P173,'Townwide Contributions'!$A$6:$B$358,2,0)</f>
        <v>Sterling</v>
      </c>
      <c r="R173" s="139" t="s">
        <v>530</v>
      </c>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139" customFormat="1">
      <c r="A174" s="140">
        <v>130</v>
      </c>
      <c r="B174" s="140"/>
      <c r="C174" s="139" t="str">
        <f t="shared" si="2"/>
        <v>130 Heath</v>
      </c>
      <c r="D174" s="485">
        <v>130</v>
      </c>
      <c r="E174" s="486" t="s">
        <v>811</v>
      </c>
      <c r="F174" s="486">
        <v>130</v>
      </c>
      <c r="G174" s="486" t="s">
        <v>1780</v>
      </c>
      <c r="L174" s="139">
        <v>77801</v>
      </c>
      <c r="M174" s="139">
        <v>1</v>
      </c>
      <c r="N174" s="139">
        <v>778</v>
      </c>
      <c r="O174" s="139" t="s">
        <v>558</v>
      </c>
      <c r="P174" s="139">
        <v>311</v>
      </c>
      <c r="Q174" s="139" t="str">
        <f>VLOOKUP(P174,'Townwide Contributions'!$A$6:$B$358,2,0)</f>
        <v>Warren</v>
      </c>
      <c r="R174" s="139" t="s">
        <v>557</v>
      </c>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139" customFormat="1">
      <c r="A175" s="140">
        <v>131</v>
      </c>
      <c r="B175" s="140"/>
      <c r="C175" s="139" t="str">
        <f t="shared" si="2"/>
        <v>131 Hingham</v>
      </c>
      <c r="D175" s="485">
        <v>131</v>
      </c>
      <c r="E175" s="486" t="s">
        <v>812</v>
      </c>
      <c r="F175" s="486">
        <v>131</v>
      </c>
      <c r="G175" s="486" t="s">
        <v>1781</v>
      </c>
      <c r="L175" s="139">
        <v>77802</v>
      </c>
      <c r="M175" s="139">
        <v>2</v>
      </c>
      <c r="N175" s="139">
        <v>778</v>
      </c>
      <c r="O175" s="139" t="s">
        <v>558</v>
      </c>
      <c r="P175" s="139">
        <v>324</v>
      </c>
      <c r="Q175" s="139" t="str">
        <f>VLOOKUP(P175,'Townwide Contributions'!$A$6:$B$358,2,0)</f>
        <v>West Brookfield</v>
      </c>
      <c r="R175" s="139" t="s">
        <v>568</v>
      </c>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139" customFormat="1">
      <c r="A176" s="140">
        <v>132</v>
      </c>
      <c r="B176" s="140"/>
      <c r="C176" s="139" t="str">
        <f t="shared" si="2"/>
        <v>132 Hinsdale</v>
      </c>
      <c r="D176" s="485">
        <v>132</v>
      </c>
      <c r="E176" s="486" t="s">
        <v>813</v>
      </c>
      <c r="F176" s="486">
        <v>132</v>
      </c>
      <c r="G176" s="486" t="s">
        <v>1782</v>
      </c>
      <c r="L176" s="139">
        <v>78001</v>
      </c>
      <c r="M176" s="139">
        <v>1</v>
      </c>
      <c r="N176" s="139">
        <v>780</v>
      </c>
      <c r="O176" s="139" t="s">
        <v>194</v>
      </c>
      <c r="P176" s="139">
        <v>123</v>
      </c>
      <c r="Q176" s="139" t="str">
        <f>VLOOKUP(P176,'Townwide Contributions'!$A$6:$B$358,2,0)</f>
        <v>Hanson</v>
      </c>
      <c r="R176" s="139" t="s">
        <v>352</v>
      </c>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s="139" customFormat="1">
      <c r="A177" s="140">
        <v>133</v>
      </c>
      <c r="B177" s="140"/>
      <c r="C177" s="139" t="str">
        <f t="shared" si="2"/>
        <v>133 Holbrook</v>
      </c>
      <c r="D177" s="485">
        <v>133</v>
      </c>
      <c r="E177" s="486" t="s">
        <v>814</v>
      </c>
      <c r="F177" s="486">
        <v>133</v>
      </c>
      <c r="G177" s="486" t="s">
        <v>1783</v>
      </c>
      <c r="L177" s="139">
        <v>78002</v>
      </c>
      <c r="M177" s="139">
        <v>2</v>
      </c>
      <c r="N177" s="139">
        <v>780</v>
      </c>
      <c r="O177" s="139" t="s">
        <v>194</v>
      </c>
      <c r="P177" s="139">
        <v>338</v>
      </c>
      <c r="Q177" s="139" t="str">
        <f>VLOOKUP(P177,'Townwide Contributions'!$A$6:$B$358,2,0)</f>
        <v>Whitman</v>
      </c>
      <c r="R177" s="139" t="s">
        <v>579</v>
      </c>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1:91" s="139" customFormat="1">
      <c r="A178" s="140">
        <v>134</v>
      </c>
      <c r="B178" s="140"/>
      <c r="C178" s="139" t="str">
        <f t="shared" si="2"/>
        <v>134 Holden</v>
      </c>
      <c r="D178" s="485">
        <v>134</v>
      </c>
      <c r="E178" s="486" t="s">
        <v>815</v>
      </c>
      <c r="F178" s="486">
        <v>134</v>
      </c>
      <c r="G178" s="486" t="s">
        <v>1784</v>
      </c>
      <c r="L178" s="139">
        <v>80101</v>
      </c>
      <c r="M178" s="139">
        <v>1</v>
      </c>
      <c r="N178" s="139">
        <v>801</v>
      </c>
      <c r="O178" s="139" t="s">
        <v>195</v>
      </c>
      <c r="P178" s="139">
        <v>28</v>
      </c>
      <c r="Q178" s="139" t="str">
        <f>VLOOKUP(P178,'Townwide Contributions'!$A$6:$B$358,2,0)</f>
        <v>Berlin</v>
      </c>
      <c r="R178" s="139" t="s">
        <v>40</v>
      </c>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s="139" customFormat="1">
      <c r="A179" s="140">
        <v>135</v>
      </c>
      <c r="B179" s="140"/>
      <c r="C179" s="139" t="str">
        <f t="shared" si="2"/>
        <v>135 Holland</v>
      </c>
      <c r="D179" s="485">
        <v>135</v>
      </c>
      <c r="E179" s="486" t="s">
        <v>816</v>
      </c>
      <c r="F179" s="486">
        <v>135</v>
      </c>
      <c r="G179" s="486" t="s">
        <v>1785</v>
      </c>
      <c r="L179" s="139">
        <v>80102</v>
      </c>
      <c r="M179" s="139">
        <v>2</v>
      </c>
      <c r="N179" s="139">
        <v>801</v>
      </c>
      <c r="O179" s="139" t="s">
        <v>195</v>
      </c>
      <c r="P179" s="139">
        <v>141</v>
      </c>
      <c r="Q179" s="139" t="str">
        <f>VLOOKUP(P179,'Townwide Contributions'!$A$6:$B$358,2,0)</f>
        <v>Hudson</v>
      </c>
      <c r="R179" s="139" t="s">
        <v>369</v>
      </c>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s="139" customFormat="1">
      <c r="A180" s="140">
        <v>136</v>
      </c>
      <c r="B180" s="140"/>
      <c r="C180" s="139" t="str">
        <f t="shared" si="2"/>
        <v>136 Holliston</v>
      </c>
      <c r="D180" s="485">
        <v>136</v>
      </c>
      <c r="E180" s="486" t="s">
        <v>817</v>
      </c>
      <c r="F180" s="486">
        <v>136</v>
      </c>
      <c r="G180" s="486" t="s">
        <v>1786</v>
      </c>
      <c r="L180" s="139">
        <v>80103</v>
      </c>
      <c r="M180" s="139">
        <v>3</v>
      </c>
      <c r="N180" s="139">
        <v>801</v>
      </c>
      <c r="O180" s="139" t="s">
        <v>195</v>
      </c>
      <c r="P180" s="139">
        <v>170</v>
      </c>
      <c r="Q180" s="139" t="str">
        <f>VLOOKUP(P180,'Townwide Contributions'!$A$6:$B$358,2,0)</f>
        <v>Marlborough</v>
      </c>
      <c r="R180" s="139" t="s">
        <v>412</v>
      </c>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1:91" s="139" customFormat="1">
      <c r="A181" s="140">
        <v>137</v>
      </c>
      <c r="B181" s="140"/>
      <c r="C181" s="139" t="str">
        <f t="shared" si="2"/>
        <v>137 Holyoke</v>
      </c>
      <c r="D181" s="485">
        <v>137</v>
      </c>
      <c r="E181" s="486" t="s">
        <v>818</v>
      </c>
      <c r="F181" s="486">
        <v>137</v>
      </c>
      <c r="G181" s="486" t="s">
        <v>1787</v>
      </c>
      <c r="L181" s="139">
        <v>80104</v>
      </c>
      <c r="M181" s="139">
        <v>4</v>
      </c>
      <c r="N181" s="139">
        <v>801</v>
      </c>
      <c r="O181" s="139" t="s">
        <v>195</v>
      </c>
      <c r="P181" s="139">
        <v>174</v>
      </c>
      <c r="Q181" s="139" t="str">
        <f>VLOOKUP(P181,'Townwide Contributions'!$A$6:$B$358,2,0)</f>
        <v>Maynard</v>
      </c>
      <c r="R181" s="139" t="s">
        <v>415</v>
      </c>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spans="1:91" s="139" customFormat="1">
      <c r="A182" s="140">
        <v>356</v>
      </c>
      <c r="B182" s="140"/>
      <c r="C182" s="139" t="str">
        <f t="shared" si="2"/>
        <v>603 Hoosac Valley</v>
      </c>
      <c r="D182" s="485">
        <v>603</v>
      </c>
      <c r="E182" s="486" t="s">
        <v>2176</v>
      </c>
      <c r="F182" s="486">
        <v>603</v>
      </c>
      <c r="G182" s="486" t="s">
        <v>2005</v>
      </c>
      <c r="L182" s="139">
        <v>80105</v>
      </c>
      <c r="M182" s="139">
        <v>5</v>
      </c>
      <c r="N182" s="139">
        <v>801</v>
      </c>
      <c r="O182" s="139" t="s">
        <v>195</v>
      </c>
      <c r="P182" s="139">
        <v>213</v>
      </c>
      <c r="Q182" s="139" t="str">
        <f>VLOOKUP(P182,'Townwide Contributions'!$A$6:$B$358,2,0)</f>
        <v>Northborough</v>
      </c>
      <c r="R182" s="139" t="s">
        <v>458</v>
      </c>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s="139" customFormat="1">
      <c r="A183" s="140">
        <v>138</v>
      </c>
      <c r="B183" s="140"/>
      <c r="C183" s="139" t="str">
        <f t="shared" si="2"/>
        <v>138 Hopedale</v>
      </c>
      <c r="D183" s="485">
        <v>138</v>
      </c>
      <c r="E183" s="486" t="s">
        <v>819</v>
      </c>
      <c r="F183" s="486">
        <v>138</v>
      </c>
      <c r="G183" s="486" t="s">
        <v>1788</v>
      </c>
      <c r="L183" s="139">
        <v>80106</v>
      </c>
      <c r="M183" s="139">
        <v>6</v>
      </c>
      <c r="N183" s="139">
        <v>801</v>
      </c>
      <c r="O183" s="139" t="s">
        <v>195</v>
      </c>
      <c r="P183" s="139">
        <v>276</v>
      </c>
      <c r="Q183" s="139" t="str">
        <f>VLOOKUP(P183,'Townwide Contributions'!$A$6:$B$358,2,0)</f>
        <v>Southborough</v>
      </c>
      <c r="R183" s="139" t="s">
        <v>523</v>
      </c>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139" customFormat="1">
      <c r="A184" s="140">
        <v>139</v>
      </c>
      <c r="B184" s="140"/>
      <c r="C184" s="139" t="str">
        <f t="shared" si="2"/>
        <v>139 Hopkinton</v>
      </c>
      <c r="D184" s="485">
        <v>139</v>
      </c>
      <c r="E184" s="486" t="s">
        <v>820</v>
      </c>
      <c r="F184" s="486">
        <v>139</v>
      </c>
      <c r="G184" s="486" t="s">
        <v>1789</v>
      </c>
      <c r="L184" s="139">
        <v>80107</v>
      </c>
      <c r="M184" s="139">
        <v>7</v>
      </c>
      <c r="N184" s="139">
        <v>801</v>
      </c>
      <c r="O184" s="139" t="s">
        <v>195</v>
      </c>
      <c r="P184" s="139">
        <v>321</v>
      </c>
      <c r="Q184" s="139" t="str">
        <f>VLOOKUP(P184,'Townwide Contributions'!$A$6:$B$358,2,0)</f>
        <v>Westborough</v>
      </c>
      <c r="R184" s="139" t="s">
        <v>566</v>
      </c>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s="139" customFormat="1">
      <c r="A185" s="140">
        <v>140</v>
      </c>
      <c r="B185" s="140"/>
      <c r="C185" s="139" t="str">
        <f t="shared" si="2"/>
        <v>140 Hubbardston</v>
      </c>
      <c r="D185" s="485">
        <v>140</v>
      </c>
      <c r="E185" s="486" t="s">
        <v>821</v>
      </c>
      <c r="F185" s="486">
        <v>140</v>
      </c>
      <c r="G185" s="486" t="s">
        <v>1790</v>
      </c>
      <c r="L185" s="139">
        <v>80501</v>
      </c>
      <c r="M185" s="139">
        <v>1</v>
      </c>
      <c r="N185" s="139">
        <v>805</v>
      </c>
      <c r="O185" s="139" t="s">
        <v>196</v>
      </c>
      <c r="P185" s="139">
        <v>25</v>
      </c>
      <c r="Q185" s="139" t="str">
        <f>VLOOKUP(P185,'Townwide Contributions'!$A$6:$B$358,2,0)</f>
        <v>Bellingham</v>
      </c>
      <c r="R185" s="139" t="s">
        <v>36</v>
      </c>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s="139" customFormat="1">
      <c r="A186" s="140">
        <v>141</v>
      </c>
      <c r="B186" s="140"/>
      <c r="C186" s="139" t="str">
        <f t="shared" si="2"/>
        <v>141 Hudson</v>
      </c>
      <c r="D186" s="485">
        <v>141</v>
      </c>
      <c r="E186" s="486" t="s">
        <v>822</v>
      </c>
      <c r="F186" s="486">
        <v>141</v>
      </c>
      <c r="G186" s="486" t="s">
        <v>1791</v>
      </c>
      <c r="L186" s="139">
        <v>80502</v>
      </c>
      <c r="M186" s="139">
        <v>2</v>
      </c>
      <c r="N186" s="139">
        <v>805</v>
      </c>
      <c r="O186" s="139" t="s">
        <v>196</v>
      </c>
      <c r="P186" s="139">
        <v>32</v>
      </c>
      <c r="Q186" s="139" t="str">
        <f>VLOOKUP(P186,'Townwide Contributions'!$A$6:$B$358,2,0)</f>
        <v>Blackstone</v>
      </c>
      <c r="R186" s="139" t="s">
        <v>48</v>
      </c>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spans="1:91" s="139" customFormat="1">
      <c r="A187" s="140">
        <v>142</v>
      </c>
      <c r="B187" s="140"/>
      <c r="C187" s="139" t="str">
        <f t="shared" si="2"/>
        <v>142 Hull</v>
      </c>
      <c r="D187" s="485">
        <v>142</v>
      </c>
      <c r="E187" s="486" t="s">
        <v>823</v>
      </c>
      <c r="F187" s="486">
        <v>142</v>
      </c>
      <c r="G187" s="486" t="s">
        <v>1792</v>
      </c>
      <c r="L187" s="139">
        <v>80503</v>
      </c>
      <c r="M187" s="139">
        <v>3</v>
      </c>
      <c r="N187" s="139">
        <v>805</v>
      </c>
      <c r="O187" s="139" t="s">
        <v>196</v>
      </c>
      <c r="P187" s="139">
        <v>77</v>
      </c>
      <c r="Q187" s="139" t="str">
        <f>VLOOKUP(P187,'Townwide Contributions'!$A$6:$B$358,2,0)</f>
        <v>Douglas</v>
      </c>
      <c r="R187" s="139" t="s">
        <v>298</v>
      </c>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139" customFormat="1">
      <c r="A188" s="140">
        <v>143</v>
      </c>
      <c r="B188" s="140"/>
      <c r="C188" s="139" t="str">
        <f t="shared" si="2"/>
        <v>143 Huntington</v>
      </c>
      <c r="D188" s="485">
        <v>143</v>
      </c>
      <c r="E188" s="486" t="s">
        <v>824</v>
      </c>
      <c r="F188" s="486">
        <v>143</v>
      </c>
      <c r="G188" s="486" t="s">
        <v>1793</v>
      </c>
      <c r="L188" s="139">
        <v>80504</v>
      </c>
      <c r="M188" s="139">
        <v>4</v>
      </c>
      <c r="N188" s="139">
        <v>805</v>
      </c>
      <c r="O188" s="139" t="s">
        <v>196</v>
      </c>
      <c r="P188" s="139">
        <v>110</v>
      </c>
      <c r="Q188" s="139" t="str">
        <f>VLOOKUP(P188,'Townwide Contributions'!$A$6:$B$358,2,0)</f>
        <v>Grafton</v>
      </c>
      <c r="R188" s="139" t="s">
        <v>336</v>
      </c>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139" customFormat="1">
      <c r="A189" s="140">
        <v>144</v>
      </c>
      <c r="B189" s="140"/>
      <c r="C189" s="139" t="str">
        <f t="shared" si="2"/>
        <v>144 Ipswich</v>
      </c>
      <c r="D189" s="485">
        <v>144</v>
      </c>
      <c r="E189" s="486" t="s">
        <v>825</v>
      </c>
      <c r="F189" s="486">
        <v>144</v>
      </c>
      <c r="G189" s="486" t="s">
        <v>1794</v>
      </c>
      <c r="L189" s="139">
        <v>80505</v>
      </c>
      <c r="M189" s="139">
        <v>5</v>
      </c>
      <c r="N189" s="139">
        <v>805</v>
      </c>
      <c r="O189" s="139" t="s">
        <v>196</v>
      </c>
      <c r="P189" s="139">
        <v>138</v>
      </c>
      <c r="Q189" s="139" t="str">
        <f>VLOOKUP(P189,'Townwide Contributions'!$A$6:$B$358,2,0)</f>
        <v>Hopedale</v>
      </c>
      <c r="R189" s="139" t="s">
        <v>366</v>
      </c>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139" customFormat="1">
      <c r="A190" s="140">
        <v>383</v>
      </c>
      <c r="B190" s="140"/>
      <c r="C190" s="139" t="str">
        <f t="shared" si="2"/>
        <v>690 King Philip</v>
      </c>
      <c r="D190" s="485">
        <v>690</v>
      </c>
      <c r="E190" s="486" t="s">
        <v>1062</v>
      </c>
      <c r="F190" s="486">
        <v>690</v>
      </c>
      <c r="G190" s="486" t="s">
        <v>2032</v>
      </c>
      <c r="L190" s="139">
        <v>80506</v>
      </c>
      <c r="M190" s="139">
        <v>6</v>
      </c>
      <c r="N190" s="139">
        <v>805</v>
      </c>
      <c r="O190" s="139" t="s">
        <v>196</v>
      </c>
      <c r="P190" s="139">
        <v>179</v>
      </c>
      <c r="Q190" s="139" t="str">
        <f>VLOOKUP(P190,'Townwide Contributions'!$A$6:$B$358,2,0)</f>
        <v>Mendon</v>
      </c>
      <c r="R190" s="139" t="s">
        <v>420</v>
      </c>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s="139" customFormat="1">
      <c r="A191" s="140">
        <v>145</v>
      </c>
      <c r="B191" s="140"/>
      <c r="C191" s="139" t="str">
        <f t="shared" si="2"/>
        <v>145 Kingston</v>
      </c>
      <c r="D191" s="485">
        <v>145</v>
      </c>
      <c r="E191" s="486" t="s">
        <v>826</v>
      </c>
      <c r="F191" s="486">
        <v>145</v>
      </c>
      <c r="G191" s="486" t="s">
        <v>1795</v>
      </c>
      <c r="L191" s="139">
        <v>80507</v>
      </c>
      <c r="M191" s="139">
        <v>7</v>
      </c>
      <c r="N191" s="139">
        <v>805</v>
      </c>
      <c r="O191" s="139" t="s">
        <v>196</v>
      </c>
      <c r="P191" s="139">
        <v>185</v>
      </c>
      <c r="Q191" s="139" t="str">
        <f>VLOOKUP(P191,'Townwide Contributions'!$A$6:$B$358,2,0)</f>
        <v>Milford</v>
      </c>
      <c r="R191" s="139" t="s">
        <v>427</v>
      </c>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1:91" s="139" customFormat="1">
      <c r="A192" s="140">
        <v>146</v>
      </c>
      <c r="B192" s="140"/>
      <c r="C192" s="139" t="str">
        <f t="shared" si="2"/>
        <v>146 Lakeville</v>
      </c>
      <c r="D192" s="485">
        <v>146</v>
      </c>
      <c r="E192" s="486" t="s">
        <v>827</v>
      </c>
      <c r="F192" s="486">
        <v>146</v>
      </c>
      <c r="G192" s="486" t="s">
        <v>1796</v>
      </c>
      <c r="L192" s="139">
        <v>80508</v>
      </c>
      <c r="M192" s="139">
        <v>8</v>
      </c>
      <c r="N192" s="139">
        <v>805</v>
      </c>
      <c r="O192" s="139" t="s">
        <v>196</v>
      </c>
      <c r="P192" s="139">
        <v>186</v>
      </c>
      <c r="Q192" s="139" t="str">
        <f>VLOOKUP(P192,'Townwide Contributions'!$A$6:$B$358,2,0)</f>
        <v>Millbury</v>
      </c>
      <c r="R192" s="139" t="s">
        <v>428</v>
      </c>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spans="1:91" s="139" customFormat="1">
      <c r="A193" s="140">
        <v>147</v>
      </c>
      <c r="B193" s="140"/>
      <c r="C193" s="139" t="str">
        <f t="shared" si="2"/>
        <v>147 Lancaster</v>
      </c>
      <c r="D193" s="485">
        <v>147</v>
      </c>
      <c r="E193" s="486" t="s">
        <v>828</v>
      </c>
      <c r="F193" s="486">
        <v>147</v>
      </c>
      <c r="G193" s="486" t="s">
        <v>1797</v>
      </c>
      <c r="L193" s="139">
        <v>80509</v>
      </c>
      <c r="M193" s="139">
        <v>9</v>
      </c>
      <c r="N193" s="139">
        <v>805</v>
      </c>
      <c r="O193" s="139" t="s">
        <v>196</v>
      </c>
      <c r="P193" s="139">
        <v>188</v>
      </c>
      <c r="Q193" s="139" t="str">
        <f>VLOOKUP(P193,'Townwide Contributions'!$A$6:$B$358,2,0)</f>
        <v>Millville</v>
      </c>
      <c r="R193" s="139" t="s">
        <v>430</v>
      </c>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s="139" customFormat="1">
      <c r="A194" s="140">
        <v>148</v>
      </c>
      <c r="B194" s="140"/>
      <c r="C194" s="139" t="str">
        <f t="shared" si="2"/>
        <v>148 Lanesborough</v>
      </c>
      <c r="D194" s="485">
        <v>148</v>
      </c>
      <c r="E194" s="486" t="s">
        <v>829</v>
      </c>
      <c r="F194" s="486">
        <v>148</v>
      </c>
      <c r="G194" s="486" t="s">
        <v>1798</v>
      </c>
      <c r="L194" s="139">
        <v>80510</v>
      </c>
      <c r="M194" s="139">
        <v>10</v>
      </c>
      <c r="N194" s="139">
        <v>805</v>
      </c>
      <c r="O194" s="139" t="s">
        <v>196</v>
      </c>
      <c r="P194" s="139">
        <v>214</v>
      </c>
      <c r="Q194" s="139" t="str">
        <f>VLOOKUP(P194,'Townwide Contributions'!$A$6:$B$358,2,0)</f>
        <v>Northbridge</v>
      </c>
      <c r="R194" s="139" t="s">
        <v>460</v>
      </c>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spans="1:91" s="139" customFormat="1">
      <c r="A195" s="140">
        <v>149</v>
      </c>
      <c r="B195" s="140"/>
      <c r="C195" s="139" t="str">
        <f t="shared" si="2"/>
        <v>149 Lawrence</v>
      </c>
      <c r="D195" s="485">
        <v>149</v>
      </c>
      <c r="E195" s="486" t="s">
        <v>830</v>
      </c>
      <c r="F195" s="486">
        <v>149</v>
      </c>
      <c r="G195" s="486" t="s">
        <v>1799</v>
      </c>
      <c r="L195" s="139">
        <v>80511</v>
      </c>
      <c r="M195" s="139">
        <v>11</v>
      </c>
      <c r="N195" s="139">
        <v>805</v>
      </c>
      <c r="O195" s="139" t="s">
        <v>196</v>
      </c>
      <c r="P195" s="139">
        <v>290</v>
      </c>
      <c r="Q195" s="139" t="str">
        <f>VLOOKUP(P195,'Townwide Contributions'!$A$6:$B$358,2,0)</f>
        <v>Sutton</v>
      </c>
      <c r="R195" s="139" t="s">
        <v>538</v>
      </c>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139" customFormat="1">
      <c r="A196" s="140">
        <v>150</v>
      </c>
      <c r="B196" s="140"/>
      <c r="C196" s="139" t="str">
        <f t="shared" si="2"/>
        <v>150 Lee</v>
      </c>
      <c r="D196" s="485">
        <v>150</v>
      </c>
      <c r="E196" s="486" t="s">
        <v>831</v>
      </c>
      <c r="F196" s="486">
        <v>150</v>
      </c>
      <c r="G196" s="486" t="s">
        <v>1800</v>
      </c>
      <c r="L196" s="139">
        <v>80512</v>
      </c>
      <c r="M196" s="139">
        <v>12</v>
      </c>
      <c r="N196" s="139">
        <v>805</v>
      </c>
      <c r="O196" s="139" t="s">
        <v>196</v>
      </c>
      <c r="P196" s="139">
        <v>303</v>
      </c>
      <c r="Q196" s="139" t="str">
        <f>VLOOKUP(P196,'Townwide Contributions'!$A$6:$B$358,2,0)</f>
        <v>Upton</v>
      </c>
      <c r="R196" s="139" t="s">
        <v>550</v>
      </c>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s="139" customFormat="1">
      <c r="A197" s="140">
        <v>151</v>
      </c>
      <c r="B197" s="140"/>
      <c r="C197" s="139" t="str">
        <f t="shared" si="2"/>
        <v>151 Leicester</v>
      </c>
      <c r="D197" s="485">
        <v>151</v>
      </c>
      <c r="E197" s="486" t="s">
        <v>832</v>
      </c>
      <c r="F197" s="486">
        <v>151</v>
      </c>
      <c r="G197" s="486" t="s">
        <v>1801</v>
      </c>
      <c r="L197" s="139">
        <v>80513</v>
      </c>
      <c r="M197" s="139">
        <v>13</v>
      </c>
      <c r="N197" s="139">
        <v>805</v>
      </c>
      <c r="O197" s="139" t="s">
        <v>196</v>
      </c>
      <c r="P197" s="139">
        <v>304</v>
      </c>
      <c r="Q197" s="139" t="str">
        <f>VLOOKUP(P197,'Townwide Contributions'!$A$6:$B$358,2,0)</f>
        <v>Uxbridge</v>
      </c>
      <c r="R197" s="139" t="s">
        <v>551</v>
      </c>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spans="1:91" s="139" customFormat="1">
      <c r="A198" s="140">
        <v>152</v>
      </c>
      <c r="B198" s="140"/>
      <c r="C198" s="139" t="str">
        <f t="shared" ref="C198:C261" si="3">PROPER(D198&amp;" "&amp;E198)</f>
        <v>152 Lenox</v>
      </c>
      <c r="D198" s="485">
        <v>152</v>
      </c>
      <c r="E198" s="486" t="s">
        <v>833</v>
      </c>
      <c r="F198" s="486">
        <v>152</v>
      </c>
      <c r="G198" s="486" t="s">
        <v>1802</v>
      </c>
      <c r="L198" s="139">
        <v>80601</v>
      </c>
      <c r="M198" s="139">
        <v>1</v>
      </c>
      <c r="N198" s="139">
        <v>806</v>
      </c>
      <c r="O198" s="139" t="s">
        <v>197</v>
      </c>
      <c r="P198" s="139">
        <v>18</v>
      </c>
      <c r="Q198" s="139" t="str">
        <f>VLOOKUP(P198,'Townwide Contributions'!$A$6:$B$358,2,0)</f>
        <v>Avon</v>
      </c>
      <c r="R198" s="139" t="s">
        <v>22</v>
      </c>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139" customFormat="1">
      <c r="A199" s="140">
        <v>153</v>
      </c>
      <c r="B199" s="140"/>
      <c r="C199" s="139" t="str">
        <f t="shared" si="3"/>
        <v>153 Leominster</v>
      </c>
      <c r="D199" s="485">
        <v>153</v>
      </c>
      <c r="E199" s="486" t="s">
        <v>834</v>
      </c>
      <c r="F199" s="486">
        <v>153</v>
      </c>
      <c r="G199" s="486" t="s">
        <v>1803</v>
      </c>
      <c r="L199" s="139">
        <v>80602</v>
      </c>
      <c r="M199" s="139">
        <v>2</v>
      </c>
      <c r="N199" s="139">
        <v>806</v>
      </c>
      <c r="O199" s="139" t="s">
        <v>197</v>
      </c>
      <c r="P199" s="139">
        <v>40</v>
      </c>
      <c r="Q199" s="139" t="str">
        <f>VLOOKUP(P199,'Townwide Contributions'!$A$6:$B$358,2,0)</f>
        <v>Braintree</v>
      </c>
      <c r="R199" s="139" t="s">
        <v>243</v>
      </c>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139" customFormat="1">
      <c r="A200" s="140">
        <v>154</v>
      </c>
      <c r="B200" s="140"/>
      <c r="C200" s="139" t="str">
        <f t="shared" si="3"/>
        <v>154 Leverett</v>
      </c>
      <c r="D200" s="485">
        <v>154</v>
      </c>
      <c r="E200" s="486" t="s">
        <v>835</v>
      </c>
      <c r="F200" s="486">
        <v>154</v>
      </c>
      <c r="G200" s="486" t="s">
        <v>1804</v>
      </c>
      <c r="L200" s="139">
        <v>80603</v>
      </c>
      <c r="M200" s="139">
        <v>3</v>
      </c>
      <c r="N200" s="139">
        <v>806</v>
      </c>
      <c r="O200" s="139" t="s">
        <v>197</v>
      </c>
      <c r="P200" s="139">
        <v>50</v>
      </c>
      <c r="Q200" s="139" t="str">
        <f>VLOOKUP(P200,'Townwide Contributions'!$A$6:$B$358,2,0)</f>
        <v>Canton</v>
      </c>
      <c r="R200" s="139" t="s">
        <v>256</v>
      </c>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139" customFormat="1">
      <c r="A201" s="140">
        <v>155</v>
      </c>
      <c r="B201" s="140"/>
      <c r="C201" s="139" t="str">
        <f t="shared" si="3"/>
        <v>155 Lexington</v>
      </c>
      <c r="D201" s="485">
        <v>155</v>
      </c>
      <c r="E201" s="486" t="s">
        <v>836</v>
      </c>
      <c r="F201" s="486">
        <v>155</v>
      </c>
      <c r="G201" s="486" t="s">
        <v>1805</v>
      </c>
      <c r="L201" s="139">
        <v>80604</v>
      </c>
      <c r="M201" s="139">
        <v>4</v>
      </c>
      <c r="N201" s="139">
        <v>806</v>
      </c>
      <c r="O201" s="139" t="s">
        <v>197</v>
      </c>
      <c r="P201" s="139">
        <v>73</v>
      </c>
      <c r="Q201" s="139" t="str">
        <f>VLOOKUP(P201,'Townwide Contributions'!$A$6:$B$358,2,0)</f>
        <v>Dedham</v>
      </c>
      <c r="R201" s="139" t="s">
        <v>288</v>
      </c>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139" customFormat="1">
      <c r="A202" s="140">
        <v>156</v>
      </c>
      <c r="B202" s="140"/>
      <c r="C202" s="139" t="str">
        <f t="shared" si="3"/>
        <v>156 Leyden</v>
      </c>
      <c r="D202" s="485">
        <v>156</v>
      </c>
      <c r="E202" s="486" t="s">
        <v>837</v>
      </c>
      <c r="F202" s="486">
        <v>156</v>
      </c>
      <c r="G202" s="486" t="s">
        <v>1806</v>
      </c>
      <c r="L202" s="139">
        <v>80605</v>
      </c>
      <c r="M202" s="139">
        <v>5</v>
      </c>
      <c r="N202" s="139">
        <v>806</v>
      </c>
      <c r="O202" s="139" t="s">
        <v>197</v>
      </c>
      <c r="P202" s="139">
        <v>133</v>
      </c>
      <c r="Q202" s="139" t="str">
        <f>VLOOKUP(P202,'Townwide Contributions'!$A$6:$B$358,2,0)</f>
        <v>Holbrook</v>
      </c>
      <c r="R202" s="139" t="s">
        <v>361</v>
      </c>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139" customFormat="1">
      <c r="A203" s="140">
        <v>157</v>
      </c>
      <c r="B203" s="140"/>
      <c r="C203" s="139" t="str">
        <f t="shared" si="3"/>
        <v>157 Lincoln</v>
      </c>
      <c r="D203" s="485">
        <v>157</v>
      </c>
      <c r="E203" s="486" t="s">
        <v>838</v>
      </c>
      <c r="F203" s="486">
        <v>157</v>
      </c>
      <c r="G203" s="486" t="s">
        <v>1807</v>
      </c>
      <c r="L203" s="139">
        <v>80606</v>
      </c>
      <c r="M203" s="139">
        <v>6</v>
      </c>
      <c r="N203" s="139">
        <v>806</v>
      </c>
      <c r="O203" s="139" t="s">
        <v>197</v>
      </c>
      <c r="P203" s="139">
        <v>189</v>
      </c>
      <c r="Q203" s="139" t="str">
        <f>VLOOKUP(P203,'Townwide Contributions'!$A$6:$B$358,2,0)</f>
        <v>Milton</v>
      </c>
      <c r="R203" s="139" t="s">
        <v>431</v>
      </c>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139" customFormat="1">
      <c r="A204" s="140">
        <v>384</v>
      </c>
      <c r="B204" s="140"/>
      <c r="C204" s="139" t="str">
        <f t="shared" si="3"/>
        <v>695 Lincoln Sudbury</v>
      </c>
      <c r="D204" s="485">
        <v>695</v>
      </c>
      <c r="E204" s="486" t="s">
        <v>1063</v>
      </c>
      <c r="F204" s="486">
        <v>695</v>
      </c>
      <c r="G204" s="486" t="s">
        <v>2033</v>
      </c>
      <c r="L204" s="139">
        <v>80607</v>
      </c>
      <c r="M204" s="139">
        <v>7</v>
      </c>
      <c r="N204" s="139">
        <v>806</v>
      </c>
      <c r="O204" s="139" t="s">
        <v>197</v>
      </c>
      <c r="P204" s="139">
        <v>220</v>
      </c>
      <c r="Q204" s="139" t="str">
        <f>VLOOKUP(P204,'Townwide Contributions'!$A$6:$B$358,2,0)</f>
        <v>Norwood</v>
      </c>
      <c r="R204" s="139" t="s">
        <v>467</v>
      </c>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s="139" customFormat="1">
      <c r="A205" s="140">
        <v>158</v>
      </c>
      <c r="B205" s="140"/>
      <c r="C205" s="139" t="str">
        <f t="shared" si="3"/>
        <v>158 Littleton</v>
      </c>
      <c r="D205" s="485">
        <v>158</v>
      </c>
      <c r="E205" s="486" t="s">
        <v>839</v>
      </c>
      <c r="F205" s="486">
        <v>158</v>
      </c>
      <c r="G205" s="486" t="s">
        <v>1808</v>
      </c>
      <c r="L205" s="139">
        <v>80608</v>
      </c>
      <c r="M205" s="139">
        <v>8</v>
      </c>
      <c r="N205" s="139">
        <v>806</v>
      </c>
      <c r="O205" s="139" t="s">
        <v>197</v>
      </c>
      <c r="P205" s="139">
        <v>244</v>
      </c>
      <c r="Q205" s="139" t="str">
        <f>VLOOKUP(P205,'Townwide Contributions'!$A$6:$B$358,2,0)</f>
        <v>Randolph</v>
      </c>
      <c r="R205" s="139" t="s">
        <v>495</v>
      </c>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row>
    <row r="206" spans="1:91" s="139" customFormat="1">
      <c r="A206" s="140">
        <v>159</v>
      </c>
      <c r="B206" s="140"/>
      <c r="C206" s="139" t="str">
        <f t="shared" si="3"/>
        <v>159 Longmeadow</v>
      </c>
      <c r="D206" s="485">
        <v>159</v>
      </c>
      <c r="E206" s="486" t="s">
        <v>840</v>
      </c>
      <c r="F206" s="486">
        <v>159</v>
      </c>
      <c r="G206" s="486" t="s">
        <v>1809</v>
      </c>
      <c r="L206" s="139">
        <v>80609</v>
      </c>
      <c r="M206" s="139">
        <v>9</v>
      </c>
      <c r="N206" s="139">
        <v>806</v>
      </c>
      <c r="O206" s="139" t="s">
        <v>197</v>
      </c>
      <c r="P206" s="139">
        <v>335</v>
      </c>
      <c r="Q206" s="139" t="str">
        <f>VLOOKUP(P206,'Townwide Contributions'!$A$6:$B$358,2,0)</f>
        <v>Westwood</v>
      </c>
      <c r="R206" s="139" t="s">
        <v>576</v>
      </c>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spans="1:91" s="139" customFormat="1">
      <c r="A207" s="140">
        <v>160</v>
      </c>
      <c r="B207" s="140"/>
      <c r="C207" s="139" t="str">
        <f t="shared" si="3"/>
        <v>160 Lowell</v>
      </c>
      <c r="D207" s="485">
        <v>160</v>
      </c>
      <c r="E207" s="486" t="s">
        <v>841</v>
      </c>
      <c r="F207" s="486">
        <v>160</v>
      </c>
      <c r="G207" s="486" t="s">
        <v>1810</v>
      </c>
      <c r="L207" s="139">
        <v>81001</v>
      </c>
      <c r="M207" s="139">
        <v>1</v>
      </c>
      <c r="N207" s="139">
        <v>810</v>
      </c>
      <c r="O207" s="139" t="s">
        <v>198</v>
      </c>
      <c r="P207" s="139">
        <v>27</v>
      </c>
      <c r="Q207" s="139" t="str">
        <f>VLOOKUP(P207,'Townwide Contributions'!$A$6:$B$358,2,0)</f>
        <v>Berkley</v>
      </c>
      <c r="R207" s="139" t="s">
        <v>38</v>
      </c>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row>
    <row r="208" spans="1:91" s="139" customFormat="1">
      <c r="A208" s="140">
        <v>161</v>
      </c>
      <c r="B208" s="140"/>
      <c r="C208" s="139" t="str">
        <f t="shared" si="3"/>
        <v>161 Ludlow</v>
      </c>
      <c r="D208" s="485">
        <v>161</v>
      </c>
      <c r="E208" s="486" t="s">
        <v>842</v>
      </c>
      <c r="F208" s="486">
        <v>161</v>
      </c>
      <c r="G208" s="486" t="s">
        <v>1811</v>
      </c>
      <c r="L208" s="139">
        <v>81002</v>
      </c>
      <c r="M208" s="139">
        <v>2</v>
      </c>
      <c r="N208" s="139">
        <v>810</v>
      </c>
      <c r="O208" s="139" t="s">
        <v>198</v>
      </c>
      <c r="P208" s="139">
        <v>42</v>
      </c>
      <c r="Q208" s="139" t="str">
        <f>VLOOKUP(P208,'Townwide Contributions'!$A$6:$B$358,2,0)</f>
        <v>Bridgewater</v>
      </c>
      <c r="R208" s="139" t="s">
        <v>246</v>
      </c>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spans="1:91" s="139" customFormat="1">
      <c r="A209" s="140">
        <v>162</v>
      </c>
      <c r="B209" s="140"/>
      <c r="C209" s="139" t="str">
        <f t="shared" si="3"/>
        <v>162 Lunenburg</v>
      </c>
      <c r="D209" s="485">
        <v>162</v>
      </c>
      <c r="E209" s="486" t="s">
        <v>843</v>
      </c>
      <c r="F209" s="486">
        <v>162</v>
      </c>
      <c r="G209" s="486" t="s">
        <v>1812</v>
      </c>
      <c r="L209" s="139">
        <v>81003</v>
      </c>
      <c r="M209" s="139">
        <v>3</v>
      </c>
      <c r="N209" s="139">
        <v>810</v>
      </c>
      <c r="O209" s="139" t="s">
        <v>198</v>
      </c>
      <c r="P209" s="139">
        <v>76</v>
      </c>
      <c r="Q209" s="139" t="str">
        <f>VLOOKUP(P209,'Townwide Contributions'!$A$6:$B$358,2,0)</f>
        <v>Dighton</v>
      </c>
      <c r="R209" s="139" t="s">
        <v>296</v>
      </c>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s="139" customFormat="1">
      <c r="A210" s="140">
        <v>163</v>
      </c>
      <c r="B210" s="140"/>
      <c r="C210" s="139" t="str">
        <f t="shared" si="3"/>
        <v>163 Lynn</v>
      </c>
      <c r="D210" s="485">
        <v>163</v>
      </c>
      <c r="E210" s="486" t="s">
        <v>844</v>
      </c>
      <c r="F210" s="486">
        <v>163</v>
      </c>
      <c r="G210" s="486" t="s">
        <v>1813</v>
      </c>
      <c r="L210" s="139">
        <v>81004</v>
      </c>
      <c r="M210" s="139">
        <v>4</v>
      </c>
      <c r="N210" s="139">
        <v>810</v>
      </c>
      <c r="O210" s="139" t="s">
        <v>198</v>
      </c>
      <c r="P210" s="139">
        <v>102</v>
      </c>
      <c r="Q210" s="139" t="str">
        <f>VLOOKUP(P210,'Townwide Contributions'!$A$6:$B$358,2,0)</f>
        <v>Freetown</v>
      </c>
      <c r="R210" s="139" t="s">
        <v>327</v>
      </c>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row>
    <row r="211" spans="1:91" s="139" customFormat="1">
      <c r="A211" s="140">
        <v>164</v>
      </c>
      <c r="B211" s="140"/>
      <c r="C211" s="139" t="str">
        <f t="shared" si="3"/>
        <v>164 Lynnfield</v>
      </c>
      <c r="D211" s="485">
        <v>164</v>
      </c>
      <c r="E211" s="486" t="s">
        <v>845</v>
      </c>
      <c r="F211" s="486">
        <v>164</v>
      </c>
      <c r="G211" s="486" t="s">
        <v>1814</v>
      </c>
      <c r="L211" s="139">
        <v>81005</v>
      </c>
      <c r="M211" s="139">
        <v>5</v>
      </c>
      <c r="N211" s="139">
        <v>810</v>
      </c>
      <c r="O211" s="139" t="s">
        <v>198</v>
      </c>
      <c r="P211" s="139">
        <v>182</v>
      </c>
      <c r="Q211" s="139" t="str">
        <f>VLOOKUP(P211,'Townwide Contributions'!$A$6:$B$358,2,0)</f>
        <v>Middleborough</v>
      </c>
      <c r="R211" s="139" t="s">
        <v>424</v>
      </c>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1:91" s="139" customFormat="1">
      <c r="A212" s="140">
        <v>165</v>
      </c>
      <c r="B212" s="140"/>
      <c r="C212" s="139" t="str">
        <f t="shared" si="3"/>
        <v>165 Malden</v>
      </c>
      <c r="D212" s="485">
        <v>165</v>
      </c>
      <c r="E212" s="486" t="s">
        <v>846</v>
      </c>
      <c r="F212" s="486">
        <v>165</v>
      </c>
      <c r="G212" s="486" t="s">
        <v>1815</v>
      </c>
      <c r="L212" s="139">
        <v>81006</v>
      </c>
      <c r="M212" s="139">
        <v>6</v>
      </c>
      <c r="N212" s="139">
        <v>810</v>
      </c>
      <c r="O212" s="139" t="s">
        <v>198</v>
      </c>
      <c r="P212" s="139">
        <v>245</v>
      </c>
      <c r="Q212" s="139" t="str">
        <f>VLOOKUP(P212,'Townwide Contributions'!$A$6:$B$358,2,0)</f>
        <v>Raynham</v>
      </c>
      <c r="R212" s="139" t="s">
        <v>496</v>
      </c>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spans="1:91" s="139" customFormat="1">
      <c r="A213" s="140">
        <v>166</v>
      </c>
      <c r="B213" s="140"/>
      <c r="C213" s="139" t="str">
        <f t="shared" si="3"/>
        <v>166 Manchester</v>
      </c>
      <c r="D213" s="485">
        <v>166</v>
      </c>
      <c r="E213" s="486" t="s">
        <v>847</v>
      </c>
      <c r="F213" s="486">
        <v>166</v>
      </c>
      <c r="G213" s="486" t="s">
        <v>1816</v>
      </c>
      <c r="L213" s="139">
        <v>81007</v>
      </c>
      <c r="M213" s="139">
        <v>7</v>
      </c>
      <c r="N213" s="139">
        <v>810</v>
      </c>
      <c r="O213" s="139" t="s">
        <v>198</v>
      </c>
      <c r="P213" s="139">
        <v>247</v>
      </c>
      <c r="Q213" s="139" t="str">
        <f>VLOOKUP(P213,'Townwide Contributions'!$A$6:$B$358,2,0)</f>
        <v>Rehoboth</v>
      </c>
      <c r="R213" s="139" t="s">
        <v>498</v>
      </c>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1:91" s="139" customFormat="1">
      <c r="A214" s="140">
        <v>385</v>
      </c>
      <c r="B214" s="140"/>
      <c r="C214" s="139" t="str">
        <f t="shared" si="3"/>
        <v>698 Manchester Essex</v>
      </c>
      <c r="D214" s="485">
        <v>698</v>
      </c>
      <c r="E214" s="486" t="s">
        <v>1064</v>
      </c>
      <c r="F214" s="486">
        <v>698</v>
      </c>
      <c r="G214" s="486" t="s">
        <v>2034</v>
      </c>
      <c r="L214" s="139">
        <v>81008</v>
      </c>
      <c r="M214" s="139">
        <v>8</v>
      </c>
      <c r="N214" s="139">
        <v>810</v>
      </c>
      <c r="O214" s="139" t="s">
        <v>198</v>
      </c>
      <c r="P214" s="139">
        <v>293</v>
      </c>
      <c r="Q214" s="139" t="str">
        <f>VLOOKUP(P214,'Townwide Contributions'!$A$6:$B$358,2,0)</f>
        <v>Taunton</v>
      </c>
      <c r="R214" s="139" t="s">
        <v>541</v>
      </c>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spans="1:91" s="139" customFormat="1">
      <c r="A215" s="140">
        <v>167</v>
      </c>
      <c r="B215" s="140"/>
      <c r="C215" s="139" t="str">
        <f t="shared" si="3"/>
        <v>167 Mansfield</v>
      </c>
      <c r="D215" s="485">
        <v>167</v>
      </c>
      <c r="E215" s="486" t="s">
        <v>848</v>
      </c>
      <c r="F215" s="486">
        <v>167</v>
      </c>
      <c r="G215" s="486" t="s">
        <v>1817</v>
      </c>
      <c r="L215" s="139">
        <v>81501</v>
      </c>
      <c r="M215" s="139">
        <v>1</v>
      </c>
      <c r="N215" s="139">
        <v>815</v>
      </c>
      <c r="O215" s="139" t="s">
        <v>199</v>
      </c>
      <c r="P215" s="139">
        <v>20</v>
      </c>
      <c r="Q215" s="139" t="str">
        <f>VLOOKUP(P215,'Townwide Contributions'!$A$6:$B$358,2,0)</f>
        <v>Barnstable</v>
      </c>
      <c r="R215" s="139" t="s">
        <v>26</v>
      </c>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s="139" customFormat="1">
      <c r="A216" s="140">
        <v>168</v>
      </c>
      <c r="B216" s="140"/>
      <c r="C216" s="139" t="str">
        <f t="shared" si="3"/>
        <v>168 Marblehead</v>
      </c>
      <c r="D216" s="485">
        <v>168</v>
      </c>
      <c r="E216" s="486" t="s">
        <v>849</v>
      </c>
      <c r="F216" s="486">
        <v>168</v>
      </c>
      <c r="G216" s="486" t="s">
        <v>1818</v>
      </c>
      <c r="L216" s="139">
        <v>81502</v>
      </c>
      <c r="M216" s="139">
        <v>2</v>
      </c>
      <c r="N216" s="139">
        <v>815</v>
      </c>
      <c r="O216" s="139" t="s">
        <v>199</v>
      </c>
      <c r="P216" s="139">
        <v>41</v>
      </c>
      <c r="Q216" s="139" t="str">
        <f>VLOOKUP(P216,'Townwide Contributions'!$A$6:$B$358,2,0)</f>
        <v>Brewster</v>
      </c>
      <c r="R216" s="139" t="s">
        <v>244</v>
      </c>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spans="1:91" s="139" customFormat="1">
      <c r="A217" s="140">
        <v>169</v>
      </c>
      <c r="B217" s="140"/>
      <c r="C217" s="139" t="str">
        <f t="shared" si="3"/>
        <v>169 Marion</v>
      </c>
      <c r="D217" s="485">
        <v>169</v>
      </c>
      <c r="E217" s="486" t="s">
        <v>850</v>
      </c>
      <c r="F217" s="486">
        <v>169</v>
      </c>
      <c r="G217" s="486" t="s">
        <v>1819</v>
      </c>
      <c r="L217" s="139">
        <v>81503</v>
      </c>
      <c r="M217" s="139">
        <v>3</v>
      </c>
      <c r="N217" s="139">
        <v>815</v>
      </c>
      <c r="O217" s="139" t="s">
        <v>199</v>
      </c>
      <c r="P217" s="139">
        <v>55</v>
      </c>
      <c r="Q217" s="139" t="str">
        <f>VLOOKUP(P217,'Townwide Contributions'!$A$6:$B$358,2,0)</f>
        <v>Chatham</v>
      </c>
      <c r="R217" s="139" t="s">
        <v>264</v>
      </c>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spans="1:91" s="139" customFormat="1">
      <c r="A218" s="140">
        <v>170</v>
      </c>
      <c r="B218" s="140"/>
      <c r="C218" s="139" t="str">
        <f t="shared" si="3"/>
        <v>170 Marlborough</v>
      </c>
      <c r="D218" s="485">
        <v>170</v>
      </c>
      <c r="E218" s="486" t="s">
        <v>851</v>
      </c>
      <c r="F218" s="486">
        <v>170</v>
      </c>
      <c r="G218" s="486" t="s">
        <v>1820</v>
      </c>
      <c r="L218" s="139">
        <v>81504</v>
      </c>
      <c r="M218" s="139">
        <v>4</v>
      </c>
      <c r="N218" s="139">
        <v>815</v>
      </c>
      <c r="O218" s="139" t="s">
        <v>199</v>
      </c>
      <c r="P218" s="139">
        <v>75</v>
      </c>
      <c r="Q218" s="139" t="str">
        <f>VLOOKUP(P218,'Townwide Contributions'!$A$6:$B$358,2,0)</f>
        <v>Dennis</v>
      </c>
      <c r="R218" s="139" t="s">
        <v>294</v>
      </c>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row>
    <row r="219" spans="1:91" s="139" customFormat="1">
      <c r="A219" s="140">
        <v>171</v>
      </c>
      <c r="B219" s="140"/>
      <c r="C219" s="139" t="str">
        <f t="shared" si="3"/>
        <v>171 Marshfield</v>
      </c>
      <c r="D219" s="485">
        <v>171</v>
      </c>
      <c r="E219" s="486" t="s">
        <v>852</v>
      </c>
      <c r="F219" s="486">
        <v>171</v>
      </c>
      <c r="G219" s="486" t="s">
        <v>1821</v>
      </c>
      <c r="L219" s="139">
        <v>81505</v>
      </c>
      <c r="M219" s="139">
        <v>5</v>
      </c>
      <c r="N219" s="139">
        <v>815</v>
      </c>
      <c r="O219" s="139" t="s">
        <v>199</v>
      </c>
      <c r="P219" s="139">
        <v>85</v>
      </c>
      <c r="Q219" s="139" t="str">
        <f>VLOOKUP(P219,'Townwide Contributions'!$A$6:$B$358,2,0)</f>
        <v>Eastham</v>
      </c>
      <c r="R219" s="139" t="s">
        <v>310</v>
      </c>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row>
    <row r="220" spans="1:91" s="139" customFormat="1">
      <c r="A220" s="140">
        <v>386</v>
      </c>
      <c r="B220" s="140"/>
      <c r="C220" s="139" t="str">
        <f t="shared" si="3"/>
        <v>700 Marthas Vineyard</v>
      </c>
      <c r="D220" s="485">
        <v>700</v>
      </c>
      <c r="E220" s="486" t="s">
        <v>1065</v>
      </c>
      <c r="F220" s="486">
        <v>700</v>
      </c>
      <c r="G220" s="486" t="s">
        <v>2035</v>
      </c>
      <c r="L220" s="139">
        <v>81506</v>
      </c>
      <c r="M220" s="139">
        <v>6</v>
      </c>
      <c r="N220" s="139">
        <v>815</v>
      </c>
      <c r="O220" s="139" t="s">
        <v>199</v>
      </c>
      <c r="P220" s="139">
        <v>126</v>
      </c>
      <c r="Q220" s="139" t="str">
        <f>VLOOKUP(P220,'Townwide Contributions'!$A$6:$B$358,2,0)</f>
        <v>Harwich</v>
      </c>
      <c r="R220" s="139" t="s">
        <v>356</v>
      </c>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row>
    <row r="221" spans="1:91" s="139" customFormat="1">
      <c r="A221" s="140">
        <v>387</v>
      </c>
      <c r="B221" s="140"/>
      <c r="C221" s="139" t="str">
        <f t="shared" si="3"/>
        <v>705 Masconomet</v>
      </c>
      <c r="D221" s="485">
        <v>705</v>
      </c>
      <c r="E221" s="486" t="s">
        <v>1066</v>
      </c>
      <c r="F221" s="486">
        <v>705</v>
      </c>
      <c r="G221" s="486" t="s">
        <v>2036</v>
      </c>
      <c r="L221" s="139">
        <v>81507</v>
      </c>
      <c r="M221" s="139">
        <v>7</v>
      </c>
      <c r="N221" s="139">
        <v>815</v>
      </c>
      <c r="O221" s="139" t="s">
        <v>199</v>
      </c>
      <c r="P221" s="139">
        <v>172</v>
      </c>
      <c r="Q221" s="139" t="str">
        <f>VLOOKUP(P221,'Townwide Contributions'!$A$6:$B$358,2,0)</f>
        <v>Mashpee</v>
      </c>
      <c r="R221" s="139" t="s">
        <v>413</v>
      </c>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row>
    <row r="222" spans="1:91" s="139" customFormat="1">
      <c r="A222" s="140">
        <v>172</v>
      </c>
      <c r="B222" s="140"/>
      <c r="C222" s="139" t="str">
        <f t="shared" si="3"/>
        <v>172 Mashpee</v>
      </c>
      <c r="D222" s="485">
        <v>172</v>
      </c>
      <c r="E222" s="486" t="s">
        <v>853</v>
      </c>
      <c r="F222" s="486">
        <v>172</v>
      </c>
      <c r="G222" s="486" t="s">
        <v>1822</v>
      </c>
      <c r="L222" s="139">
        <v>81508</v>
      </c>
      <c r="M222" s="139">
        <v>8</v>
      </c>
      <c r="N222" s="139">
        <v>815</v>
      </c>
      <c r="O222" s="139" t="s">
        <v>199</v>
      </c>
      <c r="P222" s="139">
        <v>224</v>
      </c>
      <c r="Q222" s="139" t="str">
        <f>VLOOKUP(P222,'Townwide Contributions'!$A$6:$B$358,2,0)</f>
        <v>Orleans</v>
      </c>
      <c r="R222" s="139" t="s">
        <v>472</v>
      </c>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row>
    <row r="223" spans="1:91" s="139" customFormat="1">
      <c r="A223" s="140">
        <v>173</v>
      </c>
      <c r="B223" s="140"/>
      <c r="C223" s="139" t="str">
        <f t="shared" si="3"/>
        <v>173 Mattapoisett</v>
      </c>
      <c r="D223" s="485">
        <v>173</v>
      </c>
      <c r="E223" s="486" t="s">
        <v>854</v>
      </c>
      <c r="F223" s="486">
        <v>173</v>
      </c>
      <c r="G223" s="486" t="s">
        <v>1823</v>
      </c>
      <c r="L223" s="139">
        <v>81509</v>
      </c>
      <c r="M223" s="139">
        <v>9</v>
      </c>
      <c r="N223" s="139">
        <v>815</v>
      </c>
      <c r="O223" s="139" t="s">
        <v>199</v>
      </c>
      <c r="P223" s="139">
        <v>242</v>
      </c>
      <c r="Q223" s="139" t="str">
        <f>VLOOKUP(P223,'Townwide Contributions'!$A$6:$B$358,2,0)</f>
        <v>Provincetown</v>
      </c>
      <c r="R223" s="139" t="s">
        <v>493</v>
      </c>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row>
    <row r="224" spans="1:91" s="139" customFormat="1">
      <c r="A224" s="140">
        <v>174</v>
      </c>
      <c r="B224" s="140"/>
      <c r="C224" s="139" t="str">
        <f t="shared" si="3"/>
        <v>174 Maynard</v>
      </c>
      <c r="D224" s="485">
        <v>174</v>
      </c>
      <c r="E224" s="486" t="s">
        <v>855</v>
      </c>
      <c r="F224" s="486">
        <v>174</v>
      </c>
      <c r="G224" s="486" t="s">
        <v>1824</v>
      </c>
      <c r="L224" s="139">
        <v>81510</v>
      </c>
      <c r="M224" s="139">
        <v>10</v>
      </c>
      <c r="N224" s="139">
        <v>815</v>
      </c>
      <c r="O224" s="139" t="s">
        <v>199</v>
      </c>
      <c r="P224" s="139">
        <v>300</v>
      </c>
      <c r="Q224" s="139" t="str">
        <f>VLOOKUP(P224,'Townwide Contributions'!$A$6:$B$358,2,0)</f>
        <v>Truro</v>
      </c>
      <c r="R224" s="139" t="s">
        <v>548</v>
      </c>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row>
    <row r="225" spans="1:91" s="139" customFormat="1">
      <c r="A225" s="140">
        <v>175</v>
      </c>
      <c r="B225" s="140"/>
      <c r="C225" s="139" t="str">
        <f t="shared" si="3"/>
        <v>175 Medfield</v>
      </c>
      <c r="D225" s="485">
        <v>175</v>
      </c>
      <c r="E225" s="486" t="s">
        <v>856</v>
      </c>
      <c r="F225" s="486">
        <v>175</v>
      </c>
      <c r="G225" s="486" t="s">
        <v>1825</v>
      </c>
      <c r="L225" s="139">
        <v>81511</v>
      </c>
      <c r="M225" s="139">
        <v>11</v>
      </c>
      <c r="N225" s="139">
        <v>815</v>
      </c>
      <c r="O225" s="139" t="s">
        <v>199</v>
      </c>
      <c r="P225" s="139">
        <v>318</v>
      </c>
      <c r="Q225" s="139" t="str">
        <f>VLOOKUP(P225,'Townwide Contributions'!$A$6:$B$358,2,0)</f>
        <v>Wellfleet</v>
      </c>
      <c r="R225" s="139" t="s">
        <v>563</v>
      </c>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row>
    <row r="226" spans="1:91" s="139" customFormat="1">
      <c r="A226" s="140">
        <v>176</v>
      </c>
      <c r="B226" s="140"/>
      <c r="C226" s="139" t="str">
        <f t="shared" si="3"/>
        <v>176 Medford</v>
      </c>
      <c r="D226" s="485">
        <v>176</v>
      </c>
      <c r="E226" s="486" t="s">
        <v>857</v>
      </c>
      <c r="F226" s="486">
        <v>176</v>
      </c>
      <c r="G226" s="486" t="s">
        <v>1826</v>
      </c>
      <c r="L226" s="139">
        <v>81512</v>
      </c>
      <c r="M226" s="139">
        <v>12</v>
      </c>
      <c r="N226" s="139">
        <v>815</v>
      </c>
      <c r="O226" s="139" t="s">
        <v>199</v>
      </c>
      <c r="P226" s="139">
        <v>351</v>
      </c>
      <c r="Q226" s="139" t="str">
        <f>VLOOKUP(P226,'Townwide Contributions'!$A$6:$B$358,2,0)</f>
        <v>Yarmouth</v>
      </c>
      <c r="R226" s="139" t="s">
        <v>590</v>
      </c>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row>
    <row r="227" spans="1:91" s="139" customFormat="1">
      <c r="A227" s="140">
        <v>177</v>
      </c>
      <c r="B227" s="140"/>
      <c r="C227" s="139" t="str">
        <f t="shared" si="3"/>
        <v>177 Medway</v>
      </c>
      <c r="D227" s="485">
        <v>177</v>
      </c>
      <c r="E227" s="486" t="s">
        <v>858</v>
      </c>
      <c r="F227" s="486">
        <v>177</v>
      </c>
      <c r="G227" s="486" t="s">
        <v>1827</v>
      </c>
      <c r="L227" s="139">
        <v>81701</v>
      </c>
      <c r="M227" s="139">
        <v>1</v>
      </c>
      <c r="N227" s="139">
        <v>817</v>
      </c>
      <c r="O227" s="139" t="s">
        <v>670</v>
      </c>
      <c r="P227" s="139">
        <v>30</v>
      </c>
      <c r="Q227" s="139" t="str">
        <f>VLOOKUP(P227,'Townwide Contributions'!$A$6:$B$358,2,0)</f>
        <v>Beverly</v>
      </c>
      <c r="R227" s="139" t="s">
        <v>46</v>
      </c>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row>
    <row r="228" spans="1:91" s="139" customFormat="1">
      <c r="A228" s="140">
        <v>178</v>
      </c>
      <c r="B228" s="140"/>
      <c r="C228" s="139" t="str">
        <f t="shared" si="3"/>
        <v>178 Melrose</v>
      </c>
      <c r="D228" s="485">
        <v>178</v>
      </c>
      <c r="E228" s="486" t="s">
        <v>859</v>
      </c>
      <c r="F228" s="486">
        <v>178</v>
      </c>
      <c r="G228" s="486" t="s">
        <v>1828</v>
      </c>
      <c r="L228" s="139">
        <v>81702</v>
      </c>
      <c r="M228" s="139">
        <v>2</v>
      </c>
      <c r="N228" s="139">
        <v>817</v>
      </c>
      <c r="O228" s="139" t="s">
        <v>670</v>
      </c>
      <c r="P228" s="139">
        <v>38</v>
      </c>
      <c r="Q228" s="139" t="str">
        <f>VLOOKUP(P228,'Townwide Contributions'!$A$6:$B$358,2,0)</f>
        <v>Boxford</v>
      </c>
      <c r="R228" s="139" t="s">
        <v>240</v>
      </c>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row>
    <row r="229" spans="1:91" s="139" customFormat="1">
      <c r="A229" s="140">
        <v>179</v>
      </c>
      <c r="B229" s="140"/>
      <c r="C229" s="139" t="str">
        <f t="shared" si="3"/>
        <v>179 Mendon</v>
      </c>
      <c r="D229" s="485">
        <v>179</v>
      </c>
      <c r="E229" s="486" t="s">
        <v>860</v>
      </c>
      <c r="F229" s="486">
        <v>179</v>
      </c>
      <c r="G229" s="486" t="s">
        <v>1829</v>
      </c>
      <c r="L229" s="139">
        <v>81703</v>
      </c>
      <c r="M229" s="139">
        <v>3</v>
      </c>
      <c r="N229" s="139">
        <v>817</v>
      </c>
      <c r="O229" s="139" t="s">
        <v>670</v>
      </c>
      <c r="P229" s="139">
        <v>71</v>
      </c>
      <c r="Q229" s="139" t="str">
        <f>VLOOKUP(P229,'Townwide Contributions'!$A$6:$B$358,2,0)</f>
        <v>Danvers</v>
      </c>
      <c r="R229" s="139" t="s">
        <v>285</v>
      </c>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row>
    <row r="230" spans="1:91" s="139" customFormat="1">
      <c r="A230" s="140">
        <v>388</v>
      </c>
      <c r="B230" s="140"/>
      <c r="C230" s="139" t="str">
        <f t="shared" si="3"/>
        <v>710 Mendon Upton</v>
      </c>
      <c r="D230" s="485">
        <v>710</v>
      </c>
      <c r="E230" s="486" t="s">
        <v>1067</v>
      </c>
      <c r="F230" s="486">
        <v>710</v>
      </c>
      <c r="G230" s="486" t="s">
        <v>2037</v>
      </c>
      <c r="L230" s="139">
        <v>81704</v>
      </c>
      <c r="M230" s="139">
        <v>4</v>
      </c>
      <c r="N230" s="139">
        <v>817</v>
      </c>
      <c r="O230" s="139" t="s">
        <v>670</v>
      </c>
      <c r="P230" s="139">
        <v>92</v>
      </c>
      <c r="Q230" s="139" t="str">
        <f>VLOOKUP(P230,'Townwide Contributions'!$A$6:$B$358,2,0)</f>
        <v>Essex</v>
      </c>
      <c r="R230" s="139" t="s">
        <v>316</v>
      </c>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row r="231" spans="1:91" s="139" customFormat="1">
      <c r="A231" s="140">
        <v>180</v>
      </c>
      <c r="B231" s="140"/>
      <c r="C231" s="139" t="str">
        <f t="shared" si="3"/>
        <v>180 Merrimac</v>
      </c>
      <c r="D231" s="485">
        <v>180</v>
      </c>
      <c r="E231" s="486" t="s">
        <v>861</v>
      </c>
      <c r="F231" s="486">
        <v>180</v>
      </c>
      <c r="G231" s="486" t="s">
        <v>1830</v>
      </c>
      <c r="L231" s="139">
        <v>81705</v>
      </c>
      <c r="M231" s="139">
        <v>5</v>
      </c>
      <c r="N231" s="139">
        <v>817</v>
      </c>
      <c r="O231" s="139" t="s">
        <v>670</v>
      </c>
      <c r="P231" s="139">
        <v>107</v>
      </c>
      <c r="Q231" s="139" t="str">
        <f>VLOOKUP(P231,'Townwide Contributions'!$A$6:$B$358,2,0)</f>
        <v>Gloucester</v>
      </c>
      <c r="R231" s="139" t="s">
        <v>334</v>
      </c>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row>
    <row r="232" spans="1:91" s="139" customFormat="1">
      <c r="A232" s="140">
        <v>181</v>
      </c>
      <c r="B232" s="140"/>
      <c r="C232" s="139" t="str">
        <f t="shared" si="3"/>
        <v>181 Methuen</v>
      </c>
      <c r="D232" s="485">
        <v>181</v>
      </c>
      <c r="E232" s="486" t="s">
        <v>862</v>
      </c>
      <c r="F232" s="486">
        <v>181</v>
      </c>
      <c r="G232" s="486" t="s">
        <v>1831</v>
      </c>
      <c r="L232" s="139">
        <v>81706</v>
      </c>
      <c r="M232" s="139">
        <v>6</v>
      </c>
      <c r="N232" s="139">
        <v>817</v>
      </c>
      <c r="O232" s="139" t="s">
        <v>670</v>
      </c>
      <c r="P232" s="139">
        <v>119</v>
      </c>
      <c r="Q232" s="139" t="str">
        <f>VLOOKUP(P232,'Townwide Contributions'!$A$6:$B$358,2,0)</f>
        <v>Hamilton</v>
      </c>
      <c r="R232" s="139" t="s">
        <v>347</v>
      </c>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spans="1:91" s="139" customFormat="1">
      <c r="A233" s="140">
        <v>182</v>
      </c>
      <c r="B233" s="140"/>
      <c r="C233" s="139" t="str">
        <f t="shared" si="3"/>
        <v>182 Middleborough</v>
      </c>
      <c r="D233" s="485">
        <v>182</v>
      </c>
      <c r="E233" s="486" t="s">
        <v>863</v>
      </c>
      <c r="F233" s="486">
        <v>182</v>
      </c>
      <c r="G233" s="486" t="s">
        <v>1832</v>
      </c>
      <c r="L233" s="139">
        <v>81707</v>
      </c>
      <c r="M233" s="139">
        <v>7</v>
      </c>
      <c r="N233" s="139">
        <v>817</v>
      </c>
      <c r="O233" s="139" t="s">
        <v>670</v>
      </c>
      <c r="P233" s="139">
        <v>164</v>
      </c>
      <c r="Q233" s="139" t="str">
        <f>VLOOKUP(P233,'Townwide Contributions'!$A$6:$B$358,2,0)</f>
        <v>Lynnfield</v>
      </c>
      <c r="R233" s="139" t="s">
        <v>405</v>
      </c>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row>
    <row r="234" spans="1:91" s="139" customFormat="1">
      <c r="A234" s="140">
        <v>183</v>
      </c>
      <c r="B234" s="140"/>
      <c r="C234" s="139" t="str">
        <f t="shared" si="3"/>
        <v>183 Middlefield</v>
      </c>
      <c r="D234" s="485">
        <v>183</v>
      </c>
      <c r="E234" s="486" t="s">
        <v>864</v>
      </c>
      <c r="F234" s="486">
        <v>183</v>
      </c>
      <c r="G234" s="486" t="s">
        <v>1833</v>
      </c>
      <c r="L234" s="139">
        <v>81708</v>
      </c>
      <c r="M234" s="139">
        <v>8</v>
      </c>
      <c r="N234" s="139">
        <v>817</v>
      </c>
      <c r="O234" s="139" t="s">
        <v>670</v>
      </c>
      <c r="P234" s="139">
        <v>166</v>
      </c>
      <c r="Q234" s="139" t="str">
        <f>VLOOKUP(P234,'Townwide Contributions'!$A$6:$B$358,2,0)</f>
        <v>Manchester</v>
      </c>
      <c r="R234" s="139" t="s">
        <v>407</v>
      </c>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row>
    <row r="235" spans="1:91" s="139" customFormat="1">
      <c r="A235" s="140">
        <v>184</v>
      </c>
      <c r="B235" s="140"/>
      <c r="C235" s="139" t="str">
        <f t="shared" si="3"/>
        <v>184 Middleton</v>
      </c>
      <c r="D235" s="485">
        <v>184</v>
      </c>
      <c r="E235" s="486" t="s">
        <v>865</v>
      </c>
      <c r="F235" s="486">
        <v>184</v>
      </c>
      <c r="G235" s="486" t="s">
        <v>1834</v>
      </c>
      <c r="L235" s="139">
        <v>81709</v>
      </c>
      <c r="M235" s="139">
        <v>9</v>
      </c>
      <c r="N235" s="139">
        <v>817</v>
      </c>
      <c r="O235" s="139" t="s">
        <v>670</v>
      </c>
      <c r="P235" s="139">
        <v>168</v>
      </c>
      <c r="Q235" s="139" t="str">
        <f>VLOOKUP(P235,'Townwide Contributions'!$A$6:$B$358,2,0)</f>
        <v>Marblehead</v>
      </c>
      <c r="R235" s="139" t="s">
        <v>409</v>
      </c>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row>
    <row r="236" spans="1:91" s="139" customFormat="1">
      <c r="A236" s="140">
        <v>185</v>
      </c>
      <c r="B236" s="140"/>
      <c r="C236" s="139" t="str">
        <f t="shared" si="3"/>
        <v>185 Milford</v>
      </c>
      <c r="D236" s="485">
        <v>185</v>
      </c>
      <c r="E236" s="486" t="s">
        <v>866</v>
      </c>
      <c r="F236" s="486">
        <v>185</v>
      </c>
      <c r="G236" s="486" t="s">
        <v>1835</v>
      </c>
      <c r="L236" s="139">
        <v>81710</v>
      </c>
      <c r="M236" s="139">
        <v>10</v>
      </c>
      <c r="N236" s="139">
        <v>817</v>
      </c>
      <c r="O236" s="139" t="s">
        <v>670</v>
      </c>
      <c r="P236" s="139">
        <v>184</v>
      </c>
      <c r="Q236" s="139" t="str">
        <f>VLOOKUP(P236,'Townwide Contributions'!$A$6:$B$358,2,0)</f>
        <v>Middleton</v>
      </c>
      <c r="R236" s="139" t="s">
        <v>426</v>
      </c>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spans="1:91" s="139" customFormat="1">
      <c r="A237" s="140">
        <v>186</v>
      </c>
      <c r="B237" s="140"/>
      <c r="C237" s="139" t="str">
        <f t="shared" si="3"/>
        <v>186 Millbury</v>
      </c>
      <c r="D237" s="485">
        <v>186</v>
      </c>
      <c r="E237" s="486" t="s">
        <v>867</v>
      </c>
      <c r="F237" s="486">
        <v>186</v>
      </c>
      <c r="G237" s="486" t="s">
        <v>1836</v>
      </c>
      <c r="L237" s="139">
        <v>81711</v>
      </c>
      <c r="M237" s="139">
        <v>11</v>
      </c>
      <c r="N237" s="139">
        <v>817</v>
      </c>
      <c r="O237" s="139" t="s">
        <v>670</v>
      </c>
      <c r="P237" s="139">
        <v>196</v>
      </c>
      <c r="Q237" s="139" t="str">
        <f>VLOOKUP(P237,'Townwide Contributions'!$A$6:$B$358,2,0)</f>
        <v>Nahant</v>
      </c>
      <c r="R237" s="139" t="s">
        <v>437</v>
      </c>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row>
    <row r="238" spans="1:91" s="139" customFormat="1">
      <c r="A238" s="140">
        <v>187</v>
      </c>
      <c r="B238" s="140"/>
      <c r="C238" s="139" t="str">
        <f t="shared" si="3"/>
        <v>187 Millis</v>
      </c>
      <c r="D238" s="485">
        <v>187</v>
      </c>
      <c r="E238" s="486" t="s">
        <v>868</v>
      </c>
      <c r="F238" s="486">
        <v>187</v>
      </c>
      <c r="G238" s="486" t="s">
        <v>1837</v>
      </c>
      <c r="L238" s="139">
        <v>81712</v>
      </c>
      <c r="M238" s="139">
        <v>12</v>
      </c>
      <c r="N238" s="139">
        <v>817</v>
      </c>
      <c r="O238" s="139" t="s">
        <v>670</v>
      </c>
      <c r="P238" s="139">
        <v>229</v>
      </c>
      <c r="Q238" s="139" t="str">
        <f>VLOOKUP(P238,'Townwide Contributions'!$A$6:$B$358,2,0)</f>
        <v>Peabody</v>
      </c>
      <c r="R238" s="139" t="s">
        <v>104</v>
      </c>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row>
    <row r="239" spans="1:91" s="139" customFormat="1">
      <c r="A239" s="140">
        <v>188</v>
      </c>
      <c r="B239" s="140"/>
      <c r="C239" s="139" t="str">
        <f t="shared" si="3"/>
        <v>188 Millville</v>
      </c>
      <c r="D239" s="485">
        <v>188</v>
      </c>
      <c r="E239" s="486" t="s">
        <v>869</v>
      </c>
      <c r="F239" s="486">
        <v>188</v>
      </c>
      <c r="G239" s="486" t="s">
        <v>1838</v>
      </c>
      <c r="L239" s="139">
        <v>81713</v>
      </c>
      <c r="M239" s="139">
        <v>13</v>
      </c>
      <c r="N239" s="139">
        <v>817</v>
      </c>
      <c r="O239" s="139" t="s">
        <v>670</v>
      </c>
      <c r="P239" s="139">
        <v>252</v>
      </c>
      <c r="Q239" s="139" t="str">
        <f>VLOOKUP(P239,'Townwide Contributions'!$A$6:$B$358,2,0)</f>
        <v>Rockport</v>
      </c>
      <c r="R239" s="139" t="s">
        <v>502</v>
      </c>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row>
    <row r="240" spans="1:91" s="139" customFormat="1">
      <c r="A240" s="140">
        <v>189</v>
      </c>
      <c r="B240" s="140"/>
      <c r="C240" s="139" t="str">
        <f t="shared" si="3"/>
        <v>189 Milton</v>
      </c>
      <c r="D240" s="485">
        <v>189</v>
      </c>
      <c r="E240" s="486" t="s">
        <v>870</v>
      </c>
      <c r="F240" s="486">
        <v>189</v>
      </c>
      <c r="G240" s="486" t="s">
        <v>1839</v>
      </c>
      <c r="L240" s="139">
        <v>81714</v>
      </c>
      <c r="M240" s="139">
        <v>14</v>
      </c>
      <c r="N240" s="139">
        <v>817</v>
      </c>
      <c r="O240" s="139" t="s">
        <v>670</v>
      </c>
      <c r="P240" s="139">
        <v>258</v>
      </c>
      <c r="Q240" s="139" t="str">
        <f>VLOOKUP(P240,'Townwide Contributions'!$A$6:$B$358,2,0)</f>
        <v>Salem</v>
      </c>
      <c r="R240" s="139" t="s">
        <v>507</v>
      </c>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row>
    <row r="241" spans="1:91" s="139" customFormat="1">
      <c r="A241" s="140">
        <v>425</v>
      </c>
      <c r="B241" s="140"/>
      <c r="C241" s="139" t="str">
        <f t="shared" si="3"/>
        <v>830 Minuteman</v>
      </c>
      <c r="D241" s="485">
        <v>830</v>
      </c>
      <c r="E241" s="486" t="s">
        <v>1104</v>
      </c>
      <c r="F241" s="486">
        <v>830</v>
      </c>
      <c r="G241" s="486" t="s">
        <v>2074</v>
      </c>
      <c r="L241" s="139">
        <v>81715</v>
      </c>
      <c r="M241" s="139">
        <v>15</v>
      </c>
      <c r="N241" s="139">
        <v>817</v>
      </c>
      <c r="O241" s="139" t="s">
        <v>670</v>
      </c>
      <c r="P241" s="139">
        <v>291</v>
      </c>
      <c r="Q241" s="139" t="str">
        <f>VLOOKUP(P241,'Townwide Contributions'!$A$6:$B$358,2,0)</f>
        <v>Swampscott</v>
      </c>
      <c r="R241" s="139" t="s">
        <v>539</v>
      </c>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row>
    <row r="242" spans="1:91" s="139" customFormat="1">
      <c r="A242" s="140">
        <v>391</v>
      </c>
      <c r="B242" s="140"/>
      <c r="C242" s="139" t="str">
        <f t="shared" si="3"/>
        <v>717 Mohawk Trail</v>
      </c>
      <c r="D242" s="485">
        <v>717</v>
      </c>
      <c r="E242" s="486" t="s">
        <v>1070</v>
      </c>
      <c r="F242" s="486">
        <v>717</v>
      </c>
      <c r="G242" s="486" t="s">
        <v>2040</v>
      </c>
      <c r="L242" s="139">
        <v>81716</v>
      </c>
      <c r="M242" s="139">
        <v>16</v>
      </c>
      <c r="N242" s="139">
        <v>817</v>
      </c>
      <c r="O242" s="139" t="s">
        <v>670</v>
      </c>
      <c r="P242" s="139">
        <v>298</v>
      </c>
      <c r="Q242" s="139" t="str">
        <f>VLOOKUP(P242,'Townwide Contributions'!$A$6:$B$358,2,0)</f>
        <v>Topsfield</v>
      </c>
      <c r="R242" s="139" t="s">
        <v>546</v>
      </c>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row>
    <row r="243" spans="1:91" s="139" customFormat="1">
      <c r="A243" s="140">
        <v>389</v>
      </c>
      <c r="B243" s="140"/>
      <c r="C243" s="139" t="str">
        <f t="shared" si="3"/>
        <v>712 Monomoy</v>
      </c>
      <c r="D243" s="485">
        <v>712</v>
      </c>
      <c r="E243" s="486" t="s">
        <v>1068</v>
      </c>
      <c r="F243" s="486">
        <v>712</v>
      </c>
      <c r="G243" s="486" t="s">
        <v>2038</v>
      </c>
      <c r="L243" s="139">
        <v>81717</v>
      </c>
      <c r="M243" s="139">
        <v>17</v>
      </c>
      <c r="N243" s="139">
        <v>817</v>
      </c>
      <c r="O243" s="139" t="s">
        <v>670</v>
      </c>
      <c r="P243" s="139">
        <v>320</v>
      </c>
      <c r="Q243" s="139" t="str">
        <f>VLOOKUP(P243,'Townwide Contributions'!$A$6:$B$358,2,0)</f>
        <v>Wenham</v>
      </c>
      <c r="R243" s="139" t="s">
        <v>565</v>
      </c>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row>
    <row r="244" spans="1:91" s="139" customFormat="1">
      <c r="A244" s="140">
        <v>190</v>
      </c>
      <c r="B244" s="140"/>
      <c r="C244" s="139" t="str">
        <f t="shared" si="3"/>
        <v>190 Monroe</v>
      </c>
      <c r="D244" s="485">
        <v>190</v>
      </c>
      <c r="E244" s="486" t="s">
        <v>871</v>
      </c>
      <c r="F244" s="486">
        <v>190</v>
      </c>
      <c r="G244" s="486" t="s">
        <v>1840</v>
      </c>
      <c r="L244" s="139">
        <v>81801</v>
      </c>
      <c r="M244" s="139">
        <v>1</v>
      </c>
      <c r="N244" s="139">
        <v>818</v>
      </c>
      <c r="O244" s="139" t="s">
        <v>200</v>
      </c>
      <c r="P244" s="139">
        <v>29</v>
      </c>
      <c r="Q244" s="139" t="str">
        <f>VLOOKUP(P244,'Townwide Contributions'!$A$6:$B$358,2,0)</f>
        <v>Bernardston</v>
      </c>
      <c r="R244" s="139" t="s">
        <v>43</v>
      </c>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row>
    <row r="245" spans="1:91" s="139" customFormat="1">
      <c r="A245" s="140">
        <v>191</v>
      </c>
      <c r="B245" s="140"/>
      <c r="C245" s="139" t="str">
        <f t="shared" si="3"/>
        <v>191 Monson</v>
      </c>
      <c r="D245" s="485">
        <v>191</v>
      </c>
      <c r="E245" s="486" t="s">
        <v>872</v>
      </c>
      <c r="F245" s="486">
        <v>191</v>
      </c>
      <c r="G245" s="486" t="s">
        <v>1841</v>
      </c>
      <c r="L245" s="139">
        <v>81802</v>
      </c>
      <c r="M245" s="139">
        <v>2</v>
      </c>
      <c r="N245" s="139">
        <v>818</v>
      </c>
      <c r="O245" s="139" t="s">
        <v>200</v>
      </c>
      <c r="P245" s="139">
        <v>47</v>
      </c>
      <c r="Q245" s="139" t="str">
        <f>VLOOKUP(P245,'Townwide Contributions'!$A$6:$B$358,2,0)</f>
        <v>Buckland</v>
      </c>
      <c r="R245" s="139" t="s">
        <v>254</v>
      </c>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row>
    <row r="246" spans="1:91" s="139" customFormat="1">
      <c r="A246" s="140">
        <v>426</v>
      </c>
      <c r="B246" s="140"/>
      <c r="C246" s="139" t="str">
        <f t="shared" si="3"/>
        <v>832 Montachusett</v>
      </c>
      <c r="D246" s="485">
        <v>832</v>
      </c>
      <c r="E246" s="486" t="s">
        <v>1105</v>
      </c>
      <c r="F246" s="486">
        <v>832</v>
      </c>
      <c r="G246" s="486" t="s">
        <v>2075</v>
      </c>
      <c r="L246" s="139">
        <v>81803</v>
      </c>
      <c r="M246" s="139">
        <v>3</v>
      </c>
      <c r="N246" s="139">
        <v>818</v>
      </c>
      <c r="O246" s="139" t="s">
        <v>200</v>
      </c>
      <c r="P246" s="139">
        <v>66</v>
      </c>
      <c r="Q246" s="139" t="str">
        <f>VLOOKUP(P246,'Townwide Contributions'!$A$6:$B$358,2,0)</f>
        <v>Colrain</v>
      </c>
      <c r="R246" s="139" t="s">
        <v>279</v>
      </c>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row>
    <row r="247" spans="1:91" s="139" customFormat="1">
      <c r="A247" s="140">
        <v>192</v>
      </c>
      <c r="B247" s="140"/>
      <c r="C247" s="139" t="str">
        <f t="shared" si="3"/>
        <v>192 Montague</v>
      </c>
      <c r="D247" s="485">
        <v>192</v>
      </c>
      <c r="E247" s="486" t="s">
        <v>873</v>
      </c>
      <c r="F247" s="486">
        <v>192</v>
      </c>
      <c r="G247" s="486" t="s">
        <v>1842</v>
      </c>
      <c r="L247" s="139">
        <v>81804</v>
      </c>
      <c r="M247" s="139">
        <v>4</v>
      </c>
      <c r="N247" s="139">
        <v>818</v>
      </c>
      <c r="O247" s="139" t="s">
        <v>200</v>
      </c>
      <c r="P247" s="139">
        <v>68</v>
      </c>
      <c r="Q247" s="139" t="str">
        <f>VLOOKUP(P247,'Townwide Contributions'!$A$6:$B$358,2,0)</f>
        <v>Conway</v>
      </c>
      <c r="R247" s="139" t="s">
        <v>281</v>
      </c>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row>
    <row r="248" spans="1:91" s="139" customFormat="1">
      <c r="A248" s="140">
        <v>193</v>
      </c>
      <c r="B248" s="140"/>
      <c r="C248" s="139" t="str">
        <f t="shared" si="3"/>
        <v>193 Monterey</v>
      </c>
      <c r="D248" s="485">
        <v>193</v>
      </c>
      <c r="E248" s="486" t="s">
        <v>874</v>
      </c>
      <c r="F248" s="486">
        <v>193</v>
      </c>
      <c r="G248" s="486" t="s">
        <v>1843</v>
      </c>
      <c r="L248" s="139">
        <v>81805</v>
      </c>
      <c r="M248" s="139">
        <v>5</v>
      </c>
      <c r="N248" s="139">
        <v>818</v>
      </c>
      <c r="O248" s="139" t="s">
        <v>200</v>
      </c>
      <c r="P248" s="139">
        <v>74</v>
      </c>
      <c r="Q248" s="139" t="str">
        <f>VLOOKUP(P248,'Townwide Contributions'!$A$6:$B$358,2,0)</f>
        <v>Deerfield</v>
      </c>
      <c r="R248" s="139" t="s">
        <v>293</v>
      </c>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row>
    <row r="249" spans="1:91" s="139" customFormat="1">
      <c r="A249" s="140">
        <v>194</v>
      </c>
      <c r="B249" s="140"/>
      <c r="C249" s="139" t="str">
        <f t="shared" si="3"/>
        <v>194 Montgomery</v>
      </c>
      <c r="D249" s="485">
        <v>194</v>
      </c>
      <c r="E249" s="486" t="s">
        <v>875</v>
      </c>
      <c r="F249" s="486">
        <v>194</v>
      </c>
      <c r="G249" s="486" t="s">
        <v>1844</v>
      </c>
      <c r="L249" s="139">
        <v>81806</v>
      </c>
      <c r="M249" s="139">
        <v>6</v>
      </c>
      <c r="N249" s="139">
        <v>818</v>
      </c>
      <c r="O249" s="139" t="s">
        <v>200</v>
      </c>
      <c r="P249" s="139">
        <v>91</v>
      </c>
      <c r="Q249" s="139" t="str">
        <f>VLOOKUP(P249,'Townwide Contributions'!$A$6:$B$358,2,0)</f>
        <v>Erving</v>
      </c>
      <c r="R249" s="139" t="s">
        <v>315</v>
      </c>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row>
    <row r="250" spans="1:91" s="139" customFormat="1">
      <c r="A250" s="140">
        <v>390</v>
      </c>
      <c r="B250" s="140"/>
      <c r="C250" s="139" t="str">
        <f t="shared" si="3"/>
        <v>715 Mount Greylock</v>
      </c>
      <c r="D250" s="485">
        <v>715</v>
      </c>
      <c r="E250" s="486" t="s">
        <v>1069</v>
      </c>
      <c r="F250" s="486">
        <v>715</v>
      </c>
      <c r="G250" s="486" t="s">
        <v>2039</v>
      </c>
      <c r="L250" s="139">
        <v>81807</v>
      </c>
      <c r="M250" s="139">
        <v>7</v>
      </c>
      <c r="N250" s="139">
        <v>818</v>
      </c>
      <c r="O250" s="139" t="s">
        <v>200</v>
      </c>
      <c r="P250" s="139">
        <v>106</v>
      </c>
      <c r="Q250" s="139" t="str">
        <f>VLOOKUP(P250,'Townwide Contributions'!$A$6:$B$358,2,0)</f>
        <v>Gill</v>
      </c>
      <c r="R250" s="139" t="s">
        <v>332</v>
      </c>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row>
    <row r="251" spans="1:91" s="139" customFormat="1">
      <c r="A251" s="140">
        <v>195</v>
      </c>
      <c r="B251" s="140"/>
      <c r="C251" s="139" t="str">
        <f t="shared" si="3"/>
        <v>195 Mount Washington</v>
      </c>
      <c r="D251" s="485">
        <v>195</v>
      </c>
      <c r="E251" s="486" t="s">
        <v>876</v>
      </c>
      <c r="F251" s="486">
        <v>195</v>
      </c>
      <c r="G251" s="486" t="s">
        <v>1845</v>
      </c>
      <c r="L251" s="139">
        <v>81808</v>
      </c>
      <c r="M251" s="139">
        <v>8</v>
      </c>
      <c r="N251" s="139">
        <v>818</v>
      </c>
      <c r="O251" s="139" t="s">
        <v>200</v>
      </c>
      <c r="P251" s="139">
        <v>114</v>
      </c>
      <c r="Q251" s="139" t="str">
        <f>VLOOKUP(P251,'Townwide Contributions'!$A$6:$B$358,2,0)</f>
        <v>Greenfield</v>
      </c>
      <c r="R251" s="139" t="s">
        <v>341</v>
      </c>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row>
    <row r="252" spans="1:91" s="139" customFormat="1">
      <c r="A252" s="140">
        <v>196</v>
      </c>
      <c r="B252" s="140"/>
      <c r="C252" s="139" t="str">
        <f t="shared" si="3"/>
        <v>196 Nahant</v>
      </c>
      <c r="D252" s="485">
        <v>196</v>
      </c>
      <c r="E252" s="486" t="s">
        <v>877</v>
      </c>
      <c r="F252" s="486">
        <v>196</v>
      </c>
      <c r="G252" s="486" t="s">
        <v>1846</v>
      </c>
      <c r="L252" s="139">
        <v>81809</v>
      </c>
      <c r="M252" s="139">
        <v>9</v>
      </c>
      <c r="N252" s="139">
        <v>818</v>
      </c>
      <c r="O252" s="139" t="s">
        <v>200</v>
      </c>
      <c r="P252" s="139">
        <v>130</v>
      </c>
      <c r="Q252" s="139" t="str">
        <f>VLOOKUP(P252,'Townwide Contributions'!$A$6:$B$358,2,0)</f>
        <v>Heath</v>
      </c>
      <c r="R252" s="139" t="s">
        <v>359</v>
      </c>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row>
    <row r="253" spans="1:91" s="139" customFormat="1">
      <c r="A253" s="140">
        <v>197</v>
      </c>
      <c r="B253" s="140"/>
      <c r="C253" s="139" t="str">
        <f t="shared" si="3"/>
        <v>197 Nantucket</v>
      </c>
      <c r="D253" s="485">
        <v>197</v>
      </c>
      <c r="E253" s="486" t="s">
        <v>878</v>
      </c>
      <c r="F253" s="486">
        <v>197</v>
      </c>
      <c r="G253" s="486" t="s">
        <v>1847</v>
      </c>
      <c r="L253" s="139">
        <v>81810</v>
      </c>
      <c r="M253" s="139">
        <v>10</v>
      </c>
      <c r="N253" s="139">
        <v>818</v>
      </c>
      <c r="O253" s="139" t="s">
        <v>200</v>
      </c>
      <c r="P253" s="139">
        <v>156</v>
      </c>
      <c r="Q253" s="139" t="str">
        <f>VLOOKUP(P253,'Townwide Contributions'!$A$6:$B$358,2,0)</f>
        <v>Leyden</v>
      </c>
      <c r="R253" s="139" t="s">
        <v>380</v>
      </c>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row>
    <row r="254" spans="1:91" s="139" customFormat="1">
      <c r="A254" s="140">
        <v>392</v>
      </c>
      <c r="B254" s="140"/>
      <c r="C254" s="139" t="str">
        <f t="shared" si="3"/>
        <v>720 Narragansett</v>
      </c>
      <c r="D254" s="485">
        <v>720</v>
      </c>
      <c r="E254" s="486" t="s">
        <v>1071</v>
      </c>
      <c r="F254" s="486">
        <v>720</v>
      </c>
      <c r="G254" s="486" t="s">
        <v>2041</v>
      </c>
      <c r="L254" s="139">
        <v>81811</v>
      </c>
      <c r="M254" s="139">
        <v>11</v>
      </c>
      <c r="N254" s="139">
        <v>818</v>
      </c>
      <c r="O254" s="139" t="s">
        <v>200</v>
      </c>
      <c r="P254" s="139">
        <v>192</v>
      </c>
      <c r="Q254" s="139" t="str">
        <f>VLOOKUP(P254,'Townwide Contributions'!$A$6:$B$358,2,0)</f>
        <v>Montague</v>
      </c>
      <c r="R254" s="139" t="s">
        <v>434</v>
      </c>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row>
    <row r="255" spans="1:91" s="139" customFormat="1">
      <c r="A255" s="140">
        <v>393</v>
      </c>
      <c r="B255" s="140"/>
      <c r="C255" s="139" t="str">
        <f t="shared" si="3"/>
        <v>725 Nashoba</v>
      </c>
      <c r="D255" s="485">
        <v>725</v>
      </c>
      <c r="E255" s="486" t="s">
        <v>1072</v>
      </c>
      <c r="F255" s="486">
        <v>725</v>
      </c>
      <c r="G255" s="486" t="s">
        <v>2042</v>
      </c>
      <c r="L255" s="139">
        <v>81812</v>
      </c>
      <c r="M255" s="139">
        <v>12</v>
      </c>
      <c r="N255" s="139">
        <v>818</v>
      </c>
      <c r="O255" s="139" t="s">
        <v>200</v>
      </c>
      <c r="P255" s="139">
        <v>206</v>
      </c>
      <c r="Q255" s="139" t="str">
        <f>VLOOKUP(P255,'Townwide Contributions'!$A$6:$B$358,2,0)</f>
        <v>New Salem</v>
      </c>
      <c r="R255" s="139" t="s">
        <v>447</v>
      </c>
      <c r="S255"/>
      <c r="T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row>
    <row r="256" spans="1:91" s="139" customFormat="1">
      <c r="A256" s="140">
        <v>428</v>
      </c>
      <c r="B256" s="140"/>
      <c r="C256" s="139" t="str">
        <f t="shared" si="3"/>
        <v>852 Nashoba Valley</v>
      </c>
      <c r="D256" s="485">
        <v>852</v>
      </c>
      <c r="E256" s="486" t="s">
        <v>1107</v>
      </c>
      <c r="F256" s="486">
        <v>852</v>
      </c>
      <c r="G256" s="486" t="s">
        <v>2077</v>
      </c>
      <c r="L256" s="139">
        <v>81813</v>
      </c>
      <c r="M256" s="139">
        <v>13</v>
      </c>
      <c r="N256" s="139">
        <v>818</v>
      </c>
      <c r="O256" s="139" t="s">
        <v>200</v>
      </c>
      <c r="P256" s="139">
        <v>216</v>
      </c>
      <c r="Q256" s="139" t="str">
        <f>VLOOKUP(P256,'Townwide Contributions'!$A$6:$B$358,2,0)</f>
        <v>Northfield</v>
      </c>
      <c r="R256" s="139" t="s">
        <v>462</v>
      </c>
      <c r="V256"/>
    </row>
    <row r="257" spans="1:22" s="139" customFormat="1">
      <c r="A257" s="140">
        <v>198</v>
      </c>
      <c r="B257" s="140"/>
      <c r="C257" s="139" t="str">
        <f t="shared" si="3"/>
        <v>198 Natick</v>
      </c>
      <c r="D257" s="485">
        <v>198</v>
      </c>
      <c r="E257" s="486" t="s">
        <v>879</v>
      </c>
      <c r="F257" s="486">
        <v>198</v>
      </c>
      <c r="G257" s="486" t="s">
        <v>1848</v>
      </c>
      <c r="L257" s="139">
        <v>81814</v>
      </c>
      <c r="M257" s="139">
        <v>14</v>
      </c>
      <c r="N257" s="139">
        <v>818</v>
      </c>
      <c r="O257" s="139" t="s">
        <v>200</v>
      </c>
      <c r="P257" s="139">
        <v>223</v>
      </c>
      <c r="Q257" s="139" t="str">
        <f>VLOOKUP(P257,'Townwide Contributions'!$A$6:$B$358,2,0)</f>
        <v>Orange</v>
      </c>
      <c r="R257" s="139" t="s">
        <v>471</v>
      </c>
      <c r="V257"/>
    </row>
    <row r="258" spans="1:22" s="139" customFormat="1">
      <c r="A258" s="140">
        <v>372</v>
      </c>
      <c r="B258" s="140"/>
      <c r="C258" s="139" t="str">
        <f t="shared" si="3"/>
        <v>660 Nauset</v>
      </c>
      <c r="D258" s="485">
        <v>660</v>
      </c>
      <c r="E258" s="486" t="s">
        <v>1051</v>
      </c>
      <c r="F258" s="486">
        <v>660</v>
      </c>
      <c r="G258" s="486" t="s">
        <v>2021</v>
      </c>
      <c r="L258" s="139">
        <v>81815</v>
      </c>
      <c r="M258" s="139">
        <v>15</v>
      </c>
      <c r="N258" s="139">
        <v>818</v>
      </c>
      <c r="O258" s="139" t="s">
        <v>200</v>
      </c>
      <c r="P258" s="139">
        <v>268</v>
      </c>
      <c r="Q258" s="139" t="str">
        <f>VLOOKUP(P258,'Townwide Contributions'!$A$6:$B$358,2,0)</f>
        <v>Shelburne</v>
      </c>
      <c r="R258" s="139" t="s">
        <v>517</v>
      </c>
      <c r="V258"/>
    </row>
    <row r="259" spans="1:22" s="139" customFormat="1">
      <c r="A259" s="140">
        <v>199</v>
      </c>
      <c r="B259" s="140"/>
      <c r="C259" s="139" t="str">
        <f t="shared" si="3"/>
        <v>199 Needham</v>
      </c>
      <c r="D259" s="485">
        <v>199</v>
      </c>
      <c r="E259" s="486" t="s">
        <v>880</v>
      </c>
      <c r="F259" s="486">
        <v>199</v>
      </c>
      <c r="G259" s="486" t="s">
        <v>1849</v>
      </c>
      <c r="L259" s="139">
        <v>81816</v>
      </c>
      <c r="M259" s="139">
        <v>16</v>
      </c>
      <c r="N259" s="139">
        <v>818</v>
      </c>
      <c r="O259" s="139" t="s">
        <v>200</v>
      </c>
      <c r="P259" s="139">
        <v>289</v>
      </c>
      <c r="Q259" s="139" t="str">
        <f>VLOOKUP(P259,'Townwide Contributions'!$A$6:$B$358,2,0)</f>
        <v>Sunderland</v>
      </c>
      <c r="R259" s="139" t="s">
        <v>537</v>
      </c>
      <c r="V259"/>
    </row>
    <row r="260" spans="1:22" s="139" customFormat="1">
      <c r="A260" s="140">
        <v>200</v>
      </c>
      <c r="B260" s="140"/>
      <c r="C260" s="139" t="str">
        <f t="shared" si="3"/>
        <v>200 New Ashford</v>
      </c>
      <c r="D260" s="485">
        <v>200</v>
      </c>
      <c r="E260" s="486" t="s">
        <v>881</v>
      </c>
      <c r="F260" s="486">
        <v>200</v>
      </c>
      <c r="G260" s="486" t="s">
        <v>1850</v>
      </c>
      <c r="L260" s="139">
        <v>81817</v>
      </c>
      <c r="M260" s="139">
        <v>17</v>
      </c>
      <c r="N260" s="139">
        <v>818</v>
      </c>
      <c r="O260" s="139" t="s">
        <v>200</v>
      </c>
      <c r="P260" s="139">
        <v>312</v>
      </c>
      <c r="Q260" s="139" t="str">
        <f>VLOOKUP(P260,'Townwide Contributions'!$A$6:$B$358,2,0)</f>
        <v>Warwick</v>
      </c>
      <c r="R260" s="139" t="s">
        <v>559</v>
      </c>
      <c r="V260"/>
    </row>
    <row r="261" spans="1:22" s="139" customFormat="1">
      <c r="A261" s="140">
        <v>201</v>
      </c>
      <c r="B261" s="140"/>
      <c r="C261" s="139" t="str">
        <f t="shared" si="3"/>
        <v>201 New Bedford</v>
      </c>
      <c r="D261" s="485">
        <v>201</v>
      </c>
      <c r="E261" s="486" t="s">
        <v>882</v>
      </c>
      <c r="F261" s="486">
        <v>201</v>
      </c>
      <c r="G261" s="486" t="s">
        <v>1851</v>
      </c>
      <c r="L261" s="139">
        <v>81818</v>
      </c>
      <c r="M261" s="139">
        <v>18</v>
      </c>
      <c r="N261" s="139">
        <v>818</v>
      </c>
      <c r="O261" s="139" t="s">
        <v>200</v>
      </c>
      <c r="P261" s="139">
        <v>319</v>
      </c>
      <c r="Q261" s="139" t="str">
        <f>VLOOKUP(P261,'Townwide Contributions'!$A$6:$B$358,2,0)</f>
        <v>Wendell</v>
      </c>
      <c r="R261" s="139" t="s">
        <v>564</v>
      </c>
      <c r="V261"/>
    </row>
    <row r="262" spans="1:22" s="139" customFormat="1">
      <c r="A262" s="140">
        <v>202</v>
      </c>
      <c r="B262" s="140"/>
      <c r="C262" s="139" t="str">
        <f t="shared" ref="C262:C325" si="4">PROPER(D262&amp;" "&amp;E262)</f>
        <v>202 New Braintree</v>
      </c>
      <c r="D262" s="485">
        <v>202</v>
      </c>
      <c r="E262" s="486" t="s">
        <v>883</v>
      </c>
      <c r="F262" s="486">
        <v>202</v>
      </c>
      <c r="G262" s="486" t="s">
        <v>1852</v>
      </c>
      <c r="L262" s="139">
        <v>81819</v>
      </c>
      <c r="M262" s="139">
        <v>19</v>
      </c>
      <c r="N262" s="139">
        <v>818</v>
      </c>
      <c r="O262" s="139" t="s">
        <v>200</v>
      </c>
      <c r="P262" s="139">
        <v>337</v>
      </c>
      <c r="Q262" s="139" t="str">
        <f>VLOOKUP(P262,'Townwide Contributions'!$A$6:$B$358,2,0)</f>
        <v>Whately</v>
      </c>
      <c r="R262" s="139" t="s">
        <v>578</v>
      </c>
      <c r="V262"/>
    </row>
    <row r="263" spans="1:22" s="139" customFormat="1">
      <c r="A263" s="140">
        <v>205</v>
      </c>
      <c r="B263" s="140"/>
      <c r="C263" s="139" t="str">
        <f t="shared" si="4"/>
        <v>205 New Marlborough</v>
      </c>
      <c r="D263" s="485">
        <v>205</v>
      </c>
      <c r="E263" s="486" t="s">
        <v>886</v>
      </c>
      <c r="F263" s="486">
        <v>205</v>
      </c>
      <c r="G263" s="486" t="s">
        <v>1855</v>
      </c>
      <c r="L263" s="139">
        <v>82101</v>
      </c>
      <c r="M263" s="139">
        <v>1</v>
      </c>
      <c r="N263" s="139">
        <v>821</v>
      </c>
      <c r="O263" s="139" t="s">
        <v>201</v>
      </c>
      <c r="P263" s="139">
        <v>95</v>
      </c>
      <c r="Q263" s="139" t="str">
        <f>VLOOKUP(P263,'Townwide Contributions'!$A$6:$B$358,2,0)</f>
        <v>Fall River</v>
      </c>
      <c r="R263" s="139" t="s">
        <v>318</v>
      </c>
      <c r="V263"/>
    </row>
    <row r="264" spans="1:22" s="139" customFormat="1">
      <c r="A264" s="140">
        <v>206</v>
      </c>
      <c r="B264" s="140"/>
      <c r="C264" s="139" t="str">
        <f t="shared" si="4"/>
        <v>206 New Salem</v>
      </c>
      <c r="D264" s="485">
        <v>206</v>
      </c>
      <c r="E264" s="486" t="s">
        <v>887</v>
      </c>
      <c r="F264" s="486">
        <v>206</v>
      </c>
      <c r="G264" s="486" t="s">
        <v>1856</v>
      </c>
      <c r="L264" s="139">
        <v>82102</v>
      </c>
      <c r="M264" s="139">
        <v>2</v>
      </c>
      <c r="N264" s="139">
        <v>821</v>
      </c>
      <c r="O264" s="139" t="s">
        <v>201</v>
      </c>
      <c r="P264" s="139">
        <v>273</v>
      </c>
      <c r="Q264" s="139" t="str">
        <f>VLOOKUP(P264,'Townwide Contributions'!$A$6:$B$358,2,0)</f>
        <v>Somerset</v>
      </c>
      <c r="R264" s="139" t="s">
        <v>521</v>
      </c>
      <c r="V264"/>
    </row>
    <row r="265" spans="1:22" s="139" customFormat="1">
      <c r="A265" s="140">
        <v>394</v>
      </c>
      <c r="B265" s="140"/>
      <c r="C265" s="139" t="str">
        <f t="shared" si="4"/>
        <v>728 New Salem Wendell</v>
      </c>
      <c r="D265" s="485">
        <v>728</v>
      </c>
      <c r="E265" s="486" t="s">
        <v>1073</v>
      </c>
      <c r="F265" s="486">
        <v>728</v>
      </c>
      <c r="G265" s="486" t="s">
        <v>2043</v>
      </c>
      <c r="L265" s="139">
        <v>82103</v>
      </c>
      <c r="M265" s="139">
        <v>3</v>
      </c>
      <c r="N265" s="139">
        <v>821</v>
      </c>
      <c r="O265" s="139" t="s">
        <v>201</v>
      </c>
      <c r="P265" s="139">
        <v>292</v>
      </c>
      <c r="Q265" s="139" t="str">
        <f>VLOOKUP(P265,'Townwide Contributions'!$A$6:$B$358,2,0)</f>
        <v>Swansea</v>
      </c>
      <c r="R265" s="139" t="s">
        <v>540</v>
      </c>
      <c r="V265"/>
    </row>
    <row r="266" spans="1:22" s="139" customFormat="1">
      <c r="A266" s="140">
        <v>203</v>
      </c>
      <c r="B266" s="140"/>
      <c r="C266" s="139" t="str">
        <f t="shared" si="4"/>
        <v>203 Newbury</v>
      </c>
      <c r="D266" s="485">
        <v>203</v>
      </c>
      <c r="E266" s="486" t="s">
        <v>884</v>
      </c>
      <c r="F266" s="486">
        <v>203</v>
      </c>
      <c r="G266" s="486" t="s">
        <v>1853</v>
      </c>
      <c r="L266" s="139">
        <v>82104</v>
      </c>
      <c r="M266" s="139">
        <v>4</v>
      </c>
      <c r="N266" s="139">
        <v>821</v>
      </c>
      <c r="O266" s="139" t="s">
        <v>201</v>
      </c>
      <c r="P266" s="139">
        <v>331</v>
      </c>
      <c r="Q266" s="139" t="str">
        <f>VLOOKUP(P266,'Townwide Contributions'!$A$6:$B$358,2,0)</f>
        <v>Westport</v>
      </c>
      <c r="R266" s="139" t="s">
        <v>573</v>
      </c>
      <c r="V266"/>
    </row>
    <row r="267" spans="1:22" s="139" customFormat="1">
      <c r="A267" s="140">
        <v>204</v>
      </c>
      <c r="B267" s="140"/>
      <c r="C267" s="139" t="str">
        <f t="shared" si="4"/>
        <v>204 Newburyport</v>
      </c>
      <c r="D267" s="485">
        <v>204</v>
      </c>
      <c r="E267" s="486" t="s">
        <v>885</v>
      </c>
      <c r="F267" s="486">
        <v>204</v>
      </c>
      <c r="G267" s="486" t="s">
        <v>1854</v>
      </c>
      <c r="L267" s="139">
        <v>82301</v>
      </c>
      <c r="M267" s="139">
        <v>1</v>
      </c>
      <c r="N267" s="139">
        <v>823</v>
      </c>
      <c r="O267" s="139" t="s">
        <v>202</v>
      </c>
      <c r="P267" s="139">
        <v>9</v>
      </c>
      <c r="Q267" s="139" t="str">
        <f>VLOOKUP(P267,'Townwide Contributions'!$A$6:$B$358,2,0)</f>
        <v>Andover</v>
      </c>
      <c r="R267" s="139" t="s">
        <v>5</v>
      </c>
      <c r="V267"/>
    </row>
    <row r="268" spans="1:22" s="139" customFormat="1">
      <c r="A268" s="140">
        <v>207</v>
      </c>
      <c r="B268" s="140"/>
      <c r="C268" s="139" t="str">
        <f t="shared" si="4"/>
        <v>207 Newton</v>
      </c>
      <c r="D268" s="485">
        <v>207</v>
      </c>
      <c r="E268" s="486" t="s">
        <v>888</v>
      </c>
      <c r="F268" s="486">
        <v>207</v>
      </c>
      <c r="G268" s="486" t="s">
        <v>1857</v>
      </c>
      <c r="L268" s="139">
        <v>82302</v>
      </c>
      <c r="M268" s="139">
        <v>2</v>
      </c>
      <c r="N268" s="139">
        <v>823</v>
      </c>
      <c r="O268" s="139" t="s">
        <v>202</v>
      </c>
      <c r="P268" s="139">
        <v>149</v>
      </c>
      <c r="Q268" s="139" t="str">
        <f>VLOOKUP(P268,'Townwide Contributions'!$A$6:$B$358,2,0)</f>
        <v>Lawrence</v>
      </c>
      <c r="R268" s="139" t="s">
        <v>377</v>
      </c>
      <c r="V268"/>
    </row>
    <row r="269" spans="1:22" s="139" customFormat="1">
      <c r="A269" s="140">
        <v>208</v>
      </c>
      <c r="B269" s="140"/>
      <c r="C269" s="139" t="str">
        <f t="shared" si="4"/>
        <v>208 Norfolk</v>
      </c>
      <c r="D269" s="485">
        <v>208</v>
      </c>
      <c r="E269" s="486" t="s">
        <v>889</v>
      </c>
      <c r="F269" s="486">
        <v>208</v>
      </c>
      <c r="G269" s="486" t="s">
        <v>1858</v>
      </c>
      <c r="L269" s="139">
        <v>82303</v>
      </c>
      <c r="M269" s="139">
        <v>3</v>
      </c>
      <c r="N269" s="139">
        <v>823</v>
      </c>
      <c r="O269" s="139" t="s">
        <v>202</v>
      </c>
      <c r="P269" s="139">
        <v>181</v>
      </c>
      <c r="Q269" s="139" t="str">
        <f>VLOOKUP(P269,'Townwide Contributions'!$A$6:$B$358,2,0)</f>
        <v>Methuen</v>
      </c>
      <c r="R269" s="139" t="s">
        <v>423</v>
      </c>
      <c r="V269"/>
    </row>
    <row r="270" spans="1:22" s="139" customFormat="1">
      <c r="A270" s="140">
        <v>440</v>
      </c>
      <c r="B270" s="140"/>
      <c r="C270" s="139" t="str">
        <f t="shared" si="4"/>
        <v>915 Norfolk County</v>
      </c>
      <c r="D270" s="485">
        <v>915</v>
      </c>
      <c r="E270" s="486" t="s">
        <v>1119</v>
      </c>
      <c r="F270" s="486">
        <v>915</v>
      </c>
      <c r="G270" s="486" t="s">
        <v>2089</v>
      </c>
      <c r="L270" s="139">
        <v>82304</v>
      </c>
      <c r="M270" s="139">
        <v>4</v>
      </c>
      <c r="N270" s="139">
        <v>823</v>
      </c>
      <c r="O270" s="139" t="s">
        <v>202</v>
      </c>
      <c r="P270" s="139">
        <v>211</v>
      </c>
      <c r="Q270" s="139" t="str">
        <f>VLOOKUP(P270,'Townwide Contributions'!$A$6:$B$358,2,0)</f>
        <v>North Andover</v>
      </c>
      <c r="R270" s="139" t="s">
        <v>456</v>
      </c>
      <c r="V270"/>
    </row>
    <row r="271" spans="1:22" s="139" customFormat="1">
      <c r="A271" s="140">
        <v>209</v>
      </c>
      <c r="B271" s="140"/>
      <c r="C271" s="139" t="str">
        <f t="shared" si="4"/>
        <v>209 North Adams</v>
      </c>
      <c r="D271" s="485">
        <v>209</v>
      </c>
      <c r="E271" s="486" t="s">
        <v>890</v>
      </c>
      <c r="F271" s="486">
        <v>209</v>
      </c>
      <c r="G271" s="486" t="s">
        <v>1859</v>
      </c>
      <c r="L271" s="139">
        <v>82501</v>
      </c>
      <c r="M271" s="139">
        <v>1</v>
      </c>
      <c r="N271" s="139">
        <v>825</v>
      </c>
      <c r="O271" s="139" t="s">
        <v>203</v>
      </c>
      <c r="P271" s="139">
        <v>72</v>
      </c>
      <c r="Q271" s="139" t="str">
        <f>VLOOKUP(P271,'Townwide Contributions'!$A$6:$B$358,2,0)</f>
        <v>Dartmouth</v>
      </c>
      <c r="R271" s="139" t="s">
        <v>286</v>
      </c>
      <c r="V271"/>
    </row>
    <row r="272" spans="1:22" s="139" customFormat="1">
      <c r="A272" s="140">
        <v>211</v>
      </c>
      <c r="B272" s="140"/>
      <c r="C272" s="139" t="str">
        <f t="shared" si="4"/>
        <v>211 North Andover</v>
      </c>
      <c r="D272" s="485">
        <v>211</v>
      </c>
      <c r="E272" s="486" t="s">
        <v>892</v>
      </c>
      <c r="F272" s="486">
        <v>211</v>
      </c>
      <c r="G272" s="486" t="s">
        <v>1861</v>
      </c>
      <c r="L272" s="139">
        <v>82502</v>
      </c>
      <c r="M272" s="139">
        <v>2</v>
      </c>
      <c r="N272" s="139">
        <v>825</v>
      </c>
      <c r="O272" s="139" t="s">
        <v>203</v>
      </c>
      <c r="P272" s="139">
        <v>94</v>
      </c>
      <c r="Q272" s="139" t="str">
        <f>VLOOKUP(P272,'Townwide Contributions'!$A$6:$B$358,2,0)</f>
        <v>Fairhaven</v>
      </c>
      <c r="R272" s="139" t="s">
        <v>317</v>
      </c>
      <c r="V272"/>
    </row>
    <row r="273" spans="1:22" s="139" customFormat="1">
      <c r="A273" s="140">
        <v>212</v>
      </c>
      <c r="B273" s="140"/>
      <c r="C273" s="139" t="str">
        <f t="shared" si="4"/>
        <v>212 North Attleborough</v>
      </c>
      <c r="D273" s="485">
        <v>212</v>
      </c>
      <c r="E273" s="486" t="s">
        <v>893</v>
      </c>
      <c r="F273" s="486">
        <v>212</v>
      </c>
      <c r="G273" s="486" t="s">
        <v>1862</v>
      </c>
      <c r="L273" s="139">
        <v>82503</v>
      </c>
      <c r="M273" s="139">
        <v>3</v>
      </c>
      <c r="N273" s="139">
        <v>825</v>
      </c>
      <c r="O273" s="139" t="s">
        <v>203</v>
      </c>
      <c r="P273" s="139">
        <v>201</v>
      </c>
      <c r="Q273" s="139" t="str">
        <f>VLOOKUP(P273,'Townwide Contributions'!$A$6:$B$358,2,0)</f>
        <v>New Bedford</v>
      </c>
      <c r="R273" s="139" t="s">
        <v>441</v>
      </c>
      <c r="V273"/>
    </row>
    <row r="274" spans="1:22" s="139" customFormat="1">
      <c r="A274" s="140">
        <v>215</v>
      </c>
      <c r="B274" s="140"/>
      <c r="C274" s="139" t="str">
        <f t="shared" si="4"/>
        <v>215 North Brookfield</v>
      </c>
      <c r="D274" s="485">
        <v>215</v>
      </c>
      <c r="E274" s="486" t="s">
        <v>896</v>
      </c>
      <c r="F274" s="486">
        <v>215</v>
      </c>
      <c r="G274" s="486" t="s">
        <v>1865</v>
      </c>
      <c r="L274" s="139">
        <v>82801</v>
      </c>
      <c r="M274" s="139">
        <v>1</v>
      </c>
      <c r="N274" s="139">
        <v>828</v>
      </c>
      <c r="O274" s="139" t="s">
        <v>204</v>
      </c>
      <c r="P274" s="139">
        <v>79</v>
      </c>
      <c r="Q274" s="139" t="str">
        <f>VLOOKUP(P274,'Townwide Contributions'!$A$6:$B$358,2,0)</f>
        <v>Dracut</v>
      </c>
      <c r="R274" s="139" t="s">
        <v>301</v>
      </c>
      <c r="V274"/>
    </row>
    <row r="275" spans="1:22" s="139" customFormat="1">
      <c r="A275" s="140">
        <v>396</v>
      </c>
      <c r="B275" s="140"/>
      <c r="C275" s="139" t="str">
        <f t="shared" si="4"/>
        <v>735 North Middlesex</v>
      </c>
      <c r="D275" s="485">
        <v>735</v>
      </c>
      <c r="E275" s="486" t="s">
        <v>1075</v>
      </c>
      <c r="F275" s="486">
        <v>735</v>
      </c>
      <c r="G275" s="486" t="s">
        <v>2045</v>
      </c>
      <c r="L275" s="139">
        <v>82802</v>
      </c>
      <c r="M275" s="139">
        <v>2</v>
      </c>
      <c r="N275" s="139">
        <v>828</v>
      </c>
      <c r="O275" s="139" t="s">
        <v>204</v>
      </c>
      <c r="P275" s="139">
        <v>81</v>
      </c>
      <c r="Q275" s="139" t="str">
        <f>VLOOKUP(P275,'Townwide Contributions'!$A$6:$B$358,2,0)</f>
        <v>Dunstable</v>
      </c>
      <c r="R275" s="139" t="s">
        <v>305</v>
      </c>
      <c r="V275"/>
    </row>
    <row r="276" spans="1:22" s="139" customFormat="1">
      <c r="A276" s="140">
        <v>217</v>
      </c>
      <c r="B276" s="140"/>
      <c r="C276" s="139" t="str">
        <f t="shared" si="4"/>
        <v>217 North Reading</v>
      </c>
      <c r="D276" s="485">
        <v>217</v>
      </c>
      <c r="E276" s="486" t="s">
        <v>898</v>
      </c>
      <c r="F276" s="486">
        <v>217</v>
      </c>
      <c r="G276" s="486" t="s">
        <v>1867</v>
      </c>
      <c r="L276" s="139">
        <v>82803</v>
      </c>
      <c r="M276" s="139">
        <v>3</v>
      </c>
      <c r="N276" s="139">
        <v>828</v>
      </c>
      <c r="O276" s="139" t="s">
        <v>204</v>
      </c>
      <c r="P276" s="139">
        <v>160</v>
      </c>
      <c r="Q276" s="139" t="str">
        <f>VLOOKUP(P276,'Townwide Contributions'!$A$6:$B$358,2,0)</f>
        <v>Lowell</v>
      </c>
      <c r="R276" s="139" t="s">
        <v>384</v>
      </c>
      <c r="V276"/>
    </row>
    <row r="277" spans="1:22" s="139" customFormat="1">
      <c r="A277" s="140">
        <v>210</v>
      </c>
      <c r="B277" s="140"/>
      <c r="C277" s="139" t="str">
        <f t="shared" si="4"/>
        <v>210 Northampton</v>
      </c>
      <c r="D277" s="485">
        <v>210</v>
      </c>
      <c r="E277" s="486" t="s">
        <v>891</v>
      </c>
      <c r="F277" s="486">
        <v>210</v>
      </c>
      <c r="G277" s="486" t="s">
        <v>1860</v>
      </c>
      <c r="L277" s="139">
        <v>82804</v>
      </c>
      <c r="M277" s="139">
        <v>4</v>
      </c>
      <c r="N277" s="139">
        <v>828</v>
      </c>
      <c r="O277" s="139" t="s">
        <v>204</v>
      </c>
      <c r="P277" s="139">
        <v>301</v>
      </c>
      <c r="Q277" s="139" t="str">
        <f>VLOOKUP(P277,'Townwide Contributions'!$A$6:$B$358,2,0)</f>
        <v>Tyngsborough</v>
      </c>
      <c r="R277" s="139" t="s">
        <v>549</v>
      </c>
      <c r="V277"/>
    </row>
    <row r="278" spans="1:22" s="139" customFormat="1">
      <c r="A278" s="140">
        <v>354</v>
      </c>
      <c r="B278" s="140"/>
      <c r="C278" s="139" t="str">
        <f t="shared" si="4"/>
        <v>406 Northampton Smith</v>
      </c>
      <c r="D278" s="485">
        <v>406</v>
      </c>
      <c r="E278" s="486" t="s">
        <v>1034</v>
      </c>
      <c r="F278" s="486">
        <v>406</v>
      </c>
      <c r="G278" s="486" t="s">
        <v>2003</v>
      </c>
      <c r="L278" s="139">
        <v>82901</v>
      </c>
      <c r="M278" s="139">
        <v>1</v>
      </c>
      <c r="N278" s="139">
        <v>829</v>
      </c>
      <c r="O278" s="139" t="s">
        <v>205</v>
      </c>
      <c r="P278" s="139">
        <v>14</v>
      </c>
      <c r="Q278" s="139" t="str">
        <f>VLOOKUP(P278,'Townwide Contributions'!$A$6:$B$358,2,0)</f>
        <v>Ashland</v>
      </c>
      <c r="R278" s="139" t="s">
        <v>15</v>
      </c>
      <c r="V278"/>
    </row>
    <row r="279" spans="1:22" s="139" customFormat="1">
      <c r="A279" s="140">
        <v>395</v>
      </c>
      <c r="B279" s="140"/>
      <c r="C279" s="139" t="str">
        <f t="shared" si="4"/>
        <v>730 Northboro Southboro</v>
      </c>
      <c r="D279" s="485">
        <v>730</v>
      </c>
      <c r="E279" s="486" t="s">
        <v>1074</v>
      </c>
      <c r="F279" s="486">
        <v>730</v>
      </c>
      <c r="G279" s="486" t="s">
        <v>2044</v>
      </c>
      <c r="L279" s="139">
        <v>82902</v>
      </c>
      <c r="M279" s="139">
        <v>2</v>
      </c>
      <c r="N279" s="139">
        <v>829</v>
      </c>
      <c r="O279" s="139" t="s">
        <v>205</v>
      </c>
      <c r="P279" s="139">
        <v>100</v>
      </c>
      <c r="Q279" s="139" t="str">
        <f>VLOOKUP(P279,'Townwide Contributions'!$A$6:$B$358,2,0)</f>
        <v>Framingham</v>
      </c>
      <c r="R279" s="139" t="s">
        <v>324</v>
      </c>
      <c r="V279"/>
    </row>
    <row r="280" spans="1:22" s="139" customFormat="1">
      <c r="A280" s="140">
        <v>213</v>
      </c>
      <c r="B280" s="140"/>
      <c r="C280" s="139" t="str">
        <f t="shared" si="4"/>
        <v>213 Northborough</v>
      </c>
      <c r="D280" s="485">
        <v>213</v>
      </c>
      <c r="E280" s="486" t="s">
        <v>894</v>
      </c>
      <c r="F280" s="486">
        <v>213</v>
      </c>
      <c r="G280" s="486" t="s">
        <v>1863</v>
      </c>
      <c r="L280" s="139">
        <v>82903</v>
      </c>
      <c r="M280" s="139">
        <v>3</v>
      </c>
      <c r="N280" s="139">
        <v>829</v>
      </c>
      <c r="O280" s="139" t="s">
        <v>205</v>
      </c>
      <c r="P280" s="139">
        <v>136</v>
      </c>
      <c r="Q280" s="139" t="str">
        <f>VLOOKUP(P280,'Townwide Contributions'!$A$6:$B$358,2,0)</f>
        <v>Holliston</v>
      </c>
      <c r="R280" s="139" t="s">
        <v>365</v>
      </c>
      <c r="V280"/>
    </row>
    <row r="281" spans="1:22" s="139" customFormat="1">
      <c r="A281" s="140">
        <v>214</v>
      </c>
      <c r="B281" s="140"/>
      <c r="C281" s="139" t="str">
        <f t="shared" si="4"/>
        <v>214 Northbridge</v>
      </c>
      <c r="D281" s="485">
        <v>214</v>
      </c>
      <c r="E281" s="486" t="s">
        <v>895</v>
      </c>
      <c r="F281" s="486">
        <v>214</v>
      </c>
      <c r="G281" s="486" t="s">
        <v>1864</v>
      </c>
      <c r="L281" s="139">
        <v>82904</v>
      </c>
      <c r="M281" s="139">
        <v>4</v>
      </c>
      <c r="N281" s="139">
        <v>829</v>
      </c>
      <c r="O281" s="139" t="s">
        <v>205</v>
      </c>
      <c r="P281" s="139">
        <v>139</v>
      </c>
      <c r="Q281" s="139" t="str">
        <f>VLOOKUP(P281,'Townwide Contributions'!$A$6:$B$358,2,0)</f>
        <v>Hopkinton</v>
      </c>
      <c r="R281" s="139" t="s">
        <v>367</v>
      </c>
      <c r="V281"/>
    </row>
    <row r="282" spans="1:22" s="139" customFormat="1">
      <c r="A282" s="140">
        <v>429</v>
      </c>
      <c r="B282" s="140"/>
      <c r="C282" s="139" t="str">
        <f t="shared" si="4"/>
        <v>853 Northeast Metropolitan</v>
      </c>
      <c r="D282" s="485">
        <v>853</v>
      </c>
      <c r="E282" s="486" t="s">
        <v>1108</v>
      </c>
      <c r="F282" s="486">
        <v>853</v>
      </c>
      <c r="G282" s="486" t="s">
        <v>2078</v>
      </c>
      <c r="L282" s="139">
        <v>82905</v>
      </c>
      <c r="M282" s="139">
        <v>5</v>
      </c>
      <c r="N282" s="139">
        <v>829</v>
      </c>
      <c r="O282" s="139" t="s">
        <v>205</v>
      </c>
      <c r="P282" s="139">
        <v>198</v>
      </c>
      <c r="Q282" s="139" t="str">
        <f>VLOOKUP(P282,'Townwide Contributions'!$A$6:$B$358,2,0)</f>
        <v>Natick</v>
      </c>
      <c r="R282" s="139" t="s">
        <v>438</v>
      </c>
      <c r="V282"/>
    </row>
    <row r="283" spans="1:22" s="139" customFormat="1">
      <c r="A283" s="140">
        <v>427</v>
      </c>
      <c r="B283" s="140"/>
      <c r="C283" s="139" t="str">
        <f t="shared" si="4"/>
        <v>851 Northern Berkshire</v>
      </c>
      <c r="D283" s="485">
        <v>851</v>
      </c>
      <c r="E283" s="486" t="s">
        <v>1106</v>
      </c>
      <c r="F283" s="486">
        <v>851</v>
      </c>
      <c r="G283" s="486" t="s">
        <v>2076</v>
      </c>
      <c r="L283" s="139">
        <v>83001</v>
      </c>
      <c r="M283" s="139">
        <v>1</v>
      </c>
      <c r="N283" s="139">
        <v>830</v>
      </c>
      <c r="O283" s="139" t="s">
        <v>206</v>
      </c>
      <c r="P283" s="139">
        <v>2</v>
      </c>
      <c r="Q283" s="139" t="str">
        <f>VLOOKUP(P283,'Townwide Contributions'!$A$6:$B$358,2,0)</f>
        <v>Acton</v>
      </c>
      <c r="R283" s="139" t="s">
        <v>621</v>
      </c>
      <c r="V283"/>
    </row>
    <row r="284" spans="1:22" s="139" customFormat="1">
      <c r="A284" s="140">
        <v>216</v>
      </c>
      <c r="B284" s="140"/>
      <c r="C284" s="139" t="str">
        <f t="shared" si="4"/>
        <v>216 Northfield</v>
      </c>
      <c r="D284" s="485">
        <v>216</v>
      </c>
      <c r="E284" s="486" t="s">
        <v>897</v>
      </c>
      <c r="F284" s="486">
        <v>216</v>
      </c>
      <c r="G284" s="486" t="s">
        <v>1866</v>
      </c>
      <c r="L284" s="139">
        <v>83002</v>
      </c>
      <c r="M284" s="139">
        <v>2</v>
      </c>
      <c r="N284" s="139">
        <v>830</v>
      </c>
      <c r="O284" s="139" t="s">
        <v>206</v>
      </c>
      <c r="P284" s="139">
        <v>10</v>
      </c>
      <c r="Q284" s="139" t="str">
        <f>VLOOKUP(P284,'Townwide Contributions'!$A$6:$B$358,2,0)</f>
        <v>Arlington</v>
      </c>
      <c r="R284" s="139" t="s">
        <v>7</v>
      </c>
      <c r="V284"/>
    </row>
    <row r="285" spans="1:22" s="139" customFormat="1">
      <c r="A285" s="140">
        <v>218</v>
      </c>
      <c r="B285" s="140"/>
      <c r="C285" s="139" t="str">
        <f t="shared" si="4"/>
        <v>218 Norton</v>
      </c>
      <c r="D285" s="485">
        <v>218</v>
      </c>
      <c r="E285" s="486" t="s">
        <v>899</v>
      </c>
      <c r="F285" s="486">
        <v>218</v>
      </c>
      <c r="G285" s="486" t="s">
        <v>1868</v>
      </c>
      <c r="L285" s="139">
        <v>83003</v>
      </c>
      <c r="M285" s="139">
        <v>3</v>
      </c>
      <c r="N285" s="139">
        <v>830</v>
      </c>
      <c r="O285" s="139" t="s">
        <v>206</v>
      </c>
      <c r="P285" s="139">
        <v>34</v>
      </c>
      <c r="Q285" s="139" t="str">
        <f>VLOOKUP(P285,'Townwide Contributions'!$A$6:$B$358,2,0)</f>
        <v>Bolton</v>
      </c>
      <c r="R285" s="139" t="s">
        <v>56</v>
      </c>
      <c r="V285"/>
    </row>
    <row r="286" spans="1:22" s="139" customFormat="1">
      <c r="A286" s="140">
        <v>219</v>
      </c>
      <c r="B286" s="140"/>
      <c r="C286" s="139" t="str">
        <f t="shared" si="4"/>
        <v>219 Norwell</v>
      </c>
      <c r="D286" s="485">
        <v>219</v>
      </c>
      <c r="E286" s="486" t="s">
        <v>900</v>
      </c>
      <c r="F286" s="486">
        <v>219</v>
      </c>
      <c r="G286" s="486" t="s">
        <v>1869</v>
      </c>
      <c r="L286" s="139">
        <v>83004</v>
      </c>
      <c r="M286" s="139">
        <v>4</v>
      </c>
      <c r="N286" s="139">
        <v>830</v>
      </c>
      <c r="O286" s="139" t="s">
        <v>206</v>
      </c>
      <c r="P286" s="139">
        <v>67</v>
      </c>
      <c r="Q286" s="139" t="str">
        <f>VLOOKUP(P286,'Townwide Contributions'!$A$6:$B$358,2,0)</f>
        <v>Concord</v>
      </c>
      <c r="R286" s="139" t="s">
        <v>280</v>
      </c>
      <c r="V286"/>
    </row>
    <row r="287" spans="1:22" s="139" customFormat="1">
      <c r="A287" s="140">
        <v>220</v>
      </c>
      <c r="B287" s="140"/>
      <c r="C287" s="139" t="str">
        <f t="shared" si="4"/>
        <v>220 Norwood</v>
      </c>
      <c r="D287" s="485">
        <v>220</v>
      </c>
      <c r="E287" s="486" t="s">
        <v>901</v>
      </c>
      <c r="F287" s="486">
        <v>220</v>
      </c>
      <c r="G287" s="486" t="s">
        <v>1870</v>
      </c>
      <c r="L287" s="139">
        <v>83005</v>
      </c>
      <c r="M287" s="139">
        <v>5</v>
      </c>
      <c r="N287" s="139">
        <v>830</v>
      </c>
      <c r="O287" s="139" t="s">
        <v>206</v>
      </c>
      <c r="P287" s="139">
        <v>78</v>
      </c>
      <c r="Q287" s="139" t="str">
        <f>VLOOKUP(P287,'Townwide Contributions'!$A$6:$B$358,2,0)</f>
        <v>Dover</v>
      </c>
      <c r="R287" s="139" t="s">
        <v>299</v>
      </c>
      <c r="V287"/>
    </row>
    <row r="288" spans="1:22" s="139" customFormat="1">
      <c r="A288" s="140">
        <v>221</v>
      </c>
      <c r="B288" s="140"/>
      <c r="C288" s="139" t="str">
        <f t="shared" si="4"/>
        <v>221 Oak Bluffs</v>
      </c>
      <c r="D288" s="485">
        <v>221</v>
      </c>
      <c r="E288" s="486" t="s">
        <v>902</v>
      </c>
      <c r="F288" s="486">
        <v>221</v>
      </c>
      <c r="G288" s="486" t="s">
        <v>1871</v>
      </c>
      <c r="L288" s="139">
        <v>83006</v>
      </c>
      <c r="M288" s="139">
        <v>6</v>
      </c>
      <c r="N288" s="139">
        <v>830</v>
      </c>
      <c r="O288" s="139" t="s">
        <v>206</v>
      </c>
      <c r="P288" s="139">
        <v>147</v>
      </c>
      <c r="Q288" s="139" t="str">
        <f>VLOOKUP(P288,'Townwide Contributions'!$A$6:$B$358,2,0)</f>
        <v>Lancaster</v>
      </c>
      <c r="R288" s="139" t="s">
        <v>374</v>
      </c>
      <c r="V288"/>
    </row>
    <row r="289" spans="1:22" s="139" customFormat="1">
      <c r="A289" s="140">
        <v>222</v>
      </c>
      <c r="B289" s="140"/>
      <c r="C289" s="139" t="str">
        <f t="shared" si="4"/>
        <v>222 Oakham</v>
      </c>
      <c r="D289" s="485">
        <v>222</v>
      </c>
      <c r="E289" s="486" t="s">
        <v>903</v>
      </c>
      <c r="F289" s="486">
        <v>222</v>
      </c>
      <c r="G289" s="486" t="s">
        <v>1872</v>
      </c>
      <c r="L289" s="139">
        <v>83007</v>
      </c>
      <c r="M289" s="139">
        <v>7</v>
      </c>
      <c r="N289" s="139">
        <v>830</v>
      </c>
      <c r="O289" s="139" t="s">
        <v>206</v>
      </c>
      <c r="P289" s="139">
        <v>155</v>
      </c>
      <c r="Q289" s="139" t="str">
        <f>VLOOKUP(P289,'Townwide Contributions'!$A$6:$B$358,2,0)</f>
        <v>Lexington</v>
      </c>
      <c r="R289" s="139" t="s">
        <v>379</v>
      </c>
      <c r="V289"/>
    </row>
    <row r="290" spans="1:22" s="139" customFormat="1">
      <c r="A290" s="140">
        <v>430</v>
      </c>
      <c r="B290" s="140"/>
      <c r="C290" s="139" t="str">
        <f t="shared" si="4"/>
        <v>855 Old Colony</v>
      </c>
      <c r="D290" s="485">
        <v>855</v>
      </c>
      <c r="E290" s="486" t="s">
        <v>1109</v>
      </c>
      <c r="F290" s="486">
        <v>855</v>
      </c>
      <c r="G290" s="486" t="s">
        <v>2079</v>
      </c>
      <c r="L290" s="139">
        <v>83008</v>
      </c>
      <c r="M290" s="139">
        <v>8</v>
      </c>
      <c r="N290" s="139">
        <v>830</v>
      </c>
      <c r="O290" s="139" t="s">
        <v>206</v>
      </c>
      <c r="P290" s="139">
        <v>199</v>
      </c>
      <c r="Q290" s="139" t="str">
        <f>VLOOKUP(P290,'Townwide Contributions'!$A$6:$B$358,2,0)</f>
        <v>Needham</v>
      </c>
      <c r="R290" s="139" t="s">
        <v>440</v>
      </c>
      <c r="V290"/>
    </row>
    <row r="291" spans="1:22" s="139" customFormat="1">
      <c r="A291" s="140">
        <v>397</v>
      </c>
      <c r="B291" s="140"/>
      <c r="C291" s="139" t="str">
        <f t="shared" si="4"/>
        <v>740 Old Rochester</v>
      </c>
      <c r="D291" s="485">
        <v>740</v>
      </c>
      <c r="E291" s="486" t="s">
        <v>1076</v>
      </c>
      <c r="F291" s="486">
        <v>740</v>
      </c>
      <c r="G291" s="486" t="s">
        <v>2046</v>
      </c>
      <c r="L291" s="139">
        <v>83009</v>
      </c>
      <c r="M291" s="139">
        <v>9</v>
      </c>
      <c r="N291" s="139">
        <v>830</v>
      </c>
      <c r="O291" s="139" t="s">
        <v>206</v>
      </c>
      <c r="P291" s="139">
        <v>286</v>
      </c>
      <c r="Q291" s="139" t="str">
        <f>VLOOKUP(P291,'Townwide Contributions'!$A$6:$B$358,2,0)</f>
        <v>Stow</v>
      </c>
      <c r="R291" s="139" t="s">
        <v>534</v>
      </c>
      <c r="V291"/>
    </row>
    <row r="292" spans="1:22" s="139" customFormat="1">
      <c r="A292" s="140">
        <v>223</v>
      </c>
      <c r="B292" s="140"/>
      <c r="C292" s="139" t="str">
        <f t="shared" si="4"/>
        <v>223 Orange</v>
      </c>
      <c r="D292" s="485">
        <v>223</v>
      </c>
      <c r="E292" s="486" t="s">
        <v>904</v>
      </c>
      <c r="F292" s="486">
        <v>223</v>
      </c>
      <c r="G292" s="486" t="s">
        <v>1873</v>
      </c>
      <c r="L292" s="139">
        <v>83201</v>
      </c>
      <c r="M292" s="139">
        <v>1</v>
      </c>
      <c r="N292" s="139">
        <v>832</v>
      </c>
      <c r="O292" s="139" t="s">
        <v>207</v>
      </c>
      <c r="P292" s="139">
        <v>11</v>
      </c>
      <c r="Q292" s="139" t="str">
        <f>VLOOKUP(P292,'Townwide Contributions'!$A$6:$B$358,2,0)</f>
        <v>Ashburnham</v>
      </c>
      <c r="R292" s="139" t="s">
        <v>8</v>
      </c>
      <c r="V292"/>
    </row>
    <row r="293" spans="1:22" s="139" customFormat="1">
      <c r="A293" s="140">
        <v>224</v>
      </c>
      <c r="B293" s="140"/>
      <c r="C293" s="139" t="str">
        <f t="shared" si="4"/>
        <v>224 Orleans</v>
      </c>
      <c r="D293" s="485">
        <v>224</v>
      </c>
      <c r="E293" s="486" t="s">
        <v>905</v>
      </c>
      <c r="F293" s="486">
        <v>224</v>
      </c>
      <c r="G293" s="486" t="s">
        <v>1874</v>
      </c>
      <c r="L293" s="139">
        <v>83202</v>
      </c>
      <c r="M293" s="139">
        <v>2</v>
      </c>
      <c r="N293" s="139">
        <v>832</v>
      </c>
      <c r="O293" s="139" t="s">
        <v>207</v>
      </c>
      <c r="P293" s="139">
        <v>12</v>
      </c>
      <c r="Q293" s="139" t="str">
        <f>VLOOKUP(P293,'Townwide Contributions'!$A$6:$B$358,2,0)</f>
        <v>Ashby</v>
      </c>
      <c r="R293" s="139" t="s">
        <v>11</v>
      </c>
      <c r="V293"/>
    </row>
    <row r="294" spans="1:22" s="139" customFormat="1">
      <c r="A294" s="140">
        <v>225</v>
      </c>
      <c r="B294" s="140"/>
      <c r="C294" s="139" t="str">
        <f t="shared" si="4"/>
        <v>225 Otis</v>
      </c>
      <c r="D294" s="485">
        <v>225</v>
      </c>
      <c r="E294" s="486" t="s">
        <v>906</v>
      </c>
      <c r="F294" s="486">
        <v>225</v>
      </c>
      <c r="G294" s="486" t="s">
        <v>1875</v>
      </c>
      <c r="L294" s="139">
        <v>83203</v>
      </c>
      <c r="M294" s="139">
        <v>3</v>
      </c>
      <c r="N294" s="139">
        <v>832</v>
      </c>
      <c r="O294" s="139" t="s">
        <v>207</v>
      </c>
      <c r="P294" s="139">
        <v>15</v>
      </c>
      <c r="Q294" s="139" t="str">
        <f>VLOOKUP(P294,'Townwide Contributions'!$A$6:$B$358,2,0)</f>
        <v>Athol</v>
      </c>
      <c r="R294" s="139" t="s">
        <v>17</v>
      </c>
      <c r="V294"/>
    </row>
    <row r="295" spans="1:22" s="139" customFormat="1">
      <c r="A295" s="140">
        <v>226</v>
      </c>
      <c r="B295" s="140"/>
      <c r="C295" s="139" t="str">
        <f t="shared" si="4"/>
        <v>226 Oxford</v>
      </c>
      <c r="D295" s="485">
        <v>226</v>
      </c>
      <c r="E295" s="486" t="s">
        <v>907</v>
      </c>
      <c r="F295" s="486">
        <v>226</v>
      </c>
      <c r="G295" s="486" t="s">
        <v>1876</v>
      </c>
      <c r="L295" s="139">
        <v>83204</v>
      </c>
      <c r="M295" s="139">
        <v>4</v>
      </c>
      <c r="N295" s="139">
        <v>832</v>
      </c>
      <c r="O295" s="139" t="s">
        <v>207</v>
      </c>
      <c r="P295" s="139">
        <v>21</v>
      </c>
      <c r="Q295" s="139" t="str">
        <f>VLOOKUP(P295,'Townwide Contributions'!$A$6:$B$358,2,0)</f>
        <v>Barre</v>
      </c>
      <c r="R295" s="139" t="s">
        <v>28</v>
      </c>
      <c r="V295"/>
    </row>
    <row r="296" spans="1:22" s="139" customFormat="1">
      <c r="A296" s="140">
        <v>227</v>
      </c>
      <c r="B296" s="140"/>
      <c r="C296" s="139" t="str">
        <f t="shared" si="4"/>
        <v>227 Palmer</v>
      </c>
      <c r="D296" s="485">
        <v>227</v>
      </c>
      <c r="E296" s="486" t="s">
        <v>908</v>
      </c>
      <c r="F296" s="486">
        <v>227</v>
      </c>
      <c r="G296" s="486" t="s">
        <v>1877</v>
      </c>
      <c r="L296" s="139">
        <v>83205</v>
      </c>
      <c r="M296" s="139">
        <v>5</v>
      </c>
      <c r="N296" s="139">
        <v>832</v>
      </c>
      <c r="O296" s="139" t="s">
        <v>207</v>
      </c>
      <c r="P296" s="139">
        <v>97</v>
      </c>
      <c r="Q296" s="139" t="str">
        <f>VLOOKUP(P296,'Townwide Contributions'!$A$6:$B$358,2,0)</f>
        <v>Fitchburg</v>
      </c>
      <c r="R296" s="139" t="s">
        <v>321</v>
      </c>
      <c r="V296"/>
    </row>
    <row r="297" spans="1:22" s="139" customFormat="1">
      <c r="A297" s="140">
        <v>431</v>
      </c>
      <c r="B297" s="140"/>
      <c r="C297" s="139" t="str">
        <f t="shared" si="4"/>
        <v>860 Pathfinder</v>
      </c>
      <c r="D297" s="485">
        <v>860</v>
      </c>
      <c r="E297" s="486" t="s">
        <v>1110</v>
      </c>
      <c r="F297" s="486">
        <v>860</v>
      </c>
      <c r="G297" s="486" t="s">
        <v>2080</v>
      </c>
      <c r="L297" s="139">
        <v>83206</v>
      </c>
      <c r="M297" s="139">
        <v>6</v>
      </c>
      <c r="N297" s="139">
        <v>832</v>
      </c>
      <c r="O297" s="139" t="s">
        <v>207</v>
      </c>
      <c r="P297" s="139">
        <v>103</v>
      </c>
      <c r="Q297" s="139" t="str">
        <f>VLOOKUP(P297,'Townwide Contributions'!$A$6:$B$358,2,0)</f>
        <v>Gardner</v>
      </c>
      <c r="R297" s="139" t="s">
        <v>329</v>
      </c>
      <c r="V297"/>
    </row>
    <row r="298" spans="1:22" s="139" customFormat="1">
      <c r="A298" s="140">
        <v>228</v>
      </c>
      <c r="B298" s="140"/>
      <c r="C298" s="139" t="str">
        <f t="shared" si="4"/>
        <v>228 Paxton</v>
      </c>
      <c r="D298" s="485">
        <v>228</v>
      </c>
      <c r="E298" s="486" t="s">
        <v>909</v>
      </c>
      <c r="F298" s="486">
        <v>228</v>
      </c>
      <c r="G298" s="486" t="s">
        <v>1878</v>
      </c>
      <c r="L298" s="139">
        <v>83207</v>
      </c>
      <c r="M298" s="139">
        <v>7</v>
      </c>
      <c r="N298" s="139">
        <v>832</v>
      </c>
      <c r="O298" s="139" t="s">
        <v>207</v>
      </c>
      <c r="P298" s="139">
        <v>125</v>
      </c>
      <c r="Q298" s="139" t="str">
        <f>VLOOKUP(P298,'Townwide Contributions'!$A$6:$B$358,2,0)</f>
        <v>Harvard</v>
      </c>
      <c r="R298" s="139" t="s">
        <v>355</v>
      </c>
      <c r="V298"/>
    </row>
    <row r="299" spans="1:22" s="139" customFormat="1">
      <c r="A299" s="140">
        <v>229</v>
      </c>
      <c r="B299" s="140"/>
      <c r="C299" s="139" t="str">
        <f t="shared" si="4"/>
        <v>229 Peabody</v>
      </c>
      <c r="D299" s="485">
        <v>229</v>
      </c>
      <c r="E299" s="486" t="s">
        <v>910</v>
      </c>
      <c r="F299" s="486">
        <v>229</v>
      </c>
      <c r="G299" s="486" t="s">
        <v>1879</v>
      </c>
      <c r="L299" s="139">
        <v>83208</v>
      </c>
      <c r="M299" s="139">
        <v>8</v>
      </c>
      <c r="N299" s="139">
        <v>832</v>
      </c>
      <c r="O299" s="139" t="s">
        <v>207</v>
      </c>
      <c r="P299" s="139">
        <v>134</v>
      </c>
      <c r="Q299" s="139" t="str">
        <f>VLOOKUP(P299,'Townwide Contributions'!$A$6:$B$358,2,0)</f>
        <v>Holden</v>
      </c>
      <c r="R299" s="139" t="s">
        <v>362</v>
      </c>
      <c r="V299"/>
    </row>
    <row r="300" spans="1:22" s="139" customFormat="1">
      <c r="A300" s="140">
        <v>230</v>
      </c>
      <c r="B300" s="140"/>
      <c r="C300" s="139" t="str">
        <f t="shared" si="4"/>
        <v>230 Pelham</v>
      </c>
      <c r="D300" s="485">
        <v>230</v>
      </c>
      <c r="E300" s="486" t="s">
        <v>911</v>
      </c>
      <c r="F300" s="486">
        <v>230</v>
      </c>
      <c r="G300" s="486" t="s">
        <v>1880</v>
      </c>
      <c r="L300" s="139">
        <v>83209</v>
      </c>
      <c r="M300" s="139">
        <v>9</v>
      </c>
      <c r="N300" s="139">
        <v>832</v>
      </c>
      <c r="O300" s="139" t="s">
        <v>207</v>
      </c>
      <c r="P300" s="139">
        <v>140</v>
      </c>
      <c r="Q300" s="139" t="str">
        <f>VLOOKUP(P300,'Townwide Contributions'!$A$6:$B$358,2,0)</f>
        <v>Hubbardston</v>
      </c>
      <c r="R300" s="139" t="s">
        <v>368</v>
      </c>
      <c r="V300"/>
    </row>
    <row r="301" spans="1:22" s="139" customFormat="1">
      <c r="A301" s="140">
        <v>231</v>
      </c>
      <c r="B301" s="140"/>
      <c r="C301" s="139" t="str">
        <f t="shared" si="4"/>
        <v>231 Pembroke</v>
      </c>
      <c r="D301" s="485">
        <v>231</v>
      </c>
      <c r="E301" s="486" t="s">
        <v>912</v>
      </c>
      <c r="F301" s="486">
        <v>231</v>
      </c>
      <c r="G301" s="486" t="s">
        <v>1881</v>
      </c>
      <c r="L301" s="139">
        <v>83210</v>
      </c>
      <c r="M301" s="139">
        <v>10</v>
      </c>
      <c r="N301" s="139">
        <v>832</v>
      </c>
      <c r="O301" s="139" t="s">
        <v>207</v>
      </c>
      <c r="P301" s="139">
        <v>162</v>
      </c>
      <c r="Q301" s="139" t="str">
        <f>VLOOKUP(P301,'Townwide Contributions'!$A$6:$B$358,2,0)</f>
        <v>Lunenburg</v>
      </c>
      <c r="R301" s="139" t="s">
        <v>404</v>
      </c>
      <c r="V301"/>
    </row>
    <row r="302" spans="1:22" s="139" customFormat="1">
      <c r="A302" s="140">
        <v>398</v>
      </c>
      <c r="B302" s="140"/>
      <c r="C302" s="139" t="str">
        <f t="shared" si="4"/>
        <v>745 Pentucket</v>
      </c>
      <c r="D302" s="485">
        <v>745</v>
      </c>
      <c r="E302" s="486" t="s">
        <v>1077</v>
      </c>
      <c r="F302" s="486">
        <v>745</v>
      </c>
      <c r="G302" s="486" t="s">
        <v>2047</v>
      </c>
      <c r="L302" s="139">
        <v>83211</v>
      </c>
      <c r="M302" s="139">
        <v>11</v>
      </c>
      <c r="N302" s="139">
        <v>832</v>
      </c>
      <c r="O302" s="139" t="s">
        <v>207</v>
      </c>
      <c r="P302" s="139">
        <v>234</v>
      </c>
      <c r="Q302" s="139" t="str">
        <f>VLOOKUP(P302,'Townwide Contributions'!$A$6:$B$358,2,0)</f>
        <v>Petersham</v>
      </c>
      <c r="R302" s="139" t="s">
        <v>486</v>
      </c>
      <c r="V302"/>
    </row>
    <row r="303" spans="1:22" s="139" customFormat="1">
      <c r="A303" s="140">
        <v>232</v>
      </c>
      <c r="B303" s="140"/>
      <c r="C303" s="139" t="str">
        <f t="shared" si="4"/>
        <v>232 Pepperell</v>
      </c>
      <c r="D303" s="485">
        <v>232</v>
      </c>
      <c r="E303" s="486" t="s">
        <v>913</v>
      </c>
      <c r="F303" s="486">
        <v>232</v>
      </c>
      <c r="G303" s="486" t="s">
        <v>1882</v>
      </c>
      <c r="L303" s="139">
        <v>83212</v>
      </c>
      <c r="M303" s="139">
        <v>12</v>
      </c>
      <c r="N303" s="139">
        <v>832</v>
      </c>
      <c r="O303" s="139" t="s">
        <v>207</v>
      </c>
      <c r="P303" s="139">
        <v>235</v>
      </c>
      <c r="Q303" s="139" t="str">
        <f>VLOOKUP(P303,'Townwide Contributions'!$A$6:$B$358,2,0)</f>
        <v>Phillipston</v>
      </c>
      <c r="R303" s="139" t="s">
        <v>487</v>
      </c>
      <c r="V303"/>
    </row>
    <row r="304" spans="1:22" s="139" customFormat="1">
      <c r="A304" s="140">
        <v>233</v>
      </c>
      <c r="B304" s="140"/>
      <c r="C304" s="139" t="str">
        <f t="shared" si="4"/>
        <v>233 Peru</v>
      </c>
      <c r="D304" s="485">
        <v>233</v>
      </c>
      <c r="E304" s="486" t="s">
        <v>914</v>
      </c>
      <c r="F304" s="486">
        <v>233</v>
      </c>
      <c r="G304" s="486" t="s">
        <v>1883</v>
      </c>
      <c r="L304" s="139">
        <v>83213</v>
      </c>
      <c r="M304" s="139">
        <v>13</v>
      </c>
      <c r="N304" s="139">
        <v>832</v>
      </c>
      <c r="O304" s="139" t="s">
        <v>207</v>
      </c>
      <c r="P304" s="139">
        <v>241</v>
      </c>
      <c r="Q304" s="139" t="str">
        <f>VLOOKUP(P304,'Townwide Contributions'!$A$6:$B$358,2,0)</f>
        <v>Princeton</v>
      </c>
      <c r="R304" s="139" t="s">
        <v>492</v>
      </c>
      <c r="V304"/>
    </row>
    <row r="305" spans="1:22" s="139" customFormat="1">
      <c r="A305" s="140">
        <v>234</v>
      </c>
      <c r="B305" s="140"/>
      <c r="C305" s="139" t="str">
        <f t="shared" si="4"/>
        <v>234 Petersham</v>
      </c>
      <c r="D305" s="485">
        <v>234</v>
      </c>
      <c r="E305" s="486" t="s">
        <v>915</v>
      </c>
      <c r="F305" s="486">
        <v>234</v>
      </c>
      <c r="G305" s="486" t="s">
        <v>1884</v>
      </c>
      <c r="L305" s="139">
        <v>83214</v>
      </c>
      <c r="M305" s="139">
        <v>14</v>
      </c>
      <c r="N305" s="139">
        <v>832</v>
      </c>
      <c r="O305" s="139" t="s">
        <v>207</v>
      </c>
      <c r="P305" s="139">
        <v>255</v>
      </c>
      <c r="Q305" s="139" t="str">
        <f>VLOOKUP(P305,'Townwide Contributions'!$A$6:$B$358,2,0)</f>
        <v>Royalston</v>
      </c>
      <c r="R305" s="139" t="s">
        <v>504</v>
      </c>
      <c r="V305"/>
    </row>
    <row r="306" spans="1:22" s="139" customFormat="1">
      <c r="A306" s="140">
        <v>235</v>
      </c>
      <c r="B306" s="140"/>
      <c r="C306" s="139" t="str">
        <f t="shared" si="4"/>
        <v>235 Phillipston</v>
      </c>
      <c r="D306" s="485">
        <v>235</v>
      </c>
      <c r="E306" s="486" t="s">
        <v>916</v>
      </c>
      <c r="F306" s="486">
        <v>235</v>
      </c>
      <c r="G306" s="486" t="s">
        <v>1885</v>
      </c>
      <c r="L306" s="139">
        <v>83215</v>
      </c>
      <c r="M306" s="139">
        <v>15</v>
      </c>
      <c r="N306" s="139">
        <v>832</v>
      </c>
      <c r="O306" s="139" t="s">
        <v>207</v>
      </c>
      <c r="P306" s="139">
        <v>282</v>
      </c>
      <c r="Q306" s="139" t="str">
        <f>VLOOKUP(P306,'Townwide Contributions'!$A$6:$B$358,2,0)</f>
        <v>Sterling</v>
      </c>
      <c r="R306" s="139" t="s">
        <v>530</v>
      </c>
      <c r="V306"/>
    </row>
    <row r="307" spans="1:22" s="139" customFormat="1">
      <c r="A307" s="140">
        <v>399</v>
      </c>
      <c r="B307" s="140"/>
      <c r="C307" s="139" t="str">
        <f t="shared" si="4"/>
        <v>750 Pioneer</v>
      </c>
      <c r="D307" s="485">
        <v>750</v>
      </c>
      <c r="E307" s="486" t="s">
        <v>1078</v>
      </c>
      <c r="F307" s="486">
        <v>750</v>
      </c>
      <c r="G307" s="486" t="s">
        <v>2048</v>
      </c>
      <c r="L307" s="139">
        <v>83216</v>
      </c>
      <c r="M307" s="139">
        <v>16</v>
      </c>
      <c r="N307" s="139">
        <v>832</v>
      </c>
      <c r="O307" s="139" t="s">
        <v>207</v>
      </c>
      <c r="P307" s="139">
        <v>294</v>
      </c>
      <c r="Q307" s="139" t="str">
        <f>VLOOKUP(P307,'Townwide Contributions'!$A$6:$B$358,2,0)</f>
        <v>Templeton</v>
      </c>
      <c r="R307" s="139" t="s">
        <v>542</v>
      </c>
      <c r="V307"/>
    </row>
    <row r="308" spans="1:22" s="139" customFormat="1">
      <c r="A308" s="140">
        <v>236</v>
      </c>
      <c r="B308" s="140"/>
      <c r="C308" s="139" t="str">
        <f t="shared" si="4"/>
        <v>236 Pittsfield</v>
      </c>
      <c r="D308" s="485">
        <v>236</v>
      </c>
      <c r="E308" s="486" t="s">
        <v>917</v>
      </c>
      <c r="F308" s="486">
        <v>236</v>
      </c>
      <c r="G308" s="486" t="s">
        <v>1886</v>
      </c>
      <c r="L308" s="139">
        <v>83217</v>
      </c>
      <c r="M308" s="139">
        <v>17</v>
      </c>
      <c r="N308" s="139">
        <v>832</v>
      </c>
      <c r="O308" s="139" t="s">
        <v>207</v>
      </c>
      <c r="P308" s="139">
        <v>328</v>
      </c>
      <c r="Q308" s="139" t="str">
        <f>VLOOKUP(P308,'Townwide Contributions'!$A$6:$B$358,2,0)</f>
        <v>Westminster</v>
      </c>
      <c r="R308" s="139" t="s">
        <v>571</v>
      </c>
      <c r="V308"/>
    </row>
    <row r="309" spans="1:22" s="139" customFormat="1">
      <c r="A309" s="140">
        <v>237</v>
      </c>
      <c r="B309" s="140"/>
      <c r="C309" s="139" t="str">
        <f t="shared" si="4"/>
        <v>237 Plainfield</v>
      </c>
      <c r="D309" s="485">
        <v>237</v>
      </c>
      <c r="E309" s="486" t="s">
        <v>918</v>
      </c>
      <c r="F309" s="486">
        <v>237</v>
      </c>
      <c r="G309" s="486" t="s">
        <v>1887</v>
      </c>
      <c r="L309" s="139">
        <v>83218</v>
      </c>
      <c r="M309" s="139">
        <v>18</v>
      </c>
      <c r="N309" s="139">
        <v>832</v>
      </c>
      <c r="O309" s="139" t="s">
        <v>207</v>
      </c>
      <c r="P309" s="139">
        <v>343</v>
      </c>
      <c r="Q309" s="139" t="str">
        <f>VLOOKUP(P309,'Townwide Contributions'!$A$6:$B$358,2,0)</f>
        <v>Winchendon</v>
      </c>
      <c r="R309" s="139" t="s">
        <v>584</v>
      </c>
      <c r="V309"/>
    </row>
    <row r="310" spans="1:22" s="139" customFormat="1">
      <c r="A310" s="140">
        <v>238</v>
      </c>
      <c r="B310" s="140"/>
      <c r="C310" s="139" t="str">
        <f t="shared" si="4"/>
        <v>238 Plainville</v>
      </c>
      <c r="D310" s="485">
        <v>238</v>
      </c>
      <c r="E310" s="486" t="s">
        <v>919</v>
      </c>
      <c r="F310" s="486">
        <v>238</v>
      </c>
      <c r="G310" s="486" t="s">
        <v>1888</v>
      </c>
      <c r="L310" s="139">
        <v>85101</v>
      </c>
      <c r="M310" s="139">
        <v>1</v>
      </c>
      <c r="N310" s="139">
        <v>851</v>
      </c>
      <c r="O310" s="139" t="s">
        <v>208</v>
      </c>
      <c r="P310" s="139">
        <v>4</v>
      </c>
      <c r="Q310" s="139" t="str">
        <f>VLOOKUP(P310,'Townwide Contributions'!$A$6:$B$358,2,0)</f>
        <v>Adams</v>
      </c>
      <c r="R310" s="139" t="s">
        <v>627</v>
      </c>
      <c r="V310"/>
    </row>
    <row r="311" spans="1:22" s="139" customFormat="1">
      <c r="A311" s="140">
        <v>239</v>
      </c>
      <c r="B311" s="140"/>
      <c r="C311" s="139" t="str">
        <f t="shared" si="4"/>
        <v>239 Plymouth</v>
      </c>
      <c r="D311" s="485">
        <v>239</v>
      </c>
      <c r="E311" s="486" t="s">
        <v>920</v>
      </c>
      <c r="F311" s="486">
        <v>239</v>
      </c>
      <c r="G311" s="486" t="s">
        <v>1889</v>
      </c>
      <c r="L311" s="139">
        <v>85102</v>
      </c>
      <c r="M311" s="139">
        <v>2</v>
      </c>
      <c r="N311" s="139">
        <v>851</v>
      </c>
      <c r="O311" s="139" t="s">
        <v>208</v>
      </c>
      <c r="P311" s="139">
        <v>58</v>
      </c>
      <c r="Q311" s="139" t="str">
        <f>VLOOKUP(P311,'Townwide Contributions'!$A$6:$B$358,2,0)</f>
        <v>Cheshire</v>
      </c>
      <c r="R311" s="139" t="s">
        <v>2206</v>
      </c>
      <c r="V311"/>
    </row>
    <row r="312" spans="1:22" s="139" customFormat="1">
      <c r="A312" s="140">
        <v>240</v>
      </c>
      <c r="B312" s="140"/>
      <c r="C312" s="139" t="str">
        <f t="shared" si="4"/>
        <v>240 Plympton</v>
      </c>
      <c r="D312" s="485">
        <v>240</v>
      </c>
      <c r="E312" s="486" t="s">
        <v>921</v>
      </c>
      <c r="F312" s="486">
        <v>240</v>
      </c>
      <c r="G312" s="486" t="s">
        <v>1890</v>
      </c>
      <c r="L312" s="139">
        <v>85103</v>
      </c>
      <c r="M312" s="139">
        <v>3</v>
      </c>
      <c r="N312" s="139">
        <v>851</v>
      </c>
      <c r="O312" s="139" t="s">
        <v>208</v>
      </c>
      <c r="P312" s="139">
        <v>63</v>
      </c>
      <c r="Q312" s="139" t="str">
        <f>VLOOKUP(P312,'Townwide Contributions'!$A$6:$B$358,2,0)</f>
        <v>Clarksburg</v>
      </c>
      <c r="R312" s="139" t="s">
        <v>277</v>
      </c>
      <c r="V312"/>
    </row>
    <row r="313" spans="1:22" s="139" customFormat="1">
      <c r="A313" s="140">
        <v>241</v>
      </c>
      <c r="B313" s="140"/>
      <c r="C313" s="139" t="str">
        <f t="shared" si="4"/>
        <v>241 Princeton</v>
      </c>
      <c r="D313" s="485">
        <v>241</v>
      </c>
      <c r="E313" s="486" t="s">
        <v>922</v>
      </c>
      <c r="F313" s="486">
        <v>241</v>
      </c>
      <c r="G313" s="486" t="s">
        <v>1891</v>
      </c>
      <c r="L313" s="139">
        <v>85104</v>
      </c>
      <c r="M313" s="139">
        <v>4</v>
      </c>
      <c r="N313" s="139">
        <v>851</v>
      </c>
      <c r="O313" s="139" t="s">
        <v>208</v>
      </c>
      <c r="P313" s="139">
        <v>98</v>
      </c>
      <c r="Q313" s="139" t="str">
        <f>VLOOKUP(P313,'Townwide Contributions'!$A$6:$B$358,2,0)</f>
        <v>Florida</v>
      </c>
      <c r="R313" s="139" t="s">
        <v>322</v>
      </c>
      <c r="V313"/>
    </row>
    <row r="314" spans="1:22" s="139" customFormat="1">
      <c r="A314" s="140">
        <v>242</v>
      </c>
      <c r="B314" s="140"/>
      <c r="C314" s="139" t="str">
        <f t="shared" si="4"/>
        <v>242 Provincetown</v>
      </c>
      <c r="D314" s="485">
        <v>242</v>
      </c>
      <c r="E314" s="486" t="s">
        <v>923</v>
      </c>
      <c r="F314" s="486">
        <v>242</v>
      </c>
      <c r="G314" s="486" t="s">
        <v>1892</v>
      </c>
      <c r="L314" s="139">
        <v>85105</v>
      </c>
      <c r="M314" s="139">
        <v>5</v>
      </c>
      <c r="N314" s="139">
        <v>851</v>
      </c>
      <c r="O314" s="139" t="s">
        <v>208</v>
      </c>
      <c r="P314" s="139">
        <v>148</v>
      </c>
      <c r="Q314" s="139" t="str">
        <f>VLOOKUP(P314,'Townwide Contributions'!$A$6:$B$358,2,0)</f>
        <v>Lanesborough</v>
      </c>
      <c r="R314" s="139" t="s">
        <v>375</v>
      </c>
      <c r="V314"/>
    </row>
    <row r="315" spans="1:22" s="139" customFormat="1">
      <c r="A315" s="140">
        <v>400</v>
      </c>
      <c r="B315" s="140"/>
      <c r="C315" s="139" t="str">
        <f t="shared" si="4"/>
        <v>753 Quabbin</v>
      </c>
      <c r="D315" s="485">
        <v>753</v>
      </c>
      <c r="E315" s="486" t="s">
        <v>1079</v>
      </c>
      <c r="F315" s="486">
        <v>753</v>
      </c>
      <c r="G315" s="486" t="s">
        <v>2049</v>
      </c>
      <c r="L315" s="139">
        <v>85106</v>
      </c>
      <c r="M315" s="139">
        <v>6</v>
      </c>
      <c r="N315" s="139">
        <v>851</v>
      </c>
      <c r="O315" s="139" t="s">
        <v>208</v>
      </c>
      <c r="P315" s="139">
        <v>190</v>
      </c>
      <c r="Q315" s="139" t="str">
        <f>VLOOKUP(P315,'Townwide Contributions'!$A$6:$B$358,2,0)</f>
        <v>Monroe</v>
      </c>
      <c r="R315" s="139" t="s">
        <v>432</v>
      </c>
      <c r="V315"/>
    </row>
    <row r="316" spans="1:22" s="139" customFormat="1">
      <c r="A316" s="140">
        <v>411</v>
      </c>
      <c r="B316" s="140"/>
      <c r="C316" s="139" t="str">
        <f t="shared" si="4"/>
        <v>778 Quaboag</v>
      </c>
      <c r="D316" s="485">
        <v>778</v>
      </c>
      <c r="E316" s="486" t="s">
        <v>1090</v>
      </c>
      <c r="F316" s="486">
        <v>778</v>
      </c>
      <c r="G316" s="486" t="s">
        <v>2060</v>
      </c>
      <c r="L316" s="139">
        <v>85107</v>
      </c>
      <c r="M316" s="139">
        <v>7</v>
      </c>
      <c r="N316" s="139">
        <v>851</v>
      </c>
      <c r="O316" s="139" t="s">
        <v>208</v>
      </c>
      <c r="P316" s="139">
        <v>209</v>
      </c>
      <c r="Q316" s="139" t="str">
        <f>VLOOKUP(P316,'Townwide Contributions'!$A$6:$B$358,2,0)</f>
        <v>North Adams</v>
      </c>
      <c r="R316" s="139" t="s">
        <v>452</v>
      </c>
      <c r="V316"/>
    </row>
    <row r="317" spans="1:22" s="139" customFormat="1">
      <c r="A317" s="140">
        <v>243</v>
      </c>
      <c r="B317" s="140"/>
      <c r="C317" s="139" t="str">
        <f t="shared" si="4"/>
        <v>243 Quincy</v>
      </c>
      <c r="D317" s="485">
        <v>243</v>
      </c>
      <c r="E317" s="486" t="s">
        <v>924</v>
      </c>
      <c r="F317" s="486">
        <v>243</v>
      </c>
      <c r="G317" s="486" t="s">
        <v>1893</v>
      </c>
      <c r="L317" s="139">
        <v>85108</v>
      </c>
      <c r="M317" s="139">
        <v>8</v>
      </c>
      <c r="N317" s="139">
        <v>851</v>
      </c>
      <c r="O317" s="139" t="s">
        <v>208</v>
      </c>
      <c r="P317" s="139">
        <v>263</v>
      </c>
      <c r="Q317" s="139" t="str">
        <f>VLOOKUP(P317,'Townwide Contributions'!$A$6:$B$358,2,0)</f>
        <v>Savoy</v>
      </c>
      <c r="R317" s="139" t="s">
        <v>512</v>
      </c>
      <c r="V317"/>
    </row>
    <row r="318" spans="1:22" s="139" customFormat="1">
      <c r="A318" s="140">
        <v>401</v>
      </c>
      <c r="B318" s="140"/>
      <c r="C318" s="139" t="str">
        <f t="shared" si="4"/>
        <v>755 Ralph C Mahar</v>
      </c>
      <c r="D318" s="485">
        <v>755</v>
      </c>
      <c r="E318" s="486" t="s">
        <v>1080</v>
      </c>
      <c r="F318" s="486">
        <v>755</v>
      </c>
      <c r="G318" s="486" t="s">
        <v>2050</v>
      </c>
      <c r="L318" s="139">
        <v>85109</v>
      </c>
      <c r="M318" s="139">
        <v>9</v>
      </c>
      <c r="N318" s="139">
        <v>851</v>
      </c>
      <c r="O318" s="139" t="s">
        <v>208</v>
      </c>
      <c r="P318" s="139">
        <v>341</v>
      </c>
      <c r="Q318" s="139" t="str">
        <f>VLOOKUP(P318,'Townwide Contributions'!$A$6:$B$358,2,0)</f>
        <v>Williamstown</v>
      </c>
      <c r="R318" s="139" t="s">
        <v>582</v>
      </c>
      <c r="V318"/>
    </row>
    <row r="319" spans="1:22" s="139" customFormat="1">
      <c r="A319" s="140">
        <v>244</v>
      </c>
      <c r="B319" s="140"/>
      <c r="C319" s="139" t="str">
        <f t="shared" si="4"/>
        <v>244 Randolph</v>
      </c>
      <c r="D319" s="485">
        <v>244</v>
      </c>
      <c r="E319" s="486" t="s">
        <v>925</v>
      </c>
      <c r="F319" s="486">
        <v>244</v>
      </c>
      <c r="G319" s="486" t="s">
        <v>1894</v>
      </c>
      <c r="L319" s="139">
        <v>85201</v>
      </c>
      <c r="M319" s="139">
        <v>1</v>
      </c>
      <c r="N319" s="139">
        <v>852</v>
      </c>
      <c r="O319" s="139" t="s">
        <v>209</v>
      </c>
      <c r="P319" s="139">
        <v>19</v>
      </c>
      <c r="Q319" s="139" t="str">
        <f>VLOOKUP(P319,'Townwide Contributions'!$A$6:$B$358,2,0)</f>
        <v>Ayer</v>
      </c>
      <c r="R319" s="139" t="s">
        <v>85</v>
      </c>
      <c r="V319"/>
    </row>
    <row r="320" spans="1:22" s="139" customFormat="1">
      <c r="A320" s="140">
        <v>245</v>
      </c>
      <c r="B320" s="140"/>
      <c r="C320" s="139" t="str">
        <f t="shared" si="4"/>
        <v>245 Raynham</v>
      </c>
      <c r="D320" s="485">
        <v>245</v>
      </c>
      <c r="E320" s="486" t="s">
        <v>926</v>
      </c>
      <c r="F320" s="486">
        <v>245</v>
      </c>
      <c r="G320" s="486" t="s">
        <v>1895</v>
      </c>
      <c r="L320" s="139">
        <v>85202</v>
      </c>
      <c r="M320" s="139">
        <v>2</v>
      </c>
      <c r="N320" s="139">
        <v>852</v>
      </c>
      <c r="O320" s="139" t="s">
        <v>209</v>
      </c>
      <c r="P320" s="139">
        <v>56</v>
      </c>
      <c r="Q320" s="139" t="str">
        <f>VLOOKUP(P320,'Townwide Contributions'!$A$6:$B$358,2,0)</f>
        <v>Chelmsford</v>
      </c>
      <c r="R320" s="139" t="s">
        <v>265</v>
      </c>
      <c r="V320"/>
    </row>
    <row r="321" spans="1:22" s="139" customFormat="1">
      <c r="A321" s="140">
        <v>246</v>
      </c>
      <c r="B321" s="140"/>
      <c r="C321" s="139" t="str">
        <f t="shared" si="4"/>
        <v>246 Reading</v>
      </c>
      <c r="D321" s="485">
        <v>246</v>
      </c>
      <c r="E321" s="486" t="s">
        <v>927</v>
      </c>
      <c r="F321" s="486">
        <v>246</v>
      </c>
      <c r="G321" s="486" t="s">
        <v>1896</v>
      </c>
      <c r="L321" s="139">
        <v>85203</v>
      </c>
      <c r="M321" s="139">
        <v>3</v>
      </c>
      <c r="N321" s="139">
        <v>852</v>
      </c>
      <c r="O321" s="139" t="s">
        <v>209</v>
      </c>
      <c r="P321" s="139">
        <v>115</v>
      </c>
      <c r="Q321" s="139" t="str">
        <f>VLOOKUP(P321,'Townwide Contributions'!$A$6:$B$358,2,0)</f>
        <v>Groton</v>
      </c>
      <c r="R321" s="139" t="s">
        <v>342</v>
      </c>
      <c r="V321"/>
    </row>
    <row r="322" spans="1:22" s="139" customFormat="1">
      <c r="A322" s="140">
        <v>247</v>
      </c>
      <c r="B322" s="140"/>
      <c r="C322" s="139" t="str">
        <f t="shared" si="4"/>
        <v>247 Rehoboth</v>
      </c>
      <c r="D322" s="485">
        <v>247</v>
      </c>
      <c r="E322" s="486" t="s">
        <v>928</v>
      </c>
      <c r="F322" s="486">
        <v>247</v>
      </c>
      <c r="G322" s="486" t="s">
        <v>1897</v>
      </c>
      <c r="L322" s="139">
        <v>85204</v>
      </c>
      <c r="M322" s="139">
        <v>4</v>
      </c>
      <c r="N322" s="139">
        <v>852</v>
      </c>
      <c r="O322" s="139" t="s">
        <v>209</v>
      </c>
      <c r="P322" s="139">
        <v>158</v>
      </c>
      <c r="Q322" s="139" t="str">
        <f>VLOOKUP(P322,'Townwide Contributions'!$A$6:$B$358,2,0)</f>
        <v>Littleton</v>
      </c>
      <c r="R322" s="139" t="s">
        <v>383</v>
      </c>
      <c r="V322"/>
    </row>
    <row r="323" spans="1:22" s="139" customFormat="1">
      <c r="A323" s="140">
        <v>248</v>
      </c>
      <c r="B323" s="140"/>
      <c r="C323" s="139" t="str">
        <f t="shared" si="4"/>
        <v>248 Revere</v>
      </c>
      <c r="D323" s="485">
        <v>248</v>
      </c>
      <c r="E323" s="486" t="s">
        <v>929</v>
      </c>
      <c r="F323" s="486">
        <v>248</v>
      </c>
      <c r="G323" s="486" t="s">
        <v>1898</v>
      </c>
      <c r="L323" s="139">
        <v>85205</v>
      </c>
      <c r="M323" s="139">
        <v>5</v>
      </c>
      <c r="N323" s="139">
        <v>852</v>
      </c>
      <c r="O323" s="139" t="s">
        <v>209</v>
      </c>
      <c r="P323" s="139">
        <v>232</v>
      </c>
      <c r="Q323" s="139" t="str">
        <f>VLOOKUP(P323,'Townwide Contributions'!$A$6:$B$358,2,0)</f>
        <v>Pepperell</v>
      </c>
      <c r="R323" s="139" t="s">
        <v>484</v>
      </c>
      <c r="V323"/>
    </row>
    <row r="324" spans="1:22" s="139" customFormat="1">
      <c r="A324" s="140">
        <v>249</v>
      </c>
      <c r="B324" s="140"/>
      <c r="C324" s="139" t="str">
        <f t="shared" si="4"/>
        <v>249 Richmond</v>
      </c>
      <c r="D324" s="485">
        <v>249</v>
      </c>
      <c r="E324" s="486" t="s">
        <v>930</v>
      </c>
      <c r="F324" s="486">
        <v>249</v>
      </c>
      <c r="G324" s="486" t="s">
        <v>1899</v>
      </c>
      <c r="L324" s="139">
        <v>85206</v>
      </c>
      <c r="M324" s="139">
        <v>6</v>
      </c>
      <c r="N324" s="139">
        <v>852</v>
      </c>
      <c r="O324" s="139" t="s">
        <v>209</v>
      </c>
      <c r="P324" s="139">
        <v>270</v>
      </c>
      <c r="Q324" s="139" t="str">
        <f>VLOOKUP(P324,'Townwide Contributions'!$A$6:$B$358,2,0)</f>
        <v>Shirley</v>
      </c>
      <c r="R324" s="139" t="s">
        <v>519</v>
      </c>
      <c r="V324"/>
    </row>
    <row r="325" spans="1:22" s="139" customFormat="1">
      <c r="A325" s="140">
        <v>250</v>
      </c>
      <c r="B325" s="140"/>
      <c r="C325" s="139" t="str">
        <f t="shared" si="4"/>
        <v>250 Rochester</v>
      </c>
      <c r="D325" s="485">
        <v>250</v>
      </c>
      <c r="E325" s="486" t="s">
        <v>931</v>
      </c>
      <c r="F325" s="486">
        <v>250</v>
      </c>
      <c r="G325" s="486" t="s">
        <v>1900</v>
      </c>
      <c r="L325" s="139">
        <v>85207</v>
      </c>
      <c r="M325" s="139">
        <v>7</v>
      </c>
      <c r="N325" s="139">
        <v>852</v>
      </c>
      <c r="O325" s="139" t="s">
        <v>209</v>
      </c>
      <c r="P325" s="139">
        <v>299</v>
      </c>
      <c r="Q325" s="139" t="str">
        <f>VLOOKUP(P325,'Townwide Contributions'!$A$6:$B$358,2,0)</f>
        <v>Townsend</v>
      </c>
      <c r="R325" s="139" t="s">
        <v>547</v>
      </c>
      <c r="V325"/>
    </row>
    <row r="326" spans="1:22" s="139" customFormat="1">
      <c r="A326" s="140">
        <v>251</v>
      </c>
      <c r="B326" s="140"/>
      <c r="C326" s="139" t="str">
        <f t="shared" ref="C326:C340" si="5">PROPER(D326&amp;" "&amp;E326)</f>
        <v>251 Rockland</v>
      </c>
      <c r="D326" s="485">
        <v>251</v>
      </c>
      <c r="E326" s="486" t="s">
        <v>932</v>
      </c>
      <c r="F326" s="486">
        <v>251</v>
      </c>
      <c r="G326" s="486" t="s">
        <v>1901</v>
      </c>
      <c r="L326" s="139">
        <v>85208</v>
      </c>
      <c r="M326" s="139">
        <v>8</v>
      </c>
      <c r="N326" s="139">
        <v>852</v>
      </c>
      <c r="O326" s="139" t="s">
        <v>209</v>
      </c>
      <c r="P326" s="139">
        <v>326</v>
      </c>
      <c r="Q326" s="139" t="str">
        <f>VLOOKUP(P326,'Townwide Contributions'!$A$6:$B$358,2,0)</f>
        <v>Westford</v>
      </c>
      <c r="R326" s="139" t="s">
        <v>569</v>
      </c>
      <c r="V326"/>
    </row>
    <row r="327" spans="1:22" s="139" customFormat="1">
      <c r="A327" s="140">
        <v>252</v>
      </c>
      <c r="B327" s="140"/>
      <c r="C327" s="139" t="str">
        <f t="shared" si="5"/>
        <v>252 Rockport</v>
      </c>
      <c r="D327" s="485">
        <v>252</v>
      </c>
      <c r="E327" s="486" t="s">
        <v>933</v>
      </c>
      <c r="F327" s="486">
        <v>252</v>
      </c>
      <c r="G327" s="486" t="s">
        <v>1902</v>
      </c>
      <c r="L327" s="139">
        <v>85301</v>
      </c>
      <c r="M327" s="139">
        <v>1</v>
      </c>
      <c r="N327" s="139">
        <v>853</v>
      </c>
      <c r="O327" s="139" t="s">
        <v>210</v>
      </c>
      <c r="P327" s="139">
        <v>57</v>
      </c>
      <c r="Q327" s="139" t="str">
        <f>VLOOKUP(P327,'Townwide Contributions'!$A$6:$B$358,2,0)</f>
        <v>Chelsea</v>
      </c>
      <c r="R327" s="139" t="s">
        <v>267</v>
      </c>
      <c r="V327"/>
    </row>
    <row r="328" spans="1:22" s="139" customFormat="1">
      <c r="A328" s="140">
        <v>253</v>
      </c>
      <c r="B328" s="140"/>
      <c r="C328" s="139" t="str">
        <f t="shared" si="5"/>
        <v>253 Rowe</v>
      </c>
      <c r="D328" s="485">
        <v>253</v>
      </c>
      <c r="E328" s="486" t="s">
        <v>934</v>
      </c>
      <c r="F328" s="486">
        <v>253</v>
      </c>
      <c r="G328" s="486" t="s">
        <v>1903</v>
      </c>
      <c r="L328" s="139">
        <v>85302</v>
      </c>
      <c r="M328" s="139">
        <v>2</v>
      </c>
      <c r="N328" s="139">
        <v>853</v>
      </c>
      <c r="O328" s="139" t="s">
        <v>210</v>
      </c>
      <c r="P328" s="139">
        <v>165</v>
      </c>
      <c r="Q328" s="139" t="str">
        <f>VLOOKUP(P328,'Townwide Contributions'!$A$6:$B$358,2,0)</f>
        <v>Malden</v>
      </c>
      <c r="R328" s="139" t="s">
        <v>406</v>
      </c>
      <c r="V328"/>
    </row>
    <row r="329" spans="1:22" s="139" customFormat="1">
      <c r="A329" s="140">
        <v>254</v>
      </c>
      <c r="B329" s="140"/>
      <c r="C329" s="139" t="str">
        <f t="shared" si="5"/>
        <v>254 Rowley</v>
      </c>
      <c r="D329" s="485">
        <v>254</v>
      </c>
      <c r="E329" s="486" t="s">
        <v>935</v>
      </c>
      <c r="F329" s="486">
        <v>254</v>
      </c>
      <c r="G329" s="486" t="s">
        <v>1904</v>
      </c>
      <c r="L329" s="139">
        <v>85303</v>
      </c>
      <c r="M329" s="139">
        <v>3</v>
      </c>
      <c r="N329" s="139">
        <v>853</v>
      </c>
      <c r="O329" s="139" t="s">
        <v>210</v>
      </c>
      <c r="P329" s="139">
        <v>178</v>
      </c>
      <c r="Q329" s="139" t="str">
        <f>VLOOKUP(P329,'Townwide Contributions'!$A$6:$B$358,2,0)</f>
        <v>Melrose</v>
      </c>
      <c r="R329" s="139" t="s">
        <v>419</v>
      </c>
      <c r="V329"/>
    </row>
    <row r="330" spans="1:22" s="139" customFormat="1">
      <c r="A330" s="140">
        <v>255</v>
      </c>
      <c r="B330" s="140"/>
      <c r="C330" s="139" t="str">
        <f t="shared" si="5"/>
        <v>255 Royalston</v>
      </c>
      <c r="D330" s="485">
        <v>255</v>
      </c>
      <c r="E330" s="486" t="s">
        <v>936</v>
      </c>
      <c r="F330" s="486">
        <v>255</v>
      </c>
      <c r="G330" s="486" t="s">
        <v>1905</v>
      </c>
      <c r="L330" s="139">
        <v>85304</v>
      </c>
      <c r="M330" s="139">
        <v>4</v>
      </c>
      <c r="N330" s="139">
        <v>853</v>
      </c>
      <c r="O330" s="139" t="s">
        <v>210</v>
      </c>
      <c r="P330" s="139">
        <v>217</v>
      </c>
      <c r="Q330" s="139" t="str">
        <f>VLOOKUP(P330,'Townwide Contributions'!$A$6:$B$358,2,0)</f>
        <v>North Reading</v>
      </c>
      <c r="R330" s="139" t="s">
        <v>463</v>
      </c>
      <c r="V330"/>
    </row>
    <row r="331" spans="1:22" s="139" customFormat="1">
      <c r="A331" s="140">
        <v>256</v>
      </c>
      <c r="B331" s="140"/>
      <c r="C331" s="139" t="str">
        <f t="shared" si="5"/>
        <v>256 Russell</v>
      </c>
      <c r="D331" s="485">
        <v>256</v>
      </c>
      <c r="E331" s="486" t="s">
        <v>937</v>
      </c>
      <c r="F331" s="486">
        <v>256</v>
      </c>
      <c r="G331" s="486" t="s">
        <v>1906</v>
      </c>
      <c r="L331" s="139">
        <v>85305</v>
      </c>
      <c r="M331" s="139">
        <v>5</v>
      </c>
      <c r="N331" s="139">
        <v>853</v>
      </c>
      <c r="O331" s="139" t="s">
        <v>210</v>
      </c>
      <c r="P331" s="139">
        <v>246</v>
      </c>
      <c r="Q331" s="139" t="str">
        <f>VLOOKUP(P331,'Townwide Contributions'!$A$6:$B$358,2,0)</f>
        <v>Reading</v>
      </c>
      <c r="R331" s="139" t="s">
        <v>497</v>
      </c>
      <c r="V331"/>
    </row>
    <row r="332" spans="1:22" s="139" customFormat="1">
      <c r="A332" s="140">
        <v>257</v>
      </c>
      <c r="B332" s="140"/>
      <c r="C332" s="139" t="str">
        <f t="shared" si="5"/>
        <v>257 Rutland</v>
      </c>
      <c r="D332" s="485">
        <v>257</v>
      </c>
      <c r="E332" s="486" t="s">
        <v>938</v>
      </c>
      <c r="F332" s="486">
        <v>257</v>
      </c>
      <c r="G332" s="486" t="s">
        <v>1907</v>
      </c>
      <c r="L332" s="139">
        <v>85306</v>
      </c>
      <c r="M332" s="139">
        <v>6</v>
      </c>
      <c r="N332" s="139">
        <v>853</v>
      </c>
      <c r="O332" s="139" t="s">
        <v>210</v>
      </c>
      <c r="P332" s="139">
        <v>248</v>
      </c>
      <c r="Q332" s="139" t="str">
        <f>VLOOKUP(P332,'Townwide Contributions'!$A$6:$B$358,2,0)</f>
        <v>Revere</v>
      </c>
      <c r="R332" s="139" t="s">
        <v>499</v>
      </c>
      <c r="V332"/>
    </row>
    <row r="333" spans="1:22" s="139" customFormat="1">
      <c r="A333" s="140">
        <v>258</v>
      </c>
      <c r="B333" s="140"/>
      <c r="C333" s="139" t="str">
        <f t="shared" si="5"/>
        <v>258 Salem</v>
      </c>
      <c r="D333" s="485">
        <v>258</v>
      </c>
      <c r="E333" s="486" t="s">
        <v>939</v>
      </c>
      <c r="F333" s="486">
        <v>258</v>
      </c>
      <c r="G333" s="486" t="s">
        <v>1908</v>
      </c>
      <c r="L333" s="139">
        <v>85307</v>
      </c>
      <c r="M333" s="139">
        <v>7</v>
      </c>
      <c r="N333" s="139">
        <v>853</v>
      </c>
      <c r="O333" s="139" t="s">
        <v>210</v>
      </c>
      <c r="P333" s="139">
        <v>262</v>
      </c>
      <c r="Q333" s="139" t="str">
        <f>VLOOKUP(P333,'Townwide Contributions'!$A$6:$B$358,2,0)</f>
        <v>Saugus</v>
      </c>
      <c r="R333" s="139" t="s">
        <v>511</v>
      </c>
      <c r="V333"/>
    </row>
    <row r="334" spans="1:22" s="139" customFormat="1">
      <c r="A334" s="140">
        <v>259</v>
      </c>
      <c r="B334" s="140"/>
      <c r="C334" s="139" t="str">
        <f t="shared" si="5"/>
        <v>259 Salisbury</v>
      </c>
      <c r="D334" s="485">
        <v>259</v>
      </c>
      <c r="E334" s="486" t="s">
        <v>940</v>
      </c>
      <c r="F334" s="486">
        <v>259</v>
      </c>
      <c r="G334" s="486" t="s">
        <v>1909</v>
      </c>
      <c r="L334" s="139">
        <v>85308</v>
      </c>
      <c r="M334" s="139">
        <v>8</v>
      </c>
      <c r="N334" s="139">
        <v>853</v>
      </c>
      <c r="O334" s="139" t="s">
        <v>210</v>
      </c>
      <c r="P334" s="139">
        <v>284</v>
      </c>
      <c r="Q334" s="139" t="str">
        <f>VLOOKUP(P334,'Townwide Contributions'!$A$6:$B$358,2,0)</f>
        <v>Stoneham</v>
      </c>
      <c r="R334" s="139" t="s">
        <v>532</v>
      </c>
      <c r="V334"/>
    </row>
    <row r="335" spans="1:22" s="139" customFormat="1">
      <c r="A335" s="140">
        <v>260</v>
      </c>
      <c r="B335" s="140"/>
      <c r="C335" s="139" t="str">
        <f t="shared" si="5"/>
        <v>260 Sandisfield</v>
      </c>
      <c r="D335" s="485">
        <v>260</v>
      </c>
      <c r="E335" s="486" t="s">
        <v>941</v>
      </c>
      <c r="F335" s="486">
        <v>260</v>
      </c>
      <c r="G335" s="486" t="s">
        <v>1910</v>
      </c>
      <c r="L335" s="139">
        <v>85309</v>
      </c>
      <c r="M335" s="139">
        <v>9</v>
      </c>
      <c r="N335" s="139">
        <v>853</v>
      </c>
      <c r="O335" s="139" t="s">
        <v>210</v>
      </c>
      <c r="P335" s="139">
        <v>305</v>
      </c>
      <c r="Q335" s="139" t="str">
        <f>VLOOKUP(P335,'Townwide Contributions'!$A$6:$B$358,2,0)</f>
        <v>Wakefield</v>
      </c>
      <c r="R335" s="139" t="s">
        <v>552</v>
      </c>
      <c r="V335"/>
    </row>
    <row r="336" spans="1:22" s="139" customFormat="1">
      <c r="A336" s="140">
        <v>261</v>
      </c>
      <c r="B336" s="140"/>
      <c r="C336" s="139" t="str">
        <f t="shared" si="5"/>
        <v>261 Sandwich</v>
      </c>
      <c r="D336" s="485">
        <v>261</v>
      </c>
      <c r="E336" s="486" t="s">
        <v>942</v>
      </c>
      <c r="F336" s="486">
        <v>261</v>
      </c>
      <c r="G336" s="486" t="s">
        <v>1911</v>
      </c>
      <c r="L336" s="139">
        <v>85310</v>
      </c>
      <c r="M336" s="139">
        <v>10</v>
      </c>
      <c r="N336" s="139">
        <v>853</v>
      </c>
      <c r="O336" s="139" t="s">
        <v>210</v>
      </c>
      <c r="P336" s="139">
        <v>344</v>
      </c>
      <c r="Q336" s="139" t="str">
        <f>VLOOKUP(P336,'Townwide Contributions'!$A$6:$B$358,2,0)</f>
        <v>Winchester</v>
      </c>
      <c r="R336" s="139" t="s">
        <v>585</v>
      </c>
      <c r="V336"/>
    </row>
    <row r="337" spans="1:22" s="139" customFormat="1">
      <c r="A337" s="140">
        <v>262</v>
      </c>
      <c r="B337" s="140"/>
      <c r="C337" s="139" t="str">
        <f t="shared" si="5"/>
        <v>262 Saugus</v>
      </c>
      <c r="D337" s="485">
        <v>262</v>
      </c>
      <c r="E337" s="486" t="s">
        <v>943</v>
      </c>
      <c r="F337" s="486">
        <v>262</v>
      </c>
      <c r="G337" s="486" t="s">
        <v>1912</v>
      </c>
      <c r="L337" s="139">
        <v>85311</v>
      </c>
      <c r="M337" s="139">
        <v>11</v>
      </c>
      <c r="N337" s="139">
        <v>853</v>
      </c>
      <c r="O337" s="139" t="s">
        <v>210</v>
      </c>
      <c r="P337" s="139">
        <v>346</v>
      </c>
      <c r="Q337" s="139" t="str">
        <f>VLOOKUP(P337,'Townwide Contributions'!$A$6:$B$358,2,0)</f>
        <v>Winthrop</v>
      </c>
      <c r="R337" s="139" t="s">
        <v>587</v>
      </c>
      <c r="V337"/>
    </row>
    <row r="338" spans="1:22" s="139" customFormat="1">
      <c r="A338" s="140">
        <v>263</v>
      </c>
      <c r="B338" s="140"/>
      <c r="C338" s="139" t="str">
        <f t="shared" si="5"/>
        <v>263 Savoy</v>
      </c>
      <c r="D338" s="485">
        <v>263</v>
      </c>
      <c r="E338" s="486" t="s">
        <v>944</v>
      </c>
      <c r="F338" s="486">
        <v>263</v>
      </c>
      <c r="G338" s="486" t="s">
        <v>1913</v>
      </c>
      <c r="L338" s="139">
        <v>85312</v>
      </c>
      <c r="M338" s="139">
        <v>12</v>
      </c>
      <c r="N338" s="139">
        <v>853</v>
      </c>
      <c r="O338" s="139" t="s">
        <v>210</v>
      </c>
      <c r="P338" s="139">
        <v>347</v>
      </c>
      <c r="Q338" s="139" t="str">
        <f>VLOOKUP(P338,'Townwide Contributions'!$A$6:$B$358,2,0)</f>
        <v>Woburn</v>
      </c>
      <c r="R338" s="139" t="s">
        <v>588</v>
      </c>
      <c r="V338"/>
    </row>
    <row r="339" spans="1:22" s="139" customFormat="1">
      <c r="A339" s="140">
        <v>264</v>
      </c>
      <c r="B339" s="140"/>
      <c r="C339" s="139" t="str">
        <f t="shared" si="5"/>
        <v>264 Scituate</v>
      </c>
      <c r="D339" s="485">
        <v>264</v>
      </c>
      <c r="E339" s="486" t="s">
        <v>945</v>
      </c>
      <c r="F339" s="486">
        <v>264</v>
      </c>
      <c r="G339" s="486" t="s">
        <v>1914</v>
      </c>
      <c r="L339" s="139">
        <v>85501</v>
      </c>
      <c r="M339" s="139">
        <v>1</v>
      </c>
      <c r="N339" s="139">
        <v>855</v>
      </c>
      <c r="O339" s="139" t="s">
        <v>211</v>
      </c>
      <c r="P339" s="139">
        <v>3</v>
      </c>
      <c r="Q339" s="139" t="str">
        <f>VLOOKUP(P339,'Townwide Contributions'!$A$6:$B$358,2,0)</f>
        <v>Acushnet</v>
      </c>
      <c r="R339" s="139" t="s">
        <v>624</v>
      </c>
      <c r="V339"/>
    </row>
    <row r="340" spans="1:22" s="139" customFormat="1">
      <c r="A340" s="140">
        <v>265</v>
      </c>
      <c r="B340" s="140"/>
      <c r="C340" s="139" t="str">
        <f t="shared" si="5"/>
        <v>265 Seekonk</v>
      </c>
      <c r="D340" s="485">
        <v>265</v>
      </c>
      <c r="E340" s="486" t="s">
        <v>946</v>
      </c>
      <c r="F340" s="486">
        <v>265</v>
      </c>
      <c r="G340" s="486" t="s">
        <v>1915</v>
      </c>
      <c r="L340" s="139">
        <v>85502</v>
      </c>
      <c r="M340" s="139">
        <v>2</v>
      </c>
      <c r="N340" s="139">
        <v>855</v>
      </c>
      <c r="O340" s="139" t="s">
        <v>211</v>
      </c>
      <c r="P340" s="139">
        <v>52</v>
      </c>
      <c r="Q340" s="139" t="str">
        <f>VLOOKUP(P340,'Townwide Contributions'!$A$6:$B$358,2,0)</f>
        <v>Carver</v>
      </c>
      <c r="R340" s="139" t="s">
        <v>259</v>
      </c>
      <c r="V340"/>
    </row>
    <row r="341" spans="1:22" s="139" customFormat="1">
      <c r="A341" s="140">
        <v>266</v>
      </c>
      <c r="B341" s="140"/>
      <c r="C341" s="139" t="str">
        <f t="shared" ref="C341:C372" si="6">PROPER(D341&amp;" "&amp;E341)</f>
        <v>266 Sharon</v>
      </c>
      <c r="D341" s="485">
        <v>266</v>
      </c>
      <c r="E341" s="486" t="s">
        <v>947</v>
      </c>
      <c r="F341" s="486">
        <v>266</v>
      </c>
      <c r="G341" s="486" t="s">
        <v>1916</v>
      </c>
      <c r="L341" s="139">
        <v>85503</v>
      </c>
      <c r="M341" s="139">
        <v>3</v>
      </c>
      <c r="N341" s="139">
        <v>855</v>
      </c>
      <c r="O341" s="139" t="s">
        <v>211</v>
      </c>
      <c r="P341" s="139">
        <v>146</v>
      </c>
      <c r="Q341" s="139" t="str">
        <f>VLOOKUP(P341,'Townwide Contributions'!$A$6:$B$358,2,0)</f>
        <v>Lakeville</v>
      </c>
      <c r="R341" s="139" t="s">
        <v>373</v>
      </c>
      <c r="V341"/>
    </row>
    <row r="342" spans="1:22" s="139" customFormat="1">
      <c r="A342" s="140">
        <v>432</v>
      </c>
      <c r="B342" s="140"/>
      <c r="C342" s="139" t="str">
        <f t="shared" si="6"/>
        <v>871 Shawsheen Valley</v>
      </c>
      <c r="D342" s="485">
        <v>871</v>
      </c>
      <c r="E342" s="486" t="s">
        <v>1111</v>
      </c>
      <c r="F342" s="486">
        <v>871</v>
      </c>
      <c r="G342" s="486" t="s">
        <v>2081</v>
      </c>
      <c r="L342" s="139">
        <v>85504</v>
      </c>
      <c r="M342" s="139">
        <v>4</v>
      </c>
      <c r="N342" s="139">
        <v>855</v>
      </c>
      <c r="O342" s="139" t="s">
        <v>211</v>
      </c>
      <c r="P342" s="139">
        <v>173</v>
      </c>
      <c r="Q342" s="139" t="str">
        <f>VLOOKUP(P342,'Townwide Contributions'!$A$6:$B$358,2,0)</f>
        <v>Mattapoisett</v>
      </c>
      <c r="R342" s="139" t="s">
        <v>414</v>
      </c>
      <c r="V342"/>
    </row>
    <row r="343" spans="1:22" s="139" customFormat="1">
      <c r="A343" s="140">
        <v>267</v>
      </c>
      <c r="B343" s="140"/>
      <c r="C343" s="139" t="str">
        <f t="shared" si="6"/>
        <v>267 Sheffield</v>
      </c>
      <c r="D343" s="485">
        <v>267</v>
      </c>
      <c r="E343" s="486" t="s">
        <v>948</v>
      </c>
      <c r="F343" s="486">
        <v>267</v>
      </c>
      <c r="G343" s="486" t="s">
        <v>1917</v>
      </c>
      <c r="L343" s="139">
        <v>85505</v>
      </c>
      <c r="M343" s="139">
        <v>5</v>
      </c>
      <c r="N343" s="139">
        <v>855</v>
      </c>
      <c r="O343" s="139" t="s">
        <v>211</v>
      </c>
      <c r="P343" s="139">
        <v>250</v>
      </c>
      <c r="Q343" s="139" t="str">
        <f>VLOOKUP(P343,'Townwide Contributions'!$A$6:$B$358,2,0)</f>
        <v>Rochester</v>
      </c>
      <c r="R343" s="139" t="s">
        <v>500</v>
      </c>
      <c r="V343"/>
    </row>
    <row r="344" spans="1:22" s="139" customFormat="1">
      <c r="A344" s="140">
        <v>268</v>
      </c>
      <c r="B344" s="140"/>
      <c r="C344" s="139" t="str">
        <f t="shared" si="6"/>
        <v>268 Shelburne</v>
      </c>
      <c r="D344" s="485">
        <v>268</v>
      </c>
      <c r="E344" s="486" t="s">
        <v>949</v>
      </c>
      <c r="F344" s="486">
        <v>268</v>
      </c>
      <c r="G344" s="486" t="s">
        <v>1918</v>
      </c>
      <c r="L344" s="139">
        <v>86001</v>
      </c>
      <c r="M344" s="139">
        <v>1</v>
      </c>
      <c r="N344" s="139">
        <v>860</v>
      </c>
      <c r="O344" s="139" t="s">
        <v>602</v>
      </c>
      <c r="P344" s="139">
        <v>24</v>
      </c>
      <c r="Q344" s="139" t="str">
        <f>VLOOKUP(P344,'Townwide Contributions'!$A$6:$B$358,2,0)</f>
        <v>Belchertown</v>
      </c>
      <c r="R344" s="139" t="s">
        <v>34</v>
      </c>
      <c r="V344"/>
    </row>
    <row r="345" spans="1:22" s="139" customFormat="1">
      <c r="A345" s="140">
        <v>269</v>
      </c>
      <c r="B345" s="140"/>
      <c r="C345" s="139" t="str">
        <f t="shared" si="6"/>
        <v>269 Sherborn</v>
      </c>
      <c r="D345" s="485">
        <v>269</v>
      </c>
      <c r="E345" s="486" t="s">
        <v>950</v>
      </c>
      <c r="F345" s="486">
        <v>269</v>
      </c>
      <c r="G345" s="486" t="s">
        <v>1919</v>
      </c>
      <c r="L345" s="139">
        <v>86002</v>
      </c>
      <c r="M345" s="139">
        <v>2</v>
      </c>
      <c r="N345" s="139">
        <v>860</v>
      </c>
      <c r="O345" s="139" t="s">
        <v>602</v>
      </c>
      <c r="P345" s="139">
        <v>111</v>
      </c>
      <c r="Q345" s="139" t="str">
        <f>VLOOKUP(P345,'Townwide Contributions'!$A$6:$B$358,2,0)</f>
        <v>Granby</v>
      </c>
      <c r="R345" s="139" t="s">
        <v>337</v>
      </c>
      <c r="V345"/>
    </row>
    <row r="346" spans="1:22" s="139" customFormat="1">
      <c r="A346" s="140">
        <v>270</v>
      </c>
      <c r="B346" s="140"/>
      <c r="C346" s="139" t="str">
        <f t="shared" si="6"/>
        <v>270 Shirley</v>
      </c>
      <c r="D346" s="485">
        <v>270</v>
      </c>
      <c r="E346" s="486" t="s">
        <v>951</v>
      </c>
      <c r="F346" s="486">
        <v>270</v>
      </c>
      <c r="G346" s="486" t="s">
        <v>1920</v>
      </c>
      <c r="L346" s="139">
        <v>86003</v>
      </c>
      <c r="M346" s="139">
        <v>3</v>
      </c>
      <c r="N346" s="139">
        <v>860</v>
      </c>
      <c r="O346" s="139" t="s">
        <v>602</v>
      </c>
      <c r="P346" s="139">
        <v>124</v>
      </c>
      <c r="Q346" s="139" t="str">
        <f>VLOOKUP(P346,'Townwide Contributions'!$A$6:$B$358,2,0)</f>
        <v>Hardwick</v>
      </c>
      <c r="R346" s="139" t="s">
        <v>354</v>
      </c>
      <c r="V346"/>
    </row>
    <row r="347" spans="1:22" s="139" customFormat="1">
      <c r="A347" s="140">
        <v>271</v>
      </c>
      <c r="B347" s="140"/>
      <c r="C347" s="139" t="str">
        <f t="shared" si="6"/>
        <v>271 Shrewsbury</v>
      </c>
      <c r="D347" s="485">
        <v>271</v>
      </c>
      <c r="E347" s="486" t="s">
        <v>952</v>
      </c>
      <c r="F347" s="486">
        <v>271</v>
      </c>
      <c r="G347" s="486" t="s">
        <v>1921</v>
      </c>
      <c r="L347" s="139">
        <v>86004</v>
      </c>
      <c r="M347" s="139">
        <v>4</v>
      </c>
      <c r="N347" s="139">
        <v>860</v>
      </c>
      <c r="O347" s="139" t="s">
        <v>602</v>
      </c>
      <c r="P347" s="139">
        <v>191</v>
      </c>
      <c r="Q347" s="139" t="str">
        <f>VLOOKUP(P347,'Townwide Contributions'!$A$6:$B$358,2,0)</f>
        <v>Monson</v>
      </c>
      <c r="R347" s="139" t="s">
        <v>433</v>
      </c>
      <c r="V347"/>
    </row>
    <row r="348" spans="1:22" s="139" customFormat="1">
      <c r="A348" s="140">
        <v>272</v>
      </c>
      <c r="B348" s="140"/>
      <c r="C348" s="139" t="str">
        <f t="shared" si="6"/>
        <v>272 Shutesbury</v>
      </c>
      <c r="D348" s="485">
        <v>272</v>
      </c>
      <c r="E348" s="486" t="s">
        <v>953</v>
      </c>
      <c r="F348" s="486">
        <v>272</v>
      </c>
      <c r="G348" s="486" t="s">
        <v>1922</v>
      </c>
      <c r="L348" s="139">
        <v>86005</v>
      </c>
      <c r="M348" s="139">
        <v>5</v>
      </c>
      <c r="N348" s="139">
        <v>860</v>
      </c>
      <c r="O348" s="139" t="s">
        <v>602</v>
      </c>
      <c r="P348" s="139">
        <v>202</v>
      </c>
      <c r="Q348" s="139" t="str">
        <f>VLOOKUP(P348,'Townwide Contributions'!$A$6:$B$358,2,0)</f>
        <v>New Braintree</v>
      </c>
      <c r="R348" s="139" t="s">
        <v>442</v>
      </c>
      <c r="V348"/>
    </row>
    <row r="349" spans="1:22" s="139" customFormat="1">
      <c r="A349" s="140">
        <v>402</v>
      </c>
      <c r="B349" s="140"/>
      <c r="C349" s="139" t="str">
        <f t="shared" si="6"/>
        <v>760 Silver Lake</v>
      </c>
      <c r="D349" s="485">
        <v>760</v>
      </c>
      <c r="E349" s="486" t="s">
        <v>1081</v>
      </c>
      <c r="F349" s="486">
        <v>760</v>
      </c>
      <c r="G349" s="486" t="s">
        <v>2051</v>
      </c>
      <c r="L349" s="139">
        <v>86006</v>
      </c>
      <c r="M349" s="139">
        <v>6</v>
      </c>
      <c r="N349" s="139">
        <v>860</v>
      </c>
      <c r="O349" s="139" t="s">
        <v>602</v>
      </c>
      <c r="P349" s="139">
        <v>222</v>
      </c>
      <c r="Q349" s="139" t="str">
        <f>VLOOKUP(P349,'Townwide Contributions'!$A$6:$B$358,2,0)</f>
        <v>Oakham</v>
      </c>
      <c r="R349" s="139" t="s">
        <v>470</v>
      </c>
      <c r="V349"/>
    </row>
    <row r="350" spans="1:22" s="139" customFormat="1">
      <c r="A350" s="140">
        <v>273</v>
      </c>
      <c r="B350" s="140"/>
      <c r="C350" s="139" t="str">
        <f t="shared" si="6"/>
        <v>273 Somerset</v>
      </c>
      <c r="D350" s="485">
        <v>273</v>
      </c>
      <c r="E350" s="486" t="s">
        <v>954</v>
      </c>
      <c r="F350" s="486">
        <v>273</v>
      </c>
      <c r="G350" s="486" t="s">
        <v>1923</v>
      </c>
      <c r="L350" s="139">
        <v>86007</v>
      </c>
      <c r="M350" s="139">
        <v>7</v>
      </c>
      <c r="N350" s="139">
        <v>860</v>
      </c>
      <c r="O350" s="139" t="s">
        <v>602</v>
      </c>
      <c r="P350" s="139">
        <v>227</v>
      </c>
      <c r="Q350" s="139" t="str">
        <f>VLOOKUP(P350,'Townwide Contributions'!$A$6:$B$358,2,0)</f>
        <v>Palmer</v>
      </c>
      <c r="R350" s="139" t="s">
        <v>477</v>
      </c>
      <c r="V350"/>
    </row>
    <row r="351" spans="1:22" s="139" customFormat="1">
      <c r="A351" s="140">
        <v>403</v>
      </c>
      <c r="B351" s="140"/>
      <c r="C351" s="139" t="str">
        <f t="shared" si="6"/>
        <v>763 Somerset Berkley</v>
      </c>
      <c r="D351" s="485">
        <v>763</v>
      </c>
      <c r="E351" s="486" t="s">
        <v>1082</v>
      </c>
      <c r="F351" s="486">
        <v>763</v>
      </c>
      <c r="G351" s="486" t="s">
        <v>2052</v>
      </c>
      <c r="L351" s="139">
        <v>86008</v>
      </c>
      <c r="M351" s="139">
        <v>8</v>
      </c>
      <c r="N351" s="139">
        <v>860</v>
      </c>
      <c r="O351" s="139" t="s">
        <v>602</v>
      </c>
      <c r="P351" s="139">
        <v>309</v>
      </c>
      <c r="Q351" s="139" t="str">
        <f>VLOOKUP(P351,'Townwide Contributions'!$A$6:$B$358,2,0)</f>
        <v>Ware</v>
      </c>
      <c r="R351" s="139" t="s">
        <v>555</v>
      </c>
      <c r="V351"/>
    </row>
    <row r="352" spans="1:22" s="139" customFormat="1">
      <c r="A352" s="140">
        <v>274</v>
      </c>
      <c r="B352" s="140"/>
      <c r="C352" s="139" t="str">
        <f t="shared" si="6"/>
        <v>274 Somerville</v>
      </c>
      <c r="D352" s="485">
        <v>274</v>
      </c>
      <c r="E352" s="486" t="s">
        <v>955</v>
      </c>
      <c r="F352" s="486">
        <v>274</v>
      </c>
      <c r="G352" s="486" t="s">
        <v>1924</v>
      </c>
      <c r="L352" s="139">
        <v>86009</v>
      </c>
      <c r="M352" s="139">
        <v>9</v>
      </c>
      <c r="N352" s="139">
        <v>860</v>
      </c>
      <c r="O352" s="139" t="s">
        <v>602</v>
      </c>
      <c r="P352" s="139">
        <v>311</v>
      </c>
      <c r="Q352" s="139" t="str">
        <f>VLOOKUP(P352,'Townwide Contributions'!$A$6:$B$358,2,0)</f>
        <v>Warren</v>
      </c>
      <c r="R352" s="139" t="s">
        <v>557</v>
      </c>
      <c r="V352"/>
    </row>
    <row r="353" spans="1:22" s="139" customFormat="1">
      <c r="A353" s="140">
        <v>278</v>
      </c>
      <c r="B353" s="140"/>
      <c r="C353" s="139" t="str">
        <f t="shared" si="6"/>
        <v>278 South Hadley</v>
      </c>
      <c r="D353" s="485">
        <v>278</v>
      </c>
      <c r="E353" s="486" t="s">
        <v>959</v>
      </c>
      <c r="F353" s="486">
        <v>278</v>
      </c>
      <c r="G353" s="486" t="s">
        <v>1928</v>
      </c>
      <c r="L353" s="139">
        <v>87101</v>
      </c>
      <c r="M353" s="139">
        <v>1</v>
      </c>
      <c r="N353" s="139">
        <v>871</v>
      </c>
      <c r="O353" s="139" t="s">
        <v>212</v>
      </c>
      <c r="P353" s="139">
        <v>23</v>
      </c>
      <c r="Q353" s="139" t="str">
        <f>VLOOKUP(P353,'Townwide Contributions'!$A$6:$B$358,2,0)</f>
        <v>Bedford</v>
      </c>
      <c r="R353" s="139" t="s">
        <v>32</v>
      </c>
      <c r="V353"/>
    </row>
    <row r="354" spans="1:22" s="139" customFormat="1">
      <c r="A354" s="140">
        <v>424</v>
      </c>
      <c r="B354" s="140"/>
      <c r="C354" s="139" t="str">
        <f t="shared" si="6"/>
        <v>829 South Middlesex</v>
      </c>
      <c r="D354" s="485">
        <v>829</v>
      </c>
      <c r="E354" s="486" t="s">
        <v>1103</v>
      </c>
      <c r="F354" s="486">
        <v>829</v>
      </c>
      <c r="G354" s="486" t="s">
        <v>2073</v>
      </c>
      <c r="L354" s="139">
        <v>87102</v>
      </c>
      <c r="M354" s="139">
        <v>2</v>
      </c>
      <c r="N354" s="139">
        <v>871</v>
      </c>
      <c r="O354" s="139" t="s">
        <v>212</v>
      </c>
      <c r="P354" s="139">
        <v>31</v>
      </c>
      <c r="Q354" s="139" t="str">
        <f>VLOOKUP(P354,'Townwide Contributions'!$A$6:$B$358,2,0)</f>
        <v>Billerica</v>
      </c>
      <c r="R354" s="139" t="s">
        <v>47</v>
      </c>
      <c r="V354"/>
    </row>
    <row r="355" spans="1:22" s="139" customFormat="1">
      <c r="A355" s="140">
        <v>434</v>
      </c>
      <c r="B355" s="140"/>
      <c r="C355" s="139" t="str">
        <f t="shared" si="6"/>
        <v>873 South Shore</v>
      </c>
      <c r="D355" s="485">
        <v>873</v>
      </c>
      <c r="E355" s="486" t="s">
        <v>1113</v>
      </c>
      <c r="F355" s="486">
        <v>873</v>
      </c>
      <c r="G355" s="486" t="s">
        <v>2083</v>
      </c>
      <c r="L355" s="139">
        <v>87103</v>
      </c>
      <c r="M355" s="139">
        <v>3</v>
      </c>
      <c r="N355" s="139">
        <v>871</v>
      </c>
      <c r="O355" s="139" t="s">
        <v>212</v>
      </c>
      <c r="P355" s="139">
        <v>48</v>
      </c>
      <c r="Q355" s="139" t="str">
        <f>VLOOKUP(P355,'Townwide Contributions'!$A$6:$B$358,2,0)</f>
        <v>Burlington</v>
      </c>
      <c r="R355" s="139" t="s">
        <v>255</v>
      </c>
      <c r="V355"/>
    </row>
    <row r="356" spans="1:22" s="139" customFormat="1">
      <c r="A356" s="140">
        <v>275</v>
      </c>
      <c r="B356" s="140"/>
      <c r="C356" s="139" t="str">
        <f t="shared" si="6"/>
        <v>275 Southampton</v>
      </c>
      <c r="D356" s="485">
        <v>275</v>
      </c>
      <c r="E356" s="486" t="s">
        <v>956</v>
      </c>
      <c r="F356" s="486">
        <v>275</v>
      </c>
      <c r="G356" s="486" t="s">
        <v>1925</v>
      </c>
      <c r="L356" s="139">
        <v>87104</v>
      </c>
      <c r="M356" s="139">
        <v>4</v>
      </c>
      <c r="N356" s="139">
        <v>871</v>
      </c>
      <c r="O356" s="139" t="s">
        <v>212</v>
      </c>
      <c r="P356" s="139">
        <v>295</v>
      </c>
      <c r="Q356" s="139" t="str">
        <f>VLOOKUP(P356,'Townwide Contributions'!$A$6:$B$358,2,0)</f>
        <v>Tewksbury</v>
      </c>
      <c r="R356" s="139" t="s">
        <v>543</v>
      </c>
      <c r="V356"/>
    </row>
    <row r="357" spans="1:22" s="139" customFormat="1">
      <c r="A357" s="140">
        <v>276</v>
      </c>
      <c r="B357" s="140"/>
      <c r="C357" s="139" t="str">
        <f t="shared" si="6"/>
        <v>276 Southborough</v>
      </c>
      <c r="D357" s="485">
        <v>276</v>
      </c>
      <c r="E357" s="486" t="s">
        <v>957</v>
      </c>
      <c r="F357" s="486">
        <v>276</v>
      </c>
      <c r="G357" s="486" t="s">
        <v>1926</v>
      </c>
      <c r="H357" s="139">
        <v>88</v>
      </c>
      <c r="L357" s="139">
        <v>87105</v>
      </c>
      <c r="M357" s="139">
        <v>5</v>
      </c>
      <c r="N357" s="139">
        <v>871</v>
      </c>
      <c r="O357" s="139" t="s">
        <v>212</v>
      </c>
      <c r="P357" s="139">
        <v>342</v>
      </c>
      <c r="Q357" s="139" t="str">
        <f>VLOOKUP(P357,'Townwide Contributions'!$A$6:$B$358,2,0)</f>
        <v>Wilmington</v>
      </c>
      <c r="R357" s="139" t="s">
        <v>583</v>
      </c>
      <c r="V357"/>
    </row>
    <row r="358" spans="1:22" s="139" customFormat="1">
      <c r="A358" s="140">
        <v>277</v>
      </c>
      <c r="B358" s="140"/>
      <c r="C358" s="139" t="str">
        <f t="shared" si="6"/>
        <v>277 Southbridge</v>
      </c>
      <c r="D358" s="485">
        <v>277</v>
      </c>
      <c r="E358" s="486" t="s">
        <v>958</v>
      </c>
      <c r="F358" s="486">
        <v>277</v>
      </c>
      <c r="G358" s="486" t="s">
        <v>1927</v>
      </c>
      <c r="H358" s="139">
        <f>B358</f>
        <v>0</v>
      </c>
      <c r="L358" s="139">
        <v>87201</v>
      </c>
      <c r="M358" s="139">
        <v>1</v>
      </c>
      <c r="N358" s="139">
        <v>872</v>
      </c>
      <c r="O358" s="139" t="s">
        <v>213</v>
      </c>
      <c r="P358" s="139">
        <v>44</v>
      </c>
      <c r="Q358" s="139" t="str">
        <f>VLOOKUP(P358,'Townwide Contributions'!$A$6:$B$358,2,0)</f>
        <v>Brockton</v>
      </c>
      <c r="R358" s="139" t="s">
        <v>250</v>
      </c>
      <c r="V358"/>
    </row>
    <row r="359" spans="1:22" s="139" customFormat="1">
      <c r="A359" s="140">
        <v>433</v>
      </c>
      <c r="B359" s="140"/>
      <c r="C359" s="139" t="str">
        <f t="shared" si="6"/>
        <v>872 Southeastern</v>
      </c>
      <c r="D359" s="485">
        <v>872</v>
      </c>
      <c r="E359" s="486" t="s">
        <v>1112</v>
      </c>
      <c r="F359" s="486">
        <v>872</v>
      </c>
      <c r="G359" s="486" t="s">
        <v>2082</v>
      </c>
      <c r="H359" s="139">
        <f t="shared" ref="H359:H422" si="7">B359</f>
        <v>0</v>
      </c>
      <c r="L359" s="139">
        <v>87202</v>
      </c>
      <c r="M359" s="139">
        <v>2</v>
      </c>
      <c r="N359" s="139">
        <v>872</v>
      </c>
      <c r="O359" s="139" t="s">
        <v>213</v>
      </c>
      <c r="P359" s="139">
        <v>83</v>
      </c>
      <c r="Q359" s="139" t="str">
        <f>VLOOKUP(P359,'Townwide Contributions'!$A$6:$B$358,2,0)</f>
        <v>East Bridgewater</v>
      </c>
      <c r="R359" s="139" t="s">
        <v>307</v>
      </c>
      <c r="V359"/>
    </row>
    <row r="360" spans="1:22" s="139" customFormat="1">
      <c r="A360" s="140">
        <v>404</v>
      </c>
      <c r="B360" s="140"/>
      <c r="C360" s="139" t="str">
        <f t="shared" si="6"/>
        <v>765 Southern Berkshire</v>
      </c>
      <c r="D360" s="485">
        <v>765</v>
      </c>
      <c r="E360" s="486" t="s">
        <v>1083</v>
      </c>
      <c r="F360" s="486">
        <v>765</v>
      </c>
      <c r="G360" s="486" t="s">
        <v>2053</v>
      </c>
      <c r="H360" s="139">
        <f t="shared" si="7"/>
        <v>0</v>
      </c>
      <c r="L360" s="139">
        <v>87203</v>
      </c>
      <c r="M360" s="139">
        <v>3</v>
      </c>
      <c r="N360" s="139">
        <v>872</v>
      </c>
      <c r="O360" s="139" t="s">
        <v>213</v>
      </c>
      <c r="P360" s="139">
        <v>88</v>
      </c>
      <c r="Q360" s="139" t="str">
        <f>VLOOKUP(P360,'Townwide Contributions'!$A$6:$B$358,2,0)</f>
        <v>Easton</v>
      </c>
      <c r="R360" s="139" t="s">
        <v>311</v>
      </c>
      <c r="V360"/>
    </row>
    <row r="361" spans="1:22" s="139" customFormat="1">
      <c r="A361" s="140">
        <v>435</v>
      </c>
      <c r="B361" s="140"/>
      <c r="C361" s="139" t="str">
        <f t="shared" si="6"/>
        <v>876 Southern Worcester</v>
      </c>
      <c r="D361" s="485">
        <v>876</v>
      </c>
      <c r="E361" s="486" t="s">
        <v>1114</v>
      </c>
      <c r="F361" s="486">
        <v>876</v>
      </c>
      <c r="G361" s="486" t="s">
        <v>2084</v>
      </c>
      <c r="H361" s="139">
        <f t="shared" si="7"/>
        <v>0</v>
      </c>
      <c r="L361" s="139">
        <v>87204</v>
      </c>
      <c r="M361" s="139">
        <v>4</v>
      </c>
      <c r="N361" s="139">
        <v>872</v>
      </c>
      <c r="O361" s="139" t="s">
        <v>213</v>
      </c>
      <c r="P361" s="139">
        <v>99</v>
      </c>
      <c r="Q361" s="139" t="str">
        <f>VLOOKUP(P361,'Townwide Contributions'!$A$6:$B$358,2,0)</f>
        <v>Foxborough</v>
      </c>
      <c r="R361" s="139" t="s">
        <v>323</v>
      </c>
      <c r="V361"/>
    </row>
    <row r="362" spans="1:22" s="139" customFormat="1">
      <c r="A362" s="140">
        <v>279</v>
      </c>
      <c r="B362" s="140"/>
      <c r="C362" s="139" t="str">
        <f t="shared" si="6"/>
        <v>279 Southwick</v>
      </c>
      <c r="D362" s="485">
        <v>279</v>
      </c>
      <c r="E362" s="486" t="s">
        <v>960</v>
      </c>
      <c r="F362" s="486">
        <v>279</v>
      </c>
      <c r="G362" s="486" t="s">
        <v>1929</v>
      </c>
      <c r="H362" s="139">
        <f t="shared" si="7"/>
        <v>0</v>
      </c>
      <c r="L362" s="139">
        <v>87205</v>
      </c>
      <c r="M362" s="139">
        <v>5</v>
      </c>
      <c r="N362" s="139">
        <v>872</v>
      </c>
      <c r="O362" s="139" t="s">
        <v>213</v>
      </c>
      <c r="P362" s="139">
        <v>167</v>
      </c>
      <c r="Q362" s="139" t="str">
        <f>VLOOKUP(P362,'Townwide Contributions'!$A$6:$B$358,2,0)</f>
        <v>Mansfield</v>
      </c>
      <c r="R362" s="139" t="s">
        <v>408</v>
      </c>
      <c r="V362"/>
    </row>
    <row r="363" spans="1:22" s="139" customFormat="1">
      <c r="A363" s="140">
        <v>405</v>
      </c>
      <c r="B363" s="140"/>
      <c r="C363" s="139" t="str">
        <f t="shared" si="6"/>
        <v>766 Southwick Tolland Granville</v>
      </c>
      <c r="D363" s="485">
        <v>766</v>
      </c>
      <c r="E363" s="486" t="s">
        <v>1084</v>
      </c>
      <c r="F363" s="486">
        <v>766</v>
      </c>
      <c r="G363" s="486" t="s">
        <v>2054</v>
      </c>
      <c r="H363" s="139">
        <f t="shared" si="7"/>
        <v>0</v>
      </c>
      <c r="L363" s="139">
        <v>87206</v>
      </c>
      <c r="M363" s="139">
        <v>6</v>
      </c>
      <c r="N363" s="139">
        <v>872</v>
      </c>
      <c r="O363" s="139" t="s">
        <v>213</v>
      </c>
      <c r="P363" s="139">
        <v>218</v>
      </c>
      <c r="Q363" s="139" t="str">
        <f>VLOOKUP(P363,'Townwide Contributions'!$A$6:$B$358,2,0)</f>
        <v>Norton</v>
      </c>
      <c r="R363" s="139" t="s">
        <v>464</v>
      </c>
      <c r="V363"/>
    </row>
    <row r="364" spans="1:22" s="139" customFormat="1">
      <c r="A364" s="140">
        <v>280</v>
      </c>
      <c r="B364" s="140"/>
      <c r="C364" s="139" t="str">
        <f t="shared" si="6"/>
        <v>280 Spencer</v>
      </c>
      <c r="D364" s="485">
        <v>280</v>
      </c>
      <c r="E364" s="486" t="s">
        <v>961</v>
      </c>
      <c r="F364" s="486">
        <v>280</v>
      </c>
      <c r="G364" s="486" t="s">
        <v>1930</v>
      </c>
      <c r="H364" s="139">
        <f t="shared" si="7"/>
        <v>0</v>
      </c>
      <c r="L364" s="139">
        <v>87207</v>
      </c>
      <c r="M364" s="139">
        <v>7</v>
      </c>
      <c r="N364" s="139">
        <v>872</v>
      </c>
      <c r="O364" s="139" t="s">
        <v>213</v>
      </c>
      <c r="P364" s="139">
        <v>266</v>
      </c>
      <c r="Q364" s="139" t="str">
        <f>VLOOKUP(P364,'Townwide Contributions'!$A$6:$B$358,2,0)</f>
        <v>Sharon</v>
      </c>
      <c r="R364" s="139" t="s">
        <v>515</v>
      </c>
      <c r="V364"/>
    </row>
    <row r="365" spans="1:22" s="139" customFormat="1">
      <c r="A365" s="140">
        <v>406</v>
      </c>
      <c r="B365" s="140"/>
      <c r="C365" s="139" t="str">
        <f t="shared" si="6"/>
        <v>767 Spencer East Brookfield</v>
      </c>
      <c r="D365" s="485">
        <v>767</v>
      </c>
      <c r="E365" s="486" t="s">
        <v>1085</v>
      </c>
      <c r="F365" s="486">
        <v>767</v>
      </c>
      <c r="G365" s="486" t="s">
        <v>2055</v>
      </c>
      <c r="H365" s="139">
        <f t="shared" si="7"/>
        <v>0</v>
      </c>
      <c r="L365" s="139">
        <v>87208</v>
      </c>
      <c r="M365" s="139">
        <v>8</v>
      </c>
      <c r="N365" s="139">
        <v>872</v>
      </c>
      <c r="O365" s="139" t="s">
        <v>213</v>
      </c>
      <c r="P365" s="139">
        <v>285</v>
      </c>
      <c r="Q365" s="139" t="str">
        <f>VLOOKUP(P365,'Townwide Contributions'!$A$6:$B$358,2,0)</f>
        <v>Stoughton</v>
      </c>
      <c r="R365" s="139" t="s">
        <v>533</v>
      </c>
      <c r="V365"/>
    </row>
    <row r="366" spans="1:22" s="139" customFormat="1">
      <c r="A366" s="140">
        <v>281</v>
      </c>
      <c r="B366" s="140"/>
      <c r="C366" s="139" t="str">
        <f t="shared" si="6"/>
        <v>281 Springfield</v>
      </c>
      <c r="D366" s="485">
        <v>281</v>
      </c>
      <c r="E366" s="486" t="s">
        <v>962</v>
      </c>
      <c r="F366" s="486">
        <v>281</v>
      </c>
      <c r="G366" s="486" t="s">
        <v>1931</v>
      </c>
      <c r="H366" s="139">
        <f t="shared" si="7"/>
        <v>0</v>
      </c>
      <c r="L366" s="139">
        <v>87209</v>
      </c>
      <c r="M366" s="139">
        <v>9</v>
      </c>
      <c r="N366" s="139">
        <v>872</v>
      </c>
      <c r="O366" s="139" t="s">
        <v>213</v>
      </c>
      <c r="P366" s="139">
        <v>323</v>
      </c>
      <c r="Q366" s="139" t="str">
        <f>VLOOKUP(P366,'Townwide Contributions'!$A$6:$B$358,2,0)</f>
        <v>West Bridgewater</v>
      </c>
      <c r="R366" s="139" t="s">
        <v>567</v>
      </c>
      <c r="V366"/>
    </row>
    <row r="367" spans="1:22" s="139" customFormat="1">
      <c r="A367" s="140">
        <v>282</v>
      </c>
      <c r="B367" s="140"/>
      <c r="C367" s="139" t="str">
        <f t="shared" si="6"/>
        <v>282 Sterling</v>
      </c>
      <c r="D367" s="485">
        <v>282</v>
      </c>
      <c r="E367" s="486" t="s">
        <v>963</v>
      </c>
      <c r="F367" s="486">
        <v>282</v>
      </c>
      <c r="G367" s="486" t="s">
        <v>1932</v>
      </c>
      <c r="H367" s="139">
        <f t="shared" si="7"/>
        <v>0</v>
      </c>
      <c r="L367" s="139">
        <v>87301</v>
      </c>
      <c r="M367" s="139">
        <v>1</v>
      </c>
      <c r="N367" s="139">
        <v>873</v>
      </c>
      <c r="O367" s="139" t="s">
        <v>214</v>
      </c>
      <c r="P367" s="139">
        <v>1</v>
      </c>
      <c r="Q367" s="139" t="str">
        <f>VLOOKUP(P367,'Townwide Contributions'!$A$6:$B$358,2,0)</f>
        <v>Abington</v>
      </c>
      <c r="R367" s="139" t="s">
        <v>619</v>
      </c>
      <c r="V367"/>
    </row>
    <row r="368" spans="1:22" s="139" customFormat="1">
      <c r="A368" s="140">
        <v>283</v>
      </c>
      <c r="B368" s="140"/>
      <c r="C368" s="139" t="str">
        <f t="shared" si="6"/>
        <v>283 Stockbridge</v>
      </c>
      <c r="D368" s="485">
        <v>283</v>
      </c>
      <c r="E368" s="486" t="s">
        <v>964</v>
      </c>
      <c r="F368" s="486">
        <v>283</v>
      </c>
      <c r="G368" s="486" t="s">
        <v>1933</v>
      </c>
      <c r="H368" s="139">
        <f t="shared" si="7"/>
        <v>0</v>
      </c>
      <c r="L368" s="139">
        <v>87302</v>
      </c>
      <c r="M368" s="139">
        <v>2</v>
      </c>
      <c r="N368" s="139">
        <v>873</v>
      </c>
      <c r="O368" s="139" t="s">
        <v>214</v>
      </c>
      <c r="P368" s="139">
        <v>65</v>
      </c>
      <c r="Q368" s="139" t="str">
        <f>VLOOKUP(P368,'Townwide Contributions'!$A$6:$B$358,2,0)</f>
        <v>Cohasset</v>
      </c>
      <c r="R368" s="139" t="s">
        <v>278</v>
      </c>
      <c r="V368"/>
    </row>
    <row r="369" spans="1:22" s="139" customFormat="1">
      <c r="A369" s="140">
        <v>284</v>
      </c>
      <c r="B369" s="140"/>
      <c r="C369" s="139" t="str">
        <f t="shared" si="6"/>
        <v>284 Stoneham</v>
      </c>
      <c r="D369" s="485">
        <v>284</v>
      </c>
      <c r="E369" s="486" t="s">
        <v>965</v>
      </c>
      <c r="F369" s="486">
        <v>284</v>
      </c>
      <c r="G369" s="486" t="s">
        <v>1934</v>
      </c>
      <c r="H369" s="139">
        <f t="shared" si="7"/>
        <v>0</v>
      </c>
      <c r="L369" s="139">
        <v>87303</v>
      </c>
      <c r="M369" s="139">
        <v>3</v>
      </c>
      <c r="N369" s="139">
        <v>873</v>
      </c>
      <c r="O369" s="139" t="s">
        <v>214</v>
      </c>
      <c r="P369" s="139">
        <v>122</v>
      </c>
      <c r="Q369" s="139" t="str">
        <f>VLOOKUP(P369,'Townwide Contributions'!$A$6:$B$358,2,0)</f>
        <v>Hanover</v>
      </c>
      <c r="R369" s="139" t="s">
        <v>351</v>
      </c>
      <c r="V369"/>
    </row>
    <row r="370" spans="1:22" s="139" customFormat="1">
      <c r="A370" s="140">
        <v>285</v>
      </c>
      <c r="B370" s="140"/>
      <c r="C370" s="139" t="str">
        <f t="shared" si="6"/>
        <v>285 Stoughton</v>
      </c>
      <c r="D370" s="485">
        <v>285</v>
      </c>
      <c r="E370" s="486" t="s">
        <v>966</v>
      </c>
      <c r="F370" s="486">
        <v>285</v>
      </c>
      <c r="G370" s="486" t="s">
        <v>1935</v>
      </c>
      <c r="H370" s="139">
        <f t="shared" si="7"/>
        <v>0</v>
      </c>
      <c r="L370" s="139">
        <v>87304</v>
      </c>
      <c r="M370" s="139">
        <v>4</v>
      </c>
      <c r="N370" s="139">
        <v>873</v>
      </c>
      <c r="O370" s="139" t="s">
        <v>214</v>
      </c>
      <c r="P370" s="139">
        <v>123</v>
      </c>
      <c r="Q370" s="139" t="str">
        <f>VLOOKUP(P370,'Townwide Contributions'!$A$6:$B$358,2,0)</f>
        <v>Hanson</v>
      </c>
      <c r="R370" s="139" t="s">
        <v>352</v>
      </c>
      <c r="V370"/>
    </row>
    <row r="371" spans="1:22" s="139" customFormat="1">
      <c r="A371" s="140">
        <v>286</v>
      </c>
      <c r="B371" s="140"/>
      <c r="C371" s="139" t="str">
        <f t="shared" si="6"/>
        <v>286 Stow</v>
      </c>
      <c r="D371" s="485">
        <v>286</v>
      </c>
      <c r="E371" s="486" t="s">
        <v>967</v>
      </c>
      <c r="F371" s="486">
        <v>286</v>
      </c>
      <c r="G371" s="486" t="s">
        <v>1936</v>
      </c>
      <c r="H371" s="139">
        <f t="shared" si="7"/>
        <v>0</v>
      </c>
      <c r="L371" s="139">
        <v>87305</v>
      </c>
      <c r="M371" s="139">
        <v>5</v>
      </c>
      <c r="N371" s="139">
        <v>873</v>
      </c>
      <c r="O371" s="139" t="s">
        <v>214</v>
      </c>
      <c r="P371" s="139">
        <v>171</v>
      </c>
      <c r="Q371" s="139" t="s">
        <v>852</v>
      </c>
      <c r="R371" s="139" t="s">
        <v>2328</v>
      </c>
      <c r="V371"/>
    </row>
    <row r="372" spans="1:22" s="139" customFormat="1">
      <c r="A372" s="140">
        <v>287</v>
      </c>
      <c r="B372" s="140"/>
      <c r="C372" s="139" t="str">
        <f t="shared" si="6"/>
        <v>287 Sturbridge</v>
      </c>
      <c r="D372" s="485">
        <v>287</v>
      </c>
      <c r="E372" s="486" t="s">
        <v>968</v>
      </c>
      <c r="F372" s="486">
        <v>287</v>
      </c>
      <c r="G372" s="486" t="s">
        <v>1937</v>
      </c>
      <c r="H372" s="139">
        <f t="shared" si="7"/>
        <v>0</v>
      </c>
      <c r="L372" s="139">
        <v>87306</v>
      </c>
      <c r="M372" s="139">
        <v>6</v>
      </c>
      <c r="N372" s="139">
        <v>873</v>
      </c>
      <c r="O372" s="139" t="s">
        <v>214</v>
      </c>
      <c r="P372" s="139">
        <v>219</v>
      </c>
      <c r="Q372" s="139" t="str">
        <f>VLOOKUP(P372,'Townwide Contributions'!$A$6:$B$358,2,0)</f>
        <v>Norwell</v>
      </c>
      <c r="R372" s="139" t="s">
        <v>466</v>
      </c>
      <c r="V372"/>
    </row>
    <row r="373" spans="1:22" s="139" customFormat="1">
      <c r="A373" s="140">
        <v>288</v>
      </c>
      <c r="B373" s="140"/>
      <c r="C373" s="139" t="str">
        <f t="shared" ref="C373:C404" si="8">PROPER(D373&amp;" "&amp;E373)</f>
        <v>288 Sudbury</v>
      </c>
      <c r="D373" s="485">
        <v>288</v>
      </c>
      <c r="E373" s="486" t="s">
        <v>969</v>
      </c>
      <c r="F373" s="486">
        <v>288</v>
      </c>
      <c r="G373" s="486" t="s">
        <v>1938</v>
      </c>
      <c r="H373" s="139">
        <f t="shared" si="7"/>
        <v>0</v>
      </c>
      <c r="L373" s="139">
        <v>87307</v>
      </c>
      <c r="M373" s="139">
        <v>7</v>
      </c>
      <c r="N373" s="139">
        <v>873</v>
      </c>
      <c r="O373" s="139" t="s">
        <v>214</v>
      </c>
      <c r="P373" s="139">
        <v>251</v>
      </c>
      <c r="Q373" s="139" t="str">
        <f>VLOOKUP(P373,'Townwide Contributions'!$A$6:$B$358,2,0)</f>
        <v>Rockland</v>
      </c>
      <c r="R373" s="139" t="s">
        <v>501</v>
      </c>
      <c r="V373"/>
    </row>
    <row r="374" spans="1:22" s="139" customFormat="1">
      <c r="A374" s="140">
        <v>289</v>
      </c>
      <c r="B374" s="140"/>
      <c r="C374" s="139" t="str">
        <f t="shared" si="8"/>
        <v>289 Sunderland</v>
      </c>
      <c r="D374" s="485">
        <v>289</v>
      </c>
      <c r="E374" s="486" t="s">
        <v>970</v>
      </c>
      <c r="F374" s="486">
        <v>289</v>
      </c>
      <c r="G374" s="486" t="s">
        <v>1939</v>
      </c>
      <c r="H374" s="139">
        <f t="shared" si="7"/>
        <v>0</v>
      </c>
      <c r="L374" s="139">
        <v>87308</v>
      </c>
      <c r="M374" s="139">
        <v>8</v>
      </c>
      <c r="N374" s="139">
        <v>873</v>
      </c>
      <c r="O374" s="139" t="s">
        <v>214</v>
      </c>
      <c r="P374" s="139">
        <v>264</v>
      </c>
      <c r="Q374" s="139" t="str">
        <f>VLOOKUP(P374,'Townwide Contributions'!$A$6:$B$358,2,0)</f>
        <v>Scituate</v>
      </c>
      <c r="R374" s="139" t="s">
        <v>513</v>
      </c>
      <c r="V374"/>
    </row>
    <row r="375" spans="1:22" s="139" customFormat="1">
      <c r="A375" s="140">
        <v>290</v>
      </c>
      <c r="B375" s="140"/>
      <c r="C375" s="139" t="str">
        <f t="shared" si="8"/>
        <v>290 Sutton</v>
      </c>
      <c r="D375" s="485">
        <v>290</v>
      </c>
      <c r="E375" s="486" t="s">
        <v>971</v>
      </c>
      <c r="F375" s="486">
        <v>290</v>
      </c>
      <c r="G375" s="486" t="s">
        <v>1940</v>
      </c>
      <c r="H375" s="139">
        <f t="shared" si="7"/>
        <v>0</v>
      </c>
      <c r="L375" s="139">
        <v>87309</v>
      </c>
      <c r="M375" s="139">
        <v>9</v>
      </c>
      <c r="N375" s="139">
        <v>873</v>
      </c>
      <c r="O375" s="139" t="s">
        <v>214</v>
      </c>
      <c r="P375" s="139">
        <v>338</v>
      </c>
      <c r="Q375" s="139" t="str">
        <f>VLOOKUP(P375,'Townwide Contributions'!$A$6:$B$358,2,0)</f>
        <v>Whitman</v>
      </c>
      <c r="R375" s="139" t="s">
        <v>579</v>
      </c>
      <c r="V375"/>
    </row>
    <row r="376" spans="1:22" s="139" customFormat="1">
      <c r="A376" s="140">
        <v>291</v>
      </c>
      <c r="B376" s="140"/>
      <c r="C376" s="139" t="str">
        <f t="shared" si="8"/>
        <v>291 Swampscott</v>
      </c>
      <c r="D376" s="485">
        <v>291</v>
      </c>
      <c r="E376" s="486" t="s">
        <v>972</v>
      </c>
      <c r="F376" s="486">
        <v>291</v>
      </c>
      <c r="G376" s="486" t="s">
        <v>1941</v>
      </c>
      <c r="H376" s="139">
        <f t="shared" si="7"/>
        <v>0</v>
      </c>
      <c r="L376" s="139">
        <v>87601</v>
      </c>
      <c r="M376" s="139">
        <v>1</v>
      </c>
      <c r="N376" s="139">
        <v>876</v>
      </c>
      <c r="O376" s="139" t="s">
        <v>215</v>
      </c>
      <c r="P376" s="139">
        <v>17</v>
      </c>
      <c r="Q376" s="139" t="str">
        <f>VLOOKUP(P376,'Townwide Contributions'!$A$6:$B$358,2,0)</f>
        <v>Auburn</v>
      </c>
      <c r="R376" s="139" t="s">
        <v>20</v>
      </c>
      <c r="V376"/>
    </row>
    <row r="377" spans="1:22" s="139" customFormat="1">
      <c r="A377" s="140">
        <v>292</v>
      </c>
      <c r="B377" s="140"/>
      <c r="C377" s="139" t="str">
        <f t="shared" si="8"/>
        <v>292 Swansea</v>
      </c>
      <c r="D377" s="485">
        <v>292</v>
      </c>
      <c r="E377" s="486" t="s">
        <v>973</v>
      </c>
      <c r="F377" s="486">
        <v>292</v>
      </c>
      <c r="G377" s="486" t="s">
        <v>1942</v>
      </c>
      <c r="H377" s="139">
        <f t="shared" si="7"/>
        <v>0</v>
      </c>
      <c r="L377" s="139">
        <v>87602</v>
      </c>
      <c r="M377" s="139">
        <v>2</v>
      </c>
      <c r="N377" s="139">
        <v>876</v>
      </c>
      <c r="O377" s="139" t="s">
        <v>215</v>
      </c>
      <c r="P377" s="139">
        <v>54</v>
      </c>
      <c r="Q377" s="139" t="str">
        <f>VLOOKUP(P377,'Townwide Contributions'!$A$6:$B$358,2,0)</f>
        <v>Charlton</v>
      </c>
      <c r="R377" s="139" t="s">
        <v>262</v>
      </c>
      <c r="V377"/>
    </row>
    <row r="378" spans="1:22" s="139" customFormat="1">
      <c r="A378" s="140">
        <v>407</v>
      </c>
      <c r="B378" s="140"/>
      <c r="C378" s="139" t="str">
        <f t="shared" si="8"/>
        <v>770 Tantasqua</v>
      </c>
      <c r="D378" s="485">
        <v>770</v>
      </c>
      <c r="E378" s="486" t="s">
        <v>1086</v>
      </c>
      <c r="F378" s="486">
        <v>770</v>
      </c>
      <c r="G378" s="486" t="s">
        <v>2056</v>
      </c>
      <c r="H378" s="139">
        <f t="shared" si="7"/>
        <v>0</v>
      </c>
      <c r="L378" s="139">
        <v>87603</v>
      </c>
      <c r="M378" s="139">
        <v>3</v>
      </c>
      <c r="N378" s="139">
        <v>876</v>
      </c>
      <c r="O378" s="139" t="s">
        <v>215</v>
      </c>
      <c r="P378" s="139">
        <v>80</v>
      </c>
      <c r="Q378" s="139" t="str">
        <f>VLOOKUP(P378,'Townwide Contributions'!$A$6:$B$358,2,0)</f>
        <v>Dudley</v>
      </c>
      <c r="R378" s="139" t="s">
        <v>304</v>
      </c>
      <c r="V378"/>
    </row>
    <row r="379" spans="1:22" s="139" customFormat="1">
      <c r="A379" s="140">
        <v>293</v>
      </c>
      <c r="B379" s="140"/>
      <c r="C379" s="139" t="str">
        <f t="shared" si="8"/>
        <v>293 Taunton</v>
      </c>
      <c r="D379" s="485">
        <v>293</v>
      </c>
      <c r="E379" s="486" t="s">
        <v>974</v>
      </c>
      <c r="F379" s="486">
        <v>293</v>
      </c>
      <c r="G379" s="486" t="s">
        <v>1943</v>
      </c>
      <c r="H379" s="139">
        <f t="shared" si="7"/>
        <v>0</v>
      </c>
      <c r="L379" s="139">
        <v>87604</v>
      </c>
      <c r="M379" s="139">
        <v>4</v>
      </c>
      <c r="N379" s="139">
        <v>876</v>
      </c>
      <c r="O379" s="139" t="s">
        <v>215</v>
      </c>
      <c r="P379" s="139">
        <v>215</v>
      </c>
      <c r="Q379" s="139" t="str">
        <f>VLOOKUP(P379,'Townwide Contributions'!$A$6:$B$358,2,0)</f>
        <v>North Brookfield</v>
      </c>
      <c r="R379" s="139" t="s">
        <v>461</v>
      </c>
      <c r="V379"/>
    </row>
    <row r="380" spans="1:22" s="139" customFormat="1">
      <c r="A380" s="140">
        <v>294</v>
      </c>
      <c r="B380" s="140"/>
      <c r="C380" s="139" t="str">
        <f t="shared" si="8"/>
        <v>294 Templeton</v>
      </c>
      <c r="D380" s="485">
        <v>294</v>
      </c>
      <c r="E380" s="486" t="s">
        <v>975</v>
      </c>
      <c r="F380" s="486">
        <v>294</v>
      </c>
      <c r="G380" s="486" t="s">
        <v>1944</v>
      </c>
      <c r="H380" s="139">
        <f t="shared" si="7"/>
        <v>0</v>
      </c>
      <c r="L380" s="139">
        <v>87605</v>
      </c>
      <c r="M380" s="139">
        <v>5</v>
      </c>
      <c r="N380" s="139">
        <v>876</v>
      </c>
      <c r="O380" s="139" t="s">
        <v>215</v>
      </c>
      <c r="P380" s="139">
        <v>226</v>
      </c>
      <c r="Q380" s="139" t="str">
        <f>VLOOKUP(P380,'Townwide Contributions'!$A$6:$B$358,2,0)</f>
        <v>Oxford</v>
      </c>
      <c r="R380" s="139" t="s">
        <v>476</v>
      </c>
      <c r="V380"/>
    </row>
    <row r="381" spans="1:22" s="139" customFormat="1">
      <c r="A381" s="140">
        <v>295</v>
      </c>
      <c r="B381" s="140"/>
      <c r="C381" s="139" t="str">
        <f t="shared" si="8"/>
        <v>295 Tewksbury</v>
      </c>
      <c r="D381" s="485">
        <v>295</v>
      </c>
      <c r="E381" s="486" t="s">
        <v>976</v>
      </c>
      <c r="F381" s="486">
        <v>295</v>
      </c>
      <c r="G381" s="486" t="s">
        <v>1945</v>
      </c>
      <c r="H381" s="139">
        <f t="shared" si="7"/>
        <v>0</v>
      </c>
      <c r="L381" s="139">
        <v>87606</v>
      </c>
      <c r="M381" s="139">
        <v>6</v>
      </c>
      <c r="N381" s="139">
        <v>876</v>
      </c>
      <c r="O381" s="139" t="s">
        <v>215</v>
      </c>
      <c r="P381" s="139">
        <v>228</v>
      </c>
      <c r="Q381" s="139" t="str">
        <f>VLOOKUP(P381,'Townwide Contributions'!$A$6:$B$358,2,0)</f>
        <v>Paxton</v>
      </c>
      <c r="R381" s="139" t="s">
        <v>478</v>
      </c>
      <c r="V381"/>
    </row>
    <row r="382" spans="1:22" s="139" customFormat="1">
      <c r="A382" s="140">
        <v>296</v>
      </c>
      <c r="B382" s="140"/>
      <c r="C382" s="139" t="str">
        <f t="shared" si="8"/>
        <v>296 Tisbury</v>
      </c>
      <c r="D382" s="485">
        <v>296</v>
      </c>
      <c r="E382" s="486" t="s">
        <v>977</v>
      </c>
      <c r="F382" s="486">
        <v>296</v>
      </c>
      <c r="G382" s="486" t="s">
        <v>1946</v>
      </c>
      <c r="H382" s="139">
        <f t="shared" si="7"/>
        <v>0</v>
      </c>
      <c r="L382" s="139">
        <v>87607</v>
      </c>
      <c r="M382" s="139">
        <v>7</v>
      </c>
      <c r="N382" s="139">
        <v>876</v>
      </c>
      <c r="O382" s="139" t="s">
        <v>215</v>
      </c>
      <c r="P382" s="139">
        <v>257</v>
      </c>
      <c r="Q382" s="139" t="str">
        <f>VLOOKUP(P382,'Townwide Contributions'!$A$6:$B$358,2,0)</f>
        <v>Rutland</v>
      </c>
      <c r="R382" s="139" t="s">
        <v>506</v>
      </c>
      <c r="V382"/>
    </row>
    <row r="383" spans="1:22" s="139" customFormat="1">
      <c r="A383" s="140">
        <v>297</v>
      </c>
      <c r="B383" s="140"/>
      <c r="C383" s="139" t="str">
        <f t="shared" si="8"/>
        <v>297 Tolland</v>
      </c>
      <c r="D383" s="485">
        <v>297</v>
      </c>
      <c r="E383" s="486" t="s">
        <v>978</v>
      </c>
      <c r="F383" s="486">
        <v>297</v>
      </c>
      <c r="G383" s="486" t="s">
        <v>1947</v>
      </c>
      <c r="H383" s="139">
        <f t="shared" si="7"/>
        <v>0</v>
      </c>
      <c r="L383" s="139">
        <v>87608</v>
      </c>
      <c r="M383" s="139">
        <v>8</v>
      </c>
      <c r="N383" s="139">
        <v>876</v>
      </c>
      <c r="O383" s="139" t="s">
        <v>215</v>
      </c>
      <c r="P383" s="139">
        <v>277</v>
      </c>
      <c r="Q383" s="139" t="str">
        <f>VLOOKUP(P383,'Townwide Contributions'!$A$6:$B$358,2,0)</f>
        <v>Southbridge</v>
      </c>
      <c r="R383" s="139" t="s">
        <v>526</v>
      </c>
      <c r="V383"/>
    </row>
    <row r="384" spans="1:22" s="139" customFormat="1">
      <c r="A384" s="140">
        <v>298</v>
      </c>
      <c r="B384" s="140"/>
      <c r="C384" s="139" t="str">
        <f t="shared" si="8"/>
        <v>298 Topsfield</v>
      </c>
      <c r="D384" s="485">
        <v>298</v>
      </c>
      <c r="E384" s="486" t="s">
        <v>979</v>
      </c>
      <c r="F384" s="486">
        <v>298</v>
      </c>
      <c r="G384" s="486" t="s">
        <v>1948</v>
      </c>
      <c r="H384" s="139">
        <f t="shared" si="7"/>
        <v>0</v>
      </c>
      <c r="L384" s="139">
        <v>87609</v>
      </c>
      <c r="M384" s="139">
        <v>9</v>
      </c>
      <c r="N384" s="139">
        <v>876</v>
      </c>
      <c r="O384" s="139" t="s">
        <v>215</v>
      </c>
      <c r="P384" s="139">
        <v>280</v>
      </c>
      <c r="Q384" s="139" t="str">
        <f>VLOOKUP(P384,'Townwide Contributions'!$A$6:$B$358,2,0)</f>
        <v>Spencer</v>
      </c>
      <c r="R384" s="139" t="s">
        <v>529</v>
      </c>
      <c r="V384"/>
    </row>
    <row r="385" spans="1:22" s="139" customFormat="1">
      <c r="A385" s="140">
        <v>299</v>
      </c>
      <c r="B385" s="140"/>
      <c r="C385" s="139" t="str">
        <f t="shared" si="8"/>
        <v>299 Townsend</v>
      </c>
      <c r="D385" s="485">
        <v>299</v>
      </c>
      <c r="E385" s="486" t="s">
        <v>980</v>
      </c>
      <c r="F385" s="486">
        <v>299</v>
      </c>
      <c r="G385" s="486" t="s">
        <v>1949</v>
      </c>
      <c r="H385" s="139">
        <f t="shared" si="7"/>
        <v>0</v>
      </c>
      <c r="L385" s="139">
        <v>87610</v>
      </c>
      <c r="M385" s="139">
        <v>10</v>
      </c>
      <c r="N385" s="139">
        <v>876</v>
      </c>
      <c r="O385" s="139" t="s">
        <v>215</v>
      </c>
      <c r="P385" s="139">
        <v>316</v>
      </c>
      <c r="Q385" s="139" t="str">
        <f>VLOOKUP(P385,'Townwide Contributions'!$A$6:$B$358,2,0)</f>
        <v>Webster</v>
      </c>
      <c r="R385" s="139" t="s">
        <v>561</v>
      </c>
      <c r="V385"/>
    </row>
    <row r="386" spans="1:22" s="139" customFormat="1">
      <c r="A386" s="140">
        <v>436</v>
      </c>
      <c r="B386" s="140"/>
      <c r="C386" s="139" t="str">
        <f t="shared" si="8"/>
        <v>878 Tri County</v>
      </c>
      <c r="D386" s="485">
        <v>878</v>
      </c>
      <c r="E386" s="486" t="s">
        <v>1115</v>
      </c>
      <c r="F386" s="486">
        <v>878</v>
      </c>
      <c r="G386" s="486" t="s">
        <v>2085</v>
      </c>
      <c r="H386" s="139">
        <f t="shared" si="7"/>
        <v>0</v>
      </c>
      <c r="L386" s="139">
        <v>87801</v>
      </c>
      <c r="M386" s="139">
        <v>1</v>
      </c>
      <c r="N386" s="139">
        <v>878</v>
      </c>
      <c r="O386" s="139" t="s">
        <v>216</v>
      </c>
      <c r="P386" s="139">
        <v>101</v>
      </c>
      <c r="Q386" s="139" t="str">
        <f>VLOOKUP(P386,'Townwide Contributions'!$A$6:$B$358,2,0)</f>
        <v>Franklin</v>
      </c>
      <c r="R386" s="139" t="s">
        <v>325</v>
      </c>
      <c r="V386"/>
    </row>
    <row r="387" spans="1:22" s="139" customFormat="1">
      <c r="A387" s="140">
        <v>408</v>
      </c>
      <c r="B387" s="140"/>
      <c r="C387" s="139" t="str">
        <f t="shared" si="8"/>
        <v>773 Triton</v>
      </c>
      <c r="D387" s="485">
        <v>773</v>
      </c>
      <c r="E387" s="486" t="s">
        <v>1087</v>
      </c>
      <c r="F387" s="486">
        <v>773</v>
      </c>
      <c r="G387" s="486" t="s">
        <v>2057</v>
      </c>
      <c r="H387" s="139">
        <f t="shared" si="7"/>
        <v>0</v>
      </c>
      <c r="L387" s="139">
        <v>87802</v>
      </c>
      <c r="M387" s="139">
        <v>2</v>
      </c>
      <c r="N387" s="139">
        <v>878</v>
      </c>
      <c r="O387" s="139" t="s">
        <v>216</v>
      </c>
      <c r="P387" s="139">
        <v>175</v>
      </c>
      <c r="Q387" s="139" t="str">
        <f>VLOOKUP(P387,'Townwide Contributions'!$A$6:$B$358,2,0)</f>
        <v>Medfield</v>
      </c>
      <c r="R387" s="139" t="s">
        <v>416</v>
      </c>
      <c r="V387"/>
    </row>
    <row r="388" spans="1:22" s="139" customFormat="1">
      <c r="A388" s="140">
        <v>300</v>
      </c>
      <c r="B388" s="140"/>
      <c r="C388" s="139" t="str">
        <f t="shared" si="8"/>
        <v>300 Truro</v>
      </c>
      <c r="D388" s="485">
        <v>300</v>
      </c>
      <c r="E388" s="486" t="s">
        <v>981</v>
      </c>
      <c r="F388" s="486">
        <v>300</v>
      </c>
      <c r="G388" s="486" t="s">
        <v>1950</v>
      </c>
      <c r="H388" s="139">
        <f t="shared" si="7"/>
        <v>0</v>
      </c>
      <c r="L388" s="139">
        <v>87803</v>
      </c>
      <c r="M388" s="139">
        <v>3</v>
      </c>
      <c r="N388" s="139">
        <v>878</v>
      </c>
      <c r="O388" s="139" t="s">
        <v>216</v>
      </c>
      <c r="P388" s="139">
        <v>177</v>
      </c>
      <c r="Q388" s="139" t="str">
        <f>VLOOKUP(P388,'Townwide Contributions'!$A$6:$B$358,2,0)</f>
        <v>Medway</v>
      </c>
      <c r="R388" s="139" t="s">
        <v>418</v>
      </c>
      <c r="V388"/>
    </row>
    <row r="389" spans="1:22" s="139" customFormat="1">
      <c r="A389" s="140">
        <v>301</v>
      </c>
      <c r="B389" s="140"/>
      <c r="C389" s="139" t="str">
        <f t="shared" si="8"/>
        <v>301 Tyngsborough</v>
      </c>
      <c r="D389" s="485">
        <v>301</v>
      </c>
      <c r="E389" s="486" t="s">
        <v>982</v>
      </c>
      <c r="F389" s="486">
        <v>301</v>
      </c>
      <c r="G389" s="486" t="s">
        <v>1951</v>
      </c>
      <c r="H389" s="139">
        <f t="shared" si="7"/>
        <v>0</v>
      </c>
      <c r="L389" s="139">
        <v>87804</v>
      </c>
      <c r="M389" s="139">
        <v>4</v>
      </c>
      <c r="N389" s="139">
        <v>878</v>
      </c>
      <c r="O389" s="139" t="s">
        <v>216</v>
      </c>
      <c r="P389" s="139">
        <v>187</v>
      </c>
      <c r="Q389" s="139" t="str">
        <f>VLOOKUP(P389,'Townwide Contributions'!$A$6:$B$358,2,0)</f>
        <v>Millis</v>
      </c>
      <c r="R389" s="139" t="s">
        <v>429</v>
      </c>
      <c r="V389"/>
    </row>
    <row r="390" spans="1:22" s="139" customFormat="1">
      <c r="A390" s="140">
        <v>302</v>
      </c>
      <c r="B390" s="140"/>
      <c r="C390" s="139" t="str">
        <f t="shared" si="8"/>
        <v>302 Tyringham</v>
      </c>
      <c r="D390" s="485">
        <v>302</v>
      </c>
      <c r="E390" s="486" t="s">
        <v>983</v>
      </c>
      <c r="F390" s="486">
        <v>302</v>
      </c>
      <c r="G390" s="486" t="s">
        <v>1952</v>
      </c>
      <c r="H390" s="139">
        <f t="shared" si="7"/>
        <v>0</v>
      </c>
      <c r="L390" s="139">
        <v>87805</v>
      </c>
      <c r="M390" s="139">
        <v>5</v>
      </c>
      <c r="N390" s="139">
        <v>878</v>
      </c>
      <c r="O390" s="139" t="s">
        <v>216</v>
      </c>
      <c r="P390" s="139">
        <v>208</v>
      </c>
      <c r="Q390" s="139" t="str">
        <f>VLOOKUP(P390,'Townwide Contributions'!$A$6:$B$358,2,0)</f>
        <v>Norfolk</v>
      </c>
      <c r="R390" s="139" t="s">
        <v>450</v>
      </c>
      <c r="V390"/>
    </row>
    <row r="391" spans="1:22" s="139" customFormat="1">
      <c r="A391" s="140">
        <v>409</v>
      </c>
      <c r="B391" s="140"/>
      <c r="C391" s="139" t="str">
        <f t="shared" si="8"/>
        <v>774 Upisland</v>
      </c>
      <c r="D391" s="485">
        <v>774</v>
      </c>
      <c r="E391" s="486" t="s">
        <v>1088</v>
      </c>
      <c r="F391" s="486">
        <v>774</v>
      </c>
      <c r="G391" s="486" t="s">
        <v>2058</v>
      </c>
      <c r="H391" s="139">
        <f t="shared" si="7"/>
        <v>0</v>
      </c>
      <c r="L391" s="139">
        <v>87806</v>
      </c>
      <c r="M391" s="139">
        <v>6</v>
      </c>
      <c r="N391" s="139">
        <v>878</v>
      </c>
      <c r="O391" s="139" t="s">
        <v>216</v>
      </c>
      <c r="P391" s="139">
        <v>212</v>
      </c>
      <c r="Q391" s="139" t="str">
        <f>VLOOKUP(P391,'Townwide Contributions'!$A$6:$B$358,2,0)</f>
        <v>North Attleborough</v>
      </c>
      <c r="R391" s="139" t="s">
        <v>457</v>
      </c>
      <c r="V391"/>
    </row>
    <row r="392" spans="1:22" s="139" customFormat="1">
      <c r="A392" s="140">
        <v>437</v>
      </c>
      <c r="B392" s="140"/>
      <c r="C392" s="139" t="str">
        <f t="shared" si="8"/>
        <v>879 Upper Cape Cod</v>
      </c>
      <c r="D392" s="485">
        <v>879</v>
      </c>
      <c r="E392" s="486" t="s">
        <v>1116</v>
      </c>
      <c r="F392" s="486">
        <v>879</v>
      </c>
      <c r="G392" s="486" t="s">
        <v>2086</v>
      </c>
      <c r="H392" s="139">
        <f t="shared" si="7"/>
        <v>0</v>
      </c>
      <c r="L392" s="139">
        <v>87807</v>
      </c>
      <c r="M392" s="139">
        <v>7</v>
      </c>
      <c r="N392" s="139">
        <v>878</v>
      </c>
      <c r="O392" s="139" t="s">
        <v>216</v>
      </c>
      <c r="P392" s="139">
        <v>238</v>
      </c>
      <c r="Q392" s="139" t="str">
        <f>VLOOKUP(P392,'Townwide Contributions'!$A$6:$B$358,2,0)</f>
        <v>Plainville</v>
      </c>
      <c r="R392" s="139" t="s">
        <v>490</v>
      </c>
      <c r="V392"/>
    </row>
    <row r="393" spans="1:22" s="139" customFormat="1">
      <c r="A393" s="140">
        <v>303</v>
      </c>
      <c r="B393" s="140"/>
      <c r="C393" s="139" t="str">
        <f t="shared" si="8"/>
        <v>303 Upton</v>
      </c>
      <c r="D393" s="485">
        <v>303</v>
      </c>
      <c r="E393" s="486" t="s">
        <v>984</v>
      </c>
      <c r="F393" s="486">
        <v>303</v>
      </c>
      <c r="G393" s="486" t="s">
        <v>1953</v>
      </c>
      <c r="H393" s="139">
        <f t="shared" si="7"/>
        <v>0</v>
      </c>
      <c r="L393" s="139">
        <v>87808</v>
      </c>
      <c r="M393" s="139">
        <v>8</v>
      </c>
      <c r="N393" s="139">
        <v>878</v>
      </c>
      <c r="O393" s="139" t="s">
        <v>216</v>
      </c>
      <c r="P393" s="139">
        <v>265</v>
      </c>
      <c r="Q393" s="139" t="str">
        <f>VLOOKUP(P393,'Townwide Contributions'!$A$6:$B$358,2,0)</f>
        <v>Seekonk</v>
      </c>
      <c r="R393" s="139" t="s">
        <v>514</v>
      </c>
      <c r="V393"/>
    </row>
    <row r="394" spans="1:22" s="139" customFormat="1">
      <c r="A394" s="140">
        <v>304</v>
      </c>
      <c r="B394" s="140"/>
      <c r="C394" s="139" t="str">
        <f t="shared" si="8"/>
        <v>304 Uxbridge</v>
      </c>
      <c r="D394" s="485">
        <v>304</v>
      </c>
      <c r="E394" s="486" t="s">
        <v>985</v>
      </c>
      <c r="F394" s="486">
        <v>304</v>
      </c>
      <c r="G394" s="486" t="s">
        <v>1954</v>
      </c>
      <c r="H394" s="139">
        <f t="shared" si="7"/>
        <v>0</v>
      </c>
      <c r="L394" s="139">
        <v>87809</v>
      </c>
      <c r="M394" s="139">
        <v>9</v>
      </c>
      <c r="N394" s="139">
        <v>878</v>
      </c>
      <c r="O394" s="139" t="s">
        <v>216</v>
      </c>
      <c r="P394" s="139">
        <v>269</v>
      </c>
      <c r="Q394" s="139" t="str">
        <f>VLOOKUP(P394,'Townwide Contributions'!$A$6:$B$358,2,0)</f>
        <v>Sherborn</v>
      </c>
      <c r="R394" s="139" t="s">
        <v>518</v>
      </c>
      <c r="V394"/>
    </row>
    <row r="395" spans="1:22" s="139" customFormat="1">
      <c r="A395" s="140">
        <v>410</v>
      </c>
      <c r="B395" s="140"/>
      <c r="C395" s="139" t="str">
        <f t="shared" si="8"/>
        <v>775 Wachusett</v>
      </c>
      <c r="D395" s="485">
        <v>775</v>
      </c>
      <c r="E395" s="486" t="s">
        <v>1089</v>
      </c>
      <c r="F395" s="486">
        <v>775</v>
      </c>
      <c r="G395" s="486" t="s">
        <v>2059</v>
      </c>
      <c r="H395" s="139">
        <f t="shared" si="7"/>
        <v>0</v>
      </c>
      <c r="L395" s="139">
        <v>87810</v>
      </c>
      <c r="M395" s="139">
        <v>10</v>
      </c>
      <c r="N395" s="139">
        <v>878</v>
      </c>
      <c r="O395" s="139" t="s">
        <v>216</v>
      </c>
      <c r="P395" s="139">
        <v>307</v>
      </c>
      <c r="Q395" s="139" t="str">
        <f>VLOOKUP(P395,'Townwide Contributions'!$A$6:$B$358,2,0)</f>
        <v>Walpole</v>
      </c>
      <c r="R395" s="139" t="s">
        <v>554</v>
      </c>
      <c r="V395"/>
    </row>
    <row r="396" spans="1:22" s="139" customFormat="1">
      <c r="A396" s="140">
        <v>305</v>
      </c>
      <c r="B396" s="140"/>
      <c r="C396" s="139" t="str">
        <f t="shared" si="8"/>
        <v>305 Wakefield</v>
      </c>
      <c r="D396" s="485">
        <v>305</v>
      </c>
      <c r="E396" s="486" t="s">
        <v>986</v>
      </c>
      <c r="F396" s="486">
        <v>305</v>
      </c>
      <c r="G396" s="486" t="s">
        <v>1955</v>
      </c>
      <c r="H396" s="139">
        <f t="shared" si="7"/>
        <v>0</v>
      </c>
      <c r="L396" s="139">
        <v>87811</v>
      </c>
      <c r="M396" s="139">
        <v>11</v>
      </c>
      <c r="N396" s="139">
        <v>878</v>
      </c>
      <c r="O396" s="139" t="s">
        <v>216</v>
      </c>
      <c r="P396" s="139">
        <v>350</v>
      </c>
      <c r="Q396" s="139" t="str">
        <f>VLOOKUP(P396,'Townwide Contributions'!$A$6:$B$358,2,0)</f>
        <v>Wrentham</v>
      </c>
      <c r="R396" s="139" t="s">
        <v>589</v>
      </c>
      <c r="V396"/>
    </row>
    <row r="397" spans="1:22" s="139" customFormat="1">
      <c r="A397" s="140">
        <v>306</v>
      </c>
      <c r="B397" s="140"/>
      <c r="C397" s="139" t="str">
        <f t="shared" si="8"/>
        <v>306 Wales</v>
      </c>
      <c r="D397" s="485">
        <v>306</v>
      </c>
      <c r="E397" s="486" t="s">
        <v>987</v>
      </c>
      <c r="F397" s="486">
        <v>306</v>
      </c>
      <c r="G397" s="486" t="s">
        <v>1956</v>
      </c>
      <c r="H397" s="139">
        <f t="shared" si="7"/>
        <v>0</v>
      </c>
      <c r="L397" s="139">
        <v>87901</v>
      </c>
      <c r="M397" s="139">
        <v>1</v>
      </c>
      <c r="N397" s="139">
        <v>879</v>
      </c>
      <c r="O397" s="139" t="s">
        <v>217</v>
      </c>
      <c r="P397" s="139">
        <v>36</v>
      </c>
      <c r="Q397" s="139" t="str">
        <f>VLOOKUP(P397,'Townwide Contributions'!$A$6:$B$358,2,0)</f>
        <v>Bourne</v>
      </c>
      <c r="R397" s="139" t="s">
        <v>235</v>
      </c>
      <c r="V397"/>
    </row>
    <row r="398" spans="1:22" s="139" customFormat="1">
      <c r="A398" s="140">
        <v>307</v>
      </c>
      <c r="B398" s="140"/>
      <c r="C398" s="139" t="str">
        <f t="shared" si="8"/>
        <v>307 Walpole</v>
      </c>
      <c r="D398" s="485">
        <v>307</v>
      </c>
      <c r="E398" s="486" t="s">
        <v>988</v>
      </c>
      <c r="F398" s="486">
        <v>307</v>
      </c>
      <c r="G398" s="486" t="s">
        <v>1957</v>
      </c>
      <c r="H398" s="139">
        <f t="shared" si="7"/>
        <v>0</v>
      </c>
      <c r="L398" s="139">
        <v>87902</v>
      </c>
      <c r="M398" s="139">
        <v>2</v>
      </c>
      <c r="N398" s="139">
        <v>879</v>
      </c>
      <c r="O398" s="139" t="s">
        <v>217</v>
      </c>
      <c r="P398" s="139">
        <v>96</v>
      </c>
      <c r="Q398" s="139" t="str">
        <f>VLOOKUP(P398,'Townwide Contributions'!$A$6:$B$358,2,0)</f>
        <v>Falmouth</v>
      </c>
      <c r="R398" s="139" t="s">
        <v>320</v>
      </c>
      <c r="V398"/>
    </row>
    <row r="399" spans="1:22" s="139" customFormat="1">
      <c r="A399" s="140">
        <v>308</v>
      </c>
      <c r="B399" s="140"/>
      <c r="C399" s="139" t="str">
        <f t="shared" si="8"/>
        <v>308 Waltham</v>
      </c>
      <c r="D399" s="485">
        <v>308</v>
      </c>
      <c r="E399" s="486" t="s">
        <v>989</v>
      </c>
      <c r="F399" s="486">
        <v>308</v>
      </c>
      <c r="G399" s="486" t="s">
        <v>1958</v>
      </c>
      <c r="H399" s="139">
        <f t="shared" si="7"/>
        <v>0</v>
      </c>
      <c r="L399" s="139">
        <v>87903</v>
      </c>
      <c r="M399" s="139">
        <v>3</v>
      </c>
      <c r="N399" s="139">
        <v>879</v>
      </c>
      <c r="O399" s="139" t="s">
        <v>217</v>
      </c>
      <c r="P399" s="139">
        <v>169</v>
      </c>
      <c r="Q399" s="139" t="str">
        <f>VLOOKUP(P399,'Townwide Contributions'!$A$6:$B$358,2,0)</f>
        <v>Marion</v>
      </c>
      <c r="R399" s="139" t="s">
        <v>410</v>
      </c>
      <c r="V399"/>
    </row>
    <row r="400" spans="1:22" s="139" customFormat="1">
      <c r="A400" s="140">
        <v>309</v>
      </c>
      <c r="B400" s="140"/>
      <c r="C400" s="139" t="str">
        <f t="shared" si="8"/>
        <v>309 Ware</v>
      </c>
      <c r="D400" s="485">
        <v>309</v>
      </c>
      <c r="E400" s="486" t="s">
        <v>990</v>
      </c>
      <c r="F400" s="486">
        <v>309</v>
      </c>
      <c r="G400" s="486" t="s">
        <v>1959</v>
      </c>
      <c r="H400" s="139">
        <f t="shared" si="7"/>
        <v>0</v>
      </c>
      <c r="L400" s="139">
        <v>87904</v>
      </c>
      <c r="M400" s="139">
        <v>4</v>
      </c>
      <c r="N400" s="139">
        <v>879</v>
      </c>
      <c r="O400" s="139" t="s">
        <v>217</v>
      </c>
      <c r="P400" s="139">
        <v>261</v>
      </c>
      <c r="Q400" s="139" t="str">
        <f>VLOOKUP(P400,'Townwide Contributions'!$A$6:$B$358,2,0)</f>
        <v>Sandwich</v>
      </c>
      <c r="R400" s="139" t="s">
        <v>510</v>
      </c>
      <c r="V400"/>
    </row>
    <row r="401" spans="1:22" s="139" customFormat="1">
      <c r="A401" s="140">
        <v>310</v>
      </c>
      <c r="B401" s="140"/>
      <c r="C401" s="139" t="str">
        <f t="shared" si="8"/>
        <v>310 Wareham</v>
      </c>
      <c r="D401" s="485">
        <v>310</v>
      </c>
      <c r="E401" s="486" t="s">
        <v>991</v>
      </c>
      <c r="F401" s="486">
        <v>310</v>
      </c>
      <c r="G401" s="486" t="s">
        <v>1960</v>
      </c>
      <c r="H401" s="139">
        <f t="shared" si="7"/>
        <v>0</v>
      </c>
      <c r="L401" s="139">
        <v>87905</v>
      </c>
      <c r="M401" s="139">
        <v>5</v>
      </c>
      <c r="N401" s="139">
        <v>879</v>
      </c>
      <c r="O401" s="139" t="s">
        <v>217</v>
      </c>
      <c r="P401" s="139">
        <v>310</v>
      </c>
      <c r="Q401" s="139" t="str">
        <f>VLOOKUP(P401,'Townwide Contributions'!$A$6:$B$358,2,0)</f>
        <v>Wareham</v>
      </c>
      <c r="R401" s="139" t="s">
        <v>556</v>
      </c>
      <c r="V401"/>
    </row>
    <row r="402" spans="1:22" s="139" customFormat="1">
      <c r="A402" s="140">
        <v>311</v>
      </c>
      <c r="B402" s="140"/>
      <c r="C402" s="139" t="str">
        <f t="shared" si="8"/>
        <v>311 Warren</v>
      </c>
      <c r="D402" s="485">
        <v>311</v>
      </c>
      <c r="E402" s="486" t="s">
        <v>992</v>
      </c>
      <c r="F402" s="486">
        <v>311</v>
      </c>
      <c r="G402" s="486" t="s">
        <v>1961</v>
      </c>
      <c r="H402" s="139">
        <f t="shared" si="7"/>
        <v>0</v>
      </c>
      <c r="L402" s="139">
        <v>88501</v>
      </c>
      <c r="M402" s="139">
        <v>1</v>
      </c>
      <c r="N402" s="139">
        <v>885</v>
      </c>
      <c r="O402" s="139" t="s">
        <v>218</v>
      </c>
      <c r="P402" s="139">
        <v>7</v>
      </c>
      <c r="Q402" s="139" t="str">
        <f>VLOOKUP(P402,'Townwide Contributions'!$A$6:$B$358,2,0)</f>
        <v>Amesbury</v>
      </c>
      <c r="R402" s="139" t="s">
        <v>1</v>
      </c>
      <c r="V402"/>
    </row>
    <row r="403" spans="1:22" s="139" customFormat="1">
      <c r="A403" s="140">
        <v>312</v>
      </c>
      <c r="B403" s="140"/>
      <c r="C403" s="139" t="str">
        <f t="shared" si="8"/>
        <v>312 Warwick</v>
      </c>
      <c r="D403" s="485">
        <v>312</v>
      </c>
      <c r="E403" s="486" t="s">
        <v>993</v>
      </c>
      <c r="F403" s="486">
        <v>312</v>
      </c>
      <c r="G403" s="486" t="s">
        <v>1962</v>
      </c>
      <c r="H403" s="139">
        <f t="shared" si="7"/>
        <v>0</v>
      </c>
      <c r="L403" s="139">
        <v>88502</v>
      </c>
      <c r="M403" s="139">
        <v>2</v>
      </c>
      <c r="N403" s="139">
        <v>885</v>
      </c>
      <c r="O403" s="139" t="s">
        <v>218</v>
      </c>
      <c r="P403" s="139">
        <v>105</v>
      </c>
      <c r="Q403" s="139" t="str">
        <f>VLOOKUP(P403,'Townwide Contributions'!$A$6:$B$358,2,0)</f>
        <v>Georgetown</v>
      </c>
      <c r="R403" s="139" t="s">
        <v>331</v>
      </c>
      <c r="V403"/>
    </row>
    <row r="404" spans="1:22" s="139" customFormat="1">
      <c r="A404" s="140">
        <v>313</v>
      </c>
      <c r="B404" s="140"/>
      <c r="C404" s="139" t="str">
        <f t="shared" si="8"/>
        <v>313 Washington</v>
      </c>
      <c r="D404" s="485">
        <v>313</v>
      </c>
      <c r="E404" s="486" t="s">
        <v>994</v>
      </c>
      <c r="F404" s="486">
        <v>313</v>
      </c>
      <c r="G404" s="486" t="s">
        <v>1963</v>
      </c>
      <c r="H404" s="139">
        <f t="shared" si="7"/>
        <v>0</v>
      </c>
      <c r="L404" s="139">
        <v>88503</v>
      </c>
      <c r="M404" s="139">
        <v>3</v>
      </c>
      <c r="N404" s="139">
        <v>885</v>
      </c>
      <c r="O404" s="139" t="s">
        <v>218</v>
      </c>
      <c r="P404" s="139">
        <v>116</v>
      </c>
      <c r="Q404" s="139" t="str">
        <f>VLOOKUP(P404,'Townwide Contributions'!$A$6:$B$358,2,0)</f>
        <v>Groveland</v>
      </c>
      <c r="R404" s="139" t="s">
        <v>343</v>
      </c>
      <c r="V404"/>
    </row>
    <row r="405" spans="1:22" s="139" customFormat="1">
      <c r="A405" s="140">
        <v>314</v>
      </c>
      <c r="B405" s="140"/>
      <c r="C405" s="139" t="str">
        <f t="shared" ref="C405:C436" si="9">PROPER(D405&amp;" "&amp;E405)</f>
        <v>314 Watertown</v>
      </c>
      <c r="D405" s="485">
        <v>314</v>
      </c>
      <c r="E405" s="486" t="s">
        <v>995</v>
      </c>
      <c r="F405" s="486">
        <v>314</v>
      </c>
      <c r="G405" s="486" t="s">
        <v>1964</v>
      </c>
      <c r="H405" s="139">
        <f t="shared" si="7"/>
        <v>0</v>
      </c>
      <c r="L405" s="139">
        <v>88504</v>
      </c>
      <c r="M405" s="139">
        <v>4</v>
      </c>
      <c r="N405" s="139">
        <v>885</v>
      </c>
      <c r="O405" s="139" t="s">
        <v>218</v>
      </c>
      <c r="P405" s="139">
        <v>128</v>
      </c>
      <c r="Q405" s="139" t="str">
        <f>VLOOKUP(P405,'Townwide Contributions'!$A$6:$B$358,2,0)</f>
        <v>Haverhill</v>
      </c>
      <c r="R405" s="139" t="s">
        <v>357</v>
      </c>
      <c r="V405"/>
    </row>
    <row r="406" spans="1:22" s="139" customFormat="1">
      <c r="A406" s="140">
        <v>315</v>
      </c>
      <c r="B406" s="140"/>
      <c r="C406" s="139" t="str">
        <f t="shared" si="9"/>
        <v>315 Wayland</v>
      </c>
      <c r="D406" s="485">
        <v>315</v>
      </c>
      <c r="E406" s="486" t="s">
        <v>996</v>
      </c>
      <c r="F406" s="486">
        <v>315</v>
      </c>
      <c r="G406" s="486" t="s">
        <v>1965</v>
      </c>
      <c r="H406" s="139">
        <f t="shared" si="7"/>
        <v>0</v>
      </c>
      <c r="L406" s="139">
        <v>88505</v>
      </c>
      <c r="M406" s="139">
        <v>5</v>
      </c>
      <c r="N406" s="139">
        <v>885</v>
      </c>
      <c r="O406" s="139" t="s">
        <v>218</v>
      </c>
      <c r="P406" s="139">
        <v>144</v>
      </c>
      <c r="Q406" s="139" t="str">
        <f>VLOOKUP(P406,'Townwide Contributions'!$A$6:$B$358,2,0)</f>
        <v>Ipswich</v>
      </c>
      <c r="R406" s="139" t="s">
        <v>371</v>
      </c>
      <c r="V406"/>
    </row>
    <row r="407" spans="1:22" s="139" customFormat="1">
      <c r="A407" s="140">
        <v>316</v>
      </c>
      <c r="B407" s="140"/>
      <c r="C407" s="139" t="str">
        <f t="shared" si="9"/>
        <v>316 Webster</v>
      </c>
      <c r="D407" s="485">
        <v>316</v>
      </c>
      <c r="E407" s="486" t="s">
        <v>997</v>
      </c>
      <c r="F407" s="486">
        <v>316</v>
      </c>
      <c r="G407" s="486" t="s">
        <v>1966</v>
      </c>
      <c r="H407" s="139">
        <f t="shared" si="7"/>
        <v>0</v>
      </c>
      <c r="L407" s="139">
        <v>88506</v>
      </c>
      <c r="M407" s="139">
        <v>6</v>
      </c>
      <c r="N407" s="139">
        <v>885</v>
      </c>
      <c r="O407" s="139" t="s">
        <v>218</v>
      </c>
      <c r="P407" s="139">
        <v>180</v>
      </c>
      <c r="Q407" s="139" t="str">
        <f>VLOOKUP(P407,'Townwide Contributions'!$A$6:$B$358,2,0)</f>
        <v>Merrimac</v>
      </c>
      <c r="R407" s="139" t="s">
        <v>422</v>
      </c>
      <c r="V407"/>
    </row>
    <row r="408" spans="1:22" s="139" customFormat="1">
      <c r="A408" s="140">
        <v>317</v>
      </c>
      <c r="B408" s="140"/>
      <c r="C408" s="139" t="str">
        <f t="shared" si="9"/>
        <v>317 Wellesley</v>
      </c>
      <c r="D408" s="485">
        <v>317</v>
      </c>
      <c r="E408" s="486" t="s">
        <v>998</v>
      </c>
      <c r="F408" s="486">
        <v>317</v>
      </c>
      <c r="G408" s="486" t="s">
        <v>1967</v>
      </c>
      <c r="H408" s="139">
        <f t="shared" si="7"/>
        <v>0</v>
      </c>
      <c r="L408" s="139">
        <v>88507</v>
      </c>
      <c r="M408" s="139">
        <v>7</v>
      </c>
      <c r="N408" s="139">
        <v>885</v>
      </c>
      <c r="O408" s="139" t="s">
        <v>218</v>
      </c>
      <c r="P408" s="139">
        <v>203</v>
      </c>
      <c r="Q408" s="139" t="str">
        <f>VLOOKUP(P408,'Townwide Contributions'!$A$6:$B$358,2,0)</f>
        <v>Newbury</v>
      </c>
      <c r="R408" s="139" t="s">
        <v>443</v>
      </c>
      <c r="V408"/>
    </row>
    <row r="409" spans="1:22" s="139" customFormat="1">
      <c r="A409" s="140">
        <v>318</v>
      </c>
      <c r="B409" s="140"/>
      <c r="C409" s="139" t="str">
        <f t="shared" si="9"/>
        <v>318 Wellfleet</v>
      </c>
      <c r="D409" s="485">
        <v>318</v>
      </c>
      <c r="E409" s="486" t="s">
        <v>999</v>
      </c>
      <c r="F409" s="486">
        <v>318</v>
      </c>
      <c r="G409" s="486" t="s">
        <v>1968</v>
      </c>
      <c r="H409" s="139">
        <f t="shared" si="7"/>
        <v>0</v>
      </c>
      <c r="L409" s="139">
        <v>88508</v>
      </c>
      <c r="M409" s="139">
        <v>8</v>
      </c>
      <c r="N409" s="139">
        <v>885</v>
      </c>
      <c r="O409" s="139" t="s">
        <v>218</v>
      </c>
      <c r="P409" s="139">
        <v>204</v>
      </c>
      <c r="Q409" s="139" t="str">
        <f>VLOOKUP(P409,'Townwide Contributions'!$A$6:$B$358,2,0)</f>
        <v>Newburyport</v>
      </c>
      <c r="R409" s="139" t="s">
        <v>445</v>
      </c>
      <c r="V409"/>
    </row>
    <row r="410" spans="1:22" s="139" customFormat="1">
      <c r="A410" s="140">
        <v>319</v>
      </c>
      <c r="B410" s="140"/>
      <c r="C410" s="139" t="str">
        <f t="shared" si="9"/>
        <v>319 Wendell</v>
      </c>
      <c r="D410" s="485">
        <v>319</v>
      </c>
      <c r="E410" s="486" t="s">
        <v>1000</v>
      </c>
      <c r="F410" s="486">
        <v>319</v>
      </c>
      <c r="G410" s="486" t="s">
        <v>1969</v>
      </c>
      <c r="H410" s="139">
        <f t="shared" si="7"/>
        <v>0</v>
      </c>
      <c r="L410" s="139">
        <v>88509</v>
      </c>
      <c r="M410" s="139">
        <v>9</v>
      </c>
      <c r="N410" s="139">
        <v>885</v>
      </c>
      <c r="O410" s="139" t="s">
        <v>218</v>
      </c>
      <c r="P410" s="139">
        <v>254</v>
      </c>
      <c r="Q410" s="139" t="str">
        <f>VLOOKUP(P410,'Townwide Contributions'!$A$6:$B$358,2,0)</f>
        <v>Rowley</v>
      </c>
      <c r="R410" s="139" t="s">
        <v>503</v>
      </c>
      <c r="V410"/>
    </row>
    <row r="411" spans="1:22" s="139" customFormat="1">
      <c r="A411" s="140">
        <v>320</v>
      </c>
      <c r="B411" s="140"/>
      <c r="C411" s="139" t="str">
        <f t="shared" si="9"/>
        <v>320 Wenham</v>
      </c>
      <c r="D411" s="485">
        <v>320</v>
      </c>
      <c r="E411" s="486" t="s">
        <v>1001</v>
      </c>
      <c r="F411" s="486">
        <v>320</v>
      </c>
      <c r="G411" s="486" t="s">
        <v>1970</v>
      </c>
      <c r="H411" s="139">
        <f t="shared" si="7"/>
        <v>0</v>
      </c>
      <c r="L411" s="139">
        <v>88510</v>
      </c>
      <c r="M411" s="139">
        <v>10</v>
      </c>
      <c r="N411" s="139">
        <v>885</v>
      </c>
      <c r="O411" s="139" t="s">
        <v>218</v>
      </c>
      <c r="P411" s="139">
        <v>259</v>
      </c>
      <c r="Q411" s="139" t="str">
        <f>VLOOKUP(P411,'Townwide Contributions'!$A$6:$B$358,2,0)</f>
        <v>Salisbury</v>
      </c>
      <c r="R411" s="139" t="s">
        <v>508</v>
      </c>
      <c r="V411"/>
    </row>
    <row r="412" spans="1:22" s="139" customFormat="1">
      <c r="A412" s="140">
        <v>322</v>
      </c>
      <c r="B412" s="140"/>
      <c r="C412" s="139" t="str">
        <f t="shared" si="9"/>
        <v>322 West Boylston</v>
      </c>
      <c r="D412" s="485">
        <v>322</v>
      </c>
      <c r="E412" s="486" t="s">
        <v>1003</v>
      </c>
      <c r="F412" s="486">
        <v>322</v>
      </c>
      <c r="G412" s="486" t="s">
        <v>1972</v>
      </c>
      <c r="H412" s="139">
        <f t="shared" si="7"/>
        <v>0</v>
      </c>
      <c r="L412" s="139">
        <v>88511</v>
      </c>
      <c r="M412" s="139">
        <v>11</v>
      </c>
      <c r="N412" s="139">
        <v>885</v>
      </c>
      <c r="O412" s="139" t="s">
        <v>218</v>
      </c>
      <c r="P412" s="139">
        <v>329</v>
      </c>
      <c r="Q412" s="139" t="str">
        <f>VLOOKUP(P412,'Townwide Contributions'!$A$6:$B$358,2,0)</f>
        <v>West Newbury</v>
      </c>
      <c r="R412" s="139" t="s">
        <v>572</v>
      </c>
      <c r="V412"/>
    </row>
    <row r="413" spans="1:22" s="139" customFormat="1">
      <c r="A413" s="140">
        <v>323</v>
      </c>
      <c r="B413" s="140"/>
      <c r="C413" s="139" t="str">
        <f t="shared" si="9"/>
        <v>323 West Bridgewater</v>
      </c>
      <c r="D413" s="485">
        <v>323</v>
      </c>
      <c r="E413" s="486" t="s">
        <v>1004</v>
      </c>
      <c r="F413" s="486">
        <v>323</v>
      </c>
      <c r="G413" s="486" t="s">
        <v>1973</v>
      </c>
      <c r="H413" s="139">
        <f t="shared" si="7"/>
        <v>0</v>
      </c>
      <c r="L413" s="139">
        <v>91001</v>
      </c>
      <c r="M413" s="139">
        <v>1</v>
      </c>
      <c r="N413" s="139">
        <v>910</v>
      </c>
      <c r="O413" s="139" t="s">
        <v>219</v>
      </c>
      <c r="P413" s="139">
        <v>3</v>
      </c>
      <c r="Q413" s="139" t="str">
        <f>VLOOKUP(P413,'Townwide Contributions'!$A$6:$B$358,2,0)</f>
        <v>Acushnet</v>
      </c>
      <c r="R413" s="139" t="s">
        <v>624</v>
      </c>
      <c r="V413"/>
    </row>
    <row r="414" spans="1:22" s="139" customFormat="1">
      <c r="A414" s="140">
        <v>324</v>
      </c>
      <c r="B414" s="140"/>
      <c r="C414" s="139" t="str">
        <f t="shared" si="9"/>
        <v>324 West Brookfield</v>
      </c>
      <c r="D414" s="485">
        <v>324</v>
      </c>
      <c r="E414" s="486" t="s">
        <v>1005</v>
      </c>
      <c r="F414" s="486">
        <v>324</v>
      </c>
      <c r="G414" s="486" t="s">
        <v>1974</v>
      </c>
      <c r="H414" s="139">
        <f t="shared" si="7"/>
        <v>0</v>
      </c>
      <c r="L414" s="139">
        <v>91002</v>
      </c>
      <c r="M414" s="139">
        <v>2</v>
      </c>
      <c r="N414" s="139">
        <v>910</v>
      </c>
      <c r="O414" s="139" t="s">
        <v>219</v>
      </c>
      <c r="P414" s="139">
        <v>16</v>
      </c>
      <c r="Q414" s="139" t="str">
        <f>VLOOKUP(P414,'Townwide Contributions'!$A$6:$B$358,2,0)</f>
        <v>Attleboro</v>
      </c>
      <c r="R414" s="139" t="s">
        <v>19</v>
      </c>
      <c r="V414"/>
    </row>
    <row r="415" spans="1:22" s="139" customFormat="1">
      <c r="A415" s="140">
        <v>329</v>
      </c>
      <c r="B415" s="140"/>
      <c r="C415" s="139" t="str">
        <f t="shared" si="9"/>
        <v>329 West Newbury</v>
      </c>
      <c r="D415" s="485">
        <v>329</v>
      </c>
      <c r="E415" s="486" t="s">
        <v>1010</v>
      </c>
      <c r="F415" s="486">
        <v>329</v>
      </c>
      <c r="G415" s="486" t="s">
        <v>1979</v>
      </c>
      <c r="H415" s="139">
        <f t="shared" si="7"/>
        <v>0</v>
      </c>
      <c r="L415" s="139">
        <v>91003</v>
      </c>
      <c r="M415" s="139">
        <v>3</v>
      </c>
      <c r="N415" s="139">
        <v>910</v>
      </c>
      <c r="O415" s="139" t="s">
        <v>219</v>
      </c>
      <c r="P415" s="139">
        <v>27</v>
      </c>
      <c r="Q415" s="139" t="str">
        <f>VLOOKUP(P415,'Townwide Contributions'!$A$6:$B$358,2,0)</f>
        <v>Berkley</v>
      </c>
      <c r="R415" s="139" t="s">
        <v>38</v>
      </c>
      <c r="V415"/>
    </row>
    <row r="416" spans="1:22" s="139" customFormat="1">
      <c r="A416" s="140">
        <v>332</v>
      </c>
      <c r="B416" s="140"/>
      <c r="C416" s="139" t="str">
        <f t="shared" si="9"/>
        <v>332 West Springfield</v>
      </c>
      <c r="D416" s="485">
        <v>332</v>
      </c>
      <c r="E416" s="486" t="s">
        <v>1013</v>
      </c>
      <c r="F416" s="486">
        <v>332</v>
      </c>
      <c r="G416" s="486" t="s">
        <v>1982</v>
      </c>
      <c r="H416" s="139">
        <f t="shared" si="7"/>
        <v>0</v>
      </c>
      <c r="L416" s="139">
        <v>91004</v>
      </c>
      <c r="M416" s="139">
        <v>4</v>
      </c>
      <c r="N416" s="139">
        <v>910</v>
      </c>
      <c r="O416" s="139" t="s">
        <v>219</v>
      </c>
      <c r="P416" s="139">
        <v>72</v>
      </c>
      <c r="Q416" s="139" t="str">
        <f>VLOOKUP(P416,'Townwide Contributions'!$A$6:$B$358,2,0)</f>
        <v>Dartmouth</v>
      </c>
      <c r="R416" s="139" t="s">
        <v>286</v>
      </c>
      <c r="V416"/>
    </row>
    <row r="417" spans="1:22" s="139" customFormat="1">
      <c r="A417" s="140">
        <v>333</v>
      </c>
      <c r="B417" s="140"/>
      <c r="C417" s="139" t="str">
        <f t="shared" si="9"/>
        <v>333 West Stockbridge</v>
      </c>
      <c r="D417" s="485">
        <v>333</v>
      </c>
      <c r="E417" s="486" t="s">
        <v>1014</v>
      </c>
      <c r="F417" s="486">
        <v>333</v>
      </c>
      <c r="G417" s="486" t="s">
        <v>1983</v>
      </c>
      <c r="H417" s="139">
        <f t="shared" si="7"/>
        <v>0</v>
      </c>
      <c r="L417" s="139">
        <v>91005</v>
      </c>
      <c r="M417" s="139">
        <v>5</v>
      </c>
      <c r="N417" s="139">
        <v>910</v>
      </c>
      <c r="O417" s="139" t="s">
        <v>219</v>
      </c>
      <c r="P417" s="139">
        <v>76</v>
      </c>
      <c r="Q417" s="139" t="str">
        <f>VLOOKUP(P417,'Townwide Contributions'!$A$6:$B$358,2,0)</f>
        <v>Dighton</v>
      </c>
      <c r="R417" s="139" t="s">
        <v>296</v>
      </c>
      <c r="V417"/>
    </row>
    <row r="418" spans="1:22" s="139" customFormat="1">
      <c r="A418" s="140">
        <v>334</v>
      </c>
      <c r="B418" s="140"/>
      <c r="C418" s="139" t="str">
        <f t="shared" si="9"/>
        <v>334 West Tisbury</v>
      </c>
      <c r="D418" s="485">
        <v>334</v>
      </c>
      <c r="E418" s="486" t="s">
        <v>1015</v>
      </c>
      <c r="F418" s="486">
        <v>334</v>
      </c>
      <c r="G418" s="486" t="s">
        <v>1984</v>
      </c>
      <c r="H418" s="139">
        <f t="shared" si="7"/>
        <v>0</v>
      </c>
      <c r="L418" s="139">
        <v>91006</v>
      </c>
      <c r="M418" s="139">
        <v>6</v>
      </c>
      <c r="N418" s="139">
        <v>910</v>
      </c>
      <c r="O418" s="139" t="s">
        <v>219</v>
      </c>
      <c r="P418" s="139">
        <v>88</v>
      </c>
      <c r="Q418" s="139" t="str">
        <f>VLOOKUP(P418,'Townwide Contributions'!$A$6:$B$358,2,0)</f>
        <v>Easton</v>
      </c>
      <c r="R418" s="139" t="s">
        <v>311</v>
      </c>
      <c r="V418"/>
    </row>
    <row r="419" spans="1:22" s="139" customFormat="1">
      <c r="A419" s="140">
        <v>321</v>
      </c>
      <c r="B419" s="140"/>
      <c r="C419" s="139" t="str">
        <f t="shared" si="9"/>
        <v>321 Westborough</v>
      </c>
      <c r="D419" s="485">
        <v>321</v>
      </c>
      <c r="E419" s="486" t="s">
        <v>1002</v>
      </c>
      <c r="F419" s="486">
        <v>321</v>
      </c>
      <c r="G419" s="486" t="s">
        <v>1971</v>
      </c>
      <c r="H419" s="139">
        <f t="shared" si="7"/>
        <v>0</v>
      </c>
      <c r="L419" s="139">
        <v>91007</v>
      </c>
      <c r="M419" s="139">
        <v>7</v>
      </c>
      <c r="N419" s="139">
        <v>910</v>
      </c>
      <c r="O419" s="139" t="s">
        <v>219</v>
      </c>
      <c r="P419" s="139">
        <v>94</v>
      </c>
      <c r="Q419" s="139" t="str">
        <f>VLOOKUP(P419,'Townwide Contributions'!$A$6:$B$358,2,0)</f>
        <v>Fairhaven</v>
      </c>
      <c r="R419" s="139" t="s">
        <v>317</v>
      </c>
      <c r="V419"/>
    </row>
    <row r="420" spans="1:22" s="139" customFormat="1">
      <c r="A420" s="140">
        <v>325</v>
      </c>
      <c r="B420" s="140"/>
      <c r="C420" s="139" t="str">
        <f t="shared" si="9"/>
        <v>325 Westfield</v>
      </c>
      <c r="D420" s="485">
        <v>325</v>
      </c>
      <c r="E420" s="486" t="s">
        <v>1006</v>
      </c>
      <c r="F420" s="486">
        <v>325</v>
      </c>
      <c r="G420" s="486" t="s">
        <v>1975</v>
      </c>
      <c r="H420" s="139">
        <f t="shared" si="7"/>
        <v>0</v>
      </c>
      <c r="L420" s="139">
        <v>91008</v>
      </c>
      <c r="M420" s="139">
        <v>8</v>
      </c>
      <c r="N420" s="139">
        <v>910</v>
      </c>
      <c r="O420" s="139" t="s">
        <v>219</v>
      </c>
      <c r="P420" s="139">
        <v>95</v>
      </c>
      <c r="Q420" s="139" t="str">
        <f>VLOOKUP(P420,'Townwide Contributions'!$A$6:$B$358,2,0)</f>
        <v>Fall River</v>
      </c>
      <c r="R420" s="139" t="s">
        <v>318</v>
      </c>
      <c r="V420"/>
    </row>
    <row r="421" spans="1:22" s="139" customFormat="1">
      <c r="A421" s="140">
        <v>326</v>
      </c>
      <c r="B421" s="140"/>
      <c r="C421" s="139" t="str">
        <f t="shared" si="9"/>
        <v>326 Westford</v>
      </c>
      <c r="D421" s="485">
        <v>326</v>
      </c>
      <c r="E421" s="486" t="s">
        <v>1007</v>
      </c>
      <c r="F421" s="486">
        <v>326</v>
      </c>
      <c r="G421" s="486" t="s">
        <v>1976</v>
      </c>
      <c r="H421" s="139">
        <f t="shared" si="7"/>
        <v>0</v>
      </c>
      <c r="L421" s="139">
        <v>91009</v>
      </c>
      <c r="M421" s="139">
        <v>9</v>
      </c>
      <c r="N421" s="139">
        <v>910</v>
      </c>
      <c r="O421" s="139" t="s">
        <v>219</v>
      </c>
      <c r="P421" s="139">
        <v>102</v>
      </c>
      <c r="Q421" s="139" t="str">
        <f>VLOOKUP(P421,'Townwide Contributions'!$A$6:$B$358,2,0)</f>
        <v>Freetown</v>
      </c>
      <c r="R421" s="139" t="s">
        <v>327</v>
      </c>
      <c r="V421"/>
    </row>
    <row r="422" spans="1:22" s="139" customFormat="1">
      <c r="A422" s="140">
        <v>327</v>
      </c>
      <c r="B422" s="140"/>
      <c r="C422" s="139" t="str">
        <f t="shared" si="9"/>
        <v>327 Westhampton</v>
      </c>
      <c r="D422" s="485">
        <v>327</v>
      </c>
      <c r="E422" s="486" t="s">
        <v>1008</v>
      </c>
      <c r="F422" s="486">
        <v>327</v>
      </c>
      <c r="G422" s="486" t="s">
        <v>1977</v>
      </c>
      <c r="H422" s="139">
        <f t="shared" si="7"/>
        <v>0</v>
      </c>
      <c r="L422" s="139">
        <v>91010</v>
      </c>
      <c r="M422" s="139">
        <v>10</v>
      </c>
      <c r="N422" s="139">
        <v>910</v>
      </c>
      <c r="O422" s="139" t="s">
        <v>219</v>
      </c>
      <c r="P422" s="139">
        <v>167</v>
      </c>
      <c r="Q422" s="139" t="str">
        <f>VLOOKUP(P422,'Townwide Contributions'!$A$6:$B$358,2,0)</f>
        <v>Mansfield</v>
      </c>
      <c r="R422" s="139" t="s">
        <v>408</v>
      </c>
      <c r="V422"/>
    </row>
    <row r="423" spans="1:22" s="139" customFormat="1">
      <c r="A423" s="140">
        <v>328</v>
      </c>
      <c r="B423" s="140"/>
      <c r="C423" s="139" t="str">
        <f t="shared" si="9"/>
        <v>328 Westminster</v>
      </c>
      <c r="D423" s="485">
        <v>328</v>
      </c>
      <c r="E423" s="486" t="s">
        <v>1009</v>
      </c>
      <c r="F423" s="486">
        <v>328</v>
      </c>
      <c r="G423" s="486" t="s">
        <v>1978</v>
      </c>
      <c r="H423" s="139">
        <f t="shared" ref="H423:H444" si="10">B423</f>
        <v>0</v>
      </c>
      <c r="L423" s="139">
        <v>91011</v>
      </c>
      <c r="M423" s="139">
        <v>11</v>
      </c>
      <c r="N423" s="139">
        <v>910</v>
      </c>
      <c r="O423" s="139" t="s">
        <v>219</v>
      </c>
      <c r="P423" s="139">
        <v>201</v>
      </c>
      <c r="Q423" s="139" t="str">
        <f>VLOOKUP(P423,'Townwide Contributions'!$A$6:$B$358,2,0)</f>
        <v>New Bedford</v>
      </c>
      <c r="R423" s="139" t="s">
        <v>441</v>
      </c>
      <c r="V423"/>
    </row>
    <row r="424" spans="1:22" s="139" customFormat="1">
      <c r="A424" s="140">
        <v>330</v>
      </c>
      <c r="B424" s="140"/>
      <c r="C424" s="139" t="str">
        <f t="shared" si="9"/>
        <v>330 Weston</v>
      </c>
      <c r="D424" s="485">
        <v>330</v>
      </c>
      <c r="E424" s="486" t="s">
        <v>1011</v>
      </c>
      <c r="F424" s="486">
        <v>330</v>
      </c>
      <c r="G424" s="486" t="s">
        <v>1980</v>
      </c>
      <c r="H424" s="139">
        <f t="shared" si="10"/>
        <v>0</v>
      </c>
      <c r="L424" s="139">
        <v>91012</v>
      </c>
      <c r="M424" s="139">
        <v>12</v>
      </c>
      <c r="N424" s="139">
        <v>910</v>
      </c>
      <c r="O424" s="139" t="s">
        <v>219</v>
      </c>
      <c r="P424" s="139">
        <v>212</v>
      </c>
      <c r="Q424" s="139" t="str">
        <f>VLOOKUP(P424,'Townwide Contributions'!$A$6:$B$358,2,0)</f>
        <v>North Attleborough</v>
      </c>
      <c r="R424" s="139" t="s">
        <v>457</v>
      </c>
      <c r="V424"/>
    </row>
    <row r="425" spans="1:22" s="139" customFormat="1">
      <c r="A425" s="140">
        <v>331</v>
      </c>
      <c r="B425" s="140"/>
      <c r="C425" s="139" t="str">
        <f t="shared" si="9"/>
        <v>331 Westport</v>
      </c>
      <c r="D425" s="485">
        <v>331</v>
      </c>
      <c r="E425" s="486" t="s">
        <v>1012</v>
      </c>
      <c r="F425" s="486">
        <v>331</v>
      </c>
      <c r="G425" s="486" t="s">
        <v>1981</v>
      </c>
      <c r="H425" s="139">
        <f t="shared" si="10"/>
        <v>0</v>
      </c>
      <c r="L425" s="139">
        <v>91013</v>
      </c>
      <c r="M425" s="139">
        <v>13</v>
      </c>
      <c r="N425" s="139">
        <v>910</v>
      </c>
      <c r="O425" s="139" t="s">
        <v>219</v>
      </c>
      <c r="P425" s="139">
        <v>218</v>
      </c>
      <c r="Q425" s="139" t="str">
        <f>VLOOKUP(P425,'Townwide Contributions'!$A$6:$B$358,2,0)</f>
        <v>Norton</v>
      </c>
      <c r="R425" s="139" t="s">
        <v>464</v>
      </c>
      <c r="V425"/>
    </row>
    <row r="426" spans="1:22" s="139" customFormat="1">
      <c r="A426" s="140">
        <v>335</v>
      </c>
      <c r="B426" s="140"/>
      <c r="C426" s="139" t="str">
        <f t="shared" si="9"/>
        <v>335 Westwood</v>
      </c>
      <c r="D426" s="485">
        <v>335</v>
      </c>
      <c r="E426" s="486" t="s">
        <v>1016</v>
      </c>
      <c r="F426" s="486">
        <v>335</v>
      </c>
      <c r="G426" s="486" t="s">
        <v>1985</v>
      </c>
      <c r="H426" s="139">
        <f t="shared" si="10"/>
        <v>0</v>
      </c>
      <c r="L426" s="139">
        <v>91014</v>
      </c>
      <c r="M426" s="139">
        <v>14</v>
      </c>
      <c r="N426" s="139">
        <v>910</v>
      </c>
      <c r="O426" s="139" t="s">
        <v>219</v>
      </c>
      <c r="P426" s="139">
        <v>245</v>
      </c>
      <c r="Q426" s="139" t="str">
        <f>VLOOKUP(P426,'Townwide Contributions'!$A$6:$B$358,2,0)</f>
        <v>Raynham</v>
      </c>
      <c r="R426" s="139" t="s">
        <v>496</v>
      </c>
      <c r="V426"/>
    </row>
    <row r="427" spans="1:22" s="139" customFormat="1">
      <c r="A427" s="140">
        <v>336</v>
      </c>
      <c r="B427" s="140"/>
      <c r="C427" s="139" t="str">
        <f t="shared" si="9"/>
        <v>336 Weymouth</v>
      </c>
      <c r="D427" s="485">
        <v>336</v>
      </c>
      <c r="E427" s="486" t="s">
        <v>1017</v>
      </c>
      <c r="F427" s="486">
        <v>336</v>
      </c>
      <c r="G427" s="486" t="s">
        <v>1986</v>
      </c>
      <c r="H427" s="139">
        <f t="shared" si="10"/>
        <v>0</v>
      </c>
      <c r="L427" s="139">
        <v>91015</v>
      </c>
      <c r="M427" s="139">
        <v>15</v>
      </c>
      <c r="N427" s="139">
        <v>910</v>
      </c>
      <c r="O427" s="139" t="s">
        <v>219</v>
      </c>
      <c r="P427" s="139">
        <v>247</v>
      </c>
      <c r="Q427" s="139" t="str">
        <f>VLOOKUP(P427,'Townwide Contributions'!$A$6:$B$358,2,0)</f>
        <v>Rehoboth</v>
      </c>
      <c r="R427" s="139" t="s">
        <v>498</v>
      </c>
      <c r="V427"/>
    </row>
    <row r="428" spans="1:22" s="139" customFormat="1">
      <c r="A428" s="140">
        <v>337</v>
      </c>
      <c r="B428" s="140"/>
      <c r="C428" s="139" t="str">
        <f t="shared" si="9"/>
        <v>337 Whately</v>
      </c>
      <c r="D428" s="485">
        <v>337</v>
      </c>
      <c r="E428" s="486" t="s">
        <v>1018</v>
      </c>
      <c r="F428" s="486">
        <v>337</v>
      </c>
      <c r="G428" s="486" t="s">
        <v>1987</v>
      </c>
      <c r="H428" s="139">
        <f t="shared" si="10"/>
        <v>0</v>
      </c>
      <c r="L428" s="139">
        <v>91016</v>
      </c>
      <c r="M428" s="139">
        <v>16</v>
      </c>
      <c r="N428" s="139">
        <v>910</v>
      </c>
      <c r="O428" s="139" t="s">
        <v>219</v>
      </c>
      <c r="P428" s="139">
        <v>265</v>
      </c>
      <c r="Q428" s="139" t="str">
        <f>VLOOKUP(P428,'Townwide Contributions'!$A$6:$B$358,2,0)</f>
        <v>Seekonk</v>
      </c>
      <c r="R428" s="139" t="s">
        <v>514</v>
      </c>
      <c r="V428"/>
    </row>
    <row r="429" spans="1:22" s="139" customFormat="1">
      <c r="A429" s="140">
        <v>338</v>
      </c>
      <c r="B429" s="140"/>
      <c r="C429" s="139" t="str">
        <f t="shared" si="9"/>
        <v>338 Whitman</v>
      </c>
      <c r="D429" s="485">
        <v>338</v>
      </c>
      <c r="E429" s="486" t="s">
        <v>1019</v>
      </c>
      <c r="F429" s="486">
        <v>338</v>
      </c>
      <c r="G429" s="486" t="s">
        <v>1988</v>
      </c>
      <c r="H429" s="139">
        <f t="shared" si="10"/>
        <v>0</v>
      </c>
      <c r="L429" s="139">
        <v>91017</v>
      </c>
      <c r="M429" s="139">
        <v>17</v>
      </c>
      <c r="N429" s="139">
        <v>910</v>
      </c>
      <c r="O429" s="139" t="s">
        <v>219</v>
      </c>
      <c r="P429" s="139">
        <v>273</v>
      </c>
      <c r="Q429" s="139" t="str">
        <f>VLOOKUP(P429,'Townwide Contributions'!$A$6:$B$358,2,0)</f>
        <v>Somerset</v>
      </c>
      <c r="R429" s="139" t="s">
        <v>521</v>
      </c>
      <c r="V429"/>
    </row>
    <row r="430" spans="1:22" s="139" customFormat="1">
      <c r="A430" s="140">
        <v>412</v>
      </c>
      <c r="B430" s="140"/>
      <c r="C430" s="139" t="str">
        <f t="shared" si="9"/>
        <v>780 Whitman Hanson</v>
      </c>
      <c r="D430" s="485">
        <v>780</v>
      </c>
      <c r="E430" s="486" t="s">
        <v>1091</v>
      </c>
      <c r="F430" s="486">
        <v>780</v>
      </c>
      <c r="G430" s="486" t="s">
        <v>2061</v>
      </c>
      <c r="H430" s="139">
        <f t="shared" si="10"/>
        <v>0</v>
      </c>
      <c r="L430" s="139">
        <v>91018</v>
      </c>
      <c r="M430" s="139">
        <v>18</v>
      </c>
      <c r="N430" s="139">
        <v>910</v>
      </c>
      <c r="O430" s="139" t="s">
        <v>219</v>
      </c>
      <c r="P430" s="139">
        <v>292</v>
      </c>
      <c r="Q430" s="139" t="str">
        <f>VLOOKUP(P430,'Townwide Contributions'!$A$6:$B$358,2,0)</f>
        <v>Swansea</v>
      </c>
      <c r="R430" s="139" t="s">
        <v>540</v>
      </c>
      <c r="V430"/>
    </row>
    <row r="431" spans="1:22" s="139" customFormat="1">
      <c r="A431" s="140">
        <v>438</v>
      </c>
      <c r="B431" s="140"/>
      <c r="C431" s="139" t="str">
        <f t="shared" si="9"/>
        <v>885 Whittier</v>
      </c>
      <c r="D431" s="485">
        <v>885</v>
      </c>
      <c r="E431" s="486" t="s">
        <v>1117</v>
      </c>
      <c r="F431" s="486">
        <v>885</v>
      </c>
      <c r="G431" s="486" t="s">
        <v>2087</v>
      </c>
      <c r="H431" s="139">
        <f t="shared" si="10"/>
        <v>0</v>
      </c>
      <c r="L431" s="139">
        <v>91019</v>
      </c>
      <c r="M431" s="139">
        <v>19</v>
      </c>
      <c r="N431" s="139">
        <v>910</v>
      </c>
      <c r="O431" s="139" t="s">
        <v>219</v>
      </c>
      <c r="P431" s="139">
        <v>293</v>
      </c>
      <c r="Q431" s="139" t="str">
        <f>VLOOKUP(P431,'Townwide Contributions'!$A$6:$B$358,2,0)</f>
        <v>Taunton</v>
      </c>
      <c r="R431" s="139" t="s">
        <v>541</v>
      </c>
      <c r="V431"/>
    </row>
    <row r="432" spans="1:22" s="139" customFormat="1">
      <c r="A432" s="140">
        <v>339</v>
      </c>
      <c r="B432" s="140"/>
      <c r="C432" s="139" t="str">
        <f t="shared" si="9"/>
        <v>339 Wilbraham</v>
      </c>
      <c r="D432" s="485">
        <v>339</v>
      </c>
      <c r="E432" s="486" t="s">
        <v>1020</v>
      </c>
      <c r="F432" s="486">
        <v>339</v>
      </c>
      <c r="G432" s="486" t="s">
        <v>1989</v>
      </c>
      <c r="H432" s="139">
        <f t="shared" si="10"/>
        <v>0</v>
      </c>
      <c r="L432" s="139">
        <v>91020</v>
      </c>
      <c r="M432" s="139">
        <v>20</v>
      </c>
      <c r="N432" s="139">
        <v>910</v>
      </c>
      <c r="O432" s="139" t="s">
        <v>219</v>
      </c>
      <c r="P432" s="139">
        <v>331</v>
      </c>
      <c r="Q432" s="139" t="str">
        <f>VLOOKUP(P432,'Townwide Contributions'!$A$6:$B$358,2,0)</f>
        <v>Westport</v>
      </c>
      <c r="R432" s="139" t="s">
        <v>573</v>
      </c>
      <c r="V432"/>
    </row>
    <row r="433" spans="1:38" s="139" customFormat="1">
      <c r="A433" s="140">
        <v>340</v>
      </c>
      <c r="B433" s="140"/>
      <c r="C433" s="139" t="str">
        <f t="shared" si="9"/>
        <v>340 Williamsburg</v>
      </c>
      <c r="D433" s="485">
        <v>340</v>
      </c>
      <c r="E433" s="486" t="s">
        <v>1021</v>
      </c>
      <c r="F433" s="486">
        <v>340</v>
      </c>
      <c r="G433" s="486" t="s">
        <v>1990</v>
      </c>
      <c r="H433" s="139">
        <f t="shared" si="10"/>
        <v>0</v>
      </c>
      <c r="L433" s="139">
        <v>91501</v>
      </c>
      <c r="M433" s="139">
        <v>1</v>
      </c>
      <c r="N433" s="139">
        <v>915</v>
      </c>
      <c r="O433" s="139" t="s">
        <v>220</v>
      </c>
      <c r="P433" s="139">
        <v>18</v>
      </c>
      <c r="Q433" s="139" t="str">
        <f>VLOOKUP(P433,'Townwide Contributions'!$A$6:$B$358,2,0)</f>
        <v>Avon</v>
      </c>
      <c r="R433" s="139" t="s">
        <v>22</v>
      </c>
      <c r="V433"/>
    </row>
    <row r="434" spans="1:38" s="139" customFormat="1">
      <c r="A434" s="140">
        <v>341</v>
      </c>
      <c r="B434" s="140"/>
      <c r="C434" s="139" t="str">
        <f t="shared" si="9"/>
        <v>341 Williamstown</v>
      </c>
      <c r="D434" s="485">
        <v>341</v>
      </c>
      <c r="E434" s="486" t="s">
        <v>1022</v>
      </c>
      <c r="F434" s="486">
        <v>341</v>
      </c>
      <c r="G434" s="486" t="s">
        <v>1991</v>
      </c>
      <c r="H434" s="139">
        <f t="shared" si="10"/>
        <v>0</v>
      </c>
      <c r="L434" s="139">
        <v>91502</v>
      </c>
      <c r="M434" s="139">
        <v>2</v>
      </c>
      <c r="N434" s="139">
        <v>915</v>
      </c>
      <c r="O434" s="139" t="s">
        <v>220</v>
      </c>
      <c r="P434" s="139">
        <v>25</v>
      </c>
      <c r="Q434" s="139" t="str">
        <f>VLOOKUP(P434,'Townwide Contributions'!$A$6:$B$358,2,0)</f>
        <v>Bellingham</v>
      </c>
      <c r="R434" s="139" t="s">
        <v>36</v>
      </c>
      <c r="V434"/>
    </row>
    <row r="435" spans="1:38" s="139" customFormat="1">
      <c r="A435" s="140">
        <v>342</v>
      </c>
      <c r="B435" s="140"/>
      <c r="C435" s="139" t="str">
        <f t="shared" si="9"/>
        <v>342 Wilmington</v>
      </c>
      <c r="D435" s="485">
        <v>342</v>
      </c>
      <c r="E435" s="486" t="s">
        <v>1023</v>
      </c>
      <c r="F435" s="486">
        <v>342</v>
      </c>
      <c r="G435" s="486" t="s">
        <v>1992</v>
      </c>
      <c r="H435" s="139">
        <f t="shared" si="10"/>
        <v>0</v>
      </c>
      <c r="L435" s="139">
        <v>91503</v>
      </c>
      <c r="M435" s="139">
        <v>3</v>
      </c>
      <c r="N435" s="139">
        <v>915</v>
      </c>
      <c r="O435" s="139" t="s">
        <v>220</v>
      </c>
      <c r="P435" s="139">
        <v>40</v>
      </c>
      <c r="Q435" s="139" t="str">
        <f>VLOOKUP(P435,'Townwide Contributions'!$A$6:$B$358,2,0)</f>
        <v>Braintree</v>
      </c>
      <c r="R435" s="139" t="s">
        <v>243</v>
      </c>
      <c r="V435"/>
    </row>
    <row r="436" spans="1:38" s="139" customFormat="1">
      <c r="A436" s="140">
        <v>343</v>
      </c>
      <c r="B436" s="140"/>
      <c r="C436" s="139" t="str">
        <f t="shared" si="9"/>
        <v>343 Winchendon</v>
      </c>
      <c r="D436" s="485">
        <v>343</v>
      </c>
      <c r="E436" s="486" t="s">
        <v>1024</v>
      </c>
      <c r="F436" s="486">
        <v>343</v>
      </c>
      <c r="G436" s="486" t="s">
        <v>1993</v>
      </c>
      <c r="H436" s="139">
        <f t="shared" si="10"/>
        <v>0</v>
      </c>
      <c r="L436" s="139">
        <v>91504</v>
      </c>
      <c r="M436" s="139">
        <v>4</v>
      </c>
      <c r="N436" s="139">
        <v>915</v>
      </c>
      <c r="O436" s="139" t="s">
        <v>220</v>
      </c>
      <c r="P436" s="139">
        <v>46</v>
      </c>
      <c r="Q436" s="139" t="str">
        <f>VLOOKUP(P436,'Townwide Contributions'!$A$6:$B$358,2,0)</f>
        <v>Brookline</v>
      </c>
      <c r="R436" s="139" t="s">
        <v>253</v>
      </c>
      <c r="V436"/>
    </row>
    <row r="437" spans="1:38" s="139" customFormat="1">
      <c r="A437" s="140">
        <v>344</v>
      </c>
      <c r="B437" s="140"/>
      <c r="C437" s="139" t="str">
        <f t="shared" ref="C437:C444" si="11">PROPER(D437&amp;" "&amp;E437)</f>
        <v>344 Winchester</v>
      </c>
      <c r="D437" s="485">
        <v>344</v>
      </c>
      <c r="E437" s="486" t="s">
        <v>1025</v>
      </c>
      <c r="F437" s="486">
        <v>344</v>
      </c>
      <c r="G437" s="486" t="s">
        <v>1994</v>
      </c>
      <c r="H437" s="139">
        <f t="shared" si="10"/>
        <v>0</v>
      </c>
      <c r="L437" s="139">
        <v>91505</v>
      </c>
      <c r="M437" s="139">
        <v>5</v>
      </c>
      <c r="N437" s="139">
        <v>915</v>
      </c>
      <c r="O437" s="139" t="s">
        <v>220</v>
      </c>
      <c r="P437" s="139">
        <v>50</v>
      </c>
      <c r="Q437" s="139" t="str">
        <f>VLOOKUP(P437,'Townwide Contributions'!$A$6:$B$358,2,0)</f>
        <v>Canton</v>
      </c>
      <c r="R437" s="139" t="s">
        <v>256</v>
      </c>
      <c r="V437"/>
    </row>
    <row r="438" spans="1:38" s="139" customFormat="1">
      <c r="A438" s="140">
        <v>345</v>
      </c>
      <c r="B438" s="140"/>
      <c r="C438" s="139" t="str">
        <f t="shared" si="11"/>
        <v>345 Windsor</v>
      </c>
      <c r="D438" s="485">
        <v>345</v>
      </c>
      <c r="E438" s="486" t="s">
        <v>1026</v>
      </c>
      <c r="F438" s="486">
        <v>345</v>
      </c>
      <c r="G438" s="486" t="s">
        <v>1995</v>
      </c>
      <c r="H438" s="139">
        <f t="shared" si="10"/>
        <v>0</v>
      </c>
      <c r="L438" s="139">
        <v>91506</v>
      </c>
      <c r="M438" s="139">
        <v>6</v>
      </c>
      <c r="N438" s="139">
        <v>915</v>
      </c>
      <c r="O438" s="139" t="s">
        <v>220</v>
      </c>
      <c r="P438" s="139">
        <v>65</v>
      </c>
      <c r="Q438" s="139" t="str">
        <f>VLOOKUP(P438,'Townwide Contributions'!$A$6:$B$358,2,0)</f>
        <v>Cohasset</v>
      </c>
      <c r="R438" s="139" t="s">
        <v>278</v>
      </c>
      <c r="V438"/>
    </row>
    <row r="439" spans="1:38" s="139" customFormat="1">
      <c r="A439" s="140">
        <v>346</v>
      </c>
      <c r="B439" s="140"/>
      <c r="C439" s="139" t="str">
        <f t="shared" si="11"/>
        <v>346 Winthrop</v>
      </c>
      <c r="D439" s="485">
        <v>346</v>
      </c>
      <c r="E439" s="486" t="s">
        <v>1027</v>
      </c>
      <c r="F439" s="486">
        <v>346</v>
      </c>
      <c r="G439" s="486" t="s">
        <v>1996</v>
      </c>
      <c r="H439" s="139">
        <f t="shared" si="10"/>
        <v>0</v>
      </c>
      <c r="L439" s="139">
        <v>91507</v>
      </c>
      <c r="M439" s="139">
        <v>7</v>
      </c>
      <c r="N439" s="139">
        <v>915</v>
      </c>
      <c r="O439" s="139" t="s">
        <v>220</v>
      </c>
      <c r="P439" s="139">
        <v>73</v>
      </c>
      <c r="Q439" s="139" t="str">
        <f>VLOOKUP(P439,'Townwide Contributions'!$A$6:$B$358,2,0)</f>
        <v>Dedham</v>
      </c>
      <c r="R439" s="139" t="s">
        <v>288</v>
      </c>
      <c r="V439"/>
    </row>
    <row r="440" spans="1:38" s="139" customFormat="1">
      <c r="A440" s="140">
        <v>347</v>
      </c>
      <c r="B440" s="140"/>
      <c r="C440" s="139" t="str">
        <f t="shared" si="11"/>
        <v>347 Woburn</v>
      </c>
      <c r="D440" s="485">
        <v>347</v>
      </c>
      <c r="E440" s="486" t="s">
        <v>1028</v>
      </c>
      <c r="F440" s="486">
        <v>347</v>
      </c>
      <c r="G440" s="486" t="s">
        <v>1997</v>
      </c>
      <c r="H440" s="139">
        <f t="shared" si="10"/>
        <v>0</v>
      </c>
      <c r="L440" s="139">
        <v>91508</v>
      </c>
      <c r="M440" s="139">
        <v>8</v>
      </c>
      <c r="N440" s="139">
        <v>915</v>
      </c>
      <c r="O440" s="139" t="s">
        <v>220</v>
      </c>
      <c r="P440" s="139">
        <v>78</v>
      </c>
      <c r="Q440" s="139" t="str">
        <f>VLOOKUP(P440,'Townwide Contributions'!$A$6:$B$358,2,0)</f>
        <v>Dover</v>
      </c>
      <c r="R440" s="139" t="s">
        <v>299</v>
      </c>
      <c r="V440"/>
    </row>
    <row r="441" spans="1:38" s="139" customFormat="1">
      <c r="A441" s="140">
        <v>348</v>
      </c>
      <c r="B441" s="140"/>
      <c r="C441" s="139" t="str">
        <f t="shared" si="11"/>
        <v>348 Worcester</v>
      </c>
      <c r="D441" s="485">
        <v>348</v>
      </c>
      <c r="E441" s="486" t="s">
        <v>1029</v>
      </c>
      <c r="F441" s="486">
        <v>348</v>
      </c>
      <c r="G441" s="486" t="s">
        <v>1998</v>
      </c>
      <c r="H441" s="139">
        <f t="shared" si="10"/>
        <v>0</v>
      </c>
      <c r="L441" s="6">
        <v>91509</v>
      </c>
      <c r="M441" s="6">
        <v>9</v>
      </c>
      <c r="N441" s="6">
        <v>915</v>
      </c>
      <c r="O441" s="6" t="s">
        <v>220</v>
      </c>
      <c r="P441" s="6">
        <v>99</v>
      </c>
      <c r="Q441" s="139" t="str">
        <f>VLOOKUP(P441,'Townwide Contributions'!$A$6:$B$358,2,0)</f>
        <v>Foxborough</v>
      </c>
      <c r="R441" s="6" t="s">
        <v>323</v>
      </c>
      <c r="V441"/>
    </row>
    <row r="442" spans="1:38" s="139" customFormat="1">
      <c r="A442" s="140">
        <v>349</v>
      </c>
      <c r="B442" s="140"/>
      <c r="C442" s="139" t="str">
        <f t="shared" si="11"/>
        <v>349 Worthington</v>
      </c>
      <c r="D442" s="485">
        <v>349</v>
      </c>
      <c r="E442" s="486" t="s">
        <v>1030</v>
      </c>
      <c r="F442" s="486">
        <v>349</v>
      </c>
      <c r="G442" s="486" t="s">
        <v>1999</v>
      </c>
      <c r="H442" s="139">
        <f t="shared" si="10"/>
        <v>0</v>
      </c>
      <c r="L442" s="6">
        <v>91510</v>
      </c>
      <c r="M442" s="6">
        <v>10</v>
      </c>
      <c r="N442" s="6">
        <v>915</v>
      </c>
      <c r="O442" s="6" t="s">
        <v>220</v>
      </c>
      <c r="P442" s="6">
        <v>101</v>
      </c>
      <c r="Q442" s="139" t="str">
        <f>VLOOKUP(P442,'Townwide Contributions'!$A$6:$B$358,2,0)</f>
        <v>Franklin</v>
      </c>
      <c r="R442" s="6" t="s">
        <v>325</v>
      </c>
      <c r="V442"/>
    </row>
    <row r="443" spans="1:38" s="139" customFormat="1">
      <c r="A443" s="140">
        <v>350</v>
      </c>
      <c r="B443" s="140"/>
      <c r="C443" s="139" t="str">
        <f t="shared" si="11"/>
        <v>350 Wrentham</v>
      </c>
      <c r="D443" s="485">
        <v>350</v>
      </c>
      <c r="E443" s="486" t="s">
        <v>1031</v>
      </c>
      <c r="F443" s="486">
        <v>350</v>
      </c>
      <c r="G443" s="486" t="s">
        <v>2000</v>
      </c>
      <c r="H443" s="139">
        <f t="shared" si="10"/>
        <v>0</v>
      </c>
      <c r="L443" s="6">
        <v>91511</v>
      </c>
      <c r="M443" s="6">
        <v>11</v>
      </c>
      <c r="N443" s="6">
        <v>915</v>
      </c>
      <c r="O443" s="6" t="s">
        <v>220</v>
      </c>
      <c r="P443" s="6">
        <v>133</v>
      </c>
      <c r="Q443" s="139" t="str">
        <f>VLOOKUP(P443,'Townwide Contributions'!$A$6:$B$358,2,0)</f>
        <v>Holbrook</v>
      </c>
      <c r="R443" s="6" t="s">
        <v>361</v>
      </c>
      <c r="V443"/>
    </row>
    <row r="444" spans="1:38" s="139" customFormat="1">
      <c r="A444" s="140">
        <v>351</v>
      </c>
      <c r="B444" s="140"/>
      <c r="C444" s="139" t="str">
        <f t="shared" si="11"/>
        <v>351 Yarmouth</v>
      </c>
      <c r="D444" s="485">
        <v>351</v>
      </c>
      <c r="E444" s="486" t="s">
        <v>1032</v>
      </c>
      <c r="F444" s="486">
        <v>351</v>
      </c>
      <c r="G444" s="486" t="s">
        <v>2001</v>
      </c>
      <c r="H444" s="139">
        <f t="shared" si="10"/>
        <v>0</v>
      </c>
      <c r="L444" s="6">
        <v>91512</v>
      </c>
      <c r="M444" s="6">
        <v>12</v>
      </c>
      <c r="N444" s="6">
        <v>915</v>
      </c>
      <c r="O444" s="6" t="s">
        <v>220</v>
      </c>
      <c r="P444" s="6">
        <v>175</v>
      </c>
      <c r="Q444" s="139" t="str">
        <f>VLOOKUP(P444,'Townwide Contributions'!$A$6:$B$358,2,0)</f>
        <v>Medfield</v>
      </c>
      <c r="R444" s="6" t="s">
        <v>416</v>
      </c>
      <c r="V444"/>
    </row>
    <row r="445" spans="1:38" s="139" customFormat="1">
      <c r="A445" s="140">
        <v>441</v>
      </c>
      <c r="B445" s="140"/>
      <c r="C445" s="139" t="str">
        <f t="shared" ref="C445" si="12">PROPER(D445&amp;" "&amp;E445)</f>
        <v>999 State Total</v>
      </c>
      <c r="D445" s="485">
        <v>999</v>
      </c>
      <c r="E445" s="486" t="s">
        <v>391</v>
      </c>
      <c r="F445" s="487">
        <v>999</v>
      </c>
      <c r="G445" s="487" t="s">
        <v>2092</v>
      </c>
      <c r="H445" s="139">
        <v>88</v>
      </c>
      <c r="L445" s="6">
        <v>91513</v>
      </c>
      <c r="M445" s="6">
        <v>13</v>
      </c>
      <c r="N445" s="6">
        <v>915</v>
      </c>
      <c r="O445" s="6" t="s">
        <v>220</v>
      </c>
      <c r="P445" s="6">
        <v>177</v>
      </c>
      <c r="Q445" s="139" t="str">
        <f>VLOOKUP(P445,'Townwide Contributions'!$A$6:$B$358,2,0)</f>
        <v>Medway</v>
      </c>
      <c r="R445" s="6" t="s">
        <v>418</v>
      </c>
      <c r="U445" s="6"/>
      <c r="V445"/>
    </row>
    <row r="446" spans="1:38" s="139" customFormat="1">
      <c r="A446" s="7"/>
      <c r="B446" s="7"/>
      <c r="C446" s="6"/>
      <c r="D446" s="7"/>
      <c r="E446" s="6"/>
      <c r="F446" s="6"/>
      <c r="G446" s="6"/>
      <c r="H446" s="6"/>
      <c r="L446" s="6">
        <v>91514</v>
      </c>
      <c r="M446" s="6">
        <v>14</v>
      </c>
      <c r="N446" s="6">
        <v>915</v>
      </c>
      <c r="O446" s="6" t="s">
        <v>220</v>
      </c>
      <c r="P446" s="6">
        <v>187</v>
      </c>
      <c r="Q446" s="139" t="str">
        <f>VLOOKUP(P446,'Townwide Contributions'!$A$6:$B$358,2,0)</f>
        <v>Millis</v>
      </c>
      <c r="R446" s="6" t="s">
        <v>429</v>
      </c>
      <c r="S446" s="6"/>
      <c r="T446" s="6"/>
      <c r="U446" s="6"/>
      <c r="V446"/>
    </row>
    <row r="447" spans="1:38" s="139" customFormat="1">
      <c r="A447" s="7"/>
      <c r="B447" s="7"/>
      <c r="C447" s="6"/>
      <c r="D447" s="7"/>
      <c r="E447" s="6"/>
      <c r="F447" s="6"/>
      <c r="G447" s="6"/>
      <c r="H447" s="6"/>
      <c r="L447" s="6">
        <v>91515</v>
      </c>
      <c r="M447" s="6">
        <v>15</v>
      </c>
      <c r="N447" s="6">
        <v>915</v>
      </c>
      <c r="O447" s="6" t="s">
        <v>220</v>
      </c>
      <c r="P447" s="6">
        <v>189</v>
      </c>
      <c r="Q447" s="139" t="str">
        <f>VLOOKUP(P447,'Townwide Contributions'!$A$6:$B$358,2,0)</f>
        <v>Milton</v>
      </c>
      <c r="R447" s="6" t="s">
        <v>431</v>
      </c>
      <c r="S447" s="6"/>
      <c r="T447" s="6"/>
      <c r="U447" s="6"/>
      <c r="V447"/>
      <c r="W447" s="6"/>
      <c r="X447" s="6"/>
      <c r="Y447" s="6"/>
      <c r="Z447" s="6"/>
      <c r="AA447" s="6"/>
      <c r="AB447" s="6"/>
      <c r="AC447" s="6"/>
      <c r="AD447" s="6"/>
      <c r="AE447" s="6"/>
      <c r="AF447" s="6"/>
      <c r="AG447" s="6"/>
      <c r="AH447" s="6"/>
      <c r="AI447" s="6"/>
      <c r="AJ447" s="6"/>
      <c r="AK447" s="6"/>
      <c r="AL447" s="6"/>
    </row>
    <row r="448" spans="1:38" ht="13.5" thickBot="1">
      <c r="L448" s="6">
        <v>91516</v>
      </c>
      <c r="M448" s="6">
        <v>16</v>
      </c>
      <c r="N448" s="6">
        <v>915</v>
      </c>
      <c r="O448" s="6" t="s">
        <v>220</v>
      </c>
      <c r="P448" s="6">
        <v>199</v>
      </c>
      <c r="Q448" s="139" t="str">
        <f>VLOOKUP(P448,'Townwide Contributions'!$A$6:$B$358,2,0)</f>
        <v>Needham</v>
      </c>
      <c r="R448" s="6" t="s">
        <v>440</v>
      </c>
      <c r="V448"/>
    </row>
    <row r="449" spans="1:22">
      <c r="A449" s="140"/>
      <c r="B449" s="488">
        <v>88</v>
      </c>
      <c r="C449" s="489" t="s">
        <v>2111</v>
      </c>
      <c r="D449" s="490"/>
      <c r="E449" s="491" t="s">
        <v>2111</v>
      </c>
      <c r="F449" s="487">
        <v>999</v>
      </c>
      <c r="G449" s="487" t="s">
        <v>2092</v>
      </c>
      <c r="H449" s="139">
        <v>88</v>
      </c>
      <c r="L449" s="6">
        <v>91517</v>
      </c>
      <c r="M449" s="6">
        <v>17</v>
      </c>
      <c r="N449" s="6">
        <v>915</v>
      </c>
      <c r="O449" s="6" t="s">
        <v>220</v>
      </c>
      <c r="P449" s="6">
        <v>208</v>
      </c>
      <c r="Q449" s="139" t="str">
        <f>VLOOKUP(P449,'Townwide Contributions'!$A$6:$B$358,2,0)</f>
        <v>Norfolk</v>
      </c>
      <c r="R449" s="6" t="s">
        <v>450</v>
      </c>
      <c r="V449"/>
    </row>
    <row r="450" spans="1:22">
      <c r="A450" s="140"/>
      <c r="B450" s="492">
        <v>1</v>
      </c>
      <c r="C450" s="139" t="str">
        <f t="shared" ref="C450:C481" si="13">PROPER(D450&amp;" "&amp;E450)</f>
        <v>600 Acton Boxborough</v>
      </c>
      <c r="D450" s="485">
        <v>600</v>
      </c>
      <c r="E450" s="493" t="s">
        <v>1035</v>
      </c>
      <c r="F450" s="486">
        <f>D450</f>
        <v>600</v>
      </c>
      <c r="G450" s="486" t="str">
        <f>TEXT(D450,"0000")</f>
        <v>0600</v>
      </c>
      <c r="H450" s="139">
        <f t="shared" ref="H450:H513" si="14">B450</f>
        <v>1</v>
      </c>
      <c r="L450" s="6">
        <v>91518</v>
      </c>
      <c r="M450" s="6">
        <v>18</v>
      </c>
      <c r="N450" s="6">
        <v>915</v>
      </c>
      <c r="O450" s="6" t="s">
        <v>220</v>
      </c>
      <c r="P450" s="6">
        <v>220</v>
      </c>
      <c r="Q450" s="139" t="str">
        <f>VLOOKUP(P450,'Townwide Contributions'!$A$6:$B$358,2,0)</f>
        <v>Norwood</v>
      </c>
      <c r="R450" s="6" t="s">
        <v>467</v>
      </c>
      <c r="V450"/>
    </row>
    <row r="451" spans="1:22">
      <c r="A451" s="140"/>
      <c r="B451" s="492">
        <f>B450+1</f>
        <v>2</v>
      </c>
      <c r="C451" s="139" t="str">
        <f t="shared" si="13"/>
        <v>605 Amherst Pelham</v>
      </c>
      <c r="D451" s="485">
        <v>605</v>
      </c>
      <c r="E451" s="493" t="s">
        <v>1036</v>
      </c>
      <c r="F451" s="486">
        <f t="shared" ref="F451:F514" si="15">D451</f>
        <v>605</v>
      </c>
      <c r="G451" s="486" t="str">
        <f t="shared" ref="G451:G514" si="16">TEXT(D451,"0000")</f>
        <v>0605</v>
      </c>
      <c r="H451" s="139">
        <f t="shared" si="14"/>
        <v>2</v>
      </c>
      <c r="L451" s="6">
        <v>91519</v>
      </c>
      <c r="M451" s="6">
        <v>19</v>
      </c>
      <c r="N451" s="6">
        <v>915</v>
      </c>
      <c r="O451" s="6" t="s">
        <v>220</v>
      </c>
      <c r="P451" s="6">
        <v>238</v>
      </c>
      <c r="Q451" s="139" t="str">
        <f>VLOOKUP(P451,'Townwide Contributions'!$A$6:$B$358,2,0)</f>
        <v>Plainville</v>
      </c>
      <c r="R451" s="6" t="s">
        <v>490</v>
      </c>
      <c r="V451"/>
    </row>
    <row r="452" spans="1:22">
      <c r="A452" s="140"/>
      <c r="B452" s="492">
        <f t="shared" ref="B452:B515" si="17">B451+1</f>
        <v>3</v>
      </c>
      <c r="C452" s="139" t="str">
        <f t="shared" si="13"/>
        <v>610 Ashburnham Westminster</v>
      </c>
      <c r="D452" s="485">
        <v>610</v>
      </c>
      <c r="E452" s="493" t="s">
        <v>1037</v>
      </c>
      <c r="F452" s="486">
        <f t="shared" si="15"/>
        <v>610</v>
      </c>
      <c r="G452" s="486" t="str">
        <f t="shared" si="16"/>
        <v>0610</v>
      </c>
      <c r="H452" s="139">
        <f t="shared" si="14"/>
        <v>3</v>
      </c>
      <c r="L452" s="6">
        <v>91520</v>
      </c>
      <c r="M452" s="6">
        <v>20</v>
      </c>
      <c r="N452" s="6">
        <v>915</v>
      </c>
      <c r="O452" s="6" t="s">
        <v>220</v>
      </c>
      <c r="P452" s="6">
        <v>243</v>
      </c>
      <c r="Q452" s="139" t="str">
        <f>VLOOKUP(P452,'Townwide Contributions'!$A$6:$B$358,2,0)</f>
        <v>Quincy</v>
      </c>
      <c r="R452" s="6" t="s">
        <v>494</v>
      </c>
      <c r="V452"/>
    </row>
    <row r="453" spans="1:22">
      <c r="A453" s="140"/>
      <c r="B453" s="492">
        <f t="shared" si="17"/>
        <v>4</v>
      </c>
      <c r="C453" s="139" t="str">
        <f t="shared" si="13"/>
        <v>801 Assabet Valley</v>
      </c>
      <c r="D453" s="485">
        <v>801</v>
      </c>
      <c r="E453" s="493" t="s">
        <v>1092</v>
      </c>
      <c r="F453" s="486">
        <f t="shared" si="15"/>
        <v>801</v>
      </c>
      <c r="G453" s="486" t="str">
        <f t="shared" si="16"/>
        <v>0801</v>
      </c>
      <c r="H453" s="139">
        <f t="shared" si="14"/>
        <v>4</v>
      </c>
      <c r="L453" s="6">
        <v>91521</v>
      </c>
      <c r="M453" s="6">
        <v>21</v>
      </c>
      <c r="N453" s="6">
        <v>915</v>
      </c>
      <c r="O453" s="6" t="s">
        <v>220</v>
      </c>
      <c r="P453" s="6">
        <v>244</v>
      </c>
      <c r="Q453" s="139" t="str">
        <f>VLOOKUP(P453,'Townwide Contributions'!$A$6:$B$358,2,0)</f>
        <v>Randolph</v>
      </c>
      <c r="R453" s="6" t="s">
        <v>495</v>
      </c>
      <c r="V453"/>
    </row>
    <row r="454" spans="1:22">
      <c r="A454" s="140"/>
      <c r="B454" s="492">
        <f t="shared" si="17"/>
        <v>5</v>
      </c>
      <c r="C454" s="139" t="str">
        <f t="shared" si="13"/>
        <v>615 Athol Royalston</v>
      </c>
      <c r="D454" s="485">
        <v>615</v>
      </c>
      <c r="E454" s="493" t="s">
        <v>1038</v>
      </c>
      <c r="F454" s="486">
        <f t="shared" si="15"/>
        <v>615</v>
      </c>
      <c r="G454" s="486" t="str">
        <f t="shared" si="16"/>
        <v>0615</v>
      </c>
      <c r="H454" s="139">
        <f t="shared" si="14"/>
        <v>5</v>
      </c>
      <c r="L454" s="6">
        <v>91522</v>
      </c>
      <c r="M454" s="6">
        <v>22</v>
      </c>
      <c r="N454" s="6">
        <v>915</v>
      </c>
      <c r="O454" s="6" t="s">
        <v>220</v>
      </c>
      <c r="P454" s="6">
        <v>266</v>
      </c>
      <c r="Q454" s="139" t="str">
        <f>VLOOKUP(P454,'Townwide Contributions'!$A$6:$B$358,2,0)</f>
        <v>Sharon</v>
      </c>
      <c r="R454" s="6" t="s">
        <v>515</v>
      </c>
      <c r="V454"/>
    </row>
    <row r="455" spans="1:22">
      <c r="A455" s="140"/>
      <c r="B455" s="492">
        <f t="shared" si="17"/>
        <v>6</v>
      </c>
      <c r="C455" s="139" t="str">
        <f t="shared" si="13"/>
        <v>616 Ayer Shirley</v>
      </c>
      <c r="D455" s="485">
        <v>616</v>
      </c>
      <c r="E455" s="493" t="s">
        <v>1039</v>
      </c>
      <c r="F455" s="486">
        <f t="shared" si="15"/>
        <v>616</v>
      </c>
      <c r="G455" s="486" t="str">
        <f t="shared" si="16"/>
        <v>0616</v>
      </c>
      <c r="H455" s="139">
        <f t="shared" si="14"/>
        <v>6</v>
      </c>
      <c r="L455" s="6">
        <v>91523</v>
      </c>
      <c r="M455" s="6">
        <v>23</v>
      </c>
      <c r="N455" s="6">
        <v>915</v>
      </c>
      <c r="O455" s="6" t="s">
        <v>220</v>
      </c>
      <c r="P455" s="6">
        <v>285</v>
      </c>
      <c r="Q455" s="139" t="str">
        <f>VLOOKUP(P455,'Townwide Contributions'!$A$6:$B$358,2,0)</f>
        <v>Stoughton</v>
      </c>
      <c r="R455" s="6" t="s">
        <v>533</v>
      </c>
      <c r="V455"/>
    </row>
    <row r="456" spans="1:22">
      <c r="A456" s="140"/>
      <c r="B456" s="492">
        <f t="shared" si="17"/>
        <v>7</v>
      </c>
      <c r="C456" s="139" t="str">
        <f t="shared" si="13"/>
        <v>618 Berkshire Hills</v>
      </c>
      <c r="D456" s="485">
        <v>618</v>
      </c>
      <c r="E456" s="493" t="s">
        <v>1040</v>
      </c>
      <c r="F456" s="486">
        <f t="shared" si="15"/>
        <v>618</v>
      </c>
      <c r="G456" s="486" t="str">
        <f t="shared" si="16"/>
        <v>0618</v>
      </c>
      <c r="H456" s="139">
        <f t="shared" si="14"/>
        <v>7</v>
      </c>
      <c r="L456" s="6">
        <v>91524</v>
      </c>
      <c r="M456" s="6">
        <v>24</v>
      </c>
      <c r="N456" s="6">
        <v>915</v>
      </c>
      <c r="O456" s="6" t="s">
        <v>220</v>
      </c>
      <c r="P456" s="6">
        <v>307</v>
      </c>
      <c r="Q456" s="139" t="str">
        <f>VLOOKUP(P456,'Townwide Contributions'!$A$6:$B$358,2,0)</f>
        <v>Walpole</v>
      </c>
      <c r="R456" s="6" t="s">
        <v>554</v>
      </c>
      <c r="V456"/>
    </row>
    <row r="457" spans="1:22">
      <c r="A457" s="140"/>
      <c r="B457" s="492">
        <f t="shared" si="17"/>
        <v>8</v>
      </c>
      <c r="C457" s="139" t="str">
        <f t="shared" si="13"/>
        <v>620 Berlin Boylston</v>
      </c>
      <c r="D457" s="485">
        <v>620</v>
      </c>
      <c r="E457" s="493" t="s">
        <v>1041</v>
      </c>
      <c r="F457" s="486">
        <f t="shared" si="15"/>
        <v>620</v>
      </c>
      <c r="G457" s="486" t="str">
        <f t="shared" si="16"/>
        <v>0620</v>
      </c>
      <c r="H457" s="139">
        <f t="shared" si="14"/>
        <v>8</v>
      </c>
      <c r="L457" s="6">
        <v>91525</v>
      </c>
      <c r="M457" s="6">
        <v>25</v>
      </c>
      <c r="N457" s="6">
        <v>915</v>
      </c>
      <c r="O457" s="6" t="s">
        <v>220</v>
      </c>
      <c r="P457" s="6">
        <v>317</v>
      </c>
      <c r="Q457" s="139" t="str">
        <f>VLOOKUP(P457,'Townwide Contributions'!$A$6:$B$358,2,0)</f>
        <v>Wellesley</v>
      </c>
      <c r="R457" s="6" t="s">
        <v>562</v>
      </c>
      <c r="V457"/>
    </row>
    <row r="458" spans="1:22">
      <c r="A458" s="140"/>
      <c r="B458" s="492">
        <f t="shared" si="17"/>
        <v>9</v>
      </c>
      <c r="C458" s="139" t="str">
        <f t="shared" si="13"/>
        <v>622 Blackstone Millville</v>
      </c>
      <c r="D458" s="485">
        <v>622</v>
      </c>
      <c r="E458" s="493" t="s">
        <v>1042</v>
      </c>
      <c r="F458" s="486">
        <f t="shared" si="15"/>
        <v>622</v>
      </c>
      <c r="G458" s="486" t="str">
        <f t="shared" si="16"/>
        <v>0622</v>
      </c>
      <c r="H458" s="139">
        <f t="shared" si="14"/>
        <v>9</v>
      </c>
      <c r="L458" s="6">
        <v>91526</v>
      </c>
      <c r="M458" s="6">
        <v>26</v>
      </c>
      <c r="N458" s="6">
        <v>915</v>
      </c>
      <c r="O458" s="6" t="s">
        <v>220</v>
      </c>
      <c r="P458" s="6">
        <v>335</v>
      </c>
      <c r="Q458" s="139" t="str">
        <f>VLOOKUP(P458,'Townwide Contributions'!$A$6:$B$358,2,0)</f>
        <v>Westwood</v>
      </c>
      <c r="R458" s="6" t="s">
        <v>576</v>
      </c>
      <c r="V458"/>
    </row>
    <row r="459" spans="1:22">
      <c r="A459" s="140"/>
      <c r="B459" s="492">
        <f t="shared" si="17"/>
        <v>10</v>
      </c>
      <c r="C459" s="139" t="str">
        <f t="shared" si="13"/>
        <v>805 Blackstone Valley</v>
      </c>
      <c r="D459" s="485">
        <v>805</v>
      </c>
      <c r="E459" s="493" t="s">
        <v>1093</v>
      </c>
      <c r="F459" s="486">
        <f t="shared" si="15"/>
        <v>805</v>
      </c>
      <c r="G459" s="486" t="str">
        <f t="shared" si="16"/>
        <v>0805</v>
      </c>
      <c r="H459" s="139">
        <f t="shared" si="14"/>
        <v>10</v>
      </c>
      <c r="L459" s="6">
        <v>91527</v>
      </c>
      <c r="M459" s="6">
        <v>27</v>
      </c>
      <c r="N459" s="6">
        <v>915</v>
      </c>
      <c r="O459" s="6" t="s">
        <v>220</v>
      </c>
      <c r="P459" s="6">
        <v>336</v>
      </c>
      <c r="Q459" s="139" t="str">
        <f>VLOOKUP(P459,'Townwide Contributions'!$A$6:$B$358,2,0)</f>
        <v>Weymouth</v>
      </c>
      <c r="R459" s="6" t="s">
        <v>577</v>
      </c>
      <c r="V459"/>
    </row>
    <row r="460" spans="1:22">
      <c r="A460" s="140"/>
      <c r="B460" s="492">
        <f t="shared" si="17"/>
        <v>11</v>
      </c>
      <c r="C460" s="139" t="str">
        <f t="shared" si="13"/>
        <v>806 Blue Hills</v>
      </c>
      <c r="D460" s="485">
        <v>806</v>
      </c>
      <c r="E460" s="493" t="s">
        <v>1094</v>
      </c>
      <c r="F460" s="486">
        <f t="shared" si="15"/>
        <v>806</v>
      </c>
      <c r="G460" s="486" t="str">
        <f t="shared" si="16"/>
        <v>0806</v>
      </c>
      <c r="H460" s="139">
        <f t="shared" si="14"/>
        <v>11</v>
      </c>
      <c r="L460" s="6">
        <v>91528</v>
      </c>
      <c r="M460" s="6">
        <v>28</v>
      </c>
      <c r="N460" s="6">
        <v>915</v>
      </c>
      <c r="O460" s="6" t="s">
        <v>220</v>
      </c>
      <c r="P460" s="6">
        <v>350</v>
      </c>
      <c r="Q460" s="139" t="str">
        <f>VLOOKUP(P460,'Townwide Contributions'!$A$6:$B$358,2,0)</f>
        <v>Wrentham</v>
      </c>
      <c r="R460" s="6" t="s">
        <v>589</v>
      </c>
    </row>
    <row r="461" spans="1:22">
      <c r="A461" s="140"/>
      <c r="B461" s="492">
        <f t="shared" si="17"/>
        <v>12</v>
      </c>
      <c r="C461" s="139" t="str">
        <f t="shared" si="13"/>
        <v>625 Bridgewater Raynham</v>
      </c>
      <c r="D461" s="485">
        <v>625</v>
      </c>
      <c r="E461" s="493" t="s">
        <v>1043</v>
      </c>
      <c r="F461" s="486">
        <f t="shared" si="15"/>
        <v>625</v>
      </c>
      <c r="G461" s="486" t="str">
        <f t="shared" si="16"/>
        <v>0625</v>
      </c>
      <c r="H461" s="139">
        <f t="shared" si="14"/>
        <v>12</v>
      </c>
      <c r="L461" s="6">
        <v>99901</v>
      </c>
      <c r="M461" s="6">
        <v>1</v>
      </c>
      <c r="N461" s="6">
        <v>999</v>
      </c>
      <c r="O461" s="6" t="s">
        <v>72</v>
      </c>
      <c r="P461" s="6" t="s">
        <v>72</v>
      </c>
      <c r="Q461" s="6" t="s">
        <v>72</v>
      </c>
    </row>
    <row r="462" spans="1:22">
      <c r="A462" s="140"/>
      <c r="B462" s="492">
        <f t="shared" si="17"/>
        <v>13</v>
      </c>
      <c r="C462" s="139" t="str">
        <f t="shared" si="13"/>
        <v>910 Bristol County</v>
      </c>
      <c r="D462" s="485">
        <v>910</v>
      </c>
      <c r="E462" s="493" t="s">
        <v>1118</v>
      </c>
      <c r="F462" s="486">
        <f t="shared" si="15"/>
        <v>910</v>
      </c>
      <c r="G462" s="486" t="str">
        <f t="shared" si="16"/>
        <v>0910</v>
      </c>
      <c r="H462" s="139">
        <f t="shared" si="14"/>
        <v>13</v>
      </c>
    </row>
    <row r="463" spans="1:22">
      <c r="A463" s="140"/>
      <c r="B463" s="492">
        <f t="shared" si="17"/>
        <v>14</v>
      </c>
      <c r="C463" s="139" t="str">
        <f t="shared" si="13"/>
        <v>810 Bristol Plymouth</v>
      </c>
      <c r="D463" s="485">
        <v>810</v>
      </c>
      <c r="E463" s="493" t="s">
        <v>1095</v>
      </c>
      <c r="F463" s="486">
        <f t="shared" si="15"/>
        <v>810</v>
      </c>
      <c r="G463" s="486" t="str">
        <f t="shared" si="16"/>
        <v>0810</v>
      </c>
      <c r="H463" s="139">
        <f t="shared" si="14"/>
        <v>14</v>
      </c>
    </row>
    <row r="464" spans="1:22">
      <c r="A464" s="140"/>
      <c r="B464" s="492">
        <f t="shared" si="17"/>
        <v>15</v>
      </c>
      <c r="C464" s="139" t="str">
        <f t="shared" si="13"/>
        <v>815 Cape Cod</v>
      </c>
      <c r="D464" s="485">
        <v>815</v>
      </c>
      <c r="E464" s="493" t="s">
        <v>1096</v>
      </c>
      <c r="F464" s="486">
        <f t="shared" si="15"/>
        <v>815</v>
      </c>
      <c r="G464" s="486" t="str">
        <f t="shared" si="16"/>
        <v>0815</v>
      </c>
      <c r="H464" s="139">
        <f t="shared" si="14"/>
        <v>15</v>
      </c>
    </row>
    <row r="465" spans="1:8">
      <c r="A465" s="140"/>
      <c r="B465" s="492">
        <f t="shared" si="17"/>
        <v>16</v>
      </c>
      <c r="C465" s="139" t="str">
        <f t="shared" si="13"/>
        <v>635 Central Berkshire</v>
      </c>
      <c r="D465" s="485">
        <v>635</v>
      </c>
      <c r="E465" s="493" t="s">
        <v>1045</v>
      </c>
      <c r="F465" s="486">
        <f t="shared" si="15"/>
        <v>635</v>
      </c>
      <c r="G465" s="486" t="str">
        <f t="shared" si="16"/>
        <v>0635</v>
      </c>
      <c r="H465" s="139">
        <f t="shared" si="14"/>
        <v>16</v>
      </c>
    </row>
    <row r="466" spans="1:8">
      <c r="A466" s="140"/>
      <c r="B466" s="492">
        <f t="shared" si="17"/>
        <v>17</v>
      </c>
      <c r="C466" s="139" t="str">
        <f t="shared" si="13"/>
        <v>632 Chesterfield Goshen</v>
      </c>
      <c r="D466" s="485">
        <v>632</v>
      </c>
      <c r="E466" s="493" t="s">
        <v>1044</v>
      </c>
      <c r="F466" s="486">
        <f t="shared" si="15"/>
        <v>632</v>
      </c>
      <c r="G466" s="486" t="str">
        <f t="shared" si="16"/>
        <v>0632</v>
      </c>
      <c r="H466" s="139">
        <f t="shared" si="14"/>
        <v>17</v>
      </c>
    </row>
    <row r="467" spans="1:8">
      <c r="A467" s="140"/>
      <c r="B467" s="492">
        <f t="shared" si="17"/>
        <v>18</v>
      </c>
      <c r="C467" s="139" t="str">
        <f t="shared" si="13"/>
        <v>640 Concord Carlisle</v>
      </c>
      <c r="D467" s="485">
        <v>640</v>
      </c>
      <c r="E467" s="493" t="s">
        <v>1046</v>
      </c>
      <c r="F467" s="486">
        <f t="shared" si="15"/>
        <v>640</v>
      </c>
      <c r="G467" s="486" t="str">
        <f t="shared" si="16"/>
        <v>0640</v>
      </c>
      <c r="H467" s="139">
        <f t="shared" si="14"/>
        <v>18</v>
      </c>
    </row>
    <row r="468" spans="1:8">
      <c r="A468" s="140"/>
      <c r="B468" s="492">
        <f t="shared" si="17"/>
        <v>19</v>
      </c>
      <c r="C468" s="139" t="str">
        <f t="shared" si="13"/>
        <v>645 Dennis Yarmouth</v>
      </c>
      <c r="D468" s="485">
        <v>645</v>
      </c>
      <c r="E468" s="493" t="s">
        <v>1047</v>
      </c>
      <c r="F468" s="486">
        <f t="shared" si="15"/>
        <v>645</v>
      </c>
      <c r="G468" s="486" t="str">
        <f t="shared" si="16"/>
        <v>0645</v>
      </c>
      <c r="H468" s="139">
        <f t="shared" si="14"/>
        <v>19</v>
      </c>
    </row>
    <row r="469" spans="1:8">
      <c r="A469" s="140"/>
      <c r="B469" s="492">
        <f t="shared" si="17"/>
        <v>20</v>
      </c>
      <c r="C469" s="139" t="str">
        <f t="shared" si="13"/>
        <v>650 Dighton Rehoboth</v>
      </c>
      <c r="D469" s="485">
        <v>650</v>
      </c>
      <c r="E469" s="493" t="s">
        <v>1048</v>
      </c>
      <c r="F469" s="486">
        <f t="shared" si="15"/>
        <v>650</v>
      </c>
      <c r="G469" s="486" t="str">
        <f t="shared" si="16"/>
        <v>0650</v>
      </c>
      <c r="H469" s="139">
        <f t="shared" si="14"/>
        <v>20</v>
      </c>
    </row>
    <row r="470" spans="1:8">
      <c r="A470" s="140"/>
      <c r="B470" s="492">
        <f t="shared" si="17"/>
        <v>21</v>
      </c>
      <c r="C470" s="139" t="str">
        <f t="shared" si="13"/>
        <v>655 Dover Sherborn</v>
      </c>
      <c r="D470" s="485">
        <v>655</v>
      </c>
      <c r="E470" s="493" t="s">
        <v>1049</v>
      </c>
      <c r="F470" s="486">
        <f t="shared" si="15"/>
        <v>655</v>
      </c>
      <c r="G470" s="486" t="str">
        <f t="shared" si="16"/>
        <v>0655</v>
      </c>
      <c r="H470" s="139">
        <f t="shared" si="14"/>
        <v>21</v>
      </c>
    </row>
    <row r="471" spans="1:8">
      <c r="A471" s="140"/>
      <c r="B471" s="492">
        <f t="shared" si="17"/>
        <v>22</v>
      </c>
      <c r="C471" s="139" t="str">
        <f t="shared" si="13"/>
        <v>658 Dudley Charlton</v>
      </c>
      <c r="D471" s="485">
        <v>658</v>
      </c>
      <c r="E471" s="493" t="s">
        <v>1050</v>
      </c>
      <c r="F471" s="486">
        <f t="shared" si="15"/>
        <v>658</v>
      </c>
      <c r="G471" s="486" t="str">
        <f t="shared" si="16"/>
        <v>0658</v>
      </c>
      <c r="H471" s="139">
        <f t="shared" si="14"/>
        <v>22</v>
      </c>
    </row>
    <row r="472" spans="1:8">
      <c r="A472" s="140"/>
      <c r="B472" s="492">
        <f t="shared" si="17"/>
        <v>23</v>
      </c>
      <c r="C472" s="139" t="str">
        <f t="shared" si="13"/>
        <v>817 Essex North Shore</v>
      </c>
      <c r="D472" s="485">
        <v>817</v>
      </c>
      <c r="E472" s="493" t="s">
        <v>1097</v>
      </c>
      <c r="F472" s="486">
        <f t="shared" si="15"/>
        <v>817</v>
      </c>
      <c r="G472" s="486" t="str">
        <f t="shared" si="16"/>
        <v>0817</v>
      </c>
      <c r="H472" s="139">
        <f t="shared" si="14"/>
        <v>23</v>
      </c>
    </row>
    <row r="473" spans="1:8">
      <c r="A473" s="140"/>
      <c r="B473" s="492">
        <f t="shared" si="17"/>
        <v>24</v>
      </c>
      <c r="C473" s="139" t="str">
        <f t="shared" si="13"/>
        <v>662 Farmington River</v>
      </c>
      <c r="D473" s="485">
        <v>662</v>
      </c>
      <c r="E473" s="493" t="s">
        <v>1052</v>
      </c>
      <c r="F473" s="486">
        <f t="shared" si="15"/>
        <v>662</v>
      </c>
      <c r="G473" s="486" t="str">
        <f t="shared" si="16"/>
        <v>0662</v>
      </c>
      <c r="H473" s="139">
        <f t="shared" si="14"/>
        <v>24</v>
      </c>
    </row>
    <row r="474" spans="1:8">
      <c r="A474" s="140"/>
      <c r="B474" s="492">
        <f t="shared" si="17"/>
        <v>25</v>
      </c>
      <c r="C474" s="139" t="str">
        <f t="shared" si="13"/>
        <v>818 Franklin County</v>
      </c>
      <c r="D474" s="485">
        <v>818</v>
      </c>
      <c r="E474" s="493" t="s">
        <v>1098</v>
      </c>
      <c r="F474" s="486">
        <f t="shared" si="15"/>
        <v>818</v>
      </c>
      <c r="G474" s="486" t="str">
        <f t="shared" si="16"/>
        <v>0818</v>
      </c>
      <c r="H474" s="139">
        <f t="shared" si="14"/>
        <v>25</v>
      </c>
    </row>
    <row r="475" spans="1:8">
      <c r="A475" s="140"/>
      <c r="B475" s="492">
        <f t="shared" si="17"/>
        <v>26</v>
      </c>
      <c r="C475" s="139" t="str">
        <f t="shared" si="13"/>
        <v>665 Freetown Lakeville</v>
      </c>
      <c r="D475" s="485">
        <v>665</v>
      </c>
      <c r="E475" s="493" t="s">
        <v>1053</v>
      </c>
      <c r="F475" s="486">
        <f t="shared" si="15"/>
        <v>665</v>
      </c>
      <c r="G475" s="486" t="str">
        <f t="shared" si="16"/>
        <v>0665</v>
      </c>
      <c r="H475" s="139">
        <f t="shared" si="14"/>
        <v>26</v>
      </c>
    </row>
    <row r="476" spans="1:8">
      <c r="A476" s="140"/>
      <c r="B476" s="492">
        <f t="shared" si="17"/>
        <v>27</v>
      </c>
      <c r="C476" s="139" t="str">
        <f t="shared" si="13"/>
        <v>670 Frontier</v>
      </c>
      <c r="D476" s="485">
        <v>670</v>
      </c>
      <c r="E476" s="493" t="s">
        <v>1054</v>
      </c>
      <c r="F476" s="486">
        <f t="shared" si="15"/>
        <v>670</v>
      </c>
      <c r="G476" s="486" t="str">
        <f t="shared" si="16"/>
        <v>0670</v>
      </c>
      <c r="H476" s="139">
        <f t="shared" si="14"/>
        <v>27</v>
      </c>
    </row>
    <row r="477" spans="1:8">
      <c r="A477" s="140"/>
      <c r="B477" s="492">
        <f t="shared" si="17"/>
        <v>28</v>
      </c>
      <c r="C477" s="139" t="str">
        <f t="shared" si="13"/>
        <v>672 Gateway</v>
      </c>
      <c r="D477" s="485">
        <v>672</v>
      </c>
      <c r="E477" s="493" t="s">
        <v>1055</v>
      </c>
      <c r="F477" s="486">
        <f t="shared" si="15"/>
        <v>672</v>
      </c>
      <c r="G477" s="486" t="str">
        <f t="shared" si="16"/>
        <v>0672</v>
      </c>
      <c r="H477" s="139">
        <f t="shared" si="14"/>
        <v>28</v>
      </c>
    </row>
    <row r="478" spans="1:8">
      <c r="A478" s="140"/>
      <c r="B478" s="492">
        <f t="shared" si="17"/>
        <v>29</v>
      </c>
      <c r="C478" s="139" t="str">
        <f t="shared" si="13"/>
        <v>674 Gill Montague</v>
      </c>
      <c r="D478" s="485">
        <v>674</v>
      </c>
      <c r="E478" s="493" t="s">
        <v>1057</v>
      </c>
      <c r="F478" s="486">
        <f t="shared" si="15"/>
        <v>674</v>
      </c>
      <c r="G478" s="486" t="str">
        <f t="shared" si="16"/>
        <v>0674</v>
      </c>
      <c r="H478" s="139">
        <f t="shared" si="14"/>
        <v>29</v>
      </c>
    </row>
    <row r="479" spans="1:8">
      <c r="A479" s="140"/>
      <c r="B479" s="492">
        <f t="shared" si="17"/>
        <v>30</v>
      </c>
      <c r="C479" s="139" t="str">
        <f t="shared" si="13"/>
        <v>821 Greater Fall River</v>
      </c>
      <c r="D479" s="485">
        <v>821</v>
      </c>
      <c r="E479" s="493" t="s">
        <v>1099</v>
      </c>
      <c r="F479" s="486">
        <f t="shared" si="15"/>
        <v>821</v>
      </c>
      <c r="G479" s="486" t="str">
        <f t="shared" si="16"/>
        <v>0821</v>
      </c>
      <c r="H479" s="139">
        <f t="shared" si="14"/>
        <v>30</v>
      </c>
    </row>
    <row r="480" spans="1:8">
      <c r="A480" s="140"/>
      <c r="B480" s="492">
        <f t="shared" si="17"/>
        <v>31</v>
      </c>
      <c r="C480" s="139" t="str">
        <f t="shared" si="13"/>
        <v>823 Greater Lawrence</v>
      </c>
      <c r="D480" s="485">
        <v>823</v>
      </c>
      <c r="E480" s="493" t="s">
        <v>1100</v>
      </c>
      <c r="F480" s="486">
        <f t="shared" si="15"/>
        <v>823</v>
      </c>
      <c r="G480" s="486" t="str">
        <f t="shared" si="16"/>
        <v>0823</v>
      </c>
      <c r="H480" s="139">
        <f t="shared" si="14"/>
        <v>31</v>
      </c>
    </row>
    <row r="481" spans="1:8">
      <c r="A481" s="140"/>
      <c r="B481" s="492">
        <f t="shared" si="17"/>
        <v>32</v>
      </c>
      <c r="C481" s="139" t="str">
        <f t="shared" si="13"/>
        <v>828 Greater Lowell</v>
      </c>
      <c r="D481" s="485">
        <v>828</v>
      </c>
      <c r="E481" s="493" t="s">
        <v>1102</v>
      </c>
      <c r="F481" s="486">
        <f t="shared" si="15"/>
        <v>828</v>
      </c>
      <c r="G481" s="486" t="str">
        <f t="shared" si="16"/>
        <v>0828</v>
      </c>
      <c r="H481" s="139">
        <f t="shared" si="14"/>
        <v>32</v>
      </c>
    </row>
    <row r="482" spans="1:8">
      <c r="A482" s="140"/>
      <c r="B482" s="492">
        <f t="shared" si="17"/>
        <v>33</v>
      </c>
      <c r="C482" s="139" t="str">
        <f t="shared" ref="C482:C513" si="18">PROPER(D482&amp;" "&amp;E482)</f>
        <v>825 Greater New Bedford</v>
      </c>
      <c r="D482" s="485">
        <v>825</v>
      </c>
      <c r="E482" s="493" t="s">
        <v>1101</v>
      </c>
      <c r="F482" s="486">
        <f t="shared" si="15"/>
        <v>825</v>
      </c>
      <c r="G482" s="486" t="str">
        <f t="shared" si="16"/>
        <v>0825</v>
      </c>
      <c r="H482" s="139">
        <f t="shared" si="14"/>
        <v>33</v>
      </c>
    </row>
    <row r="483" spans="1:8">
      <c r="A483" s="140"/>
      <c r="B483" s="492">
        <f t="shared" si="17"/>
        <v>34</v>
      </c>
      <c r="C483" s="139" t="str">
        <f t="shared" si="18"/>
        <v>673 Groton Dunstable</v>
      </c>
      <c r="D483" s="485">
        <v>673</v>
      </c>
      <c r="E483" s="493" t="s">
        <v>1056</v>
      </c>
      <c r="F483" s="486">
        <f t="shared" si="15"/>
        <v>673</v>
      </c>
      <c r="G483" s="486" t="str">
        <f t="shared" si="16"/>
        <v>0673</v>
      </c>
      <c r="H483" s="139">
        <f t="shared" si="14"/>
        <v>34</v>
      </c>
    </row>
    <row r="484" spans="1:8">
      <c r="A484" s="140"/>
      <c r="B484" s="492">
        <f t="shared" si="17"/>
        <v>35</v>
      </c>
      <c r="C484" s="139" t="str">
        <f t="shared" si="18"/>
        <v>675 Hamilton Wenham</v>
      </c>
      <c r="D484" s="485">
        <v>675</v>
      </c>
      <c r="E484" s="493" t="s">
        <v>1058</v>
      </c>
      <c r="F484" s="486">
        <f t="shared" si="15"/>
        <v>675</v>
      </c>
      <c r="G484" s="486" t="str">
        <f t="shared" si="16"/>
        <v>0675</v>
      </c>
      <c r="H484" s="139">
        <f t="shared" si="14"/>
        <v>35</v>
      </c>
    </row>
    <row r="485" spans="1:8">
      <c r="A485" s="140"/>
      <c r="B485" s="492">
        <f t="shared" si="17"/>
        <v>36</v>
      </c>
      <c r="C485" s="139" t="str">
        <f t="shared" si="18"/>
        <v>680 Hampden Wilbraham</v>
      </c>
      <c r="D485" s="485">
        <v>680</v>
      </c>
      <c r="E485" s="493" t="s">
        <v>1059</v>
      </c>
      <c r="F485" s="486">
        <f t="shared" si="15"/>
        <v>680</v>
      </c>
      <c r="G485" s="486" t="str">
        <f t="shared" si="16"/>
        <v>0680</v>
      </c>
      <c r="H485" s="139">
        <f t="shared" si="14"/>
        <v>36</v>
      </c>
    </row>
    <row r="486" spans="1:8">
      <c r="A486" s="140"/>
      <c r="B486" s="492">
        <f t="shared" si="17"/>
        <v>37</v>
      </c>
      <c r="C486" s="139" t="str">
        <f t="shared" si="18"/>
        <v>683 Hampshire</v>
      </c>
      <c r="D486" s="485">
        <v>683</v>
      </c>
      <c r="E486" s="493" t="s">
        <v>1060</v>
      </c>
      <c r="F486" s="486">
        <f t="shared" si="15"/>
        <v>683</v>
      </c>
      <c r="G486" s="486" t="str">
        <f t="shared" si="16"/>
        <v>0683</v>
      </c>
      <c r="H486" s="139">
        <f t="shared" si="14"/>
        <v>37</v>
      </c>
    </row>
    <row r="487" spans="1:8">
      <c r="A487" s="140"/>
      <c r="B487" s="492">
        <f t="shared" si="17"/>
        <v>38</v>
      </c>
      <c r="C487" s="139" t="str">
        <f t="shared" si="18"/>
        <v>685 Hawlemont</v>
      </c>
      <c r="D487" s="485">
        <v>685</v>
      </c>
      <c r="E487" s="493" t="s">
        <v>1061</v>
      </c>
      <c r="F487" s="486">
        <f t="shared" si="15"/>
        <v>685</v>
      </c>
      <c r="G487" s="486" t="str">
        <f t="shared" si="16"/>
        <v>0685</v>
      </c>
      <c r="H487" s="139">
        <f t="shared" si="14"/>
        <v>38</v>
      </c>
    </row>
    <row r="488" spans="1:8">
      <c r="A488" s="140"/>
      <c r="B488" s="492">
        <f t="shared" si="17"/>
        <v>39</v>
      </c>
      <c r="C488" s="139" t="str">
        <f t="shared" si="18"/>
        <v>603 Hoosac Valley</v>
      </c>
      <c r="D488" s="485">
        <v>603</v>
      </c>
      <c r="E488" s="493" t="s">
        <v>2176</v>
      </c>
      <c r="F488" s="486">
        <f t="shared" si="15"/>
        <v>603</v>
      </c>
      <c r="G488" s="486" t="str">
        <f t="shared" si="16"/>
        <v>0603</v>
      </c>
      <c r="H488" s="139">
        <f t="shared" si="14"/>
        <v>39</v>
      </c>
    </row>
    <row r="489" spans="1:8">
      <c r="A489" s="140"/>
      <c r="B489" s="492">
        <f t="shared" si="17"/>
        <v>40</v>
      </c>
      <c r="C489" s="139" t="str">
        <f t="shared" si="18"/>
        <v>690 King Philip</v>
      </c>
      <c r="D489" s="485">
        <v>690</v>
      </c>
      <c r="E489" s="493" t="s">
        <v>1062</v>
      </c>
      <c r="F489" s="486">
        <f t="shared" si="15"/>
        <v>690</v>
      </c>
      <c r="G489" s="486" t="str">
        <f t="shared" si="16"/>
        <v>0690</v>
      </c>
      <c r="H489" s="139">
        <f t="shared" si="14"/>
        <v>40</v>
      </c>
    </row>
    <row r="490" spans="1:8">
      <c r="A490" s="140"/>
      <c r="B490" s="492">
        <f t="shared" si="17"/>
        <v>41</v>
      </c>
      <c r="C490" s="139" t="str">
        <f t="shared" si="18"/>
        <v>695 Lincoln Sudbury</v>
      </c>
      <c r="D490" s="485">
        <v>695</v>
      </c>
      <c r="E490" s="493" t="s">
        <v>1063</v>
      </c>
      <c r="F490" s="486">
        <f t="shared" si="15"/>
        <v>695</v>
      </c>
      <c r="G490" s="486" t="str">
        <f t="shared" si="16"/>
        <v>0695</v>
      </c>
      <c r="H490" s="139">
        <f t="shared" si="14"/>
        <v>41</v>
      </c>
    </row>
    <row r="491" spans="1:8">
      <c r="A491" s="140"/>
      <c r="B491" s="492">
        <f t="shared" si="17"/>
        <v>42</v>
      </c>
      <c r="C491" s="139" t="str">
        <f t="shared" si="18"/>
        <v>698 Manchester Essex</v>
      </c>
      <c r="D491" s="485">
        <v>698</v>
      </c>
      <c r="E491" s="493" t="s">
        <v>1064</v>
      </c>
      <c r="F491" s="486">
        <f t="shared" si="15"/>
        <v>698</v>
      </c>
      <c r="G491" s="486" t="str">
        <f t="shared" si="16"/>
        <v>0698</v>
      </c>
      <c r="H491" s="139">
        <f t="shared" si="14"/>
        <v>42</v>
      </c>
    </row>
    <row r="492" spans="1:8">
      <c r="A492" s="140"/>
      <c r="B492" s="492">
        <f t="shared" si="17"/>
        <v>43</v>
      </c>
      <c r="C492" s="139" t="str">
        <f t="shared" si="18"/>
        <v>700 Marthas Vineyard</v>
      </c>
      <c r="D492" s="485">
        <v>700</v>
      </c>
      <c r="E492" s="493" t="s">
        <v>1065</v>
      </c>
      <c r="F492" s="486">
        <f t="shared" si="15"/>
        <v>700</v>
      </c>
      <c r="G492" s="486" t="str">
        <f t="shared" si="16"/>
        <v>0700</v>
      </c>
      <c r="H492" s="139">
        <f t="shared" si="14"/>
        <v>43</v>
      </c>
    </row>
    <row r="493" spans="1:8">
      <c r="A493" s="140"/>
      <c r="B493" s="492">
        <f t="shared" si="17"/>
        <v>44</v>
      </c>
      <c r="C493" s="139" t="str">
        <f t="shared" si="18"/>
        <v>705 Masconomet</v>
      </c>
      <c r="D493" s="485">
        <v>705</v>
      </c>
      <c r="E493" s="493" t="s">
        <v>1066</v>
      </c>
      <c r="F493" s="486">
        <f t="shared" si="15"/>
        <v>705</v>
      </c>
      <c r="G493" s="486" t="str">
        <f t="shared" si="16"/>
        <v>0705</v>
      </c>
      <c r="H493" s="139">
        <f t="shared" si="14"/>
        <v>44</v>
      </c>
    </row>
    <row r="494" spans="1:8">
      <c r="A494" s="140"/>
      <c r="B494" s="492">
        <f t="shared" si="17"/>
        <v>45</v>
      </c>
      <c r="C494" s="139" t="str">
        <f t="shared" si="18"/>
        <v>710 Mendon Upton</v>
      </c>
      <c r="D494" s="485">
        <v>710</v>
      </c>
      <c r="E494" s="493" t="s">
        <v>1067</v>
      </c>
      <c r="F494" s="486">
        <f t="shared" si="15"/>
        <v>710</v>
      </c>
      <c r="G494" s="486" t="str">
        <f t="shared" si="16"/>
        <v>0710</v>
      </c>
      <c r="H494" s="139">
        <f t="shared" si="14"/>
        <v>45</v>
      </c>
    </row>
    <row r="495" spans="1:8">
      <c r="A495" s="140"/>
      <c r="B495" s="492">
        <f t="shared" si="17"/>
        <v>46</v>
      </c>
      <c r="C495" s="139" t="str">
        <f t="shared" si="18"/>
        <v>830 Minuteman</v>
      </c>
      <c r="D495" s="485">
        <v>830</v>
      </c>
      <c r="E495" s="493" t="s">
        <v>1104</v>
      </c>
      <c r="F495" s="486">
        <f t="shared" si="15"/>
        <v>830</v>
      </c>
      <c r="G495" s="486" t="str">
        <f t="shared" si="16"/>
        <v>0830</v>
      </c>
      <c r="H495" s="139">
        <f t="shared" si="14"/>
        <v>46</v>
      </c>
    </row>
    <row r="496" spans="1:8">
      <c r="A496" s="140"/>
      <c r="B496" s="492">
        <f t="shared" si="17"/>
        <v>47</v>
      </c>
      <c r="C496" s="139" t="str">
        <f t="shared" si="18"/>
        <v>717 Mohawk Trail</v>
      </c>
      <c r="D496" s="485">
        <v>717</v>
      </c>
      <c r="E496" s="493" t="s">
        <v>1070</v>
      </c>
      <c r="F496" s="486">
        <f t="shared" si="15"/>
        <v>717</v>
      </c>
      <c r="G496" s="486" t="str">
        <f t="shared" si="16"/>
        <v>0717</v>
      </c>
      <c r="H496" s="139">
        <f t="shared" si="14"/>
        <v>47</v>
      </c>
    </row>
    <row r="497" spans="1:8">
      <c r="A497" s="140"/>
      <c r="B497" s="492">
        <f t="shared" si="17"/>
        <v>48</v>
      </c>
      <c r="C497" s="139" t="str">
        <f t="shared" si="18"/>
        <v>712 Monomoy</v>
      </c>
      <c r="D497" s="485">
        <v>712</v>
      </c>
      <c r="E497" s="493" t="s">
        <v>1068</v>
      </c>
      <c r="F497" s="486">
        <f t="shared" si="15"/>
        <v>712</v>
      </c>
      <c r="G497" s="486" t="str">
        <f t="shared" si="16"/>
        <v>0712</v>
      </c>
      <c r="H497" s="139">
        <f t="shared" si="14"/>
        <v>48</v>
      </c>
    </row>
    <row r="498" spans="1:8">
      <c r="A498" s="140"/>
      <c r="B498" s="492">
        <f t="shared" si="17"/>
        <v>49</v>
      </c>
      <c r="C498" s="139" t="str">
        <f t="shared" si="18"/>
        <v>832 Montachusett</v>
      </c>
      <c r="D498" s="485">
        <v>832</v>
      </c>
      <c r="E498" s="493" t="s">
        <v>1105</v>
      </c>
      <c r="F498" s="486">
        <f t="shared" si="15"/>
        <v>832</v>
      </c>
      <c r="G498" s="486" t="str">
        <f t="shared" si="16"/>
        <v>0832</v>
      </c>
      <c r="H498" s="139">
        <f t="shared" si="14"/>
        <v>49</v>
      </c>
    </row>
    <row r="499" spans="1:8">
      <c r="A499" s="140"/>
      <c r="B499" s="492">
        <f t="shared" si="17"/>
        <v>50</v>
      </c>
      <c r="C499" s="139" t="str">
        <f t="shared" si="18"/>
        <v>715 Mount Greylock</v>
      </c>
      <c r="D499" s="485">
        <v>715</v>
      </c>
      <c r="E499" s="493" t="s">
        <v>1069</v>
      </c>
      <c r="F499" s="486">
        <f t="shared" si="15"/>
        <v>715</v>
      </c>
      <c r="G499" s="486" t="str">
        <f t="shared" si="16"/>
        <v>0715</v>
      </c>
      <c r="H499" s="139">
        <f t="shared" si="14"/>
        <v>50</v>
      </c>
    </row>
    <row r="500" spans="1:8">
      <c r="A500" s="140"/>
      <c r="B500" s="492">
        <f t="shared" si="17"/>
        <v>51</v>
      </c>
      <c r="C500" s="139" t="str">
        <f t="shared" si="18"/>
        <v>720 Narragansett</v>
      </c>
      <c r="D500" s="485">
        <v>720</v>
      </c>
      <c r="E500" s="493" t="s">
        <v>1071</v>
      </c>
      <c r="F500" s="486">
        <f t="shared" si="15"/>
        <v>720</v>
      </c>
      <c r="G500" s="486" t="str">
        <f t="shared" si="16"/>
        <v>0720</v>
      </c>
      <c r="H500" s="139">
        <f t="shared" si="14"/>
        <v>51</v>
      </c>
    </row>
    <row r="501" spans="1:8">
      <c r="A501" s="140"/>
      <c r="B501" s="492">
        <f t="shared" si="17"/>
        <v>52</v>
      </c>
      <c r="C501" s="139" t="str">
        <f t="shared" si="18"/>
        <v>725 Nashoba</v>
      </c>
      <c r="D501" s="485">
        <v>725</v>
      </c>
      <c r="E501" s="493" t="s">
        <v>1072</v>
      </c>
      <c r="F501" s="486">
        <f t="shared" si="15"/>
        <v>725</v>
      </c>
      <c r="G501" s="486" t="str">
        <f t="shared" si="16"/>
        <v>0725</v>
      </c>
      <c r="H501" s="139">
        <f t="shared" si="14"/>
        <v>52</v>
      </c>
    </row>
    <row r="502" spans="1:8">
      <c r="A502" s="140"/>
      <c r="B502" s="492">
        <f t="shared" si="17"/>
        <v>53</v>
      </c>
      <c r="C502" s="139" t="str">
        <f t="shared" si="18"/>
        <v>852 Nashoba Valley</v>
      </c>
      <c r="D502" s="485">
        <v>852</v>
      </c>
      <c r="E502" s="493" t="s">
        <v>1107</v>
      </c>
      <c r="F502" s="486">
        <f t="shared" si="15"/>
        <v>852</v>
      </c>
      <c r="G502" s="486" t="str">
        <f t="shared" si="16"/>
        <v>0852</v>
      </c>
      <c r="H502" s="139">
        <f t="shared" si="14"/>
        <v>53</v>
      </c>
    </row>
    <row r="503" spans="1:8">
      <c r="A503" s="140"/>
      <c r="B503" s="492">
        <f t="shared" si="17"/>
        <v>54</v>
      </c>
      <c r="C503" s="139" t="str">
        <f t="shared" si="18"/>
        <v>660 Nauset</v>
      </c>
      <c r="D503" s="485">
        <v>660</v>
      </c>
      <c r="E503" s="493" t="s">
        <v>1051</v>
      </c>
      <c r="F503" s="486">
        <f t="shared" si="15"/>
        <v>660</v>
      </c>
      <c r="G503" s="486" t="str">
        <f t="shared" si="16"/>
        <v>0660</v>
      </c>
      <c r="H503" s="139">
        <f t="shared" si="14"/>
        <v>54</v>
      </c>
    </row>
    <row r="504" spans="1:8">
      <c r="A504" s="140"/>
      <c r="B504" s="492">
        <f t="shared" si="17"/>
        <v>55</v>
      </c>
      <c r="C504" s="139" t="str">
        <f t="shared" si="18"/>
        <v>728 New Salem Wendell</v>
      </c>
      <c r="D504" s="485">
        <v>728</v>
      </c>
      <c r="E504" s="493" t="s">
        <v>1073</v>
      </c>
      <c r="F504" s="486">
        <f t="shared" si="15"/>
        <v>728</v>
      </c>
      <c r="G504" s="486" t="str">
        <f t="shared" si="16"/>
        <v>0728</v>
      </c>
      <c r="H504" s="139">
        <f t="shared" si="14"/>
        <v>55</v>
      </c>
    </row>
    <row r="505" spans="1:8">
      <c r="A505" s="140"/>
      <c r="B505" s="492">
        <f t="shared" si="17"/>
        <v>56</v>
      </c>
      <c r="C505" s="139" t="str">
        <f t="shared" si="18"/>
        <v>915 Norfolk County</v>
      </c>
      <c r="D505" s="485">
        <v>915</v>
      </c>
      <c r="E505" s="493" t="s">
        <v>1119</v>
      </c>
      <c r="F505" s="486">
        <f t="shared" si="15"/>
        <v>915</v>
      </c>
      <c r="G505" s="486" t="str">
        <f t="shared" si="16"/>
        <v>0915</v>
      </c>
      <c r="H505" s="139">
        <f t="shared" si="14"/>
        <v>56</v>
      </c>
    </row>
    <row r="506" spans="1:8">
      <c r="A506" s="140"/>
      <c r="B506" s="492">
        <f t="shared" si="17"/>
        <v>57</v>
      </c>
      <c r="C506" s="139" t="str">
        <f t="shared" si="18"/>
        <v>735 North Middlesex</v>
      </c>
      <c r="D506" s="485">
        <v>735</v>
      </c>
      <c r="E506" s="493" t="s">
        <v>1075</v>
      </c>
      <c r="F506" s="486">
        <f t="shared" si="15"/>
        <v>735</v>
      </c>
      <c r="G506" s="486" t="str">
        <f t="shared" si="16"/>
        <v>0735</v>
      </c>
      <c r="H506" s="139">
        <f t="shared" si="14"/>
        <v>57</v>
      </c>
    </row>
    <row r="507" spans="1:8">
      <c r="A507" s="140"/>
      <c r="B507" s="492">
        <f t="shared" si="17"/>
        <v>58</v>
      </c>
      <c r="C507" s="139" t="str">
        <f t="shared" si="18"/>
        <v>406 Northampton Smith</v>
      </c>
      <c r="D507" s="485">
        <v>406</v>
      </c>
      <c r="E507" s="493" t="s">
        <v>1034</v>
      </c>
      <c r="F507" s="486">
        <f t="shared" si="15"/>
        <v>406</v>
      </c>
      <c r="G507" s="486" t="str">
        <f t="shared" si="16"/>
        <v>0406</v>
      </c>
      <c r="H507" s="139">
        <f t="shared" si="14"/>
        <v>58</v>
      </c>
    </row>
    <row r="508" spans="1:8">
      <c r="A508" s="140"/>
      <c r="B508" s="492">
        <f t="shared" si="17"/>
        <v>59</v>
      </c>
      <c r="C508" s="139" t="str">
        <f t="shared" si="18"/>
        <v>730 Northboro Southboro</v>
      </c>
      <c r="D508" s="485">
        <v>730</v>
      </c>
      <c r="E508" s="493" t="s">
        <v>1074</v>
      </c>
      <c r="F508" s="486">
        <f t="shared" si="15"/>
        <v>730</v>
      </c>
      <c r="G508" s="486" t="str">
        <f t="shared" si="16"/>
        <v>0730</v>
      </c>
      <c r="H508" s="139">
        <f t="shared" si="14"/>
        <v>59</v>
      </c>
    </row>
    <row r="509" spans="1:8">
      <c r="A509" s="140"/>
      <c r="B509" s="492">
        <f t="shared" si="17"/>
        <v>60</v>
      </c>
      <c r="C509" s="139" t="str">
        <f t="shared" si="18"/>
        <v>853 Northeast Metropolitan</v>
      </c>
      <c r="D509" s="485">
        <v>853</v>
      </c>
      <c r="E509" s="493" t="s">
        <v>1108</v>
      </c>
      <c r="F509" s="486">
        <f t="shared" si="15"/>
        <v>853</v>
      </c>
      <c r="G509" s="486" t="str">
        <f t="shared" si="16"/>
        <v>0853</v>
      </c>
      <c r="H509" s="139">
        <f t="shared" si="14"/>
        <v>60</v>
      </c>
    </row>
    <row r="510" spans="1:8">
      <c r="A510" s="140"/>
      <c r="B510" s="492">
        <f t="shared" si="17"/>
        <v>61</v>
      </c>
      <c r="C510" s="139" t="str">
        <f t="shared" si="18"/>
        <v>851 Northern Berkshire</v>
      </c>
      <c r="D510" s="485">
        <v>851</v>
      </c>
      <c r="E510" s="493" t="s">
        <v>1106</v>
      </c>
      <c r="F510" s="486">
        <f t="shared" si="15"/>
        <v>851</v>
      </c>
      <c r="G510" s="486" t="str">
        <f t="shared" si="16"/>
        <v>0851</v>
      </c>
      <c r="H510" s="139">
        <f t="shared" si="14"/>
        <v>61</v>
      </c>
    </row>
    <row r="511" spans="1:8">
      <c r="A511" s="140"/>
      <c r="B511" s="492">
        <f t="shared" si="17"/>
        <v>62</v>
      </c>
      <c r="C511" s="139" t="str">
        <f t="shared" si="18"/>
        <v>855 Old Colony</v>
      </c>
      <c r="D511" s="485">
        <v>855</v>
      </c>
      <c r="E511" s="493" t="s">
        <v>1109</v>
      </c>
      <c r="F511" s="486">
        <f t="shared" si="15"/>
        <v>855</v>
      </c>
      <c r="G511" s="486" t="str">
        <f t="shared" si="16"/>
        <v>0855</v>
      </c>
      <c r="H511" s="139">
        <f t="shared" si="14"/>
        <v>62</v>
      </c>
    </row>
    <row r="512" spans="1:8">
      <c r="A512" s="140"/>
      <c r="B512" s="492">
        <f t="shared" si="17"/>
        <v>63</v>
      </c>
      <c r="C512" s="139" t="str">
        <f t="shared" si="18"/>
        <v>740 Old Rochester</v>
      </c>
      <c r="D512" s="485">
        <v>740</v>
      </c>
      <c r="E512" s="493" t="s">
        <v>1076</v>
      </c>
      <c r="F512" s="486">
        <f t="shared" si="15"/>
        <v>740</v>
      </c>
      <c r="G512" s="486" t="str">
        <f t="shared" si="16"/>
        <v>0740</v>
      </c>
      <c r="H512" s="139">
        <f t="shared" si="14"/>
        <v>63</v>
      </c>
    </row>
    <row r="513" spans="1:8">
      <c r="A513" s="140"/>
      <c r="B513" s="492">
        <f t="shared" si="17"/>
        <v>64</v>
      </c>
      <c r="C513" s="139" t="str">
        <f t="shared" si="18"/>
        <v>860 Pathfinder</v>
      </c>
      <c r="D513" s="485">
        <v>860</v>
      </c>
      <c r="E513" s="493" t="s">
        <v>1110</v>
      </c>
      <c r="F513" s="486">
        <f t="shared" si="15"/>
        <v>860</v>
      </c>
      <c r="G513" s="486" t="str">
        <f t="shared" si="16"/>
        <v>0860</v>
      </c>
      <c r="H513" s="139">
        <f t="shared" si="14"/>
        <v>64</v>
      </c>
    </row>
    <row r="514" spans="1:8">
      <c r="A514" s="140"/>
      <c r="B514" s="492">
        <f t="shared" si="17"/>
        <v>65</v>
      </c>
      <c r="C514" s="139" t="str">
        <f t="shared" ref="C514:C528" si="19">PROPER(D514&amp;" "&amp;E514)</f>
        <v>745 Pentucket</v>
      </c>
      <c r="D514" s="485">
        <v>745</v>
      </c>
      <c r="E514" s="493" t="s">
        <v>1077</v>
      </c>
      <c r="F514" s="486">
        <f t="shared" si="15"/>
        <v>745</v>
      </c>
      <c r="G514" s="486" t="str">
        <f t="shared" si="16"/>
        <v>0745</v>
      </c>
      <c r="H514" s="139">
        <f t="shared" ref="H514:H536" si="20">B514</f>
        <v>65</v>
      </c>
    </row>
    <row r="515" spans="1:8">
      <c r="A515" s="140"/>
      <c r="B515" s="492">
        <f t="shared" si="17"/>
        <v>66</v>
      </c>
      <c r="C515" s="139" t="str">
        <f t="shared" si="19"/>
        <v>750 Pioneer</v>
      </c>
      <c r="D515" s="485">
        <v>750</v>
      </c>
      <c r="E515" s="493" t="s">
        <v>1078</v>
      </c>
      <c r="F515" s="486">
        <f t="shared" ref="F515:F537" si="21">D515</f>
        <v>750</v>
      </c>
      <c r="G515" s="486" t="str">
        <f t="shared" ref="G515:G537" si="22">TEXT(D515,"0000")</f>
        <v>0750</v>
      </c>
      <c r="H515" s="139">
        <f t="shared" si="20"/>
        <v>66</v>
      </c>
    </row>
    <row r="516" spans="1:8">
      <c r="A516" s="140"/>
      <c r="B516" s="492">
        <f t="shared" ref="B516:B536" si="23">B515+1</f>
        <v>67</v>
      </c>
      <c r="C516" s="139" t="str">
        <f t="shared" si="19"/>
        <v>753 Quabbin</v>
      </c>
      <c r="D516" s="485">
        <v>753</v>
      </c>
      <c r="E516" s="493" t="s">
        <v>1079</v>
      </c>
      <c r="F516" s="486">
        <f t="shared" si="21"/>
        <v>753</v>
      </c>
      <c r="G516" s="486" t="str">
        <f t="shared" si="22"/>
        <v>0753</v>
      </c>
      <c r="H516" s="139">
        <f t="shared" si="20"/>
        <v>67</v>
      </c>
    </row>
    <row r="517" spans="1:8">
      <c r="A517" s="140"/>
      <c r="B517" s="492">
        <f t="shared" si="23"/>
        <v>68</v>
      </c>
      <c r="C517" s="139" t="str">
        <f t="shared" si="19"/>
        <v>778 Quaboag</v>
      </c>
      <c r="D517" s="485">
        <v>778</v>
      </c>
      <c r="E517" s="493" t="s">
        <v>1090</v>
      </c>
      <c r="F517" s="486">
        <f t="shared" si="21"/>
        <v>778</v>
      </c>
      <c r="G517" s="486" t="str">
        <f t="shared" si="22"/>
        <v>0778</v>
      </c>
      <c r="H517" s="139">
        <f t="shared" si="20"/>
        <v>68</v>
      </c>
    </row>
    <row r="518" spans="1:8">
      <c r="A518" s="140"/>
      <c r="B518" s="492">
        <f t="shared" si="23"/>
        <v>69</v>
      </c>
      <c r="C518" s="139" t="str">
        <f t="shared" si="19"/>
        <v>755 Ralph C Mahar</v>
      </c>
      <c r="D518" s="485">
        <v>755</v>
      </c>
      <c r="E518" s="493" t="s">
        <v>1080</v>
      </c>
      <c r="F518" s="486">
        <f t="shared" si="21"/>
        <v>755</v>
      </c>
      <c r="G518" s="486" t="str">
        <f t="shared" si="22"/>
        <v>0755</v>
      </c>
      <c r="H518" s="139">
        <f t="shared" si="20"/>
        <v>69</v>
      </c>
    </row>
    <row r="519" spans="1:8">
      <c r="A519" s="140"/>
      <c r="B519" s="492">
        <f t="shared" si="23"/>
        <v>70</v>
      </c>
      <c r="C519" s="139" t="str">
        <f t="shared" si="19"/>
        <v>871 Shawsheen Valley</v>
      </c>
      <c r="D519" s="485">
        <v>871</v>
      </c>
      <c r="E519" s="493" t="s">
        <v>1111</v>
      </c>
      <c r="F519" s="486">
        <f t="shared" si="21"/>
        <v>871</v>
      </c>
      <c r="G519" s="486" t="str">
        <f t="shared" si="22"/>
        <v>0871</v>
      </c>
      <c r="H519" s="139">
        <f t="shared" si="20"/>
        <v>70</v>
      </c>
    </row>
    <row r="520" spans="1:8">
      <c r="A520" s="140"/>
      <c r="B520" s="492">
        <f t="shared" si="23"/>
        <v>71</v>
      </c>
      <c r="C520" s="139" t="str">
        <f t="shared" si="19"/>
        <v>760 Silver Lake</v>
      </c>
      <c r="D520" s="485">
        <v>760</v>
      </c>
      <c r="E520" s="493" t="s">
        <v>1081</v>
      </c>
      <c r="F520" s="486">
        <f t="shared" si="21"/>
        <v>760</v>
      </c>
      <c r="G520" s="486" t="str">
        <f t="shared" si="22"/>
        <v>0760</v>
      </c>
      <c r="H520" s="139">
        <f t="shared" si="20"/>
        <v>71</v>
      </c>
    </row>
    <row r="521" spans="1:8">
      <c r="A521" s="140"/>
      <c r="B521" s="492">
        <f t="shared" si="23"/>
        <v>72</v>
      </c>
      <c r="C521" s="139" t="str">
        <f t="shared" si="19"/>
        <v>763 Somerset Berkley</v>
      </c>
      <c r="D521" s="485">
        <v>763</v>
      </c>
      <c r="E521" s="493" t="s">
        <v>1082</v>
      </c>
      <c r="F521" s="486">
        <f t="shared" si="21"/>
        <v>763</v>
      </c>
      <c r="G521" s="486" t="str">
        <f t="shared" si="22"/>
        <v>0763</v>
      </c>
      <c r="H521" s="139">
        <f t="shared" si="20"/>
        <v>72</v>
      </c>
    </row>
    <row r="522" spans="1:8">
      <c r="A522" s="140"/>
      <c r="B522" s="492">
        <f t="shared" si="23"/>
        <v>73</v>
      </c>
      <c r="C522" s="139" t="str">
        <f t="shared" si="19"/>
        <v>829 South Middlesex</v>
      </c>
      <c r="D522" s="485">
        <v>829</v>
      </c>
      <c r="E522" s="493" t="s">
        <v>1103</v>
      </c>
      <c r="F522" s="486">
        <f t="shared" si="21"/>
        <v>829</v>
      </c>
      <c r="G522" s="486" t="str">
        <f t="shared" si="22"/>
        <v>0829</v>
      </c>
      <c r="H522" s="139">
        <f t="shared" si="20"/>
        <v>73</v>
      </c>
    </row>
    <row r="523" spans="1:8">
      <c r="A523" s="140"/>
      <c r="B523" s="492">
        <f t="shared" si="23"/>
        <v>74</v>
      </c>
      <c r="C523" s="139" t="str">
        <f t="shared" si="19"/>
        <v>873 South Shore</v>
      </c>
      <c r="D523" s="485">
        <v>873</v>
      </c>
      <c r="E523" s="493" t="s">
        <v>1113</v>
      </c>
      <c r="F523" s="486">
        <f t="shared" si="21"/>
        <v>873</v>
      </c>
      <c r="G523" s="486" t="str">
        <f t="shared" si="22"/>
        <v>0873</v>
      </c>
      <c r="H523" s="139">
        <f t="shared" si="20"/>
        <v>74</v>
      </c>
    </row>
    <row r="524" spans="1:8">
      <c r="A524" s="140"/>
      <c r="B524" s="492">
        <f t="shared" si="23"/>
        <v>75</v>
      </c>
      <c r="C524" s="139" t="str">
        <f t="shared" si="19"/>
        <v>872 Southeastern</v>
      </c>
      <c r="D524" s="485">
        <v>872</v>
      </c>
      <c r="E524" s="493" t="s">
        <v>1112</v>
      </c>
      <c r="F524" s="486">
        <f t="shared" si="21"/>
        <v>872</v>
      </c>
      <c r="G524" s="486" t="str">
        <f t="shared" si="22"/>
        <v>0872</v>
      </c>
      <c r="H524" s="139">
        <f t="shared" si="20"/>
        <v>75</v>
      </c>
    </row>
    <row r="525" spans="1:8">
      <c r="A525" s="140"/>
      <c r="B525" s="492">
        <f t="shared" si="23"/>
        <v>76</v>
      </c>
      <c r="C525" s="139" t="str">
        <f t="shared" si="19"/>
        <v>765 Southern Berkshire</v>
      </c>
      <c r="D525" s="485">
        <v>765</v>
      </c>
      <c r="E525" s="493" t="s">
        <v>1083</v>
      </c>
      <c r="F525" s="486">
        <f t="shared" si="21"/>
        <v>765</v>
      </c>
      <c r="G525" s="486" t="str">
        <f t="shared" si="22"/>
        <v>0765</v>
      </c>
      <c r="H525" s="139">
        <f t="shared" si="20"/>
        <v>76</v>
      </c>
    </row>
    <row r="526" spans="1:8">
      <c r="A526" s="140"/>
      <c r="B526" s="492">
        <f t="shared" si="23"/>
        <v>77</v>
      </c>
      <c r="C526" s="139" t="str">
        <f t="shared" si="19"/>
        <v>876 Southern Worcester</v>
      </c>
      <c r="D526" s="485">
        <v>876</v>
      </c>
      <c r="E526" s="493" t="s">
        <v>1114</v>
      </c>
      <c r="F526" s="486">
        <f t="shared" si="21"/>
        <v>876</v>
      </c>
      <c r="G526" s="486" t="str">
        <f t="shared" si="22"/>
        <v>0876</v>
      </c>
      <c r="H526" s="139">
        <f t="shared" si="20"/>
        <v>77</v>
      </c>
    </row>
    <row r="527" spans="1:8">
      <c r="A527" s="140"/>
      <c r="B527" s="492">
        <f t="shared" si="23"/>
        <v>78</v>
      </c>
      <c r="C527" s="139" t="str">
        <f t="shared" si="19"/>
        <v>766 Southwick Tolland Granville</v>
      </c>
      <c r="D527" s="485">
        <v>766</v>
      </c>
      <c r="E527" s="493" t="s">
        <v>1084</v>
      </c>
      <c r="F527" s="486">
        <f t="shared" si="21"/>
        <v>766</v>
      </c>
      <c r="G527" s="486" t="str">
        <f t="shared" si="22"/>
        <v>0766</v>
      </c>
      <c r="H527" s="139">
        <f t="shared" si="20"/>
        <v>78</v>
      </c>
    </row>
    <row r="528" spans="1:8">
      <c r="A528" s="140"/>
      <c r="B528" s="492">
        <f t="shared" si="23"/>
        <v>79</v>
      </c>
      <c r="C528" s="139" t="str">
        <f t="shared" si="19"/>
        <v>767 Spencer East Brookfield</v>
      </c>
      <c r="D528" s="485">
        <v>767</v>
      </c>
      <c r="E528" s="493" t="s">
        <v>1085</v>
      </c>
      <c r="F528" s="486">
        <f t="shared" si="21"/>
        <v>767</v>
      </c>
      <c r="G528" s="486" t="str">
        <f t="shared" si="22"/>
        <v>0767</v>
      </c>
      <c r="H528" s="139">
        <f t="shared" si="20"/>
        <v>79</v>
      </c>
    </row>
    <row r="529" spans="1:8">
      <c r="A529" s="140"/>
      <c r="B529" s="492">
        <f t="shared" si="23"/>
        <v>80</v>
      </c>
      <c r="C529" s="139" t="str">
        <f t="shared" ref="C529:C537" si="24">PROPER(D529&amp;" "&amp;E529)</f>
        <v>770 Tantasqua</v>
      </c>
      <c r="D529" s="485">
        <v>770</v>
      </c>
      <c r="E529" s="493" t="s">
        <v>1086</v>
      </c>
      <c r="F529" s="486">
        <f t="shared" si="21"/>
        <v>770</v>
      </c>
      <c r="G529" s="486" t="str">
        <f t="shared" si="22"/>
        <v>0770</v>
      </c>
      <c r="H529" s="139">
        <f t="shared" si="20"/>
        <v>80</v>
      </c>
    </row>
    <row r="530" spans="1:8">
      <c r="A530" s="140"/>
      <c r="B530" s="492">
        <f t="shared" si="23"/>
        <v>81</v>
      </c>
      <c r="C530" s="139" t="str">
        <f t="shared" si="24"/>
        <v>878 Tri County</v>
      </c>
      <c r="D530" s="485">
        <v>878</v>
      </c>
      <c r="E530" s="493" t="s">
        <v>1115</v>
      </c>
      <c r="F530" s="486">
        <f t="shared" si="21"/>
        <v>878</v>
      </c>
      <c r="G530" s="486" t="str">
        <f t="shared" si="22"/>
        <v>0878</v>
      </c>
      <c r="H530" s="139">
        <f t="shared" si="20"/>
        <v>81</v>
      </c>
    </row>
    <row r="531" spans="1:8">
      <c r="A531" s="140"/>
      <c r="B531" s="492">
        <f t="shared" si="23"/>
        <v>82</v>
      </c>
      <c r="C531" s="139" t="str">
        <f t="shared" si="24"/>
        <v>773 Triton</v>
      </c>
      <c r="D531" s="485">
        <v>773</v>
      </c>
      <c r="E531" s="493" t="s">
        <v>1087</v>
      </c>
      <c r="F531" s="486">
        <f t="shared" si="21"/>
        <v>773</v>
      </c>
      <c r="G531" s="486" t="str">
        <f t="shared" si="22"/>
        <v>0773</v>
      </c>
      <c r="H531" s="139">
        <f t="shared" si="20"/>
        <v>82</v>
      </c>
    </row>
    <row r="532" spans="1:8">
      <c r="A532" s="140"/>
      <c r="B532" s="492">
        <f t="shared" si="23"/>
        <v>83</v>
      </c>
      <c r="C532" s="139" t="str">
        <f t="shared" si="24"/>
        <v>774 Upisland</v>
      </c>
      <c r="D532" s="485">
        <v>774</v>
      </c>
      <c r="E532" s="493" t="s">
        <v>1088</v>
      </c>
      <c r="F532" s="486">
        <f t="shared" si="21"/>
        <v>774</v>
      </c>
      <c r="G532" s="486" t="str">
        <f t="shared" si="22"/>
        <v>0774</v>
      </c>
      <c r="H532" s="139">
        <f t="shared" si="20"/>
        <v>83</v>
      </c>
    </row>
    <row r="533" spans="1:8">
      <c r="A533" s="140"/>
      <c r="B533" s="492">
        <f t="shared" si="23"/>
        <v>84</v>
      </c>
      <c r="C533" s="139" t="str">
        <f t="shared" si="24"/>
        <v>879 Upper Cape Cod</v>
      </c>
      <c r="D533" s="485">
        <v>879</v>
      </c>
      <c r="E533" s="493" t="s">
        <v>1116</v>
      </c>
      <c r="F533" s="486">
        <f t="shared" si="21"/>
        <v>879</v>
      </c>
      <c r="G533" s="486" t="str">
        <f t="shared" si="22"/>
        <v>0879</v>
      </c>
      <c r="H533" s="139">
        <f t="shared" si="20"/>
        <v>84</v>
      </c>
    </row>
    <row r="534" spans="1:8">
      <c r="A534" s="140"/>
      <c r="B534" s="492">
        <f t="shared" si="23"/>
        <v>85</v>
      </c>
      <c r="C534" s="139" t="str">
        <f t="shared" si="24"/>
        <v>775 Wachusett</v>
      </c>
      <c r="D534" s="485">
        <v>775</v>
      </c>
      <c r="E534" s="493" t="s">
        <v>1089</v>
      </c>
      <c r="F534" s="486">
        <f t="shared" si="21"/>
        <v>775</v>
      </c>
      <c r="G534" s="486" t="str">
        <f t="shared" si="22"/>
        <v>0775</v>
      </c>
      <c r="H534" s="139">
        <f t="shared" si="20"/>
        <v>85</v>
      </c>
    </row>
    <row r="535" spans="1:8">
      <c r="A535" s="140"/>
      <c r="B535" s="492">
        <f t="shared" si="23"/>
        <v>86</v>
      </c>
      <c r="C535" s="139" t="str">
        <f t="shared" si="24"/>
        <v>780 Whitman Hanson</v>
      </c>
      <c r="D535" s="485">
        <v>780</v>
      </c>
      <c r="E535" s="493" t="s">
        <v>1091</v>
      </c>
      <c r="F535" s="486">
        <f t="shared" si="21"/>
        <v>780</v>
      </c>
      <c r="G535" s="486" t="str">
        <f t="shared" si="22"/>
        <v>0780</v>
      </c>
      <c r="H535" s="139">
        <f t="shared" si="20"/>
        <v>86</v>
      </c>
    </row>
    <row r="536" spans="1:8">
      <c r="A536" s="140"/>
      <c r="B536" s="492">
        <f t="shared" si="23"/>
        <v>87</v>
      </c>
      <c r="C536" s="139" t="str">
        <f t="shared" si="24"/>
        <v>885 Whittier</v>
      </c>
      <c r="D536" s="485">
        <v>885</v>
      </c>
      <c r="E536" s="493" t="s">
        <v>1117</v>
      </c>
      <c r="F536" s="486">
        <f t="shared" si="21"/>
        <v>885</v>
      </c>
      <c r="G536" s="486" t="str">
        <f t="shared" si="22"/>
        <v>0885</v>
      </c>
      <c r="H536" s="139">
        <f t="shared" si="20"/>
        <v>87</v>
      </c>
    </row>
    <row r="537" spans="1:8" ht="13.5" thickBot="1">
      <c r="A537" s="140"/>
      <c r="B537" s="494"/>
      <c r="C537" s="495" t="str">
        <f t="shared" si="24"/>
        <v>999 State Total</v>
      </c>
      <c r="D537" s="496">
        <v>999</v>
      </c>
      <c r="E537" s="497" t="s">
        <v>391</v>
      </c>
      <c r="F537" s="486">
        <f t="shared" si="21"/>
        <v>999</v>
      </c>
      <c r="G537" s="486" t="str">
        <f t="shared" si="22"/>
        <v>0999</v>
      </c>
      <c r="H537" s="139"/>
    </row>
  </sheetData>
  <sortState xmlns:xlrd2="http://schemas.microsoft.com/office/spreadsheetml/2017/richdata2" ref="B451:G538">
    <sortCondition ref="E451:E538"/>
  </sortState>
  <mergeCells count="2">
    <mergeCell ref="A2:E2"/>
    <mergeCell ref="L2:Q2"/>
  </mergeCells>
  <phoneticPr fontId="0" type="noConversion"/>
  <pageMargins left="0.75" right="0.75" top="1" bottom="1" header="0.5" footer="0.5"/>
  <pageSetup orientation="portrait" horizontalDpi="1200" verticalDpi="12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S463"/>
  <sheetViews>
    <sheetView workbookViewId="0">
      <selection activeCell="A2" sqref="A2"/>
    </sheetView>
  </sheetViews>
  <sheetFormatPr defaultColWidth="9" defaultRowHeight="12.75"/>
  <cols>
    <col min="1" max="1" width="7.625" style="6" customWidth="1"/>
    <col min="2" max="2" width="12.125" style="6" bestFit="1" customWidth="1"/>
    <col min="3" max="3" width="9" style="6"/>
    <col min="4" max="4" width="16.375" style="6" customWidth="1"/>
    <col min="5" max="5" width="5.625" style="6" customWidth="1"/>
    <col min="6" max="6" width="13.75" style="6" customWidth="1"/>
    <col min="7" max="7" width="19.375" style="369" customWidth="1"/>
    <col min="8" max="9" width="19.375" style="6" customWidth="1"/>
    <col min="10" max="10" width="10.875" style="6" bestFit="1" customWidth="1"/>
    <col min="11" max="11" width="12.625" style="6" bestFit="1" customWidth="1"/>
    <col min="12" max="12" width="12.625" style="6" customWidth="1"/>
    <col min="13" max="16" width="9" style="6"/>
    <col min="17" max="17" width="9.625" style="6" bestFit="1" customWidth="1"/>
    <col min="18" max="16384" width="9" style="6"/>
  </cols>
  <sheetData>
    <row r="1" spans="1:19">
      <c r="A1" s="16"/>
      <c r="G1" s="645"/>
      <c r="H1" s="645"/>
      <c r="I1" s="645"/>
      <c r="J1" s="645"/>
      <c r="K1" s="645"/>
      <c r="L1" s="7"/>
    </row>
    <row r="2" spans="1:19">
      <c r="G2" s="646"/>
      <c r="H2" s="646"/>
      <c r="I2" s="646"/>
      <c r="J2" s="646"/>
      <c r="K2" s="646"/>
      <c r="L2" s="430"/>
    </row>
    <row r="3" spans="1:19">
      <c r="G3" s="367"/>
      <c r="H3" s="54"/>
      <c r="I3" s="54"/>
    </row>
    <row r="4" spans="1:19">
      <c r="A4" s="55" t="s">
        <v>597</v>
      </c>
      <c r="B4" s="55" t="s">
        <v>613</v>
      </c>
      <c r="D4" s="12"/>
      <c r="E4" s="55" t="s">
        <v>596</v>
      </c>
      <c r="F4" s="12"/>
      <c r="G4" s="368"/>
      <c r="H4" s="12"/>
      <c r="I4" s="54"/>
      <c r="J4" s="14"/>
      <c r="K4" s="14" t="s">
        <v>230</v>
      </c>
      <c r="L4" s="14"/>
    </row>
    <row r="5" spans="1:19" ht="15.75">
      <c r="B5" s="56"/>
      <c r="D5" s="12"/>
      <c r="E5" s="56"/>
      <c r="F5" s="12"/>
      <c r="G5" s="12" t="s">
        <v>2337</v>
      </c>
      <c r="H5" s="12" t="s">
        <v>2337</v>
      </c>
      <c r="I5" s="12" t="s">
        <v>2337</v>
      </c>
    </row>
    <row r="6" spans="1:19">
      <c r="D6" s="12"/>
      <c r="E6" s="12"/>
      <c r="F6" s="12"/>
      <c r="G6" s="368"/>
      <c r="H6" s="12"/>
      <c r="I6" s="12"/>
    </row>
    <row r="7" spans="1:19">
      <c r="D7" s="12"/>
      <c r="E7" s="12"/>
      <c r="F7" s="12"/>
      <c r="G7" s="368"/>
      <c r="H7" s="12" t="s">
        <v>2294</v>
      </c>
      <c r="I7" s="12" t="s">
        <v>2294</v>
      </c>
      <c r="J7" s="12" t="s">
        <v>226</v>
      </c>
      <c r="K7" s="12" t="s">
        <v>231</v>
      </c>
      <c r="L7" s="12"/>
    </row>
    <row r="8" spans="1:19">
      <c r="B8" s="12" t="s">
        <v>61</v>
      </c>
      <c r="D8" s="12"/>
      <c r="E8" s="12"/>
      <c r="F8" s="12"/>
      <c r="G8" s="368" t="s">
        <v>615</v>
      </c>
      <c r="H8" s="12" t="s">
        <v>105</v>
      </c>
      <c r="I8" s="12" t="s">
        <v>96</v>
      </c>
      <c r="J8" s="12" t="s">
        <v>227</v>
      </c>
      <c r="K8" s="12" t="s">
        <v>233</v>
      </c>
      <c r="L8" s="12"/>
    </row>
    <row r="9" spans="1:19">
      <c r="A9" s="12" t="s">
        <v>597</v>
      </c>
      <c r="B9" s="12" t="s">
        <v>62</v>
      </c>
      <c r="C9" s="12" t="s">
        <v>604</v>
      </c>
      <c r="D9" s="12" t="s">
        <v>594</v>
      </c>
      <c r="E9" s="12" t="s">
        <v>596</v>
      </c>
      <c r="F9" s="12" t="s">
        <v>58</v>
      </c>
      <c r="G9" s="368" t="s">
        <v>60</v>
      </c>
      <c r="H9" s="12" t="s">
        <v>2298</v>
      </c>
      <c r="I9" s="12" t="s">
        <v>2298</v>
      </c>
      <c r="J9" s="12" t="s">
        <v>228</v>
      </c>
      <c r="K9" s="12" t="s">
        <v>232</v>
      </c>
      <c r="L9" s="12"/>
    </row>
    <row r="10" spans="1:19" ht="23.25" customHeight="1">
      <c r="A10" s="6">
        <v>406</v>
      </c>
      <c r="B10" s="6">
        <v>1</v>
      </c>
      <c r="C10" s="6">
        <f t="shared" ref="C10:C73" si="0">A10*1000+E10</f>
        <v>406210</v>
      </c>
      <c r="D10" s="6" t="s">
        <v>454</v>
      </c>
      <c r="E10" s="6">
        <v>210</v>
      </c>
      <c r="F10" s="6" t="s">
        <v>453</v>
      </c>
      <c r="G10" s="512">
        <v>1</v>
      </c>
      <c r="H10" s="9">
        <v>119</v>
      </c>
      <c r="I10" s="9">
        <v>119</v>
      </c>
      <c r="J10" s="57">
        <f t="shared" ref="J10" si="1">ROUND(VLOOKUP(E10,town351,12),2)</f>
        <v>82.5</v>
      </c>
      <c r="K10" s="57">
        <f>G10*J10</f>
        <v>82.5</v>
      </c>
      <c r="L10" s="57"/>
      <c r="O10" s="514"/>
      <c r="Q10" s="190"/>
      <c r="R10" s="9"/>
      <c r="S10" s="9"/>
    </row>
    <row r="11" spans="1:19">
      <c r="A11" s="6">
        <v>600</v>
      </c>
      <c r="B11" s="6">
        <f>B10+1</f>
        <v>2</v>
      </c>
      <c r="C11" s="6">
        <f t="shared" si="0"/>
        <v>600002</v>
      </c>
      <c r="D11" s="6" t="s">
        <v>622</v>
      </c>
      <c r="E11" s="6">
        <v>2</v>
      </c>
      <c r="F11" s="6" t="s">
        <v>621</v>
      </c>
      <c r="G11" s="512">
        <v>0.82304038005000002</v>
      </c>
      <c r="H11" s="9">
        <v>5052</v>
      </c>
      <c r="I11" s="9">
        <v>4158</v>
      </c>
      <c r="J11" s="57">
        <f t="shared" ref="J11:J74" si="2">ROUND(VLOOKUP(E11,town351,12),2)</f>
        <v>82.5</v>
      </c>
      <c r="K11" s="57">
        <f t="shared" ref="K11:K74" si="3">G11*J11</f>
        <v>67.900831354125003</v>
      </c>
      <c r="L11" s="57"/>
      <c r="Q11" s="190"/>
      <c r="R11" s="9"/>
      <c r="S11" s="9"/>
    </row>
    <row r="12" spans="1:19">
      <c r="A12" s="6">
        <v>600</v>
      </c>
      <c r="B12" s="6">
        <f t="shared" ref="B12:B75" si="4">B11+1</f>
        <v>3</v>
      </c>
      <c r="C12" s="6">
        <f t="shared" si="0"/>
        <v>600037</v>
      </c>
      <c r="D12" s="6" t="s">
        <v>622</v>
      </c>
      <c r="E12" s="6">
        <v>37</v>
      </c>
      <c r="F12" s="6" t="s">
        <v>239</v>
      </c>
      <c r="G12" s="512">
        <v>0.17695961995000001</v>
      </c>
      <c r="H12" s="9">
        <v>5052</v>
      </c>
      <c r="I12" s="9">
        <v>894</v>
      </c>
      <c r="J12" s="57">
        <f t="shared" si="2"/>
        <v>82.5</v>
      </c>
      <c r="K12" s="57">
        <f t="shared" si="3"/>
        <v>14.599168645875</v>
      </c>
      <c r="L12" s="57"/>
      <c r="O12" s="514"/>
      <c r="Q12" s="190"/>
      <c r="R12" s="9"/>
      <c r="S12" s="9"/>
    </row>
    <row r="13" spans="1:19">
      <c r="A13" s="6">
        <v>603</v>
      </c>
      <c r="B13" s="6">
        <f t="shared" si="4"/>
        <v>4</v>
      </c>
      <c r="C13" s="6">
        <f t="shared" si="0"/>
        <v>603004</v>
      </c>
      <c r="D13" s="6" t="s">
        <v>2177</v>
      </c>
      <c r="E13" s="6">
        <v>4</v>
      </c>
      <c r="F13" s="6" t="s">
        <v>627</v>
      </c>
      <c r="G13" s="512">
        <v>0.74345991561000002</v>
      </c>
      <c r="H13" s="9">
        <v>1185</v>
      </c>
      <c r="I13" s="9">
        <v>881</v>
      </c>
      <c r="J13" s="57">
        <f t="shared" si="2"/>
        <v>32.229999999999997</v>
      </c>
      <c r="K13" s="57">
        <f t="shared" si="3"/>
        <v>23.961713080110297</v>
      </c>
      <c r="L13" s="57"/>
      <c r="O13" s="514"/>
      <c r="Q13" s="190"/>
      <c r="R13" s="9"/>
      <c r="S13" s="9"/>
    </row>
    <row r="14" spans="1:19">
      <c r="A14" s="6">
        <v>603</v>
      </c>
      <c r="B14" s="6">
        <f t="shared" si="4"/>
        <v>5</v>
      </c>
      <c r="C14" s="6">
        <f t="shared" si="0"/>
        <v>603058</v>
      </c>
      <c r="D14" s="6" t="s">
        <v>2177</v>
      </c>
      <c r="E14" s="6">
        <v>58</v>
      </c>
      <c r="F14" s="6" t="s">
        <v>269</v>
      </c>
      <c r="G14" s="512">
        <v>0.25654008438999998</v>
      </c>
      <c r="H14" s="9">
        <v>1185</v>
      </c>
      <c r="I14" s="9">
        <v>304</v>
      </c>
      <c r="J14" s="57">
        <f t="shared" si="2"/>
        <v>55.22</v>
      </c>
      <c r="K14" s="57">
        <f t="shared" si="3"/>
        <v>14.166143460015798</v>
      </c>
      <c r="L14" s="57"/>
      <c r="O14" s="514"/>
      <c r="Q14" s="190"/>
      <c r="R14" s="9"/>
      <c r="S14" s="9"/>
    </row>
    <row r="15" spans="1:19">
      <c r="A15" s="6">
        <v>605</v>
      </c>
      <c r="B15" s="6">
        <f t="shared" si="4"/>
        <v>6</v>
      </c>
      <c r="C15" s="6">
        <f t="shared" si="0"/>
        <v>605008</v>
      </c>
      <c r="D15" s="6" t="s">
        <v>4</v>
      </c>
      <c r="E15" s="6">
        <v>8</v>
      </c>
      <c r="F15" s="6" t="s">
        <v>3</v>
      </c>
      <c r="G15" s="512">
        <v>0.77679290893999997</v>
      </c>
      <c r="H15" s="9">
        <v>1241</v>
      </c>
      <c r="I15" s="9">
        <v>964</v>
      </c>
      <c r="J15" s="57">
        <f t="shared" si="2"/>
        <v>82.5</v>
      </c>
      <c r="K15" s="57">
        <f t="shared" si="3"/>
        <v>64.085414987549996</v>
      </c>
      <c r="L15" s="57"/>
      <c r="O15" s="514"/>
      <c r="Q15" s="190"/>
      <c r="R15" s="9"/>
      <c r="S15" s="9"/>
    </row>
    <row r="16" spans="1:19">
      <c r="A16" s="6">
        <v>605</v>
      </c>
      <c r="B16" s="6">
        <f t="shared" si="4"/>
        <v>7</v>
      </c>
      <c r="C16" s="6">
        <f t="shared" si="0"/>
        <v>605154</v>
      </c>
      <c r="D16" s="6" t="s">
        <v>4</v>
      </c>
      <c r="E16" s="6">
        <v>154</v>
      </c>
      <c r="F16" s="6" t="s">
        <v>378</v>
      </c>
      <c r="G16" s="512">
        <v>7.9774375499999994E-2</v>
      </c>
      <c r="H16" s="9">
        <v>1241</v>
      </c>
      <c r="I16" s="9">
        <v>99</v>
      </c>
      <c r="J16" s="57">
        <f t="shared" si="2"/>
        <v>82.5</v>
      </c>
      <c r="K16" s="57">
        <f t="shared" si="3"/>
        <v>6.5813859787499993</v>
      </c>
      <c r="L16" s="57"/>
      <c r="O16" s="514"/>
      <c r="Q16" s="190"/>
      <c r="R16" s="9"/>
      <c r="S16" s="9"/>
    </row>
    <row r="17" spans="1:19">
      <c r="A17" s="6">
        <v>605</v>
      </c>
      <c r="B17" s="6">
        <f t="shared" si="4"/>
        <v>8</v>
      </c>
      <c r="C17" s="6">
        <f t="shared" si="0"/>
        <v>605230</v>
      </c>
      <c r="D17" s="6" t="s">
        <v>4</v>
      </c>
      <c r="E17" s="6">
        <v>230</v>
      </c>
      <c r="F17" s="6" t="s">
        <v>481</v>
      </c>
      <c r="G17" s="512">
        <v>5.9629331180000002E-2</v>
      </c>
      <c r="H17" s="9">
        <v>1241</v>
      </c>
      <c r="I17" s="9">
        <v>74</v>
      </c>
      <c r="J17" s="57">
        <f t="shared" si="2"/>
        <v>82.5</v>
      </c>
      <c r="K17" s="57">
        <f t="shared" si="3"/>
        <v>4.9194198223500001</v>
      </c>
      <c r="L17" s="57"/>
      <c r="O17" s="514"/>
      <c r="Q17" s="190"/>
      <c r="R17" s="9"/>
      <c r="S17" s="9"/>
    </row>
    <row r="18" spans="1:19">
      <c r="A18" s="6">
        <v>605</v>
      </c>
      <c r="B18" s="6">
        <f t="shared" si="4"/>
        <v>9</v>
      </c>
      <c r="C18" s="6">
        <f t="shared" si="0"/>
        <v>605272</v>
      </c>
      <c r="D18" s="6" t="s">
        <v>4</v>
      </c>
      <c r="E18" s="6">
        <v>272</v>
      </c>
      <c r="F18" s="6" t="s">
        <v>520</v>
      </c>
      <c r="G18" s="512">
        <v>8.3803384369999998E-2</v>
      </c>
      <c r="H18" s="9">
        <v>1241</v>
      </c>
      <c r="I18" s="9">
        <v>104</v>
      </c>
      <c r="J18" s="57">
        <f t="shared" si="2"/>
        <v>67.72</v>
      </c>
      <c r="K18" s="57">
        <f t="shared" si="3"/>
        <v>5.6751651895363997</v>
      </c>
      <c r="L18" s="57"/>
      <c r="O18" s="514"/>
      <c r="Q18" s="190"/>
      <c r="R18" s="9"/>
      <c r="S18" s="9"/>
    </row>
    <row r="19" spans="1:19">
      <c r="A19" s="6">
        <v>610</v>
      </c>
      <c r="B19" s="6">
        <f t="shared" si="4"/>
        <v>10</v>
      </c>
      <c r="C19" s="6">
        <f t="shared" si="0"/>
        <v>610011</v>
      </c>
      <c r="D19" s="6" t="s">
        <v>9</v>
      </c>
      <c r="E19" s="6">
        <v>11</v>
      </c>
      <c r="F19" s="6" t="s">
        <v>8</v>
      </c>
      <c r="G19" s="512">
        <v>0.43859649123</v>
      </c>
      <c r="H19" s="9">
        <v>2280</v>
      </c>
      <c r="I19" s="9">
        <v>1000</v>
      </c>
      <c r="J19" s="57">
        <f t="shared" si="2"/>
        <v>48.48</v>
      </c>
      <c r="K19" s="57">
        <f t="shared" si="3"/>
        <v>21.2631578948304</v>
      </c>
      <c r="L19" s="57"/>
      <c r="O19" s="514"/>
      <c r="Q19" s="190"/>
      <c r="R19" s="9"/>
      <c r="S19" s="9"/>
    </row>
    <row r="20" spans="1:19">
      <c r="A20" s="6">
        <v>610</v>
      </c>
      <c r="B20" s="6">
        <f t="shared" si="4"/>
        <v>11</v>
      </c>
      <c r="C20" s="6">
        <f t="shared" si="0"/>
        <v>610328</v>
      </c>
      <c r="D20" s="6" t="s">
        <v>9</v>
      </c>
      <c r="E20" s="6">
        <v>328</v>
      </c>
      <c r="F20" s="6" t="s">
        <v>571</v>
      </c>
      <c r="G20" s="512">
        <v>0.56140350877</v>
      </c>
      <c r="H20" s="9">
        <v>2280</v>
      </c>
      <c r="I20" s="9">
        <v>1280</v>
      </c>
      <c r="J20" s="57">
        <f t="shared" si="2"/>
        <v>60.71</v>
      </c>
      <c r="K20" s="57">
        <f t="shared" si="3"/>
        <v>34.082807017426703</v>
      </c>
      <c r="L20" s="57"/>
      <c r="O20" s="514"/>
      <c r="Q20" s="190"/>
      <c r="R20" s="9"/>
      <c r="S20" s="9"/>
    </row>
    <row r="21" spans="1:19">
      <c r="A21" s="6">
        <v>615</v>
      </c>
      <c r="B21" s="6">
        <f t="shared" si="4"/>
        <v>12</v>
      </c>
      <c r="C21" s="6">
        <f t="shared" si="0"/>
        <v>615015</v>
      </c>
      <c r="D21" s="6" t="s">
        <v>18</v>
      </c>
      <c r="E21" s="6">
        <v>15</v>
      </c>
      <c r="F21" s="6" t="s">
        <v>17</v>
      </c>
      <c r="G21" s="512">
        <v>0.93418141593000004</v>
      </c>
      <c r="H21" s="9">
        <v>1808</v>
      </c>
      <c r="I21" s="9">
        <v>1689</v>
      </c>
      <c r="J21" s="57">
        <f t="shared" si="2"/>
        <v>29.06</v>
      </c>
      <c r="K21" s="57">
        <f t="shared" si="3"/>
        <v>27.1473119469258</v>
      </c>
      <c r="L21" s="57"/>
      <c r="O21" s="514"/>
      <c r="Q21" s="190"/>
      <c r="R21" s="9"/>
      <c r="S21" s="9"/>
    </row>
    <row r="22" spans="1:19">
      <c r="A22" s="6">
        <v>615</v>
      </c>
      <c r="B22" s="6">
        <f t="shared" si="4"/>
        <v>13</v>
      </c>
      <c r="C22" s="6">
        <f t="shared" si="0"/>
        <v>615255</v>
      </c>
      <c r="D22" s="6" t="s">
        <v>18</v>
      </c>
      <c r="E22" s="6">
        <v>255</v>
      </c>
      <c r="F22" s="6" t="s">
        <v>504</v>
      </c>
      <c r="G22" s="512">
        <v>6.5818584070000005E-2</v>
      </c>
      <c r="H22" s="9">
        <v>1808</v>
      </c>
      <c r="I22" s="9">
        <v>119</v>
      </c>
      <c r="J22" s="57">
        <f t="shared" si="2"/>
        <v>57.65</v>
      </c>
      <c r="K22" s="57">
        <f t="shared" si="3"/>
        <v>3.7944413716355001</v>
      </c>
      <c r="L22" s="57"/>
      <c r="O22" s="514"/>
      <c r="Q22" s="190"/>
      <c r="R22" s="9"/>
      <c r="S22" s="9"/>
    </row>
    <row r="23" spans="1:19">
      <c r="A23" s="6">
        <v>616</v>
      </c>
      <c r="B23" s="6">
        <f t="shared" si="4"/>
        <v>14</v>
      </c>
      <c r="C23" s="6">
        <f t="shared" si="0"/>
        <v>616019</v>
      </c>
      <c r="D23" s="6" t="s">
        <v>236</v>
      </c>
      <c r="E23" s="6">
        <v>19</v>
      </c>
      <c r="F23" s="6" t="s">
        <v>85</v>
      </c>
      <c r="G23" s="512">
        <v>0.57234915056000002</v>
      </c>
      <c r="H23" s="9">
        <v>1707</v>
      </c>
      <c r="I23" s="9">
        <v>977</v>
      </c>
      <c r="J23" s="57">
        <f t="shared" si="2"/>
        <v>75.8</v>
      </c>
      <c r="K23" s="57">
        <f t="shared" si="3"/>
        <v>43.384065612447998</v>
      </c>
      <c r="L23" s="57"/>
      <c r="O23" s="514"/>
      <c r="Q23" s="190"/>
      <c r="R23" s="9"/>
      <c r="S23" s="9"/>
    </row>
    <row r="24" spans="1:19">
      <c r="A24" s="6">
        <v>616</v>
      </c>
      <c r="B24" s="6">
        <f t="shared" si="4"/>
        <v>15</v>
      </c>
      <c r="C24" s="6">
        <f t="shared" si="0"/>
        <v>616270</v>
      </c>
      <c r="D24" s="6" t="s">
        <v>236</v>
      </c>
      <c r="E24" s="6">
        <v>270</v>
      </c>
      <c r="F24" s="6" t="s">
        <v>2193</v>
      </c>
      <c r="G24" s="512">
        <v>0.42765084943999998</v>
      </c>
      <c r="H24" s="9">
        <v>1707</v>
      </c>
      <c r="I24" s="9">
        <v>730</v>
      </c>
      <c r="J24" s="57">
        <f t="shared" si="2"/>
        <v>63.3</v>
      </c>
      <c r="K24" s="57">
        <f t="shared" si="3"/>
        <v>27.070298769551997</v>
      </c>
      <c r="L24" s="57"/>
      <c r="O24" s="514"/>
      <c r="Q24" s="190"/>
      <c r="R24" s="9"/>
      <c r="S24" s="9"/>
    </row>
    <row r="25" spans="1:19">
      <c r="A25" s="6">
        <v>618</v>
      </c>
      <c r="B25" s="6">
        <f t="shared" si="4"/>
        <v>16</v>
      </c>
      <c r="C25" s="6">
        <f t="shared" si="0"/>
        <v>618113</v>
      </c>
      <c r="D25" s="6" t="s">
        <v>340</v>
      </c>
      <c r="E25" s="6">
        <v>113</v>
      </c>
      <c r="F25" s="6" t="s">
        <v>339</v>
      </c>
      <c r="G25" s="512">
        <v>0.74509803921999995</v>
      </c>
      <c r="H25" s="9">
        <v>969</v>
      </c>
      <c r="I25" s="9">
        <v>722</v>
      </c>
      <c r="J25" s="57">
        <f t="shared" si="2"/>
        <v>82.5</v>
      </c>
      <c r="K25" s="57">
        <f t="shared" si="3"/>
        <v>61.470588235649998</v>
      </c>
      <c r="L25" s="57"/>
      <c r="O25" s="514"/>
      <c r="Q25" s="190"/>
      <c r="R25" s="9"/>
      <c r="S25" s="9"/>
    </row>
    <row r="26" spans="1:19">
      <c r="A26" s="6">
        <v>618</v>
      </c>
      <c r="B26" s="6">
        <f t="shared" si="4"/>
        <v>17</v>
      </c>
      <c r="C26" s="6">
        <f t="shared" si="0"/>
        <v>618283</v>
      </c>
      <c r="D26" s="6" t="s">
        <v>340</v>
      </c>
      <c r="E26" s="6">
        <v>283</v>
      </c>
      <c r="F26" s="6" t="s">
        <v>531</v>
      </c>
      <c r="G26" s="512">
        <v>0.13519091847</v>
      </c>
      <c r="H26" s="9">
        <v>969</v>
      </c>
      <c r="I26" s="9">
        <v>131</v>
      </c>
      <c r="J26" s="57">
        <f t="shared" si="2"/>
        <v>82.5</v>
      </c>
      <c r="K26" s="57">
        <f t="shared" si="3"/>
        <v>11.153250773775</v>
      </c>
      <c r="L26" s="57"/>
      <c r="O26" s="514"/>
      <c r="Q26" s="190"/>
      <c r="R26" s="9"/>
      <c r="S26" s="9"/>
    </row>
    <row r="27" spans="1:19">
      <c r="A27" s="6">
        <v>618</v>
      </c>
      <c r="B27" s="6">
        <f t="shared" si="4"/>
        <v>18</v>
      </c>
      <c r="C27" s="6">
        <f t="shared" si="0"/>
        <v>618333</v>
      </c>
      <c r="D27" s="6" t="s">
        <v>340</v>
      </c>
      <c r="E27" s="6">
        <v>333</v>
      </c>
      <c r="F27" s="6" t="s">
        <v>574</v>
      </c>
      <c r="G27" s="512">
        <v>0.11971104231</v>
      </c>
      <c r="H27" s="9">
        <v>969</v>
      </c>
      <c r="I27" s="9">
        <v>116</v>
      </c>
      <c r="J27" s="57">
        <f t="shared" si="2"/>
        <v>82.5</v>
      </c>
      <c r="K27" s="57">
        <f t="shared" si="3"/>
        <v>9.8761609905750003</v>
      </c>
      <c r="L27" s="57"/>
      <c r="O27" s="514"/>
      <c r="Q27" s="190"/>
      <c r="R27" s="9"/>
      <c r="S27" s="9"/>
    </row>
    <row r="28" spans="1:19">
      <c r="A28" s="6">
        <v>620</v>
      </c>
      <c r="B28" s="6">
        <f t="shared" si="4"/>
        <v>19</v>
      </c>
      <c r="C28" s="6">
        <f t="shared" si="0"/>
        <v>620028</v>
      </c>
      <c r="D28" s="6" t="s">
        <v>41</v>
      </c>
      <c r="E28" s="6">
        <v>28</v>
      </c>
      <c r="F28" s="6" t="s">
        <v>40</v>
      </c>
      <c r="G28" s="512">
        <v>0.39471199244999999</v>
      </c>
      <c r="H28" s="9">
        <v>1059</v>
      </c>
      <c r="I28" s="9">
        <v>418</v>
      </c>
      <c r="J28" s="57">
        <f t="shared" si="2"/>
        <v>82.5</v>
      </c>
      <c r="K28" s="57">
        <f t="shared" si="3"/>
        <v>32.563739377124996</v>
      </c>
      <c r="L28" s="57"/>
      <c r="O28" s="514"/>
      <c r="Q28" s="190"/>
      <c r="R28" s="9"/>
      <c r="S28" s="9"/>
    </row>
    <row r="29" spans="1:19">
      <c r="A29" s="6">
        <v>620</v>
      </c>
      <c r="B29" s="6">
        <f t="shared" si="4"/>
        <v>20</v>
      </c>
      <c r="C29" s="6">
        <f t="shared" si="0"/>
        <v>620039</v>
      </c>
      <c r="D29" s="6" t="s">
        <v>41</v>
      </c>
      <c r="E29" s="6">
        <v>39</v>
      </c>
      <c r="F29" s="6" t="s">
        <v>242</v>
      </c>
      <c r="G29" s="512">
        <v>0.60528800755000001</v>
      </c>
      <c r="H29" s="9">
        <v>1059</v>
      </c>
      <c r="I29" s="9">
        <v>641</v>
      </c>
      <c r="J29" s="57">
        <f t="shared" si="2"/>
        <v>82.5</v>
      </c>
      <c r="K29" s="57">
        <f t="shared" si="3"/>
        <v>49.936260622875004</v>
      </c>
      <c r="L29" s="57"/>
      <c r="O29" s="514"/>
      <c r="Q29" s="190"/>
      <c r="R29" s="9"/>
      <c r="S29" s="9"/>
    </row>
    <row r="30" spans="1:19">
      <c r="A30" s="6">
        <v>622</v>
      </c>
      <c r="B30" s="6">
        <f t="shared" si="4"/>
        <v>21</v>
      </c>
      <c r="C30" s="6">
        <f t="shared" si="0"/>
        <v>622032</v>
      </c>
      <c r="D30" s="6" t="s">
        <v>49</v>
      </c>
      <c r="E30" s="6">
        <v>32</v>
      </c>
      <c r="F30" s="6" t="s">
        <v>48</v>
      </c>
      <c r="G30" s="512">
        <v>0.74769797421999995</v>
      </c>
      <c r="H30" s="9">
        <v>1629</v>
      </c>
      <c r="I30" s="9">
        <v>1218</v>
      </c>
      <c r="J30" s="57">
        <f t="shared" si="2"/>
        <v>55</v>
      </c>
      <c r="K30" s="57">
        <f t="shared" si="3"/>
        <v>41.123388582099999</v>
      </c>
      <c r="L30" s="57"/>
      <c r="O30" s="514"/>
      <c r="Q30" s="190"/>
      <c r="R30" s="9"/>
      <c r="S30" s="9"/>
    </row>
    <row r="31" spans="1:19">
      <c r="A31" s="6">
        <v>622</v>
      </c>
      <c r="B31" s="6">
        <f t="shared" si="4"/>
        <v>22</v>
      </c>
      <c r="C31" s="6">
        <f t="shared" si="0"/>
        <v>622188</v>
      </c>
      <c r="D31" s="6" t="s">
        <v>49</v>
      </c>
      <c r="E31" s="6">
        <v>188</v>
      </c>
      <c r="F31" s="6" t="s">
        <v>430</v>
      </c>
      <c r="G31" s="512">
        <v>0.25230202577999999</v>
      </c>
      <c r="H31" s="9">
        <v>1629</v>
      </c>
      <c r="I31" s="9">
        <v>411</v>
      </c>
      <c r="J31" s="57">
        <f t="shared" si="2"/>
        <v>52.54</v>
      </c>
      <c r="K31" s="57">
        <f t="shared" si="3"/>
        <v>13.2559484344812</v>
      </c>
      <c r="L31" s="57"/>
      <c r="O31" s="514"/>
      <c r="Q31" s="190"/>
      <c r="R31" s="9"/>
      <c r="S31" s="9"/>
    </row>
    <row r="32" spans="1:19">
      <c r="A32" s="6">
        <v>625</v>
      </c>
      <c r="B32" s="6">
        <f t="shared" si="4"/>
        <v>23</v>
      </c>
      <c r="C32" s="6">
        <f t="shared" si="0"/>
        <v>625042</v>
      </c>
      <c r="D32" s="6" t="s">
        <v>247</v>
      </c>
      <c r="E32" s="6">
        <v>42</v>
      </c>
      <c r="F32" s="6" t="s">
        <v>246</v>
      </c>
      <c r="G32" s="512">
        <v>0.61283607978999999</v>
      </c>
      <c r="H32" s="9">
        <v>5765</v>
      </c>
      <c r="I32" s="9">
        <v>3533</v>
      </c>
      <c r="J32" s="57">
        <f t="shared" si="2"/>
        <v>64.05</v>
      </c>
      <c r="K32" s="57">
        <f t="shared" si="3"/>
        <v>39.252150910549496</v>
      </c>
      <c r="L32" s="57"/>
      <c r="O32" s="514"/>
      <c r="Q32" s="190"/>
      <c r="R32" s="9"/>
      <c r="S32" s="9"/>
    </row>
    <row r="33" spans="1:19">
      <c r="A33" s="6">
        <v>625</v>
      </c>
      <c r="B33" s="6">
        <f t="shared" si="4"/>
        <v>24</v>
      </c>
      <c r="C33" s="6">
        <f t="shared" si="0"/>
        <v>625245</v>
      </c>
      <c r="D33" s="6" t="s">
        <v>247</v>
      </c>
      <c r="E33" s="6">
        <v>245</v>
      </c>
      <c r="F33" s="6" t="s">
        <v>496</v>
      </c>
      <c r="G33" s="512">
        <v>0.38716392021000001</v>
      </c>
      <c r="H33" s="9">
        <v>5765</v>
      </c>
      <c r="I33" s="9">
        <v>2232</v>
      </c>
      <c r="J33" s="57">
        <f t="shared" si="2"/>
        <v>64.22</v>
      </c>
      <c r="K33" s="57">
        <f t="shared" si="3"/>
        <v>24.863666955886199</v>
      </c>
      <c r="L33" s="57"/>
      <c r="O33" s="514"/>
      <c r="Q33" s="190"/>
      <c r="R33" s="9"/>
      <c r="S33" s="9"/>
    </row>
    <row r="34" spans="1:19">
      <c r="A34" s="6">
        <v>632</v>
      </c>
      <c r="B34" s="6">
        <f t="shared" si="4"/>
        <v>25</v>
      </c>
      <c r="C34" s="6">
        <f t="shared" si="0"/>
        <v>632060</v>
      </c>
      <c r="D34" s="6" t="s">
        <v>272</v>
      </c>
      <c r="E34" s="6">
        <v>60</v>
      </c>
      <c r="F34" s="6" t="s">
        <v>271</v>
      </c>
      <c r="G34" s="512">
        <v>0.52173913042999998</v>
      </c>
      <c r="H34" s="9">
        <v>115</v>
      </c>
      <c r="I34" s="9">
        <v>60</v>
      </c>
      <c r="J34" s="57">
        <f t="shared" si="2"/>
        <v>81.75</v>
      </c>
      <c r="K34" s="57">
        <f t="shared" si="3"/>
        <v>42.652173912652501</v>
      </c>
      <c r="L34" s="57"/>
      <c r="O34" s="514"/>
      <c r="Q34" s="190"/>
      <c r="R34" s="9"/>
      <c r="S34" s="9"/>
    </row>
    <row r="35" spans="1:19">
      <c r="A35" s="6">
        <v>632</v>
      </c>
      <c r="B35" s="6">
        <f t="shared" si="4"/>
        <v>26</v>
      </c>
      <c r="C35" s="6">
        <f t="shared" si="0"/>
        <v>632108</v>
      </c>
      <c r="D35" s="6" t="s">
        <v>272</v>
      </c>
      <c r="E35" s="6">
        <v>108</v>
      </c>
      <c r="F35" s="6" t="s">
        <v>335</v>
      </c>
      <c r="G35" s="512">
        <v>0.47826086957000002</v>
      </c>
      <c r="H35" s="9">
        <v>115</v>
      </c>
      <c r="I35" s="9">
        <v>55</v>
      </c>
      <c r="J35" s="57">
        <f t="shared" si="2"/>
        <v>69.5</v>
      </c>
      <c r="K35" s="57">
        <f t="shared" si="3"/>
        <v>33.239130435115001</v>
      </c>
      <c r="L35" s="57"/>
      <c r="O35" s="514"/>
      <c r="Q35" s="190"/>
      <c r="R35" s="9"/>
      <c r="S35" s="9"/>
    </row>
    <row r="36" spans="1:19">
      <c r="A36" s="6">
        <v>635</v>
      </c>
      <c r="B36" s="6">
        <f t="shared" si="4"/>
        <v>27</v>
      </c>
      <c r="C36" s="6">
        <f t="shared" si="0"/>
        <v>635022</v>
      </c>
      <c r="D36" s="6" t="s">
        <v>31</v>
      </c>
      <c r="E36" s="6">
        <v>22</v>
      </c>
      <c r="F36" s="6" t="s">
        <v>30</v>
      </c>
      <c r="G36" s="512">
        <v>0.12048969072</v>
      </c>
      <c r="H36" s="9">
        <v>1552</v>
      </c>
      <c r="I36" s="9">
        <v>187</v>
      </c>
      <c r="J36" s="57">
        <f t="shared" si="2"/>
        <v>82.5</v>
      </c>
      <c r="K36" s="57">
        <f t="shared" si="3"/>
        <v>9.9403994844000003</v>
      </c>
      <c r="L36" s="57"/>
      <c r="O36" s="514"/>
      <c r="Q36" s="190"/>
      <c r="R36" s="9"/>
      <c r="S36" s="9"/>
    </row>
    <row r="37" spans="1:19">
      <c r="A37" s="6">
        <v>635</v>
      </c>
      <c r="B37" s="6">
        <f t="shared" si="4"/>
        <v>28</v>
      </c>
      <c r="C37" s="6">
        <f t="shared" si="0"/>
        <v>635069</v>
      </c>
      <c r="D37" s="6" t="s">
        <v>31</v>
      </c>
      <c r="E37" s="6">
        <v>69</v>
      </c>
      <c r="F37" s="6" t="s">
        <v>283</v>
      </c>
      <c r="G37" s="512">
        <v>3.1572164950000002E-2</v>
      </c>
      <c r="H37" s="9">
        <v>1552</v>
      </c>
      <c r="I37" s="9">
        <v>49</v>
      </c>
      <c r="J37" s="57">
        <f t="shared" si="2"/>
        <v>82.5</v>
      </c>
      <c r="K37" s="57">
        <f t="shared" si="3"/>
        <v>2.6047036083750004</v>
      </c>
      <c r="L37" s="57"/>
      <c r="O37" s="514"/>
      <c r="Q37" s="190"/>
      <c r="R37" s="9"/>
      <c r="S37" s="9"/>
    </row>
    <row r="38" spans="1:19">
      <c r="A38" s="6">
        <v>635</v>
      </c>
      <c r="B38" s="6">
        <f t="shared" si="4"/>
        <v>29</v>
      </c>
      <c r="C38" s="6">
        <f t="shared" si="0"/>
        <v>635070</v>
      </c>
      <c r="D38" s="6" t="s">
        <v>31</v>
      </c>
      <c r="E38" s="6">
        <v>70</v>
      </c>
      <c r="F38" s="6" t="s">
        <v>284</v>
      </c>
      <c r="G38" s="512">
        <v>0.58311855670000001</v>
      </c>
      <c r="H38" s="9">
        <v>1552</v>
      </c>
      <c r="I38" s="9">
        <v>905</v>
      </c>
      <c r="J38" s="57">
        <f t="shared" si="2"/>
        <v>47.83</v>
      </c>
      <c r="K38" s="57">
        <f t="shared" si="3"/>
        <v>27.890560566961</v>
      </c>
      <c r="L38" s="57"/>
      <c r="O38" s="514"/>
      <c r="Q38" s="190"/>
      <c r="R38" s="9"/>
      <c r="S38" s="9"/>
    </row>
    <row r="39" spans="1:19">
      <c r="A39" s="6">
        <v>635</v>
      </c>
      <c r="B39" s="6">
        <f t="shared" si="4"/>
        <v>30</v>
      </c>
      <c r="C39" s="6">
        <f t="shared" si="0"/>
        <v>635132</v>
      </c>
      <c r="D39" s="6" t="s">
        <v>31</v>
      </c>
      <c r="E39" s="6">
        <v>132</v>
      </c>
      <c r="F39" s="6" t="s">
        <v>360</v>
      </c>
      <c r="G39" s="512">
        <v>0.12951030928000001</v>
      </c>
      <c r="H39" s="9">
        <v>1552</v>
      </c>
      <c r="I39" s="9">
        <v>201</v>
      </c>
      <c r="J39" s="57">
        <f t="shared" si="2"/>
        <v>82.5</v>
      </c>
      <c r="K39" s="57">
        <f t="shared" si="3"/>
        <v>10.684600515600001</v>
      </c>
      <c r="L39" s="57"/>
      <c r="O39" s="514"/>
      <c r="Q39" s="190"/>
      <c r="R39" s="9"/>
      <c r="S39" s="9"/>
    </row>
    <row r="40" spans="1:19">
      <c r="A40" s="6">
        <v>635</v>
      </c>
      <c r="B40" s="6">
        <f t="shared" si="4"/>
        <v>31</v>
      </c>
      <c r="C40" s="6">
        <f t="shared" si="0"/>
        <v>635233</v>
      </c>
      <c r="D40" s="6" t="s">
        <v>31</v>
      </c>
      <c r="E40" s="6">
        <v>233</v>
      </c>
      <c r="F40" s="6" t="s">
        <v>485</v>
      </c>
      <c r="G40" s="512">
        <v>5.9922680409999998E-2</v>
      </c>
      <c r="H40" s="9">
        <v>1552</v>
      </c>
      <c r="I40" s="9">
        <v>93</v>
      </c>
      <c r="J40" s="57">
        <f t="shared" si="2"/>
        <v>50.52</v>
      </c>
      <c r="K40" s="57">
        <f t="shared" si="3"/>
        <v>3.0272938143132002</v>
      </c>
      <c r="L40" s="57"/>
      <c r="O40" s="514"/>
      <c r="Q40" s="190"/>
      <c r="R40" s="9"/>
      <c r="S40" s="9"/>
    </row>
    <row r="41" spans="1:19">
      <c r="A41" s="6">
        <v>635</v>
      </c>
      <c r="B41" s="6">
        <f t="shared" si="4"/>
        <v>32</v>
      </c>
      <c r="C41" s="6">
        <f t="shared" si="0"/>
        <v>635313</v>
      </c>
      <c r="D41" s="6" t="s">
        <v>31</v>
      </c>
      <c r="E41" s="6">
        <v>313</v>
      </c>
      <c r="F41" s="6" t="s">
        <v>560</v>
      </c>
      <c r="G41" s="512">
        <v>3.8015463919999999E-2</v>
      </c>
      <c r="H41" s="9">
        <v>1552</v>
      </c>
      <c r="I41" s="9">
        <v>59</v>
      </c>
      <c r="J41" s="57">
        <f t="shared" si="2"/>
        <v>65.510000000000005</v>
      </c>
      <c r="K41" s="57">
        <f t="shared" si="3"/>
        <v>2.4903930413992001</v>
      </c>
      <c r="L41" s="57"/>
      <c r="O41" s="514"/>
      <c r="Q41" s="190"/>
      <c r="R41" s="9"/>
      <c r="S41" s="9"/>
    </row>
    <row r="42" spans="1:19">
      <c r="A42" s="6">
        <v>635</v>
      </c>
      <c r="B42" s="6">
        <f t="shared" si="4"/>
        <v>33</v>
      </c>
      <c r="C42" s="6">
        <f t="shared" si="0"/>
        <v>635345</v>
      </c>
      <c r="D42" s="6" t="s">
        <v>31</v>
      </c>
      <c r="E42" s="6">
        <v>345</v>
      </c>
      <c r="F42" s="6" t="s">
        <v>586</v>
      </c>
      <c r="G42" s="512">
        <v>3.7371134020000002E-2</v>
      </c>
      <c r="H42" s="9">
        <v>1552</v>
      </c>
      <c r="I42" s="9">
        <v>58</v>
      </c>
      <c r="J42" s="57">
        <f t="shared" si="2"/>
        <v>82.5</v>
      </c>
      <c r="K42" s="57">
        <f t="shared" si="3"/>
        <v>3.0831185566500001</v>
      </c>
      <c r="L42" s="57"/>
      <c r="O42" s="514"/>
      <c r="Q42" s="190"/>
      <c r="R42" s="9"/>
      <c r="S42" s="9"/>
    </row>
    <row r="43" spans="1:19">
      <c r="A43" s="6">
        <v>640</v>
      </c>
      <c r="B43" s="6">
        <f t="shared" si="4"/>
        <v>34</v>
      </c>
      <c r="C43" s="6">
        <f t="shared" si="0"/>
        <v>640051</v>
      </c>
      <c r="D43" s="6" t="s">
        <v>258</v>
      </c>
      <c r="E43" s="6">
        <v>51</v>
      </c>
      <c r="F43" s="6" t="s">
        <v>257</v>
      </c>
      <c r="G43" s="512">
        <v>0.23603002502000001</v>
      </c>
      <c r="H43" s="9">
        <v>1199</v>
      </c>
      <c r="I43" s="9">
        <v>283</v>
      </c>
      <c r="J43" s="57">
        <f t="shared" si="2"/>
        <v>82.5</v>
      </c>
      <c r="K43" s="57">
        <f t="shared" si="3"/>
        <v>19.472477064150002</v>
      </c>
      <c r="L43" s="57"/>
      <c r="O43" s="514"/>
      <c r="Q43" s="190"/>
      <c r="R43" s="9"/>
      <c r="S43" s="9"/>
    </row>
    <row r="44" spans="1:19">
      <c r="A44" s="6">
        <v>640</v>
      </c>
      <c r="B44" s="6">
        <f t="shared" si="4"/>
        <v>35</v>
      </c>
      <c r="C44" s="6">
        <f t="shared" si="0"/>
        <v>640067</v>
      </c>
      <c r="D44" s="6" t="s">
        <v>258</v>
      </c>
      <c r="E44" s="6">
        <v>67</v>
      </c>
      <c r="F44" s="6" t="s">
        <v>280</v>
      </c>
      <c r="G44" s="512">
        <v>0.76396997497999997</v>
      </c>
      <c r="H44" s="9">
        <v>1199</v>
      </c>
      <c r="I44" s="9">
        <v>916</v>
      </c>
      <c r="J44" s="57">
        <f t="shared" si="2"/>
        <v>82.5</v>
      </c>
      <c r="K44" s="57">
        <f t="shared" si="3"/>
        <v>63.027522935849994</v>
      </c>
      <c r="L44" s="57"/>
      <c r="O44" s="514"/>
      <c r="Q44" s="190"/>
      <c r="R44" s="9"/>
      <c r="S44" s="9"/>
    </row>
    <row r="45" spans="1:19">
      <c r="A45" s="6">
        <v>645</v>
      </c>
      <c r="B45" s="6">
        <f t="shared" si="4"/>
        <v>36</v>
      </c>
      <c r="C45" s="6">
        <f t="shared" si="0"/>
        <v>645075</v>
      </c>
      <c r="D45" s="6" t="s">
        <v>295</v>
      </c>
      <c r="E45" s="6">
        <v>75</v>
      </c>
      <c r="F45" s="6" t="s">
        <v>294</v>
      </c>
      <c r="G45" s="512">
        <v>0.30142381096999998</v>
      </c>
      <c r="H45" s="9">
        <v>3301</v>
      </c>
      <c r="I45" s="9">
        <v>995</v>
      </c>
      <c r="J45" s="57">
        <f t="shared" si="2"/>
        <v>82.5</v>
      </c>
      <c r="K45" s="57">
        <f t="shared" si="3"/>
        <v>24.867464405025</v>
      </c>
      <c r="L45" s="57"/>
      <c r="O45" s="514"/>
      <c r="Q45" s="190"/>
      <c r="R45" s="9"/>
      <c r="S45" s="9"/>
    </row>
    <row r="46" spans="1:19">
      <c r="A46" s="6">
        <v>645</v>
      </c>
      <c r="B46" s="6">
        <f t="shared" si="4"/>
        <v>37</v>
      </c>
      <c r="C46" s="6">
        <f t="shared" si="0"/>
        <v>645351</v>
      </c>
      <c r="D46" s="6" t="s">
        <v>295</v>
      </c>
      <c r="E46" s="6">
        <v>351</v>
      </c>
      <c r="F46" s="6" t="s">
        <v>590</v>
      </c>
      <c r="G46" s="512">
        <v>0.69857618902999996</v>
      </c>
      <c r="H46" s="9">
        <v>3301</v>
      </c>
      <c r="I46" s="9">
        <v>2306</v>
      </c>
      <c r="J46" s="57">
        <f t="shared" si="2"/>
        <v>82.5</v>
      </c>
      <c r="K46" s="57">
        <f t="shared" si="3"/>
        <v>57.632535594974996</v>
      </c>
      <c r="L46" s="57"/>
      <c r="O46" s="514"/>
      <c r="Q46" s="190"/>
      <c r="R46" s="9"/>
      <c r="S46" s="9"/>
    </row>
    <row r="47" spans="1:19">
      <c r="A47" s="6">
        <v>650</v>
      </c>
      <c r="B47" s="6">
        <f t="shared" si="4"/>
        <v>38</v>
      </c>
      <c r="C47" s="6">
        <f t="shared" si="0"/>
        <v>650076</v>
      </c>
      <c r="D47" s="6" t="s">
        <v>297</v>
      </c>
      <c r="E47" s="6">
        <v>76</v>
      </c>
      <c r="F47" s="6" t="s">
        <v>296</v>
      </c>
      <c r="G47" s="512">
        <v>0.43911719938999999</v>
      </c>
      <c r="H47" s="9">
        <v>2628</v>
      </c>
      <c r="I47" s="9">
        <v>1154</v>
      </c>
      <c r="J47" s="57">
        <f t="shared" si="2"/>
        <v>56.12</v>
      </c>
      <c r="K47" s="57">
        <f t="shared" si="3"/>
        <v>24.6432572297668</v>
      </c>
      <c r="L47" s="57"/>
      <c r="O47" s="514"/>
      <c r="Q47" s="190"/>
      <c r="R47" s="9"/>
      <c r="S47" s="9"/>
    </row>
    <row r="48" spans="1:19">
      <c r="A48" s="6">
        <v>650</v>
      </c>
      <c r="B48" s="6">
        <f t="shared" si="4"/>
        <v>39</v>
      </c>
      <c r="C48" s="6">
        <f t="shared" si="0"/>
        <v>650247</v>
      </c>
      <c r="D48" s="6" t="s">
        <v>297</v>
      </c>
      <c r="E48" s="6">
        <v>247</v>
      </c>
      <c r="F48" s="6" t="s">
        <v>498</v>
      </c>
      <c r="G48" s="512">
        <v>0.56088280060999995</v>
      </c>
      <c r="H48" s="9">
        <v>2628</v>
      </c>
      <c r="I48" s="9">
        <v>1474</v>
      </c>
      <c r="J48" s="57">
        <f t="shared" si="2"/>
        <v>82.5</v>
      </c>
      <c r="K48" s="57">
        <f t="shared" si="3"/>
        <v>46.272831050324996</v>
      </c>
      <c r="L48" s="57"/>
      <c r="O48" s="514"/>
      <c r="Q48" s="190"/>
      <c r="R48" s="9"/>
      <c r="S48" s="9"/>
    </row>
    <row r="49" spans="1:19">
      <c r="A49" s="6">
        <v>655</v>
      </c>
      <c r="B49" s="6">
        <f t="shared" si="4"/>
        <v>40</v>
      </c>
      <c r="C49" s="6">
        <f t="shared" si="0"/>
        <v>655078</v>
      </c>
      <c r="D49" s="6" t="s">
        <v>300</v>
      </c>
      <c r="E49" s="6">
        <v>78</v>
      </c>
      <c r="F49" s="6" t="s">
        <v>299</v>
      </c>
      <c r="G49" s="512">
        <v>0.53428317008000004</v>
      </c>
      <c r="H49" s="9">
        <v>1123</v>
      </c>
      <c r="I49" s="9">
        <v>600</v>
      </c>
      <c r="J49" s="57">
        <f t="shared" si="2"/>
        <v>82.5</v>
      </c>
      <c r="K49" s="57">
        <f t="shared" si="3"/>
        <v>44.078361531600002</v>
      </c>
      <c r="L49" s="57"/>
      <c r="O49" s="514"/>
      <c r="Q49" s="190"/>
      <c r="R49" s="9"/>
      <c r="S49" s="9"/>
    </row>
    <row r="50" spans="1:19">
      <c r="A50" s="6">
        <v>655</v>
      </c>
      <c r="B50" s="6">
        <f t="shared" si="4"/>
        <v>41</v>
      </c>
      <c r="C50" s="6">
        <f t="shared" si="0"/>
        <v>655269</v>
      </c>
      <c r="D50" s="6" t="s">
        <v>300</v>
      </c>
      <c r="E50" s="6">
        <v>269</v>
      </c>
      <c r="F50" s="6" t="s">
        <v>518</v>
      </c>
      <c r="G50" s="512">
        <v>0.46571682992000002</v>
      </c>
      <c r="H50" s="9">
        <v>1123</v>
      </c>
      <c r="I50" s="9">
        <v>523</v>
      </c>
      <c r="J50" s="57">
        <f t="shared" si="2"/>
        <v>82.5</v>
      </c>
      <c r="K50" s="57">
        <f t="shared" si="3"/>
        <v>38.421638468400005</v>
      </c>
      <c r="L50" s="57"/>
      <c r="O50" s="514"/>
      <c r="Q50" s="190"/>
      <c r="R50" s="9"/>
      <c r="S50" s="9"/>
    </row>
    <row r="51" spans="1:19">
      <c r="A51" s="6">
        <v>658</v>
      </c>
      <c r="B51" s="6">
        <f t="shared" si="4"/>
        <v>42</v>
      </c>
      <c r="C51" s="6">
        <f t="shared" si="0"/>
        <v>658054</v>
      </c>
      <c r="D51" s="6" t="s">
        <v>263</v>
      </c>
      <c r="E51" s="6">
        <v>54</v>
      </c>
      <c r="F51" s="6" t="s">
        <v>262</v>
      </c>
      <c r="G51" s="512">
        <v>0.53463855421999995</v>
      </c>
      <c r="H51" s="9">
        <v>3320</v>
      </c>
      <c r="I51" s="9">
        <v>1775</v>
      </c>
      <c r="J51" s="57">
        <f t="shared" si="2"/>
        <v>61</v>
      </c>
      <c r="K51" s="57">
        <f t="shared" si="3"/>
        <v>32.612951807419996</v>
      </c>
      <c r="L51" s="57"/>
      <c r="O51" s="514"/>
      <c r="Q51" s="190"/>
      <c r="R51" s="9"/>
      <c r="S51" s="9"/>
    </row>
    <row r="52" spans="1:19">
      <c r="A52" s="6">
        <v>658</v>
      </c>
      <c r="B52" s="6">
        <f t="shared" si="4"/>
        <v>43</v>
      </c>
      <c r="C52" s="6">
        <f t="shared" si="0"/>
        <v>658080</v>
      </c>
      <c r="D52" s="6" t="s">
        <v>263</v>
      </c>
      <c r="E52" s="6">
        <v>80</v>
      </c>
      <c r="F52" s="6" t="s">
        <v>304</v>
      </c>
      <c r="G52" s="512">
        <v>0.46536144577999999</v>
      </c>
      <c r="H52" s="9">
        <v>3320</v>
      </c>
      <c r="I52" s="9">
        <v>1545</v>
      </c>
      <c r="J52" s="57">
        <f t="shared" si="2"/>
        <v>44.69</v>
      </c>
      <c r="K52" s="57">
        <f t="shared" si="3"/>
        <v>20.797003011908199</v>
      </c>
      <c r="L52" s="57"/>
      <c r="O52" s="514"/>
      <c r="Q52" s="190"/>
      <c r="R52" s="9"/>
      <c r="S52" s="9"/>
    </row>
    <row r="53" spans="1:19">
      <c r="A53" s="6">
        <v>660</v>
      </c>
      <c r="B53" s="6">
        <f t="shared" si="4"/>
        <v>44</v>
      </c>
      <c r="C53" s="6">
        <f t="shared" si="0"/>
        <v>660041</v>
      </c>
      <c r="D53" s="6" t="s">
        <v>245</v>
      </c>
      <c r="E53" s="6">
        <v>41</v>
      </c>
      <c r="F53" s="6" t="s">
        <v>244</v>
      </c>
      <c r="G53" s="512">
        <v>0.46068376068</v>
      </c>
      <c r="H53" s="9">
        <v>1170</v>
      </c>
      <c r="I53" s="9">
        <v>539</v>
      </c>
      <c r="J53" s="57">
        <f t="shared" si="2"/>
        <v>82.5</v>
      </c>
      <c r="K53" s="57">
        <f t="shared" si="3"/>
        <v>38.006410256099997</v>
      </c>
      <c r="L53" s="57"/>
      <c r="O53" s="514"/>
      <c r="Q53" s="190"/>
      <c r="R53" s="9"/>
      <c r="S53" s="9"/>
    </row>
    <row r="54" spans="1:19">
      <c r="A54" s="6">
        <v>660</v>
      </c>
      <c r="B54" s="6">
        <f t="shared" si="4"/>
        <v>45</v>
      </c>
      <c r="C54" s="6">
        <f t="shared" si="0"/>
        <v>660085</v>
      </c>
      <c r="D54" s="6" t="s">
        <v>245</v>
      </c>
      <c r="E54" s="6">
        <v>85</v>
      </c>
      <c r="F54" s="6" t="s">
        <v>310</v>
      </c>
      <c r="G54" s="512">
        <v>0.20683760683999999</v>
      </c>
      <c r="H54" s="9">
        <v>1170</v>
      </c>
      <c r="I54" s="9">
        <v>242</v>
      </c>
      <c r="J54" s="57">
        <f t="shared" si="2"/>
        <v>82.5</v>
      </c>
      <c r="K54" s="57">
        <f t="shared" si="3"/>
        <v>17.064102564300001</v>
      </c>
      <c r="L54" s="57"/>
      <c r="O54" s="514"/>
      <c r="Q54" s="190"/>
      <c r="R54" s="9"/>
      <c r="S54" s="9"/>
    </row>
    <row r="55" spans="1:19">
      <c r="A55" s="6">
        <v>660</v>
      </c>
      <c r="B55" s="6">
        <f t="shared" si="4"/>
        <v>46</v>
      </c>
      <c r="C55" s="6">
        <f t="shared" si="0"/>
        <v>660224</v>
      </c>
      <c r="D55" s="6" t="s">
        <v>245</v>
      </c>
      <c r="E55" s="6">
        <v>224</v>
      </c>
      <c r="F55" s="6" t="s">
        <v>472</v>
      </c>
      <c r="G55" s="512">
        <v>0.22051282051000001</v>
      </c>
      <c r="H55" s="9">
        <v>1170</v>
      </c>
      <c r="I55" s="9">
        <v>258</v>
      </c>
      <c r="J55" s="57">
        <f t="shared" si="2"/>
        <v>82.5</v>
      </c>
      <c r="K55" s="57">
        <f t="shared" si="3"/>
        <v>18.192307692075001</v>
      </c>
      <c r="L55" s="57"/>
      <c r="O55" s="514"/>
      <c r="Q55" s="190"/>
      <c r="R55" s="9"/>
      <c r="S55" s="9"/>
    </row>
    <row r="56" spans="1:19">
      <c r="A56" s="6">
        <v>660</v>
      </c>
      <c r="B56" s="6">
        <f t="shared" si="4"/>
        <v>47</v>
      </c>
      <c r="C56" s="6">
        <f t="shared" si="0"/>
        <v>660318</v>
      </c>
      <c r="D56" s="6" t="s">
        <v>245</v>
      </c>
      <c r="E56" s="6">
        <v>318</v>
      </c>
      <c r="F56" s="6" t="s">
        <v>563</v>
      </c>
      <c r="G56" s="512">
        <v>0.11196581197</v>
      </c>
      <c r="H56" s="9">
        <v>1170</v>
      </c>
      <c r="I56" s="9">
        <v>131</v>
      </c>
      <c r="J56" s="57">
        <f t="shared" si="2"/>
        <v>82.5</v>
      </c>
      <c r="K56" s="57">
        <f t="shared" si="3"/>
        <v>9.2371794875249993</v>
      </c>
      <c r="L56" s="57"/>
      <c r="O56" s="514"/>
      <c r="Q56" s="190"/>
      <c r="R56" s="9"/>
      <c r="S56" s="9"/>
    </row>
    <row r="57" spans="1:19">
      <c r="A57" s="6">
        <v>662</v>
      </c>
      <c r="B57" s="6">
        <f t="shared" si="4"/>
        <v>48</v>
      </c>
      <c r="C57" s="6">
        <f t="shared" si="0"/>
        <v>662225</v>
      </c>
      <c r="D57" s="6" t="s">
        <v>475</v>
      </c>
      <c r="E57" s="6">
        <v>225</v>
      </c>
      <c r="F57" s="6" t="s">
        <v>474</v>
      </c>
      <c r="G57" s="512">
        <v>0.57692307692</v>
      </c>
      <c r="H57" s="9">
        <v>234</v>
      </c>
      <c r="I57" s="9">
        <v>135</v>
      </c>
      <c r="J57" s="57">
        <f t="shared" si="2"/>
        <v>82.5</v>
      </c>
      <c r="K57" s="57">
        <f t="shared" si="3"/>
        <v>47.596153845899998</v>
      </c>
      <c r="L57" s="57"/>
      <c r="O57" s="514"/>
      <c r="Q57" s="190"/>
      <c r="R57" s="9"/>
      <c r="S57" s="9"/>
    </row>
    <row r="58" spans="1:19">
      <c r="A58" s="6">
        <v>662</v>
      </c>
      <c r="B58" s="6">
        <f t="shared" si="4"/>
        <v>49</v>
      </c>
      <c r="C58" s="6">
        <f t="shared" si="0"/>
        <v>662260</v>
      </c>
      <c r="D58" s="6" t="s">
        <v>475</v>
      </c>
      <c r="E58" s="6">
        <v>260</v>
      </c>
      <c r="F58" s="6" t="s">
        <v>509</v>
      </c>
      <c r="G58" s="512">
        <v>0.42307692308</v>
      </c>
      <c r="H58" s="9">
        <v>234</v>
      </c>
      <c r="I58" s="9">
        <v>99</v>
      </c>
      <c r="J58" s="57">
        <f t="shared" si="2"/>
        <v>82.5</v>
      </c>
      <c r="K58" s="57">
        <f t="shared" si="3"/>
        <v>34.903846154100002</v>
      </c>
      <c r="L58" s="57"/>
      <c r="O58" s="514"/>
      <c r="Q58" s="190"/>
      <c r="R58" s="9"/>
      <c r="S58" s="9"/>
    </row>
    <row r="59" spans="1:19">
      <c r="A59" s="6">
        <v>665</v>
      </c>
      <c r="B59" s="6">
        <f t="shared" si="4"/>
        <v>50</v>
      </c>
      <c r="C59" s="6">
        <f t="shared" si="0"/>
        <v>665102</v>
      </c>
      <c r="D59" s="6" t="s">
        <v>328</v>
      </c>
      <c r="E59" s="6">
        <v>102</v>
      </c>
      <c r="F59" s="6" t="s">
        <v>327</v>
      </c>
      <c r="G59" s="512">
        <v>0.42836257309999998</v>
      </c>
      <c r="H59" s="9">
        <v>2736</v>
      </c>
      <c r="I59" s="9">
        <v>1172</v>
      </c>
      <c r="J59" s="57">
        <f t="shared" si="2"/>
        <v>78.680000000000007</v>
      </c>
      <c r="K59" s="57">
        <f t="shared" si="3"/>
        <v>33.703567251507998</v>
      </c>
      <c r="L59" s="57"/>
      <c r="O59" s="514"/>
      <c r="Q59" s="190"/>
      <c r="R59" s="9"/>
      <c r="S59" s="9"/>
    </row>
    <row r="60" spans="1:19">
      <c r="A60" s="6">
        <v>665</v>
      </c>
      <c r="B60" s="6">
        <f t="shared" si="4"/>
        <v>51</v>
      </c>
      <c r="C60" s="6">
        <f t="shared" si="0"/>
        <v>665146</v>
      </c>
      <c r="D60" s="6" t="s">
        <v>328</v>
      </c>
      <c r="E60" s="6">
        <v>146</v>
      </c>
      <c r="F60" s="6" t="s">
        <v>373</v>
      </c>
      <c r="G60" s="512">
        <v>0.57163742689999997</v>
      </c>
      <c r="H60" s="9">
        <v>2736</v>
      </c>
      <c r="I60" s="9">
        <v>1564</v>
      </c>
      <c r="J60" s="57">
        <f t="shared" si="2"/>
        <v>76.849999999999994</v>
      </c>
      <c r="K60" s="57">
        <f t="shared" si="3"/>
        <v>43.930336257264997</v>
      </c>
      <c r="L60" s="57"/>
      <c r="O60" s="514"/>
      <c r="Q60" s="190"/>
      <c r="R60" s="9"/>
      <c r="S60" s="9"/>
    </row>
    <row r="61" spans="1:19">
      <c r="A61" s="6">
        <v>670</v>
      </c>
      <c r="B61" s="6">
        <f t="shared" si="4"/>
        <v>52</v>
      </c>
      <c r="C61" s="6">
        <f t="shared" si="0"/>
        <v>670068</v>
      </c>
      <c r="D61" s="6" t="s">
        <v>282</v>
      </c>
      <c r="E61" s="6">
        <v>68</v>
      </c>
      <c r="F61" s="6" t="s">
        <v>281</v>
      </c>
      <c r="G61" s="512">
        <v>0.18029350105</v>
      </c>
      <c r="H61" s="9">
        <v>477</v>
      </c>
      <c r="I61" s="9">
        <v>86</v>
      </c>
      <c r="J61" s="57">
        <f t="shared" si="2"/>
        <v>82.5</v>
      </c>
      <c r="K61" s="57">
        <f t="shared" si="3"/>
        <v>14.874213836625</v>
      </c>
      <c r="L61" s="57"/>
      <c r="O61" s="514"/>
      <c r="Q61" s="190"/>
      <c r="R61" s="9"/>
      <c r="S61" s="9"/>
    </row>
    <row r="62" spans="1:19">
      <c r="A62" s="6">
        <v>670</v>
      </c>
      <c r="B62" s="6">
        <f t="shared" si="4"/>
        <v>53</v>
      </c>
      <c r="C62" s="6">
        <f t="shared" si="0"/>
        <v>670074</v>
      </c>
      <c r="D62" s="6" t="s">
        <v>282</v>
      </c>
      <c r="E62" s="6">
        <v>74</v>
      </c>
      <c r="F62" s="6" t="s">
        <v>293</v>
      </c>
      <c r="G62" s="512">
        <v>0.45283018868000002</v>
      </c>
      <c r="H62" s="9">
        <v>477</v>
      </c>
      <c r="I62" s="9">
        <v>216</v>
      </c>
      <c r="J62" s="57">
        <f t="shared" si="2"/>
        <v>82.5</v>
      </c>
      <c r="K62" s="57">
        <f t="shared" si="3"/>
        <v>37.358490566100002</v>
      </c>
      <c r="L62" s="57"/>
      <c r="O62" s="514"/>
      <c r="Q62" s="190"/>
      <c r="R62" s="9"/>
      <c r="S62" s="9"/>
    </row>
    <row r="63" spans="1:19">
      <c r="A63" s="6">
        <v>670</v>
      </c>
      <c r="B63" s="6">
        <f t="shared" si="4"/>
        <v>54</v>
      </c>
      <c r="C63" s="6">
        <f t="shared" si="0"/>
        <v>670289</v>
      </c>
      <c r="D63" s="6" t="s">
        <v>282</v>
      </c>
      <c r="E63" s="6">
        <v>289</v>
      </c>
      <c r="F63" s="6" t="s">
        <v>537</v>
      </c>
      <c r="G63" s="512">
        <v>0.25576519916000001</v>
      </c>
      <c r="H63" s="9">
        <v>477</v>
      </c>
      <c r="I63" s="9">
        <v>122</v>
      </c>
      <c r="J63" s="57">
        <f t="shared" si="2"/>
        <v>82.5</v>
      </c>
      <c r="K63" s="57">
        <f t="shared" si="3"/>
        <v>21.100628930700001</v>
      </c>
      <c r="L63" s="57"/>
      <c r="O63" s="514"/>
      <c r="Q63" s="190"/>
      <c r="R63" s="9"/>
      <c r="S63" s="9"/>
    </row>
    <row r="64" spans="1:19">
      <c r="A64" s="6">
        <v>670</v>
      </c>
      <c r="B64" s="6">
        <f t="shared" si="4"/>
        <v>55</v>
      </c>
      <c r="C64" s="6">
        <f t="shared" si="0"/>
        <v>670337</v>
      </c>
      <c r="D64" s="6" t="s">
        <v>282</v>
      </c>
      <c r="E64" s="6">
        <v>337</v>
      </c>
      <c r="F64" s="6" t="s">
        <v>578</v>
      </c>
      <c r="G64" s="512">
        <v>0.11111111110999999</v>
      </c>
      <c r="H64" s="9">
        <v>477</v>
      </c>
      <c r="I64" s="9">
        <v>53</v>
      </c>
      <c r="J64" s="57">
        <f t="shared" si="2"/>
        <v>82.5</v>
      </c>
      <c r="K64" s="57">
        <f t="shared" si="3"/>
        <v>9.166666666574999</v>
      </c>
      <c r="L64" s="57"/>
      <c r="O64" s="514"/>
      <c r="Q64" s="190"/>
      <c r="R64" s="9"/>
      <c r="S64" s="9"/>
    </row>
    <row r="65" spans="1:19">
      <c r="A65" s="6">
        <v>672</v>
      </c>
      <c r="B65" s="6">
        <f t="shared" si="4"/>
        <v>56</v>
      </c>
      <c r="C65" s="6">
        <f t="shared" si="0"/>
        <v>672033</v>
      </c>
      <c r="D65" s="6" t="s">
        <v>55</v>
      </c>
      <c r="E65" s="6">
        <v>33</v>
      </c>
      <c r="F65" s="6" t="s">
        <v>54</v>
      </c>
      <c r="G65" s="512">
        <v>0.12049689441</v>
      </c>
      <c r="H65" s="9">
        <v>805</v>
      </c>
      <c r="I65" s="9">
        <v>97</v>
      </c>
      <c r="J65" s="57">
        <f t="shared" si="2"/>
        <v>82.5</v>
      </c>
      <c r="K65" s="57">
        <f t="shared" si="3"/>
        <v>9.9409937888250006</v>
      </c>
      <c r="L65" s="57"/>
      <c r="O65" s="514"/>
      <c r="Q65" s="190"/>
      <c r="R65" s="9"/>
      <c r="S65" s="9"/>
    </row>
    <row r="66" spans="1:19">
      <c r="A66" s="6">
        <v>672</v>
      </c>
      <c r="B66" s="6">
        <f t="shared" si="4"/>
        <v>57</v>
      </c>
      <c r="C66" s="6">
        <f t="shared" si="0"/>
        <v>672059</v>
      </c>
      <c r="D66" s="6" t="s">
        <v>55</v>
      </c>
      <c r="E66" s="6">
        <v>59</v>
      </c>
      <c r="F66" s="6" t="s">
        <v>270</v>
      </c>
      <c r="G66" s="512">
        <v>0.15403726708000001</v>
      </c>
      <c r="H66" s="9">
        <v>805</v>
      </c>
      <c r="I66" s="9">
        <v>124</v>
      </c>
      <c r="J66" s="57">
        <f t="shared" si="2"/>
        <v>56.38</v>
      </c>
      <c r="K66" s="57">
        <f t="shared" si="3"/>
        <v>8.6846211179704014</v>
      </c>
      <c r="L66" s="57"/>
      <c r="O66" s="514"/>
      <c r="Q66" s="190"/>
      <c r="R66" s="9"/>
      <c r="S66" s="9"/>
    </row>
    <row r="67" spans="1:19">
      <c r="A67" s="6">
        <v>672</v>
      </c>
      <c r="B67" s="6">
        <f t="shared" si="4"/>
        <v>58</v>
      </c>
      <c r="C67" s="6">
        <f t="shared" si="0"/>
        <v>672143</v>
      </c>
      <c r="D67" s="6" t="s">
        <v>55</v>
      </c>
      <c r="E67" s="6">
        <v>143</v>
      </c>
      <c r="F67" s="6" t="s">
        <v>370</v>
      </c>
      <c r="G67" s="512">
        <v>0.34285714286000002</v>
      </c>
      <c r="H67" s="9">
        <v>805</v>
      </c>
      <c r="I67" s="9">
        <v>276</v>
      </c>
      <c r="J67" s="57">
        <f t="shared" si="2"/>
        <v>42.82</v>
      </c>
      <c r="K67" s="57">
        <f t="shared" si="3"/>
        <v>14.681142857265201</v>
      </c>
      <c r="L67" s="57"/>
      <c r="O67" s="514"/>
      <c r="Q67" s="190"/>
      <c r="R67" s="9"/>
      <c r="S67" s="9"/>
    </row>
    <row r="68" spans="1:19">
      <c r="A68" s="6">
        <v>672</v>
      </c>
      <c r="B68" s="6">
        <f t="shared" si="4"/>
        <v>59</v>
      </c>
      <c r="C68" s="6">
        <f t="shared" si="0"/>
        <v>672183</v>
      </c>
      <c r="D68" s="6" t="s">
        <v>55</v>
      </c>
      <c r="E68" s="6">
        <v>183</v>
      </c>
      <c r="F68" s="6" t="s">
        <v>425</v>
      </c>
      <c r="G68" s="512">
        <v>3.2298136650000003E-2</v>
      </c>
      <c r="H68" s="9">
        <v>805</v>
      </c>
      <c r="I68" s="9">
        <v>26</v>
      </c>
      <c r="J68" s="57">
        <f t="shared" si="2"/>
        <v>82.5</v>
      </c>
      <c r="K68" s="57">
        <f t="shared" si="3"/>
        <v>2.6645962736250004</v>
      </c>
      <c r="L68" s="57"/>
      <c r="O68" s="514"/>
      <c r="Q68" s="190"/>
      <c r="R68" s="9"/>
      <c r="S68" s="9"/>
    </row>
    <row r="69" spans="1:19">
      <c r="A69" s="6">
        <v>672</v>
      </c>
      <c r="B69" s="6">
        <f t="shared" si="4"/>
        <v>60</v>
      </c>
      <c r="C69" s="6">
        <f t="shared" si="0"/>
        <v>672194</v>
      </c>
      <c r="D69" s="6" t="s">
        <v>55</v>
      </c>
      <c r="E69" s="6">
        <v>194</v>
      </c>
      <c r="F69" s="6" t="s">
        <v>436</v>
      </c>
      <c r="G69" s="512">
        <v>8.3229813659999999E-2</v>
      </c>
      <c r="H69" s="9">
        <v>805</v>
      </c>
      <c r="I69" s="9">
        <v>67</v>
      </c>
      <c r="J69" s="57">
        <f t="shared" si="2"/>
        <v>82.5</v>
      </c>
      <c r="K69" s="57">
        <f t="shared" si="3"/>
        <v>6.8664596269500002</v>
      </c>
      <c r="L69" s="57"/>
      <c r="O69" s="514"/>
      <c r="Q69" s="190"/>
      <c r="R69" s="9"/>
      <c r="S69" s="9"/>
    </row>
    <row r="70" spans="1:19">
      <c r="A70" s="6">
        <v>672</v>
      </c>
      <c r="B70" s="6">
        <f t="shared" si="4"/>
        <v>61</v>
      </c>
      <c r="C70" s="6">
        <f t="shared" si="0"/>
        <v>672256</v>
      </c>
      <c r="D70" s="6" t="s">
        <v>55</v>
      </c>
      <c r="E70" s="6">
        <v>256</v>
      </c>
      <c r="F70" s="6" t="s">
        <v>505</v>
      </c>
      <c r="G70" s="512">
        <v>0.26708074533999998</v>
      </c>
      <c r="H70" s="9">
        <v>805</v>
      </c>
      <c r="I70" s="9">
        <v>215</v>
      </c>
      <c r="J70" s="57">
        <f t="shared" si="2"/>
        <v>45.73</v>
      </c>
      <c r="K70" s="57">
        <f t="shared" si="3"/>
        <v>12.213602484398198</v>
      </c>
      <c r="L70" s="57"/>
      <c r="O70" s="514"/>
      <c r="Q70" s="190"/>
      <c r="R70" s="9"/>
      <c r="S70" s="9"/>
    </row>
    <row r="71" spans="1:19">
      <c r="A71" s="6">
        <v>673</v>
      </c>
      <c r="B71" s="6">
        <f t="shared" si="4"/>
        <v>62</v>
      </c>
      <c r="C71" s="6">
        <f t="shared" si="0"/>
        <v>673081</v>
      </c>
      <c r="D71" s="6" t="s">
        <v>306</v>
      </c>
      <c r="E71" s="6">
        <v>81</v>
      </c>
      <c r="F71" s="6" t="s">
        <v>305</v>
      </c>
      <c r="G71" s="512">
        <v>0.23630875376999999</v>
      </c>
      <c r="H71" s="9">
        <v>2319</v>
      </c>
      <c r="I71" s="9">
        <v>548</v>
      </c>
      <c r="J71" s="57">
        <f t="shared" si="2"/>
        <v>82.5</v>
      </c>
      <c r="K71" s="57">
        <f t="shared" si="3"/>
        <v>19.495472186024998</v>
      </c>
      <c r="L71" s="57"/>
      <c r="O71" s="514"/>
      <c r="Q71" s="190"/>
      <c r="R71" s="9"/>
      <c r="S71" s="9"/>
    </row>
    <row r="72" spans="1:19">
      <c r="A72" s="6">
        <v>673</v>
      </c>
      <c r="B72" s="6">
        <f t="shared" si="4"/>
        <v>63</v>
      </c>
      <c r="C72" s="6">
        <f t="shared" si="0"/>
        <v>673115</v>
      </c>
      <c r="D72" s="6" t="s">
        <v>306</v>
      </c>
      <c r="E72" s="6">
        <v>115</v>
      </c>
      <c r="F72" s="6" t="s">
        <v>342</v>
      </c>
      <c r="G72" s="512">
        <v>0.76369124622999995</v>
      </c>
      <c r="H72" s="9">
        <v>2319</v>
      </c>
      <c r="I72" s="9">
        <v>1771</v>
      </c>
      <c r="J72" s="57">
        <f t="shared" si="2"/>
        <v>82.5</v>
      </c>
      <c r="K72" s="57">
        <f t="shared" si="3"/>
        <v>63.004527813974995</v>
      </c>
      <c r="L72" s="57"/>
      <c r="O72" s="514"/>
      <c r="Q72" s="190"/>
      <c r="R72" s="9"/>
      <c r="S72" s="9"/>
    </row>
    <row r="73" spans="1:19">
      <c r="A73" s="6">
        <v>674</v>
      </c>
      <c r="B73" s="6">
        <f t="shared" si="4"/>
        <v>64</v>
      </c>
      <c r="C73" s="6">
        <f t="shared" si="0"/>
        <v>674106</v>
      </c>
      <c r="D73" s="6" t="s">
        <v>333</v>
      </c>
      <c r="E73" s="6">
        <v>106</v>
      </c>
      <c r="F73" s="6" t="s">
        <v>332</v>
      </c>
      <c r="G73" s="512">
        <v>0.1065830721</v>
      </c>
      <c r="H73" s="9">
        <v>957</v>
      </c>
      <c r="I73" s="9">
        <v>102</v>
      </c>
      <c r="J73" s="57">
        <f t="shared" si="2"/>
        <v>70.84</v>
      </c>
      <c r="K73" s="57">
        <f t="shared" si="3"/>
        <v>7.5503448275640004</v>
      </c>
      <c r="L73" s="57"/>
      <c r="O73" s="514"/>
      <c r="Q73" s="190"/>
      <c r="R73" s="9"/>
      <c r="S73" s="9"/>
    </row>
    <row r="74" spans="1:19">
      <c r="A74" s="6">
        <v>674</v>
      </c>
      <c r="B74" s="6">
        <f t="shared" si="4"/>
        <v>65</v>
      </c>
      <c r="C74" s="6">
        <f t="shared" ref="C74:C137" si="5">A74*1000+E74</f>
        <v>674192</v>
      </c>
      <c r="D74" s="6" t="s">
        <v>333</v>
      </c>
      <c r="E74" s="6">
        <v>192</v>
      </c>
      <c r="F74" s="6" t="s">
        <v>434</v>
      </c>
      <c r="G74" s="512">
        <v>0.89341692790000005</v>
      </c>
      <c r="H74" s="9">
        <v>957</v>
      </c>
      <c r="I74" s="9">
        <v>855</v>
      </c>
      <c r="J74" s="57">
        <f t="shared" si="2"/>
        <v>48.8</v>
      </c>
      <c r="K74" s="57">
        <f t="shared" si="3"/>
        <v>43.598746081519998</v>
      </c>
      <c r="L74" s="57"/>
      <c r="O74" s="514"/>
      <c r="Q74" s="190"/>
      <c r="R74" s="9"/>
      <c r="S74" s="9"/>
    </row>
    <row r="75" spans="1:19">
      <c r="A75" s="6">
        <v>675</v>
      </c>
      <c r="B75" s="6">
        <f t="shared" si="4"/>
        <v>66</v>
      </c>
      <c r="C75" s="6">
        <f t="shared" si="5"/>
        <v>675119</v>
      </c>
      <c r="D75" s="6" t="s">
        <v>348</v>
      </c>
      <c r="E75" s="6">
        <v>119</v>
      </c>
      <c r="F75" s="6" t="s">
        <v>347</v>
      </c>
      <c r="G75" s="512">
        <v>0.65750915751000005</v>
      </c>
      <c r="H75" s="9">
        <v>1638</v>
      </c>
      <c r="I75" s="9">
        <v>1077</v>
      </c>
      <c r="J75" s="57">
        <f t="shared" ref="J75:J138" si="6">ROUND(VLOOKUP(E75,town351,12),2)</f>
        <v>82.5</v>
      </c>
      <c r="K75" s="57">
        <f t="shared" ref="K75:K138" si="7">G75*J75</f>
        <v>54.244505494575002</v>
      </c>
      <c r="L75" s="57"/>
      <c r="O75" s="514"/>
      <c r="Q75" s="190"/>
      <c r="R75" s="9"/>
      <c r="S75" s="9"/>
    </row>
    <row r="76" spans="1:19">
      <c r="A76" s="6">
        <v>675</v>
      </c>
      <c r="B76" s="6">
        <f t="shared" ref="B76:B139" si="8">B75+1</f>
        <v>67</v>
      </c>
      <c r="C76" s="6">
        <f t="shared" si="5"/>
        <v>675320</v>
      </c>
      <c r="D76" s="6" t="s">
        <v>348</v>
      </c>
      <c r="E76" s="6">
        <v>320</v>
      </c>
      <c r="F76" s="6" t="s">
        <v>565</v>
      </c>
      <c r="G76" s="512">
        <v>0.34249084249</v>
      </c>
      <c r="H76" s="9">
        <v>1638</v>
      </c>
      <c r="I76" s="9">
        <v>561</v>
      </c>
      <c r="J76" s="57">
        <f t="shared" si="6"/>
        <v>82.5</v>
      </c>
      <c r="K76" s="57">
        <f t="shared" si="7"/>
        <v>28.255494505425002</v>
      </c>
      <c r="L76" s="57"/>
      <c r="O76" s="514"/>
      <c r="Q76" s="190"/>
      <c r="R76" s="9"/>
      <c r="S76" s="9"/>
    </row>
    <row r="77" spans="1:19">
      <c r="A77" s="6">
        <v>680</v>
      </c>
      <c r="B77" s="6">
        <f t="shared" si="8"/>
        <v>68</v>
      </c>
      <c r="C77" s="6">
        <f t="shared" si="5"/>
        <v>680120</v>
      </c>
      <c r="D77" s="6" t="s">
        <v>350</v>
      </c>
      <c r="E77" s="6">
        <v>120</v>
      </c>
      <c r="F77" s="6" t="s">
        <v>349</v>
      </c>
      <c r="G77" s="512">
        <v>0.19520057306999999</v>
      </c>
      <c r="H77" s="9">
        <v>2792</v>
      </c>
      <c r="I77" s="9">
        <v>545</v>
      </c>
      <c r="J77" s="57">
        <f t="shared" si="6"/>
        <v>82.5</v>
      </c>
      <c r="K77" s="57">
        <f t="shared" si="7"/>
        <v>16.104047278275001</v>
      </c>
      <c r="L77" s="57"/>
      <c r="O77" s="514"/>
      <c r="Q77" s="190"/>
      <c r="R77" s="9"/>
      <c r="S77" s="9"/>
    </row>
    <row r="78" spans="1:19">
      <c r="A78" s="6">
        <v>680</v>
      </c>
      <c r="B78" s="6">
        <f t="shared" si="8"/>
        <v>69</v>
      </c>
      <c r="C78" s="6">
        <f t="shared" si="5"/>
        <v>680339</v>
      </c>
      <c r="D78" s="6" t="s">
        <v>350</v>
      </c>
      <c r="E78" s="6">
        <v>339</v>
      </c>
      <c r="F78" s="6" t="s">
        <v>580</v>
      </c>
      <c r="G78" s="512">
        <v>0.80479942692999995</v>
      </c>
      <c r="H78" s="9">
        <v>2792</v>
      </c>
      <c r="I78" s="9">
        <v>2247</v>
      </c>
      <c r="J78" s="57">
        <f t="shared" si="6"/>
        <v>66.28</v>
      </c>
      <c r="K78" s="57">
        <f t="shared" si="7"/>
        <v>53.342106016920397</v>
      </c>
      <c r="L78" s="57"/>
      <c r="O78" s="514"/>
      <c r="Q78" s="190"/>
      <c r="R78" s="9"/>
      <c r="S78" s="9"/>
    </row>
    <row r="79" spans="1:19">
      <c r="A79" s="6">
        <v>683</v>
      </c>
      <c r="B79" s="6">
        <f t="shared" si="8"/>
        <v>70</v>
      </c>
      <c r="C79" s="6">
        <f t="shared" si="5"/>
        <v>683060</v>
      </c>
      <c r="D79" s="6" t="s">
        <v>273</v>
      </c>
      <c r="E79" s="6">
        <v>60</v>
      </c>
      <c r="F79" s="6" t="s">
        <v>271</v>
      </c>
      <c r="G79" s="512">
        <v>4.2372881360000003E-2</v>
      </c>
      <c r="H79" s="9">
        <v>590</v>
      </c>
      <c r="I79" s="9">
        <v>25</v>
      </c>
      <c r="J79" s="57">
        <f t="shared" si="6"/>
        <v>81.75</v>
      </c>
      <c r="K79" s="57">
        <f t="shared" si="7"/>
        <v>3.4639830511800001</v>
      </c>
      <c r="L79" s="57"/>
      <c r="O79" s="514"/>
      <c r="Q79" s="190"/>
      <c r="R79" s="9"/>
      <c r="S79" s="9"/>
    </row>
    <row r="80" spans="1:19">
      <c r="A80" s="6">
        <v>683</v>
      </c>
      <c r="B80" s="6">
        <f t="shared" si="8"/>
        <v>71</v>
      </c>
      <c r="C80" s="6">
        <f t="shared" si="5"/>
        <v>683108</v>
      </c>
      <c r="D80" s="6" t="s">
        <v>273</v>
      </c>
      <c r="E80" s="6">
        <v>108</v>
      </c>
      <c r="F80" s="6" t="s">
        <v>335</v>
      </c>
      <c r="G80" s="512">
        <v>5.5932203389999997E-2</v>
      </c>
      <c r="H80" s="9">
        <v>590</v>
      </c>
      <c r="I80" s="9">
        <v>33</v>
      </c>
      <c r="J80" s="57">
        <f t="shared" si="6"/>
        <v>69.5</v>
      </c>
      <c r="K80" s="57">
        <f t="shared" si="7"/>
        <v>3.887288135605</v>
      </c>
      <c r="L80" s="57"/>
      <c r="O80" s="514"/>
      <c r="Q80" s="190"/>
      <c r="R80" s="9"/>
      <c r="S80" s="9"/>
    </row>
    <row r="81" spans="1:19">
      <c r="A81" s="6">
        <v>683</v>
      </c>
      <c r="B81" s="6">
        <f t="shared" si="8"/>
        <v>72</v>
      </c>
      <c r="C81" s="6">
        <f t="shared" si="5"/>
        <v>683275</v>
      </c>
      <c r="D81" s="6" t="s">
        <v>273</v>
      </c>
      <c r="E81" s="6">
        <v>275</v>
      </c>
      <c r="F81" s="6" t="s">
        <v>522</v>
      </c>
      <c r="G81" s="512">
        <v>0.55932203390000002</v>
      </c>
      <c r="H81" s="9">
        <v>590</v>
      </c>
      <c r="I81" s="9">
        <v>330</v>
      </c>
      <c r="J81" s="57">
        <f t="shared" si="6"/>
        <v>81.06</v>
      </c>
      <c r="K81" s="57">
        <f t="shared" si="7"/>
        <v>45.338644067934005</v>
      </c>
      <c r="L81" s="57"/>
      <c r="O81" s="514"/>
      <c r="Q81" s="190"/>
      <c r="R81" s="9"/>
      <c r="S81" s="9"/>
    </row>
    <row r="82" spans="1:19">
      <c r="A82" s="6">
        <v>683</v>
      </c>
      <c r="B82" s="6">
        <f t="shared" si="8"/>
        <v>73</v>
      </c>
      <c r="C82" s="6">
        <f t="shared" si="5"/>
        <v>683327</v>
      </c>
      <c r="D82" s="6" t="s">
        <v>273</v>
      </c>
      <c r="E82" s="6">
        <v>327</v>
      </c>
      <c r="F82" s="6" t="s">
        <v>570</v>
      </c>
      <c r="G82" s="512">
        <v>0.14915254237</v>
      </c>
      <c r="H82" s="9">
        <v>590</v>
      </c>
      <c r="I82" s="9">
        <v>88</v>
      </c>
      <c r="J82" s="57">
        <f t="shared" si="6"/>
        <v>82.5</v>
      </c>
      <c r="K82" s="57">
        <f t="shared" si="7"/>
        <v>12.305084745525001</v>
      </c>
      <c r="L82" s="57"/>
      <c r="O82" s="514"/>
      <c r="Q82" s="190"/>
      <c r="R82" s="9"/>
      <c r="S82" s="9"/>
    </row>
    <row r="83" spans="1:19">
      <c r="A83" s="6">
        <v>683</v>
      </c>
      <c r="B83" s="6">
        <f t="shared" si="8"/>
        <v>74</v>
      </c>
      <c r="C83" s="6">
        <f t="shared" si="5"/>
        <v>683340</v>
      </c>
      <c r="D83" s="6" t="s">
        <v>273</v>
      </c>
      <c r="E83" s="6">
        <v>340</v>
      </c>
      <c r="F83" s="6" t="s">
        <v>581</v>
      </c>
      <c r="G83" s="512">
        <v>0.19322033897999999</v>
      </c>
      <c r="H83" s="9">
        <v>590</v>
      </c>
      <c r="I83" s="9">
        <v>114</v>
      </c>
      <c r="J83" s="57">
        <f t="shared" si="6"/>
        <v>73.03</v>
      </c>
      <c r="K83" s="57">
        <f t="shared" si="7"/>
        <v>14.110881355709399</v>
      </c>
      <c r="L83" s="57"/>
      <c r="O83" s="514"/>
      <c r="Q83" s="190"/>
      <c r="R83" s="9"/>
      <c r="S83" s="9"/>
    </row>
    <row r="84" spans="1:19">
      <c r="A84" s="6">
        <v>685</v>
      </c>
      <c r="B84" s="6">
        <f t="shared" si="8"/>
        <v>75</v>
      </c>
      <c r="C84" s="6">
        <f t="shared" si="5"/>
        <v>685053</v>
      </c>
      <c r="D84" s="6" t="s">
        <v>261</v>
      </c>
      <c r="E84" s="6">
        <v>53</v>
      </c>
      <c r="F84" s="6" t="s">
        <v>260</v>
      </c>
      <c r="G84" s="512">
        <v>0.875</v>
      </c>
      <c r="H84" s="9">
        <v>80</v>
      </c>
      <c r="I84" s="9">
        <v>70</v>
      </c>
      <c r="J84" s="57">
        <f t="shared" si="6"/>
        <v>59.7</v>
      </c>
      <c r="K84" s="57">
        <f t="shared" si="7"/>
        <v>52.237500000000004</v>
      </c>
      <c r="L84" s="57"/>
      <c r="O84" s="514"/>
      <c r="Q84" s="190"/>
      <c r="R84" s="9"/>
      <c r="S84" s="9"/>
    </row>
    <row r="85" spans="1:19">
      <c r="A85" s="6">
        <v>685</v>
      </c>
      <c r="B85" s="6">
        <f t="shared" si="8"/>
        <v>76</v>
      </c>
      <c r="C85" s="6">
        <f t="shared" si="5"/>
        <v>685129</v>
      </c>
      <c r="D85" s="6" t="s">
        <v>261</v>
      </c>
      <c r="E85" s="6">
        <v>129</v>
      </c>
      <c r="F85" s="6" t="s">
        <v>358</v>
      </c>
      <c r="G85" s="512">
        <v>0.125</v>
      </c>
      <c r="H85" s="9">
        <v>80</v>
      </c>
      <c r="I85" s="9">
        <v>10</v>
      </c>
      <c r="J85" s="57">
        <f t="shared" si="6"/>
        <v>82.5</v>
      </c>
      <c r="K85" s="57">
        <f t="shared" si="7"/>
        <v>10.3125</v>
      </c>
      <c r="L85" s="57"/>
      <c r="O85" s="514"/>
      <c r="Q85" s="190"/>
      <c r="R85" s="9"/>
      <c r="S85" s="9"/>
    </row>
    <row r="86" spans="1:19">
      <c r="A86" s="6">
        <v>690</v>
      </c>
      <c r="B86" s="6">
        <f t="shared" si="8"/>
        <v>77</v>
      </c>
      <c r="C86" s="6">
        <f t="shared" si="5"/>
        <v>690208</v>
      </c>
      <c r="D86" s="6" t="s">
        <v>451</v>
      </c>
      <c r="E86" s="6">
        <v>208</v>
      </c>
      <c r="F86" s="6" t="s">
        <v>450</v>
      </c>
      <c r="G86" s="512">
        <v>0.34880163182000001</v>
      </c>
      <c r="H86" s="9">
        <v>1961</v>
      </c>
      <c r="I86" s="9">
        <v>684</v>
      </c>
      <c r="J86" s="57">
        <f t="shared" si="6"/>
        <v>82.5</v>
      </c>
      <c r="K86" s="57">
        <f t="shared" si="7"/>
        <v>28.77613462515</v>
      </c>
      <c r="L86" s="57"/>
      <c r="O86" s="514"/>
      <c r="Q86" s="190"/>
      <c r="R86" s="9"/>
      <c r="S86" s="9"/>
    </row>
    <row r="87" spans="1:19">
      <c r="A87" s="6">
        <v>690</v>
      </c>
      <c r="B87" s="6">
        <f t="shared" si="8"/>
        <v>78</v>
      </c>
      <c r="C87" s="6">
        <f t="shared" si="5"/>
        <v>690238</v>
      </c>
      <c r="D87" s="6" t="s">
        <v>451</v>
      </c>
      <c r="E87" s="6">
        <v>238</v>
      </c>
      <c r="F87" s="6" t="s">
        <v>490</v>
      </c>
      <c r="G87" s="512">
        <v>0.27129015808000001</v>
      </c>
      <c r="H87" s="9">
        <v>1961</v>
      </c>
      <c r="I87" s="9">
        <v>532</v>
      </c>
      <c r="J87" s="57">
        <f t="shared" si="6"/>
        <v>81.239999999999995</v>
      </c>
      <c r="K87" s="57">
        <f t="shared" si="7"/>
        <v>22.039612442419198</v>
      </c>
      <c r="L87" s="57"/>
      <c r="O87" s="514"/>
      <c r="Q87" s="190"/>
      <c r="R87" s="9"/>
      <c r="S87" s="9"/>
    </row>
    <row r="88" spans="1:19">
      <c r="A88" s="6">
        <v>690</v>
      </c>
      <c r="B88" s="6">
        <f t="shared" si="8"/>
        <v>79</v>
      </c>
      <c r="C88" s="6">
        <f t="shared" si="5"/>
        <v>690350</v>
      </c>
      <c r="D88" s="6" t="s">
        <v>451</v>
      </c>
      <c r="E88" s="6">
        <v>350</v>
      </c>
      <c r="F88" s="6" t="s">
        <v>589</v>
      </c>
      <c r="G88" s="512">
        <v>0.37990821009999998</v>
      </c>
      <c r="H88" s="9">
        <v>1961</v>
      </c>
      <c r="I88" s="9">
        <v>745</v>
      </c>
      <c r="J88" s="57">
        <f t="shared" si="6"/>
        <v>82.5</v>
      </c>
      <c r="K88" s="57">
        <f t="shared" si="7"/>
        <v>31.342427333249997</v>
      </c>
      <c r="L88" s="57"/>
      <c r="O88" s="514"/>
      <c r="Q88" s="190"/>
      <c r="R88" s="9"/>
      <c r="S88" s="9"/>
    </row>
    <row r="89" spans="1:19">
      <c r="A89" s="6">
        <v>695</v>
      </c>
      <c r="B89" s="6">
        <f t="shared" si="8"/>
        <v>80</v>
      </c>
      <c r="C89" s="6">
        <f t="shared" si="5"/>
        <v>695157</v>
      </c>
      <c r="D89" s="6" t="s">
        <v>382</v>
      </c>
      <c r="E89" s="6">
        <v>157</v>
      </c>
      <c r="F89" s="6" t="s">
        <v>381</v>
      </c>
      <c r="G89" s="512">
        <v>0.13133476089000001</v>
      </c>
      <c r="H89" s="9">
        <v>1401</v>
      </c>
      <c r="I89" s="9">
        <v>184</v>
      </c>
      <c r="J89" s="57">
        <f t="shared" si="6"/>
        <v>82.5</v>
      </c>
      <c r="K89" s="57">
        <f t="shared" si="7"/>
        <v>10.835117773425001</v>
      </c>
      <c r="L89" s="57"/>
      <c r="O89" s="514"/>
      <c r="Q89" s="190"/>
      <c r="R89" s="9"/>
      <c r="S89" s="9"/>
    </row>
    <row r="90" spans="1:19">
      <c r="A90" s="6">
        <v>695</v>
      </c>
      <c r="B90" s="6">
        <f t="shared" si="8"/>
        <v>81</v>
      </c>
      <c r="C90" s="6">
        <f t="shared" si="5"/>
        <v>695288</v>
      </c>
      <c r="D90" s="6" t="s">
        <v>382</v>
      </c>
      <c r="E90" s="6">
        <v>288</v>
      </c>
      <c r="F90" s="6" t="s">
        <v>536</v>
      </c>
      <c r="G90" s="512">
        <v>0.86866523911000004</v>
      </c>
      <c r="H90" s="9">
        <v>1401</v>
      </c>
      <c r="I90" s="9">
        <v>1217</v>
      </c>
      <c r="J90" s="57">
        <f t="shared" si="6"/>
        <v>82.5</v>
      </c>
      <c r="K90" s="57">
        <f t="shared" si="7"/>
        <v>71.664882226575003</v>
      </c>
      <c r="L90" s="57"/>
      <c r="O90" s="514"/>
      <c r="Q90" s="190"/>
      <c r="R90" s="9"/>
      <c r="S90" s="9"/>
    </row>
    <row r="91" spans="1:19">
      <c r="A91" s="6">
        <v>698</v>
      </c>
      <c r="B91" s="6">
        <f t="shared" si="8"/>
        <v>82</v>
      </c>
      <c r="C91" s="6">
        <f t="shared" si="5"/>
        <v>698092</v>
      </c>
      <c r="D91" s="6" t="s">
        <v>595</v>
      </c>
      <c r="E91" s="6">
        <v>92</v>
      </c>
      <c r="F91" s="6" t="s">
        <v>66</v>
      </c>
      <c r="G91" s="512">
        <v>0.4327176781</v>
      </c>
      <c r="H91" s="9">
        <v>1137</v>
      </c>
      <c r="I91" s="9">
        <v>492</v>
      </c>
      <c r="J91" s="57">
        <f t="shared" si="6"/>
        <v>82.5</v>
      </c>
      <c r="K91" s="57">
        <f t="shared" si="7"/>
        <v>35.699208443250001</v>
      </c>
      <c r="L91" s="57"/>
      <c r="O91" s="514"/>
      <c r="Q91" s="190"/>
      <c r="R91" s="9"/>
      <c r="S91" s="9"/>
    </row>
    <row r="92" spans="1:19">
      <c r="A92" s="6">
        <v>698</v>
      </c>
      <c r="B92" s="6">
        <f t="shared" si="8"/>
        <v>83</v>
      </c>
      <c r="C92" s="6">
        <f t="shared" si="5"/>
        <v>698166</v>
      </c>
      <c r="D92" s="6" t="s">
        <v>595</v>
      </c>
      <c r="E92" s="6">
        <v>166</v>
      </c>
      <c r="F92" s="6" t="s">
        <v>67</v>
      </c>
      <c r="G92" s="512">
        <v>0.56728232190000005</v>
      </c>
      <c r="H92" s="9">
        <v>1137</v>
      </c>
      <c r="I92" s="9">
        <v>645</v>
      </c>
      <c r="J92" s="57">
        <f t="shared" si="6"/>
        <v>82.5</v>
      </c>
      <c r="K92" s="57">
        <f t="shared" si="7"/>
        <v>46.800791556750006</v>
      </c>
      <c r="L92" s="57"/>
      <c r="O92" s="514"/>
      <c r="Q92" s="190"/>
      <c r="R92" s="9"/>
      <c r="S92" s="9"/>
    </row>
    <row r="93" spans="1:19">
      <c r="A93" s="6">
        <v>700</v>
      </c>
      <c r="B93" s="6">
        <f t="shared" si="8"/>
        <v>84</v>
      </c>
      <c r="C93" s="6">
        <f t="shared" si="5"/>
        <v>700062</v>
      </c>
      <c r="D93" s="6" t="s">
        <v>275</v>
      </c>
      <c r="E93" s="6">
        <v>62</v>
      </c>
      <c r="F93" s="6" t="s">
        <v>274</v>
      </c>
      <c r="G93" s="512">
        <v>3.9092055489999999E-2</v>
      </c>
      <c r="H93" s="9">
        <v>793</v>
      </c>
      <c r="I93" s="9">
        <v>31</v>
      </c>
      <c r="J93" s="57">
        <f t="shared" si="6"/>
        <v>82.5</v>
      </c>
      <c r="K93" s="57">
        <f t="shared" si="7"/>
        <v>3.2250945779249998</v>
      </c>
      <c r="L93" s="57"/>
      <c r="O93" s="514"/>
      <c r="Q93" s="190"/>
      <c r="R93" s="9"/>
      <c r="S93" s="9"/>
    </row>
    <row r="94" spans="1:19">
      <c r="A94" s="6">
        <v>700</v>
      </c>
      <c r="B94" s="6">
        <f t="shared" si="8"/>
        <v>85</v>
      </c>
      <c r="C94" s="6">
        <f t="shared" si="5"/>
        <v>700089</v>
      </c>
      <c r="D94" s="6" t="s">
        <v>275</v>
      </c>
      <c r="E94" s="6">
        <v>89</v>
      </c>
      <c r="F94" s="6" t="s">
        <v>312</v>
      </c>
      <c r="G94" s="512">
        <v>0.28247162672999998</v>
      </c>
      <c r="H94" s="9">
        <v>793</v>
      </c>
      <c r="I94" s="9">
        <v>224</v>
      </c>
      <c r="J94" s="57">
        <f t="shared" si="6"/>
        <v>82.5</v>
      </c>
      <c r="K94" s="57">
        <f t="shared" si="7"/>
        <v>23.303909205224997</v>
      </c>
      <c r="L94" s="57"/>
      <c r="O94" s="514"/>
      <c r="Q94" s="190"/>
      <c r="R94" s="9"/>
      <c r="S94" s="9"/>
    </row>
    <row r="95" spans="1:19">
      <c r="A95" s="6">
        <v>700</v>
      </c>
      <c r="B95" s="6">
        <f t="shared" si="8"/>
        <v>86</v>
      </c>
      <c r="C95" s="6">
        <f t="shared" si="5"/>
        <v>700104</v>
      </c>
      <c r="D95" s="6" t="s">
        <v>275</v>
      </c>
      <c r="E95" s="6">
        <v>104</v>
      </c>
      <c r="F95" s="6" t="s">
        <v>330</v>
      </c>
      <c r="G95" s="512">
        <v>1.8915510720000001E-2</v>
      </c>
      <c r="H95" s="9">
        <v>793</v>
      </c>
      <c r="I95" s="9">
        <v>15</v>
      </c>
      <c r="J95" s="57">
        <f t="shared" si="6"/>
        <v>82.5</v>
      </c>
      <c r="K95" s="57">
        <f t="shared" si="7"/>
        <v>1.5605296344000001</v>
      </c>
      <c r="L95" s="57"/>
      <c r="O95" s="514"/>
      <c r="Q95" s="190"/>
      <c r="R95" s="9"/>
      <c r="S95" s="9"/>
    </row>
    <row r="96" spans="1:19">
      <c r="A96" s="6">
        <v>700</v>
      </c>
      <c r="B96" s="6">
        <f t="shared" si="8"/>
        <v>87</v>
      </c>
      <c r="C96" s="6">
        <f t="shared" si="5"/>
        <v>700221</v>
      </c>
      <c r="D96" s="6" t="s">
        <v>275</v>
      </c>
      <c r="E96" s="6">
        <v>221</v>
      </c>
      <c r="F96" s="6" t="s">
        <v>468</v>
      </c>
      <c r="G96" s="512">
        <v>0.27364438839999999</v>
      </c>
      <c r="H96" s="9">
        <v>793</v>
      </c>
      <c r="I96" s="9">
        <v>217</v>
      </c>
      <c r="J96" s="57">
        <f t="shared" si="6"/>
        <v>82.5</v>
      </c>
      <c r="K96" s="57">
        <f t="shared" si="7"/>
        <v>22.575662043000001</v>
      </c>
      <c r="L96" s="57"/>
      <c r="O96" s="514"/>
      <c r="Q96" s="190"/>
      <c r="R96" s="9"/>
      <c r="S96" s="9"/>
    </row>
    <row r="97" spans="1:19">
      <c r="A97" s="6">
        <v>700</v>
      </c>
      <c r="B97" s="6">
        <f t="shared" si="8"/>
        <v>88</v>
      </c>
      <c r="C97" s="6">
        <f t="shared" si="5"/>
        <v>700296</v>
      </c>
      <c r="D97" s="6" t="s">
        <v>275</v>
      </c>
      <c r="E97" s="6">
        <v>296</v>
      </c>
      <c r="F97" s="6" t="s">
        <v>544</v>
      </c>
      <c r="G97" s="512">
        <v>0.23707440100999999</v>
      </c>
      <c r="H97" s="9">
        <v>793</v>
      </c>
      <c r="I97" s="9">
        <v>188</v>
      </c>
      <c r="J97" s="57">
        <f t="shared" si="6"/>
        <v>82.5</v>
      </c>
      <c r="K97" s="57">
        <f t="shared" si="7"/>
        <v>19.558638083325</v>
      </c>
      <c r="L97" s="57"/>
      <c r="O97" s="514"/>
      <c r="Q97" s="190"/>
      <c r="R97" s="9"/>
      <c r="S97" s="9"/>
    </row>
    <row r="98" spans="1:19">
      <c r="A98" s="6">
        <v>700</v>
      </c>
      <c r="B98" s="6">
        <f t="shared" si="8"/>
        <v>89</v>
      </c>
      <c r="C98" s="6">
        <f t="shared" si="5"/>
        <v>700334</v>
      </c>
      <c r="D98" s="6" t="s">
        <v>275</v>
      </c>
      <c r="E98" s="6">
        <v>334</v>
      </c>
      <c r="F98" s="6" t="s">
        <v>575</v>
      </c>
      <c r="G98" s="512">
        <v>0.14880201765000001</v>
      </c>
      <c r="H98" s="9">
        <v>793</v>
      </c>
      <c r="I98" s="9">
        <v>118</v>
      </c>
      <c r="J98" s="57">
        <f t="shared" si="6"/>
        <v>82.5</v>
      </c>
      <c r="K98" s="57">
        <f t="shared" si="7"/>
        <v>12.276166456125001</v>
      </c>
      <c r="L98" s="57"/>
      <c r="O98" s="514"/>
      <c r="Q98" s="190"/>
      <c r="R98" s="9"/>
      <c r="S98" s="9"/>
    </row>
    <row r="99" spans="1:19">
      <c r="A99" s="6">
        <v>705</v>
      </c>
      <c r="B99" s="6">
        <f t="shared" si="8"/>
        <v>90</v>
      </c>
      <c r="C99" s="6">
        <f t="shared" si="5"/>
        <v>705038</v>
      </c>
      <c r="D99" s="6" t="s">
        <v>241</v>
      </c>
      <c r="E99" s="6">
        <v>38</v>
      </c>
      <c r="F99" s="6" t="s">
        <v>240</v>
      </c>
      <c r="G99" s="512">
        <v>0.37698664971000001</v>
      </c>
      <c r="H99" s="9">
        <v>1573</v>
      </c>
      <c r="I99" s="9">
        <v>593</v>
      </c>
      <c r="J99" s="57">
        <f t="shared" si="6"/>
        <v>82.5</v>
      </c>
      <c r="K99" s="57">
        <f t="shared" si="7"/>
        <v>31.101398601075001</v>
      </c>
      <c r="L99" s="57"/>
      <c r="O99" s="514"/>
      <c r="Q99" s="190"/>
      <c r="R99" s="9"/>
      <c r="S99" s="9"/>
    </row>
    <row r="100" spans="1:19">
      <c r="A100" s="6">
        <v>705</v>
      </c>
      <c r="B100" s="6">
        <f t="shared" si="8"/>
        <v>91</v>
      </c>
      <c r="C100" s="6">
        <f t="shared" si="5"/>
        <v>705184</v>
      </c>
      <c r="D100" s="6" t="s">
        <v>241</v>
      </c>
      <c r="E100" s="6">
        <v>184</v>
      </c>
      <c r="F100" s="6" t="s">
        <v>426</v>
      </c>
      <c r="G100" s="512">
        <v>0.32231404958999998</v>
      </c>
      <c r="H100" s="9">
        <v>1573</v>
      </c>
      <c r="I100" s="9">
        <v>507</v>
      </c>
      <c r="J100" s="57">
        <f t="shared" si="6"/>
        <v>82.5</v>
      </c>
      <c r="K100" s="57">
        <f t="shared" si="7"/>
        <v>26.590909091175</v>
      </c>
      <c r="L100" s="57"/>
      <c r="O100" s="514"/>
      <c r="Q100" s="190"/>
      <c r="R100" s="9"/>
      <c r="S100" s="9"/>
    </row>
    <row r="101" spans="1:19">
      <c r="A101" s="6">
        <v>705</v>
      </c>
      <c r="B101" s="6">
        <f t="shared" si="8"/>
        <v>92</v>
      </c>
      <c r="C101" s="6">
        <f t="shared" si="5"/>
        <v>705298</v>
      </c>
      <c r="D101" s="6" t="s">
        <v>241</v>
      </c>
      <c r="E101" s="6">
        <v>298</v>
      </c>
      <c r="F101" s="6" t="s">
        <v>546</v>
      </c>
      <c r="G101" s="512">
        <v>0.30069930070000001</v>
      </c>
      <c r="H101" s="9">
        <v>1573</v>
      </c>
      <c r="I101" s="9">
        <v>473</v>
      </c>
      <c r="J101" s="57">
        <f t="shared" si="6"/>
        <v>82.5</v>
      </c>
      <c r="K101" s="57">
        <f t="shared" si="7"/>
        <v>24.807692307749999</v>
      </c>
      <c r="L101" s="57"/>
      <c r="O101" s="514"/>
      <c r="Q101" s="190"/>
      <c r="R101" s="9"/>
      <c r="S101" s="9"/>
    </row>
    <row r="102" spans="1:19">
      <c r="A102" s="6">
        <v>710</v>
      </c>
      <c r="B102" s="6">
        <f t="shared" si="8"/>
        <v>93</v>
      </c>
      <c r="C102" s="6">
        <f t="shared" si="5"/>
        <v>710179</v>
      </c>
      <c r="D102" s="6" t="s">
        <v>421</v>
      </c>
      <c r="E102" s="6">
        <v>179</v>
      </c>
      <c r="F102" s="6" t="s">
        <v>420</v>
      </c>
      <c r="G102" s="512">
        <v>0.43328335831999998</v>
      </c>
      <c r="H102" s="9">
        <v>2001</v>
      </c>
      <c r="I102" s="9">
        <v>867</v>
      </c>
      <c r="J102" s="57">
        <f t="shared" si="6"/>
        <v>82.5</v>
      </c>
      <c r="K102" s="57">
        <f t="shared" si="7"/>
        <v>35.745877061400002</v>
      </c>
      <c r="L102" s="57"/>
      <c r="O102" s="514"/>
      <c r="Q102" s="190"/>
      <c r="R102" s="9"/>
      <c r="S102" s="9"/>
    </row>
    <row r="103" spans="1:19">
      <c r="A103" s="6">
        <v>710</v>
      </c>
      <c r="B103" s="6">
        <f t="shared" si="8"/>
        <v>94</v>
      </c>
      <c r="C103" s="6">
        <f t="shared" si="5"/>
        <v>710303</v>
      </c>
      <c r="D103" s="6" t="s">
        <v>421</v>
      </c>
      <c r="E103" s="6">
        <v>303</v>
      </c>
      <c r="F103" s="6" t="s">
        <v>550</v>
      </c>
      <c r="G103" s="512">
        <v>0.56671664168000002</v>
      </c>
      <c r="H103" s="9">
        <v>2001</v>
      </c>
      <c r="I103" s="9">
        <v>1134</v>
      </c>
      <c r="J103" s="57">
        <f t="shared" si="6"/>
        <v>82.5</v>
      </c>
      <c r="K103" s="57">
        <f t="shared" si="7"/>
        <v>46.754122938599998</v>
      </c>
      <c r="L103" s="57"/>
      <c r="O103" s="514"/>
      <c r="Q103" s="190"/>
      <c r="R103" s="9"/>
      <c r="S103" s="9"/>
    </row>
    <row r="104" spans="1:19">
      <c r="A104" s="6">
        <v>712</v>
      </c>
      <c r="B104" s="6">
        <f t="shared" si="8"/>
        <v>95</v>
      </c>
      <c r="C104" s="6">
        <f t="shared" si="5"/>
        <v>712055</v>
      </c>
      <c r="D104" s="6" t="s">
        <v>78</v>
      </c>
      <c r="E104" s="6">
        <v>55</v>
      </c>
      <c r="F104" s="6" t="s">
        <v>264</v>
      </c>
      <c r="G104" s="512">
        <v>0.22600243012999999</v>
      </c>
      <c r="H104" s="9">
        <v>1646</v>
      </c>
      <c r="I104" s="9">
        <v>372</v>
      </c>
      <c r="J104" s="57">
        <f t="shared" si="6"/>
        <v>82.5</v>
      </c>
      <c r="K104" s="57">
        <f t="shared" si="7"/>
        <v>18.645200485724999</v>
      </c>
      <c r="L104" s="57"/>
      <c r="O104" s="514"/>
      <c r="Q104" s="190"/>
      <c r="R104" s="9"/>
      <c r="S104" s="9"/>
    </row>
    <row r="105" spans="1:19">
      <c r="A105" s="6">
        <v>712</v>
      </c>
      <c r="B105" s="6">
        <f t="shared" si="8"/>
        <v>96</v>
      </c>
      <c r="C105" s="6">
        <f t="shared" si="5"/>
        <v>712126</v>
      </c>
      <c r="D105" s="6" t="s">
        <v>78</v>
      </c>
      <c r="E105" s="6">
        <v>126</v>
      </c>
      <c r="F105" s="6" t="s">
        <v>356</v>
      </c>
      <c r="G105" s="512">
        <v>0.77399756987000001</v>
      </c>
      <c r="H105" s="9">
        <v>1646</v>
      </c>
      <c r="I105" s="9">
        <v>1274</v>
      </c>
      <c r="J105" s="57">
        <f t="shared" si="6"/>
        <v>82.5</v>
      </c>
      <c r="K105" s="57">
        <f t="shared" si="7"/>
        <v>63.854799514275001</v>
      </c>
      <c r="L105" s="57"/>
      <c r="O105" s="514"/>
      <c r="Q105" s="190"/>
      <c r="R105" s="9"/>
      <c r="S105" s="9"/>
    </row>
    <row r="106" spans="1:19">
      <c r="A106" s="6">
        <v>715</v>
      </c>
      <c r="B106" s="6">
        <f t="shared" si="8"/>
        <v>97</v>
      </c>
      <c r="C106" s="6">
        <f t="shared" si="5"/>
        <v>715148</v>
      </c>
      <c r="D106" s="6" t="s">
        <v>376</v>
      </c>
      <c r="E106" s="6">
        <v>148</v>
      </c>
      <c r="F106" s="6" t="s">
        <v>375</v>
      </c>
      <c r="G106" s="512">
        <v>0.34038800705</v>
      </c>
      <c r="H106" s="9">
        <v>1134</v>
      </c>
      <c r="I106" s="9">
        <v>386</v>
      </c>
      <c r="J106" s="57">
        <f t="shared" si="6"/>
        <v>60.48</v>
      </c>
      <c r="K106" s="57">
        <f t="shared" si="7"/>
        <v>20.586666666383998</v>
      </c>
      <c r="L106" s="57"/>
      <c r="O106" s="514"/>
      <c r="Q106" s="190"/>
      <c r="R106" s="9"/>
      <c r="S106" s="9"/>
    </row>
    <row r="107" spans="1:19">
      <c r="A107" s="6">
        <v>715</v>
      </c>
      <c r="B107" s="6">
        <f t="shared" si="8"/>
        <v>98</v>
      </c>
      <c r="C107" s="6">
        <f t="shared" si="5"/>
        <v>715341</v>
      </c>
      <c r="D107" s="6" t="s">
        <v>376</v>
      </c>
      <c r="E107" s="6">
        <v>341</v>
      </c>
      <c r="F107" s="6" t="s">
        <v>582</v>
      </c>
      <c r="G107" s="512">
        <v>0.65961199294999995</v>
      </c>
      <c r="H107" s="9">
        <v>1134</v>
      </c>
      <c r="I107" s="9">
        <v>748</v>
      </c>
      <c r="J107" s="57">
        <f t="shared" si="6"/>
        <v>82.5</v>
      </c>
      <c r="K107" s="57">
        <f t="shared" si="7"/>
        <v>54.417989418374994</v>
      </c>
      <c r="L107" s="57"/>
      <c r="O107" s="514"/>
      <c r="Q107" s="190"/>
      <c r="R107" s="9"/>
      <c r="S107" s="9"/>
    </row>
    <row r="108" spans="1:19">
      <c r="A108" s="6">
        <v>717</v>
      </c>
      <c r="B108" s="6">
        <f t="shared" si="8"/>
        <v>99</v>
      </c>
      <c r="C108" s="6">
        <f t="shared" si="5"/>
        <v>717013</v>
      </c>
      <c r="D108" s="6" t="s">
        <v>14</v>
      </c>
      <c r="E108" s="6">
        <v>13</v>
      </c>
      <c r="F108" s="6" t="s">
        <v>13</v>
      </c>
      <c r="G108" s="512">
        <v>0.18159203979999999</v>
      </c>
      <c r="H108" s="9">
        <v>804</v>
      </c>
      <c r="I108" s="9">
        <v>146</v>
      </c>
      <c r="J108" s="57">
        <f t="shared" si="6"/>
        <v>82.5</v>
      </c>
      <c r="K108" s="57">
        <f t="shared" si="7"/>
        <v>14.981343283499999</v>
      </c>
      <c r="L108" s="57"/>
      <c r="O108" s="514"/>
      <c r="Q108" s="190"/>
      <c r="R108" s="9"/>
      <c r="S108" s="9"/>
    </row>
    <row r="109" spans="1:19">
      <c r="A109" s="6">
        <v>717</v>
      </c>
      <c r="B109" s="6">
        <f t="shared" si="8"/>
        <v>100</v>
      </c>
      <c r="C109" s="6">
        <f t="shared" si="5"/>
        <v>717047</v>
      </c>
      <c r="D109" s="6" t="s">
        <v>14</v>
      </c>
      <c r="E109" s="6">
        <v>47</v>
      </c>
      <c r="F109" s="6" t="s">
        <v>254</v>
      </c>
      <c r="G109" s="512">
        <v>0.21890547263999999</v>
      </c>
      <c r="H109" s="9">
        <v>804</v>
      </c>
      <c r="I109" s="9">
        <v>176</v>
      </c>
      <c r="J109" s="57">
        <f t="shared" si="6"/>
        <v>57.44</v>
      </c>
      <c r="K109" s="57">
        <f t="shared" si="7"/>
        <v>12.573930348441598</v>
      </c>
      <c r="L109" s="57"/>
      <c r="O109" s="514"/>
      <c r="Q109" s="190"/>
      <c r="R109" s="9"/>
      <c r="S109" s="9"/>
    </row>
    <row r="110" spans="1:19">
      <c r="A110" s="6">
        <v>717</v>
      </c>
      <c r="B110" s="6">
        <f t="shared" si="8"/>
        <v>101</v>
      </c>
      <c r="C110" s="6">
        <f t="shared" si="5"/>
        <v>717053</v>
      </c>
      <c r="D110" s="6" t="s">
        <v>14</v>
      </c>
      <c r="E110" s="6">
        <v>53</v>
      </c>
      <c r="F110" s="6" t="s">
        <v>260</v>
      </c>
      <c r="G110" s="512">
        <v>5.0995024880000003E-2</v>
      </c>
      <c r="H110" s="9">
        <v>804</v>
      </c>
      <c r="I110" s="9">
        <v>41</v>
      </c>
      <c r="J110" s="57">
        <f t="shared" si="6"/>
        <v>59.7</v>
      </c>
      <c r="K110" s="57">
        <f t="shared" si="7"/>
        <v>3.0444029853360002</v>
      </c>
      <c r="L110" s="57"/>
      <c r="O110" s="514"/>
      <c r="Q110" s="190"/>
      <c r="R110" s="9"/>
      <c r="S110" s="9"/>
    </row>
    <row r="111" spans="1:19">
      <c r="A111" s="6">
        <v>717</v>
      </c>
      <c r="B111" s="6">
        <f t="shared" si="8"/>
        <v>102</v>
      </c>
      <c r="C111" s="6">
        <f t="shared" si="5"/>
        <v>717066</v>
      </c>
      <c r="D111" s="6" t="s">
        <v>14</v>
      </c>
      <c r="E111" s="6">
        <v>66</v>
      </c>
      <c r="F111" s="6" t="s">
        <v>279</v>
      </c>
      <c r="G111" s="512">
        <v>0.17537313433000001</v>
      </c>
      <c r="H111" s="9">
        <v>804</v>
      </c>
      <c r="I111" s="9">
        <v>141</v>
      </c>
      <c r="J111" s="57">
        <f t="shared" si="6"/>
        <v>60.22</v>
      </c>
      <c r="K111" s="57">
        <f t="shared" si="7"/>
        <v>10.560970149352601</v>
      </c>
      <c r="L111" s="57"/>
      <c r="O111" s="514"/>
      <c r="Q111" s="190"/>
      <c r="R111" s="9"/>
      <c r="S111" s="9"/>
    </row>
    <row r="112" spans="1:19">
      <c r="A112" s="6">
        <v>717</v>
      </c>
      <c r="B112" s="6">
        <f t="shared" si="8"/>
        <v>103</v>
      </c>
      <c r="C112" s="6">
        <f t="shared" si="5"/>
        <v>717129</v>
      </c>
      <c r="D112" s="6" t="s">
        <v>14</v>
      </c>
      <c r="E112" s="6">
        <v>129</v>
      </c>
      <c r="F112" s="6" t="s">
        <v>358</v>
      </c>
      <c r="G112" s="512">
        <v>1.2437810949999999E-2</v>
      </c>
      <c r="H112" s="9">
        <v>804</v>
      </c>
      <c r="I112" s="9">
        <v>10</v>
      </c>
      <c r="J112" s="57">
        <f t="shared" si="6"/>
        <v>82.5</v>
      </c>
      <c r="K112" s="57">
        <f t="shared" si="7"/>
        <v>1.0261194033749998</v>
      </c>
      <c r="L112" s="57"/>
      <c r="O112" s="514"/>
      <c r="Q112" s="190"/>
      <c r="R112" s="9"/>
      <c r="S112" s="9"/>
    </row>
    <row r="113" spans="1:19">
      <c r="A113" s="6">
        <v>717</v>
      </c>
      <c r="B113" s="6">
        <f t="shared" si="8"/>
        <v>104</v>
      </c>
      <c r="C113" s="6">
        <f t="shared" si="5"/>
        <v>717130</v>
      </c>
      <c r="D113" s="6" t="s">
        <v>14</v>
      </c>
      <c r="E113" s="6">
        <v>130</v>
      </c>
      <c r="F113" s="6" t="s">
        <v>359</v>
      </c>
      <c r="G113" s="512">
        <v>0.10074626866</v>
      </c>
      <c r="H113" s="9">
        <v>804</v>
      </c>
      <c r="I113" s="9">
        <v>81</v>
      </c>
      <c r="J113" s="57">
        <f t="shared" si="6"/>
        <v>42.21</v>
      </c>
      <c r="K113" s="57">
        <f t="shared" si="7"/>
        <v>4.2525000001385997</v>
      </c>
      <c r="L113" s="57"/>
      <c r="O113" s="514"/>
      <c r="Q113" s="190"/>
      <c r="R113" s="9"/>
      <c r="S113" s="9"/>
    </row>
    <row r="114" spans="1:19">
      <c r="A114" s="6">
        <v>717</v>
      </c>
      <c r="B114" s="6">
        <f t="shared" si="8"/>
        <v>105</v>
      </c>
      <c r="C114" s="6">
        <f t="shared" si="5"/>
        <v>717237</v>
      </c>
      <c r="D114" s="6" t="s">
        <v>14</v>
      </c>
      <c r="E114" s="6">
        <v>237</v>
      </c>
      <c r="F114" s="6" t="s">
        <v>489</v>
      </c>
      <c r="G114" s="512">
        <v>7.5870646769999994E-2</v>
      </c>
      <c r="H114" s="9">
        <v>804</v>
      </c>
      <c r="I114" s="9">
        <v>61</v>
      </c>
      <c r="J114" s="57">
        <f t="shared" si="6"/>
        <v>75.17</v>
      </c>
      <c r="K114" s="57">
        <f t="shared" si="7"/>
        <v>5.7031965177009001</v>
      </c>
      <c r="L114" s="57"/>
      <c r="O114" s="514"/>
      <c r="Q114" s="190"/>
      <c r="R114" s="9"/>
      <c r="S114" s="9"/>
    </row>
    <row r="115" spans="1:19">
      <c r="A115" s="6">
        <v>717</v>
      </c>
      <c r="B115" s="6">
        <f t="shared" si="8"/>
        <v>106</v>
      </c>
      <c r="C115" s="6">
        <f t="shared" si="5"/>
        <v>717268</v>
      </c>
      <c r="D115" s="6" t="s">
        <v>14</v>
      </c>
      <c r="E115" s="6">
        <v>268</v>
      </c>
      <c r="F115" s="6" t="s">
        <v>517</v>
      </c>
      <c r="G115" s="512">
        <v>0.18407960199000001</v>
      </c>
      <c r="H115" s="9">
        <v>804</v>
      </c>
      <c r="I115" s="9">
        <v>148</v>
      </c>
      <c r="J115" s="57">
        <f t="shared" si="6"/>
        <v>80.400000000000006</v>
      </c>
      <c r="K115" s="57">
        <f t="shared" si="7"/>
        <v>14.799999999996002</v>
      </c>
      <c r="L115" s="57"/>
      <c r="O115" s="514"/>
      <c r="Q115" s="190"/>
      <c r="R115" s="9"/>
      <c r="S115" s="9"/>
    </row>
    <row r="116" spans="1:19">
      <c r="A116" s="6">
        <v>720</v>
      </c>
      <c r="B116" s="6">
        <f t="shared" si="8"/>
        <v>107</v>
      </c>
      <c r="C116" s="6">
        <f t="shared" si="5"/>
        <v>720235</v>
      </c>
      <c r="D116" s="6" t="s">
        <v>488</v>
      </c>
      <c r="E116" s="6">
        <v>235</v>
      </c>
      <c r="F116" s="6" t="s">
        <v>487</v>
      </c>
      <c r="G116" s="512">
        <v>0.15632011967000001</v>
      </c>
      <c r="H116" s="9">
        <v>1337</v>
      </c>
      <c r="I116" s="9">
        <v>209</v>
      </c>
      <c r="J116" s="57">
        <f t="shared" si="6"/>
        <v>56.25</v>
      </c>
      <c r="K116" s="57">
        <f t="shared" si="7"/>
        <v>8.7930067314375009</v>
      </c>
      <c r="L116" s="57"/>
      <c r="O116" s="514"/>
      <c r="Q116" s="190"/>
      <c r="R116" s="9"/>
      <c r="S116" s="9"/>
    </row>
    <row r="117" spans="1:19">
      <c r="A117" s="6">
        <v>720</v>
      </c>
      <c r="B117" s="6">
        <f t="shared" si="8"/>
        <v>108</v>
      </c>
      <c r="C117" s="6">
        <f t="shared" si="5"/>
        <v>720294</v>
      </c>
      <c r="D117" s="6" t="s">
        <v>488</v>
      </c>
      <c r="E117" s="6">
        <v>294</v>
      </c>
      <c r="F117" s="6" t="s">
        <v>542</v>
      </c>
      <c r="G117" s="512">
        <v>0.84367988032999996</v>
      </c>
      <c r="H117" s="9">
        <v>1337</v>
      </c>
      <c r="I117" s="9">
        <v>1128</v>
      </c>
      <c r="J117" s="57">
        <f t="shared" si="6"/>
        <v>41.24</v>
      </c>
      <c r="K117" s="57">
        <f t="shared" si="7"/>
        <v>34.7933582648092</v>
      </c>
      <c r="L117" s="57"/>
      <c r="O117" s="514"/>
      <c r="Q117" s="190"/>
      <c r="R117" s="9"/>
      <c r="S117" s="9"/>
    </row>
    <row r="118" spans="1:19">
      <c r="A118" s="6">
        <v>725</v>
      </c>
      <c r="B118" s="6">
        <f t="shared" si="8"/>
        <v>109</v>
      </c>
      <c r="C118" s="6">
        <f t="shared" si="5"/>
        <v>725034</v>
      </c>
      <c r="D118" s="6" t="s">
        <v>234</v>
      </c>
      <c r="E118" s="6">
        <v>34</v>
      </c>
      <c r="F118" s="6" t="s">
        <v>56</v>
      </c>
      <c r="G118" s="512">
        <v>0.32692923471000002</v>
      </c>
      <c r="H118" s="9">
        <v>3123</v>
      </c>
      <c r="I118" s="9">
        <v>1021</v>
      </c>
      <c r="J118" s="57">
        <f t="shared" si="6"/>
        <v>82.5</v>
      </c>
      <c r="K118" s="57">
        <f t="shared" si="7"/>
        <v>26.971661863575001</v>
      </c>
      <c r="L118" s="57"/>
      <c r="O118" s="514"/>
      <c r="Q118" s="190"/>
      <c r="R118" s="9"/>
      <c r="S118" s="9"/>
    </row>
    <row r="119" spans="1:19">
      <c r="A119" s="6">
        <v>725</v>
      </c>
      <c r="B119" s="6">
        <f t="shared" si="8"/>
        <v>110</v>
      </c>
      <c r="C119" s="6">
        <f t="shared" si="5"/>
        <v>725147</v>
      </c>
      <c r="D119" s="6" t="s">
        <v>234</v>
      </c>
      <c r="E119" s="6">
        <v>147</v>
      </c>
      <c r="F119" s="6" t="s">
        <v>374</v>
      </c>
      <c r="G119" s="512">
        <v>0.33045148894999998</v>
      </c>
      <c r="H119" s="9">
        <v>3123</v>
      </c>
      <c r="I119" s="9">
        <v>1032</v>
      </c>
      <c r="J119" s="57">
        <f t="shared" si="6"/>
        <v>71.86</v>
      </c>
      <c r="K119" s="57">
        <f t="shared" si="7"/>
        <v>23.746243995946998</v>
      </c>
      <c r="L119" s="57"/>
      <c r="O119" s="514"/>
      <c r="Q119" s="190"/>
      <c r="R119" s="9"/>
      <c r="S119" s="9"/>
    </row>
    <row r="120" spans="1:19">
      <c r="A120" s="6">
        <v>725</v>
      </c>
      <c r="B120" s="6">
        <f t="shared" si="8"/>
        <v>111</v>
      </c>
      <c r="C120" s="6">
        <f t="shared" si="5"/>
        <v>725286</v>
      </c>
      <c r="D120" s="6" t="s">
        <v>234</v>
      </c>
      <c r="E120" s="6">
        <v>286</v>
      </c>
      <c r="F120" s="6" t="s">
        <v>534</v>
      </c>
      <c r="G120" s="512">
        <v>0.34261927634</v>
      </c>
      <c r="H120" s="9">
        <v>3123</v>
      </c>
      <c r="I120" s="9">
        <v>1070</v>
      </c>
      <c r="J120" s="57">
        <f t="shared" si="6"/>
        <v>82.5</v>
      </c>
      <c r="K120" s="57">
        <f t="shared" si="7"/>
        <v>28.266090298049999</v>
      </c>
      <c r="L120" s="57"/>
      <c r="O120" s="514"/>
      <c r="Q120" s="190"/>
      <c r="R120" s="9"/>
      <c r="S120" s="9"/>
    </row>
    <row r="121" spans="1:19">
      <c r="A121" s="6">
        <v>728</v>
      </c>
      <c r="B121" s="6">
        <f t="shared" si="8"/>
        <v>112</v>
      </c>
      <c r="C121" s="6">
        <f t="shared" si="5"/>
        <v>728206</v>
      </c>
      <c r="D121" s="6" t="s">
        <v>448</v>
      </c>
      <c r="E121" s="6">
        <v>206</v>
      </c>
      <c r="F121" s="6" t="s">
        <v>447</v>
      </c>
      <c r="G121" s="512">
        <v>0.41322314049999997</v>
      </c>
      <c r="H121" s="9">
        <v>121</v>
      </c>
      <c r="I121" s="9">
        <v>50</v>
      </c>
      <c r="J121" s="57">
        <f t="shared" si="6"/>
        <v>68.709999999999994</v>
      </c>
      <c r="K121" s="57">
        <f t="shared" si="7"/>
        <v>28.392561983754995</v>
      </c>
      <c r="L121" s="57"/>
      <c r="O121" s="514"/>
      <c r="Q121" s="190"/>
      <c r="R121" s="9"/>
      <c r="S121" s="9"/>
    </row>
    <row r="122" spans="1:19">
      <c r="A122" s="6">
        <v>728</v>
      </c>
      <c r="B122" s="6">
        <f t="shared" si="8"/>
        <v>113</v>
      </c>
      <c r="C122" s="6">
        <f t="shared" si="5"/>
        <v>728319</v>
      </c>
      <c r="D122" s="6" t="s">
        <v>448</v>
      </c>
      <c r="E122" s="6">
        <v>319</v>
      </c>
      <c r="F122" s="6" t="s">
        <v>564</v>
      </c>
      <c r="G122" s="512">
        <v>0.58677685950000003</v>
      </c>
      <c r="H122" s="9">
        <v>121</v>
      </c>
      <c r="I122" s="9">
        <v>71</v>
      </c>
      <c r="J122" s="57">
        <f t="shared" si="6"/>
        <v>42.41</v>
      </c>
      <c r="K122" s="57">
        <f t="shared" si="7"/>
        <v>24.885206611394999</v>
      </c>
      <c r="L122" s="57"/>
      <c r="O122" s="514"/>
      <c r="Q122" s="190"/>
      <c r="R122" s="9"/>
      <c r="S122" s="9"/>
    </row>
    <row r="123" spans="1:19">
      <c r="A123" s="6">
        <v>730</v>
      </c>
      <c r="B123" s="6">
        <f t="shared" si="8"/>
        <v>114</v>
      </c>
      <c r="C123" s="6">
        <f t="shared" si="5"/>
        <v>730213</v>
      </c>
      <c r="D123" s="6" t="s">
        <v>459</v>
      </c>
      <c r="E123" s="6">
        <v>213</v>
      </c>
      <c r="F123" s="6" t="s">
        <v>458</v>
      </c>
      <c r="G123" s="512">
        <v>0.61639344261999995</v>
      </c>
      <c r="H123" s="9">
        <v>1220</v>
      </c>
      <c r="I123" s="9">
        <v>752</v>
      </c>
      <c r="J123" s="57">
        <f t="shared" si="6"/>
        <v>82.5</v>
      </c>
      <c r="K123" s="57">
        <f t="shared" si="7"/>
        <v>50.852459016149993</v>
      </c>
      <c r="L123" s="57"/>
      <c r="O123" s="514"/>
      <c r="Q123" s="190"/>
      <c r="R123" s="9"/>
      <c r="S123" s="9"/>
    </row>
    <row r="124" spans="1:19">
      <c r="A124" s="6">
        <v>730</v>
      </c>
      <c r="B124" s="6">
        <f t="shared" si="8"/>
        <v>115</v>
      </c>
      <c r="C124" s="6">
        <f t="shared" si="5"/>
        <v>730276</v>
      </c>
      <c r="D124" s="6" t="s">
        <v>459</v>
      </c>
      <c r="E124" s="6">
        <v>276</v>
      </c>
      <c r="F124" s="6" t="s">
        <v>523</v>
      </c>
      <c r="G124" s="512">
        <v>0.38360655737999999</v>
      </c>
      <c r="H124" s="9">
        <v>1220</v>
      </c>
      <c r="I124" s="9">
        <v>468</v>
      </c>
      <c r="J124" s="57">
        <f t="shared" si="6"/>
        <v>82.5</v>
      </c>
      <c r="K124" s="57">
        <f t="shared" si="7"/>
        <v>31.64754098385</v>
      </c>
      <c r="L124" s="57"/>
      <c r="O124" s="514"/>
      <c r="Q124" s="190"/>
      <c r="R124" s="9"/>
      <c r="S124" s="9"/>
    </row>
    <row r="125" spans="1:19">
      <c r="A125" s="6">
        <v>735</v>
      </c>
      <c r="B125" s="6">
        <f t="shared" si="8"/>
        <v>116</v>
      </c>
      <c r="C125" s="6">
        <f t="shared" si="5"/>
        <v>735012</v>
      </c>
      <c r="D125" s="6" t="s">
        <v>12</v>
      </c>
      <c r="E125" s="6">
        <v>12</v>
      </c>
      <c r="F125" s="6" t="s">
        <v>11</v>
      </c>
      <c r="G125" s="512">
        <v>0.13100158982999999</v>
      </c>
      <c r="H125" s="9">
        <v>3145</v>
      </c>
      <c r="I125" s="9">
        <v>412</v>
      </c>
      <c r="J125" s="57">
        <f t="shared" si="6"/>
        <v>55.29</v>
      </c>
      <c r="K125" s="57">
        <f t="shared" si="7"/>
        <v>7.2430779017006994</v>
      </c>
      <c r="L125" s="57"/>
      <c r="O125" s="514"/>
      <c r="Q125" s="190"/>
      <c r="R125" s="9"/>
      <c r="S125" s="9"/>
    </row>
    <row r="126" spans="1:19">
      <c r="A126" s="6">
        <v>735</v>
      </c>
      <c r="B126" s="6">
        <f t="shared" si="8"/>
        <v>117</v>
      </c>
      <c r="C126" s="6">
        <f t="shared" si="5"/>
        <v>735232</v>
      </c>
      <c r="D126" s="6" t="s">
        <v>12</v>
      </c>
      <c r="E126" s="6">
        <v>232</v>
      </c>
      <c r="F126" s="6" t="s">
        <v>484</v>
      </c>
      <c r="G126" s="512">
        <v>0.48203497615000002</v>
      </c>
      <c r="H126" s="9">
        <v>3145</v>
      </c>
      <c r="I126" s="9">
        <v>1516</v>
      </c>
      <c r="J126" s="57">
        <f t="shared" si="6"/>
        <v>64.67</v>
      </c>
      <c r="K126" s="57">
        <f t="shared" si="7"/>
        <v>31.173201907620502</v>
      </c>
      <c r="L126" s="57"/>
      <c r="O126" s="514"/>
      <c r="Q126" s="190"/>
      <c r="R126" s="9"/>
      <c r="S126" s="9"/>
    </row>
    <row r="127" spans="1:19">
      <c r="A127" s="6">
        <v>735</v>
      </c>
      <c r="B127" s="6">
        <f t="shared" si="8"/>
        <v>118</v>
      </c>
      <c r="C127" s="6">
        <f t="shared" si="5"/>
        <v>735299</v>
      </c>
      <c r="D127" s="6" t="s">
        <v>12</v>
      </c>
      <c r="E127" s="6">
        <v>299</v>
      </c>
      <c r="F127" s="6" t="s">
        <v>547</v>
      </c>
      <c r="G127" s="512">
        <v>0.38696343402</v>
      </c>
      <c r="H127" s="9">
        <v>3145</v>
      </c>
      <c r="I127" s="9">
        <v>1217</v>
      </c>
      <c r="J127" s="57">
        <f t="shared" si="6"/>
        <v>53.94</v>
      </c>
      <c r="K127" s="57">
        <f t="shared" si="7"/>
        <v>20.8728076310388</v>
      </c>
      <c r="L127" s="57"/>
      <c r="O127" s="514"/>
      <c r="Q127" s="190"/>
      <c r="R127" s="9"/>
      <c r="S127" s="9"/>
    </row>
    <row r="128" spans="1:19">
      <c r="A128" s="6">
        <v>740</v>
      </c>
      <c r="B128" s="6">
        <f t="shared" si="8"/>
        <v>119</v>
      </c>
      <c r="C128" s="6">
        <f t="shared" si="5"/>
        <v>740169</v>
      </c>
      <c r="D128" s="6" t="s">
        <v>411</v>
      </c>
      <c r="E128" s="6">
        <v>169</v>
      </c>
      <c r="F128" s="6" t="s">
        <v>410</v>
      </c>
      <c r="G128" s="512">
        <v>0.32244467860999998</v>
      </c>
      <c r="H128" s="9">
        <v>949</v>
      </c>
      <c r="I128" s="9">
        <v>306</v>
      </c>
      <c r="J128" s="57">
        <f t="shared" si="6"/>
        <v>82.5</v>
      </c>
      <c r="K128" s="57">
        <f t="shared" si="7"/>
        <v>26.601685985324998</v>
      </c>
      <c r="L128" s="57"/>
      <c r="O128" s="514"/>
      <c r="Q128" s="190"/>
      <c r="R128" s="9"/>
      <c r="S128" s="9"/>
    </row>
    <row r="129" spans="1:19">
      <c r="A129" s="6">
        <v>740</v>
      </c>
      <c r="B129" s="6">
        <f t="shared" si="8"/>
        <v>120</v>
      </c>
      <c r="C129" s="6">
        <f t="shared" si="5"/>
        <v>740173</v>
      </c>
      <c r="D129" s="6" t="s">
        <v>411</v>
      </c>
      <c r="E129" s="6">
        <v>173</v>
      </c>
      <c r="F129" s="6" t="s">
        <v>414</v>
      </c>
      <c r="G129" s="512">
        <v>0.3487881981</v>
      </c>
      <c r="H129" s="9">
        <v>949</v>
      </c>
      <c r="I129" s="9">
        <v>331</v>
      </c>
      <c r="J129" s="57">
        <f t="shared" si="6"/>
        <v>82.5</v>
      </c>
      <c r="K129" s="57">
        <f t="shared" si="7"/>
        <v>28.775026343250001</v>
      </c>
      <c r="L129" s="57"/>
      <c r="O129" s="514"/>
      <c r="Q129" s="190"/>
      <c r="R129" s="9"/>
      <c r="S129" s="9"/>
    </row>
    <row r="130" spans="1:19">
      <c r="A130" s="6">
        <v>740</v>
      </c>
      <c r="B130" s="6">
        <f t="shared" si="8"/>
        <v>121</v>
      </c>
      <c r="C130" s="6">
        <f t="shared" si="5"/>
        <v>740250</v>
      </c>
      <c r="D130" s="6" t="s">
        <v>411</v>
      </c>
      <c r="E130" s="6">
        <v>250</v>
      </c>
      <c r="F130" s="6" t="s">
        <v>500</v>
      </c>
      <c r="G130" s="512">
        <v>0.32876712329000002</v>
      </c>
      <c r="H130" s="9">
        <v>949</v>
      </c>
      <c r="I130" s="9">
        <v>312</v>
      </c>
      <c r="J130" s="57">
        <f t="shared" si="6"/>
        <v>73.64</v>
      </c>
      <c r="K130" s="57">
        <f t="shared" si="7"/>
        <v>24.210410959075602</v>
      </c>
      <c r="L130" s="57"/>
      <c r="O130" s="514"/>
      <c r="Q130" s="190"/>
      <c r="R130" s="9"/>
      <c r="S130" s="9"/>
    </row>
    <row r="131" spans="1:19">
      <c r="A131" s="6">
        <v>745</v>
      </c>
      <c r="B131" s="6">
        <f t="shared" si="8"/>
        <v>122</v>
      </c>
      <c r="C131" s="6">
        <f t="shared" si="5"/>
        <v>745116</v>
      </c>
      <c r="D131" s="6" t="s">
        <v>344</v>
      </c>
      <c r="E131" s="6">
        <v>116</v>
      </c>
      <c r="F131" s="6" t="s">
        <v>343</v>
      </c>
      <c r="G131" s="512">
        <v>0.38998287670999998</v>
      </c>
      <c r="H131" s="9">
        <v>2336</v>
      </c>
      <c r="I131" s="9">
        <v>911</v>
      </c>
      <c r="J131" s="57">
        <f t="shared" si="6"/>
        <v>81.19</v>
      </c>
      <c r="K131" s="57">
        <f t="shared" si="7"/>
        <v>31.662709760084898</v>
      </c>
      <c r="L131" s="57"/>
      <c r="O131" s="514"/>
      <c r="Q131" s="190"/>
      <c r="R131" s="9"/>
      <c r="S131" s="9"/>
    </row>
    <row r="132" spans="1:19">
      <c r="A132" s="6">
        <v>745</v>
      </c>
      <c r="B132" s="6">
        <f t="shared" si="8"/>
        <v>123</v>
      </c>
      <c r="C132" s="6">
        <f t="shared" si="5"/>
        <v>745180</v>
      </c>
      <c r="D132" s="6" t="s">
        <v>344</v>
      </c>
      <c r="E132" s="6">
        <v>180</v>
      </c>
      <c r="F132" s="6" t="s">
        <v>422</v>
      </c>
      <c r="G132" s="512">
        <v>0.35958904110000001</v>
      </c>
      <c r="H132" s="9">
        <v>2336</v>
      </c>
      <c r="I132" s="9">
        <v>840</v>
      </c>
      <c r="J132" s="57">
        <f t="shared" si="6"/>
        <v>77.010000000000005</v>
      </c>
      <c r="K132" s="57">
        <f t="shared" si="7"/>
        <v>27.691952055111003</v>
      </c>
      <c r="L132" s="57"/>
      <c r="O132" s="514"/>
      <c r="Q132" s="190"/>
      <c r="R132" s="9"/>
      <c r="S132" s="9"/>
    </row>
    <row r="133" spans="1:19">
      <c r="A133" s="6">
        <v>745</v>
      </c>
      <c r="B133" s="6">
        <f t="shared" si="8"/>
        <v>124</v>
      </c>
      <c r="C133" s="6">
        <f t="shared" si="5"/>
        <v>745329</v>
      </c>
      <c r="D133" s="6" t="s">
        <v>344</v>
      </c>
      <c r="E133" s="6">
        <v>329</v>
      </c>
      <c r="F133" s="6" t="s">
        <v>572</v>
      </c>
      <c r="G133" s="512">
        <v>0.25042808219000001</v>
      </c>
      <c r="H133" s="9">
        <v>2336</v>
      </c>
      <c r="I133" s="9">
        <v>585</v>
      </c>
      <c r="J133" s="57">
        <f t="shared" si="6"/>
        <v>82.5</v>
      </c>
      <c r="K133" s="57">
        <f t="shared" si="7"/>
        <v>20.660316780675</v>
      </c>
      <c r="L133" s="57"/>
      <c r="O133" s="514"/>
      <c r="Q133" s="190"/>
      <c r="R133" s="9"/>
      <c r="S133" s="9"/>
    </row>
    <row r="134" spans="1:19">
      <c r="A134" s="6">
        <v>750</v>
      </c>
      <c r="B134" s="6">
        <f t="shared" si="8"/>
        <v>125</v>
      </c>
      <c r="C134" s="6">
        <f t="shared" si="5"/>
        <v>750029</v>
      </c>
      <c r="D134" s="6" t="s">
        <v>44</v>
      </c>
      <c r="E134" s="6">
        <v>29</v>
      </c>
      <c r="F134" s="6" t="s">
        <v>43</v>
      </c>
      <c r="G134" s="512">
        <v>0.40221402214000002</v>
      </c>
      <c r="H134" s="9">
        <v>542</v>
      </c>
      <c r="I134" s="9">
        <v>218</v>
      </c>
      <c r="J134" s="57">
        <f t="shared" si="6"/>
        <v>60.55</v>
      </c>
      <c r="K134" s="57">
        <f t="shared" si="7"/>
        <v>24.354059040576999</v>
      </c>
      <c r="L134" s="57"/>
      <c r="O134" s="514"/>
      <c r="Q134" s="190"/>
      <c r="R134" s="9"/>
      <c r="S134" s="9"/>
    </row>
    <row r="135" spans="1:19">
      <c r="A135" s="6">
        <v>750</v>
      </c>
      <c r="B135" s="6">
        <f t="shared" si="8"/>
        <v>126</v>
      </c>
      <c r="C135" s="6">
        <f t="shared" si="5"/>
        <v>750156</v>
      </c>
      <c r="D135" s="6" t="s">
        <v>44</v>
      </c>
      <c r="E135" s="6">
        <v>156</v>
      </c>
      <c r="F135" s="6" t="s">
        <v>380</v>
      </c>
      <c r="G135" s="512">
        <v>0.12730627306</v>
      </c>
      <c r="H135" s="9">
        <v>542</v>
      </c>
      <c r="I135" s="9">
        <v>69</v>
      </c>
      <c r="J135" s="57">
        <f t="shared" si="6"/>
        <v>82.5</v>
      </c>
      <c r="K135" s="57">
        <f t="shared" si="7"/>
        <v>10.502767527450001</v>
      </c>
      <c r="L135" s="57"/>
      <c r="O135" s="514"/>
      <c r="Q135" s="190"/>
      <c r="R135" s="9"/>
      <c r="S135" s="9"/>
    </row>
    <row r="136" spans="1:19">
      <c r="A136" s="6">
        <v>750</v>
      </c>
      <c r="B136" s="6">
        <f t="shared" si="8"/>
        <v>127</v>
      </c>
      <c r="C136" s="6">
        <f t="shared" si="5"/>
        <v>750216</v>
      </c>
      <c r="D136" s="6" t="s">
        <v>44</v>
      </c>
      <c r="E136" s="6">
        <v>216</v>
      </c>
      <c r="F136" s="6" t="s">
        <v>462</v>
      </c>
      <c r="G136" s="512">
        <v>0.47047970480000001</v>
      </c>
      <c r="H136" s="9">
        <v>542</v>
      </c>
      <c r="I136" s="9">
        <v>255</v>
      </c>
      <c r="J136" s="57">
        <f t="shared" si="6"/>
        <v>82.5</v>
      </c>
      <c r="K136" s="57">
        <f t="shared" si="7"/>
        <v>38.814575646000002</v>
      </c>
      <c r="L136" s="57"/>
      <c r="O136" s="514"/>
      <c r="Q136" s="190"/>
      <c r="R136" s="9"/>
      <c r="S136" s="9"/>
    </row>
    <row r="137" spans="1:19">
      <c r="A137" s="6">
        <v>753</v>
      </c>
      <c r="B137" s="6">
        <f t="shared" si="8"/>
        <v>128</v>
      </c>
      <c r="C137" s="6">
        <f t="shared" si="5"/>
        <v>753021</v>
      </c>
      <c r="D137" s="6" t="s">
        <v>29</v>
      </c>
      <c r="E137" s="6">
        <v>21</v>
      </c>
      <c r="F137" s="6" t="s">
        <v>28</v>
      </c>
      <c r="G137" s="512">
        <v>0.37606837606999999</v>
      </c>
      <c r="H137" s="9">
        <v>1989</v>
      </c>
      <c r="I137" s="9">
        <v>748</v>
      </c>
      <c r="J137" s="57">
        <f t="shared" si="6"/>
        <v>43.09</v>
      </c>
      <c r="K137" s="57">
        <f t="shared" si="7"/>
        <v>16.2047863248563</v>
      </c>
      <c r="L137" s="57"/>
      <c r="O137" s="514"/>
      <c r="Q137" s="190"/>
      <c r="R137" s="9"/>
      <c r="S137" s="9"/>
    </row>
    <row r="138" spans="1:19">
      <c r="A138" s="6">
        <v>753</v>
      </c>
      <c r="B138" s="6">
        <f t="shared" si="8"/>
        <v>129</v>
      </c>
      <c r="C138" s="6">
        <f t="shared" ref="C138:C201" si="9">A138*1000+E138</f>
        <v>753124</v>
      </c>
      <c r="D138" s="6" t="s">
        <v>29</v>
      </c>
      <c r="E138" s="6">
        <v>124</v>
      </c>
      <c r="F138" s="6" t="s">
        <v>354</v>
      </c>
      <c r="G138" s="512">
        <v>0.16189039718000001</v>
      </c>
      <c r="H138" s="9">
        <v>1989</v>
      </c>
      <c r="I138" s="9">
        <v>322</v>
      </c>
      <c r="J138" s="57">
        <f t="shared" si="6"/>
        <v>44.21</v>
      </c>
      <c r="K138" s="57">
        <f t="shared" si="7"/>
        <v>7.1571744593278002</v>
      </c>
      <c r="L138" s="57"/>
      <c r="O138" s="514"/>
      <c r="Q138" s="190"/>
      <c r="R138" s="9"/>
      <c r="S138" s="9"/>
    </row>
    <row r="139" spans="1:19">
      <c r="A139" s="6">
        <v>753</v>
      </c>
      <c r="B139" s="6">
        <f t="shared" si="8"/>
        <v>130</v>
      </c>
      <c r="C139" s="6">
        <f t="shared" si="9"/>
        <v>753140</v>
      </c>
      <c r="D139" s="6" t="s">
        <v>29</v>
      </c>
      <c r="E139" s="6">
        <v>140</v>
      </c>
      <c r="F139" s="6" t="s">
        <v>368</v>
      </c>
      <c r="G139" s="512">
        <v>0.29059829059999998</v>
      </c>
      <c r="H139" s="9">
        <v>1989</v>
      </c>
      <c r="I139" s="9">
        <v>578</v>
      </c>
      <c r="J139" s="57">
        <f t="shared" ref="J139:J202" si="10">ROUND(VLOOKUP(E139,town351,12),2)</f>
        <v>58.42</v>
      </c>
      <c r="K139" s="57">
        <f t="shared" ref="K139:K202" si="11">G139*J139</f>
        <v>16.976752136851999</v>
      </c>
      <c r="L139" s="57"/>
      <c r="O139" s="514"/>
      <c r="Q139" s="190"/>
      <c r="R139" s="9"/>
      <c r="S139" s="9"/>
    </row>
    <row r="140" spans="1:19">
      <c r="A140" s="6">
        <v>753</v>
      </c>
      <c r="B140" s="6">
        <f t="shared" ref="B140:B203" si="12">B139+1</f>
        <v>131</v>
      </c>
      <c r="C140" s="6">
        <f t="shared" si="9"/>
        <v>753202</v>
      </c>
      <c r="D140" s="6" t="s">
        <v>29</v>
      </c>
      <c r="E140" s="6">
        <v>202</v>
      </c>
      <c r="F140" s="6" t="s">
        <v>442</v>
      </c>
      <c r="G140" s="512">
        <v>5.329311212E-2</v>
      </c>
      <c r="H140" s="9">
        <v>1989</v>
      </c>
      <c r="I140" s="9">
        <v>106</v>
      </c>
      <c r="J140" s="57">
        <f t="shared" si="10"/>
        <v>69.180000000000007</v>
      </c>
      <c r="K140" s="57">
        <f t="shared" si="11"/>
        <v>3.6868174964616003</v>
      </c>
      <c r="L140" s="57"/>
      <c r="O140" s="514"/>
      <c r="Q140" s="190"/>
      <c r="R140" s="9"/>
      <c r="S140" s="9"/>
    </row>
    <row r="141" spans="1:19">
      <c r="A141" s="6">
        <v>753</v>
      </c>
      <c r="B141" s="6">
        <f t="shared" si="12"/>
        <v>132</v>
      </c>
      <c r="C141" s="6">
        <f t="shared" si="9"/>
        <v>753222</v>
      </c>
      <c r="D141" s="6" t="s">
        <v>29</v>
      </c>
      <c r="E141" s="6">
        <v>222</v>
      </c>
      <c r="F141" s="6" t="s">
        <v>470</v>
      </c>
      <c r="G141" s="512">
        <v>0.11814982403</v>
      </c>
      <c r="H141" s="9">
        <v>1989</v>
      </c>
      <c r="I141" s="9">
        <v>235</v>
      </c>
      <c r="J141" s="57">
        <f t="shared" si="10"/>
        <v>60.35</v>
      </c>
      <c r="K141" s="57">
        <f t="shared" si="11"/>
        <v>7.1303418802105005</v>
      </c>
      <c r="L141" s="57"/>
      <c r="O141" s="514"/>
      <c r="Q141" s="190"/>
      <c r="R141" s="9"/>
      <c r="S141" s="9"/>
    </row>
    <row r="142" spans="1:19">
      <c r="A142" s="6">
        <v>755</v>
      </c>
      <c r="B142" s="6">
        <f t="shared" si="12"/>
        <v>133</v>
      </c>
      <c r="C142" s="6">
        <f t="shared" si="9"/>
        <v>755206</v>
      </c>
      <c r="D142" s="6" t="s">
        <v>449</v>
      </c>
      <c r="E142" s="6">
        <v>206</v>
      </c>
      <c r="F142" s="6" t="s">
        <v>447</v>
      </c>
      <c r="G142" s="512">
        <v>4.7016274859999999E-2</v>
      </c>
      <c r="H142" s="9">
        <v>553</v>
      </c>
      <c r="I142" s="9">
        <v>26</v>
      </c>
      <c r="J142" s="57">
        <f t="shared" si="10"/>
        <v>68.709999999999994</v>
      </c>
      <c r="K142" s="57">
        <f t="shared" si="11"/>
        <v>3.2304882456305997</v>
      </c>
      <c r="L142" s="57"/>
      <c r="O142" s="514"/>
      <c r="Q142" s="190"/>
      <c r="R142" s="9"/>
      <c r="S142" s="9"/>
    </row>
    <row r="143" spans="1:19">
      <c r="A143" s="6">
        <v>755</v>
      </c>
      <c r="B143" s="6">
        <f t="shared" si="12"/>
        <v>134</v>
      </c>
      <c r="C143" s="6">
        <f t="shared" si="9"/>
        <v>755223</v>
      </c>
      <c r="D143" s="6" t="s">
        <v>449</v>
      </c>
      <c r="E143" s="6">
        <v>223</v>
      </c>
      <c r="F143" s="6" t="s">
        <v>471</v>
      </c>
      <c r="G143" s="512">
        <v>0.77576853526</v>
      </c>
      <c r="H143" s="9">
        <v>553</v>
      </c>
      <c r="I143" s="9">
        <v>429</v>
      </c>
      <c r="J143" s="57">
        <f t="shared" si="10"/>
        <v>28.82</v>
      </c>
      <c r="K143" s="57">
        <f t="shared" si="11"/>
        <v>22.3576491861932</v>
      </c>
      <c r="L143" s="57"/>
      <c r="O143" s="514"/>
      <c r="Q143" s="190"/>
      <c r="R143" s="9"/>
      <c r="S143" s="9"/>
    </row>
    <row r="144" spans="1:19">
      <c r="A144" s="6">
        <v>755</v>
      </c>
      <c r="B144" s="6">
        <f t="shared" si="12"/>
        <v>135</v>
      </c>
      <c r="C144" s="6">
        <f t="shared" si="9"/>
        <v>755234</v>
      </c>
      <c r="D144" s="6" t="s">
        <v>449</v>
      </c>
      <c r="E144" s="6">
        <v>234</v>
      </c>
      <c r="F144" s="6" t="s">
        <v>486</v>
      </c>
      <c r="G144" s="512">
        <v>0.10126582278</v>
      </c>
      <c r="H144" s="9">
        <v>553</v>
      </c>
      <c r="I144" s="9">
        <v>56</v>
      </c>
      <c r="J144" s="57">
        <f t="shared" si="10"/>
        <v>64.78</v>
      </c>
      <c r="K144" s="57">
        <f t="shared" si="11"/>
        <v>6.5599999996884</v>
      </c>
      <c r="L144" s="57"/>
      <c r="O144" s="514"/>
      <c r="Q144" s="190"/>
      <c r="R144" s="9"/>
      <c r="S144" s="9"/>
    </row>
    <row r="145" spans="1:19">
      <c r="A145" s="6">
        <v>755</v>
      </c>
      <c r="B145" s="6">
        <f t="shared" si="12"/>
        <v>136</v>
      </c>
      <c r="C145" s="6">
        <f t="shared" si="9"/>
        <v>755319</v>
      </c>
      <c r="D145" s="6" t="s">
        <v>449</v>
      </c>
      <c r="E145" s="6">
        <v>319</v>
      </c>
      <c r="F145" s="6" t="s">
        <v>564</v>
      </c>
      <c r="G145" s="512">
        <v>7.5949367089999997E-2</v>
      </c>
      <c r="H145" s="9">
        <v>553</v>
      </c>
      <c r="I145" s="9">
        <v>42</v>
      </c>
      <c r="J145" s="57">
        <f t="shared" si="10"/>
        <v>42.41</v>
      </c>
      <c r="K145" s="57">
        <f t="shared" si="11"/>
        <v>3.2210126582868996</v>
      </c>
      <c r="L145" s="57"/>
      <c r="O145" s="514"/>
      <c r="Q145" s="190"/>
      <c r="R145" s="9"/>
      <c r="S145" s="9"/>
    </row>
    <row r="146" spans="1:19">
      <c r="A146" s="6">
        <v>760</v>
      </c>
      <c r="B146" s="6">
        <f t="shared" si="12"/>
        <v>137</v>
      </c>
      <c r="C146" s="6">
        <f t="shared" si="9"/>
        <v>760118</v>
      </c>
      <c r="D146" s="6" t="s">
        <v>346</v>
      </c>
      <c r="E146" s="6">
        <v>118</v>
      </c>
      <c r="F146" s="6" t="s">
        <v>345</v>
      </c>
      <c r="G146" s="512">
        <v>0.31705916140000001</v>
      </c>
      <c r="H146" s="9">
        <v>1741</v>
      </c>
      <c r="I146" s="9">
        <v>552</v>
      </c>
      <c r="J146" s="57">
        <f t="shared" si="10"/>
        <v>58.15</v>
      </c>
      <c r="K146" s="57">
        <f t="shared" si="11"/>
        <v>18.436990235410001</v>
      </c>
      <c r="L146" s="57"/>
      <c r="O146" s="514"/>
      <c r="Q146" s="190"/>
      <c r="R146" s="9"/>
      <c r="S146" s="9"/>
    </row>
    <row r="147" spans="1:19">
      <c r="A147" s="6">
        <v>760</v>
      </c>
      <c r="B147" s="6">
        <f t="shared" si="12"/>
        <v>138</v>
      </c>
      <c r="C147" s="6">
        <f t="shared" si="9"/>
        <v>760145</v>
      </c>
      <c r="D147" s="6" t="s">
        <v>346</v>
      </c>
      <c r="E147" s="6">
        <v>145</v>
      </c>
      <c r="F147" s="6" t="s">
        <v>372</v>
      </c>
      <c r="G147" s="512">
        <v>0.57323377368999995</v>
      </c>
      <c r="H147" s="9">
        <v>1741</v>
      </c>
      <c r="I147" s="9">
        <v>998</v>
      </c>
      <c r="J147" s="57">
        <f t="shared" si="10"/>
        <v>68.78</v>
      </c>
      <c r="K147" s="57">
        <f t="shared" si="11"/>
        <v>39.4270189543982</v>
      </c>
      <c r="L147" s="57"/>
      <c r="O147" s="514"/>
      <c r="Q147" s="190"/>
      <c r="R147" s="9"/>
      <c r="S147" s="9"/>
    </row>
    <row r="148" spans="1:19">
      <c r="A148" s="6">
        <v>760</v>
      </c>
      <c r="B148" s="6">
        <f t="shared" si="12"/>
        <v>139</v>
      </c>
      <c r="C148" s="6">
        <f t="shared" si="9"/>
        <v>760240</v>
      </c>
      <c r="D148" s="6" t="s">
        <v>346</v>
      </c>
      <c r="E148" s="6">
        <v>240</v>
      </c>
      <c r="F148" s="6" t="s">
        <v>491</v>
      </c>
      <c r="G148" s="512">
        <v>0.10970706491</v>
      </c>
      <c r="H148" s="9">
        <v>1741</v>
      </c>
      <c r="I148" s="9">
        <v>191</v>
      </c>
      <c r="J148" s="57">
        <f t="shared" si="10"/>
        <v>74.69</v>
      </c>
      <c r="K148" s="57">
        <f t="shared" si="11"/>
        <v>8.1940206781278988</v>
      </c>
      <c r="L148" s="57"/>
      <c r="O148" s="514"/>
      <c r="Q148" s="190"/>
      <c r="R148" s="9"/>
      <c r="S148" s="9"/>
    </row>
    <row r="149" spans="1:19">
      <c r="A149" s="6">
        <v>763</v>
      </c>
      <c r="B149" s="6">
        <f t="shared" si="12"/>
        <v>140</v>
      </c>
      <c r="C149" s="6">
        <f t="shared" si="9"/>
        <v>763027</v>
      </c>
      <c r="D149" s="6" t="s">
        <v>237</v>
      </c>
      <c r="E149" s="6">
        <v>27</v>
      </c>
      <c r="F149" s="6" t="s">
        <v>38</v>
      </c>
      <c r="G149" s="512">
        <v>0.24293193717</v>
      </c>
      <c r="H149" s="9">
        <v>955</v>
      </c>
      <c r="I149" s="9">
        <v>232</v>
      </c>
      <c r="J149" s="57">
        <f t="shared" si="10"/>
        <v>59.65</v>
      </c>
      <c r="K149" s="57">
        <f t="shared" si="11"/>
        <v>14.490890052190499</v>
      </c>
      <c r="L149" s="57"/>
      <c r="O149" s="514"/>
      <c r="Q149" s="190"/>
      <c r="R149" s="9"/>
      <c r="S149" s="9"/>
    </row>
    <row r="150" spans="1:19">
      <c r="A150" s="6">
        <v>763</v>
      </c>
      <c r="B150" s="6">
        <f t="shared" si="12"/>
        <v>141</v>
      </c>
      <c r="C150" s="6">
        <f t="shared" si="9"/>
        <v>763273</v>
      </c>
      <c r="D150" s="6" t="s">
        <v>237</v>
      </c>
      <c r="E150" s="6">
        <v>273</v>
      </c>
      <c r="F150" s="6" t="s">
        <v>521</v>
      </c>
      <c r="G150" s="512">
        <v>0.75706806283000005</v>
      </c>
      <c r="H150" s="9">
        <v>955</v>
      </c>
      <c r="I150" s="9">
        <v>723</v>
      </c>
      <c r="J150" s="57">
        <f t="shared" si="10"/>
        <v>60.03</v>
      </c>
      <c r="K150" s="57">
        <f t="shared" si="11"/>
        <v>45.446795811684908</v>
      </c>
      <c r="L150" s="57"/>
      <c r="O150" s="514"/>
      <c r="Q150" s="190"/>
      <c r="R150" s="9"/>
      <c r="S150" s="9"/>
    </row>
    <row r="151" spans="1:19">
      <c r="A151" s="6">
        <v>765</v>
      </c>
      <c r="B151" s="6">
        <f t="shared" si="12"/>
        <v>142</v>
      </c>
      <c r="C151" s="6">
        <f t="shared" si="9"/>
        <v>765006</v>
      </c>
      <c r="D151" s="6" t="s">
        <v>0</v>
      </c>
      <c r="E151" s="6">
        <v>6</v>
      </c>
      <c r="F151" s="6" t="s">
        <v>629</v>
      </c>
      <c r="G151" s="512">
        <v>3.062787136E-2</v>
      </c>
      <c r="H151" s="9">
        <v>653</v>
      </c>
      <c r="I151" s="9">
        <v>20</v>
      </c>
      <c r="J151" s="57">
        <f t="shared" si="10"/>
        <v>82.5</v>
      </c>
      <c r="K151" s="57">
        <f t="shared" si="11"/>
        <v>2.5267993872000001</v>
      </c>
      <c r="L151" s="57"/>
      <c r="O151" s="514"/>
      <c r="Q151" s="190"/>
      <c r="R151" s="9"/>
      <c r="S151" s="9"/>
    </row>
    <row r="152" spans="1:19">
      <c r="A152" s="6">
        <v>765</v>
      </c>
      <c r="B152" s="6">
        <f t="shared" si="12"/>
        <v>143</v>
      </c>
      <c r="C152" s="6">
        <f t="shared" si="9"/>
        <v>765090</v>
      </c>
      <c r="D152" s="6" t="s">
        <v>0</v>
      </c>
      <c r="E152" s="6">
        <v>90</v>
      </c>
      <c r="F152" s="6" t="s">
        <v>314</v>
      </c>
      <c r="G152" s="512">
        <v>0.1393568147</v>
      </c>
      <c r="H152" s="9">
        <v>653</v>
      </c>
      <c r="I152" s="9">
        <v>91</v>
      </c>
      <c r="J152" s="57">
        <f t="shared" si="10"/>
        <v>82.5</v>
      </c>
      <c r="K152" s="57">
        <f t="shared" si="11"/>
        <v>11.49693721275</v>
      </c>
      <c r="L152" s="57"/>
      <c r="O152" s="514"/>
      <c r="Q152" s="190"/>
      <c r="R152" s="9"/>
      <c r="S152" s="9"/>
    </row>
    <row r="153" spans="1:19">
      <c r="A153" s="6">
        <v>765</v>
      </c>
      <c r="B153" s="6">
        <f t="shared" si="12"/>
        <v>144</v>
      </c>
      <c r="C153" s="6">
        <f t="shared" si="9"/>
        <v>765193</v>
      </c>
      <c r="D153" s="6" t="s">
        <v>0</v>
      </c>
      <c r="E153" s="6">
        <v>193</v>
      </c>
      <c r="F153" s="6" t="s">
        <v>435</v>
      </c>
      <c r="G153" s="512">
        <v>0.13323124043000001</v>
      </c>
      <c r="H153" s="9">
        <v>653</v>
      </c>
      <c r="I153" s="9">
        <v>87</v>
      </c>
      <c r="J153" s="57">
        <f t="shared" si="10"/>
        <v>82.5</v>
      </c>
      <c r="K153" s="57">
        <f t="shared" si="11"/>
        <v>10.991577335475</v>
      </c>
      <c r="L153" s="57"/>
      <c r="O153" s="514"/>
      <c r="Q153" s="190"/>
      <c r="R153" s="9"/>
      <c r="S153" s="9"/>
    </row>
    <row r="154" spans="1:19">
      <c r="A154" s="6">
        <v>765</v>
      </c>
      <c r="B154" s="6">
        <f t="shared" si="12"/>
        <v>145</v>
      </c>
      <c r="C154" s="6">
        <f t="shared" si="9"/>
        <v>765205</v>
      </c>
      <c r="D154" s="6" t="s">
        <v>0</v>
      </c>
      <c r="E154" s="6">
        <v>205</v>
      </c>
      <c r="F154" s="6" t="s">
        <v>446</v>
      </c>
      <c r="G154" s="512">
        <v>0.17151607963000001</v>
      </c>
      <c r="H154" s="9">
        <v>653</v>
      </c>
      <c r="I154" s="9">
        <v>112</v>
      </c>
      <c r="J154" s="57">
        <f t="shared" si="10"/>
        <v>82.5</v>
      </c>
      <c r="K154" s="57">
        <f t="shared" si="11"/>
        <v>14.150076569475001</v>
      </c>
      <c r="L154" s="57"/>
      <c r="O154" s="514"/>
      <c r="Q154" s="190"/>
      <c r="R154" s="9"/>
      <c r="S154" s="9"/>
    </row>
    <row r="155" spans="1:19">
      <c r="A155" s="6">
        <v>765</v>
      </c>
      <c r="B155" s="6">
        <f t="shared" si="12"/>
        <v>146</v>
      </c>
      <c r="C155" s="6">
        <f t="shared" si="9"/>
        <v>765267</v>
      </c>
      <c r="D155" s="6" t="s">
        <v>0</v>
      </c>
      <c r="E155" s="6">
        <v>267</v>
      </c>
      <c r="F155" s="6" t="s">
        <v>516</v>
      </c>
      <c r="G155" s="512">
        <v>0.52526799387000001</v>
      </c>
      <c r="H155" s="9">
        <v>653</v>
      </c>
      <c r="I155" s="9">
        <v>343</v>
      </c>
      <c r="J155" s="57">
        <f t="shared" si="10"/>
        <v>82.5</v>
      </c>
      <c r="K155" s="57">
        <f t="shared" si="11"/>
        <v>43.334609494275</v>
      </c>
      <c r="L155" s="57"/>
      <c r="O155" s="514"/>
      <c r="Q155" s="190"/>
      <c r="R155" s="9"/>
      <c r="S155" s="9"/>
    </row>
    <row r="156" spans="1:19">
      <c r="A156" s="6">
        <v>766</v>
      </c>
      <c r="B156" s="6">
        <f t="shared" si="12"/>
        <v>147</v>
      </c>
      <c r="C156" s="6">
        <f t="shared" si="9"/>
        <v>766112</v>
      </c>
      <c r="D156" s="6" t="s">
        <v>528</v>
      </c>
      <c r="E156" s="6">
        <v>112</v>
      </c>
      <c r="F156" s="6" t="s">
        <v>99</v>
      </c>
      <c r="G156" s="512">
        <v>0.12740384615</v>
      </c>
      <c r="H156" s="9">
        <v>1248</v>
      </c>
      <c r="I156" s="9">
        <v>159</v>
      </c>
      <c r="J156" s="57">
        <f t="shared" si="10"/>
        <v>78.14</v>
      </c>
      <c r="K156" s="57">
        <f t="shared" si="11"/>
        <v>9.9553365381609993</v>
      </c>
      <c r="L156" s="57"/>
      <c r="O156" s="514"/>
      <c r="Q156" s="190"/>
      <c r="R156" s="9"/>
      <c r="S156" s="9"/>
    </row>
    <row r="157" spans="1:19">
      <c r="A157" s="6">
        <v>766</v>
      </c>
      <c r="B157" s="6">
        <f t="shared" si="12"/>
        <v>148</v>
      </c>
      <c r="C157" s="6">
        <f t="shared" si="9"/>
        <v>766279</v>
      </c>
      <c r="D157" s="6" t="s">
        <v>528</v>
      </c>
      <c r="E157" s="6">
        <v>279</v>
      </c>
      <c r="F157" s="6" t="s">
        <v>527</v>
      </c>
      <c r="G157" s="512">
        <v>0.84935897435999996</v>
      </c>
      <c r="H157" s="9">
        <v>1248</v>
      </c>
      <c r="I157" s="9">
        <v>1060</v>
      </c>
      <c r="J157" s="57">
        <f t="shared" si="10"/>
        <v>71.63</v>
      </c>
      <c r="K157" s="57">
        <f t="shared" si="11"/>
        <v>60.839583333406793</v>
      </c>
      <c r="L157" s="57"/>
      <c r="O157" s="514"/>
      <c r="Q157" s="190"/>
      <c r="R157" s="9"/>
      <c r="S157" s="9"/>
    </row>
    <row r="158" spans="1:19">
      <c r="A158" s="6">
        <v>766</v>
      </c>
      <c r="B158" s="6">
        <f t="shared" si="12"/>
        <v>149</v>
      </c>
      <c r="C158" s="6">
        <f t="shared" si="9"/>
        <v>766297</v>
      </c>
      <c r="D158" s="6" t="s">
        <v>528</v>
      </c>
      <c r="E158" s="6">
        <v>297</v>
      </c>
      <c r="F158" s="6" t="s">
        <v>545</v>
      </c>
      <c r="G158" s="512">
        <v>2.3237179489999999E-2</v>
      </c>
      <c r="H158" s="9">
        <v>1248</v>
      </c>
      <c r="I158" s="9">
        <v>29</v>
      </c>
      <c r="J158" s="57">
        <f t="shared" si="10"/>
        <v>82.5</v>
      </c>
      <c r="K158" s="57">
        <f t="shared" si="11"/>
        <v>1.917067307925</v>
      </c>
      <c r="L158" s="57"/>
      <c r="O158" s="514"/>
      <c r="Q158" s="190"/>
      <c r="R158" s="9"/>
      <c r="S158" s="9"/>
    </row>
    <row r="159" spans="1:19">
      <c r="A159" s="6">
        <v>767</v>
      </c>
      <c r="B159" s="6">
        <f t="shared" si="12"/>
        <v>150</v>
      </c>
      <c r="C159" s="6">
        <f t="shared" si="9"/>
        <v>767084</v>
      </c>
      <c r="D159" s="6" t="s">
        <v>309</v>
      </c>
      <c r="E159" s="6">
        <v>84</v>
      </c>
      <c r="F159" s="6" t="s">
        <v>308</v>
      </c>
      <c r="G159" s="512">
        <v>0.16362451108000001</v>
      </c>
      <c r="H159" s="9">
        <v>1534</v>
      </c>
      <c r="I159" s="9">
        <v>251</v>
      </c>
      <c r="J159" s="57">
        <f t="shared" si="10"/>
        <v>58.32</v>
      </c>
      <c r="K159" s="57">
        <f t="shared" si="11"/>
        <v>9.5425814861856004</v>
      </c>
      <c r="L159" s="57"/>
      <c r="O159" s="514"/>
      <c r="Q159" s="190"/>
      <c r="R159" s="9"/>
      <c r="S159" s="9"/>
    </row>
    <row r="160" spans="1:19">
      <c r="A160" s="6">
        <v>767</v>
      </c>
      <c r="B160" s="6">
        <f t="shared" si="12"/>
        <v>151</v>
      </c>
      <c r="C160" s="6">
        <f t="shared" si="9"/>
        <v>767280</v>
      </c>
      <c r="D160" s="6" t="s">
        <v>309</v>
      </c>
      <c r="E160" s="6">
        <v>280</v>
      </c>
      <c r="F160" s="6" t="s">
        <v>529</v>
      </c>
      <c r="G160" s="512">
        <v>0.83637548892000002</v>
      </c>
      <c r="H160" s="9">
        <v>1534</v>
      </c>
      <c r="I160" s="9">
        <v>1283</v>
      </c>
      <c r="J160" s="57">
        <f t="shared" si="10"/>
        <v>49.46</v>
      </c>
      <c r="K160" s="57">
        <f t="shared" si="11"/>
        <v>41.367131681983203</v>
      </c>
      <c r="L160" s="57"/>
      <c r="O160" s="514"/>
      <c r="Q160" s="190"/>
      <c r="R160" s="9"/>
      <c r="S160" s="9"/>
    </row>
    <row r="161" spans="1:19">
      <c r="A161" s="6">
        <v>770</v>
      </c>
      <c r="B161" s="6">
        <f t="shared" si="12"/>
        <v>152</v>
      </c>
      <c r="C161" s="6">
        <f t="shared" si="9"/>
        <v>770043</v>
      </c>
      <c r="D161" s="6" t="s">
        <v>249</v>
      </c>
      <c r="E161" s="6">
        <v>43</v>
      </c>
      <c r="F161" s="6" t="s">
        <v>248</v>
      </c>
      <c r="G161" s="512">
        <v>0.16885676741</v>
      </c>
      <c r="H161" s="9">
        <v>1522</v>
      </c>
      <c r="I161" s="9">
        <v>257</v>
      </c>
      <c r="J161" s="57">
        <f t="shared" si="10"/>
        <v>57.06</v>
      </c>
      <c r="K161" s="57">
        <f t="shared" si="11"/>
        <v>9.6349671484145993</v>
      </c>
      <c r="L161" s="57"/>
      <c r="O161" s="514"/>
      <c r="Q161" s="190"/>
      <c r="R161" s="9"/>
      <c r="S161" s="9"/>
    </row>
    <row r="162" spans="1:19">
      <c r="A162" s="6">
        <v>770</v>
      </c>
      <c r="B162" s="6">
        <f t="shared" si="12"/>
        <v>153</v>
      </c>
      <c r="C162" s="6">
        <f t="shared" si="9"/>
        <v>770045</v>
      </c>
      <c r="D162" s="6" t="s">
        <v>249</v>
      </c>
      <c r="E162" s="6">
        <v>45</v>
      </c>
      <c r="F162" s="6" t="s">
        <v>252</v>
      </c>
      <c r="G162" s="512">
        <v>0.13600525624000001</v>
      </c>
      <c r="H162" s="9">
        <v>1522</v>
      </c>
      <c r="I162" s="9">
        <v>207</v>
      </c>
      <c r="J162" s="57">
        <f t="shared" si="10"/>
        <v>48.57</v>
      </c>
      <c r="K162" s="57">
        <f t="shared" si="11"/>
        <v>6.6057752955768008</v>
      </c>
      <c r="L162" s="57"/>
      <c r="O162" s="514"/>
      <c r="Q162" s="190"/>
      <c r="R162" s="9"/>
      <c r="S162" s="9"/>
    </row>
    <row r="163" spans="1:19">
      <c r="A163" s="6">
        <v>770</v>
      </c>
      <c r="B163" s="6">
        <f t="shared" si="12"/>
        <v>154</v>
      </c>
      <c r="C163" s="6">
        <f t="shared" si="9"/>
        <v>770135</v>
      </c>
      <c r="D163" s="6" t="s">
        <v>249</v>
      </c>
      <c r="E163" s="6">
        <v>135</v>
      </c>
      <c r="F163" s="6" t="s">
        <v>364</v>
      </c>
      <c r="G163" s="512">
        <v>8.4099868590000001E-2</v>
      </c>
      <c r="H163" s="9">
        <v>1522</v>
      </c>
      <c r="I163" s="9">
        <v>128</v>
      </c>
      <c r="J163" s="57">
        <f t="shared" si="10"/>
        <v>67.91</v>
      </c>
      <c r="K163" s="57">
        <f t="shared" si="11"/>
        <v>5.7112220759468997</v>
      </c>
      <c r="L163" s="57"/>
      <c r="O163" s="514"/>
      <c r="Q163" s="190"/>
      <c r="R163" s="9"/>
      <c r="S163" s="9"/>
    </row>
    <row r="164" spans="1:19">
      <c r="A164" s="6">
        <v>770</v>
      </c>
      <c r="B164" s="6">
        <f t="shared" si="12"/>
        <v>155</v>
      </c>
      <c r="C164" s="6">
        <f t="shared" si="9"/>
        <v>770287</v>
      </c>
      <c r="D164" s="6" t="s">
        <v>249</v>
      </c>
      <c r="E164" s="6">
        <v>287</v>
      </c>
      <c r="F164" s="6" t="s">
        <v>535</v>
      </c>
      <c r="G164" s="512">
        <v>0.52102496715000002</v>
      </c>
      <c r="H164" s="9">
        <v>1522</v>
      </c>
      <c r="I164" s="9">
        <v>793</v>
      </c>
      <c r="J164" s="57">
        <f t="shared" si="10"/>
        <v>58.78</v>
      </c>
      <c r="K164" s="57">
        <f t="shared" si="11"/>
        <v>30.625847569077003</v>
      </c>
      <c r="L164" s="57"/>
      <c r="O164" s="514"/>
      <c r="Q164" s="190"/>
      <c r="R164" s="9"/>
      <c r="S164" s="9"/>
    </row>
    <row r="165" spans="1:19">
      <c r="A165" s="6">
        <v>770</v>
      </c>
      <c r="B165" s="6">
        <f t="shared" si="12"/>
        <v>156</v>
      </c>
      <c r="C165" s="6">
        <f t="shared" si="9"/>
        <v>770306</v>
      </c>
      <c r="D165" s="6" t="s">
        <v>249</v>
      </c>
      <c r="E165" s="6">
        <v>306</v>
      </c>
      <c r="F165" s="6" t="s">
        <v>553</v>
      </c>
      <c r="G165" s="512">
        <v>9.00131406E-2</v>
      </c>
      <c r="H165" s="9">
        <v>1522</v>
      </c>
      <c r="I165" s="9">
        <v>137</v>
      </c>
      <c r="J165" s="57">
        <f t="shared" si="10"/>
        <v>41.04</v>
      </c>
      <c r="K165" s="57">
        <f t="shared" si="11"/>
        <v>3.6941392902239998</v>
      </c>
      <c r="L165" s="57"/>
      <c r="O165" s="514"/>
      <c r="Q165" s="190"/>
      <c r="R165" s="9"/>
      <c r="S165" s="9"/>
    </row>
    <row r="166" spans="1:19">
      <c r="A166" s="6">
        <v>773</v>
      </c>
      <c r="B166" s="6">
        <f t="shared" si="12"/>
        <v>157</v>
      </c>
      <c r="C166" s="6">
        <f t="shared" si="9"/>
        <v>773203</v>
      </c>
      <c r="D166" s="6" t="s">
        <v>444</v>
      </c>
      <c r="E166" s="6">
        <v>203</v>
      </c>
      <c r="F166" s="6" t="s">
        <v>443</v>
      </c>
      <c r="G166" s="512">
        <v>0.28637413395</v>
      </c>
      <c r="H166" s="9">
        <v>2165</v>
      </c>
      <c r="I166" s="9">
        <v>620</v>
      </c>
      <c r="J166" s="57">
        <f t="shared" si="10"/>
        <v>82.5</v>
      </c>
      <c r="K166" s="57">
        <f t="shared" si="11"/>
        <v>23.625866050875</v>
      </c>
      <c r="L166" s="57"/>
      <c r="O166" s="514"/>
      <c r="Q166" s="190"/>
      <c r="R166" s="9"/>
      <c r="S166" s="9"/>
    </row>
    <row r="167" spans="1:19">
      <c r="A167" s="6">
        <v>773</v>
      </c>
      <c r="B167" s="6">
        <f t="shared" si="12"/>
        <v>158</v>
      </c>
      <c r="C167" s="6">
        <f t="shared" si="9"/>
        <v>773254</v>
      </c>
      <c r="D167" s="6" t="s">
        <v>444</v>
      </c>
      <c r="E167" s="6">
        <v>254</v>
      </c>
      <c r="F167" s="6" t="s">
        <v>503</v>
      </c>
      <c r="G167" s="512">
        <v>0.32840646650999999</v>
      </c>
      <c r="H167" s="9">
        <v>2165</v>
      </c>
      <c r="I167" s="9">
        <v>711</v>
      </c>
      <c r="J167" s="57">
        <f t="shared" si="10"/>
        <v>82.5</v>
      </c>
      <c r="K167" s="57">
        <f t="shared" si="11"/>
        <v>27.093533487075</v>
      </c>
      <c r="L167" s="57"/>
      <c r="O167" s="514"/>
      <c r="Q167" s="190"/>
      <c r="R167" s="9"/>
      <c r="S167" s="9"/>
    </row>
    <row r="168" spans="1:19">
      <c r="A168" s="6">
        <v>773</v>
      </c>
      <c r="B168" s="6">
        <f t="shared" si="12"/>
        <v>159</v>
      </c>
      <c r="C168" s="6">
        <f t="shared" si="9"/>
        <v>773259</v>
      </c>
      <c r="D168" s="6" t="s">
        <v>444</v>
      </c>
      <c r="E168" s="6">
        <v>259</v>
      </c>
      <c r="F168" s="6" t="s">
        <v>508</v>
      </c>
      <c r="G168" s="512">
        <v>0.38521939954000001</v>
      </c>
      <c r="H168" s="9">
        <v>2165</v>
      </c>
      <c r="I168" s="9">
        <v>834</v>
      </c>
      <c r="J168" s="57">
        <f t="shared" si="10"/>
        <v>82.5</v>
      </c>
      <c r="K168" s="57">
        <f t="shared" si="11"/>
        <v>31.78060046205</v>
      </c>
      <c r="L168" s="57"/>
      <c r="O168" s="514"/>
      <c r="Q168" s="190"/>
      <c r="R168" s="9"/>
      <c r="S168" s="9"/>
    </row>
    <row r="169" spans="1:19">
      <c r="A169" s="6">
        <v>774</v>
      </c>
      <c r="B169" s="6">
        <f t="shared" si="12"/>
        <v>160</v>
      </c>
      <c r="C169" s="6">
        <f t="shared" si="9"/>
        <v>774062</v>
      </c>
      <c r="D169" s="6" t="s">
        <v>276</v>
      </c>
      <c r="E169" s="6">
        <v>62</v>
      </c>
      <c r="F169" s="6" t="s">
        <v>274</v>
      </c>
      <c r="G169" s="512">
        <v>0.16836734694</v>
      </c>
      <c r="H169" s="9">
        <v>392</v>
      </c>
      <c r="I169" s="9">
        <v>66</v>
      </c>
      <c r="J169" s="57">
        <f t="shared" si="10"/>
        <v>82.5</v>
      </c>
      <c r="K169" s="57">
        <f t="shared" si="11"/>
        <v>13.890306122549999</v>
      </c>
      <c r="L169" s="57"/>
      <c r="O169" s="514"/>
      <c r="Q169" s="190"/>
      <c r="R169" s="9"/>
      <c r="S169" s="9"/>
    </row>
    <row r="170" spans="1:19">
      <c r="A170" s="6">
        <v>774</v>
      </c>
      <c r="B170" s="6">
        <f t="shared" si="12"/>
        <v>161</v>
      </c>
      <c r="C170" s="6">
        <f t="shared" si="9"/>
        <v>774104</v>
      </c>
      <c r="D170" s="6" t="s">
        <v>276</v>
      </c>
      <c r="E170" s="6">
        <v>104</v>
      </c>
      <c r="F170" s="6" t="s">
        <v>592</v>
      </c>
      <c r="G170" s="512">
        <v>0.11224489796000001</v>
      </c>
      <c r="H170" s="9">
        <v>392</v>
      </c>
      <c r="I170" s="9">
        <v>44</v>
      </c>
      <c r="J170" s="57">
        <f t="shared" si="10"/>
        <v>82.5</v>
      </c>
      <c r="K170" s="57">
        <f t="shared" si="11"/>
        <v>9.2602040817000013</v>
      </c>
      <c r="L170" s="57"/>
      <c r="O170" s="514"/>
      <c r="Q170" s="190"/>
      <c r="R170" s="9"/>
      <c r="S170" s="9"/>
    </row>
    <row r="171" spans="1:19">
      <c r="A171" s="6">
        <v>774</v>
      </c>
      <c r="B171" s="6">
        <f t="shared" si="12"/>
        <v>162</v>
      </c>
      <c r="C171" s="6">
        <f t="shared" si="9"/>
        <v>774334</v>
      </c>
      <c r="D171" s="6" t="s">
        <v>276</v>
      </c>
      <c r="E171" s="6">
        <v>334</v>
      </c>
      <c r="F171" s="6" t="s">
        <v>575</v>
      </c>
      <c r="G171" s="512">
        <v>0.71938775509999997</v>
      </c>
      <c r="H171" s="9">
        <v>392</v>
      </c>
      <c r="I171" s="9">
        <v>282</v>
      </c>
      <c r="J171" s="57">
        <f t="shared" si="10"/>
        <v>82.5</v>
      </c>
      <c r="K171" s="57">
        <f t="shared" si="11"/>
        <v>59.349489795749996</v>
      </c>
      <c r="L171" s="57"/>
      <c r="O171" s="514"/>
      <c r="Q171" s="190"/>
      <c r="R171" s="9"/>
      <c r="S171" s="9"/>
    </row>
    <row r="172" spans="1:19">
      <c r="A172" s="6">
        <v>775</v>
      </c>
      <c r="B172" s="6">
        <f t="shared" si="12"/>
        <v>163</v>
      </c>
      <c r="C172" s="6">
        <f t="shared" si="9"/>
        <v>775134</v>
      </c>
      <c r="D172" s="6" t="s">
        <v>363</v>
      </c>
      <c r="E172" s="6">
        <v>134</v>
      </c>
      <c r="F172" s="6" t="s">
        <v>362</v>
      </c>
      <c r="G172" s="512">
        <v>0.46982317696999998</v>
      </c>
      <c r="H172" s="9">
        <v>6843</v>
      </c>
      <c r="I172" s="9">
        <v>3215</v>
      </c>
      <c r="J172" s="57">
        <f t="shared" si="10"/>
        <v>63.29</v>
      </c>
      <c r="K172" s="57">
        <f t="shared" si="11"/>
        <v>29.735108870431297</v>
      </c>
      <c r="L172" s="57"/>
      <c r="O172" s="514"/>
      <c r="Q172" s="190"/>
      <c r="R172" s="9"/>
      <c r="S172" s="9"/>
    </row>
    <row r="173" spans="1:19">
      <c r="A173" s="6">
        <v>775</v>
      </c>
      <c r="B173" s="6">
        <f t="shared" si="12"/>
        <v>164</v>
      </c>
      <c r="C173" s="6">
        <f t="shared" si="9"/>
        <v>775228</v>
      </c>
      <c r="D173" s="6" t="s">
        <v>363</v>
      </c>
      <c r="E173" s="6">
        <v>228</v>
      </c>
      <c r="F173" s="6" t="s">
        <v>478</v>
      </c>
      <c r="G173" s="512">
        <v>9.0603536459999995E-2</v>
      </c>
      <c r="H173" s="9">
        <v>6843</v>
      </c>
      <c r="I173" s="9">
        <v>620</v>
      </c>
      <c r="J173" s="57">
        <f t="shared" si="10"/>
        <v>69.239999999999995</v>
      </c>
      <c r="K173" s="57">
        <f t="shared" si="11"/>
        <v>6.273388864490399</v>
      </c>
      <c r="L173" s="57"/>
      <c r="O173" s="514"/>
      <c r="Q173" s="190"/>
      <c r="R173" s="9"/>
      <c r="S173" s="9"/>
    </row>
    <row r="174" spans="1:19">
      <c r="A174" s="6">
        <v>775</v>
      </c>
      <c r="B174" s="6">
        <f t="shared" si="12"/>
        <v>165</v>
      </c>
      <c r="C174" s="6">
        <f t="shared" si="9"/>
        <v>775241</v>
      </c>
      <c r="D174" s="6" t="s">
        <v>363</v>
      </c>
      <c r="E174" s="6">
        <v>241</v>
      </c>
      <c r="F174" s="6" t="s">
        <v>492</v>
      </c>
      <c r="G174" s="512">
        <v>6.2107262900000001E-2</v>
      </c>
      <c r="H174" s="9">
        <v>6843</v>
      </c>
      <c r="I174" s="9">
        <v>425</v>
      </c>
      <c r="J174" s="57">
        <f t="shared" si="10"/>
        <v>82.5</v>
      </c>
      <c r="K174" s="57">
        <f t="shared" si="11"/>
        <v>5.1238491892500004</v>
      </c>
      <c r="L174" s="57"/>
      <c r="O174" s="514"/>
      <c r="Q174" s="190"/>
      <c r="R174" s="9"/>
      <c r="S174" s="9"/>
    </row>
    <row r="175" spans="1:19">
      <c r="A175" s="6">
        <v>775</v>
      </c>
      <c r="B175" s="6">
        <f t="shared" si="12"/>
        <v>166</v>
      </c>
      <c r="C175" s="6">
        <f t="shared" si="9"/>
        <v>775257</v>
      </c>
      <c r="D175" s="6" t="s">
        <v>363</v>
      </c>
      <c r="E175" s="6">
        <v>257</v>
      </c>
      <c r="F175" s="6" t="s">
        <v>506</v>
      </c>
      <c r="G175" s="512">
        <v>0.24170685372</v>
      </c>
      <c r="H175" s="9">
        <v>6843</v>
      </c>
      <c r="I175" s="9">
        <v>1654</v>
      </c>
      <c r="J175" s="57">
        <f t="shared" si="10"/>
        <v>49.73</v>
      </c>
      <c r="K175" s="57">
        <f t="shared" si="11"/>
        <v>12.020081835495599</v>
      </c>
      <c r="L175" s="57"/>
      <c r="O175" s="514"/>
      <c r="Q175" s="190"/>
      <c r="R175" s="9"/>
      <c r="S175" s="9"/>
    </row>
    <row r="176" spans="1:19">
      <c r="A176" s="6">
        <v>775</v>
      </c>
      <c r="B176" s="6">
        <f t="shared" si="12"/>
        <v>167</v>
      </c>
      <c r="C176" s="6">
        <f t="shared" si="9"/>
        <v>775282</v>
      </c>
      <c r="D176" s="6" t="s">
        <v>363</v>
      </c>
      <c r="E176" s="6">
        <v>282</v>
      </c>
      <c r="F176" s="6" t="s">
        <v>530</v>
      </c>
      <c r="G176" s="512">
        <v>0.13575916995000001</v>
      </c>
      <c r="H176" s="9">
        <v>6843</v>
      </c>
      <c r="I176" s="9">
        <v>929</v>
      </c>
      <c r="J176" s="57">
        <f t="shared" si="10"/>
        <v>82.5</v>
      </c>
      <c r="K176" s="57">
        <f t="shared" si="11"/>
        <v>11.200131520875001</v>
      </c>
      <c r="L176" s="57"/>
      <c r="O176" s="514"/>
      <c r="Q176" s="190"/>
      <c r="R176" s="9"/>
      <c r="S176" s="9"/>
    </row>
    <row r="177" spans="1:19">
      <c r="A177" s="6">
        <v>778</v>
      </c>
      <c r="B177" s="6">
        <f t="shared" si="12"/>
        <v>168</v>
      </c>
      <c r="C177" s="6">
        <f t="shared" si="9"/>
        <v>778311</v>
      </c>
      <c r="D177" s="6" t="s">
        <v>558</v>
      </c>
      <c r="E177" s="6">
        <v>311</v>
      </c>
      <c r="F177" s="6" t="s">
        <v>557</v>
      </c>
      <c r="G177" s="512">
        <v>0.58879392213000004</v>
      </c>
      <c r="H177" s="9">
        <v>1053</v>
      </c>
      <c r="I177" s="9">
        <v>620</v>
      </c>
      <c r="J177" s="57">
        <f t="shared" si="10"/>
        <v>34.39</v>
      </c>
      <c r="K177" s="57">
        <f t="shared" si="11"/>
        <v>20.248622982050701</v>
      </c>
      <c r="L177" s="57"/>
      <c r="O177" s="514"/>
      <c r="Q177" s="190"/>
      <c r="R177" s="9"/>
      <c r="S177" s="9"/>
    </row>
    <row r="178" spans="1:19">
      <c r="A178" s="6">
        <v>778</v>
      </c>
      <c r="B178" s="6">
        <f t="shared" si="12"/>
        <v>169</v>
      </c>
      <c r="C178" s="6">
        <f t="shared" si="9"/>
        <v>778324</v>
      </c>
      <c r="D178" s="6" t="s">
        <v>558</v>
      </c>
      <c r="E178" s="6">
        <v>324</v>
      </c>
      <c r="F178" s="6" t="s">
        <v>568</v>
      </c>
      <c r="G178" s="512">
        <v>0.41120607787000002</v>
      </c>
      <c r="H178" s="9">
        <v>1053</v>
      </c>
      <c r="I178" s="9">
        <v>433</v>
      </c>
      <c r="J178" s="57">
        <f t="shared" si="10"/>
        <v>64.349999999999994</v>
      </c>
      <c r="K178" s="57">
        <f t="shared" si="11"/>
        <v>26.4611111109345</v>
      </c>
      <c r="L178" s="57"/>
      <c r="O178" s="514"/>
      <c r="Q178" s="190"/>
      <c r="R178" s="9"/>
      <c r="S178" s="9"/>
    </row>
    <row r="179" spans="1:19">
      <c r="A179" s="6">
        <v>780</v>
      </c>
      <c r="B179" s="6">
        <f t="shared" si="12"/>
        <v>170</v>
      </c>
      <c r="C179" s="6">
        <f t="shared" si="9"/>
        <v>780123</v>
      </c>
      <c r="D179" s="6" t="s">
        <v>353</v>
      </c>
      <c r="E179" s="6">
        <v>123</v>
      </c>
      <c r="F179" s="6" t="s">
        <v>352</v>
      </c>
      <c r="G179" s="512">
        <v>0.38504464286000001</v>
      </c>
      <c r="H179" s="9">
        <v>3584</v>
      </c>
      <c r="I179" s="9">
        <v>1380</v>
      </c>
      <c r="J179" s="57">
        <f t="shared" si="10"/>
        <v>66.86</v>
      </c>
      <c r="K179" s="57">
        <f t="shared" si="11"/>
        <v>25.744084821619602</v>
      </c>
      <c r="L179" s="57"/>
      <c r="O179" s="514"/>
      <c r="Q179" s="190"/>
      <c r="R179" s="9"/>
      <c r="S179" s="9"/>
    </row>
    <row r="180" spans="1:19">
      <c r="A180" s="6">
        <v>780</v>
      </c>
      <c r="B180" s="6">
        <f t="shared" si="12"/>
        <v>171</v>
      </c>
      <c r="C180" s="6">
        <f t="shared" si="9"/>
        <v>780338</v>
      </c>
      <c r="D180" s="6" t="s">
        <v>353</v>
      </c>
      <c r="E180" s="6">
        <v>338</v>
      </c>
      <c r="F180" s="6" t="s">
        <v>579</v>
      </c>
      <c r="G180" s="512">
        <v>0.61495535714000005</v>
      </c>
      <c r="H180" s="9">
        <v>3584</v>
      </c>
      <c r="I180" s="9">
        <v>2204</v>
      </c>
      <c r="J180" s="57">
        <f t="shared" si="10"/>
        <v>49.38</v>
      </c>
      <c r="K180" s="57">
        <f t="shared" si="11"/>
        <v>30.366495535573204</v>
      </c>
      <c r="L180" s="57"/>
      <c r="O180" s="514"/>
      <c r="Q180" s="190"/>
      <c r="R180" s="9"/>
      <c r="S180" s="9"/>
    </row>
    <row r="181" spans="1:19">
      <c r="A181" s="6">
        <v>801</v>
      </c>
      <c r="B181" s="6">
        <f t="shared" si="12"/>
        <v>172</v>
      </c>
      <c r="C181" s="6">
        <f t="shared" si="9"/>
        <v>801028</v>
      </c>
      <c r="D181" s="6" t="s">
        <v>42</v>
      </c>
      <c r="E181" s="6">
        <v>28</v>
      </c>
      <c r="F181" s="6" t="s">
        <v>40</v>
      </c>
      <c r="G181" s="512">
        <v>3.6310107950000003E-2</v>
      </c>
      <c r="H181" s="9">
        <v>1019</v>
      </c>
      <c r="I181" s="9">
        <v>37</v>
      </c>
      <c r="J181" s="57">
        <f t="shared" si="10"/>
        <v>82.5</v>
      </c>
      <c r="K181" s="57">
        <f t="shared" si="11"/>
        <v>2.9955839058750002</v>
      </c>
      <c r="L181" s="57"/>
      <c r="O181" s="514"/>
      <c r="Q181" s="190"/>
      <c r="R181" s="9"/>
      <c r="S181" s="9"/>
    </row>
    <row r="182" spans="1:19">
      <c r="A182" s="6">
        <v>801</v>
      </c>
      <c r="B182" s="6">
        <f t="shared" si="12"/>
        <v>173</v>
      </c>
      <c r="C182" s="6">
        <f t="shared" si="9"/>
        <v>801141</v>
      </c>
      <c r="D182" s="6" t="s">
        <v>42</v>
      </c>
      <c r="E182" s="6">
        <v>141</v>
      </c>
      <c r="F182" s="6" t="s">
        <v>369</v>
      </c>
      <c r="G182" s="512">
        <v>0.1894013739</v>
      </c>
      <c r="H182" s="9">
        <v>1019</v>
      </c>
      <c r="I182" s="9">
        <v>193</v>
      </c>
      <c r="J182" s="57">
        <f t="shared" si="10"/>
        <v>69.819999999999993</v>
      </c>
      <c r="K182" s="57">
        <f t="shared" si="11"/>
        <v>13.224003925698</v>
      </c>
      <c r="L182" s="57"/>
      <c r="O182" s="514"/>
      <c r="Q182" s="190"/>
      <c r="R182" s="9"/>
      <c r="S182" s="9"/>
    </row>
    <row r="183" spans="1:19">
      <c r="A183" s="6">
        <v>801</v>
      </c>
      <c r="B183" s="6">
        <f t="shared" si="12"/>
        <v>174</v>
      </c>
      <c r="C183" s="6">
        <f t="shared" si="9"/>
        <v>801170</v>
      </c>
      <c r="D183" s="6" t="s">
        <v>42</v>
      </c>
      <c r="E183" s="6">
        <v>170</v>
      </c>
      <c r="F183" s="6" t="s">
        <v>412</v>
      </c>
      <c r="G183" s="512">
        <v>0.55446516191999995</v>
      </c>
      <c r="H183" s="9">
        <v>1019</v>
      </c>
      <c r="I183" s="9">
        <v>565</v>
      </c>
      <c r="J183" s="57">
        <f t="shared" si="10"/>
        <v>52.09</v>
      </c>
      <c r="K183" s="57">
        <f t="shared" si="11"/>
        <v>28.882090284412801</v>
      </c>
      <c r="L183" s="57"/>
      <c r="O183" s="514"/>
      <c r="Q183" s="190"/>
      <c r="R183" s="9"/>
      <c r="S183" s="9"/>
    </row>
    <row r="184" spans="1:19">
      <c r="A184" s="6">
        <v>801</v>
      </c>
      <c r="B184" s="6">
        <f t="shared" si="12"/>
        <v>175</v>
      </c>
      <c r="C184" s="6">
        <f t="shared" si="9"/>
        <v>801174</v>
      </c>
      <c r="D184" s="6" t="s">
        <v>42</v>
      </c>
      <c r="E184" s="6">
        <v>174</v>
      </c>
      <c r="F184" s="6" t="s">
        <v>415</v>
      </c>
      <c r="G184" s="512">
        <v>6.3788027479999995E-2</v>
      </c>
      <c r="H184" s="9">
        <v>1019</v>
      </c>
      <c r="I184" s="9">
        <v>65</v>
      </c>
      <c r="J184" s="57">
        <f t="shared" si="10"/>
        <v>76.94</v>
      </c>
      <c r="K184" s="57">
        <f t="shared" si="11"/>
        <v>4.9078508343111995</v>
      </c>
      <c r="L184" s="57"/>
      <c r="O184" s="514"/>
      <c r="Q184" s="190"/>
      <c r="R184" s="9"/>
      <c r="S184" s="9"/>
    </row>
    <row r="185" spans="1:19">
      <c r="A185" s="6">
        <v>801</v>
      </c>
      <c r="B185" s="6">
        <f t="shared" si="12"/>
        <v>176</v>
      </c>
      <c r="C185" s="6">
        <f t="shared" si="9"/>
        <v>801213</v>
      </c>
      <c r="D185" s="6" t="s">
        <v>42</v>
      </c>
      <c r="E185" s="6">
        <v>213</v>
      </c>
      <c r="F185" s="6" t="s">
        <v>458</v>
      </c>
      <c r="G185" s="512">
        <v>6.5750736020000006E-2</v>
      </c>
      <c r="H185" s="9">
        <v>1019</v>
      </c>
      <c r="I185" s="9">
        <v>67</v>
      </c>
      <c r="J185" s="57">
        <f t="shared" si="10"/>
        <v>82.5</v>
      </c>
      <c r="K185" s="57">
        <f t="shared" si="11"/>
        <v>5.4244357216500001</v>
      </c>
      <c r="L185" s="57"/>
      <c r="O185" s="514"/>
      <c r="Q185" s="190"/>
      <c r="R185" s="9"/>
      <c r="S185" s="9"/>
    </row>
    <row r="186" spans="1:19">
      <c r="A186" s="6">
        <v>801</v>
      </c>
      <c r="B186" s="6">
        <f t="shared" si="12"/>
        <v>177</v>
      </c>
      <c r="C186" s="6">
        <f t="shared" si="9"/>
        <v>801276</v>
      </c>
      <c r="D186" s="6" t="s">
        <v>42</v>
      </c>
      <c r="E186" s="6">
        <v>276</v>
      </c>
      <c r="F186" s="6" t="s">
        <v>523</v>
      </c>
      <c r="G186" s="512">
        <v>2.453385672E-2</v>
      </c>
      <c r="H186" s="9">
        <v>1019</v>
      </c>
      <c r="I186" s="9">
        <v>25</v>
      </c>
      <c r="J186" s="57">
        <f t="shared" si="10"/>
        <v>82.5</v>
      </c>
      <c r="K186" s="57">
        <f t="shared" si="11"/>
        <v>2.0240431794</v>
      </c>
      <c r="L186" s="57"/>
      <c r="O186" s="514"/>
      <c r="Q186" s="190"/>
      <c r="R186" s="9"/>
      <c r="S186" s="9"/>
    </row>
    <row r="187" spans="1:19">
      <c r="A187" s="6">
        <v>801</v>
      </c>
      <c r="B187" s="6">
        <f t="shared" si="12"/>
        <v>178</v>
      </c>
      <c r="C187" s="6">
        <f t="shared" si="9"/>
        <v>801321</v>
      </c>
      <c r="D187" s="6" t="s">
        <v>42</v>
      </c>
      <c r="E187" s="6">
        <v>321</v>
      </c>
      <c r="F187" s="6" t="s">
        <v>566</v>
      </c>
      <c r="G187" s="512">
        <v>6.5750736020000006E-2</v>
      </c>
      <c r="H187" s="9">
        <v>1019</v>
      </c>
      <c r="I187" s="9">
        <v>67</v>
      </c>
      <c r="J187" s="57">
        <f t="shared" si="10"/>
        <v>82.5</v>
      </c>
      <c r="K187" s="57">
        <f t="shared" si="11"/>
        <v>5.4244357216500001</v>
      </c>
      <c r="L187" s="57"/>
      <c r="O187" s="514"/>
      <c r="Q187" s="190"/>
      <c r="R187" s="9"/>
      <c r="S187" s="9"/>
    </row>
    <row r="188" spans="1:19">
      <c r="A188" s="6">
        <v>805</v>
      </c>
      <c r="B188" s="6">
        <f t="shared" si="12"/>
        <v>179</v>
      </c>
      <c r="C188" s="6">
        <f t="shared" si="9"/>
        <v>805025</v>
      </c>
      <c r="D188" s="6" t="s">
        <v>37</v>
      </c>
      <c r="E188" s="6">
        <v>25</v>
      </c>
      <c r="F188" s="6" t="s">
        <v>36</v>
      </c>
      <c r="G188" s="512">
        <v>6.0269627280000002E-2</v>
      </c>
      <c r="H188" s="9">
        <v>1261</v>
      </c>
      <c r="I188" s="9">
        <v>76</v>
      </c>
      <c r="J188" s="57">
        <f t="shared" si="10"/>
        <v>74.16</v>
      </c>
      <c r="K188" s="57">
        <f t="shared" si="11"/>
        <v>4.4695955590847998</v>
      </c>
      <c r="L188" s="57"/>
      <c r="O188" s="514"/>
      <c r="Q188" s="190"/>
      <c r="R188" s="9"/>
      <c r="S188" s="9"/>
    </row>
    <row r="189" spans="1:19">
      <c r="A189" s="6">
        <v>805</v>
      </c>
      <c r="B189" s="6">
        <f t="shared" si="12"/>
        <v>180</v>
      </c>
      <c r="C189" s="6">
        <f t="shared" si="9"/>
        <v>805032</v>
      </c>
      <c r="D189" s="6" t="s">
        <v>37</v>
      </c>
      <c r="E189" s="6">
        <v>32</v>
      </c>
      <c r="F189" s="6" t="s">
        <v>48</v>
      </c>
      <c r="G189" s="512">
        <v>4.4409199050000001E-2</v>
      </c>
      <c r="H189" s="9">
        <v>1261</v>
      </c>
      <c r="I189" s="9">
        <v>56</v>
      </c>
      <c r="J189" s="57">
        <f t="shared" si="10"/>
        <v>55</v>
      </c>
      <c r="K189" s="57">
        <f t="shared" si="11"/>
        <v>2.44250594775</v>
      </c>
      <c r="L189" s="57"/>
      <c r="O189" s="514"/>
      <c r="Q189" s="190"/>
      <c r="R189" s="9"/>
      <c r="S189" s="9"/>
    </row>
    <row r="190" spans="1:19">
      <c r="A190" s="6">
        <v>805</v>
      </c>
      <c r="B190" s="6">
        <f t="shared" si="12"/>
        <v>181</v>
      </c>
      <c r="C190" s="6">
        <f t="shared" si="9"/>
        <v>805077</v>
      </c>
      <c r="D190" s="6" t="s">
        <v>37</v>
      </c>
      <c r="E190" s="6">
        <v>77</v>
      </c>
      <c r="F190" s="6" t="s">
        <v>298</v>
      </c>
      <c r="G190" s="512">
        <v>9.9920697860000005E-2</v>
      </c>
      <c r="H190" s="9">
        <v>1261</v>
      </c>
      <c r="I190" s="9">
        <v>126</v>
      </c>
      <c r="J190" s="57">
        <f t="shared" si="10"/>
        <v>68.150000000000006</v>
      </c>
      <c r="K190" s="57">
        <f t="shared" si="11"/>
        <v>6.8095955591590007</v>
      </c>
      <c r="L190" s="57"/>
      <c r="O190" s="514"/>
      <c r="Q190" s="190"/>
      <c r="R190" s="9"/>
      <c r="S190" s="9"/>
    </row>
    <row r="191" spans="1:19">
      <c r="A191" s="6">
        <v>805</v>
      </c>
      <c r="B191" s="6">
        <f t="shared" si="12"/>
        <v>182</v>
      </c>
      <c r="C191" s="6">
        <f t="shared" si="9"/>
        <v>805110</v>
      </c>
      <c r="D191" s="6" t="s">
        <v>37</v>
      </c>
      <c r="E191" s="6">
        <v>110</v>
      </c>
      <c r="F191" s="6" t="s">
        <v>336</v>
      </c>
      <c r="G191" s="512">
        <v>8.2474226799999995E-2</v>
      </c>
      <c r="H191" s="9">
        <v>1261</v>
      </c>
      <c r="I191" s="9">
        <v>104</v>
      </c>
      <c r="J191" s="57">
        <f t="shared" si="10"/>
        <v>76.75</v>
      </c>
      <c r="K191" s="57">
        <f t="shared" si="11"/>
        <v>6.3298969068999993</v>
      </c>
      <c r="L191" s="57"/>
      <c r="O191" s="514"/>
      <c r="Q191" s="190"/>
      <c r="R191" s="9"/>
      <c r="S191" s="9"/>
    </row>
    <row r="192" spans="1:19">
      <c r="A192" s="6">
        <v>805</v>
      </c>
      <c r="B192" s="6">
        <f t="shared" si="12"/>
        <v>183</v>
      </c>
      <c r="C192" s="6">
        <f t="shared" si="9"/>
        <v>805138</v>
      </c>
      <c r="D192" s="6" t="s">
        <v>37</v>
      </c>
      <c r="E192" s="6">
        <v>138</v>
      </c>
      <c r="F192" s="6" t="s">
        <v>366</v>
      </c>
      <c r="G192" s="512">
        <v>5.6304520220000001E-2</v>
      </c>
      <c r="H192" s="9">
        <v>1261</v>
      </c>
      <c r="I192" s="9">
        <v>71</v>
      </c>
      <c r="J192" s="57">
        <f t="shared" si="10"/>
        <v>60.25</v>
      </c>
      <c r="K192" s="57">
        <f t="shared" si="11"/>
        <v>3.392347343255</v>
      </c>
      <c r="L192" s="57"/>
      <c r="O192" s="514"/>
      <c r="Q192" s="190"/>
      <c r="R192" s="9"/>
      <c r="S192" s="9"/>
    </row>
    <row r="193" spans="1:19">
      <c r="A193" s="6">
        <v>805</v>
      </c>
      <c r="B193" s="6">
        <f t="shared" si="12"/>
        <v>184</v>
      </c>
      <c r="C193" s="6">
        <f t="shared" si="9"/>
        <v>805179</v>
      </c>
      <c r="D193" s="6" t="s">
        <v>37</v>
      </c>
      <c r="E193" s="6">
        <v>179</v>
      </c>
      <c r="F193" s="6" t="s">
        <v>420</v>
      </c>
      <c r="G193" s="512">
        <v>5.9476605869999997E-2</v>
      </c>
      <c r="H193" s="9">
        <v>1261</v>
      </c>
      <c r="I193" s="9">
        <v>75</v>
      </c>
      <c r="J193" s="57">
        <f t="shared" si="10"/>
        <v>82.5</v>
      </c>
      <c r="K193" s="57">
        <f t="shared" si="11"/>
        <v>4.9068199842749998</v>
      </c>
      <c r="L193" s="57"/>
      <c r="O193" s="514"/>
      <c r="Q193" s="190"/>
      <c r="R193" s="9"/>
      <c r="S193" s="9"/>
    </row>
    <row r="194" spans="1:19">
      <c r="A194" s="6">
        <v>805</v>
      </c>
      <c r="B194" s="6">
        <f t="shared" si="12"/>
        <v>185</v>
      </c>
      <c r="C194" s="6">
        <f t="shared" si="9"/>
        <v>805185</v>
      </c>
      <c r="D194" s="6" t="s">
        <v>37</v>
      </c>
      <c r="E194" s="6">
        <v>185</v>
      </c>
      <c r="F194" s="6" t="s">
        <v>427</v>
      </c>
      <c r="G194" s="512">
        <v>0.12609040444</v>
      </c>
      <c r="H194" s="9">
        <v>1261</v>
      </c>
      <c r="I194" s="9">
        <v>159</v>
      </c>
      <c r="J194" s="57">
        <f t="shared" si="10"/>
        <v>41.9</v>
      </c>
      <c r="K194" s="57">
        <f t="shared" si="11"/>
        <v>5.2831879460359996</v>
      </c>
      <c r="L194" s="57"/>
      <c r="O194" s="514"/>
      <c r="Q194" s="190"/>
      <c r="R194" s="9"/>
      <c r="S194" s="9"/>
    </row>
    <row r="195" spans="1:19">
      <c r="A195" s="6">
        <v>805</v>
      </c>
      <c r="B195" s="6">
        <f t="shared" si="12"/>
        <v>186</v>
      </c>
      <c r="C195" s="6">
        <f t="shared" si="9"/>
        <v>805186</v>
      </c>
      <c r="D195" s="6" t="s">
        <v>37</v>
      </c>
      <c r="E195" s="6">
        <v>186</v>
      </c>
      <c r="F195" s="6" t="s">
        <v>428</v>
      </c>
      <c r="G195" s="512">
        <v>7.2164948450000002E-2</v>
      </c>
      <c r="H195" s="9">
        <v>1261</v>
      </c>
      <c r="I195" s="9">
        <v>91</v>
      </c>
      <c r="J195" s="57">
        <f t="shared" si="10"/>
        <v>66.83</v>
      </c>
      <c r="K195" s="57">
        <f t="shared" si="11"/>
        <v>4.8227835049134997</v>
      </c>
      <c r="L195" s="57"/>
      <c r="O195" s="514"/>
      <c r="Q195" s="190"/>
      <c r="R195" s="9"/>
      <c r="S195" s="9"/>
    </row>
    <row r="196" spans="1:19">
      <c r="A196" s="6">
        <v>805</v>
      </c>
      <c r="B196" s="6">
        <f t="shared" si="12"/>
        <v>187</v>
      </c>
      <c r="C196" s="6">
        <f t="shared" si="9"/>
        <v>805188</v>
      </c>
      <c r="D196" s="6" t="s">
        <v>37</v>
      </c>
      <c r="E196" s="6">
        <v>188</v>
      </c>
      <c r="F196" s="6" t="s">
        <v>430</v>
      </c>
      <c r="G196" s="512">
        <v>2.0618556699999999E-2</v>
      </c>
      <c r="H196" s="9">
        <v>1261</v>
      </c>
      <c r="I196" s="9">
        <v>26</v>
      </c>
      <c r="J196" s="57">
        <f t="shared" si="10"/>
        <v>52.54</v>
      </c>
      <c r="K196" s="57">
        <f t="shared" si="11"/>
        <v>1.0832989690179999</v>
      </c>
      <c r="L196" s="57"/>
      <c r="O196" s="514"/>
      <c r="Q196" s="190"/>
      <c r="R196" s="9"/>
      <c r="S196" s="9"/>
    </row>
    <row r="197" spans="1:19">
      <c r="A197" s="6">
        <v>805</v>
      </c>
      <c r="B197" s="6">
        <f t="shared" si="12"/>
        <v>188</v>
      </c>
      <c r="C197" s="6">
        <f t="shared" si="9"/>
        <v>805214</v>
      </c>
      <c r="D197" s="6" t="s">
        <v>37</v>
      </c>
      <c r="E197" s="6">
        <v>214</v>
      </c>
      <c r="F197" s="6" t="s">
        <v>460</v>
      </c>
      <c r="G197" s="512">
        <v>0.12529738302999999</v>
      </c>
      <c r="H197" s="9">
        <v>1261</v>
      </c>
      <c r="I197" s="9">
        <v>158</v>
      </c>
      <c r="J197" s="57">
        <f t="shared" si="10"/>
        <v>61.33</v>
      </c>
      <c r="K197" s="57">
        <f t="shared" si="11"/>
        <v>7.6844885012298993</v>
      </c>
      <c r="L197" s="57"/>
      <c r="O197" s="514"/>
      <c r="Q197" s="190"/>
      <c r="R197" s="9"/>
      <c r="S197" s="9"/>
    </row>
    <row r="198" spans="1:19">
      <c r="A198" s="6">
        <v>805</v>
      </c>
      <c r="B198" s="6">
        <f t="shared" si="12"/>
        <v>189</v>
      </c>
      <c r="C198" s="6">
        <f t="shared" si="9"/>
        <v>805290</v>
      </c>
      <c r="D198" s="6" t="s">
        <v>37</v>
      </c>
      <c r="E198" s="6">
        <v>290</v>
      </c>
      <c r="F198" s="6" t="s">
        <v>538</v>
      </c>
      <c r="G198" s="512">
        <v>7.0578905629999994E-2</v>
      </c>
      <c r="H198" s="9">
        <v>1261</v>
      </c>
      <c r="I198" s="9">
        <v>89</v>
      </c>
      <c r="J198" s="57">
        <f t="shared" si="10"/>
        <v>82.5</v>
      </c>
      <c r="K198" s="57">
        <f t="shared" si="11"/>
        <v>5.8227597144749996</v>
      </c>
      <c r="L198" s="57"/>
      <c r="O198" s="514"/>
      <c r="Q198" s="190"/>
      <c r="R198" s="9"/>
      <c r="S198" s="9"/>
    </row>
    <row r="199" spans="1:19">
      <c r="A199" s="6">
        <v>805</v>
      </c>
      <c r="B199" s="6">
        <f t="shared" si="12"/>
        <v>190</v>
      </c>
      <c r="C199" s="6">
        <f t="shared" si="9"/>
        <v>805303</v>
      </c>
      <c r="D199" s="6" t="s">
        <v>37</v>
      </c>
      <c r="E199" s="6">
        <v>303</v>
      </c>
      <c r="F199" s="6" t="s">
        <v>550</v>
      </c>
      <c r="G199" s="512">
        <v>7.3750991279999997E-2</v>
      </c>
      <c r="H199" s="9">
        <v>1261</v>
      </c>
      <c r="I199" s="9">
        <v>93</v>
      </c>
      <c r="J199" s="57">
        <f t="shared" si="10"/>
        <v>82.5</v>
      </c>
      <c r="K199" s="57">
        <f t="shared" si="11"/>
        <v>6.0844567806000001</v>
      </c>
      <c r="L199" s="57"/>
      <c r="O199" s="514"/>
      <c r="Q199" s="190"/>
      <c r="R199" s="9"/>
      <c r="S199" s="9"/>
    </row>
    <row r="200" spans="1:19">
      <c r="A200" s="6">
        <v>805</v>
      </c>
      <c r="B200" s="6">
        <f t="shared" si="12"/>
        <v>191</v>
      </c>
      <c r="C200" s="6">
        <f t="shared" si="9"/>
        <v>805304</v>
      </c>
      <c r="D200" s="6" t="s">
        <v>37</v>
      </c>
      <c r="E200" s="6">
        <v>304</v>
      </c>
      <c r="F200" s="6" t="s">
        <v>551</v>
      </c>
      <c r="G200" s="512">
        <v>0.10864393339</v>
      </c>
      <c r="H200" s="9">
        <v>1261</v>
      </c>
      <c r="I200" s="9">
        <v>137</v>
      </c>
      <c r="J200" s="57">
        <f t="shared" si="10"/>
        <v>73.28</v>
      </c>
      <c r="K200" s="57">
        <f t="shared" si="11"/>
        <v>7.9614274388192001</v>
      </c>
      <c r="L200" s="57"/>
      <c r="O200" s="514"/>
      <c r="Q200" s="190"/>
      <c r="R200" s="9"/>
      <c r="S200" s="9"/>
    </row>
    <row r="201" spans="1:19">
      <c r="A201" s="6">
        <v>806</v>
      </c>
      <c r="B201" s="6">
        <f t="shared" si="12"/>
        <v>192</v>
      </c>
      <c r="C201" s="6">
        <f t="shared" si="9"/>
        <v>806018</v>
      </c>
      <c r="D201" s="6" t="s">
        <v>23</v>
      </c>
      <c r="E201" s="6">
        <v>18</v>
      </c>
      <c r="F201" s="6" t="s">
        <v>22</v>
      </c>
      <c r="G201" s="512">
        <v>5.0646551720000002E-2</v>
      </c>
      <c r="H201" s="9">
        <v>928</v>
      </c>
      <c r="I201" s="9">
        <v>47</v>
      </c>
      <c r="J201" s="57">
        <f t="shared" si="10"/>
        <v>68.8</v>
      </c>
      <c r="K201" s="57">
        <f t="shared" si="11"/>
        <v>3.4844827583360001</v>
      </c>
      <c r="L201" s="57"/>
      <c r="O201" s="514"/>
      <c r="Q201" s="190"/>
      <c r="R201" s="9"/>
      <c r="S201" s="9"/>
    </row>
    <row r="202" spans="1:19">
      <c r="A202" s="6">
        <v>806</v>
      </c>
      <c r="B202" s="6">
        <f t="shared" si="12"/>
        <v>193</v>
      </c>
      <c r="C202" s="6">
        <f t="shared" ref="C202:C265" si="13">A202*1000+E202</f>
        <v>806040</v>
      </c>
      <c r="D202" s="6" t="s">
        <v>23</v>
      </c>
      <c r="E202" s="6">
        <v>40</v>
      </c>
      <c r="F202" s="6" t="s">
        <v>243</v>
      </c>
      <c r="G202" s="512">
        <v>0.17241379309999999</v>
      </c>
      <c r="H202" s="9">
        <v>928</v>
      </c>
      <c r="I202" s="9">
        <v>160</v>
      </c>
      <c r="J202" s="57">
        <f t="shared" si="10"/>
        <v>82.5</v>
      </c>
      <c r="K202" s="57">
        <f t="shared" si="11"/>
        <v>14.224137930749999</v>
      </c>
      <c r="L202" s="57"/>
      <c r="O202" s="514"/>
      <c r="Q202" s="190"/>
      <c r="R202" s="9"/>
      <c r="S202" s="9"/>
    </row>
    <row r="203" spans="1:19">
      <c r="A203" s="6">
        <v>806</v>
      </c>
      <c r="B203" s="6">
        <f t="shared" si="12"/>
        <v>194</v>
      </c>
      <c r="C203" s="6">
        <f t="shared" si="13"/>
        <v>806050</v>
      </c>
      <c r="D203" s="6" t="s">
        <v>23</v>
      </c>
      <c r="E203" s="6">
        <v>50</v>
      </c>
      <c r="F203" s="6" t="s">
        <v>256</v>
      </c>
      <c r="G203" s="512">
        <v>8.0818965519999994E-2</v>
      </c>
      <c r="H203" s="9">
        <v>928</v>
      </c>
      <c r="I203" s="9">
        <v>75</v>
      </c>
      <c r="J203" s="57">
        <f t="shared" ref="J203:J266" si="14">ROUND(VLOOKUP(E203,town351,12),2)</f>
        <v>82.5</v>
      </c>
      <c r="K203" s="57">
        <f t="shared" ref="K203:K266" si="15">G203*J203</f>
        <v>6.6675646553999997</v>
      </c>
      <c r="L203" s="57"/>
      <c r="O203" s="514"/>
      <c r="Q203" s="190"/>
      <c r="R203" s="9"/>
      <c r="S203" s="9"/>
    </row>
    <row r="204" spans="1:19">
      <c r="A204" s="6">
        <v>806</v>
      </c>
      <c r="B204" s="6">
        <f t="shared" ref="B204:B267" si="16">B203+1</f>
        <v>195</v>
      </c>
      <c r="C204" s="6">
        <f t="shared" si="13"/>
        <v>806073</v>
      </c>
      <c r="D204" s="6" t="s">
        <v>23</v>
      </c>
      <c r="E204" s="6">
        <v>73</v>
      </c>
      <c r="F204" s="6" t="s">
        <v>288</v>
      </c>
      <c r="G204" s="512">
        <v>0.1099137931</v>
      </c>
      <c r="H204" s="9">
        <v>928</v>
      </c>
      <c r="I204" s="9">
        <v>102</v>
      </c>
      <c r="J204" s="57">
        <f t="shared" si="14"/>
        <v>82.5</v>
      </c>
      <c r="K204" s="57">
        <f t="shared" si="15"/>
        <v>9.0678879307500004</v>
      </c>
      <c r="L204" s="57"/>
      <c r="O204" s="514"/>
      <c r="Q204" s="190"/>
      <c r="R204" s="9"/>
      <c r="S204" s="9"/>
    </row>
    <row r="205" spans="1:19">
      <c r="A205" s="6">
        <v>806</v>
      </c>
      <c r="B205" s="6">
        <f t="shared" si="16"/>
        <v>196</v>
      </c>
      <c r="C205" s="6">
        <f t="shared" si="13"/>
        <v>806133</v>
      </c>
      <c r="D205" s="6" t="s">
        <v>23</v>
      </c>
      <c r="E205" s="6">
        <v>133</v>
      </c>
      <c r="F205" s="6" t="s">
        <v>361</v>
      </c>
      <c r="G205" s="512">
        <v>0.11853448276</v>
      </c>
      <c r="H205" s="9">
        <v>928</v>
      </c>
      <c r="I205" s="9">
        <v>110</v>
      </c>
      <c r="J205" s="57">
        <f t="shared" si="14"/>
        <v>52.5</v>
      </c>
      <c r="K205" s="57">
        <f t="shared" si="15"/>
        <v>6.2230603449000004</v>
      </c>
      <c r="L205" s="57"/>
      <c r="O205" s="514"/>
      <c r="Q205" s="190"/>
      <c r="R205" s="9"/>
      <c r="S205" s="9"/>
    </row>
    <row r="206" spans="1:19">
      <c r="A206" s="6">
        <v>806</v>
      </c>
      <c r="B206" s="6">
        <f t="shared" si="16"/>
        <v>197</v>
      </c>
      <c r="C206" s="6">
        <f t="shared" si="13"/>
        <v>806189</v>
      </c>
      <c r="D206" s="6" t="s">
        <v>23</v>
      </c>
      <c r="E206" s="6">
        <v>189</v>
      </c>
      <c r="F206" s="6" t="s">
        <v>431</v>
      </c>
      <c r="G206" s="512">
        <v>3.6637931030000001E-2</v>
      </c>
      <c r="H206" s="9">
        <v>928</v>
      </c>
      <c r="I206" s="9">
        <v>34</v>
      </c>
      <c r="J206" s="57">
        <f t="shared" si="14"/>
        <v>82.5</v>
      </c>
      <c r="K206" s="57">
        <f t="shared" si="15"/>
        <v>3.0226293099750001</v>
      </c>
      <c r="L206" s="57"/>
      <c r="O206" s="514"/>
      <c r="Q206" s="190"/>
      <c r="R206" s="9"/>
      <c r="S206" s="9"/>
    </row>
    <row r="207" spans="1:19">
      <c r="A207" s="6">
        <v>806</v>
      </c>
      <c r="B207" s="6">
        <f t="shared" si="16"/>
        <v>198</v>
      </c>
      <c r="C207" s="6">
        <f t="shared" si="13"/>
        <v>806220</v>
      </c>
      <c r="D207" s="6" t="s">
        <v>23</v>
      </c>
      <c r="E207" s="6">
        <v>220</v>
      </c>
      <c r="F207" s="6" t="s">
        <v>467</v>
      </c>
      <c r="G207" s="512">
        <v>0.11637931034</v>
      </c>
      <c r="H207" s="9">
        <v>928</v>
      </c>
      <c r="I207" s="9">
        <v>108</v>
      </c>
      <c r="J207" s="57">
        <f t="shared" si="14"/>
        <v>82.5</v>
      </c>
      <c r="K207" s="57">
        <f t="shared" si="15"/>
        <v>9.6012931030500006</v>
      </c>
      <c r="L207" s="57"/>
      <c r="O207" s="514"/>
      <c r="Q207" s="190"/>
      <c r="R207" s="9"/>
      <c r="S207" s="9"/>
    </row>
    <row r="208" spans="1:19">
      <c r="A208" s="6">
        <v>806</v>
      </c>
      <c r="B208" s="6">
        <f t="shared" si="16"/>
        <v>199</v>
      </c>
      <c r="C208" s="6">
        <f t="shared" si="13"/>
        <v>806244</v>
      </c>
      <c r="D208" s="6" t="s">
        <v>23</v>
      </c>
      <c r="E208" s="6">
        <v>244</v>
      </c>
      <c r="F208" s="6" t="s">
        <v>495</v>
      </c>
      <c r="G208" s="512">
        <v>0.30926724138</v>
      </c>
      <c r="H208" s="9">
        <v>928</v>
      </c>
      <c r="I208" s="9">
        <v>287</v>
      </c>
      <c r="J208" s="57">
        <f t="shared" si="14"/>
        <v>59.18</v>
      </c>
      <c r="K208" s="57">
        <f t="shared" si="15"/>
        <v>18.3024353448684</v>
      </c>
      <c r="L208" s="57"/>
      <c r="O208" s="514"/>
      <c r="Q208" s="190"/>
      <c r="R208" s="9"/>
      <c r="S208" s="9"/>
    </row>
    <row r="209" spans="1:19">
      <c r="A209" s="6">
        <v>806</v>
      </c>
      <c r="B209" s="6">
        <f t="shared" si="16"/>
        <v>200</v>
      </c>
      <c r="C209" s="6">
        <f t="shared" si="13"/>
        <v>806335</v>
      </c>
      <c r="D209" s="6" t="s">
        <v>23</v>
      </c>
      <c r="E209" s="6">
        <v>335</v>
      </c>
      <c r="F209" s="6" t="s">
        <v>576</v>
      </c>
      <c r="G209" s="512">
        <v>5.3879310300000002E-3</v>
      </c>
      <c r="H209" s="9">
        <v>928</v>
      </c>
      <c r="I209" s="9">
        <v>5</v>
      </c>
      <c r="J209" s="57">
        <f t="shared" si="14"/>
        <v>82.5</v>
      </c>
      <c r="K209" s="57">
        <f t="shared" si="15"/>
        <v>0.44450430997500001</v>
      </c>
      <c r="L209" s="57"/>
      <c r="O209" s="514"/>
      <c r="Q209" s="190"/>
      <c r="R209" s="9"/>
      <c r="S209" s="9"/>
    </row>
    <row r="210" spans="1:19">
      <c r="A210" s="6">
        <v>810</v>
      </c>
      <c r="B210" s="6">
        <f t="shared" si="16"/>
        <v>201</v>
      </c>
      <c r="C210" s="6">
        <f t="shared" si="13"/>
        <v>810027</v>
      </c>
      <c r="D210" s="6" t="s">
        <v>39</v>
      </c>
      <c r="E210" s="6">
        <v>27</v>
      </c>
      <c r="F210" s="6" t="s">
        <v>38</v>
      </c>
      <c r="G210" s="512">
        <v>8.1737849779999996E-2</v>
      </c>
      <c r="H210" s="9">
        <v>1358</v>
      </c>
      <c r="I210" s="9">
        <v>111</v>
      </c>
      <c r="J210" s="57">
        <f t="shared" si="14"/>
        <v>59.65</v>
      </c>
      <c r="K210" s="57">
        <f t="shared" si="15"/>
        <v>4.8756627393769998</v>
      </c>
      <c r="L210" s="57"/>
      <c r="O210" s="514"/>
      <c r="Q210" s="190"/>
      <c r="R210" s="9"/>
      <c r="S210" s="9"/>
    </row>
    <row r="211" spans="1:19">
      <c r="A211" s="6">
        <v>810</v>
      </c>
      <c r="B211" s="6">
        <f t="shared" si="16"/>
        <v>202</v>
      </c>
      <c r="C211" s="6">
        <f t="shared" si="13"/>
        <v>810042</v>
      </c>
      <c r="D211" s="6" t="s">
        <v>39</v>
      </c>
      <c r="E211" s="6">
        <v>42</v>
      </c>
      <c r="F211" s="6" t="s">
        <v>246</v>
      </c>
      <c r="G211" s="512">
        <v>0.11045655376000001</v>
      </c>
      <c r="H211" s="9">
        <v>1358</v>
      </c>
      <c r="I211" s="9">
        <v>150</v>
      </c>
      <c r="J211" s="57">
        <f t="shared" si="14"/>
        <v>64.05</v>
      </c>
      <c r="K211" s="57">
        <f t="shared" si="15"/>
        <v>7.0747422683280003</v>
      </c>
      <c r="L211" s="57"/>
      <c r="O211" s="514"/>
      <c r="Q211" s="190"/>
      <c r="R211" s="9"/>
      <c r="S211" s="9"/>
    </row>
    <row r="212" spans="1:19">
      <c r="A212" s="6">
        <v>810</v>
      </c>
      <c r="B212" s="6">
        <f t="shared" si="16"/>
        <v>203</v>
      </c>
      <c r="C212" s="6">
        <f t="shared" si="13"/>
        <v>810076</v>
      </c>
      <c r="D212" s="6" t="s">
        <v>39</v>
      </c>
      <c r="E212" s="6">
        <v>76</v>
      </c>
      <c r="F212" s="6" t="s">
        <v>296</v>
      </c>
      <c r="G212" s="512">
        <v>8.1001472749999998E-2</v>
      </c>
      <c r="H212" s="9">
        <v>1358</v>
      </c>
      <c r="I212" s="9">
        <v>110</v>
      </c>
      <c r="J212" s="57">
        <f t="shared" si="14"/>
        <v>56.12</v>
      </c>
      <c r="K212" s="57">
        <f t="shared" si="15"/>
        <v>4.5458026507299998</v>
      </c>
      <c r="L212" s="57"/>
      <c r="O212" s="514"/>
      <c r="Q212" s="190"/>
      <c r="R212" s="9"/>
      <c r="S212" s="9"/>
    </row>
    <row r="213" spans="1:19">
      <c r="A213" s="6">
        <v>810</v>
      </c>
      <c r="B213" s="6">
        <f t="shared" si="16"/>
        <v>204</v>
      </c>
      <c r="C213" s="6">
        <f t="shared" si="13"/>
        <v>810102</v>
      </c>
      <c r="D213" s="6" t="s">
        <v>39</v>
      </c>
      <c r="E213" s="6">
        <v>102</v>
      </c>
      <c r="F213" s="6" t="s">
        <v>327</v>
      </c>
      <c r="G213" s="512">
        <v>3.7555228279999998E-2</v>
      </c>
      <c r="H213" s="9">
        <v>1358</v>
      </c>
      <c r="I213" s="9">
        <v>51</v>
      </c>
      <c r="J213" s="57">
        <f t="shared" si="14"/>
        <v>78.680000000000007</v>
      </c>
      <c r="K213" s="57">
        <f t="shared" si="15"/>
        <v>2.9548453610704</v>
      </c>
      <c r="L213" s="57"/>
      <c r="O213" s="514"/>
      <c r="Q213" s="190"/>
      <c r="R213" s="9"/>
      <c r="S213" s="9"/>
    </row>
    <row r="214" spans="1:19">
      <c r="A214" s="6">
        <v>810</v>
      </c>
      <c r="B214" s="6">
        <f t="shared" si="16"/>
        <v>205</v>
      </c>
      <c r="C214" s="6">
        <f t="shared" si="13"/>
        <v>810182</v>
      </c>
      <c r="D214" s="6" t="s">
        <v>39</v>
      </c>
      <c r="E214" s="6">
        <v>182</v>
      </c>
      <c r="F214" s="6" t="s">
        <v>424</v>
      </c>
      <c r="G214" s="512">
        <v>0.12076583211</v>
      </c>
      <c r="H214" s="9">
        <v>1358</v>
      </c>
      <c r="I214" s="9">
        <v>164</v>
      </c>
      <c r="J214" s="57">
        <f t="shared" si="14"/>
        <v>55.24</v>
      </c>
      <c r="K214" s="57">
        <f t="shared" si="15"/>
        <v>6.6711045657564005</v>
      </c>
      <c r="L214" s="57"/>
      <c r="O214" s="514"/>
      <c r="Q214" s="190"/>
      <c r="R214" s="9"/>
      <c r="S214" s="9"/>
    </row>
    <row r="215" spans="1:19">
      <c r="A215" s="6">
        <v>810</v>
      </c>
      <c r="B215" s="6">
        <f t="shared" si="16"/>
        <v>206</v>
      </c>
      <c r="C215" s="6">
        <f t="shared" si="13"/>
        <v>810245</v>
      </c>
      <c r="D215" s="6" t="s">
        <v>39</v>
      </c>
      <c r="E215" s="6">
        <v>245</v>
      </c>
      <c r="F215" s="6" t="s">
        <v>496</v>
      </c>
      <c r="G215" s="512">
        <v>0.13033873342999999</v>
      </c>
      <c r="H215" s="9">
        <v>1358</v>
      </c>
      <c r="I215" s="9">
        <v>177</v>
      </c>
      <c r="J215" s="57">
        <f t="shared" si="14"/>
        <v>64.22</v>
      </c>
      <c r="K215" s="57">
        <f t="shared" si="15"/>
        <v>8.3703534608745986</v>
      </c>
      <c r="L215" s="57"/>
      <c r="O215" s="514"/>
      <c r="Q215" s="190"/>
      <c r="R215" s="9"/>
      <c r="S215" s="9"/>
    </row>
    <row r="216" spans="1:19">
      <c r="A216" s="6">
        <v>810</v>
      </c>
      <c r="B216" s="6">
        <f t="shared" si="16"/>
        <v>207</v>
      </c>
      <c r="C216" s="6">
        <f t="shared" si="13"/>
        <v>810247</v>
      </c>
      <c r="D216" s="6" t="s">
        <v>39</v>
      </c>
      <c r="E216" s="6">
        <v>247</v>
      </c>
      <c r="F216" s="6" t="s">
        <v>498</v>
      </c>
      <c r="G216" s="512">
        <v>4.1973490430000003E-2</v>
      </c>
      <c r="H216" s="9">
        <v>1358</v>
      </c>
      <c r="I216" s="9">
        <v>57</v>
      </c>
      <c r="J216" s="57">
        <f t="shared" si="14"/>
        <v>82.5</v>
      </c>
      <c r="K216" s="57">
        <f t="shared" si="15"/>
        <v>3.4628129604750004</v>
      </c>
      <c r="L216" s="57"/>
      <c r="O216" s="514"/>
      <c r="Q216" s="190"/>
      <c r="R216" s="9"/>
      <c r="S216" s="9"/>
    </row>
    <row r="217" spans="1:19">
      <c r="A217" s="6">
        <v>810</v>
      </c>
      <c r="B217" s="6">
        <f t="shared" si="16"/>
        <v>208</v>
      </c>
      <c r="C217" s="6">
        <f t="shared" si="13"/>
        <v>810293</v>
      </c>
      <c r="D217" s="6" t="s">
        <v>39</v>
      </c>
      <c r="E217" s="6">
        <v>293</v>
      </c>
      <c r="F217" s="6" t="s">
        <v>541</v>
      </c>
      <c r="G217" s="512">
        <v>0.39617083946999998</v>
      </c>
      <c r="H217" s="9">
        <v>1358</v>
      </c>
      <c r="I217" s="9">
        <v>538</v>
      </c>
      <c r="J217" s="57">
        <f t="shared" si="14"/>
        <v>36.229999999999997</v>
      </c>
      <c r="K217" s="57">
        <f t="shared" si="15"/>
        <v>14.353269513998098</v>
      </c>
      <c r="L217" s="57"/>
      <c r="O217" s="514"/>
      <c r="Q217" s="190"/>
      <c r="R217" s="9"/>
      <c r="S217" s="9"/>
    </row>
    <row r="218" spans="1:19">
      <c r="A218" s="6">
        <v>815</v>
      </c>
      <c r="B218" s="6">
        <f t="shared" si="16"/>
        <v>209</v>
      </c>
      <c r="C218" s="6">
        <f t="shared" si="13"/>
        <v>815020</v>
      </c>
      <c r="D218" s="6" t="s">
        <v>27</v>
      </c>
      <c r="E218" s="6">
        <v>20</v>
      </c>
      <c r="F218" s="6" t="s">
        <v>26</v>
      </c>
      <c r="G218" s="512">
        <v>0.27177177177</v>
      </c>
      <c r="H218" s="9">
        <v>666</v>
      </c>
      <c r="I218" s="9">
        <v>181</v>
      </c>
      <c r="J218" s="57">
        <f t="shared" si="14"/>
        <v>82.5</v>
      </c>
      <c r="K218" s="57">
        <f t="shared" si="15"/>
        <v>22.421171171025001</v>
      </c>
      <c r="L218" s="57"/>
      <c r="O218" s="514"/>
      <c r="Q218" s="190"/>
      <c r="R218" s="9"/>
      <c r="S218" s="9"/>
    </row>
    <row r="219" spans="1:19">
      <c r="A219" s="6">
        <v>815</v>
      </c>
      <c r="B219" s="6">
        <f t="shared" si="16"/>
        <v>210</v>
      </c>
      <c r="C219" s="6">
        <f t="shared" si="13"/>
        <v>815041</v>
      </c>
      <c r="D219" s="6" t="s">
        <v>27</v>
      </c>
      <c r="E219" s="6">
        <v>41</v>
      </c>
      <c r="F219" s="6" t="s">
        <v>244</v>
      </c>
      <c r="G219" s="512">
        <v>7.657657658E-2</v>
      </c>
      <c r="H219" s="9">
        <v>666</v>
      </c>
      <c r="I219" s="9">
        <v>51</v>
      </c>
      <c r="J219" s="57">
        <f t="shared" si="14"/>
        <v>82.5</v>
      </c>
      <c r="K219" s="57">
        <f t="shared" si="15"/>
        <v>6.3175675678500003</v>
      </c>
      <c r="L219" s="57"/>
      <c r="O219" s="514"/>
      <c r="Q219" s="190"/>
      <c r="R219" s="9"/>
      <c r="S219" s="9"/>
    </row>
    <row r="220" spans="1:19">
      <c r="A220" s="6">
        <v>815</v>
      </c>
      <c r="B220" s="6">
        <f t="shared" si="16"/>
        <v>211</v>
      </c>
      <c r="C220" s="6">
        <f t="shared" si="13"/>
        <v>815055</v>
      </c>
      <c r="D220" s="6" t="s">
        <v>27</v>
      </c>
      <c r="E220" s="6">
        <v>55</v>
      </c>
      <c r="F220" s="6" t="s">
        <v>264</v>
      </c>
      <c r="G220" s="512">
        <v>3.0030030030000002E-2</v>
      </c>
      <c r="H220" s="9">
        <v>666</v>
      </c>
      <c r="I220" s="9">
        <v>20</v>
      </c>
      <c r="J220" s="57">
        <f t="shared" si="14"/>
        <v>82.5</v>
      </c>
      <c r="K220" s="57">
        <f t="shared" si="15"/>
        <v>2.4774774774750004</v>
      </c>
      <c r="L220" s="57"/>
      <c r="O220" s="514"/>
      <c r="Q220" s="190"/>
      <c r="R220" s="9"/>
      <c r="S220" s="9"/>
    </row>
    <row r="221" spans="1:19">
      <c r="A221" s="6">
        <v>815</v>
      </c>
      <c r="B221" s="6">
        <f t="shared" si="16"/>
        <v>212</v>
      </c>
      <c r="C221" s="6">
        <f t="shared" si="13"/>
        <v>815075</v>
      </c>
      <c r="D221" s="6" t="s">
        <v>27</v>
      </c>
      <c r="E221" s="6">
        <v>75</v>
      </c>
      <c r="F221" s="6" t="s">
        <v>294</v>
      </c>
      <c r="G221" s="512">
        <v>9.4594594589999997E-2</v>
      </c>
      <c r="H221" s="9">
        <v>666</v>
      </c>
      <c r="I221" s="9">
        <v>63</v>
      </c>
      <c r="J221" s="57">
        <f t="shared" si="14"/>
        <v>82.5</v>
      </c>
      <c r="K221" s="57">
        <f t="shared" si="15"/>
        <v>7.8040540536749994</v>
      </c>
      <c r="L221" s="57"/>
      <c r="O221" s="514"/>
      <c r="Q221" s="190"/>
      <c r="R221" s="9"/>
      <c r="S221" s="9"/>
    </row>
    <row r="222" spans="1:19">
      <c r="A222" s="6">
        <v>815</v>
      </c>
      <c r="B222" s="6">
        <f t="shared" si="16"/>
        <v>213</v>
      </c>
      <c r="C222" s="6">
        <f t="shared" si="13"/>
        <v>815085</v>
      </c>
      <c r="D222" s="6" t="s">
        <v>27</v>
      </c>
      <c r="E222" s="6">
        <v>85</v>
      </c>
      <c r="F222" s="6" t="s">
        <v>310</v>
      </c>
      <c r="G222" s="512">
        <v>4.2042042039999998E-2</v>
      </c>
      <c r="H222" s="9">
        <v>666</v>
      </c>
      <c r="I222" s="9">
        <v>28</v>
      </c>
      <c r="J222" s="57">
        <f t="shared" si="14"/>
        <v>82.5</v>
      </c>
      <c r="K222" s="57">
        <f t="shared" si="15"/>
        <v>3.4684684682999998</v>
      </c>
      <c r="L222" s="57"/>
      <c r="O222" s="514"/>
      <c r="Q222" s="190"/>
      <c r="R222" s="9"/>
      <c r="S222" s="9"/>
    </row>
    <row r="223" spans="1:19">
      <c r="A223" s="6">
        <v>815</v>
      </c>
      <c r="B223" s="6">
        <f t="shared" si="16"/>
        <v>214</v>
      </c>
      <c r="C223" s="6">
        <f t="shared" si="13"/>
        <v>815126</v>
      </c>
      <c r="D223" s="6" t="s">
        <v>27</v>
      </c>
      <c r="E223" s="6">
        <v>126</v>
      </c>
      <c r="F223" s="6" t="s">
        <v>356</v>
      </c>
      <c r="G223" s="512">
        <v>0.11561561562</v>
      </c>
      <c r="H223" s="9">
        <v>666</v>
      </c>
      <c r="I223" s="9">
        <v>77</v>
      </c>
      <c r="J223" s="57">
        <f t="shared" si="14"/>
        <v>82.5</v>
      </c>
      <c r="K223" s="57">
        <f t="shared" si="15"/>
        <v>9.5382882886499996</v>
      </c>
      <c r="L223" s="57"/>
      <c r="O223" s="514"/>
      <c r="Q223" s="190"/>
      <c r="R223" s="9"/>
      <c r="S223" s="9"/>
    </row>
    <row r="224" spans="1:19">
      <c r="A224" s="6">
        <v>815</v>
      </c>
      <c r="B224" s="6">
        <f t="shared" si="16"/>
        <v>215</v>
      </c>
      <c r="C224" s="6">
        <f t="shared" si="13"/>
        <v>815172</v>
      </c>
      <c r="D224" s="6" t="s">
        <v>27</v>
      </c>
      <c r="E224" s="6">
        <v>172</v>
      </c>
      <c r="F224" s="6" t="s">
        <v>413</v>
      </c>
      <c r="G224" s="512">
        <v>8.5585585589999999E-2</v>
      </c>
      <c r="H224" s="9">
        <v>666</v>
      </c>
      <c r="I224" s="9">
        <v>57</v>
      </c>
      <c r="J224" s="57">
        <f t="shared" si="14"/>
        <v>82.5</v>
      </c>
      <c r="K224" s="57">
        <f t="shared" si="15"/>
        <v>7.0608108111750001</v>
      </c>
      <c r="L224" s="57"/>
      <c r="O224" s="514"/>
      <c r="Q224" s="190"/>
      <c r="R224" s="9"/>
      <c r="S224" s="9"/>
    </row>
    <row r="225" spans="1:19">
      <c r="A225" s="6">
        <v>815</v>
      </c>
      <c r="B225" s="6">
        <f t="shared" si="16"/>
        <v>216</v>
      </c>
      <c r="C225" s="6">
        <f t="shared" si="13"/>
        <v>815224</v>
      </c>
      <c r="D225" s="6" t="s">
        <v>27</v>
      </c>
      <c r="E225" s="6">
        <v>224</v>
      </c>
      <c r="F225" s="6" t="s">
        <v>472</v>
      </c>
      <c r="G225" s="512">
        <v>2.2522522520000001E-2</v>
      </c>
      <c r="H225" s="9">
        <v>666</v>
      </c>
      <c r="I225" s="9">
        <v>15</v>
      </c>
      <c r="J225" s="57">
        <f t="shared" si="14"/>
        <v>82.5</v>
      </c>
      <c r="K225" s="57">
        <f t="shared" si="15"/>
        <v>1.8581081079000001</v>
      </c>
      <c r="L225" s="57"/>
      <c r="O225" s="514"/>
      <c r="Q225" s="190"/>
      <c r="R225" s="9"/>
      <c r="S225" s="9"/>
    </row>
    <row r="226" spans="1:19">
      <c r="A226" s="6">
        <v>815</v>
      </c>
      <c r="B226" s="6">
        <f t="shared" si="16"/>
        <v>217</v>
      </c>
      <c r="C226" s="6">
        <f t="shared" si="13"/>
        <v>815242</v>
      </c>
      <c r="D226" s="6" t="s">
        <v>27</v>
      </c>
      <c r="E226" s="6">
        <v>242</v>
      </c>
      <c r="F226" s="6" t="s">
        <v>493</v>
      </c>
      <c r="G226" s="512">
        <v>9.0090090099999992E-3</v>
      </c>
      <c r="H226" s="9">
        <v>666</v>
      </c>
      <c r="I226" s="9">
        <v>6</v>
      </c>
      <c r="J226" s="57">
        <f t="shared" si="14"/>
        <v>82.5</v>
      </c>
      <c r="K226" s="57">
        <f t="shared" si="15"/>
        <v>0.74324324332499991</v>
      </c>
      <c r="L226" s="57"/>
      <c r="O226" s="514"/>
      <c r="Q226" s="190"/>
      <c r="R226" s="9"/>
      <c r="S226" s="9"/>
    </row>
    <row r="227" spans="1:19">
      <c r="A227" s="6">
        <v>815</v>
      </c>
      <c r="B227" s="6">
        <f t="shared" si="16"/>
        <v>218</v>
      </c>
      <c r="C227" s="6">
        <f t="shared" si="13"/>
        <v>815300</v>
      </c>
      <c r="D227" s="6" t="s">
        <v>27</v>
      </c>
      <c r="E227" s="6">
        <v>300</v>
      </c>
      <c r="F227" s="6" t="s">
        <v>548</v>
      </c>
      <c r="G227" s="512">
        <v>1.651651652E-2</v>
      </c>
      <c r="H227" s="9">
        <v>666</v>
      </c>
      <c r="I227" s="9">
        <v>11</v>
      </c>
      <c r="J227" s="57">
        <f t="shared" si="14"/>
        <v>82.5</v>
      </c>
      <c r="K227" s="57">
        <f t="shared" si="15"/>
        <v>1.3626126129</v>
      </c>
      <c r="L227" s="57"/>
      <c r="O227" s="514"/>
      <c r="Q227" s="190"/>
      <c r="R227" s="9"/>
      <c r="S227" s="9"/>
    </row>
    <row r="228" spans="1:19">
      <c r="A228" s="6">
        <v>815</v>
      </c>
      <c r="B228" s="6">
        <f t="shared" si="16"/>
        <v>219</v>
      </c>
      <c r="C228" s="6">
        <f t="shared" si="13"/>
        <v>815318</v>
      </c>
      <c r="D228" s="6" t="s">
        <v>27</v>
      </c>
      <c r="E228" s="6">
        <v>318</v>
      </c>
      <c r="F228" s="6" t="s">
        <v>563</v>
      </c>
      <c r="G228" s="512">
        <v>1.651651652E-2</v>
      </c>
      <c r="H228" s="9">
        <v>666</v>
      </c>
      <c r="I228" s="9">
        <v>11</v>
      </c>
      <c r="J228" s="57">
        <f t="shared" si="14"/>
        <v>82.5</v>
      </c>
      <c r="K228" s="57">
        <f t="shared" si="15"/>
        <v>1.3626126129</v>
      </c>
      <c r="L228" s="57"/>
      <c r="O228" s="514"/>
      <c r="Q228" s="190"/>
      <c r="R228" s="9"/>
      <c r="S228" s="9"/>
    </row>
    <row r="229" spans="1:19">
      <c r="A229" s="6">
        <v>815</v>
      </c>
      <c r="B229" s="6">
        <f t="shared" si="16"/>
        <v>220</v>
      </c>
      <c r="C229" s="6">
        <f t="shared" si="13"/>
        <v>815351</v>
      </c>
      <c r="D229" s="6" t="s">
        <v>27</v>
      </c>
      <c r="E229" s="6">
        <v>351</v>
      </c>
      <c r="F229" s="6" t="s">
        <v>590</v>
      </c>
      <c r="G229" s="512">
        <v>0.21921921922000001</v>
      </c>
      <c r="H229" s="9">
        <v>666</v>
      </c>
      <c r="I229" s="9">
        <v>146</v>
      </c>
      <c r="J229" s="57">
        <f t="shared" si="14"/>
        <v>82.5</v>
      </c>
      <c r="K229" s="57">
        <f t="shared" si="15"/>
        <v>18.085585585650001</v>
      </c>
      <c r="L229" s="57"/>
      <c r="O229" s="514"/>
      <c r="Q229" s="190"/>
      <c r="R229" s="9"/>
      <c r="S229" s="9"/>
    </row>
    <row r="230" spans="1:19">
      <c r="A230" s="6">
        <v>817</v>
      </c>
      <c r="B230" s="6">
        <f t="shared" si="16"/>
        <v>221</v>
      </c>
      <c r="C230" s="6">
        <f t="shared" si="13"/>
        <v>817030</v>
      </c>
      <c r="D230" s="6" t="s">
        <v>670</v>
      </c>
      <c r="E230" s="6">
        <v>30</v>
      </c>
      <c r="F230" s="6" t="s">
        <v>46</v>
      </c>
      <c r="G230" s="512">
        <v>0.14012738854000001</v>
      </c>
      <c r="H230" s="9">
        <v>1413</v>
      </c>
      <c r="I230" s="9">
        <v>198</v>
      </c>
      <c r="J230" s="57">
        <f t="shared" si="14"/>
        <v>82.5</v>
      </c>
      <c r="K230" s="57">
        <f t="shared" si="15"/>
        <v>11.56050955455</v>
      </c>
      <c r="L230" s="57"/>
      <c r="O230" s="514"/>
      <c r="Q230" s="190"/>
      <c r="R230" s="9"/>
      <c r="S230" s="9"/>
    </row>
    <row r="231" spans="1:19">
      <c r="A231" s="6">
        <v>817</v>
      </c>
      <c r="B231" s="6">
        <f t="shared" si="16"/>
        <v>222</v>
      </c>
      <c r="C231" s="6">
        <f t="shared" si="13"/>
        <v>817038</v>
      </c>
      <c r="D231" s="6" t="s">
        <v>670</v>
      </c>
      <c r="E231" s="6">
        <v>38</v>
      </c>
      <c r="F231" s="6" t="s">
        <v>240</v>
      </c>
      <c r="G231" s="512">
        <v>1.7692852089999999E-2</v>
      </c>
      <c r="H231" s="9">
        <v>1413</v>
      </c>
      <c r="I231" s="9">
        <v>25</v>
      </c>
      <c r="J231" s="57">
        <f t="shared" si="14"/>
        <v>82.5</v>
      </c>
      <c r="K231" s="57">
        <f t="shared" si="15"/>
        <v>1.4596602974249999</v>
      </c>
      <c r="L231" s="57"/>
      <c r="O231" s="514"/>
      <c r="Q231" s="190"/>
      <c r="R231" s="9"/>
      <c r="S231" s="9"/>
    </row>
    <row r="232" spans="1:19">
      <c r="A232" s="6">
        <v>817</v>
      </c>
      <c r="B232" s="6">
        <f t="shared" si="16"/>
        <v>223</v>
      </c>
      <c r="C232" s="6">
        <f t="shared" si="13"/>
        <v>817071</v>
      </c>
      <c r="D232" s="6" t="s">
        <v>670</v>
      </c>
      <c r="E232" s="6">
        <v>71</v>
      </c>
      <c r="F232" s="6" t="s">
        <v>285</v>
      </c>
      <c r="G232" s="512">
        <v>0.16985138004</v>
      </c>
      <c r="H232" s="9">
        <v>1413</v>
      </c>
      <c r="I232" s="9">
        <v>240</v>
      </c>
      <c r="J232" s="57">
        <f t="shared" si="14"/>
        <v>82.5</v>
      </c>
      <c r="K232" s="57">
        <f t="shared" si="15"/>
        <v>14.0127388533</v>
      </c>
      <c r="L232" s="57"/>
      <c r="O232" s="514"/>
      <c r="Q232" s="190"/>
      <c r="R232" s="9"/>
      <c r="S232" s="9"/>
    </row>
    <row r="233" spans="1:19">
      <c r="A233" s="6">
        <v>817</v>
      </c>
      <c r="B233" s="6">
        <f t="shared" si="16"/>
        <v>224</v>
      </c>
      <c r="C233" s="6">
        <f t="shared" si="13"/>
        <v>817092</v>
      </c>
      <c r="D233" s="6" t="s">
        <v>670</v>
      </c>
      <c r="E233" s="6">
        <v>92</v>
      </c>
      <c r="F233" s="6" t="s">
        <v>316</v>
      </c>
      <c r="G233" s="512">
        <v>1.344656759E-2</v>
      </c>
      <c r="H233" s="9">
        <v>1413</v>
      </c>
      <c r="I233" s="9">
        <v>19</v>
      </c>
      <c r="J233" s="57">
        <f t="shared" si="14"/>
        <v>82.5</v>
      </c>
      <c r="K233" s="57">
        <f t="shared" si="15"/>
        <v>1.1093418261749999</v>
      </c>
      <c r="L233" s="57"/>
      <c r="O233" s="514"/>
      <c r="Q233" s="190"/>
      <c r="R233" s="9"/>
      <c r="S233" s="9"/>
    </row>
    <row r="234" spans="1:19">
      <c r="A234" s="6">
        <v>817</v>
      </c>
      <c r="B234" s="6">
        <f t="shared" si="16"/>
        <v>225</v>
      </c>
      <c r="C234" s="6">
        <f t="shared" si="13"/>
        <v>817107</v>
      </c>
      <c r="D234" s="6" t="s">
        <v>670</v>
      </c>
      <c r="E234" s="6">
        <v>107</v>
      </c>
      <c r="F234" s="6" t="s">
        <v>334</v>
      </c>
      <c r="G234" s="512">
        <v>7.0063694270000004E-2</v>
      </c>
      <c r="H234" s="9">
        <v>1413</v>
      </c>
      <c r="I234" s="9">
        <v>99</v>
      </c>
      <c r="J234" s="57">
        <f t="shared" si="14"/>
        <v>82.5</v>
      </c>
      <c r="K234" s="57">
        <f t="shared" si="15"/>
        <v>5.7802547772750001</v>
      </c>
      <c r="L234" s="57"/>
      <c r="O234" s="514"/>
      <c r="Q234" s="190"/>
      <c r="R234" s="9"/>
      <c r="S234" s="9"/>
    </row>
    <row r="235" spans="1:19">
      <c r="A235" s="6">
        <v>817</v>
      </c>
      <c r="B235" s="6">
        <f t="shared" si="16"/>
        <v>226</v>
      </c>
      <c r="C235" s="6">
        <f t="shared" si="13"/>
        <v>817119</v>
      </c>
      <c r="D235" s="6" t="s">
        <v>670</v>
      </c>
      <c r="E235" s="6">
        <v>119</v>
      </c>
      <c r="F235" s="6" t="s">
        <v>347</v>
      </c>
      <c r="G235" s="512">
        <v>1.7692852089999999E-2</v>
      </c>
      <c r="H235" s="9">
        <v>1413</v>
      </c>
      <c r="I235" s="9">
        <v>25</v>
      </c>
      <c r="J235" s="57">
        <f t="shared" si="14"/>
        <v>82.5</v>
      </c>
      <c r="K235" s="57">
        <f t="shared" si="15"/>
        <v>1.4596602974249999</v>
      </c>
      <c r="L235" s="57"/>
      <c r="O235" s="514"/>
      <c r="Q235" s="190"/>
      <c r="R235" s="9"/>
      <c r="S235" s="9"/>
    </row>
    <row r="236" spans="1:19">
      <c r="A236" s="6">
        <v>817</v>
      </c>
      <c r="B236" s="6">
        <f t="shared" si="16"/>
        <v>227</v>
      </c>
      <c r="C236" s="6">
        <f t="shared" si="13"/>
        <v>817164</v>
      </c>
      <c r="D236" s="6" t="s">
        <v>670</v>
      </c>
      <c r="E236" s="6">
        <v>164</v>
      </c>
      <c r="F236" s="6" t="s">
        <v>405</v>
      </c>
      <c r="G236" s="512">
        <v>2.547770701E-2</v>
      </c>
      <c r="H236" s="9">
        <v>1413</v>
      </c>
      <c r="I236" s="9">
        <v>36</v>
      </c>
      <c r="J236" s="57">
        <f t="shared" si="14"/>
        <v>82.5</v>
      </c>
      <c r="K236" s="57">
        <f t="shared" si="15"/>
        <v>2.1019108283249999</v>
      </c>
      <c r="L236" s="57"/>
      <c r="O236" s="514"/>
      <c r="Q236" s="190"/>
      <c r="R236" s="9"/>
      <c r="S236" s="9"/>
    </row>
    <row r="237" spans="1:19">
      <c r="A237" s="6">
        <v>817</v>
      </c>
      <c r="B237" s="6">
        <f t="shared" si="16"/>
        <v>228</v>
      </c>
      <c r="C237" s="6">
        <f t="shared" si="13"/>
        <v>817166</v>
      </c>
      <c r="D237" s="6" t="s">
        <v>670</v>
      </c>
      <c r="E237" s="6">
        <v>166</v>
      </c>
      <c r="F237" s="6" t="s">
        <v>407</v>
      </c>
      <c r="G237" s="512">
        <v>9.2002830900000006E-3</v>
      </c>
      <c r="H237" s="9">
        <v>1413</v>
      </c>
      <c r="I237" s="9">
        <v>13</v>
      </c>
      <c r="J237" s="57">
        <f t="shared" si="14"/>
        <v>82.5</v>
      </c>
      <c r="K237" s="57">
        <f t="shared" si="15"/>
        <v>0.75902335492500006</v>
      </c>
      <c r="L237" s="57"/>
      <c r="O237" s="514"/>
      <c r="Q237" s="190"/>
      <c r="R237" s="9"/>
      <c r="S237" s="9"/>
    </row>
    <row r="238" spans="1:19">
      <c r="A238" s="6">
        <v>817</v>
      </c>
      <c r="B238" s="6">
        <f t="shared" si="16"/>
        <v>229</v>
      </c>
      <c r="C238" s="6">
        <f t="shared" si="13"/>
        <v>817168</v>
      </c>
      <c r="D238" s="6" t="s">
        <v>670</v>
      </c>
      <c r="E238" s="6">
        <v>168</v>
      </c>
      <c r="F238" s="6" t="s">
        <v>409</v>
      </c>
      <c r="G238" s="512">
        <v>1.7692852089999999E-2</v>
      </c>
      <c r="H238" s="9">
        <v>1413</v>
      </c>
      <c r="I238" s="9">
        <v>25</v>
      </c>
      <c r="J238" s="57">
        <f t="shared" si="14"/>
        <v>82.5</v>
      </c>
      <c r="K238" s="57">
        <f t="shared" si="15"/>
        <v>1.4596602974249999</v>
      </c>
      <c r="L238" s="57"/>
      <c r="O238" s="514"/>
      <c r="Q238" s="190"/>
      <c r="R238" s="9"/>
      <c r="S238" s="9"/>
    </row>
    <row r="239" spans="1:19">
      <c r="A239" s="6">
        <v>817</v>
      </c>
      <c r="B239" s="6">
        <f t="shared" si="16"/>
        <v>230</v>
      </c>
      <c r="C239" s="6">
        <f t="shared" si="13"/>
        <v>817184</v>
      </c>
      <c r="D239" s="6" t="s">
        <v>670</v>
      </c>
      <c r="E239" s="6">
        <v>184</v>
      </c>
      <c r="F239" s="6" t="s">
        <v>426</v>
      </c>
      <c r="G239" s="512">
        <v>3.8216560509999997E-2</v>
      </c>
      <c r="H239" s="9">
        <v>1413</v>
      </c>
      <c r="I239" s="9">
        <v>54</v>
      </c>
      <c r="J239" s="57">
        <f t="shared" si="14"/>
        <v>82.5</v>
      </c>
      <c r="K239" s="57">
        <f t="shared" si="15"/>
        <v>3.1528662420749995</v>
      </c>
      <c r="L239" s="57"/>
      <c r="O239" s="514"/>
      <c r="Q239" s="190"/>
      <c r="R239" s="9"/>
      <c r="S239" s="9"/>
    </row>
    <row r="240" spans="1:19">
      <c r="A240" s="6">
        <v>817</v>
      </c>
      <c r="B240" s="6">
        <f t="shared" si="16"/>
        <v>231</v>
      </c>
      <c r="C240" s="6">
        <f t="shared" si="13"/>
        <v>817196</v>
      </c>
      <c r="D240" s="6" t="s">
        <v>670</v>
      </c>
      <c r="E240" s="6">
        <v>196</v>
      </c>
      <c r="F240" s="6" t="s">
        <v>437</v>
      </c>
      <c r="G240" s="512">
        <v>9.9079971700000002E-3</v>
      </c>
      <c r="H240" s="9">
        <v>1413</v>
      </c>
      <c r="I240" s="9">
        <v>14</v>
      </c>
      <c r="J240" s="57">
        <f t="shared" si="14"/>
        <v>82.5</v>
      </c>
      <c r="K240" s="57">
        <f t="shared" si="15"/>
        <v>0.81740976652499997</v>
      </c>
      <c r="L240" s="57"/>
      <c r="O240" s="514"/>
      <c r="Q240" s="190"/>
      <c r="R240" s="9"/>
      <c r="S240" s="9"/>
    </row>
    <row r="241" spans="1:19">
      <c r="A241" s="6">
        <v>817</v>
      </c>
      <c r="B241" s="6">
        <f t="shared" si="16"/>
        <v>232</v>
      </c>
      <c r="C241" s="6">
        <f t="shared" si="13"/>
        <v>817229</v>
      </c>
      <c r="D241" s="6" t="s">
        <v>670</v>
      </c>
      <c r="E241" s="6">
        <v>229</v>
      </c>
      <c r="F241" s="6" t="s">
        <v>104</v>
      </c>
      <c r="G241" s="512">
        <v>0.29370134465999997</v>
      </c>
      <c r="H241" s="9">
        <v>1413</v>
      </c>
      <c r="I241" s="9">
        <v>415</v>
      </c>
      <c r="J241" s="57">
        <f t="shared" si="14"/>
        <v>67.290000000000006</v>
      </c>
      <c r="K241" s="57">
        <f t="shared" si="15"/>
        <v>19.7631634821714</v>
      </c>
      <c r="L241" s="57"/>
      <c r="O241" s="514"/>
      <c r="Q241" s="190"/>
      <c r="R241" s="9"/>
      <c r="S241" s="9"/>
    </row>
    <row r="242" spans="1:19">
      <c r="A242" s="6">
        <v>817</v>
      </c>
      <c r="B242" s="6">
        <f t="shared" si="16"/>
        <v>233</v>
      </c>
      <c r="C242" s="6">
        <f t="shared" si="13"/>
        <v>817252</v>
      </c>
      <c r="D242" s="6" t="s">
        <v>670</v>
      </c>
      <c r="E242" s="6">
        <v>252</v>
      </c>
      <c r="F242" s="6" t="s">
        <v>502</v>
      </c>
      <c r="G242" s="512">
        <v>1.061571125E-2</v>
      </c>
      <c r="H242" s="9">
        <v>1413</v>
      </c>
      <c r="I242" s="9">
        <v>15</v>
      </c>
      <c r="J242" s="57">
        <f t="shared" si="14"/>
        <v>82.5</v>
      </c>
      <c r="K242" s="57">
        <f t="shared" si="15"/>
        <v>0.87579617812499999</v>
      </c>
      <c r="L242" s="57"/>
      <c r="O242" s="514"/>
      <c r="Q242" s="190"/>
      <c r="R242" s="9"/>
      <c r="S242" s="9"/>
    </row>
    <row r="243" spans="1:19">
      <c r="A243" s="6">
        <v>817</v>
      </c>
      <c r="B243" s="6">
        <f t="shared" si="16"/>
        <v>234</v>
      </c>
      <c r="C243" s="6">
        <f t="shared" si="13"/>
        <v>817258</v>
      </c>
      <c r="D243" s="6" t="s">
        <v>670</v>
      </c>
      <c r="E243" s="6">
        <v>258</v>
      </c>
      <c r="F243" s="6" t="s">
        <v>507</v>
      </c>
      <c r="G243" s="512">
        <v>0.1203113942</v>
      </c>
      <c r="H243" s="9">
        <v>1413</v>
      </c>
      <c r="I243" s="9">
        <v>170</v>
      </c>
      <c r="J243" s="57">
        <f t="shared" si="14"/>
        <v>70.89</v>
      </c>
      <c r="K243" s="57">
        <f t="shared" si="15"/>
        <v>8.5288747348380003</v>
      </c>
      <c r="L243" s="57"/>
      <c r="O243" s="514"/>
      <c r="Q243" s="190"/>
      <c r="R243" s="9"/>
      <c r="S243" s="9"/>
    </row>
    <row r="244" spans="1:19">
      <c r="A244" s="6">
        <v>817</v>
      </c>
      <c r="B244" s="6">
        <f t="shared" si="16"/>
        <v>235</v>
      </c>
      <c r="C244" s="6">
        <f t="shared" si="13"/>
        <v>817291</v>
      </c>
      <c r="D244" s="6" t="s">
        <v>670</v>
      </c>
      <c r="E244" s="6">
        <v>291</v>
      </c>
      <c r="F244" s="6" t="s">
        <v>539</v>
      </c>
      <c r="G244" s="512">
        <v>1.6985138E-2</v>
      </c>
      <c r="H244" s="9">
        <v>1413</v>
      </c>
      <c r="I244" s="9">
        <v>24</v>
      </c>
      <c r="J244" s="57">
        <f t="shared" si="14"/>
        <v>82.5</v>
      </c>
      <c r="K244" s="57">
        <f t="shared" si="15"/>
        <v>1.4012738849999999</v>
      </c>
      <c r="L244" s="57"/>
      <c r="O244" s="514"/>
      <c r="Q244" s="190"/>
      <c r="R244" s="9"/>
      <c r="S244" s="9"/>
    </row>
    <row r="245" spans="1:19">
      <c r="A245" s="6">
        <v>817</v>
      </c>
      <c r="B245" s="6">
        <f t="shared" si="16"/>
        <v>236</v>
      </c>
      <c r="C245" s="6">
        <f t="shared" si="13"/>
        <v>817298</v>
      </c>
      <c r="D245" s="6" t="s">
        <v>670</v>
      </c>
      <c r="E245" s="6">
        <v>298</v>
      </c>
      <c r="F245" s="6" t="s">
        <v>546</v>
      </c>
      <c r="G245" s="512">
        <v>1.7692852089999999E-2</v>
      </c>
      <c r="H245" s="9">
        <v>1413</v>
      </c>
      <c r="I245" s="9">
        <v>25</v>
      </c>
      <c r="J245" s="57">
        <f t="shared" si="14"/>
        <v>82.5</v>
      </c>
      <c r="K245" s="57">
        <f t="shared" si="15"/>
        <v>1.4596602974249999</v>
      </c>
      <c r="L245" s="57"/>
      <c r="O245" s="514"/>
      <c r="Q245" s="190"/>
      <c r="R245" s="9"/>
      <c r="S245" s="9"/>
    </row>
    <row r="246" spans="1:19">
      <c r="A246" s="6">
        <v>817</v>
      </c>
      <c r="B246" s="6">
        <f t="shared" si="16"/>
        <v>237</v>
      </c>
      <c r="C246" s="6">
        <f t="shared" si="13"/>
        <v>817320</v>
      </c>
      <c r="D246" s="6" t="s">
        <v>670</v>
      </c>
      <c r="E246" s="6">
        <v>320</v>
      </c>
      <c r="F246" s="6" t="s">
        <v>565</v>
      </c>
      <c r="G246" s="512">
        <v>1.132342534E-2</v>
      </c>
      <c r="H246" s="9">
        <v>1413</v>
      </c>
      <c r="I246" s="9">
        <v>16</v>
      </c>
      <c r="J246" s="57">
        <f t="shared" si="14"/>
        <v>82.5</v>
      </c>
      <c r="K246" s="57">
        <f t="shared" si="15"/>
        <v>0.93418259054999997</v>
      </c>
      <c r="L246" s="57"/>
      <c r="O246" s="514"/>
      <c r="Q246" s="190"/>
      <c r="R246" s="9"/>
      <c r="S246" s="9"/>
    </row>
    <row r="247" spans="1:19">
      <c r="A247" s="6">
        <v>818</v>
      </c>
      <c r="B247" s="6">
        <f t="shared" si="16"/>
        <v>238</v>
      </c>
      <c r="C247" s="6">
        <f t="shared" si="13"/>
        <v>818029</v>
      </c>
      <c r="D247" s="6" t="s">
        <v>45</v>
      </c>
      <c r="E247" s="6">
        <v>29</v>
      </c>
      <c r="F247" s="6" t="s">
        <v>43</v>
      </c>
      <c r="G247" s="512">
        <v>5.2539404550000002E-2</v>
      </c>
      <c r="H247" s="9">
        <v>571</v>
      </c>
      <c r="I247" s="9">
        <v>30</v>
      </c>
      <c r="J247" s="57">
        <f t="shared" si="14"/>
        <v>60.55</v>
      </c>
      <c r="K247" s="57">
        <f t="shared" si="15"/>
        <v>3.1812609455024998</v>
      </c>
      <c r="L247" s="57"/>
      <c r="O247" s="514"/>
      <c r="Q247" s="190"/>
      <c r="R247" s="9"/>
      <c r="S247" s="9"/>
    </row>
    <row r="248" spans="1:19">
      <c r="A248" s="6">
        <v>818</v>
      </c>
      <c r="B248" s="6">
        <f t="shared" si="16"/>
        <v>239</v>
      </c>
      <c r="C248" s="6">
        <f t="shared" si="13"/>
        <v>818047</v>
      </c>
      <c r="D248" s="6" t="s">
        <v>45</v>
      </c>
      <c r="E248" s="6">
        <v>47</v>
      </c>
      <c r="F248" s="6" t="s">
        <v>254</v>
      </c>
      <c r="G248" s="512">
        <v>3.1523642730000002E-2</v>
      </c>
      <c r="H248" s="9">
        <v>571</v>
      </c>
      <c r="I248" s="9">
        <v>18</v>
      </c>
      <c r="J248" s="57">
        <f t="shared" si="14"/>
        <v>57.44</v>
      </c>
      <c r="K248" s="57">
        <f t="shared" si="15"/>
        <v>1.8107180384112</v>
      </c>
      <c r="L248" s="57"/>
      <c r="O248" s="514"/>
      <c r="Q248" s="190"/>
      <c r="R248" s="9"/>
      <c r="S248" s="9"/>
    </row>
    <row r="249" spans="1:19">
      <c r="A249" s="6">
        <v>818</v>
      </c>
      <c r="B249" s="6">
        <f t="shared" si="16"/>
        <v>240</v>
      </c>
      <c r="C249" s="6">
        <f t="shared" si="13"/>
        <v>818066</v>
      </c>
      <c r="D249" s="6" t="s">
        <v>45</v>
      </c>
      <c r="E249" s="6">
        <v>66</v>
      </c>
      <c r="F249" s="6" t="s">
        <v>279</v>
      </c>
      <c r="G249" s="512">
        <v>4.0280210160000003E-2</v>
      </c>
      <c r="H249" s="9">
        <v>571</v>
      </c>
      <c r="I249" s="9">
        <v>23</v>
      </c>
      <c r="J249" s="57">
        <f t="shared" si="14"/>
        <v>60.22</v>
      </c>
      <c r="K249" s="57">
        <f t="shared" si="15"/>
        <v>2.4256742558352</v>
      </c>
      <c r="L249" s="57"/>
      <c r="O249" s="514"/>
      <c r="Q249" s="190"/>
      <c r="R249" s="9"/>
      <c r="S249" s="9"/>
    </row>
    <row r="250" spans="1:19">
      <c r="A250" s="6">
        <v>818</v>
      </c>
      <c r="B250" s="6">
        <f t="shared" si="16"/>
        <v>241</v>
      </c>
      <c r="C250" s="6">
        <f t="shared" si="13"/>
        <v>818068</v>
      </c>
      <c r="D250" s="6" t="s">
        <v>45</v>
      </c>
      <c r="E250" s="6">
        <v>68</v>
      </c>
      <c r="F250" s="6" t="s">
        <v>281</v>
      </c>
      <c r="G250" s="512">
        <v>1.2259194399999999E-2</v>
      </c>
      <c r="H250" s="9">
        <v>571</v>
      </c>
      <c r="I250" s="9">
        <v>7</v>
      </c>
      <c r="J250" s="57">
        <f t="shared" si="14"/>
        <v>82.5</v>
      </c>
      <c r="K250" s="57">
        <f t="shared" si="15"/>
        <v>1.011383538</v>
      </c>
      <c r="L250" s="57"/>
      <c r="O250" s="514"/>
      <c r="Q250" s="190"/>
      <c r="R250" s="9"/>
      <c r="S250" s="9"/>
    </row>
    <row r="251" spans="1:19">
      <c r="A251" s="6">
        <v>818</v>
      </c>
      <c r="B251" s="6">
        <f t="shared" si="16"/>
        <v>242</v>
      </c>
      <c r="C251" s="6">
        <f t="shared" si="13"/>
        <v>818074</v>
      </c>
      <c r="D251" s="6" t="s">
        <v>45</v>
      </c>
      <c r="E251" s="6">
        <v>74</v>
      </c>
      <c r="F251" s="6" t="s">
        <v>293</v>
      </c>
      <c r="G251" s="512">
        <v>6.1295971980000002E-2</v>
      </c>
      <c r="H251" s="9">
        <v>571</v>
      </c>
      <c r="I251" s="9">
        <v>35</v>
      </c>
      <c r="J251" s="57">
        <f t="shared" si="14"/>
        <v>82.5</v>
      </c>
      <c r="K251" s="57">
        <f t="shared" si="15"/>
        <v>5.0569176883500004</v>
      </c>
      <c r="L251" s="57"/>
      <c r="O251" s="514"/>
      <c r="Q251" s="190"/>
      <c r="R251" s="9"/>
      <c r="S251" s="9"/>
    </row>
    <row r="252" spans="1:19">
      <c r="A252" s="6">
        <v>818</v>
      </c>
      <c r="B252" s="6">
        <f t="shared" si="16"/>
        <v>243</v>
      </c>
      <c r="C252" s="6">
        <f t="shared" si="13"/>
        <v>818091</v>
      </c>
      <c r="D252" s="6" t="s">
        <v>45</v>
      </c>
      <c r="E252" s="6">
        <v>91</v>
      </c>
      <c r="F252" s="6" t="s">
        <v>315</v>
      </c>
      <c r="G252" s="512">
        <v>4.7285464100000001E-2</v>
      </c>
      <c r="H252" s="9">
        <v>571</v>
      </c>
      <c r="I252" s="9">
        <v>27</v>
      </c>
      <c r="J252" s="57">
        <f t="shared" si="14"/>
        <v>82.5</v>
      </c>
      <c r="K252" s="57">
        <f t="shared" si="15"/>
        <v>3.9010507882500001</v>
      </c>
      <c r="L252" s="57"/>
      <c r="O252" s="514"/>
      <c r="Q252" s="190"/>
      <c r="R252" s="9"/>
      <c r="S252" s="9"/>
    </row>
    <row r="253" spans="1:19">
      <c r="A253" s="6">
        <v>818</v>
      </c>
      <c r="B253" s="6">
        <f t="shared" si="16"/>
        <v>244</v>
      </c>
      <c r="C253" s="6">
        <f t="shared" si="13"/>
        <v>818106</v>
      </c>
      <c r="D253" s="6" t="s">
        <v>45</v>
      </c>
      <c r="E253" s="6">
        <v>106</v>
      </c>
      <c r="F253" s="6" t="s">
        <v>332</v>
      </c>
      <c r="G253" s="512">
        <v>2.2767075309999999E-2</v>
      </c>
      <c r="H253" s="9">
        <v>571</v>
      </c>
      <c r="I253" s="9">
        <v>13</v>
      </c>
      <c r="J253" s="57">
        <f t="shared" si="14"/>
        <v>70.84</v>
      </c>
      <c r="K253" s="57">
        <f t="shared" si="15"/>
        <v>1.6128196149603999</v>
      </c>
      <c r="L253" s="57"/>
      <c r="O253" s="514"/>
      <c r="Q253" s="190"/>
      <c r="R253" s="9"/>
      <c r="S253" s="9"/>
    </row>
    <row r="254" spans="1:19">
      <c r="A254" s="6">
        <v>818</v>
      </c>
      <c r="B254" s="6">
        <f t="shared" si="16"/>
        <v>245</v>
      </c>
      <c r="C254" s="6">
        <f t="shared" si="13"/>
        <v>818114</v>
      </c>
      <c r="D254" s="6" t="s">
        <v>45</v>
      </c>
      <c r="E254" s="6">
        <v>114</v>
      </c>
      <c r="F254" s="6" t="s">
        <v>341</v>
      </c>
      <c r="G254" s="512">
        <v>0.23117338003999999</v>
      </c>
      <c r="H254" s="9">
        <v>571</v>
      </c>
      <c r="I254" s="9">
        <v>132</v>
      </c>
      <c r="J254" s="57">
        <f t="shared" si="14"/>
        <v>44.41</v>
      </c>
      <c r="K254" s="57">
        <f t="shared" si="15"/>
        <v>10.266409807576398</v>
      </c>
      <c r="L254" s="57"/>
      <c r="O254" s="514"/>
      <c r="Q254" s="190"/>
      <c r="R254" s="9"/>
      <c r="S254" s="9"/>
    </row>
    <row r="255" spans="1:19">
      <c r="A255" s="6">
        <v>818</v>
      </c>
      <c r="B255" s="6">
        <f t="shared" si="16"/>
        <v>246</v>
      </c>
      <c r="C255" s="6">
        <f t="shared" si="13"/>
        <v>818130</v>
      </c>
      <c r="D255" s="6" t="s">
        <v>45</v>
      </c>
      <c r="E255" s="6">
        <v>130</v>
      </c>
      <c r="F255" s="6" t="s">
        <v>359</v>
      </c>
      <c r="G255" s="512">
        <v>1.926444834E-2</v>
      </c>
      <c r="H255" s="9">
        <v>571</v>
      </c>
      <c r="I255" s="9">
        <v>11</v>
      </c>
      <c r="J255" s="57">
        <f t="shared" si="14"/>
        <v>42.21</v>
      </c>
      <c r="K255" s="57">
        <f t="shared" si="15"/>
        <v>0.81315236443140004</v>
      </c>
      <c r="L255" s="57"/>
      <c r="O255" s="514"/>
      <c r="Q255" s="190"/>
      <c r="R255" s="9"/>
      <c r="S255" s="9"/>
    </row>
    <row r="256" spans="1:19">
      <c r="A256" s="6">
        <v>818</v>
      </c>
      <c r="B256" s="6">
        <f t="shared" si="16"/>
        <v>247</v>
      </c>
      <c r="C256" s="6">
        <f t="shared" si="13"/>
        <v>818156</v>
      </c>
      <c r="D256" s="6" t="s">
        <v>45</v>
      </c>
      <c r="E256" s="6">
        <v>156</v>
      </c>
      <c r="F256" s="6" t="s">
        <v>380</v>
      </c>
      <c r="G256" s="512">
        <v>7.0052539400000001E-3</v>
      </c>
      <c r="H256" s="9">
        <v>571</v>
      </c>
      <c r="I256" s="9">
        <v>4</v>
      </c>
      <c r="J256" s="57">
        <f t="shared" si="14"/>
        <v>82.5</v>
      </c>
      <c r="K256" s="57">
        <f t="shared" si="15"/>
        <v>0.57793345004999996</v>
      </c>
      <c r="L256" s="57"/>
      <c r="O256" s="514"/>
      <c r="Q256" s="190"/>
      <c r="R256" s="9"/>
      <c r="S256" s="9"/>
    </row>
    <row r="257" spans="1:19">
      <c r="A257" s="6">
        <v>818</v>
      </c>
      <c r="B257" s="6">
        <f t="shared" si="16"/>
        <v>248</v>
      </c>
      <c r="C257" s="6">
        <f t="shared" si="13"/>
        <v>818192</v>
      </c>
      <c r="D257" s="6" t="s">
        <v>45</v>
      </c>
      <c r="E257" s="6">
        <v>192</v>
      </c>
      <c r="F257" s="6" t="s">
        <v>434</v>
      </c>
      <c r="G257" s="512">
        <v>0.12959719789999999</v>
      </c>
      <c r="H257" s="9">
        <v>571</v>
      </c>
      <c r="I257" s="9">
        <v>74</v>
      </c>
      <c r="J257" s="57">
        <f t="shared" si="14"/>
        <v>48.8</v>
      </c>
      <c r="K257" s="57">
        <f t="shared" si="15"/>
        <v>6.3243432575199989</v>
      </c>
      <c r="L257" s="57"/>
      <c r="O257" s="514"/>
      <c r="Q257" s="190"/>
      <c r="R257" s="9"/>
      <c r="S257" s="9"/>
    </row>
    <row r="258" spans="1:19">
      <c r="A258" s="6">
        <v>818</v>
      </c>
      <c r="B258" s="6">
        <f t="shared" si="16"/>
        <v>249</v>
      </c>
      <c r="C258" s="6">
        <f t="shared" si="13"/>
        <v>818206</v>
      </c>
      <c r="D258" s="6" t="s">
        <v>45</v>
      </c>
      <c r="E258" s="6">
        <v>206</v>
      </c>
      <c r="F258" s="6" t="s">
        <v>447</v>
      </c>
      <c r="G258" s="512">
        <v>2.4518388790000002E-2</v>
      </c>
      <c r="H258" s="9">
        <v>571</v>
      </c>
      <c r="I258" s="9">
        <v>14</v>
      </c>
      <c r="J258" s="57">
        <f t="shared" si="14"/>
        <v>68.709999999999994</v>
      </c>
      <c r="K258" s="57">
        <f t="shared" si="15"/>
        <v>1.6846584937608999</v>
      </c>
      <c r="L258" s="57"/>
      <c r="O258" s="514"/>
      <c r="Q258" s="190"/>
      <c r="R258" s="9"/>
      <c r="S258" s="9"/>
    </row>
    <row r="259" spans="1:19">
      <c r="A259" s="6">
        <v>818</v>
      </c>
      <c r="B259" s="6">
        <f t="shared" si="16"/>
        <v>250</v>
      </c>
      <c r="C259" s="6">
        <f t="shared" si="13"/>
        <v>818216</v>
      </c>
      <c r="D259" s="6" t="s">
        <v>45</v>
      </c>
      <c r="E259" s="6">
        <v>216</v>
      </c>
      <c r="F259" s="6" t="s">
        <v>462</v>
      </c>
      <c r="G259" s="512">
        <v>7.0052539400000002E-2</v>
      </c>
      <c r="H259" s="9">
        <v>571</v>
      </c>
      <c r="I259" s="9">
        <v>40</v>
      </c>
      <c r="J259" s="57">
        <f t="shared" si="14"/>
        <v>82.5</v>
      </c>
      <c r="K259" s="57">
        <f t="shared" si="15"/>
        <v>5.7793345005000001</v>
      </c>
      <c r="L259" s="57"/>
      <c r="O259" s="514"/>
      <c r="Q259" s="190"/>
      <c r="R259" s="9"/>
      <c r="S259" s="9"/>
    </row>
    <row r="260" spans="1:19">
      <c r="A260" s="6">
        <v>818</v>
      </c>
      <c r="B260" s="6">
        <f t="shared" si="16"/>
        <v>251</v>
      </c>
      <c r="C260" s="6">
        <f t="shared" si="13"/>
        <v>818223</v>
      </c>
      <c r="D260" s="6" t="s">
        <v>45</v>
      </c>
      <c r="E260" s="6">
        <v>223</v>
      </c>
      <c r="F260" s="6" t="s">
        <v>471</v>
      </c>
      <c r="G260" s="512">
        <v>0.16287215412</v>
      </c>
      <c r="H260" s="9">
        <v>571</v>
      </c>
      <c r="I260" s="9">
        <v>93</v>
      </c>
      <c r="J260" s="57">
        <f t="shared" si="14"/>
        <v>28.82</v>
      </c>
      <c r="K260" s="57">
        <f t="shared" si="15"/>
        <v>4.6939754817384003</v>
      </c>
      <c r="L260" s="57"/>
      <c r="O260" s="514"/>
      <c r="Q260" s="190"/>
      <c r="R260" s="9"/>
      <c r="S260" s="9"/>
    </row>
    <row r="261" spans="1:19">
      <c r="A261" s="6">
        <v>818</v>
      </c>
      <c r="B261" s="6">
        <f t="shared" si="16"/>
        <v>252</v>
      </c>
      <c r="C261" s="6">
        <f t="shared" si="13"/>
        <v>818268</v>
      </c>
      <c r="D261" s="6" t="s">
        <v>45</v>
      </c>
      <c r="E261" s="6">
        <v>268</v>
      </c>
      <c r="F261" s="6" t="s">
        <v>517</v>
      </c>
      <c r="G261" s="512">
        <v>1.7513134850000001E-2</v>
      </c>
      <c r="H261" s="9">
        <v>571</v>
      </c>
      <c r="I261" s="9">
        <v>10</v>
      </c>
      <c r="J261" s="57">
        <f t="shared" si="14"/>
        <v>80.400000000000006</v>
      </c>
      <c r="K261" s="57">
        <f t="shared" si="15"/>
        <v>1.4080560419400001</v>
      </c>
      <c r="L261" s="57"/>
      <c r="O261" s="514"/>
      <c r="Q261" s="190"/>
      <c r="R261" s="9"/>
      <c r="S261" s="9"/>
    </row>
    <row r="262" spans="1:19">
      <c r="A262" s="6">
        <v>818</v>
      </c>
      <c r="B262" s="6">
        <f t="shared" si="16"/>
        <v>253</v>
      </c>
      <c r="C262" s="6">
        <f t="shared" si="13"/>
        <v>818289</v>
      </c>
      <c r="D262" s="6" t="s">
        <v>45</v>
      </c>
      <c r="E262" s="6">
        <v>289</v>
      </c>
      <c r="F262" s="6" t="s">
        <v>537</v>
      </c>
      <c r="G262" s="512">
        <v>1.5761821370000002E-2</v>
      </c>
      <c r="H262" s="9">
        <v>571</v>
      </c>
      <c r="I262" s="9">
        <v>9</v>
      </c>
      <c r="J262" s="57">
        <f t="shared" si="14"/>
        <v>82.5</v>
      </c>
      <c r="K262" s="57">
        <f t="shared" si="15"/>
        <v>1.3003502630250001</v>
      </c>
      <c r="L262" s="57"/>
      <c r="O262" s="514"/>
      <c r="Q262" s="190"/>
      <c r="R262" s="9"/>
      <c r="S262" s="9"/>
    </row>
    <row r="263" spans="1:19">
      <c r="A263" s="6">
        <v>818</v>
      </c>
      <c r="B263" s="6">
        <f t="shared" si="16"/>
        <v>254</v>
      </c>
      <c r="C263" s="6">
        <f t="shared" si="13"/>
        <v>818312</v>
      </c>
      <c r="D263" s="6" t="s">
        <v>45</v>
      </c>
      <c r="E263" s="6">
        <v>312</v>
      </c>
      <c r="F263" s="6" t="s">
        <v>559</v>
      </c>
      <c r="G263" s="512">
        <v>8.7565674300000007E-3</v>
      </c>
      <c r="H263" s="9">
        <v>571</v>
      </c>
      <c r="I263" s="9">
        <v>5</v>
      </c>
      <c r="J263" s="57">
        <f t="shared" si="14"/>
        <v>82.5</v>
      </c>
      <c r="K263" s="57">
        <f t="shared" si="15"/>
        <v>0.72241681297500004</v>
      </c>
      <c r="L263" s="57"/>
      <c r="O263" s="514"/>
      <c r="Q263" s="190"/>
      <c r="R263" s="9"/>
      <c r="S263" s="9"/>
    </row>
    <row r="264" spans="1:19">
      <c r="A264" s="6">
        <v>818</v>
      </c>
      <c r="B264" s="6">
        <f t="shared" si="16"/>
        <v>255</v>
      </c>
      <c r="C264" s="6">
        <f t="shared" si="13"/>
        <v>818319</v>
      </c>
      <c r="D264" s="6" t="s">
        <v>45</v>
      </c>
      <c r="E264" s="6">
        <v>319</v>
      </c>
      <c r="F264" s="6" t="s">
        <v>564</v>
      </c>
      <c r="G264" s="512">
        <v>1.401050788E-2</v>
      </c>
      <c r="H264" s="9">
        <v>571</v>
      </c>
      <c r="I264" s="9">
        <v>8</v>
      </c>
      <c r="J264" s="57">
        <f t="shared" si="14"/>
        <v>42.41</v>
      </c>
      <c r="K264" s="57">
        <f t="shared" si="15"/>
        <v>0.59418563919079992</v>
      </c>
      <c r="L264" s="57"/>
      <c r="O264" s="514"/>
      <c r="Q264" s="190"/>
      <c r="R264" s="9"/>
      <c r="S264" s="9"/>
    </row>
    <row r="265" spans="1:19">
      <c r="A265" s="6">
        <v>818</v>
      </c>
      <c r="B265" s="6">
        <f t="shared" si="16"/>
        <v>256</v>
      </c>
      <c r="C265" s="6">
        <f t="shared" si="13"/>
        <v>818337</v>
      </c>
      <c r="D265" s="6" t="s">
        <v>45</v>
      </c>
      <c r="E265" s="6">
        <v>337</v>
      </c>
      <c r="F265" s="6" t="s">
        <v>578</v>
      </c>
      <c r="G265" s="512">
        <v>3.1523642730000002E-2</v>
      </c>
      <c r="H265" s="9">
        <v>571</v>
      </c>
      <c r="I265" s="9">
        <v>18</v>
      </c>
      <c r="J265" s="57">
        <f t="shared" si="14"/>
        <v>82.5</v>
      </c>
      <c r="K265" s="57">
        <f t="shared" si="15"/>
        <v>2.6007005252250002</v>
      </c>
      <c r="L265" s="57"/>
      <c r="O265" s="514"/>
      <c r="Q265" s="190"/>
      <c r="R265" s="9"/>
      <c r="S265" s="9"/>
    </row>
    <row r="266" spans="1:19">
      <c r="A266" s="6">
        <v>821</v>
      </c>
      <c r="B266" s="6">
        <f t="shared" si="16"/>
        <v>257</v>
      </c>
      <c r="C266" s="6">
        <f t="shared" ref="C266:C329" si="17">A266*1000+E266</f>
        <v>821095</v>
      </c>
      <c r="D266" s="6" t="s">
        <v>319</v>
      </c>
      <c r="E266" s="6">
        <v>95</v>
      </c>
      <c r="F266" s="6" t="s">
        <v>318</v>
      </c>
      <c r="G266" s="512">
        <v>0.72684246111999995</v>
      </c>
      <c r="H266" s="9">
        <v>1479</v>
      </c>
      <c r="I266" s="9">
        <v>1075</v>
      </c>
      <c r="J266" s="57">
        <f t="shared" si="14"/>
        <v>22.28</v>
      </c>
      <c r="K266" s="57">
        <f t="shared" si="15"/>
        <v>16.194050033753598</v>
      </c>
      <c r="L266" s="57"/>
      <c r="O266" s="514"/>
      <c r="Q266" s="190"/>
      <c r="R266" s="9"/>
      <c r="S266" s="9"/>
    </row>
    <row r="267" spans="1:19">
      <c r="A267" s="6">
        <v>821</v>
      </c>
      <c r="B267" s="6">
        <f t="shared" si="16"/>
        <v>258</v>
      </c>
      <c r="C267" s="6">
        <f t="shared" si="17"/>
        <v>821273</v>
      </c>
      <c r="D267" s="6" t="s">
        <v>319</v>
      </c>
      <c r="E267" s="6">
        <v>273</v>
      </c>
      <c r="F267" s="6" t="s">
        <v>521</v>
      </c>
      <c r="G267" s="512">
        <v>0.10209601082</v>
      </c>
      <c r="H267" s="9">
        <v>1479</v>
      </c>
      <c r="I267" s="9">
        <v>151</v>
      </c>
      <c r="J267" s="57">
        <f t="shared" ref="J267:J330" si="18">ROUND(VLOOKUP(E267,town351,12),2)</f>
        <v>60.03</v>
      </c>
      <c r="K267" s="57">
        <f t="shared" ref="K267:K330" si="19">G267*J267</f>
        <v>6.1288235295245999</v>
      </c>
      <c r="L267" s="57"/>
      <c r="O267" s="514"/>
      <c r="Q267" s="190"/>
      <c r="R267" s="9"/>
      <c r="S267" s="9"/>
    </row>
    <row r="268" spans="1:19">
      <c r="A268" s="6">
        <v>821</v>
      </c>
      <c r="B268" s="6">
        <f t="shared" ref="B268:B331" si="20">B267+1</f>
        <v>259</v>
      </c>
      <c r="C268" s="6">
        <f t="shared" si="17"/>
        <v>821292</v>
      </c>
      <c r="D268" s="6" t="s">
        <v>319</v>
      </c>
      <c r="E268" s="6">
        <v>292</v>
      </c>
      <c r="F268" s="6" t="s">
        <v>540</v>
      </c>
      <c r="G268" s="512">
        <v>9.2630155510000006E-2</v>
      </c>
      <c r="H268" s="9">
        <v>1479</v>
      </c>
      <c r="I268" s="9">
        <v>137</v>
      </c>
      <c r="J268" s="57">
        <f t="shared" si="18"/>
        <v>65.459999999999994</v>
      </c>
      <c r="K268" s="57">
        <f t="shared" si="19"/>
        <v>6.0635699796845994</v>
      </c>
      <c r="L268" s="57"/>
      <c r="O268" s="514"/>
      <c r="Q268" s="190"/>
      <c r="R268" s="9"/>
      <c r="S268" s="9"/>
    </row>
    <row r="269" spans="1:19">
      <c r="A269" s="6">
        <v>821</v>
      </c>
      <c r="B269" s="6">
        <f t="shared" si="20"/>
        <v>260</v>
      </c>
      <c r="C269" s="6">
        <f t="shared" si="17"/>
        <v>821331</v>
      </c>
      <c r="D269" s="6" t="s">
        <v>319</v>
      </c>
      <c r="E269" s="6">
        <v>331</v>
      </c>
      <c r="F269" s="6" t="s">
        <v>573</v>
      </c>
      <c r="G269" s="512">
        <v>7.8431372550000003E-2</v>
      </c>
      <c r="H269" s="9">
        <v>1479</v>
      </c>
      <c r="I269" s="9">
        <v>116</v>
      </c>
      <c r="J269" s="57">
        <f t="shared" si="18"/>
        <v>82.5</v>
      </c>
      <c r="K269" s="57">
        <f t="shared" si="19"/>
        <v>6.4705882353750006</v>
      </c>
      <c r="L269" s="57"/>
      <c r="O269" s="514"/>
      <c r="Q269" s="190"/>
      <c r="R269" s="9"/>
      <c r="S269" s="9"/>
    </row>
    <row r="270" spans="1:19">
      <c r="A270" s="6">
        <v>823</v>
      </c>
      <c r="B270" s="6">
        <f t="shared" si="20"/>
        <v>261</v>
      </c>
      <c r="C270" s="6">
        <f t="shared" si="17"/>
        <v>823009</v>
      </c>
      <c r="D270" s="6" t="s">
        <v>6</v>
      </c>
      <c r="E270" s="6">
        <v>9</v>
      </c>
      <c r="F270" s="6" t="s">
        <v>5</v>
      </c>
      <c r="G270" s="512">
        <v>2.7559055119999998E-2</v>
      </c>
      <c r="H270" s="9">
        <v>1778</v>
      </c>
      <c r="I270" s="9">
        <v>49</v>
      </c>
      <c r="J270" s="57">
        <f t="shared" si="18"/>
        <v>82.5</v>
      </c>
      <c r="K270" s="57">
        <f t="shared" si="19"/>
        <v>2.2736220474</v>
      </c>
      <c r="L270" s="57"/>
      <c r="O270" s="514"/>
      <c r="Q270" s="190"/>
      <c r="R270" s="9"/>
      <c r="S270" s="9"/>
    </row>
    <row r="271" spans="1:19">
      <c r="A271" s="6">
        <v>823</v>
      </c>
      <c r="B271" s="6">
        <f t="shared" si="20"/>
        <v>262</v>
      </c>
      <c r="C271" s="6">
        <f t="shared" si="17"/>
        <v>823149</v>
      </c>
      <c r="D271" s="6" t="s">
        <v>6</v>
      </c>
      <c r="E271" s="6">
        <v>149</v>
      </c>
      <c r="F271" s="6" t="s">
        <v>377</v>
      </c>
      <c r="G271" s="512">
        <v>0.71541057368000005</v>
      </c>
      <c r="H271" s="9">
        <v>1778</v>
      </c>
      <c r="I271" s="9">
        <v>1272</v>
      </c>
      <c r="J271" s="57">
        <f t="shared" si="18"/>
        <v>15.45</v>
      </c>
      <c r="K271" s="57">
        <f t="shared" si="19"/>
        <v>11.053093363356</v>
      </c>
      <c r="L271" s="57"/>
      <c r="O271" s="514"/>
      <c r="Q271" s="190"/>
      <c r="R271" s="9"/>
      <c r="S271" s="9"/>
    </row>
    <row r="272" spans="1:19">
      <c r="A272" s="6">
        <v>823</v>
      </c>
      <c r="B272" s="6">
        <f t="shared" si="20"/>
        <v>263</v>
      </c>
      <c r="C272" s="6">
        <f t="shared" si="17"/>
        <v>823181</v>
      </c>
      <c r="D272" s="6" t="s">
        <v>6</v>
      </c>
      <c r="E272" s="6">
        <v>181</v>
      </c>
      <c r="F272" s="6" t="s">
        <v>423</v>
      </c>
      <c r="G272" s="512">
        <v>0.23509561305000001</v>
      </c>
      <c r="H272" s="9">
        <v>1778</v>
      </c>
      <c r="I272" s="9">
        <v>418</v>
      </c>
      <c r="J272" s="57">
        <f t="shared" si="18"/>
        <v>45.43</v>
      </c>
      <c r="K272" s="57">
        <f t="shared" si="19"/>
        <v>10.680393700861501</v>
      </c>
      <c r="L272" s="57"/>
      <c r="O272" s="514"/>
      <c r="Q272" s="190"/>
      <c r="R272" s="9"/>
      <c r="S272" s="9"/>
    </row>
    <row r="273" spans="1:19">
      <c r="A273" s="6">
        <v>823</v>
      </c>
      <c r="B273" s="6">
        <f t="shared" si="20"/>
        <v>264</v>
      </c>
      <c r="C273" s="6">
        <f t="shared" si="17"/>
        <v>823211</v>
      </c>
      <c r="D273" s="6" t="s">
        <v>6</v>
      </c>
      <c r="E273" s="6">
        <v>211</v>
      </c>
      <c r="F273" s="6" t="s">
        <v>456</v>
      </c>
      <c r="G273" s="512">
        <v>2.1934758160000001E-2</v>
      </c>
      <c r="H273" s="9">
        <v>1778</v>
      </c>
      <c r="I273" s="9">
        <v>39</v>
      </c>
      <c r="J273" s="57">
        <f t="shared" si="18"/>
        <v>82.5</v>
      </c>
      <c r="K273" s="57">
        <f t="shared" si="19"/>
        <v>1.8096175482000001</v>
      </c>
      <c r="L273" s="57"/>
      <c r="O273" s="514"/>
      <c r="Q273" s="190"/>
      <c r="R273" s="9"/>
      <c r="S273" s="9"/>
    </row>
    <row r="274" spans="1:19">
      <c r="A274" s="6">
        <v>825</v>
      </c>
      <c r="B274" s="6">
        <f t="shared" si="20"/>
        <v>265</v>
      </c>
      <c r="C274" s="6">
        <f t="shared" si="17"/>
        <v>825072</v>
      </c>
      <c r="D274" s="6" t="s">
        <v>287</v>
      </c>
      <c r="E274" s="6">
        <v>72</v>
      </c>
      <c r="F274" s="6" t="s">
        <v>286</v>
      </c>
      <c r="G274" s="512">
        <v>0.14768518519000001</v>
      </c>
      <c r="H274" s="9">
        <v>2160</v>
      </c>
      <c r="I274" s="9">
        <v>319</v>
      </c>
      <c r="J274" s="57">
        <f t="shared" si="18"/>
        <v>82.5</v>
      </c>
      <c r="K274" s="57">
        <f t="shared" si="19"/>
        <v>12.184027778175</v>
      </c>
      <c r="L274" s="57"/>
      <c r="O274" s="514"/>
      <c r="Q274" s="190"/>
      <c r="R274" s="9"/>
      <c r="S274" s="9"/>
    </row>
    <row r="275" spans="1:19">
      <c r="A275" s="6">
        <v>825</v>
      </c>
      <c r="B275" s="6">
        <f t="shared" si="20"/>
        <v>266</v>
      </c>
      <c r="C275" s="6">
        <f t="shared" si="17"/>
        <v>825094</v>
      </c>
      <c r="D275" s="6" t="s">
        <v>287</v>
      </c>
      <c r="E275" s="6">
        <v>94</v>
      </c>
      <c r="F275" s="6" t="s">
        <v>317</v>
      </c>
      <c r="G275" s="512">
        <v>8.1481481480000006E-2</v>
      </c>
      <c r="H275" s="9">
        <v>2160</v>
      </c>
      <c r="I275" s="9">
        <v>176</v>
      </c>
      <c r="J275" s="57">
        <f t="shared" si="18"/>
        <v>73.48</v>
      </c>
      <c r="K275" s="57">
        <f t="shared" si="19"/>
        <v>5.9872592591504006</v>
      </c>
      <c r="L275" s="57"/>
      <c r="O275" s="514"/>
      <c r="Q275" s="190"/>
      <c r="R275" s="9"/>
      <c r="S275" s="9"/>
    </row>
    <row r="276" spans="1:19">
      <c r="A276" s="6">
        <v>825</v>
      </c>
      <c r="B276" s="6">
        <f t="shared" si="20"/>
        <v>267</v>
      </c>
      <c r="C276" s="6">
        <f t="shared" si="17"/>
        <v>825201</v>
      </c>
      <c r="D276" s="6" t="s">
        <v>287</v>
      </c>
      <c r="E276" s="6">
        <v>201</v>
      </c>
      <c r="F276" s="6" t="s">
        <v>441</v>
      </c>
      <c r="G276" s="512">
        <v>0.77083333333000004</v>
      </c>
      <c r="H276" s="9">
        <v>2160</v>
      </c>
      <c r="I276" s="9">
        <v>1665</v>
      </c>
      <c r="J276" s="57">
        <f t="shared" si="18"/>
        <v>20</v>
      </c>
      <c r="K276" s="57">
        <f t="shared" si="19"/>
        <v>15.416666666600001</v>
      </c>
      <c r="L276" s="57"/>
      <c r="O276" s="514"/>
      <c r="Q276" s="190"/>
      <c r="R276" s="9"/>
      <c r="S276" s="9"/>
    </row>
    <row r="277" spans="1:19">
      <c r="A277" s="6">
        <v>828</v>
      </c>
      <c r="B277" s="6">
        <f t="shared" si="20"/>
        <v>268</v>
      </c>
      <c r="C277" s="6">
        <f t="shared" si="17"/>
        <v>828079</v>
      </c>
      <c r="D277" s="6" t="s">
        <v>303</v>
      </c>
      <c r="E277" s="6">
        <v>79</v>
      </c>
      <c r="F277" s="6" t="s">
        <v>301</v>
      </c>
      <c r="G277" s="512">
        <v>0.21196797303000001</v>
      </c>
      <c r="H277" s="9">
        <v>2373</v>
      </c>
      <c r="I277" s="9">
        <v>503</v>
      </c>
      <c r="J277" s="57">
        <f t="shared" si="18"/>
        <v>58.02</v>
      </c>
      <c r="K277" s="57">
        <f t="shared" si="19"/>
        <v>12.298381795200601</v>
      </c>
      <c r="L277" s="57"/>
      <c r="O277" s="514"/>
      <c r="Q277" s="190"/>
      <c r="R277" s="9"/>
      <c r="S277" s="9"/>
    </row>
    <row r="278" spans="1:19">
      <c r="A278" s="6">
        <v>828</v>
      </c>
      <c r="B278" s="6">
        <f t="shared" si="20"/>
        <v>269</v>
      </c>
      <c r="C278" s="6">
        <f t="shared" si="17"/>
        <v>828081</v>
      </c>
      <c r="D278" s="6" t="s">
        <v>303</v>
      </c>
      <c r="E278" s="6">
        <v>81</v>
      </c>
      <c r="F278" s="6" t="s">
        <v>305</v>
      </c>
      <c r="G278" s="512">
        <v>3.37126001E-3</v>
      </c>
      <c r="H278" s="9">
        <v>2373</v>
      </c>
      <c r="I278" s="9">
        <v>8</v>
      </c>
      <c r="J278" s="57">
        <f t="shared" si="18"/>
        <v>82.5</v>
      </c>
      <c r="K278" s="57">
        <f t="shared" si="19"/>
        <v>0.278128950825</v>
      </c>
      <c r="L278" s="57"/>
      <c r="O278" s="514"/>
      <c r="Q278" s="190"/>
      <c r="R278" s="9"/>
      <c r="S278" s="9"/>
    </row>
    <row r="279" spans="1:19">
      <c r="A279" s="6">
        <v>828</v>
      </c>
      <c r="B279" s="6">
        <f t="shared" si="20"/>
        <v>270</v>
      </c>
      <c r="C279" s="6">
        <f t="shared" si="17"/>
        <v>828160</v>
      </c>
      <c r="D279" s="6" t="s">
        <v>303</v>
      </c>
      <c r="E279" s="6">
        <v>160</v>
      </c>
      <c r="F279" s="6" t="s">
        <v>384</v>
      </c>
      <c r="G279" s="512">
        <v>0.74294142435999999</v>
      </c>
      <c r="H279" s="9">
        <v>2373</v>
      </c>
      <c r="I279" s="9">
        <v>1763</v>
      </c>
      <c r="J279" s="57">
        <f t="shared" si="18"/>
        <v>25.29</v>
      </c>
      <c r="K279" s="57">
        <f t="shared" si="19"/>
        <v>18.788988622064398</v>
      </c>
      <c r="L279" s="57"/>
      <c r="O279" s="514"/>
      <c r="Q279" s="190"/>
      <c r="R279" s="9"/>
      <c r="S279" s="9"/>
    </row>
    <row r="280" spans="1:19">
      <c r="A280" s="6">
        <v>828</v>
      </c>
      <c r="B280" s="6">
        <f t="shared" si="20"/>
        <v>271</v>
      </c>
      <c r="C280" s="6">
        <f t="shared" si="17"/>
        <v>828301</v>
      </c>
      <c r="D280" s="6" t="s">
        <v>303</v>
      </c>
      <c r="E280" s="6">
        <v>301</v>
      </c>
      <c r="F280" s="6" t="s">
        <v>549</v>
      </c>
      <c r="G280" s="512">
        <v>4.1719342600000001E-2</v>
      </c>
      <c r="H280" s="9">
        <v>2373</v>
      </c>
      <c r="I280" s="9">
        <v>99</v>
      </c>
      <c r="J280" s="57">
        <f t="shared" si="18"/>
        <v>77.97</v>
      </c>
      <c r="K280" s="57">
        <f t="shared" si="19"/>
        <v>3.2528571425220001</v>
      </c>
      <c r="L280" s="57"/>
      <c r="O280" s="514"/>
      <c r="Q280" s="190"/>
      <c r="R280" s="9"/>
      <c r="S280" s="9"/>
    </row>
    <row r="281" spans="1:19">
      <c r="A281" s="6">
        <v>829</v>
      </c>
      <c r="B281" s="6">
        <f t="shared" si="20"/>
        <v>272</v>
      </c>
      <c r="C281" s="6">
        <f t="shared" si="17"/>
        <v>829014</v>
      </c>
      <c r="D281" s="6" t="s">
        <v>16</v>
      </c>
      <c r="E281" s="6">
        <v>14</v>
      </c>
      <c r="F281" s="6" t="s">
        <v>15</v>
      </c>
      <c r="G281" s="512">
        <v>7.159353349E-2</v>
      </c>
      <c r="H281" s="9">
        <v>866</v>
      </c>
      <c r="I281" s="9">
        <v>62</v>
      </c>
      <c r="J281" s="57">
        <f t="shared" si="18"/>
        <v>81.55</v>
      </c>
      <c r="K281" s="57">
        <f t="shared" si="19"/>
        <v>5.8384526561094994</v>
      </c>
      <c r="L281" s="57"/>
      <c r="O281" s="514"/>
      <c r="Q281" s="190"/>
      <c r="R281" s="9"/>
      <c r="S281" s="9"/>
    </row>
    <row r="282" spans="1:19">
      <c r="A282" s="6">
        <v>829</v>
      </c>
      <c r="B282" s="6">
        <f t="shared" si="20"/>
        <v>273</v>
      </c>
      <c r="C282" s="6">
        <f t="shared" si="17"/>
        <v>829100</v>
      </c>
      <c r="D282" s="6" t="s">
        <v>16</v>
      </c>
      <c r="E282" s="6">
        <v>100</v>
      </c>
      <c r="F282" s="6" t="s">
        <v>324</v>
      </c>
      <c r="G282" s="512">
        <v>0.73210161662999995</v>
      </c>
      <c r="H282" s="9">
        <v>866</v>
      </c>
      <c r="I282" s="9">
        <v>634</v>
      </c>
      <c r="J282" s="57">
        <f t="shared" si="18"/>
        <v>54.6</v>
      </c>
      <c r="K282" s="57">
        <f t="shared" si="19"/>
        <v>39.972748267998</v>
      </c>
      <c r="L282" s="57"/>
      <c r="O282" s="514"/>
      <c r="Q282" s="190"/>
      <c r="R282" s="9"/>
      <c r="S282" s="9"/>
    </row>
    <row r="283" spans="1:19">
      <c r="A283" s="6">
        <v>829</v>
      </c>
      <c r="B283" s="6">
        <f t="shared" si="20"/>
        <v>274</v>
      </c>
      <c r="C283" s="6">
        <f t="shared" si="17"/>
        <v>829136</v>
      </c>
      <c r="D283" s="6" t="s">
        <v>16</v>
      </c>
      <c r="E283" s="6">
        <v>136</v>
      </c>
      <c r="F283" s="6" t="s">
        <v>365</v>
      </c>
      <c r="G283" s="512">
        <v>9.5842956120000003E-2</v>
      </c>
      <c r="H283" s="9">
        <v>866</v>
      </c>
      <c r="I283" s="9">
        <v>83</v>
      </c>
      <c r="J283" s="57">
        <f t="shared" si="18"/>
        <v>82.5</v>
      </c>
      <c r="K283" s="57">
        <f t="shared" si="19"/>
        <v>7.9070438799000007</v>
      </c>
      <c r="L283" s="57"/>
      <c r="O283" s="514"/>
      <c r="Q283" s="190"/>
      <c r="R283" s="9"/>
      <c r="S283" s="9"/>
    </row>
    <row r="284" spans="1:19">
      <c r="A284" s="6">
        <v>829</v>
      </c>
      <c r="B284" s="6">
        <f t="shared" si="20"/>
        <v>275</v>
      </c>
      <c r="C284" s="6">
        <f t="shared" si="17"/>
        <v>829139</v>
      </c>
      <c r="D284" s="6" t="s">
        <v>16</v>
      </c>
      <c r="E284" s="6">
        <v>139</v>
      </c>
      <c r="F284" s="6" t="s">
        <v>367</v>
      </c>
      <c r="G284" s="512">
        <v>3.0023094689999998E-2</v>
      </c>
      <c r="H284" s="9">
        <v>866</v>
      </c>
      <c r="I284" s="9">
        <v>26</v>
      </c>
      <c r="J284" s="57">
        <f t="shared" si="18"/>
        <v>82.5</v>
      </c>
      <c r="K284" s="57">
        <f t="shared" si="19"/>
        <v>2.476905311925</v>
      </c>
      <c r="L284" s="57"/>
      <c r="O284" s="514"/>
      <c r="Q284" s="190"/>
      <c r="R284" s="9"/>
      <c r="S284" s="9"/>
    </row>
    <row r="285" spans="1:19">
      <c r="A285" s="6">
        <v>829</v>
      </c>
      <c r="B285" s="6">
        <f t="shared" si="20"/>
        <v>276</v>
      </c>
      <c r="C285" s="6">
        <f t="shared" si="17"/>
        <v>829198</v>
      </c>
      <c r="D285" s="6" t="s">
        <v>16</v>
      </c>
      <c r="E285" s="6">
        <v>198</v>
      </c>
      <c r="F285" s="6" t="s">
        <v>438</v>
      </c>
      <c r="G285" s="512">
        <v>7.0438799080000003E-2</v>
      </c>
      <c r="H285" s="9">
        <v>866</v>
      </c>
      <c r="I285" s="9">
        <v>61</v>
      </c>
      <c r="J285" s="57">
        <f t="shared" si="18"/>
        <v>82.5</v>
      </c>
      <c r="K285" s="57">
        <f t="shared" si="19"/>
        <v>5.8112009241000004</v>
      </c>
      <c r="L285" s="57"/>
      <c r="O285" s="514"/>
      <c r="Q285" s="190"/>
      <c r="R285" s="9"/>
      <c r="S285" s="9"/>
    </row>
    <row r="286" spans="1:19">
      <c r="A286" s="6">
        <v>830</v>
      </c>
      <c r="B286" s="6">
        <f t="shared" si="20"/>
        <v>277</v>
      </c>
      <c r="C286" s="6">
        <f t="shared" si="17"/>
        <v>830002</v>
      </c>
      <c r="D286" s="6" t="s">
        <v>623</v>
      </c>
      <c r="E286" s="6">
        <v>2</v>
      </c>
      <c r="F286" s="6" t="s">
        <v>621</v>
      </c>
      <c r="G286" s="512">
        <v>0.14831804280999999</v>
      </c>
      <c r="H286" s="9">
        <v>654</v>
      </c>
      <c r="I286" s="9">
        <v>97</v>
      </c>
      <c r="J286" s="57">
        <f t="shared" si="18"/>
        <v>82.5</v>
      </c>
      <c r="K286" s="57">
        <f t="shared" si="19"/>
        <v>12.236238531825</v>
      </c>
      <c r="L286" s="57"/>
      <c r="O286" s="514"/>
      <c r="Q286" s="190"/>
      <c r="R286" s="9"/>
      <c r="S286" s="9"/>
    </row>
    <row r="287" spans="1:19">
      <c r="A287" s="6">
        <v>830</v>
      </c>
      <c r="B287" s="6">
        <f t="shared" si="20"/>
        <v>278</v>
      </c>
      <c r="C287" s="6">
        <f t="shared" si="17"/>
        <v>830010</v>
      </c>
      <c r="D287" s="6" t="s">
        <v>623</v>
      </c>
      <c r="E287" s="6">
        <v>10</v>
      </c>
      <c r="F287" s="6" t="s">
        <v>7</v>
      </c>
      <c r="G287" s="512">
        <v>0.33027522935999998</v>
      </c>
      <c r="H287" s="9">
        <v>654</v>
      </c>
      <c r="I287" s="9">
        <v>216</v>
      </c>
      <c r="J287" s="57">
        <f t="shared" si="18"/>
        <v>82.5</v>
      </c>
      <c r="K287" s="57">
        <f t="shared" si="19"/>
        <v>27.247706422199997</v>
      </c>
      <c r="L287" s="57"/>
      <c r="O287" s="514"/>
      <c r="Q287" s="190"/>
      <c r="R287" s="9"/>
      <c r="S287" s="9"/>
    </row>
    <row r="288" spans="1:19">
      <c r="A288" s="6">
        <v>830</v>
      </c>
      <c r="B288" s="6">
        <f t="shared" si="20"/>
        <v>279</v>
      </c>
      <c r="C288" s="6">
        <f t="shared" si="17"/>
        <v>830034</v>
      </c>
      <c r="D288" s="6" t="s">
        <v>623</v>
      </c>
      <c r="E288" s="6">
        <v>34</v>
      </c>
      <c r="F288" s="6" t="s">
        <v>56</v>
      </c>
      <c r="G288" s="512">
        <v>5.5045871560000001E-2</v>
      </c>
      <c r="H288" s="9">
        <v>654</v>
      </c>
      <c r="I288" s="9">
        <v>36</v>
      </c>
      <c r="J288" s="57">
        <f t="shared" si="18"/>
        <v>82.5</v>
      </c>
      <c r="K288" s="57">
        <f t="shared" si="19"/>
        <v>4.5412844036999997</v>
      </c>
      <c r="L288" s="57"/>
      <c r="O288" s="514"/>
      <c r="Q288" s="190"/>
      <c r="R288" s="9"/>
      <c r="S288" s="9"/>
    </row>
    <row r="289" spans="1:19">
      <c r="A289" s="6">
        <v>830</v>
      </c>
      <c r="B289" s="6">
        <f t="shared" si="20"/>
        <v>280</v>
      </c>
      <c r="C289" s="6">
        <f t="shared" si="17"/>
        <v>830067</v>
      </c>
      <c r="D289" s="6" t="s">
        <v>623</v>
      </c>
      <c r="E289" s="6">
        <v>67</v>
      </c>
      <c r="F289" s="6" t="s">
        <v>280</v>
      </c>
      <c r="G289" s="512">
        <v>6.4220183489999999E-2</v>
      </c>
      <c r="H289" s="9">
        <v>654</v>
      </c>
      <c r="I289" s="9">
        <v>42</v>
      </c>
      <c r="J289" s="57">
        <f t="shared" si="18"/>
        <v>82.5</v>
      </c>
      <c r="K289" s="57">
        <f t="shared" si="19"/>
        <v>5.2981651379250003</v>
      </c>
      <c r="L289" s="57"/>
      <c r="O289" s="514"/>
      <c r="Q289" s="190"/>
      <c r="R289" s="9"/>
      <c r="S289" s="9"/>
    </row>
    <row r="290" spans="1:19">
      <c r="A290" s="6">
        <v>830</v>
      </c>
      <c r="B290" s="6">
        <f t="shared" si="20"/>
        <v>281</v>
      </c>
      <c r="C290" s="6">
        <f t="shared" si="17"/>
        <v>830078</v>
      </c>
      <c r="D290" s="6" t="s">
        <v>623</v>
      </c>
      <c r="E290" s="6">
        <v>78</v>
      </c>
      <c r="F290" s="6" t="s">
        <v>299</v>
      </c>
      <c r="G290" s="512">
        <v>7.6452599400000003E-3</v>
      </c>
      <c r="H290" s="9">
        <v>654</v>
      </c>
      <c r="I290" s="9">
        <v>5</v>
      </c>
      <c r="J290" s="57">
        <f t="shared" si="18"/>
        <v>82.5</v>
      </c>
      <c r="K290" s="57">
        <f t="shared" si="19"/>
        <v>0.63073394505000002</v>
      </c>
      <c r="L290" s="57"/>
      <c r="O290" s="514"/>
      <c r="Q290" s="190"/>
      <c r="R290" s="9"/>
      <c r="S290" s="9"/>
    </row>
    <row r="291" spans="1:19">
      <c r="A291" s="6">
        <v>830</v>
      </c>
      <c r="B291" s="6">
        <f t="shared" si="20"/>
        <v>282</v>
      </c>
      <c r="C291" s="6">
        <f t="shared" si="17"/>
        <v>830147</v>
      </c>
      <c r="D291" s="6" t="s">
        <v>623</v>
      </c>
      <c r="E291" s="6">
        <v>147</v>
      </c>
      <c r="F291" s="6" t="s">
        <v>374</v>
      </c>
      <c r="G291" s="512">
        <v>8.8685015290000002E-2</v>
      </c>
      <c r="H291" s="9">
        <v>654</v>
      </c>
      <c r="I291" s="9">
        <v>58</v>
      </c>
      <c r="J291" s="57">
        <f t="shared" si="18"/>
        <v>71.86</v>
      </c>
      <c r="K291" s="57">
        <f t="shared" si="19"/>
        <v>6.3729051987394003</v>
      </c>
      <c r="L291" s="57"/>
      <c r="O291" s="514"/>
      <c r="Q291" s="190"/>
      <c r="R291" s="9"/>
      <c r="S291" s="9"/>
    </row>
    <row r="292" spans="1:19">
      <c r="A292" s="6">
        <v>830</v>
      </c>
      <c r="B292" s="6">
        <f t="shared" si="20"/>
        <v>283</v>
      </c>
      <c r="C292" s="6">
        <f t="shared" si="17"/>
        <v>830155</v>
      </c>
      <c r="D292" s="6" t="s">
        <v>623</v>
      </c>
      <c r="E292" s="6">
        <v>155</v>
      </c>
      <c r="F292" s="6" t="s">
        <v>379</v>
      </c>
      <c r="G292" s="512">
        <v>0.12385321101000001</v>
      </c>
      <c r="H292" s="9">
        <v>654</v>
      </c>
      <c r="I292" s="9">
        <v>81</v>
      </c>
      <c r="J292" s="57">
        <f t="shared" si="18"/>
        <v>82.5</v>
      </c>
      <c r="K292" s="57">
        <f t="shared" si="19"/>
        <v>10.217889908325001</v>
      </c>
      <c r="L292" s="57"/>
      <c r="O292" s="514"/>
      <c r="Q292" s="190"/>
      <c r="R292" s="9"/>
      <c r="S292" s="9"/>
    </row>
    <row r="293" spans="1:19">
      <c r="A293" s="6">
        <v>830</v>
      </c>
      <c r="B293" s="6">
        <f t="shared" si="20"/>
        <v>284</v>
      </c>
      <c r="C293" s="6">
        <f t="shared" si="17"/>
        <v>830199</v>
      </c>
      <c r="D293" s="6" t="s">
        <v>623</v>
      </c>
      <c r="E293" s="6">
        <v>199</v>
      </c>
      <c r="F293" s="6" t="s">
        <v>440</v>
      </c>
      <c r="G293" s="512">
        <v>7.1865443429999995E-2</v>
      </c>
      <c r="H293" s="9">
        <v>654</v>
      </c>
      <c r="I293" s="9">
        <v>47</v>
      </c>
      <c r="J293" s="57">
        <f t="shared" si="18"/>
        <v>82.5</v>
      </c>
      <c r="K293" s="57">
        <f t="shared" si="19"/>
        <v>5.9288990829749997</v>
      </c>
      <c r="L293" s="57"/>
      <c r="O293" s="514"/>
      <c r="Q293" s="190"/>
      <c r="R293" s="9"/>
      <c r="S293" s="9"/>
    </row>
    <row r="294" spans="1:19">
      <c r="A294" s="6">
        <v>830</v>
      </c>
      <c r="B294" s="6">
        <f t="shared" si="20"/>
        <v>285</v>
      </c>
      <c r="C294" s="6">
        <f t="shared" si="17"/>
        <v>830286</v>
      </c>
      <c r="D294" s="6" t="s">
        <v>623</v>
      </c>
      <c r="E294" s="6">
        <v>286</v>
      </c>
      <c r="F294" s="6" t="s">
        <v>534</v>
      </c>
      <c r="G294" s="512">
        <v>0.11009174312</v>
      </c>
      <c r="H294" s="9">
        <v>654</v>
      </c>
      <c r="I294" s="9">
        <v>72</v>
      </c>
      <c r="J294" s="57">
        <f t="shared" si="18"/>
        <v>82.5</v>
      </c>
      <c r="K294" s="57">
        <f t="shared" si="19"/>
        <v>9.0825688073999995</v>
      </c>
      <c r="L294" s="57"/>
      <c r="O294" s="514"/>
      <c r="Q294" s="190"/>
      <c r="R294" s="9"/>
      <c r="S294" s="9"/>
    </row>
    <row r="295" spans="1:19">
      <c r="A295" s="6">
        <v>832</v>
      </c>
      <c r="B295" s="6">
        <f t="shared" si="20"/>
        <v>286</v>
      </c>
      <c r="C295" s="6">
        <f t="shared" si="17"/>
        <v>832011</v>
      </c>
      <c r="D295" s="6" t="s">
        <v>10</v>
      </c>
      <c r="E295" s="6">
        <v>11</v>
      </c>
      <c r="F295" s="6" t="s">
        <v>8</v>
      </c>
      <c r="G295" s="512">
        <v>4.3360433599999998E-2</v>
      </c>
      <c r="H295" s="9">
        <v>1476</v>
      </c>
      <c r="I295" s="9">
        <v>64</v>
      </c>
      <c r="J295" s="57">
        <f t="shared" si="18"/>
        <v>48.48</v>
      </c>
      <c r="K295" s="57">
        <f t="shared" si="19"/>
        <v>2.1021138209279999</v>
      </c>
      <c r="L295" s="57"/>
      <c r="O295" s="514"/>
      <c r="Q295" s="190"/>
      <c r="R295" s="9"/>
      <c r="S295" s="9"/>
    </row>
    <row r="296" spans="1:19">
      <c r="A296" s="6">
        <v>832</v>
      </c>
      <c r="B296" s="6">
        <f t="shared" si="20"/>
        <v>287</v>
      </c>
      <c r="C296" s="6">
        <f t="shared" si="17"/>
        <v>832012</v>
      </c>
      <c r="D296" s="6" t="s">
        <v>10</v>
      </c>
      <c r="E296" s="6">
        <v>12</v>
      </c>
      <c r="F296" s="6" t="s">
        <v>11</v>
      </c>
      <c r="G296" s="512">
        <v>2.100271003E-2</v>
      </c>
      <c r="H296" s="9">
        <v>1476</v>
      </c>
      <c r="I296" s="9">
        <v>31</v>
      </c>
      <c r="J296" s="57">
        <f t="shared" si="18"/>
        <v>55.29</v>
      </c>
      <c r="K296" s="57">
        <f t="shared" si="19"/>
        <v>1.1612398375587001</v>
      </c>
      <c r="L296" s="57"/>
      <c r="O296" s="514"/>
      <c r="Q296" s="190"/>
      <c r="R296" s="9"/>
      <c r="S296" s="9"/>
    </row>
    <row r="297" spans="1:19">
      <c r="A297" s="6">
        <v>832</v>
      </c>
      <c r="B297" s="6">
        <f t="shared" si="20"/>
        <v>288</v>
      </c>
      <c r="C297" s="6">
        <f t="shared" si="17"/>
        <v>832015</v>
      </c>
      <c r="D297" s="6" t="s">
        <v>10</v>
      </c>
      <c r="E297" s="6">
        <v>15</v>
      </c>
      <c r="F297" s="6" t="s">
        <v>17</v>
      </c>
      <c r="G297" s="512">
        <v>7.0460704609999994E-2</v>
      </c>
      <c r="H297" s="9">
        <v>1476</v>
      </c>
      <c r="I297" s="9">
        <v>104</v>
      </c>
      <c r="J297" s="57">
        <f t="shared" si="18"/>
        <v>29.06</v>
      </c>
      <c r="K297" s="57">
        <f t="shared" si="19"/>
        <v>2.0475880759665999</v>
      </c>
      <c r="L297" s="57"/>
      <c r="O297" s="514"/>
      <c r="Q297" s="190"/>
      <c r="R297" s="9"/>
      <c r="S297" s="9"/>
    </row>
    <row r="298" spans="1:19">
      <c r="A298" s="6">
        <v>832</v>
      </c>
      <c r="B298" s="6">
        <f t="shared" si="20"/>
        <v>289</v>
      </c>
      <c r="C298" s="6">
        <f t="shared" si="17"/>
        <v>832021</v>
      </c>
      <c r="D298" s="6" t="s">
        <v>10</v>
      </c>
      <c r="E298" s="6">
        <v>21</v>
      </c>
      <c r="F298" s="6" t="s">
        <v>28</v>
      </c>
      <c r="G298" s="512">
        <v>3.048780488E-2</v>
      </c>
      <c r="H298" s="9">
        <v>1476</v>
      </c>
      <c r="I298" s="9">
        <v>45</v>
      </c>
      <c r="J298" s="57">
        <f t="shared" si="18"/>
        <v>43.09</v>
      </c>
      <c r="K298" s="57">
        <f t="shared" si="19"/>
        <v>1.3137195122792</v>
      </c>
      <c r="L298" s="57"/>
      <c r="O298" s="514"/>
      <c r="Q298" s="190"/>
      <c r="R298" s="9"/>
      <c r="S298" s="9"/>
    </row>
    <row r="299" spans="1:19">
      <c r="A299" s="6">
        <v>832</v>
      </c>
      <c r="B299" s="6">
        <f t="shared" si="20"/>
        <v>290</v>
      </c>
      <c r="C299" s="6">
        <f t="shared" si="17"/>
        <v>832097</v>
      </c>
      <c r="D299" s="6" t="s">
        <v>10</v>
      </c>
      <c r="E299" s="6">
        <v>97</v>
      </c>
      <c r="F299" s="6" t="s">
        <v>321</v>
      </c>
      <c r="G299" s="512">
        <v>0.26151761518</v>
      </c>
      <c r="H299" s="9">
        <v>1476</v>
      </c>
      <c r="I299" s="9">
        <v>386</v>
      </c>
      <c r="J299" s="57">
        <f t="shared" si="18"/>
        <v>27.09</v>
      </c>
      <c r="K299" s="57">
        <f t="shared" si="19"/>
        <v>7.0845121952261998</v>
      </c>
      <c r="L299" s="57"/>
      <c r="O299" s="514"/>
      <c r="Q299" s="190"/>
      <c r="R299" s="9"/>
      <c r="S299" s="9"/>
    </row>
    <row r="300" spans="1:19">
      <c r="A300" s="6">
        <v>832</v>
      </c>
      <c r="B300" s="6">
        <f t="shared" si="20"/>
        <v>291</v>
      </c>
      <c r="C300" s="6">
        <f t="shared" si="17"/>
        <v>832103</v>
      </c>
      <c r="D300" s="6" t="s">
        <v>10</v>
      </c>
      <c r="E300" s="6">
        <v>103</v>
      </c>
      <c r="F300" s="6" t="s">
        <v>329</v>
      </c>
      <c r="G300" s="512">
        <v>0.11246612466</v>
      </c>
      <c r="H300" s="9">
        <v>1476</v>
      </c>
      <c r="I300" s="9">
        <v>166</v>
      </c>
      <c r="J300" s="57">
        <f t="shared" si="18"/>
        <v>32.119999999999997</v>
      </c>
      <c r="K300" s="57">
        <f t="shared" si="19"/>
        <v>3.6124119240791996</v>
      </c>
      <c r="L300" s="57"/>
      <c r="O300" s="514"/>
      <c r="Q300" s="190"/>
      <c r="R300" s="9"/>
      <c r="S300" s="9"/>
    </row>
    <row r="301" spans="1:19">
      <c r="A301" s="6">
        <v>832</v>
      </c>
      <c r="B301" s="6">
        <f t="shared" si="20"/>
        <v>292</v>
      </c>
      <c r="C301" s="6">
        <f t="shared" si="17"/>
        <v>832125</v>
      </c>
      <c r="D301" s="6" t="s">
        <v>10</v>
      </c>
      <c r="E301" s="6">
        <v>125</v>
      </c>
      <c r="F301" s="6" t="s">
        <v>355</v>
      </c>
      <c r="G301" s="512">
        <v>6.0975609799999997E-3</v>
      </c>
      <c r="H301" s="9">
        <v>1476</v>
      </c>
      <c r="I301" s="9">
        <v>9</v>
      </c>
      <c r="J301" s="57">
        <f t="shared" si="18"/>
        <v>82.5</v>
      </c>
      <c r="K301" s="57">
        <f t="shared" si="19"/>
        <v>0.50304878084999993</v>
      </c>
      <c r="L301" s="57"/>
      <c r="O301" s="514"/>
      <c r="Q301" s="190"/>
      <c r="R301" s="9"/>
      <c r="S301" s="9"/>
    </row>
    <row r="302" spans="1:19">
      <c r="A302" s="6">
        <v>832</v>
      </c>
      <c r="B302" s="6">
        <f t="shared" si="20"/>
        <v>293</v>
      </c>
      <c r="C302" s="6">
        <f t="shared" si="17"/>
        <v>832134</v>
      </c>
      <c r="D302" s="6" t="s">
        <v>10</v>
      </c>
      <c r="E302" s="6">
        <v>134</v>
      </c>
      <c r="F302" s="6" t="s">
        <v>68</v>
      </c>
      <c r="G302" s="512">
        <v>0.10027100271</v>
      </c>
      <c r="H302" s="9">
        <v>1476</v>
      </c>
      <c r="I302" s="9">
        <v>148</v>
      </c>
      <c r="J302" s="57">
        <f t="shared" si="18"/>
        <v>63.29</v>
      </c>
      <c r="K302" s="57">
        <f t="shared" si="19"/>
        <v>6.3461517615159</v>
      </c>
      <c r="L302" s="57"/>
      <c r="O302" s="514"/>
      <c r="Q302" s="190"/>
      <c r="R302" s="9"/>
      <c r="S302" s="9"/>
    </row>
    <row r="303" spans="1:19">
      <c r="A303" s="6">
        <v>832</v>
      </c>
      <c r="B303" s="6">
        <f t="shared" si="20"/>
        <v>294</v>
      </c>
      <c r="C303" s="6">
        <f t="shared" si="17"/>
        <v>832140</v>
      </c>
      <c r="D303" s="6" t="s">
        <v>10</v>
      </c>
      <c r="E303" s="6">
        <v>140</v>
      </c>
      <c r="F303" s="6" t="s">
        <v>368</v>
      </c>
      <c r="G303" s="512">
        <v>2.1680216799999999E-2</v>
      </c>
      <c r="H303" s="9">
        <v>1476</v>
      </c>
      <c r="I303" s="9">
        <v>32</v>
      </c>
      <c r="J303" s="57">
        <f t="shared" si="18"/>
        <v>58.42</v>
      </c>
      <c r="K303" s="57">
        <f t="shared" si="19"/>
        <v>1.2665582654559999</v>
      </c>
      <c r="L303" s="57"/>
      <c r="O303" s="514"/>
      <c r="Q303" s="190"/>
      <c r="R303" s="9"/>
      <c r="S303" s="9"/>
    </row>
    <row r="304" spans="1:19">
      <c r="A304" s="6">
        <v>832</v>
      </c>
      <c r="B304" s="6">
        <f t="shared" si="20"/>
        <v>295</v>
      </c>
      <c r="C304" s="6">
        <f t="shared" si="17"/>
        <v>832162</v>
      </c>
      <c r="D304" s="6" t="s">
        <v>10</v>
      </c>
      <c r="E304" s="6">
        <v>162</v>
      </c>
      <c r="F304" s="6" t="s">
        <v>404</v>
      </c>
      <c r="G304" s="512">
        <v>6.7073170730000006E-2</v>
      </c>
      <c r="H304" s="9">
        <v>1476</v>
      </c>
      <c r="I304" s="9">
        <v>99</v>
      </c>
      <c r="J304" s="57">
        <f t="shared" si="18"/>
        <v>65.77</v>
      </c>
      <c r="K304" s="57">
        <f t="shared" si="19"/>
        <v>4.4114024389121003</v>
      </c>
      <c r="L304" s="57"/>
      <c r="O304" s="514"/>
      <c r="Q304" s="190"/>
      <c r="R304" s="9"/>
      <c r="S304" s="9"/>
    </row>
    <row r="305" spans="1:19">
      <c r="A305" s="6">
        <v>832</v>
      </c>
      <c r="B305" s="6">
        <f t="shared" si="20"/>
        <v>296</v>
      </c>
      <c r="C305" s="6">
        <f t="shared" si="17"/>
        <v>832234</v>
      </c>
      <c r="D305" s="6" t="s">
        <v>10</v>
      </c>
      <c r="E305" s="6">
        <v>234</v>
      </c>
      <c r="F305" s="6" t="s">
        <v>486</v>
      </c>
      <c r="G305" s="512">
        <v>8.1300812999999996E-3</v>
      </c>
      <c r="H305" s="9">
        <v>1476</v>
      </c>
      <c r="I305" s="9">
        <v>12</v>
      </c>
      <c r="J305" s="57">
        <f t="shared" si="18"/>
        <v>64.78</v>
      </c>
      <c r="K305" s="57">
        <f t="shared" si="19"/>
        <v>0.52666666661399997</v>
      </c>
      <c r="L305" s="57"/>
      <c r="O305" s="514"/>
      <c r="Q305" s="190"/>
      <c r="R305" s="9"/>
      <c r="S305" s="9"/>
    </row>
    <row r="306" spans="1:19">
      <c r="A306" s="6">
        <v>832</v>
      </c>
      <c r="B306" s="6">
        <f t="shared" si="20"/>
        <v>297</v>
      </c>
      <c r="C306" s="6">
        <f t="shared" si="17"/>
        <v>832235</v>
      </c>
      <c r="D306" s="6" t="s">
        <v>10</v>
      </c>
      <c r="E306" s="6">
        <v>235</v>
      </c>
      <c r="F306" s="6" t="s">
        <v>487</v>
      </c>
      <c r="G306" s="512">
        <v>1.6260162599999999E-2</v>
      </c>
      <c r="H306" s="9">
        <v>1476</v>
      </c>
      <c r="I306" s="9">
        <v>24</v>
      </c>
      <c r="J306" s="57">
        <f t="shared" si="18"/>
        <v>56.25</v>
      </c>
      <c r="K306" s="57">
        <f t="shared" si="19"/>
        <v>0.91463414624999995</v>
      </c>
      <c r="L306" s="57"/>
      <c r="O306" s="514"/>
      <c r="Q306" s="190"/>
      <c r="R306" s="9"/>
      <c r="S306" s="9"/>
    </row>
    <row r="307" spans="1:19">
      <c r="A307" s="6">
        <v>832</v>
      </c>
      <c r="B307" s="6">
        <f t="shared" si="20"/>
        <v>298</v>
      </c>
      <c r="C307" s="6">
        <f t="shared" si="17"/>
        <v>832241</v>
      </c>
      <c r="D307" s="6" t="s">
        <v>10</v>
      </c>
      <c r="E307" s="6">
        <v>241</v>
      </c>
      <c r="F307" s="6" t="s">
        <v>492</v>
      </c>
      <c r="G307" s="512">
        <v>1.6937669379999999E-2</v>
      </c>
      <c r="H307" s="9">
        <v>1476</v>
      </c>
      <c r="I307" s="9">
        <v>25</v>
      </c>
      <c r="J307" s="57">
        <f t="shared" si="18"/>
        <v>82.5</v>
      </c>
      <c r="K307" s="57">
        <f t="shared" si="19"/>
        <v>1.3973577238499999</v>
      </c>
      <c r="L307" s="57"/>
      <c r="O307" s="514"/>
      <c r="Q307" s="190"/>
      <c r="R307" s="9"/>
      <c r="S307" s="9"/>
    </row>
    <row r="308" spans="1:19">
      <c r="A308" s="6">
        <v>832</v>
      </c>
      <c r="B308" s="6">
        <f t="shared" si="20"/>
        <v>299</v>
      </c>
      <c r="C308" s="6">
        <f t="shared" si="17"/>
        <v>832255</v>
      </c>
      <c r="D308" s="6" t="s">
        <v>10</v>
      </c>
      <c r="E308" s="6">
        <v>255</v>
      </c>
      <c r="F308" s="6" t="s">
        <v>504</v>
      </c>
      <c r="G308" s="512">
        <v>7.4525745299999996E-3</v>
      </c>
      <c r="H308" s="9">
        <v>1476</v>
      </c>
      <c r="I308" s="9">
        <v>11</v>
      </c>
      <c r="J308" s="57">
        <f t="shared" si="18"/>
        <v>57.65</v>
      </c>
      <c r="K308" s="57">
        <f t="shared" si="19"/>
        <v>0.42964092165449996</v>
      </c>
      <c r="L308" s="57"/>
      <c r="O308" s="514"/>
      <c r="Q308" s="190"/>
      <c r="R308" s="9"/>
      <c r="S308" s="9"/>
    </row>
    <row r="309" spans="1:19">
      <c r="A309" s="6">
        <v>832</v>
      </c>
      <c r="B309" s="6">
        <f t="shared" si="20"/>
        <v>300</v>
      </c>
      <c r="C309" s="6">
        <f t="shared" si="17"/>
        <v>832282</v>
      </c>
      <c r="D309" s="6" t="s">
        <v>10</v>
      </c>
      <c r="E309" s="6">
        <v>282</v>
      </c>
      <c r="F309" s="6" t="s">
        <v>530</v>
      </c>
      <c r="G309" s="512">
        <v>4.4715447149999997E-2</v>
      </c>
      <c r="H309" s="9">
        <v>1476</v>
      </c>
      <c r="I309" s="9">
        <v>66</v>
      </c>
      <c r="J309" s="57">
        <f t="shared" si="18"/>
        <v>82.5</v>
      </c>
      <c r="K309" s="57">
        <f t="shared" si="19"/>
        <v>3.6890243898749997</v>
      </c>
      <c r="L309" s="57"/>
      <c r="O309" s="514"/>
      <c r="Q309" s="190"/>
      <c r="R309" s="9"/>
      <c r="S309" s="9"/>
    </row>
    <row r="310" spans="1:19">
      <c r="A310" s="6">
        <v>832</v>
      </c>
      <c r="B310" s="6">
        <f t="shared" si="20"/>
        <v>301</v>
      </c>
      <c r="C310" s="6">
        <f t="shared" si="17"/>
        <v>832294</v>
      </c>
      <c r="D310" s="6" t="s">
        <v>10</v>
      </c>
      <c r="E310" s="6">
        <v>294</v>
      </c>
      <c r="F310" s="6" t="s">
        <v>542</v>
      </c>
      <c r="G310" s="512">
        <v>5.8943089429999998E-2</v>
      </c>
      <c r="H310" s="9">
        <v>1476</v>
      </c>
      <c r="I310" s="9">
        <v>87</v>
      </c>
      <c r="J310" s="57">
        <f t="shared" si="18"/>
        <v>41.24</v>
      </c>
      <c r="K310" s="57">
        <f t="shared" si="19"/>
        <v>2.4308130080932</v>
      </c>
      <c r="L310" s="57"/>
      <c r="O310" s="514"/>
      <c r="Q310" s="190"/>
      <c r="R310" s="9"/>
      <c r="S310" s="9"/>
    </row>
    <row r="311" spans="1:19">
      <c r="A311" s="6">
        <v>832</v>
      </c>
      <c r="B311" s="6">
        <f t="shared" si="20"/>
        <v>302</v>
      </c>
      <c r="C311" s="6">
        <f t="shared" si="17"/>
        <v>832328</v>
      </c>
      <c r="D311" s="6" t="s">
        <v>10</v>
      </c>
      <c r="E311" s="6">
        <v>328</v>
      </c>
      <c r="F311" s="6" t="s">
        <v>571</v>
      </c>
      <c r="G311" s="512">
        <v>4.8102981029999999E-2</v>
      </c>
      <c r="H311" s="9">
        <v>1476</v>
      </c>
      <c r="I311" s="9">
        <v>71</v>
      </c>
      <c r="J311" s="57">
        <f t="shared" si="18"/>
        <v>60.71</v>
      </c>
      <c r="K311" s="57">
        <f t="shared" si="19"/>
        <v>2.9203319783313</v>
      </c>
      <c r="L311" s="57"/>
      <c r="O311" s="514"/>
      <c r="Q311" s="190"/>
      <c r="R311" s="9"/>
      <c r="S311" s="9"/>
    </row>
    <row r="312" spans="1:19">
      <c r="A312" s="6">
        <v>832</v>
      </c>
      <c r="B312" s="6">
        <f t="shared" si="20"/>
        <v>303</v>
      </c>
      <c r="C312" s="6">
        <f t="shared" si="17"/>
        <v>832343</v>
      </c>
      <c r="D312" s="6" t="s">
        <v>10</v>
      </c>
      <c r="E312" s="6">
        <v>343</v>
      </c>
      <c r="F312" s="6" t="s">
        <v>584</v>
      </c>
      <c r="G312" s="512">
        <v>6.5040650409999998E-2</v>
      </c>
      <c r="H312" s="9">
        <v>1476</v>
      </c>
      <c r="I312" s="9">
        <v>96</v>
      </c>
      <c r="J312" s="57">
        <f t="shared" si="18"/>
        <v>35.24</v>
      </c>
      <c r="K312" s="57">
        <f t="shared" si="19"/>
        <v>2.2920325204484002</v>
      </c>
      <c r="L312" s="57"/>
      <c r="O312" s="514"/>
      <c r="Q312" s="190"/>
      <c r="R312" s="9"/>
      <c r="S312" s="9"/>
    </row>
    <row r="313" spans="1:19">
      <c r="A313" s="6">
        <v>851</v>
      </c>
      <c r="B313" s="6">
        <f t="shared" si="20"/>
        <v>304</v>
      </c>
      <c r="C313" s="6">
        <f t="shared" si="17"/>
        <v>851004</v>
      </c>
      <c r="D313" s="6" t="s">
        <v>628</v>
      </c>
      <c r="E313" s="6">
        <v>4</v>
      </c>
      <c r="F313" s="6" t="s">
        <v>627</v>
      </c>
      <c r="G313" s="512">
        <v>0.28657314629000002</v>
      </c>
      <c r="H313" s="9">
        <v>499</v>
      </c>
      <c r="I313" s="9">
        <v>143</v>
      </c>
      <c r="J313" s="57">
        <f t="shared" si="18"/>
        <v>32.229999999999997</v>
      </c>
      <c r="K313" s="57">
        <f t="shared" si="19"/>
        <v>9.2362525049266999</v>
      </c>
      <c r="L313" s="57"/>
      <c r="O313" s="514"/>
      <c r="Q313" s="190"/>
      <c r="R313" s="9"/>
      <c r="S313" s="9"/>
    </row>
    <row r="314" spans="1:19">
      <c r="A314" s="6">
        <v>851</v>
      </c>
      <c r="B314" s="6">
        <f t="shared" si="20"/>
        <v>305</v>
      </c>
      <c r="C314" s="6">
        <f t="shared" si="17"/>
        <v>851058</v>
      </c>
      <c r="D314" s="6" t="s">
        <v>628</v>
      </c>
      <c r="E314" s="6">
        <v>58</v>
      </c>
      <c r="F314" s="6" t="s">
        <v>636</v>
      </c>
      <c r="G314" s="512">
        <v>9.2184368739999994E-2</v>
      </c>
      <c r="H314" s="9">
        <v>499</v>
      </c>
      <c r="I314" s="9">
        <v>46</v>
      </c>
      <c r="J314" s="57">
        <f t="shared" si="18"/>
        <v>55.22</v>
      </c>
      <c r="K314" s="57">
        <f t="shared" si="19"/>
        <v>5.0904208418227999</v>
      </c>
      <c r="L314" s="57"/>
      <c r="O314" s="514"/>
      <c r="Q314" s="190"/>
      <c r="R314" s="9"/>
      <c r="S314" s="9"/>
    </row>
    <row r="315" spans="1:19">
      <c r="A315" s="6">
        <v>851</v>
      </c>
      <c r="B315" s="6">
        <f t="shared" si="20"/>
        <v>306</v>
      </c>
      <c r="C315" s="6">
        <f t="shared" si="17"/>
        <v>851063</v>
      </c>
      <c r="D315" s="6" t="s">
        <v>628</v>
      </c>
      <c r="E315" s="6">
        <v>63</v>
      </c>
      <c r="F315" s="6" t="s">
        <v>277</v>
      </c>
      <c r="G315" s="512">
        <v>0.10420841683</v>
      </c>
      <c r="H315" s="9">
        <v>499</v>
      </c>
      <c r="I315" s="9">
        <v>52</v>
      </c>
      <c r="J315" s="57">
        <f t="shared" si="18"/>
        <v>31.7</v>
      </c>
      <c r="K315" s="57">
        <f t="shared" si="19"/>
        <v>3.3034068135109997</v>
      </c>
      <c r="L315" s="57"/>
      <c r="O315" s="514"/>
      <c r="Q315" s="190"/>
      <c r="R315" s="9"/>
      <c r="S315" s="9"/>
    </row>
    <row r="316" spans="1:19">
      <c r="A316" s="6">
        <v>851</v>
      </c>
      <c r="B316" s="6">
        <f t="shared" si="20"/>
        <v>307</v>
      </c>
      <c r="C316" s="6">
        <f t="shared" si="17"/>
        <v>851098</v>
      </c>
      <c r="D316" s="6" t="s">
        <v>628</v>
      </c>
      <c r="E316" s="6">
        <v>98</v>
      </c>
      <c r="F316" s="6" t="s">
        <v>322</v>
      </c>
      <c r="G316" s="512">
        <v>6.4128256509999995E-2</v>
      </c>
      <c r="H316" s="9">
        <v>499</v>
      </c>
      <c r="I316" s="9">
        <v>32</v>
      </c>
      <c r="J316" s="57">
        <f t="shared" si="18"/>
        <v>61.42</v>
      </c>
      <c r="K316" s="57">
        <f t="shared" si="19"/>
        <v>3.9387575148442</v>
      </c>
      <c r="L316" s="57"/>
      <c r="O316" s="514"/>
      <c r="Q316" s="190"/>
      <c r="R316" s="9"/>
      <c r="S316" s="9"/>
    </row>
    <row r="317" spans="1:19">
      <c r="A317" s="6">
        <v>851</v>
      </c>
      <c r="B317" s="6">
        <f t="shared" si="20"/>
        <v>308</v>
      </c>
      <c r="C317" s="6">
        <f t="shared" si="17"/>
        <v>851148</v>
      </c>
      <c r="D317" s="6" t="s">
        <v>628</v>
      </c>
      <c r="E317" s="6">
        <v>148</v>
      </c>
      <c r="F317" s="6" t="s">
        <v>375</v>
      </c>
      <c r="G317" s="512">
        <v>6.21242485E-2</v>
      </c>
      <c r="H317" s="9">
        <v>499</v>
      </c>
      <c r="I317" s="9">
        <v>31</v>
      </c>
      <c r="J317" s="57">
        <f t="shared" si="18"/>
        <v>60.48</v>
      </c>
      <c r="K317" s="57">
        <f t="shared" si="19"/>
        <v>3.7572745492799999</v>
      </c>
      <c r="L317" s="57"/>
      <c r="O317" s="514"/>
      <c r="Q317" s="190"/>
      <c r="R317" s="9"/>
      <c r="S317" s="9"/>
    </row>
    <row r="318" spans="1:19">
      <c r="A318" s="6">
        <v>851</v>
      </c>
      <c r="B318" s="6">
        <f t="shared" si="20"/>
        <v>309</v>
      </c>
      <c r="C318" s="6">
        <f t="shared" si="17"/>
        <v>851190</v>
      </c>
      <c r="D318" s="6" t="s">
        <v>628</v>
      </c>
      <c r="E318" s="6">
        <v>190</v>
      </c>
      <c r="F318" s="6" t="s">
        <v>432</v>
      </c>
      <c r="G318" s="512">
        <v>4.0080160300000004E-3</v>
      </c>
      <c r="H318" s="9">
        <v>499</v>
      </c>
      <c r="I318" s="9">
        <v>2</v>
      </c>
      <c r="J318" s="57">
        <f t="shared" si="18"/>
        <v>53.81</v>
      </c>
      <c r="K318" s="57">
        <f t="shared" si="19"/>
        <v>0.21567134257430004</v>
      </c>
      <c r="L318" s="57"/>
      <c r="O318" s="514"/>
      <c r="Q318" s="190"/>
      <c r="R318" s="9"/>
      <c r="S318" s="9"/>
    </row>
    <row r="319" spans="1:19">
      <c r="A319" s="6">
        <v>851</v>
      </c>
      <c r="B319" s="6">
        <f t="shared" si="20"/>
        <v>310</v>
      </c>
      <c r="C319" s="6">
        <f t="shared" si="17"/>
        <v>851209</v>
      </c>
      <c r="D319" s="6" t="s">
        <v>628</v>
      </c>
      <c r="E319" s="6">
        <v>209</v>
      </c>
      <c r="F319" s="6" t="s">
        <v>452</v>
      </c>
      <c r="G319" s="512">
        <v>0.32665330661000003</v>
      </c>
      <c r="H319" s="9">
        <v>499</v>
      </c>
      <c r="I319" s="9">
        <v>163</v>
      </c>
      <c r="J319" s="57">
        <f t="shared" si="18"/>
        <v>27.61</v>
      </c>
      <c r="K319" s="57">
        <f t="shared" si="19"/>
        <v>9.0188977955021006</v>
      </c>
      <c r="L319" s="57"/>
      <c r="O319" s="514"/>
      <c r="Q319" s="190"/>
      <c r="R319" s="9"/>
      <c r="S319" s="9"/>
    </row>
    <row r="320" spans="1:19">
      <c r="A320" s="6">
        <v>851</v>
      </c>
      <c r="B320" s="6">
        <f t="shared" si="20"/>
        <v>311</v>
      </c>
      <c r="C320" s="6">
        <f t="shared" si="17"/>
        <v>851263</v>
      </c>
      <c r="D320" s="6" t="s">
        <v>628</v>
      </c>
      <c r="E320" s="6">
        <v>263</v>
      </c>
      <c r="F320" s="6" t="s">
        <v>512</v>
      </c>
      <c r="G320" s="512">
        <v>2.2044088180000001E-2</v>
      </c>
      <c r="H320" s="9">
        <v>499</v>
      </c>
      <c r="I320" s="9">
        <v>11</v>
      </c>
      <c r="J320" s="57">
        <f t="shared" si="18"/>
        <v>72.91</v>
      </c>
      <c r="K320" s="57">
        <f t="shared" si="19"/>
        <v>1.6072344692038001</v>
      </c>
      <c r="L320" s="57"/>
      <c r="O320" s="514"/>
      <c r="Q320" s="190"/>
      <c r="R320" s="9"/>
      <c r="S320" s="9"/>
    </row>
    <row r="321" spans="1:19">
      <c r="A321" s="6">
        <v>851</v>
      </c>
      <c r="B321" s="6">
        <f t="shared" si="20"/>
        <v>312</v>
      </c>
      <c r="C321" s="6">
        <f t="shared" si="17"/>
        <v>851341</v>
      </c>
      <c r="D321" s="6" t="s">
        <v>628</v>
      </c>
      <c r="E321" s="6">
        <v>341</v>
      </c>
      <c r="F321" s="6" t="s">
        <v>582</v>
      </c>
      <c r="G321" s="512">
        <v>3.8076152299999999E-2</v>
      </c>
      <c r="H321" s="9">
        <v>499</v>
      </c>
      <c r="I321" s="9">
        <v>19</v>
      </c>
      <c r="J321" s="57">
        <f t="shared" si="18"/>
        <v>82.5</v>
      </c>
      <c r="K321" s="57">
        <f t="shared" si="19"/>
        <v>3.14128256475</v>
      </c>
      <c r="L321" s="57"/>
      <c r="O321" s="514"/>
      <c r="Q321" s="190"/>
      <c r="R321" s="9"/>
      <c r="S321" s="9"/>
    </row>
    <row r="322" spans="1:19">
      <c r="A322" s="6">
        <v>852</v>
      </c>
      <c r="B322" s="6">
        <f t="shared" si="20"/>
        <v>313</v>
      </c>
      <c r="C322" s="6">
        <f t="shared" si="17"/>
        <v>852019</v>
      </c>
      <c r="D322" s="6" t="s">
        <v>266</v>
      </c>
      <c r="E322" s="6">
        <v>19</v>
      </c>
      <c r="F322" s="6" t="s">
        <v>85</v>
      </c>
      <c r="G322" s="512">
        <v>8.3223249669999999E-2</v>
      </c>
      <c r="H322" s="9">
        <v>757</v>
      </c>
      <c r="I322" s="9">
        <v>63</v>
      </c>
      <c r="J322" s="57">
        <f t="shared" si="18"/>
        <v>75.8</v>
      </c>
      <c r="K322" s="57">
        <f t="shared" si="19"/>
        <v>6.3083223249859994</v>
      </c>
      <c r="L322" s="57"/>
      <c r="O322" s="514"/>
      <c r="Q322" s="190"/>
      <c r="R322" s="9"/>
      <c r="S322" s="9"/>
    </row>
    <row r="323" spans="1:19">
      <c r="A323" s="6">
        <v>852</v>
      </c>
      <c r="B323" s="6">
        <f t="shared" si="20"/>
        <v>314</v>
      </c>
      <c r="C323" s="6">
        <f t="shared" si="17"/>
        <v>852056</v>
      </c>
      <c r="D323" s="6" t="s">
        <v>266</v>
      </c>
      <c r="E323" s="6">
        <v>56</v>
      </c>
      <c r="F323" s="6" t="s">
        <v>265</v>
      </c>
      <c r="G323" s="512">
        <v>0.28797886394</v>
      </c>
      <c r="H323" s="9">
        <v>757</v>
      </c>
      <c r="I323" s="9">
        <v>218</v>
      </c>
      <c r="J323" s="57">
        <f t="shared" si="18"/>
        <v>82.5</v>
      </c>
      <c r="K323" s="57">
        <f t="shared" si="19"/>
        <v>23.758256275049998</v>
      </c>
      <c r="L323" s="57"/>
      <c r="O323" s="514"/>
      <c r="Q323" s="190"/>
      <c r="R323" s="9"/>
      <c r="S323" s="9"/>
    </row>
    <row r="324" spans="1:19">
      <c r="A324" s="6">
        <v>852</v>
      </c>
      <c r="B324" s="6">
        <f t="shared" si="20"/>
        <v>315</v>
      </c>
      <c r="C324" s="6">
        <f t="shared" si="17"/>
        <v>852115</v>
      </c>
      <c r="D324" s="6" t="s">
        <v>266</v>
      </c>
      <c r="E324" s="6">
        <v>115</v>
      </c>
      <c r="F324" s="6" t="s">
        <v>342</v>
      </c>
      <c r="G324" s="512">
        <v>6.6050198150000003E-2</v>
      </c>
      <c r="H324" s="9">
        <v>757</v>
      </c>
      <c r="I324" s="9">
        <v>50</v>
      </c>
      <c r="J324" s="57">
        <f t="shared" si="18"/>
        <v>82.5</v>
      </c>
      <c r="K324" s="57">
        <f t="shared" si="19"/>
        <v>5.4491413473749999</v>
      </c>
      <c r="L324" s="57"/>
      <c r="O324" s="514"/>
      <c r="Q324" s="190"/>
      <c r="R324" s="9"/>
      <c r="S324" s="9"/>
    </row>
    <row r="325" spans="1:19">
      <c r="A325" s="6">
        <v>852</v>
      </c>
      <c r="B325" s="6">
        <f t="shared" si="20"/>
        <v>316</v>
      </c>
      <c r="C325" s="6">
        <f t="shared" si="17"/>
        <v>852158</v>
      </c>
      <c r="D325" s="6" t="s">
        <v>266</v>
      </c>
      <c r="E325" s="6">
        <v>158</v>
      </c>
      <c r="F325" s="6" t="s">
        <v>383</v>
      </c>
      <c r="G325" s="512">
        <v>6.3408190219999994E-2</v>
      </c>
      <c r="H325" s="9">
        <v>757</v>
      </c>
      <c r="I325" s="9">
        <v>48</v>
      </c>
      <c r="J325" s="57">
        <f t="shared" si="18"/>
        <v>82.5</v>
      </c>
      <c r="K325" s="57">
        <f t="shared" si="19"/>
        <v>5.2311756931499991</v>
      </c>
      <c r="L325" s="57"/>
      <c r="O325" s="514"/>
      <c r="Q325" s="190"/>
      <c r="R325" s="9"/>
      <c r="S325" s="9"/>
    </row>
    <row r="326" spans="1:19">
      <c r="A326" s="6">
        <v>852</v>
      </c>
      <c r="B326" s="6">
        <f t="shared" si="20"/>
        <v>317</v>
      </c>
      <c r="C326" s="6">
        <f t="shared" si="17"/>
        <v>852232</v>
      </c>
      <c r="D326" s="6" t="s">
        <v>266</v>
      </c>
      <c r="E326" s="6">
        <v>232</v>
      </c>
      <c r="F326" s="6" t="s">
        <v>484</v>
      </c>
      <c r="G326" s="512">
        <v>0.17569352707999999</v>
      </c>
      <c r="H326" s="9">
        <v>757</v>
      </c>
      <c r="I326" s="9">
        <v>133</v>
      </c>
      <c r="J326" s="57">
        <f t="shared" si="18"/>
        <v>64.67</v>
      </c>
      <c r="K326" s="57">
        <f t="shared" si="19"/>
        <v>11.3621003962636</v>
      </c>
      <c r="L326" s="57"/>
      <c r="O326" s="514"/>
      <c r="Q326" s="190"/>
      <c r="R326" s="9"/>
      <c r="S326" s="9"/>
    </row>
    <row r="327" spans="1:19">
      <c r="A327" s="6">
        <v>852</v>
      </c>
      <c r="B327" s="6">
        <f t="shared" si="20"/>
        <v>318</v>
      </c>
      <c r="C327" s="6">
        <f t="shared" si="17"/>
        <v>852270</v>
      </c>
      <c r="D327" s="6" t="s">
        <v>266</v>
      </c>
      <c r="E327" s="6">
        <v>270</v>
      </c>
      <c r="F327" s="6" t="s">
        <v>519</v>
      </c>
      <c r="G327" s="512">
        <v>6.6050198150000003E-2</v>
      </c>
      <c r="H327" s="9">
        <v>757</v>
      </c>
      <c r="I327" s="9">
        <v>50</v>
      </c>
      <c r="J327" s="57">
        <f t="shared" si="18"/>
        <v>63.3</v>
      </c>
      <c r="K327" s="57">
        <f t="shared" si="19"/>
        <v>4.1809775428949996</v>
      </c>
      <c r="L327" s="57"/>
      <c r="O327" s="514"/>
      <c r="Q327" s="190"/>
      <c r="R327" s="9"/>
      <c r="S327" s="9"/>
    </row>
    <row r="328" spans="1:19">
      <c r="A328" s="6">
        <v>852</v>
      </c>
      <c r="B328" s="6">
        <f t="shared" si="20"/>
        <v>319</v>
      </c>
      <c r="C328" s="6">
        <f t="shared" si="17"/>
        <v>852299</v>
      </c>
      <c r="D328" s="6" t="s">
        <v>266</v>
      </c>
      <c r="E328" s="6">
        <v>299</v>
      </c>
      <c r="F328" s="6" t="s">
        <v>547</v>
      </c>
      <c r="G328" s="512">
        <v>0.15059445178</v>
      </c>
      <c r="H328" s="9">
        <v>757</v>
      </c>
      <c r="I328" s="9">
        <v>114</v>
      </c>
      <c r="J328" s="57">
        <f t="shared" si="18"/>
        <v>53.94</v>
      </c>
      <c r="K328" s="57">
        <f t="shared" si="19"/>
        <v>8.1230647290131994</v>
      </c>
      <c r="L328" s="57"/>
      <c r="O328" s="514"/>
      <c r="Q328" s="190"/>
      <c r="R328" s="9"/>
      <c r="S328" s="9"/>
    </row>
    <row r="329" spans="1:19">
      <c r="A329" s="6">
        <v>852</v>
      </c>
      <c r="B329" s="6">
        <f t="shared" si="20"/>
        <v>320</v>
      </c>
      <c r="C329" s="6">
        <f t="shared" si="17"/>
        <v>852326</v>
      </c>
      <c r="D329" s="6" t="s">
        <v>266</v>
      </c>
      <c r="E329" s="6">
        <v>326</v>
      </c>
      <c r="F329" s="6" t="s">
        <v>569</v>
      </c>
      <c r="G329" s="512">
        <v>0.107001321</v>
      </c>
      <c r="H329" s="9">
        <v>757</v>
      </c>
      <c r="I329" s="9">
        <v>81</v>
      </c>
      <c r="J329" s="57">
        <f t="shared" si="18"/>
        <v>82.5</v>
      </c>
      <c r="K329" s="57">
        <f t="shared" si="19"/>
        <v>8.8276089824999993</v>
      </c>
      <c r="L329" s="57"/>
      <c r="O329" s="514"/>
      <c r="Q329" s="190"/>
      <c r="R329" s="9"/>
      <c r="S329" s="9"/>
    </row>
    <row r="330" spans="1:19">
      <c r="A330" s="6">
        <v>853</v>
      </c>
      <c r="B330" s="6">
        <f t="shared" si="20"/>
        <v>321</v>
      </c>
      <c r="C330" s="6">
        <f t="shared" ref="C330:C393" si="21">A330*1000+E330</f>
        <v>853057</v>
      </c>
      <c r="D330" s="6" t="s">
        <v>268</v>
      </c>
      <c r="E330" s="6">
        <v>57</v>
      </c>
      <c r="F330" s="6" t="s">
        <v>267</v>
      </c>
      <c r="G330" s="512">
        <v>0.1873605948</v>
      </c>
      <c r="H330" s="9">
        <v>1345</v>
      </c>
      <c r="I330" s="9">
        <v>252</v>
      </c>
      <c r="J330" s="57">
        <f t="shared" si="18"/>
        <v>22.05</v>
      </c>
      <c r="K330" s="57">
        <f t="shared" si="19"/>
        <v>4.1313011153400003</v>
      </c>
      <c r="L330" s="57"/>
      <c r="O330" s="514"/>
      <c r="Q330" s="190"/>
      <c r="R330" s="9"/>
      <c r="S330" s="9"/>
    </row>
    <row r="331" spans="1:19">
      <c r="A331" s="6">
        <v>853</v>
      </c>
      <c r="B331" s="6">
        <f t="shared" si="20"/>
        <v>322</v>
      </c>
      <c r="C331" s="6">
        <f t="shared" si="21"/>
        <v>853165</v>
      </c>
      <c r="D331" s="6" t="s">
        <v>268</v>
      </c>
      <c r="E331" s="6">
        <v>165</v>
      </c>
      <c r="F331" s="6" t="s">
        <v>406</v>
      </c>
      <c r="G331" s="512">
        <v>0.13308550186000001</v>
      </c>
      <c r="H331" s="9">
        <v>1345</v>
      </c>
      <c r="I331" s="9">
        <v>179</v>
      </c>
      <c r="J331" s="57">
        <f t="shared" ref="J331:J394" si="22">ROUND(VLOOKUP(E331,town351,12),2)</f>
        <v>56.26</v>
      </c>
      <c r="K331" s="57">
        <f t="shared" ref="K331:K394" si="23">G331*J331</f>
        <v>7.4873903346436004</v>
      </c>
      <c r="L331" s="57"/>
      <c r="O331" s="514"/>
      <c r="Q331" s="190"/>
      <c r="R331" s="9"/>
      <c r="S331" s="9"/>
    </row>
    <row r="332" spans="1:19">
      <c r="A332" s="6">
        <v>853</v>
      </c>
      <c r="B332" s="6">
        <f t="shared" ref="B332:B395" si="24">B331+1</f>
        <v>323</v>
      </c>
      <c r="C332" s="6">
        <f t="shared" si="21"/>
        <v>853178</v>
      </c>
      <c r="D332" s="6" t="s">
        <v>268</v>
      </c>
      <c r="E332" s="6">
        <v>178</v>
      </c>
      <c r="F332" s="6" t="s">
        <v>419</v>
      </c>
      <c r="G332" s="512">
        <v>5.353159851E-2</v>
      </c>
      <c r="H332" s="9">
        <v>1345</v>
      </c>
      <c r="I332" s="9">
        <v>72</v>
      </c>
      <c r="J332" s="57">
        <f t="shared" si="22"/>
        <v>82.5</v>
      </c>
      <c r="K332" s="57">
        <f t="shared" si="23"/>
        <v>4.4163568770749997</v>
      </c>
      <c r="L332" s="57"/>
      <c r="O332" s="514"/>
      <c r="Q332" s="190"/>
      <c r="R332" s="9"/>
      <c r="S332" s="9"/>
    </row>
    <row r="333" spans="1:19">
      <c r="A333" s="6">
        <v>853</v>
      </c>
      <c r="B333" s="6">
        <f t="shared" si="24"/>
        <v>324</v>
      </c>
      <c r="C333" s="6">
        <f t="shared" si="21"/>
        <v>853217</v>
      </c>
      <c r="D333" s="6" t="s">
        <v>268</v>
      </c>
      <c r="E333" s="6">
        <v>217</v>
      </c>
      <c r="F333" s="6" t="s">
        <v>463</v>
      </c>
      <c r="G333" s="512">
        <v>2.9739776950000001E-2</v>
      </c>
      <c r="H333" s="9">
        <v>1345</v>
      </c>
      <c r="I333" s="9">
        <v>40</v>
      </c>
      <c r="J333" s="57">
        <f t="shared" si="22"/>
        <v>82.5</v>
      </c>
      <c r="K333" s="57">
        <f t="shared" si="23"/>
        <v>2.4535315983750001</v>
      </c>
      <c r="L333" s="57"/>
      <c r="O333" s="514"/>
      <c r="Q333" s="190"/>
      <c r="R333" s="9"/>
      <c r="S333" s="9"/>
    </row>
    <row r="334" spans="1:19">
      <c r="A334" s="6">
        <v>853</v>
      </c>
      <c r="B334" s="6">
        <f t="shared" si="24"/>
        <v>325</v>
      </c>
      <c r="C334" s="6">
        <f t="shared" si="21"/>
        <v>853246</v>
      </c>
      <c r="D334" s="6" t="s">
        <v>268</v>
      </c>
      <c r="E334" s="6">
        <v>246</v>
      </c>
      <c r="F334" s="6" t="s">
        <v>497</v>
      </c>
      <c r="G334" s="512">
        <v>2.6765799260000001E-2</v>
      </c>
      <c r="H334" s="9">
        <v>1345</v>
      </c>
      <c r="I334" s="9">
        <v>36</v>
      </c>
      <c r="J334" s="57">
        <f t="shared" si="22"/>
        <v>82.5</v>
      </c>
      <c r="K334" s="57">
        <f t="shared" si="23"/>
        <v>2.2081784389500001</v>
      </c>
      <c r="L334" s="57"/>
      <c r="O334" s="514"/>
      <c r="Q334" s="190"/>
      <c r="R334" s="9"/>
      <c r="S334" s="9"/>
    </row>
    <row r="335" spans="1:19">
      <c r="A335" s="6">
        <v>853</v>
      </c>
      <c r="B335" s="6">
        <f t="shared" si="24"/>
        <v>326</v>
      </c>
      <c r="C335" s="6">
        <f t="shared" si="21"/>
        <v>853248</v>
      </c>
      <c r="D335" s="6" t="s">
        <v>268</v>
      </c>
      <c r="E335" s="6">
        <v>248</v>
      </c>
      <c r="F335" s="6" t="s">
        <v>499</v>
      </c>
      <c r="G335" s="512">
        <v>0.20520446097</v>
      </c>
      <c r="H335" s="9">
        <v>1345</v>
      </c>
      <c r="I335" s="9">
        <v>276</v>
      </c>
      <c r="J335" s="57">
        <f t="shared" si="22"/>
        <v>39.4</v>
      </c>
      <c r="K335" s="57">
        <f t="shared" si="23"/>
        <v>8.0850557622179995</v>
      </c>
      <c r="L335" s="57"/>
      <c r="O335" s="514"/>
      <c r="Q335" s="190"/>
      <c r="R335" s="9"/>
      <c r="S335" s="9"/>
    </row>
    <row r="336" spans="1:19">
      <c r="A336" s="6">
        <v>853</v>
      </c>
      <c r="B336" s="6">
        <f t="shared" si="24"/>
        <v>327</v>
      </c>
      <c r="C336" s="6">
        <f t="shared" si="21"/>
        <v>853262</v>
      </c>
      <c r="D336" s="6" t="s">
        <v>268</v>
      </c>
      <c r="E336" s="6">
        <v>262</v>
      </c>
      <c r="F336" s="6" t="s">
        <v>511</v>
      </c>
      <c r="G336" s="512">
        <v>9.3680297400000001E-2</v>
      </c>
      <c r="H336" s="9">
        <v>1345</v>
      </c>
      <c r="I336" s="9">
        <v>126</v>
      </c>
      <c r="J336" s="57">
        <f t="shared" si="22"/>
        <v>82.5</v>
      </c>
      <c r="K336" s="57">
        <f t="shared" si="23"/>
        <v>7.7286245354999998</v>
      </c>
      <c r="L336" s="57"/>
      <c r="O336" s="514"/>
      <c r="Q336" s="190"/>
      <c r="R336" s="9"/>
      <c r="S336" s="9"/>
    </row>
    <row r="337" spans="1:19">
      <c r="A337" s="6">
        <v>853</v>
      </c>
      <c r="B337" s="6">
        <f t="shared" si="24"/>
        <v>328</v>
      </c>
      <c r="C337" s="6">
        <f t="shared" si="21"/>
        <v>853284</v>
      </c>
      <c r="D337" s="6" t="s">
        <v>268</v>
      </c>
      <c r="E337" s="6">
        <v>284</v>
      </c>
      <c r="F337" s="6" t="s">
        <v>532</v>
      </c>
      <c r="G337" s="512">
        <v>5.353159851E-2</v>
      </c>
      <c r="H337" s="9">
        <v>1345</v>
      </c>
      <c r="I337" s="9">
        <v>72</v>
      </c>
      <c r="J337" s="57">
        <f t="shared" si="22"/>
        <v>82.5</v>
      </c>
      <c r="K337" s="57">
        <f t="shared" si="23"/>
        <v>4.4163568770749997</v>
      </c>
      <c r="L337" s="57"/>
      <c r="O337" s="514"/>
      <c r="Q337" s="190"/>
      <c r="R337" s="9"/>
      <c r="S337" s="9"/>
    </row>
    <row r="338" spans="1:19">
      <c r="A338" s="6">
        <v>853</v>
      </c>
      <c r="B338" s="6">
        <f t="shared" si="24"/>
        <v>329</v>
      </c>
      <c r="C338" s="6">
        <f t="shared" si="21"/>
        <v>853305</v>
      </c>
      <c r="D338" s="6" t="s">
        <v>268</v>
      </c>
      <c r="E338" s="6">
        <v>305</v>
      </c>
      <c r="F338" s="6" t="s">
        <v>552</v>
      </c>
      <c r="G338" s="512">
        <v>7.5092936799999996E-2</v>
      </c>
      <c r="H338" s="9">
        <v>1345</v>
      </c>
      <c r="I338" s="9">
        <v>101</v>
      </c>
      <c r="J338" s="57">
        <f t="shared" si="22"/>
        <v>82.5</v>
      </c>
      <c r="K338" s="57">
        <f t="shared" si="23"/>
        <v>6.1951672859999993</v>
      </c>
      <c r="L338" s="57"/>
      <c r="O338" s="514"/>
      <c r="Q338" s="190"/>
      <c r="R338" s="9"/>
      <c r="S338" s="9"/>
    </row>
    <row r="339" spans="1:19">
      <c r="A339" s="6">
        <v>853</v>
      </c>
      <c r="B339" s="6">
        <f t="shared" si="24"/>
        <v>330</v>
      </c>
      <c r="C339" s="6">
        <f t="shared" si="21"/>
        <v>853344</v>
      </c>
      <c r="D339" s="6" t="s">
        <v>268</v>
      </c>
      <c r="E339" s="6">
        <v>344</v>
      </c>
      <c r="F339" s="6" t="s">
        <v>585</v>
      </c>
      <c r="G339" s="512">
        <v>4.4609665399999998E-3</v>
      </c>
      <c r="H339" s="9">
        <v>1345</v>
      </c>
      <c r="I339" s="9">
        <v>6</v>
      </c>
      <c r="J339" s="57">
        <f t="shared" si="22"/>
        <v>82.5</v>
      </c>
      <c r="K339" s="57">
        <f t="shared" si="23"/>
        <v>0.36802973954999996</v>
      </c>
      <c r="L339" s="57"/>
      <c r="O339" s="514"/>
      <c r="Q339" s="190"/>
      <c r="R339" s="9"/>
      <c r="S339" s="9"/>
    </row>
    <row r="340" spans="1:19">
      <c r="A340" s="6">
        <v>853</v>
      </c>
      <c r="B340" s="6">
        <f t="shared" si="24"/>
        <v>331</v>
      </c>
      <c r="C340" s="6">
        <f t="shared" si="21"/>
        <v>853346</v>
      </c>
      <c r="D340" s="6" t="s">
        <v>268</v>
      </c>
      <c r="E340" s="6">
        <v>346</v>
      </c>
      <c r="F340" s="6" t="s">
        <v>587</v>
      </c>
      <c r="G340" s="512">
        <v>4.6096654280000003E-2</v>
      </c>
      <c r="H340" s="9">
        <v>1345</v>
      </c>
      <c r="I340" s="9">
        <v>62</v>
      </c>
      <c r="J340" s="57">
        <f t="shared" si="22"/>
        <v>76.62</v>
      </c>
      <c r="K340" s="57">
        <f t="shared" si="23"/>
        <v>3.5319256509336006</v>
      </c>
      <c r="L340" s="57"/>
      <c r="O340" s="514"/>
      <c r="Q340" s="190"/>
      <c r="R340" s="9"/>
      <c r="S340" s="9"/>
    </row>
    <row r="341" spans="1:19">
      <c r="A341" s="6">
        <v>853</v>
      </c>
      <c r="B341" s="6">
        <f t="shared" si="24"/>
        <v>332</v>
      </c>
      <c r="C341" s="6">
        <f t="shared" si="21"/>
        <v>853347</v>
      </c>
      <c r="D341" s="6" t="s">
        <v>268</v>
      </c>
      <c r="E341" s="6">
        <v>347</v>
      </c>
      <c r="F341" s="6" t="s">
        <v>588</v>
      </c>
      <c r="G341" s="512">
        <v>9.1449814130000001E-2</v>
      </c>
      <c r="H341" s="9">
        <v>1345</v>
      </c>
      <c r="I341" s="9">
        <v>123</v>
      </c>
      <c r="J341" s="57">
        <f t="shared" si="22"/>
        <v>82.5</v>
      </c>
      <c r="K341" s="57">
        <f t="shared" si="23"/>
        <v>7.5446096657249999</v>
      </c>
      <c r="L341" s="57"/>
      <c r="O341" s="514"/>
      <c r="Q341" s="190"/>
      <c r="R341" s="9"/>
      <c r="S341" s="9"/>
    </row>
    <row r="342" spans="1:19">
      <c r="A342" s="6">
        <v>855</v>
      </c>
      <c r="B342" s="6">
        <f t="shared" si="24"/>
        <v>333</v>
      </c>
      <c r="C342" s="6">
        <f t="shared" si="21"/>
        <v>855003</v>
      </c>
      <c r="D342" s="6" t="s">
        <v>625</v>
      </c>
      <c r="E342" s="6">
        <v>3</v>
      </c>
      <c r="F342" s="6" t="s">
        <v>624</v>
      </c>
      <c r="G342" s="512">
        <v>0.34358047015999998</v>
      </c>
      <c r="H342" s="9">
        <v>553</v>
      </c>
      <c r="I342" s="9">
        <v>190</v>
      </c>
      <c r="J342" s="57">
        <f t="shared" si="22"/>
        <v>63.18</v>
      </c>
      <c r="K342" s="57">
        <f t="shared" si="23"/>
        <v>21.7074141047088</v>
      </c>
      <c r="L342" s="57"/>
      <c r="O342" s="514"/>
      <c r="Q342" s="190"/>
      <c r="R342" s="9"/>
      <c r="S342" s="9"/>
    </row>
    <row r="343" spans="1:19">
      <c r="A343" s="6">
        <v>855</v>
      </c>
      <c r="B343" s="6">
        <f t="shared" si="24"/>
        <v>334</v>
      </c>
      <c r="C343" s="6">
        <f t="shared" si="21"/>
        <v>855052</v>
      </c>
      <c r="D343" s="6" t="s">
        <v>625</v>
      </c>
      <c r="E343" s="6">
        <v>52</v>
      </c>
      <c r="F343" s="6" t="s">
        <v>259</v>
      </c>
      <c r="G343" s="512">
        <v>0.14104882459000001</v>
      </c>
      <c r="H343" s="9">
        <v>553</v>
      </c>
      <c r="I343" s="9">
        <v>78</v>
      </c>
      <c r="J343" s="57">
        <f t="shared" si="22"/>
        <v>58.4</v>
      </c>
      <c r="K343" s="57">
        <f t="shared" si="23"/>
        <v>8.2372513560560012</v>
      </c>
      <c r="L343" s="57"/>
      <c r="O343" s="514"/>
      <c r="Q343" s="190"/>
      <c r="R343" s="9"/>
      <c r="S343" s="9"/>
    </row>
    <row r="344" spans="1:19">
      <c r="A344" s="6">
        <v>855</v>
      </c>
      <c r="B344" s="6">
        <f t="shared" si="24"/>
        <v>335</v>
      </c>
      <c r="C344" s="6">
        <f t="shared" si="21"/>
        <v>855146</v>
      </c>
      <c r="D344" s="6" t="s">
        <v>625</v>
      </c>
      <c r="E344" s="6">
        <v>146</v>
      </c>
      <c r="F344" s="6" t="s">
        <v>373</v>
      </c>
      <c r="G344" s="512">
        <v>0.27486437612999998</v>
      </c>
      <c r="H344" s="9">
        <v>553</v>
      </c>
      <c r="I344" s="9">
        <v>152</v>
      </c>
      <c r="J344" s="57">
        <f t="shared" si="22"/>
        <v>76.849999999999994</v>
      </c>
      <c r="K344" s="57">
        <f t="shared" si="23"/>
        <v>21.123327305590497</v>
      </c>
      <c r="L344" s="57"/>
      <c r="O344" s="514"/>
      <c r="Q344" s="190"/>
      <c r="R344" s="9"/>
      <c r="S344" s="9"/>
    </row>
    <row r="345" spans="1:19">
      <c r="A345" s="6">
        <v>855</v>
      </c>
      <c r="B345" s="6">
        <f t="shared" si="24"/>
        <v>336</v>
      </c>
      <c r="C345" s="6">
        <f t="shared" si="21"/>
        <v>855173</v>
      </c>
      <c r="D345" s="6" t="s">
        <v>625</v>
      </c>
      <c r="E345" s="6">
        <v>173</v>
      </c>
      <c r="F345" s="6" t="s">
        <v>414</v>
      </c>
      <c r="G345" s="512">
        <v>6.3291139240000002E-2</v>
      </c>
      <c r="H345" s="9">
        <v>553</v>
      </c>
      <c r="I345" s="9">
        <v>35</v>
      </c>
      <c r="J345" s="57">
        <f t="shared" si="22"/>
        <v>82.5</v>
      </c>
      <c r="K345" s="57">
        <f t="shared" si="23"/>
        <v>5.2215189873000005</v>
      </c>
      <c r="L345" s="57"/>
      <c r="O345" s="514"/>
      <c r="Q345" s="190"/>
      <c r="R345" s="9"/>
      <c r="S345" s="9"/>
    </row>
    <row r="346" spans="1:19">
      <c r="A346" s="6">
        <v>855</v>
      </c>
      <c r="B346" s="6">
        <f t="shared" si="24"/>
        <v>337</v>
      </c>
      <c r="C346" s="6">
        <f t="shared" si="21"/>
        <v>855250</v>
      </c>
      <c r="D346" s="6" t="s">
        <v>625</v>
      </c>
      <c r="E346" s="6">
        <v>250</v>
      </c>
      <c r="F346" s="6" t="s">
        <v>500</v>
      </c>
      <c r="G346" s="512">
        <v>0.17721518987000001</v>
      </c>
      <c r="H346" s="9">
        <v>553</v>
      </c>
      <c r="I346" s="9">
        <v>98</v>
      </c>
      <c r="J346" s="57">
        <f t="shared" si="22"/>
        <v>73.64</v>
      </c>
      <c r="K346" s="57">
        <f t="shared" si="23"/>
        <v>13.050126582026801</v>
      </c>
      <c r="L346" s="57"/>
      <c r="O346" s="514"/>
      <c r="Q346" s="190"/>
      <c r="R346" s="9"/>
      <c r="S346" s="9"/>
    </row>
    <row r="347" spans="1:19">
      <c r="A347" s="6">
        <v>860</v>
      </c>
      <c r="B347" s="6">
        <f t="shared" si="24"/>
        <v>338</v>
      </c>
      <c r="C347" s="6">
        <f t="shared" si="21"/>
        <v>860024</v>
      </c>
      <c r="D347" s="6" t="s">
        <v>35</v>
      </c>
      <c r="E347" s="6">
        <v>24</v>
      </c>
      <c r="F347" s="6" t="s">
        <v>34</v>
      </c>
      <c r="G347" s="512">
        <v>0.18619582665000001</v>
      </c>
      <c r="H347" s="9">
        <v>623</v>
      </c>
      <c r="I347" s="9">
        <v>116</v>
      </c>
      <c r="J347" s="57">
        <f t="shared" si="22"/>
        <v>54.51</v>
      </c>
      <c r="K347" s="57">
        <f t="shared" si="23"/>
        <v>10.149534510691501</v>
      </c>
      <c r="L347" s="57"/>
      <c r="O347" s="514"/>
      <c r="Q347" s="190"/>
      <c r="R347" s="9"/>
      <c r="S347" s="9"/>
    </row>
    <row r="348" spans="1:19">
      <c r="A348" s="6">
        <v>860</v>
      </c>
      <c r="B348" s="6">
        <f t="shared" si="24"/>
        <v>339</v>
      </c>
      <c r="C348" s="6">
        <f t="shared" si="21"/>
        <v>860111</v>
      </c>
      <c r="D348" s="6" t="s">
        <v>35</v>
      </c>
      <c r="E348" s="6">
        <v>111</v>
      </c>
      <c r="F348" s="6" t="s">
        <v>337</v>
      </c>
      <c r="G348" s="512">
        <v>3.0497592300000001E-2</v>
      </c>
      <c r="H348" s="9">
        <v>623</v>
      </c>
      <c r="I348" s="9">
        <v>19</v>
      </c>
      <c r="J348" s="57">
        <f t="shared" si="22"/>
        <v>65.180000000000007</v>
      </c>
      <c r="K348" s="57">
        <f t="shared" si="23"/>
        <v>1.9878330661140002</v>
      </c>
      <c r="L348" s="57"/>
      <c r="O348" s="514"/>
      <c r="Q348" s="190"/>
      <c r="R348" s="9"/>
      <c r="S348" s="9"/>
    </row>
    <row r="349" spans="1:19">
      <c r="A349" s="6">
        <v>860</v>
      </c>
      <c r="B349" s="6">
        <f t="shared" si="24"/>
        <v>340</v>
      </c>
      <c r="C349" s="6">
        <f t="shared" si="21"/>
        <v>860124</v>
      </c>
      <c r="D349" s="6" t="s">
        <v>35</v>
      </c>
      <c r="E349" s="6">
        <v>124</v>
      </c>
      <c r="F349" s="6" t="s">
        <v>69</v>
      </c>
      <c r="G349" s="512">
        <v>4.0128410910000002E-2</v>
      </c>
      <c r="H349" s="9">
        <v>623</v>
      </c>
      <c r="I349" s="9">
        <v>25</v>
      </c>
      <c r="J349" s="57">
        <f t="shared" si="22"/>
        <v>44.21</v>
      </c>
      <c r="K349" s="57">
        <f t="shared" si="23"/>
        <v>1.7740770463311002</v>
      </c>
      <c r="L349" s="57"/>
      <c r="O349" s="514"/>
      <c r="Q349" s="190"/>
      <c r="R349" s="9"/>
      <c r="S349" s="9"/>
    </row>
    <row r="350" spans="1:19">
      <c r="A350" s="6">
        <v>860</v>
      </c>
      <c r="B350" s="6">
        <f t="shared" si="24"/>
        <v>341</v>
      </c>
      <c r="C350" s="6">
        <f t="shared" si="21"/>
        <v>860191</v>
      </c>
      <c r="D350" s="6" t="s">
        <v>35</v>
      </c>
      <c r="E350" s="6">
        <v>191</v>
      </c>
      <c r="F350" s="6" t="s">
        <v>433</v>
      </c>
      <c r="G350" s="512">
        <v>0.14927768860000001</v>
      </c>
      <c r="H350" s="9">
        <v>623</v>
      </c>
      <c r="I350" s="9">
        <v>93</v>
      </c>
      <c r="J350" s="57">
        <f t="shared" si="22"/>
        <v>57.79</v>
      </c>
      <c r="K350" s="57">
        <f t="shared" si="23"/>
        <v>8.6267576241940009</v>
      </c>
      <c r="L350" s="57"/>
      <c r="O350" s="514"/>
      <c r="Q350" s="190"/>
      <c r="R350" s="9"/>
      <c r="S350" s="9"/>
    </row>
    <row r="351" spans="1:19">
      <c r="A351" s="6">
        <v>860</v>
      </c>
      <c r="B351" s="6">
        <f t="shared" si="24"/>
        <v>342</v>
      </c>
      <c r="C351" s="6">
        <f t="shared" si="21"/>
        <v>860202</v>
      </c>
      <c r="D351" s="6" t="s">
        <v>35</v>
      </c>
      <c r="E351" s="6">
        <v>202</v>
      </c>
      <c r="F351" s="6" t="s">
        <v>442</v>
      </c>
      <c r="G351" s="512">
        <v>1.6051364370000001E-2</v>
      </c>
      <c r="H351" s="9">
        <v>623</v>
      </c>
      <c r="I351" s="9">
        <v>10</v>
      </c>
      <c r="J351" s="57">
        <f t="shared" si="22"/>
        <v>69.180000000000007</v>
      </c>
      <c r="K351" s="57">
        <f t="shared" si="23"/>
        <v>1.1104333871166001</v>
      </c>
      <c r="L351" s="57"/>
      <c r="O351" s="514"/>
      <c r="Q351" s="190"/>
      <c r="R351" s="9"/>
      <c r="S351" s="9"/>
    </row>
    <row r="352" spans="1:19">
      <c r="A352" s="6">
        <v>860</v>
      </c>
      <c r="B352" s="6">
        <f t="shared" si="24"/>
        <v>343</v>
      </c>
      <c r="C352" s="6">
        <f t="shared" si="21"/>
        <v>860222</v>
      </c>
      <c r="D352" s="6" t="s">
        <v>35</v>
      </c>
      <c r="E352" s="6">
        <v>222</v>
      </c>
      <c r="F352" s="6" t="s">
        <v>103</v>
      </c>
      <c r="G352" s="512">
        <v>2.247191011E-2</v>
      </c>
      <c r="H352" s="9">
        <v>623</v>
      </c>
      <c r="I352" s="9">
        <v>14</v>
      </c>
      <c r="J352" s="57">
        <f t="shared" si="22"/>
        <v>60.35</v>
      </c>
      <c r="K352" s="57">
        <f t="shared" si="23"/>
        <v>1.3561797751385001</v>
      </c>
      <c r="L352" s="57"/>
      <c r="O352" s="514"/>
      <c r="Q352" s="190"/>
      <c r="R352" s="9"/>
      <c r="S352" s="9"/>
    </row>
    <row r="353" spans="1:19">
      <c r="A353" s="6">
        <v>860</v>
      </c>
      <c r="B353" s="6">
        <f t="shared" si="24"/>
        <v>344</v>
      </c>
      <c r="C353" s="6">
        <f t="shared" si="21"/>
        <v>860227</v>
      </c>
      <c r="D353" s="6" t="s">
        <v>35</v>
      </c>
      <c r="E353" s="6">
        <v>227</v>
      </c>
      <c r="F353" s="6" t="s">
        <v>477</v>
      </c>
      <c r="G353" s="512">
        <v>0.29695024076999998</v>
      </c>
      <c r="H353" s="9">
        <v>623</v>
      </c>
      <c r="I353" s="9">
        <v>185</v>
      </c>
      <c r="J353" s="57">
        <f t="shared" si="22"/>
        <v>41.82</v>
      </c>
      <c r="K353" s="57">
        <f t="shared" si="23"/>
        <v>12.418459069001399</v>
      </c>
      <c r="L353" s="57"/>
      <c r="O353" s="514"/>
      <c r="Q353" s="190"/>
      <c r="R353" s="9"/>
      <c r="S353" s="9"/>
    </row>
    <row r="354" spans="1:19">
      <c r="A354" s="6">
        <v>860</v>
      </c>
      <c r="B354" s="6">
        <f t="shared" si="24"/>
        <v>345</v>
      </c>
      <c r="C354" s="6">
        <f t="shared" si="21"/>
        <v>860309</v>
      </c>
      <c r="D354" s="6" t="s">
        <v>35</v>
      </c>
      <c r="E354" s="6">
        <v>309</v>
      </c>
      <c r="F354" s="6" t="s">
        <v>555</v>
      </c>
      <c r="G354" s="512">
        <v>0.17335473514999999</v>
      </c>
      <c r="H354" s="9">
        <v>623</v>
      </c>
      <c r="I354" s="9">
        <v>108</v>
      </c>
      <c r="J354" s="57">
        <f t="shared" si="22"/>
        <v>33.28</v>
      </c>
      <c r="K354" s="57">
        <f t="shared" si="23"/>
        <v>5.7692455857920004</v>
      </c>
      <c r="L354" s="57"/>
      <c r="O354" s="514"/>
      <c r="Q354" s="190"/>
      <c r="R354" s="9"/>
      <c r="S354" s="9"/>
    </row>
    <row r="355" spans="1:19">
      <c r="A355" s="6">
        <v>860</v>
      </c>
      <c r="B355" s="6">
        <f t="shared" si="24"/>
        <v>346</v>
      </c>
      <c r="C355" s="6">
        <f t="shared" si="21"/>
        <v>860311</v>
      </c>
      <c r="D355" s="6" t="s">
        <v>35</v>
      </c>
      <c r="E355" s="6">
        <v>311</v>
      </c>
      <c r="F355" s="6" t="s">
        <v>557</v>
      </c>
      <c r="G355" s="512">
        <v>8.5072231139999996E-2</v>
      </c>
      <c r="H355" s="9">
        <v>623</v>
      </c>
      <c r="I355" s="9">
        <v>53</v>
      </c>
      <c r="J355" s="57">
        <f t="shared" si="22"/>
        <v>34.39</v>
      </c>
      <c r="K355" s="57">
        <f t="shared" si="23"/>
        <v>2.9256340289046001</v>
      </c>
      <c r="L355" s="57"/>
      <c r="O355" s="514"/>
      <c r="Q355" s="190"/>
      <c r="R355" s="9"/>
      <c r="S355" s="9"/>
    </row>
    <row r="356" spans="1:19">
      <c r="A356" s="6">
        <v>871</v>
      </c>
      <c r="B356" s="6">
        <f t="shared" si="24"/>
        <v>347</v>
      </c>
      <c r="C356" s="6">
        <f t="shared" si="21"/>
        <v>871023</v>
      </c>
      <c r="D356" s="6" t="s">
        <v>33</v>
      </c>
      <c r="E356" s="6">
        <v>23</v>
      </c>
      <c r="F356" s="6" t="s">
        <v>32</v>
      </c>
      <c r="G356" s="512">
        <v>2.981651376E-2</v>
      </c>
      <c r="H356" s="9">
        <v>1308</v>
      </c>
      <c r="I356" s="9">
        <v>39</v>
      </c>
      <c r="J356" s="57">
        <f t="shared" si="22"/>
        <v>82.5</v>
      </c>
      <c r="K356" s="57">
        <f t="shared" si="23"/>
        <v>2.4598623852000001</v>
      </c>
      <c r="L356" s="57"/>
      <c r="O356" s="514"/>
      <c r="Q356" s="190"/>
      <c r="R356" s="9"/>
      <c r="S356" s="9"/>
    </row>
    <row r="357" spans="1:19">
      <c r="A357" s="6">
        <v>871</v>
      </c>
      <c r="B357" s="6">
        <f t="shared" si="24"/>
        <v>348</v>
      </c>
      <c r="C357" s="6">
        <f t="shared" si="21"/>
        <v>871031</v>
      </c>
      <c r="D357" s="6" t="s">
        <v>33</v>
      </c>
      <c r="E357" s="6">
        <v>31</v>
      </c>
      <c r="F357" s="6" t="s">
        <v>47</v>
      </c>
      <c r="G357" s="512">
        <v>0.35932721712999999</v>
      </c>
      <c r="H357" s="9">
        <v>1308</v>
      </c>
      <c r="I357" s="9">
        <v>470</v>
      </c>
      <c r="J357" s="57">
        <f t="shared" si="22"/>
        <v>82.5</v>
      </c>
      <c r="K357" s="57">
        <f t="shared" si="23"/>
        <v>29.644495413224998</v>
      </c>
      <c r="L357" s="57"/>
      <c r="O357" s="514"/>
      <c r="Q357" s="190"/>
      <c r="R357" s="9"/>
      <c r="S357" s="9"/>
    </row>
    <row r="358" spans="1:19">
      <c r="A358" s="6">
        <v>871</v>
      </c>
      <c r="B358" s="6">
        <f t="shared" si="24"/>
        <v>349</v>
      </c>
      <c r="C358" s="6">
        <f t="shared" si="21"/>
        <v>871048</v>
      </c>
      <c r="D358" s="6" t="s">
        <v>33</v>
      </c>
      <c r="E358" s="6">
        <v>48</v>
      </c>
      <c r="F358" s="6" t="s">
        <v>255</v>
      </c>
      <c r="G358" s="512">
        <v>9.0214067280000004E-2</v>
      </c>
      <c r="H358" s="9">
        <v>1308</v>
      </c>
      <c r="I358" s="9">
        <v>118</v>
      </c>
      <c r="J358" s="57">
        <f t="shared" si="22"/>
        <v>82.5</v>
      </c>
      <c r="K358" s="57">
        <f t="shared" si="23"/>
        <v>7.4426605506000003</v>
      </c>
      <c r="L358" s="57"/>
      <c r="O358" s="514"/>
      <c r="Q358" s="190"/>
      <c r="R358" s="9"/>
      <c r="S358" s="9"/>
    </row>
    <row r="359" spans="1:19">
      <c r="A359" s="6">
        <v>871</v>
      </c>
      <c r="B359" s="6">
        <f t="shared" si="24"/>
        <v>350</v>
      </c>
      <c r="C359" s="6">
        <f t="shared" si="21"/>
        <v>871295</v>
      </c>
      <c r="D359" s="6" t="s">
        <v>33</v>
      </c>
      <c r="E359" s="6">
        <v>295</v>
      </c>
      <c r="F359" s="6" t="s">
        <v>543</v>
      </c>
      <c r="G359" s="512">
        <v>0.27752293577999998</v>
      </c>
      <c r="H359" s="9">
        <v>1308</v>
      </c>
      <c r="I359" s="9">
        <v>363</v>
      </c>
      <c r="J359" s="57">
        <f t="shared" si="22"/>
        <v>82.5</v>
      </c>
      <c r="K359" s="57">
        <f t="shared" si="23"/>
        <v>22.895642201849999</v>
      </c>
      <c r="L359" s="57"/>
      <c r="O359" s="514"/>
      <c r="Q359" s="190"/>
      <c r="R359" s="9"/>
      <c r="S359" s="9"/>
    </row>
    <row r="360" spans="1:19">
      <c r="A360" s="6">
        <v>871</v>
      </c>
      <c r="B360" s="6">
        <f t="shared" si="24"/>
        <v>351</v>
      </c>
      <c r="C360" s="6">
        <f t="shared" si="21"/>
        <v>871342</v>
      </c>
      <c r="D360" s="6" t="s">
        <v>33</v>
      </c>
      <c r="E360" s="6">
        <v>342</v>
      </c>
      <c r="F360" s="6" t="s">
        <v>583</v>
      </c>
      <c r="G360" s="512">
        <v>0.24311926606000001</v>
      </c>
      <c r="H360" s="9">
        <v>1308</v>
      </c>
      <c r="I360" s="9">
        <v>318</v>
      </c>
      <c r="J360" s="57">
        <f t="shared" si="22"/>
        <v>82.5</v>
      </c>
      <c r="K360" s="57">
        <f t="shared" si="23"/>
        <v>20.05733944995</v>
      </c>
      <c r="L360" s="57"/>
      <c r="O360" s="514"/>
      <c r="Q360" s="190"/>
      <c r="R360" s="9"/>
      <c r="S360" s="9"/>
    </row>
    <row r="361" spans="1:19">
      <c r="A361" s="6">
        <v>872</v>
      </c>
      <c r="B361" s="6">
        <f t="shared" si="24"/>
        <v>352</v>
      </c>
      <c r="C361" s="6">
        <f t="shared" si="21"/>
        <v>872044</v>
      </c>
      <c r="D361" s="6" t="s">
        <v>251</v>
      </c>
      <c r="E361" s="6">
        <v>44</v>
      </c>
      <c r="F361" s="6" t="s">
        <v>250</v>
      </c>
      <c r="G361" s="512">
        <v>0.62007168458999995</v>
      </c>
      <c r="H361" s="9">
        <v>1674</v>
      </c>
      <c r="I361" s="9">
        <v>1038</v>
      </c>
      <c r="J361" s="57">
        <f t="shared" si="22"/>
        <v>23.23</v>
      </c>
      <c r="K361" s="57">
        <f t="shared" si="23"/>
        <v>14.404265233025699</v>
      </c>
      <c r="L361" s="57"/>
      <c r="O361" s="514"/>
      <c r="Q361" s="190"/>
      <c r="R361" s="9"/>
      <c r="S361" s="9"/>
    </row>
    <row r="362" spans="1:19">
      <c r="A362" s="6">
        <v>872</v>
      </c>
      <c r="B362" s="6">
        <f t="shared" si="24"/>
        <v>353</v>
      </c>
      <c r="C362" s="6">
        <f t="shared" si="21"/>
        <v>872083</v>
      </c>
      <c r="D362" s="6" t="s">
        <v>251</v>
      </c>
      <c r="E362" s="6">
        <v>83</v>
      </c>
      <c r="F362" s="6" t="s">
        <v>307</v>
      </c>
      <c r="G362" s="512">
        <v>5.973715651E-2</v>
      </c>
      <c r="H362" s="9">
        <v>1674</v>
      </c>
      <c r="I362" s="9">
        <v>100</v>
      </c>
      <c r="J362" s="57">
        <f t="shared" si="22"/>
        <v>60.23</v>
      </c>
      <c r="K362" s="57">
        <f t="shared" si="23"/>
        <v>3.5979689365973</v>
      </c>
      <c r="L362" s="57"/>
      <c r="O362" s="514"/>
      <c r="Q362" s="190"/>
      <c r="R362" s="9"/>
      <c r="S362" s="9"/>
    </row>
    <row r="363" spans="1:19">
      <c r="A363" s="6">
        <v>872</v>
      </c>
      <c r="B363" s="6">
        <f t="shared" si="24"/>
        <v>354</v>
      </c>
      <c r="C363" s="6">
        <f t="shared" si="21"/>
        <v>872088</v>
      </c>
      <c r="D363" s="6" t="s">
        <v>251</v>
      </c>
      <c r="E363" s="6">
        <v>88</v>
      </c>
      <c r="F363" s="6" t="s">
        <v>311</v>
      </c>
      <c r="G363" s="512">
        <v>5.2568697730000002E-2</v>
      </c>
      <c r="H363" s="9">
        <v>1674</v>
      </c>
      <c r="I363" s="9">
        <v>88</v>
      </c>
      <c r="J363" s="57">
        <f t="shared" si="22"/>
        <v>82.5</v>
      </c>
      <c r="K363" s="57">
        <f t="shared" si="23"/>
        <v>4.3369175627250005</v>
      </c>
      <c r="L363" s="57"/>
      <c r="O363" s="514"/>
      <c r="Q363" s="190"/>
      <c r="R363" s="9"/>
      <c r="S363" s="9"/>
    </row>
    <row r="364" spans="1:19">
      <c r="A364" s="6">
        <v>872</v>
      </c>
      <c r="B364" s="6">
        <f t="shared" si="24"/>
        <v>355</v>
      </c>
      <c r="C364" s="6">
        <f t="shared" si="21"/>
        <v>872099</v>
      </c>
      <c r="D364" s="6" t="s">
        <v>251</v>
      </c>
      <c r="E364" s="6">
        <v>99</v>
      </c>
      <c r="F364" s="6" t="s">
        <v>323</v>
      </c>
      <c r="G364" s="512">
        <v>2.7479092E-2</v>
      </c>
      <c r="H364" s="9">
        <v>1674</v>
      </c>
      <c r="I364" s="9">
        <v>46</v>
      </c>
      <c r="J364" s="57">
        <f t="shared" si="22"/>
        <v>82.5</v>
      </c>
      <c r="K364" s="57">
        <f t="shared" si="23"/>
        <v>2.2670250900000002</v>
      </c>
      <c r="L364" s="57"/>
      <c r="O364" s="514"/>
      <c r="Q364" s="190"/>
      <c r="R364" s="9"/>
      <c r="S364" s="9"/>
    </row>
    <row r="365" spans="1:19">
      <c r="A365" s="6">
        <v>872</v>
      </c>
      <c r="B365" s="6">
        <f t="shared" si="24"/>
        <v>356</v>
      </c>
      <c r="C365" s="6">
        <f t="shared" si="21"/>
        <v>872167</v>
      </c>
      <c r="D365" s="6" t="s">
        <v>251</v>
      </c>
      <c r="E365" s="6">
        <v>167</v>
      </c>
      <c r="F365" s="6" t="s">
        <v>408</v>
      </c>
      <c r="G365" s="512">
        <v>5.1373954600000001E-2</v>
      </c>
      <c r="H365" s="9">
        <v>1674</v>
      </c>
      <c r="I365" s="9">
        <v>86</v>
      </c>
      <c r="J365" s="57">
        <f t="shared" si="22"/>
        <v>82.13</v>
      </c>
      <c r="K365" s="57">
        <f t="shared" si="23"/>
        <v>4.219342891298</v>
      </c>
      <c r="L365" s="57"/>
      <c r="O365" s="514"/>
      <c r="Q365" s="190"/>
      <c r="R365" s="9"/>
      <c r="S365" s="9"/>
    </row>
    <row r="366" spans="1:19">
      <c r="A366" s="6">
        <v>872</v>
      </c>
      <c r="B366" s="6">
        <f t="shared" si="24"/>
        <v>357</v>
      </c>
      <c r="C366" s="6">
        <f t="shared" si="21"/>
        <v>872218</v>
      </c>
      <c r="D366" s="6" t="s">
        <v>251</v>
      </c>
      <c r="E366" s="6">
        <v>218</v>
      </c>
      <c r="F366" s="6" t="s">
        <v>464</v>
      </c>
      <c r="G366" s="512">
        <v>5.7347670250000003E-2</v>
      </c>
      <c r="H366" s="9">
        <v>1674</v>
      </c>
      <c r="I366" s="9">
        <v>96</v>
      </c>
      <c r="J366" s="57">
        <f t="shared" si="22"/>
        <v>79.61</v>
      </c>
      <c r="K366" s="57">
        <f t="shared" si="23"/>
        <v>4.5654480286024999</v>
      </c>
      <c r="L366" s="57"/>
      <c r="O366" s="514"/>
      <c r="Q366" s="190"/>
      <c r="R366" s="9"/>
      <c r="S366" s="9"/>
    </row>
    <row r="367" spans="1:19">
      <c r="A367" s="6">
        <v>872</v>
      </c>
      <c r="B367" s="6">
        <f t="shared" si="24"/>
        <v>358</v>
      </c>
      <c r="C367" s="6">
        <f t="shared" si="21"/>
        <v>872266</v>
      </c>
      <c r="D367" s="6" t="s">
        <v>251</v>
      </c>
      <c r="E367" s="6">
        <v>266</v>
      </c>
      <c r="F367" s="6" t="s">
        <v>515</v>
      </c>
      <c r="G367" s="512">
        <v>1.314217443E-2</v>
      </c>
      <c r="H367" s="9">
        <v>1674</v>
      </c>
      <c r="I367" s="9">
        <v>22</v>
      </c>
      <c r="J367" s="57">
        <f t="shared" si="22"/>
        <v>82.5</v>
      </c>
      <c r="K367" s="57">
        <f t="shared" si="23"/>
        <v>1.084229390475</v>
      </c>
      <c r="L367" s="57"/>
      <c r="O367" s="514"/>
      <c r="Q367" s="190"/>
      <c r="R367" s="9"/>
      <c r="S367" s="9"/>
    </row>
    <row r="368" spans="1:19">
      <c r="A368" s="6">
        <v>872</v>
      </c>
      <c r="B368" s="6">
        <f t="shared" si="24"/>
        <v>359</v>
      </c>
      <c r="C368" s="6">
        <f t="shared" si="21"/>
        <v>872285</v>
      </c>
      <c r="D368" s="6" t="s">
        <v>251</v>
      </c>
      <c r="E368" s="6">
        <v>285</v>
      </c>
      <c r="F368" s="6" t="s">
        <v>533</v>
      </c>
      <c r="G368" s="512">
        <v>7.3476702510000005E-2</v>
      </c>
      <c r="H368" s="9">
        <v>1674</v>
      </c>
      <c r="I368" s="9">
        <v>123</v>
      </c>
      <c r="J368" s="57">
        <f t="shared" si="22"/>
        <v>59.32</v>
      </c>
      <c r="K368" s="57">
        <f t="shared" si="23"/>
        <v>4.3586379928932004</v>
      </c>
      <c r="L368" s="57"/>
      <c r="O368" s="514"/>
      <c r="Q368" s="190"/>
      <c r="R368" s="9"/>
      <c r="S368" s="9"/>
    </row>
    <row r="369" spans="1:19">
      <c r="A369" s="6">
        <v>872</v>
      </c>
      <c r="B369" s="6">
        <f t="shared" si="24"/>
        <v>360</v>
      </c>
      <c r="C369" s="6">
        <f t="shared" si="21"/>
        <v>872323</v>
      </c>
      <c r="D369" s="6" t="s">
        <v>251</v>
      </c>
      <c r="E369" s="6">
        <v>323</v>
      </c>
      <c r="F369" s="6" t="s">
        <v>567</v>
      </c>
      <c r="G369" s="512">
        <v>4.480286738E-2</v>
      </c>
      <c r="H369" s="9">
        <v>1674</v>
      </c>
      <c r="I369" s="9">
        <v>75</v>
      </c>
      <c r="J369" s="57">
        <f t="shared" si="22"/>
        <v>59.87</v>
      </c>
      <c r="K369" s="57">
        <f t="shared" si="23"/>
        <v>2.6823476700405999</v>
      </c>
      <c r="L369" s="57"/>
      <c r="O369" s="514"/>
      <c r="Q369" s="190"/>
      <c r="R369" s="9"/>
      <c r="S369" s="9"/>
    </row>
    <row r="370" spans="1:19">
      <c r="A370" s="6">
        <v>873</v>
      </c>
      <c r="B370" s="6">
        <f t="shared" si="24"/>
        <v>361</v>
      </c>
      <c r="C370" s="6">
        <f t="shared" si="21"/>
        <v>873001</v>
      </c>
      <c r="D370" s="6" t="s">
        <v>620</v>
      </c>
      <c r="E370" s="6">
        <v>1</v>
      </c>
      <c r="F370" s="6" t="s">
        <v>619</v>
      </c>
      <c r="G370" s="512">
        <v>0.17194570136000001</v>
      </c>
      <c r="H370" s="9">
        <v>663</v>
      </c>
      <c r="I370" s="9">
        <v>114</v>
      </c>
      <c r="J370" s="57">
        <f t="shared" si="22"/>
        <v>60.4</v>
      </c>
      <c r="K370" s="57">
        <f t="shared" si="23"/>
        <v>10.385520362144</v>
      </c>
      <c r="L370" s="57"/>
      <c r="O370" s="514"/>
      <c r="Q370" s="190"/>
      <c r="R370" s="9"/>
      <c r="S370" s="9"/>
    </row>
    <row r="371" spans="1:19">
      <c r="A371" s="6">
        <v>873</v>
      </c>
      <c r="B371" s="6">
        <f t="shared" si="24"/>
        <v>362</v>
      </c>
      <c r="C371" s="6">
        <f t="shared" si="21"/>
        <v>873065</v>
      </c>
      <c r="D371" s="6" t="s">
        <v>620</v>
      </c>
      <c r="E371" s="6">
        <v>65</v>
      </c>
      <c r="F371" s="6" t="s">
        <v>278</v>
      </c>
      <c r="G371" s="512">
        <v>1.3574660630000001E-2</v>
      </c>
      <c r="H371" s="9">
        <v>663</v>
      </c>
      <c r="I371" s="9">
        <v>9</v>
      </c>
      <c r="J371" s="57">
        <f t="shared" si="22"/>
        <v>82.5</v>
      </c>
      <c r="K371" s="57">
        <f t="shared" si="23"/>
        <v>1.1199095019750001</v>
      </c>
      <c r="L371" s="57"/>
      <c r="O371" s="514"/>
      <c r="Q371" s="190"/>
      <c r="R371" s="9"/>
      <c r="S371" s="9"/>
    </row>
    <row r="372" spans="1:19">
      <c r="A372" s="6">
        <v>873</v>
      </c>
      <c r="B372" s="6">
        <f t="shared" si="24"/>
        <v>363</v>
      </c>
      <c r="C372" s="6">
        <f t="shared" si="21"/>
        <v>873122</v>
      </c>
      <c r="D372" s="6" t="s">
        <v>620</v>
      </c>
      <c r="E372" s="6">
        <v>122</v>
      </c>
      <c r="F372" s="6" t="s">
        <v>351</v>
      </c>
      <c r="G372" s="512">
        <v>0.12066365008</v>
      </c>
      <c r="H372" s="9">
        <v>663</v>
      </c>
      <c r="I372" s="9">
        <v>80</v>
      </c>
      <c r="J372" s="57">
        <f t="shared" si="22"/>
        <v>82.5</v>
      </c>
      <c r="K372" s="57">
        <f t="shared" si="23"/>
        <v>9.9547511316000001</v>
      </c>
      <c r="L372" s="57"/>
      <c r="O372" s="514"/>
      <c r="Q372" s="190"/>
      <c r="R372" s="9"/>
      <c r="S372" s="9"/>
    </row>
    <row r="373" spans="1:19">
      <c r="A373" s="6">
        <v>873</v>
      </c>
      <c r="B373" s="6">
        <f t="shared" si="24"/>
        <v>364</v>
      </c>
      <c r="C373" s="6">
        <f t="shared" si="21"/>
        <v>873123</v>
      </c>
      <c r="D373" s="6" t="s">
        <v>620</v>
      </c>
      <c r="E373" s="6">
        <v>123</v>
      </c>
      <c r="F373" s="6" t="s">
        <v>352</v>
      </c>
      <c r="G373" s="512">
        <v>0.11613876319999999</v>
      </c>
      <c r="H373" s="9">
        <v>663</v>
      </c>
      <c r="I373" s="9">
        <v>77</v>
      </c>
      <c r="J373" s="57">
        <f t="shared" si="22"/>
        <v>66.86</v>
      </c>
      <c r="K373" s="57">
        <f t="shared" si="23"/>
        <v>7.7650377075519996</v>
      </c>
      <c r="L373" s="57"/>
      <c r="O373" s="514"/>
      <c r="Q373" s="190"/>
      <c r="R373" s="9"/>
      <c r="S373" s="9"/>
    </row>
    <row r="374" spans="1:19">
      <c r="A374" s="6">
        <v>873</v>
      </c>
      <c r="B374" s="6">
        <f t="shared" si="24"/>
        <v>365</v>
      </c>
      <c r="C374" s="6">
        <f t="shared" si="21"/>
        <v>873171</v>
      </c>
      <c r="D374" s="6" t="s">
        <v>620</v>
      </c>
      <c r="E374" s="6">
        <v>171</v>
      </c>
      <c r="F374" s="6" t="s">
        <v>2328</v>
      </c>
      <c r="G374" s="512">
        <v>4.5248868799999996E-3</v>
      </c>
      <c r="H374" s="9">
        <v>663</v>
      </c>
      <c r="I374" s="9">
        <v>3</v>
      </c>
      <c r="J374" s="57">
        <f t="shared" si="22"/>
        <v>82.5</v>
      </c>
      <c r="K374" s="57">
        <f t="shared" si="23"/>
        <v>0.37330316759999999</v>
      </c>
      <c r="L374" s="57"/>
      <c r="O374" s="514"/>
      <c r="Q374" s="190"/>
      <c r="R374" s="9"/>
      <c r="S374" s="9"/>
    </row>
    <row r="375" spans="1:19">
      <c r="A375" s="6">
        <v>873</v>
      </c>
      <c r="B375" s="6">
        <f t="shared" si="24"/>
        <v>366</v>
      </c>
      <c r="C375" s="6">
        <f t="shared" si="21"/>
        <v>873219</v>
      </c>
      <c r="D375" s="6" t="s">
        <v>620</v>
      </c>
      <c r="E375" s="6">
        <v>219</v>
      </c>
      <c r="F375" s="6" t="s">
        <v>466</v>
      </c>
      <c r="G375" s="512">
        <v>3.3182503770000003E-2</v>
      </c>
      <c r="H375" s="9">
        <v>663</v>
      </c>
      <c r="I375" s="9">
        <v>22</v>
      </c>
      <c r="J375" s="57">
        <f t="shared" si="22"/>
        <v>82.5</v>
      </c>
      <c r="K375" s="57">
        <f t="shared" si="23"/>
        <v>2.7375565610250003</v>
      </c>
      <c r="L375" s="57"/>
      <c r="O375" s="514"/>
      <c r="Q375" s="190"/>
      <c r="R375" s="9"/>
      <c r="S375" s="9"/>
    </row>
    <row r="376" spans="1:19">
      <c r="A376" s="6">
        <v>873</v>
      </c>
      <c r="B376" s="6">
        <f t="shared" si="24"/>
        <v>367</v>
      </c>
      <c r="C376" s="6">
        <f t="shared" si="21"/>
        <v>873251</v>
      </c>
      <c r="D376" s="6" t="s">
        <v>620</v>
      </c>
      <c r="E376" s="6">
        <v>251</v>
      </c>
      <c r="F376" s="6" t="s">
        <v>501</v>
      </c>
      <c r="G376" s="512">
        <v>0.20965309200999999</v>
      </c>
      <c r="H376" s="9">
        <v>663</v>
      </c>
      <c r="I376" s="9">
        <v>139</v>
      </c>
      <c r="J376" s="57">
        <f t="shared" si="22"/>
        <v>50.64</v>
      </c>
      <c r="K376" s="57">
        <f t="shared" si="23"/>
        <v>10.616832579386399</v>
      </c>
      <c r="L376" s="57"/>
      <c r="O376" s="514"/>
      <c r="Q376" s="190"/>
      <c r="R376" s="9"/>
      <c r="S376" s="9"/>
    </row>
    <row r="377" spans="1:19">
      <c r="A377" s="6">
        <v>873</v>
      </c>
      <c r="B377" s="6">
        <f t="shared" si="24"/>
        <v>368</v>
      </c>
      <c r="C377" s="6">
        <f t="shared" si="21"/>
        <v>873264</v>
      </c>
      <c r="D377" s="6" t="s">
        <v>620</v>
      </c>
      <c r="E377" s="6">
        <v>264</v>
      </c>
      <c r="F377" s="6" t="s">
        <v>513</v>
      </c>
      <c r="G377" s="512">
        <v>8.1447963799999995E-2</v>
      </c>
      <c r="H377" s="9">
        <v>663</v>
      </c>
      <c r="I377" s="9">
        <v>54</v>
      </c>
      <c r="J377" s="57">
        <f t="shared" si="22"/>
        <v>82.5</v>
      </c>
      <c r="K377" s="57">
        <f t="shared" si="23"/>
        <v>6.7194570134999996</v>
      </c>
      <c r="L377" s="57"/>
      <c r="O377" s="514"/>
      <c r="Q377" s="190"/>
      <c r="R377" s="9"/>
      <c r="S377" s="9"/>
    </row>
    <row r="378" spans="1:19">
      <c r="A378" s="6">
        <v>873</v>
      </c>
      <c r="B378" s="6">
        <f t="shared" si="24"/>
        <v>369</v>
      </c>
      <c r="C378" s="6">
        <f t="shared" si="21"/>
        <v>873338</v>
      </c>
      <c r="D378" s="6" t="s">
        <v>620</v>
      </c>
      <c r="E378" s="6">
        <v>338</v>
      </c>
      <c r="F378" s="6" t="s">
        <v>579</v>
      </c>
      <c r="G378" s="512">
        <v>0.24886877828000001</v>
      </c>
      <c r="H378" s="9">
        <v>663</v>
      </c>
      <c r="I378" s="9">
        <v>165</v>
      </c>
      <c r="J378" s="57">
        <f t="shared" si="22"/>
        <v>49.38</v>
      </c>
      <c r="K378" s="57">
        <f t="shared" si="23"/>
        <v>12.289140271466401</v>
      </c>
      <c r="L378" s="57"/>
      <c r="O378" s="514"/>
      <c r="Q378" s="190"/>
      <c r="R378" s="9"/>
      <c r="S378" s="9"/>
    </row>
    <row r="379" spans="1:19">
      <c r="A379" s="6">
        <v>876</v>
      </c>
      <c r="B379" s="6">
        <f t="shared" si="24"/>
        <v>370</v>
      </c>
      <c r="C379" s="6">
        <f t="shared" si="21"/>
        <v>876017</v>
      </c>
      <c r="D379" s="6" t="s">
        <v>21</v>
      </c>
      <c r="E379" s="6">
        <v>17</v>
      </c>
      <c r="F379" s="6" t="s">
        <v>20</v>
      </c>
      <c r="G379" s="512">
        <v>0.10539018504</v>
      </c>
      <c r="H379" s="9">
        <v>1243</v>
      </c>
      <c r="I379" s="9">
        <v>131</v>
      </c>
      <c r="J379" s="57">
        <f t="shared" si="22"/>
        <v>59.33</v>
      </c>
      <c r="K379" s="57">
        <f t="shared" si="23"/>
        <v>6.2527996784231998</v>
      </c>
      <c r="L379" s="57"/>
      <c r="O379" s="514"/>
      <c r="Q379" s="190"/>
      <c r="R379" s="9"/>
      <c r="S379" s="9"/>
    </row>
    <row r="380" spans="1:19">
      <c r="A380" s="6">
        <v>876</v>
      </c>
      <c r="B380" s="6">
        <f t="shared" si="24"/>
        <v>371</v>
      </c>
      <c r="C380" s="6">
        <f t="shared" si="21"/>
        <v>876054</v>
      </c>
      <c r="D380" s="6" t="s">
        <v>21</v>
      </c>
      <c r="E380" s="6">
        <v>54</v>
      </c>
      <c r="F380" s="6" t="s">
        <v>262</v>
      </c>
      <c r="G380" s="512">
        <v>0.15768302494</v>
      </c>
      <c r="H380" s="9">
        <v>1243</v>
      </c>
      <c r="I380" s="9">
        <v>196</v>
      </c>
      <c r="J380" s="57">
        <f t="shared" si="22"/>
        <v>61</v>
      </c>
      <c r="K380" s="57">
        <f t="shared" si="23"/>
        <v>9.6186645213399995</v>
      </c>
      <c r="L380" s="57"/>
      <c r="O380" s="514"/>
      <c r="Q380" s="190"/>
      <c r="R380" s="9"/>
      <c r="S380" s="9"/>
    </row>
    <row r="381" spans="1:19">
      <c r="A381" s="6">
        <v>876</v>
      </c>
      <c r="B381" s="6">
        <f t="shared" si="24"/>
        <v>372</v>
      </c>
      <c r="C381" s="6">
        <f t="shared" si="21"/>
        <v>876080</v>
      </c>
      <c r="D381" s="6" t="s">
        <v>21</v>
      </c>
      <c r="E381" s="6">
        <v>80</v>
      </c>
      <c r="F381" s="6" t="s">
        <v>304</v>
      </c>
      <c r="G381" s="512">
        <v>0.10458567981</v>
      </c>
      <c r="H381" s="9">
        <v>1243</v>
      </c>
      <c r="I381" s="9">
        <v>130</v>
      </c>
      <c r="J381" s="57">
        <f t="shared" si="22"/>
        <v>44.69</v>
      </c>
      <c r="K381" s="57">
        <f t="shared" si="23"/>
        <v>4.6739340307088995</v>
      </c>
      <c r="L381" s="57"/>
      <c r="O381" s="514"/>
      <c r="Q381" s="190"/>
      <c r="R381" s="9"/>
      <c r="S381" s="9"/>
    </row>
    <row r="382" spans="1:19">
      <c r="A382" s="6">
        <v>876</v>
      </c>
      <c r="B382" s="6">
        <f t="shared" si="24"/>
        <v>373</v>
      </c>
      <c r="C382" s="6">
        <f t="shared" si="21"/>
        <v>876215</v>
      </c>
      <c r="D382" s="6" t="s">
        <v>21</v>
      </c>
      <c r="E382" s="6">
        <v>215</v>
      </c>
      <c r="F382" s="6" t="s">
        <v>102</v>
      </c>
      <c r="G382" s="512">
        <v>4.0225261460000002E-2</v>
      </c>
      <c r="H382" s="9">
        <v>1243</v>
      </c>
      <c r="I382" s="9">
        <v>50</v>
      </c>
      <c r="J382" s="57">
        <f t="shared" si="22"/>
        <v>48.64</v>
      </c>
      <c r="K382" s="57">
        <f t="shared" si="23"/>
        <v>1.9565567174144001</v>
      </c>
      <c r="L382" s="57"/>
      <c r="O382" s="514"/>
      <c r="Q382" s="190"/>
      <c r="R382" s="9"/>
      <c r="S382" s="9"/>
    </row>
    <row r="383" spans="1:19">
      <c r="A383" s="6">
        <v>876</v>
      </c>
      <c r="B383" s="6">
        <f t="shared" si="24"/>
        <v>374</v>
      </c>
      <c r="C383" s="6">
        <f t="shared" si="21"/>
        <v>876226</v>
      </c>
      <c r="D383" s="6" t="s">
        <v>21</v>
      </c>
      <c r="E383" s="6">
        <v>226</v>
      </c>
      <c r="F383" s="6" t="s">
        <v>476</v>
      </c>
      <c r="G383" s="512">
        <v>0.11987127916</v>
      </c>
      <c r="H383" s="9">
        <v>1243</v>
      </c>
      <c r="I383" s="9">
        <v>149</v>
      </c>
      <c r="J383" s="57">
        <f t="shared" si="22"/>
        <v>51.31</v>
      </c>
      <c r="K383" s="57">
        <f t="shared" si="23"/>
        <v>6.1505953336996004</v>
      </c>
      <c r="L383" s="57"/>
      <c r="O383" s="514"/>
      <c r="Q383" s="190"/>
      <c r="R383" s="9"/>
      <c r="S383" s="9"/>
    </row>
    <row r="384" spans="1:19">
      <c r="A384" s="6">
        <v>876</v>
      </c>
      <c r="B384" s="6">
        <f t="shared" si="24"/>
        <v>375</v>
      </c>
      <c r="C384" s="6">
        <f t="shared" si="21"/>
        <v>876228</v>
      </c>
      <c r="D384" s="6" t="s">
        <v>21</v>
      </c>
      <c r="E384" s="6">
        <v>228</v>
      </c>
      <c r="F384" s="6" t="s">
        <v>478</v>
      </c>
      <c r="G384" s="512">
        <v>3.2180209170000001E-2</v>
      </c>
      <c r="H384" s="9">
        <v>1243</v>
      </c>
      <c r="I384" s="9">
        <v>40</v>
      </c>
      <c r="J384" s="57">
        <f t="shared" si="22"/>
        <v>69.239999999999995</v>
      </c>
      <c r="K384" s="57">
        <f t="shared" si="23"/>
        <v>2.2281576829307999</v>
      </c>
      <c r="L384" s="57"/>
      <c r="O384" s="514"/>
      <c r="Q384" s="190"/>
      <c r="R384" s="9"/>
      <c r="S384" s="9"/>
    </row>
    <row r="385" spans="1:19">
      <c r="A385" s="6">
        <v>876</v>
      </c>
      <c r="B385" s="6">
        <f t="shared" si="24"/>
        <v>376</v>
      </c>
      <c r="C385" s="6">
        <f t="shared" si="21"/>
        <v>876257</v>
      </c>
      <c r="D385" s="6" t="s">
        <v>21</v>
      </c>
      <c r="E385" s="6">
        <v>257</v>
      </c>
      <c r="F385" s="6" t="s">
        <v>70</v>
      </c>
      <c r="G385" s="512">
        <v>5.5510860820000001E-2</v>
      </c>
      <c r="H385" s="9">
        <v>1243</v>
      </c>
      <c r="I385" s="9">
        <v>69</v>
      </c>
      <c r="J385" s="57">
        <f t="shared" si="22"/>
        <v>49.73</v>
      </c>
      <c r="K385" s="57">
        <f t="shared" si="23"/>
        <v>2.7605551085786</v>
      </c>
      <c r="L385" s="57"/>
      <c r="O385" s="514"/>
      <c r="Q385" s="190"/>
      <c r="R385" s="9"/>
      <c r="S385" s="9"/>
    </row>
    <row r="386" spans="1:19">
      <c r="A386" s="6">
        <v>876</v>
      </c>
      <c r="B386" s="6">
        <f t="shared" si="24"/>
        <v>377</v>
      </c>
      <c r="C386" s="6">
        <f t="shared" si="21"/>
        <v>876277</v>
      </c>
      <c r="D386" s="6" t="s">
        <v>21</v>
      </c>
      <c r="E386" s="6">
        <v>277</v>
      </c>
      <c r="F386" s="6" t="s">
        <v>526</v>
      </c>
      <c r="G386" s="512">
        <v>0.16331456153999999</v>
      </c>
      <c r="H386" s="9">
        <v>1243</v>
      </c>
      <c r="I386" s="9">
        <v>203</v>
      </c>
      <c r="J386" s="57">
        <f t="shared" si="22"/>
        <v>25.46</v>
      </c>
      <c r="K386" s="57">
        <f t="shared" si="23"/>
        <v>4.1579887368083996</v>
      </c>
      <c r="L386" s="57"/>
      <c r="O386" s="514"/>
      <c r="Q386" s="190"/>
      <c r="R386" s="9"/>
      <c r="S386" s="9"/>
    </row>
    <row r="387" spans="1:19">
      <c r="A387" s="6">
        <v>876</v>
      </c>
      <c r="B387" s="6">
        <f t="shared" si="24"/>
        <v>378</v>
      </c>
      <c r="C387" s="6">
        <f t="shared" si="21"/>
        <v>876280</v>
      </c>
      <c r="D387" s="6" t="s">
        <v>21</v>
      </c>
      <c r="E387" s="6">
        <v>280</v>
      </c>
      <c r="F387" s="6" t="s">
        <v>529</v>
      </c>
      <c r="G387" s="512">
        <v>9.8149637969999995E-2</v>
      </c>
      <c r="H387" s="9">
        <v>1243</v>
      </c>
      <c r="I387" s="9">
        <v>122</v>
      </c>
      <c r="J387" s="57">
        <f t="shared" si="22"/>
        <v>49.46</v>
      </c>
      <c r="K387" s="57">
        <f t="shared" si="23"/>
        <v>4.8544810939962</v>
      </c>
      <c r="L387" s="57"/>
      <c r="O387" s="514"/>
      <c r="Q387" s="190"/>
      <c r="R387" s="9"/>
      <c r="S387" s="9"/>
    </row>
    <row r="388" spans="1:19">
      <c r="A388" s="6">
        <v>876</v>
      </c>
      <c r="B388" s="6">
        <f t="shared" si="24"/>
        <v>379</v>
      </c>
      <c r="C388" s="6">
        <f t="shared" si="21"/>
        <v>876316</v>
      </c>
      <c r="D388" s="6" t="s">
        <v>21</v>
      </c>
      <c r="E388" s="6">
        <v>316</v>
      </c>
      <c r="F388" s="6" t="s">
        <v>561</v>
      </c>
      <c r="G388" s="512">
        <v>0.12308930008000001</v>
      </c>
      <c r="H388" s="9">
        <v>1243</v>
      </c>
      <c r="I388" s="9">
        <v>153</v>
      </c>
      <c r="J388" s="57">
        <f t="shared" si="22"/>
        <v>46.11</v>
      </c>
      <c r="K388" s="57">
        <f t="shared" si="23"/>
        <v>5.6756476266888001</v>
      </c>
      <c r="L388" s="57"/>
      <c r="O388" s="514"/>
      <c r="Q388" s="190"/>
      <c r="R388" s="9"/>
      <c r="S388" s="9"/>
    </row>
    <row r="389" spans="1:19">
      <c r="A389" s="6">
        <v>878</v>
      </c>
      <c r="B389" s="6">
        <f t="shared" si="24"/>
        <v>380</v>
      </c>
      <c r="C389" s="6">
        <f t="shared" si="21"/>
        <v>878101</v>
      </c>
      <c r="D389" s="6" t="s">
        <v>326</v>
      </c>
      <c r="E389" s="6">
        <v>101</v>
      </c>
      <c r="F389" s="6" t="s">
        <v>325</v>
      </c>
      <c r="G389" s="512">
        <v>0.18365180467</v>
      </c>
      <c r="H389" s="9">
        <v>942</v>
      </c>
      <c r="I389" s="9">
        <v>173</v>
      </c>
      <c r="J389" s="57">
        <f t="shared" si="22"/>
        <v>81.150000000000006</v>
      </c>
      <c r="K389" s="57">
        <f t="shared" si="23"/>
        <v>14.903343948970502</v>
      </c>
      <c r="L389" s="57"/>
      <c r="O389" s="514"/>
      <c r="Q389" s="190"/>
      <c r="R389" s="9"/>
      <c r="S389" s="9"/>
    </row>
    <row r="390" spans="1:19">
      <c r="A390" s="6">
        <v>878</v>
      </c>
      <c r="B390" s="6">
        <f t="shared" si="24"/>
        <v>381</v>
      </c>
      <c r="C390" s="6">
        <f t="shared" si="21"/>
        <v>878175</v>
      </c>
      <c r="D390" s="6" t="s">
        <v>326</v>
      </c>
      <c r="E390" s="6">
        <v>175</v>
      </c>
      <c r="F390" s="6" t="s">
        <v>416</v>
      </c>
      <c r="G390" s="512">
        <v>7.4309978799999999E-3</v>
      </c>
      <c r="H390" s="9">
        <v>942</v>
      </c>
      <c r="I390" s="9">
        <v>7</v>
      </c>
      <c r="J390" s="57">
        <f t="shared" si="22"/>
        <v>82.5</v>
      </c>
      <c r="K390" s="57">
        <f t="shared" si="23"/>
        <v>0.61305732509999999</v>
      </c>
      <c r="L390" s="57"/>
      <c r="O390" s="514"/>
      <c r="Q390" s="190"/>
      <c r="R390" s="9"/>
      <c r="S390" s="9"/>
    </row>
    <row r="391" spans="1:19">
      <c r="A391" s="6">
        <v>878</v>
      </c>
      <c r="B391" s="6">
        <f t="shared" si="24"/>
        <v>382</v>
      </c>
      <c r="C391" s="6">
        <f t="shared" si="21"/>
        <v>878177</v>
      </c>
      <c r="D391" s="6" t="s">
        <v>326</v>
      </c>
      <c r="E391" s="6">
        <v>177</v>
      </c>
      <c r="F391" s="6" t="s">
        <v>418</v>
      </c>
      <c r="G391" s="512">
        <v>8.7048832270000001E-2</v>
      </c>
      <c r="H391" s="9">
        <v>942</v>
      </c>
      <c r="I391" s="9">
        <v>82</v>
      </c>
      <c r="J391" s="57">
        <f t="shared" si="22"/>
        <v>77.63</v>
      </c>
      <c r="K391" s="57">
        <f t="shared" si="23"/>
        <v>6.7576008491200996</v>
      </c>
      <c r="L391" s="57"/>
      <c r="O391" s="514"/>
      <c r="Q391" s="190"/>
      <c r="R391" s="9"/>
      <c r="S391" s="9"/>
    </row>
    <row r="392" spans="1:19">
      <c r="A392" s="6">
        <v>878</v>
      </c>
      <c r="B392" s="6">
        <f t="shared" si="24"/>
        <v>383</v>
      </c>
      <c r="C392" s="6">
        <f t="shared" si="21"/>
        <v>878187</v>
      </c>
      <c r="D392" s="6" t="s">
        <v>326</v>
      </c>
      <c r="E392" s="6">
        <v>187</v>
      </c>
      <c r="F392" s="6" t="s">
        <v>429</v>
      </c>
      <c r="G392" s="512">
        <v>3.6093418260000003E-2</v>
      </c>
      <c r="H392" s="9">
        <v>942</v>
      </c>
      <c r="I392" s="9">
        <v>34</v>
      </c>
      <c r="J392" s="57">
        <f t="shared" si="22"/>
        <v>82.5</v>
      </c>
      <c r="K392" s="57">
        <f t="shared" si="23"/>
        <v>2.9777070064500002</v>
      </c>
      <c r="L392" s="57"/>
      <c r="O392" s="514"/>
      <c r="Q392" s="190"/>
      <c r="R392" s="9"/>
      <c r="S392" s="9"/>
    </row>
    <row r="393" spans="1:19">
      <c r="A393" s="6">
        <v>878</v>
      </c>
      <c r="B393" s="6">
        <f t="shared" si="24"/>
        <v>384</v>
      </c>
      <c r="C393" s="6">
        <f t="shared" si="21"/>
        <v>878208</v>
      </c>
      <c r="D393" s="6" t="s">
        <v>326</v>
      </c>
      <c r="E393" s="6">
        <v>208</v>
      </c>
      <c r="F393" s="6" t="s">
        <v>450</v>
      </c>
      <c r="G393" s="512">
        <v>4.4585987260000001E-2</v>
      </c>
      <c r="H393" s="9">
        <v>942</v>
      </c>
      <c r="I393" s="9">
        <v>42</v>
      </c>
      <c r="J393" s="57">
        <f t="shared" si="22"/>
        <v>82.5</v>
      </c>
      <c r="K393" s="57">
        <f t="shared" si="23"/>
        <v>3.6783439489500003</v>
      </c>
      <c r="L393" s="57"/>
      <c r="O393" s="514"/>
      <c r="Q393" s="190"/>
      <c r="R393" s="9"/>
      <c r="S393" s="9"/>
    </row>
    <row r="394" spans="1:19">
      <c r="A394" s="6">
        <v>878</v>
      </c>
      <c r="B394" s="6">
        <f t="shared" si="24"/>
        <v>385</v>
      </c>
      <c r="C394" s="6">
        <f t="shared" ref="C394:C457" si="25">A394*1000+E394</f>
        <v>878212</v>
      </c>
      <c r="D394" s="6" t="s">
        <v>326</v>
      </c>
      <c r="E394" s="6">
        <v>212</v>
      </c>
      <c r="F394" s="6" t="s">
        <v>457</v>
      </c>
      <c r="G394" s="512">
        <v>0.26008492569000002</v>
      </c>
      <c r="H394" s="9">
        <v>942</v>
      </c>
      <c r="I394" s="9">
        <v>245</v>
      </c>
      <c r="J394" s="57">
        <f t="shared" si="22"/>
        <v>74.48</v>
      </c>
      <c r="K394" s="57">
        <f t="shared" si="23"/>
        <v>19.371125265391203</v>
      </c>
      <c r="L394" s="57"/>
      <c r="O394" s="514"/>
      <c r="Q394" s="190"/>
      <c r="R394" s="9"/>
      <c r="S394" s="9"/>
    </row>
    <row r="395" spans="1:19">
      <c r="A395" s="6">
        <v>878</v>
      </c>
      <c r="B395" s="6">
        <f t="shared" si="24"/>
        <v>386</v>
      </c>
      <c r="C395" s="6">
        <f t="shared" si="25"/>
        <v>878238</v>
      </c>
      <c r="D395" s="6" t="s">
        <v>326</v>
      </c>
      <c r="E395" s="6">
        <v>238</v>
      </c>
      <c r="F395" s="6" t="s">
        <v>490</v>
      </c>
      <c r="G395" s="512">
        <v>0.11040339703</v>
      </c>
      <c r="H395" s="9">
        <v>942</v>
      </c>
      <c r="I395" s="9">
        <v>104</v>
      </c>
      <c r="J395" s="57">
        <f t="shared" ref="J395:J458" si="26">ROUND(VLOOKUP(E395,town351,12),2)</f>
        <v>81.239999999999995</v>
      </c>
      <c r="K395" s="57">
        <f t="shared" ref="K395:K458" si="27">G395*J395</f>
        <v>8.9691719747172005</v>
      </c>
      <c r="L395" s="57"/>
      <c r="O395" s="514"/>
      <c r="Q395" s="190"/>
      <c r="R395" s="9"/>
      <c r="S395" s="9"/>
    </row>
    <row r="396" spans="1:19">
      <c r="A396" s="6">
        <v>878</v>
      </c>
      <c r="B396" s="6">
        <f t="shared" ref="B396:B459" si="28">B395+1</f>
        <v>387</v>
      </c>
      <c r="C396" s="6">
        <f t="shared" si="25"/>
        <v>878265</v>
      </c>
      <c r="D396" s="6" t="s">
        <v>326</v>
      </c>
      <c r="E396" s="6">
        <v>265</v>
      </c>
      <c r="F396" s="6" t="s">
        <v>514</v>
      </c>
      <c r="G396" s="512">
        <v>8.8110403399999995E-2</v>
      </c>
      <c r="H396" s="9">
        <v>942</v>
      </c>
      <c r="I396" s="9">
        <v>83</v>
      </c>
      <c r="J396" s="57">
        <f t="shared" si="26"/>
        <v>77.8</v>
      </c>
      <c r="K396" s="57">
        <f t="shared" si="27"/>
        <v>6.8549893845199996</v>
      </c>
      <c r="L396" s="57"/>
      <c r="O396" s="514"/>
      <c r="Q396" s="190"/>
      <c r="R396" s="9"/>
      <c r="S396" s="9"/>
    </row>
    <row r="397" spans="1:19">
      <c r="A397" s="6">
        <v>878</v>
      </c>
      <c r="B397" s="6">
        <f t="shared" si="28"/>
        <v>388</v>
      </c>
      <c r="C397" s="6">
        <f t="shared" si="25"/>
        <v>878269</v>
      </c>
      <c r="D397" s="6" t="s">
        <v>326</v>
      </c>
      <c r="E397" s="6">
        <v>269</v>
      </c>
      <c r="F397" s="6" t="s">
        <v>518</v>
      </c>
      <c r="G397" s="512">
        <v>4.2462845000000001E-3</v>
      </c>
      <c r="H397" s="9">
        <v>942</v>
      </c>
      <c r="I397" s="9">
        <v>4</v>
      </c>
      <c r="J397" s="57">
        <f t="shared" si="26"/>
        <v>82.5</v>
      </c>
      <c r="K397" s="57">
        <f t="shared" si="27"/>
        <v>0.35031847124999999</v>
      </c>
      <c r="L397" s="57"/>
      <c r="O397" s="514"/>
      <c r="Q397" s="190"/>
      <c r="R397" s="9"/>
      <c r="S397" s="9"/>
    </row>
    <row r="398" spans="1:19">
      <c r="A398" s="6">
        <v>878</v>
      </c>
      <c r="B398" s="6">
        <f t="shared" si="28"/>
        <v>389</v>
      </c>
      <c r="C398" s="6">
        <f t="shared" si="25"/>
        <v>878307</v>
      </c>
      <c r="D398" s="6" t="s">
        <v>326</v>
      </c>
      <c r="E398" s="6">
        <v>307</v>
      </c>
      <c r="F398" s="6" t="s">
        <v>554</v>
      </c>
      <c r="G398" s="512">
        <v>9.6602972400000001E-2</v>
      </c>
      <c r="H398" s="9">
        <v>942</v>
      </c>
      <c r="I398" s="9">
        <v>91</v>
      </c>
      <c r="J398" s="57">
        <f t="shared" si="26"/>
        <v>82.5</v>
      </c>
      <c r="K398" s="57">
        <f t="shared" si="27"/>
        <v>7.9697452230000003</v>
      </c>
      <c r="L398" s="57"/>
      <c r="O398" s="514"/>
      <c r="Q398" s="190"/>
      <c r="R398" s="9"/>
      <c r="S398" s="9"/>
    </row>
    <row r="399" spans="1:19">
      <c r="A399" s="6">
        <v>878</v>
      </c>
      <c r="B399" s="6">
        <f t="shared" si="28"/>
        <v>390</v>
      </c>
      <c r="C399" s="6">
        <f t="shared" si="25"/>
        <v>878350</v>
      </c>
      <c r="D399" s="6" t="s">
        <v>326</v>
      </c>
      <c r="E399" s="6">
        <v>350</v>
      </c>
      <c r="F399" s="6" t="s">
        <v>589</v>
      </c>
      <c r="G399" s="512">
        <v>8.1740976650000005E-2</v>
      </c>
      <c r="H399" s="9">
        <v>942</v>
      </c>
      <c r="I399" s="9">
        <v>77</v>
      </c>
      <c r="J399" s="57">
        <f t="shared" si="26"/>
        <v>82.5</v>
      </c>
      <c r="K399" s="57">
        <f t="shared" si="27"/>
        <v>6.7436305736250004</v>
      </c>
      <c r="L399" s="57"/>
      <c r="O399" s="514"/>
      <c r="Q399" s="190"/>
      <c r="R399" s="9"/>
      <c r="S399" s="9"/>
    </row>
    <row r="400" spans="1:19">
      <c r="A400" s="6">
        <v>879</v>
      </c>
      <c r="B400" s="6">
        <f t="shared" si="28"/>
        <v>391</v>
      </c>
      <c r="C400" s="6">
        <f t="shared" si="25"/>
        <v>879036</v>
      </c>
      <c r="D400" s="6" t="s">
        <v>238</v>
      </c>
      <c r="E400" s="6">
        <v>36</v>
      </c>
      <c r="F400" s="6" t="s">
        <v>235</v>
      </c>
      <c r="G400" s="512">
        <v>0.23329425557</v>
      </c>
      <c r="H400" s="9">
        <v>853</v>
      </c>
      <c r="I400" s="9">
        <v>199</v>
      </c>
      <c r="J400" s="57">
        <f t="shared" si="26"/>
        <v>82.5</v>
      </c>
      <c r="K400" s="57">
        <f t="shared" si="27"/>
        <v>19.246776084524999</v>
      </c>
      <c r="L400" s="57"/>
      <c r="O400" s="514"/>
      <c r="Q400" s="190"/>
      <c r="R400" s="9"/>
      <c r="S400" s="9"/>
    </row>
    <row r="401" spans="1:19">
      <c r="A401" s="6">
        <v>879</v>
      </c>
      <c r="B401" s="6">
        <f t="shared" si="28"/>
        <v>392</v>
      </c>
      <c r="C401" s="6">
        <f t="shared" si="25"/>
        <v>879096</v>
      </c>
      <c r="D401" s="6" t="s">
        <v>238</v>
      </c>
      <c r="E401" s="6">
        <v>96</v>
      </c>
      <c r="F401" s="6" t="s">
        <v>320</v>
      </c>
      <c r="G401" s="512">
        <v>0.23798358734</v>
      </c>
      <c r="H401" s="9">
        <v>853</v>
      </c>
      <c r="I401" s="9">
        <v>203</v>
      </c>
      <c r="J401" s="57">
        <f t="shared" si="26"/>
        <v>82.5</v>
      </c>
      <c r="K401" s="57">
        <f t="shared" si="27"/>
        <v>19.633645955550001</v>
      </c>
      <c r="L401" s="57"/>
      <c r="O401" s="514"/>
      <c r="Q401" s="190"/>
      <c r="R401" s="9"/>
      <c r="S401" s="9"/>
    </row>
    <row r="402" spans="1:19">
      <c r="A402" s="6">
        <v>879</v>
      </c>
      <c r="B402" s="6">
        <f t="shared" si="28"/>
        <v>393</v>
      </c>
      <c r="C402" s="6">
        <f t="shared" si="25"/>
        <v>879169</v>
      </c>
      <c r="D402" s="6" t="s">
        <v>238</v>
      </c>
      <c r="E402" s="6">
        <v>169</v>
      </c>
      <c r="F402" s="6" t="s">
        <v>410</v>
      </c>
      <c r="G402" s="512">
        <v>3.7514654160000001E-2</v>
      </c>
      <c r="H402" s="9">
        <v>853</v>
      </c>
      <c r="I402" s="9">
        <v>32</v>
      </c>
      <c r="J402" s="57">
        <f t="shared" si="26"/>
        <v>82.5</v>
      </c>
      <c r="K402" s="57">
        <f t="shared" si="27"/>
        <v>3.0949589682000003</v>
      </c>
      <c r="L402" s="57"/>
      <c r="O402" s="514"/>
      <c r="Q402" s="190"/>
      <c r="R402" s="9"/>
      <c r="S402" s="9"/>
    </row>
    <row r="403" spans="1:19">
      <c r="A403" s="6">
        <v>879</v>
      </c>
      <c r="B403" s="6">
        <f t="shared" si="28"/>
        <v>394</v>
      </c>
      <c r="C403" s="6">
        <f t="shared" si="25"/>
        <v>879261</v>
      </c>
      <c r="D403" s="6" t="s">
        <v>238</v>
      </c>
      <c r="E403" s="6">
        <v>261</v>
      </c>
      <c r="F403" s="6" t="s">
        <v>510</v>
      </c>
      <c r="G403" s="512">
        <v>0.18405627197999999</v>
      </c>
      <c r="H403" s="9">
        <v>853</v>
      </c>
      <c r="I403" s="9">
        <v>157</v>
      </c>
      <c r="J403" s="57">
        <f t="shared" si="26"/>
        <v>82.5</v>
      </c>
      <c r="K403" s="57">
        <f t="shared" si="27"/>
        <v>15.18464243835</v>
      </c>
      <c r="L403" s="57"/>
      <c r="O403" s="514"/>
      <c r="Q403" s="190"/>
      <c r="R403" s="9"/>
      <c r="S403" s="9"/>
    </row>
    <row r="404" spans="1:19">
      <c r="A404" s="6">
        <v>879</v>
      </c>
      <c r="B404" s="6">
        <f t="shared" si="28"/>
        <v>395</v>
      </c>
      <c r="C404" s="6">
        <f t="shared" si="25"/>
        <v>879310</v>
      </c>
      <c r="D404" s="6" t="s">
        <v>238</v>
      </c>
      <c r="E404" s="6">
        <v>310</v>
      </c>
      <c r="F404" s="6" t="s">
        <v>556</v>
      </c>
      <c r="G404" s="512">
        <v>0.30715123095000002</v>
      </c>
      <c r="H404" s="9">
        <v>853</v>
      </c>
      <c r="I404" s="9">
        <v>262</v>
      </c>
      <c r="J404" s="57">
        <f t="shared" si="26"/>
        <v>66.430000000000007</v>
      </c>
      <c r="K404" s="57">
        <f t="shared" si="27"/>
        <v>20.404056272008503</v>
      </c>
      <c r="L404" s="57"/>
      <c r="O404" s="514"/>
      <c r="Q404" s="190"/>
      <c r="R404" s="9"/>
      <c r="S404" s="9"/>
    </row>
    <row r="405" spans="1:19">
      <c r="A405" s="6">
        <v>885</v>
      </c>
      <c r="B405" s="6">
        <f t="shared" si="28"/>
        <v>396</v>
      </c>
      <c r="C405" s="6">
        <f t="shared" si="25"/>
        <v>885007</v>
      </c>
      <c r="D405" s="6" t="s">
        <v>2</v>
      </c>
      <c r="E405" s="6">
        <v>7</v>
      </c>
      <c r="F405" s="6" t="s">
        <v>1</v>
      </c>
      <c r="G405" s="512">
        <v>9.6546310829999996E-2</v>
      </c>
      <c r="H405" s="9">
        <v>1274</v>
      </c>
      <c r="I405" s="9">
        <v>123</v>
      </c>
      <c r="J405" s="57">
        <f t="shared" si="26"/>
        <v>80.64</v>
      </c>
      <c r="K405" s="57">
        <f t="shared" si="27"/>
        <v>7.7854945053311999</v>
      </c>
      <c r="L405" s="57"/>
      <c r="O405" s="514"/>
      <c r="Q405" s="190"/>
      <c r="R405" s="9"/>
      <c r="S405" s="9"/>
    </row>
    <row r="406" spans="1:19">
      <c r="A406" s="6">
        <v>885</v>
      </c>
      <c r="B406" s="6">
        <f t="shared" si="28"/>
        <v>397</v>
      </c>
      <c r="C406" s="6">
        <f t="shared" si="25"/>
        <v>885105</v>
      </c>
      <c r="D406" s="6" t="s">
        <v>2</v>
      </c>
      <c r="E406" s="6">
        <v>105</v>
      </c>
      <c r="F406" s="6" t="s">
        <v>331</v>
      </c>
      <c r="G406" s="512">
        <v>4.7880690740000002E-2</v>
      </c>
      <c r="H406" s="9">
        <v>1274</v>
      </c>
      <c r="I406" s="9">
        <v>61</v>
      </c>
      <c r="J406" s="57">
        <f t="shared" si="26"/>
        <v>82.5</v>
      </c>
      <c r="K406" s="57">
        <f t="shared" si="27"/>
        <v>3.9501569860500001</v>
      </c>
      <c r="L406" s="57"/>
      <c r="O406" s="514"/>
      <c r="Q406" s="190"/>
      <c r="R406" s="9"/>
      <c r="S406" s="9"/>
    </row>
    <row r="407" spans="1:19">
      <c r="A407" s="6">
        <v>885</v>
      </c>
      <c r="B407" s="6">
        <f t="shared" si="28"/>
        <v>398</v>
      </c>
      <c r="C407" s="6">
        <f t="shared" si="25"/>
        <v>885116</v>
      </c>
      <c r="D407" s="6" t="s">
        <v>2</v>
      </c>
      <c r="E407" s="6">
        <v>116</v>
      </c>
      <c r="F407" s="6" t="s">
        <v>343</v>
      </c>
      <c r="G407" s="512">
        <v>2.9042386189999998E-2</v>
      </c>
      <c r="H407" s="9">
        <v>1274</v>
      </c>
      <c r="I407" s="9">
        <v>37</v>
      </c>
      <c r="J407" s="57">
        <f t="shared" si="26"/>
        <v>81.19</v>
      </c>
      <c r="K407" s="57">
        <f t="shared" si="27"/>
        <v>2.3579513347660996</v>
      </c>
      <c r="L407" s="57"/>
      <c r="O407" s="514"/>
      <c r="Q407" s="190"/>
      <c r="R407" s="9"/>
      <c r="S407" s="9"/>
    </row>
    <row r="408" spans="1:19">
      <c r="A408" s="6">
        <v>885</v>
      </c>
      <c r="B408" s="6">
        <f t="shared" si="28"/>
        <v>399</v>
      </c>
      <c r="C408" s="6">
        <f t="shared" si="25"/>
        <v>885128</v>
      </c>
      <c r="D408" s="6" t="s">
        <v>2</v>
      </c>
      <c r="E408" s="6">
        <v>128</v>
      </c>
      <c r="F408" s="6" t="s">
        <v>357</v>
      </c>
      <c r="G408" s="512">
        <v>0.66718995290000005</v>
      </c>
      <c r="H408" s="9">
        <v>1274</v>
      </c>
      <c r="I408" s="9">
        <v>850</v>
      </c>
      <c r="J408" s="57">
        <f t="shared" si="26"/>
        <v>42.68</v>
      </c>
      <c r="K408" s="57">
        <f t="shared" si="27"/>
        <v>28.475667189772</v>
      </c>
      <c r="L408" s="57"/>
      <c r="O408" s="514"/>
      <c r="Q408" s="190"/>
      <c r="R408" s="9"/>
      <c r="S408" s="9"/>
    </row>
    <row r="409" spans="1:19">
      <c r="A409" s="6">
        <v>885</v>
      </c>
      <c r="B409" s="6">
        <f t="shared" si="28"/>
        <v>400</v>
      </c>
      <c r="C409" s="6">
        <f t="shared" si="25"/>
        <v>885144</v>
      </c>
      <c r="D409" s="6" t="s">
        <v>2</v>
      </c>
      <c r="E409" s="6">
        <v>144</v>
      </c>
      <c r="F409" s="6" t="s">
        <v>371</v>
      </c>
      <c r="G409" s="512">
        <v>2.1193092619999999E-2</v>
      </c>
      <c r="H409" s="9">
        <v>1274</v>
      </c>
      <c r="I409" s="9">
        <v>27</v>
      </c>
      <c r="J409" s="57">
        <f t="shared" si="26"/>
        <v>82.5</v>
      </c>
      <c r="K409" s="57">
        <f t="shared" si="27"/>
        <v>1.7484301411500001</v>
      </c>
      <c r="L409" s="57"/>
      <c r="O409" s="514"/>
      <c r="Q409" s="190"/>
      <c r="R409" s="9"/>
      <c r="S409" s="9"/>
    </row>
    <row r="410" spans="1:19">
      <c r="A410" s="6">
        <v>885</v>
      </c>
      <c r="B410" s="6">
        <f t="shared" si="28"/>
        <v>401</v>
      </c>
      <c r="C410" s="6">
        <f t="shared" si="25"/>
        <v>885180</v>
      </c>
      <c r="D410" s="6" t="s">
        <v>2</v>
      </c>
      <c r="E410" s="6">
        <v>180</v>
      </c>
      <c r="F410" s="6" t="s">
        <v>422</v>
      </c>
      <c r="G410" s="512">
        <v>3.139717425E-2</v>
      </c>
      <c r="H410" s="9">
        <v>1274</v>
      </c>
      <c r="I410" s="9">
        <v>40</v>
      </c>
      <c r="J410" s="57">
        <f t="shared" si="26"/>
        <v>77.010000000000005</v>
      </c>
      <c r="K410" s="57">
        <f t="shared" si="27"/>
        <v>2.4178963889925003</v>
      </c>
      <c r="L410" s="57"/>
      <c r="O410" s="514"/>
      <c r="Q410" s="190"/>
      <c r="R410" s="9"/>
      <c r="S410" s="9"/>
    </row>
    <row r="411" spans="1:19">
      <c r="A411" s="6">
        <v>885</v>
      </c>
      <c r="B411" s="6">
        <f t="shared" si="28"/>
        <v>402</v>
      </c>
      <c r="C411" s="6">
        <f t="shared" si="25"/>
        <v>885203</v>
      </c>
      <c r="D411" s="6" t="s">
        <v>2</v>
      </c>
      <c r="E411" s="6">
        <v>203</v>
      </c>
      <c r="F411" s="6" t="s">
        <v>443</v>
      </c>
      <c r="G411" s="512">
        <v>1.2558869699999999E-2</v>
      </c>
      <c r="H411" s="9">
        <v>1274</v>
      </c>
      <c r="I411" s="9">
        <v>16</v>
      </c>
      <c r="J411" s="57">
        <f t="shared" si="26"/>
        <v>82.5</v>
      </c>
      <c r="K411" s="57">
        <f t="shared" si="27"/>
        <v>1.0361067502499999</v>
      </c>
      <c r="L411" s="57"/>
      <c r="O411" s="514"/>
      <c r="Q411" s="190"/>
      <c r="R411" s="9"/>
      <c r="S411" s="9"/>
    </row>
    <row r="412" spans="1:19">
      <c r="A412" s="6">
        <v>885</v>
      </c>
      <c r="B412" s="6">
        <f t="shared" si="28"/>
        <v>403</v>
      </c>
      <c r="C412" s="6">
        <f t="shared" si="25"/>
        <v>885204</v>
      </c>
      <c r="D412" s="6" t="s">
        <v>2</v>
      </c>
      <c r="E412" s="6">
        <v>204</v>
      </c>
      <c r="F412" s="6" t="s">
        <v>445</v>
      </c>
      <c r="G412" s="512">
        <v>2.5117739399999998E-2</v>
      </c>
      <c r="H412" s="9">
        <v>1274</v>
      </c>
      <c r="I412" s="9">
        <v>32</v>
      </c>
      <c r="J412" s="57">
        <f t="shared" si="26"/>
        <v>82.5</v>
      </c>
      <c r="K412" s="57">
        <f t="shared" si="27"/>
        <v>2.0722135004999997</v>
      </c>
      <c r="L412" s="57"/>
      <c r="O412" s="514"/>
      <c r="Q412" s="190"/>
      <c r="R412" s="9"/>
      <c r="S412" s="9"/>
    </row>
    <row r="413" spans="1:19">
      <c r="A413" s="6">
        <v>885</v>
      </c>
      <c r="B413" s="6">
        <f t="shared" si="28"/>
        <v>404</v>
      </c>
      <c r="C413" s="6">
        <f t="shared" si="25"/>
        <v>885254</v>
      </c>
      <c r="D413" s="6" t="s">
        <v>2</v>
      </c>
      <c r="E413" s="6">
        <v>254</v>
      </c>
      <c r="F413" s="6" t="s">
        <v>503</v>
      </c>
      <c r="G413" s="512">
        <v>1.569858713E-2</v>
      </c>
      <c r="H413" s="9">
        <v>1274</v>
      </c>
      <c r="I413" s="9">
        <v>20</v>
      </c>
      <c r="J413" s="57">
        <f t="shared" si="26"/>
        <v>82.5</v>
      </c>
      <c r="K413" s="57">
        <f t="shared" si="27"/>
        <v>1.2951334382249999</v>
      </c>
      <c r="L413" s="57"/>
      <c r="O413" s="514"/>
      <c r="Q413" s="190"/>
      <c r="R413" s="9"/>
      <c r="S413" s="9"/>
    </row>
    <row r="414" spans="1:19">
      <c r="A414" s="6">
        <v>885</v>
      </c>
      <c r="B414" s="6">
        <f t="shared" si="28"/>
        <v>405</v>
      </c>
      <c r="C414" s="6">
        <f t="shared" si="25"/>
        <v>885259</v>
      </c>
      <c r="D414" s="6" t="s">
        <v>2</v>
      </c>
      <c r="E414" s="6">
        <v>259</v>
      </c>
      <c r="F414" s="6" t="s">
        <v>508</v>
      </c>
      <c r="G414" s="512">
        <v>4.1601255890000001E-2</v>
      </c>
      <c r="H414" s="9">
        <v>1274</v>
      </c>
      <c r="I414" s="9">
        <v>53</v>
      </c>
      <c r="J414" s="57">
        <f t="shared" si="26"/>
        <v>82.5</v>
      </c>
      <c r="K414" s="57">
        <f t="shared" si="27"/>
        <v>3.432103610925</v>
      </c>
      <c r="L414" s="57"/>
      <c r="O414" s="514"/>
      <c r="Q414" s="190"/>
      <c r="R414" s="9"/>
      <c r="S414" s="9"/>
    </row>
    <row r="415" spans="1:19">
      <c r="A415" s="6">
        <v>885</v>
      </c>
      <c r="B415" s="6">
        <f t="shared" si="28"/>
        <v>406</v>
      </c>
      <c r="C415" s="6">
        <f t="shared" si="25"/>
        <v>885329</v>
      </c>
      <c r="D415" s="6" t="s">
        <v>2</v>
      </c>
      <c r="E415" s="6">
        <v>329</v>
      </c>
      <c r="F415" s="6" t="s">
        <v>572</v>
      </c>
      <c r="G415" s="512">
        <v>1.177394035E-2</v>
      </c>
      <c r="H415" s="9">
        <v>1274</v>
      </c>
      <c r="I415" s="9">
        <v>15</v>
      </c>
      <c r="J415" s="57">
        <f t="shared" si="26"/>
        <v>82.5</v>
      </c>
      <c r="K415" s="57">
        <f t="shared" si="27"/>
        <v>0.97135007887499991</v>
      </c>
      <c r="L415" s="57"/>
      <c r="O415" s="514"/>
      <c r="Q415" s="190"/>
      <c r="R415" s="9"/>
      <c r="S415" s="9"/>
    </row>
    <row r="416" spans="1:19">
      <c r="A416" s="6">
        <v>910</v>
      </c>
      <c r="B416" s="6">
        <f t="shared" si="28"/>
        <v>407</v>
      </c>
      <c r="C416" s="6">
        <f t="shared" si="25"/>
        <v>910003</v>
      </c>
      <c r="D416" s="6" t="s">
        <v>626</v>
      </c>
      <c r="E416" s="6">
        <v>3</v>
      </c>
      <c r="F416" s="6" t="s">
        <v>624</v>
      </c>
      <c r="G416" s="512">
        <v>3.7181996090000002E-2</v>
      </c>
      <c r="H416" s="9">
        <v>511</v>
      </c>
      <c r="I416" s="9">
        <v>19</v>
      </c>
      <c r="J416" s="57">
        <f t="shared" si="26"/>
        <v>63.18</v>
      </c>
      <c r="K416" s="57">
        <f t="shared" si="27"/>
        <v>2.3491585129662003</v>
      </c>
      <c r="L416" s="57"/>
      <c r="O416" s="514"/>
      <c r="Q416" s="190"/>
      <c r="R416" s="9"/>
      <c r="S416" s="9"/>
    </row>
    <row r="417" spans="1:19">
      <c r="A417" s="6">
        <v>910</v>
      </c>
      <c r="B417" s="6">
        <f t="shared" si="28"/>
        <v>408</v>
      </c>
      <c r="C417" s="6">
        <f t="shared" si="25"/>
        <v>910016</v>
      </c>
      <c r="D417" s="6" t="s">
        <v>626</v>
      </c>
      <c r="E417" s="6">
        <v>16</v>
      </c>
      <c r="F417" s="6" t="s">
        <v>19</v>
      </c>
      <c r="G417" s="512">
        <v>4.1095890410000002E-2</v>
      </c>
      <c r="H417" s="9">
        <v>511</v>
      </c>
      <c r="I417" s="9">
        <v>21</v>
      </c>
      <c r="J417" s="57">
        <f t="shared" si="26"/>
        <v>48.72</v>
      </c>
      <c r="K417" s="57">
        <f t="shared" si="27"/>
        <v>2.0021917807751999</v>
      </c>
      <c r="L417" s="57"/>
      <c r="O417" s="514"/>
      <c r="Q417" s="190"/>
      <c r="R417" s="9"/>
      <c r="S417" s="9"/>
    </row>
    <row r="418" spans="1:19">
      <c r="A418" s="6">
        <v>910</v>
      </c>
      <c r="B418" s="6">
        <f t="shared" si="28"/>
        <v>409</v>
      </c>
      <c r="C418" s="6">
        <f t="shared" si="25"/>
        <v>910027</v>
      </c>
      <c r="D418" s="6" t="s">
        <v>626</v>
      </c>
      <c r="E418" s="6">
        <v>27</v>
      </c>
      <c r="F418" s="6" t="s">
        <v>38</v>
      </c>
      <c r="G418" s="512">
        <v>2.7397260270000001E-2</v>
      </c>
      <c r="H418" s="9">
        <v>511</v>
      </c>
      <c r="I418" s="9">
        <v>14</v>
      </c>
      <c r="J418" s="57">
        <f t="shared" si="26"/>
        <v>59.65</v>
      </c>
      <c r="K418" s="57">
        <f t="shared" si="27"/>
        <v>1.6342465751055</v>
      </c>
      <c r="L418" s="57"/>
      <c r="O418" s="514"/>
      <c r="Q418" s="190"/>
      <c r="R418" s="9"/>
      <c r="S418" s="9"/>
    </row>
    <row r="419" spans="1:19">
      <c r="A419" s="6">
        <v>910</v>
      </c>
      <c r="B419" s="6">
        <f t="shared" si="28"/>
        <v>410</v>
      </c>
      <c r="C419" s="6">
        <f t="shared" si="25"/>
        <v>910072</v>
      </c>
      <c r="D419" s="6" t="s">
        <v>626</v>
      </c>
      <c r="E419" s="6">
        <v>72</v>
      </c>
      <c r="F419" s="6" t="s">
        <v>286</v>
      </c>
      <c r="G419" s="512">
        <v>4.5009784740000003E-2</v>
      </c>
      <c r="H419" s="9">
        <v>511</v>
      </c>
      <c r="I419" s="9">
        <v>23</v>
      </c>
      <c r="J419" s="57">
        <f t="shared" si="26"/>
        <v>82.5</v>
      </c>
      <c r="K419" s="57">
        <f t="shared" si="27"/>
        <v>3.7133072410500003</v>
      </c>
      <c r="L419" s="57"/>
      <c r="O419" s="514"/>
      <c r="Q419" s="190"/>
      <c r="R419" s="9"/>
      <c r="S419" s="9"/>
    </row>
    <row r="420" spans="1:19">
      <c r="A420" s="6">
        <v>910</v>
      </c>
      <c r="B420" s="6">
        <f t="shared" si="28"/>
        <v>411</v>
      </c>
      <c r="C420" s="6">
        <f t="shared" si="25"/>
        <v>910076</v>
      </c>
      <c r="D420" s="6" t="s">
        <v>626</v>
      </c>
      <c r="E420" s="6">
        <v>76</v>
      </c>
      <c r="F420" s="6" t="s">
        <v>296</v>
      </c>
      <c r="G420" s="512">
        <v>5.4794520550000003E-2</v>
      </c>
      <c r="H420" s="9">
        <v>511</v>
      </c>
      <c r="I420" s="9">
        <v>28</v>
      </c>
      <c r="J420" s="57">
        <f t="shared" si="26"/>
        <v>56.12</v>
      </c>
      <c r="K420" s="57">
        <f t="shared" si="27"/>
        <v>3.075068493266</v>
      </c>
      <c r="L420" s="57"/>
      <c r="O420" s="514"/>
      <c r="Q420" s="190"/>
      <c r="R420" s="9"/>
      <c r="S420" s="9"/>
    </row>
    <row r="421" spans="1:19">
      <c r="A421" s="6">
        <v>910</v>
      </c>
      <c r="B421" s="6">
        <f t="shared" si="28"/>
        <v>412</v>
      </c>
      <c r="C421" s="6">
        <f t="shared" si="25"/>
        <v>910088</v>
      </c>
      <c r="D421" s="6" t="s">
        <v>626</v>
      </c>
      <c r="E421" s="6">
        <v>88</v>
      </c>
      <c r="F421" s="6" t="s">
        <v>311</v>
      </c>
      <c r="G421" s="512">
        <v>1.7612524460000001E-2</v>
      </c>
      <c r="H421" s="9">
        <v>511</v>
      </c>
      <c r="I421" s="9">
        <v>9</v>
      </c>
      <c r="J421" s="57">
        <f t="shared" si="26"/>
        <v>82.5</v>
      </c>
      <c r="K421" s="57">
        <f t="shared" si="27"/>
        <v>1.45303326795</v>
      </c>
      <c r="L421" s="57"/>
      <c r="O421" s="514"/>
      <c r="Q421" s="190"/>
      <c r="R421" s="9"/>
      <c r="S421" s="9"/>
    </row>
    <row r="422" spans="1:19">
      <c r="A422" s="6">
        <v>910</v>
      </c>
      <c r="B422" s="6">
        <f t="shared" si="28"/>
        <v>413</v>
      </c>
      <c r="C422" s="6">
        <f t="shared" si="25"/>
        <v>910094</v>
      </c>
      <c r="D422" s="6" t="s">
        <v>626</v>
      </c>
      <c r="E422" s="6">
        <v>94</v>
      </c>
      <c r="F422" s="6" t="s">
        <v>317</v>
      </c>
      <c r="G422" s="512">
        <v>5.8708414870000003E-2</v>
      </c>
      <c r="H422" s="9">
        <v>511</v>
      </c>
      <c r="I422" s="9">
        <v>30</v>
      </c>
      <c r="J422" s="57">
        <f t="shared" si="26"/>
        <v>73.48</v>
      </c>
      <c r="K422" s="57">
        <f t="shared" si="27"/>
        <v>4.3138943246476007</v>
      </c>
      <c r="L422" s="57"/>
      <c r="O422" s="514"/>
      <c r="Q422" s="190"/>
      <c r="R422" s="9"/>
      <c r="S422" s="9"/>
    </row>
    <row r="423" spans="1:19">
      <c r="A423" s="6">
        <v>910</v>
      </c>
      <c r="B423" s="6">
        <f t="shared" si="28"/>
        <v>414</v>
      </c>
      <c r="C423" s="6">
        <f t="shared" si="25"/>
        <v>910095</v>
      </c>
      <c r="D423" s="6" t="s">
        <v>626</v>
      </c>
      <c r="E423" s="6">
        <v>95</v>
      </c>
      <c r="F423" s="6" t="s">
        <v>318</v>
      </c>
      <c r="G423" s="512">
        <v>9.9804305280000005E-2</v>
      </c>
      <c r="H423" s="9">
        <v>511</v>
      </c>
      <c r="I423" s="9">
        <v>51</v>
      </c>
      <c r="J423" s="57">
        <f t="shared" si="26"/>
        <v>22.28</v>
      </c>
      <c r="K423" s="57">
        <f t="shared" si="27"/>
        <v>2.2236399216384002</v>
      </c>
      <c r="L423" s="57"/>
      <c r="O423" s="514"/>
      <c r="Q423" s="190"/>
      <c r="R423" s="9"/>
      <c r="S423" s="9"/>
    </row>
    <row r="424" spans="1:19">
      <c r="A424" s="6">
        <v>910</v>
      </c>
      <c r="B424" s="6">
        <f t="shared" si="28"/>
        <v>415</v>
      </c>
      <c r="C424" s="6">
        <f t="shared" si="25"/>
        <v>910102</v>
      </c>
      <c r="D424" s="6" t="s">
        <v>626</v>
      </c>
      <c r="E424" s="6">
        <v>102</v>
      </c>
      <c r="F424" s="6" t="s">
        <v>327</v>
      </c>
      <c r="G424" s="512">
        <v>4.3052837570000002E-2</v>
      </c>
      <c r="H424" s="9">
        <v>511</v>
      </c>
      <c r="I424" s="9">
        <v>22</v>
      </c>
      <c r="J424" s="57">
        <f t="shared" si="26"/>
        <v>78.680000000000007</v>
      </c>
      <c r="K424" s="57">
        <f t="shared" si="27"/>
        <v>3.3873972600076003</v>
      </c>
      <c r="L424" s="57"/>
      <c r="O424" s="514"/>
      <c r="Q424" s="190"/>
      <c r="R424" s="9"/>
      <c r="S424" s="9"/>
    </row>
    <row r="425" spans="1:19">
      <c r="A425" s="6">
        <v>910</v>
      </c>
      <c r="B425" s="6">
        <f t="shared" si="28"/>
        <v>416</v>
      </c>
      <c r="C425" s="6">
        <f t="shared" si="25"/>
        <v>910167</v>
      </c>
      <c r="D425" s="6" t="s">
        <v>626</v>
      </c>
      <c r="E425" s="6">
        <v>167</v>
      </c>
      <c r="F425" s="6" t="s">
        <v>408</v>
      </c>
      <c r="G425" s="512">
        <v>1.9569471620000001E-2</v>
      </c>
      <c r="H425" s="9">
        <v>511</v>
      </c>
      <c r="I425" s="9">
        <v>10</v>
      </c>
      <c r="J425" s="57">
        <f t="shared" si="26"/>
        <v>82.13</v>
      </c>
      <c r="K425" s="57">
        <f t="shared" si="27"/>
        <v>1.6072407041506001</v>
      </c>
      <c r="L425" s="57"/>
      <c r="O425" s="514"/>
      <c r="Q425" s="190"/>
      <c r="R425" s="9"/>
      <c r="S425" s="9"/>
    </row>
    <row r="426" spans="1:19">
      <c r="A426" s="6">
        <v>910</v>
      </c>
      <c r="B426" s="6">
        <f t="shared" si="28"/>
        <v>417</v>
      </c>
      <c r="C426" s="6">
        <f t="shared" si="25"/>
        <v>910201</v>
      </c>
      <c r="D426" s="6" t="s">
        <v>626</v>
      </c>
      <c r="E426" s="6">
        <v>201</v>
      </c>
      <c r="F426" s="6" t="s">
        <v>441</v>
      </c>
      <c r="G426" s="512">
        <v>0.11545988258000001</v>
      </c>
      <c r="H426" s="9">
        <v>511</v>
      </c>
      <c r="I426" s="9">
        <v>59</v>
      </c>
      <c r="J426" s="57">
        <f t="shared" si="26"/>
        <v>20</v>
      </c>
      <c r="K426" s="57">
        <f t="shared" si="27"/>
        <v>2.3091976515999999</v>
      </c>
      <c r="L426" s="57"/>
      <c r="O426" s="514"/>
      <c r="Q426" s="190"/>
      <c r="R426" s="9"/>
      <c r="S426" s="9"/>
    </row>
    <row r="427" spans="1:19">
      <c r="A427" s="6">
        <v>910</v>
      </c>
      <c r="B427" s="6">
        <f t="shared" si="28"/>
        <v>418</v>
      </c>
      <c r="C427" s="6">
        <f t="shared" si="25"/>
        <v>910212</v>
      </c>
      <c r="D427" s="6" t="s">
        <v>626</v>
      </c>
      <c r="E427" s="6">
        <v>212</v>
      </c>
      <c r="F427" s="6" t="s">
        <v>457</v>
      </c>
      <c r="G427" s="512">
        <v>1.7612524460000001E-2</v>
      </c>
      <c r="H427" s="9">
        <v>511</v>
      </c>
      <c r="I427" s="9">
        <v>9</v>
      </c>
      <c r="J427" s="57">
        <f t="shared" si="26"/>
        <v>74.48</v>
      </c>
      <c r="K427" s="57">
        <f t="shared" si="27"/>
        <v>1.3117808217808</v>
      </c>
      <c r="L427" s="57"/>
      <c r="O427" s="514"/>
      <c r="Q427" s="190"/>
      <c r="R427" s="9"/>
      <c r="S427" s="9"/>
    </row>
    <row r="428" spans="1:19">
      <c r="A428" s="6">
        <v>910</v>
      </c>
      <c r="B428" s="6">
        <f t="shared" si="28"/>
        <v>419</v>
      </c>
      <c r="C428" s="6">
        <f t="shared" si="25"/>
        <v>910218</v>
      </c>
      <c r="D428" s="6" t="s">
        <v>626</v>
      </c>
      <c r="E428" s="6">
        <v>218</v>
      </c>
      <c r="F428" s="6" t="s">
        <v>464</v>
      </c>
      <c r="G428" s="512">
        <v>2.9354207439999998E-2</v>
      </c>
      <c r="H428" s="9">
        <v>511</v>
      </c>
      <c r="I428" s="9">
        <v>15</v>
      </c>
      <c r="J428" s="57">
        <f t="shared" si="26"/>
        <v>79.61</v>
      </c>
      <c r="K428" s="57">
        <f t="shared" si="27"/>
        <v>2.3368884542983999</v>
      </c>
      <c r="L428" s="57"/>
      <c r="O428" s="514"/>
      <c r="Q428" s="190"/>
      <c r="R428" s="9"/>
      <c r="S428" s="9"/>
    </row>
    <row r="429" spans="1:19">
      <c r="A429" s="6">
        <v>910</v>
      </c>
      <c r="B429" s="6">
        <f t="shared" si="28"/>
        <v>420</v>
      </c>
      <c r="C429" s="6">
        <f t="shared" si="25"/>
        <v>910245</v>
      </c>
      <c r="D429" s="6" t="s">
        <v>626</v>
      </c>
      <c r="E429" s="6">
        <v>245</v>
      </c>
      <c r="F429" s="6" t="s">
        <v>496</v>
      </c>
      <c r="G429" s="512">
        <v>1.9569471620000001E-2</v>
      </c>
      <c r="H429" s="9">
        <v>511</v>
      </c>
      <c r="I429" s="9">
        <v>10</v>
      </c>
      <c r="J429" s="57">
        <f t="shared" si="26"/>
        <v>64.22</v>
      </c>
      <c r="K429" s="57">
        <f t="shared" si="27"/>
        <v>1.2567514674364</v>
      </c>
      <c r="L429" s="57"/>
      <c r="O429" s="514"/>
      <c r="Q429" s="190"/>
      <c r="R429" s="9"/>
      <c r="S429" s="9"/>
    </row>
    <row r="430" spans="1:19">
      <c r="A430" s="6">
        <v>910</v>
      </c>
      <c r="B430" s="6">
        <f t="shared" si="28"/>
        <v>421</v>
      </c>
      <c r="C430" s="6">
        <f t="shared" si="25"/>
        <v>910247</v>
      </c>
      <c r="D430" s="6" t="s">
        <v>626</v>
      </c>
      <c r="E430" s="6">
        <v>247</v>
      </c>
      <c r="F430" s="6" t="s">
        <v>498</v>
      </c>
      <c r="G430" s="512">
        <v>6.8493150680000003E-2</v>
      </c>
      <c r="H430" s="9">
        <v>511</v>
      </c>
      <c r="I430" s="9">
        <v>35</v>
      </c>
      <c r="J430" s="57">
        <f t="shared" si="26"/>
        <v>82.5</v>
      </c>
      <c r="K430" s="57">
        <f t="shared" si="27"/>
        <v>5.6506849311000007</v>
      </c>
      <c r="L430" s="57"/>
      <c r="O430" s="514"/>
      <c r="Q430" s="190"/>
      <c r="R430" s="9"/>
      <c r="S430" s="9"/>
    </row>
    <row r="431" spans="1:19">
      <c r="A431" s="6">
        <v>910</v>
      </c>
      <c r="B431" s="6">
        <f t="shared" si="28"/>
        <v>422</v>
      </c>
      <c r="C431" s="6">
        <f t="shared" si="25"/>
        <v>910265</v>
      </c>
      <c r="D431" s="6" t="s">
        <v>626</v>
      </c>
      <c r="E431" s="6">
        <v>265</v>
      </c>
      <c r="F431" s="6" t="s">
        <v>514</v>
      </c>
      <c r="G431" s="512">
        <v>2.5440313110000001E-2</v>
      </c>
      <c r="H431" s="9">
        <v>511</v>
      </c>
      <c r="I431" s="9">
        <v>13</v>
      </c>
      <c r="J431" s="57">
        <f t="shared" si="26"/>
        <v>77.8</v>
      </c>
      <c r="K431" s="57">
        <f t="shared" si="27"/>
        <v>1.979256359958</v>
      </c>
      <c r="L431" s="57"/>
      <c r="O431" s="514"/>
      <c r="Q431" s="190"/>
      <c r="R431" s="9"/>
      <c r="S431" s="9"/>
    </row>
    <row r="432" spans="1:19">
      <c r="A432" s="6">
        <v>910</v>
      </c>
      <c r="B432" s="6">
        <f t="shared" si="28"/>
        <v>423</v>
      </c>
      <c r="C432" s="6">
        <f t="shared" si="25"/>
        <v>910273</v>
      </c>
      <c r="D432" s="6" t="s">
        <v>626</v>
      </c>
      <c r="E432" s="6">
        <v>273</v>
      </c>
      <c r="F432" s="6" t="s">
        <v>521</v>
      </c>
      <c r="G432" s="512">
        <v>6.4579256360000004E-2</v>
      </c>
      <c r="H432" s="9">
        <v>511</v>
      </c>
      <c r="I432" s="9">
        <v>33</v>
      </c>
      <c r="J432" s="57">
        <f t="shared" si="26"/>
        <v>60.03</v>
      </c>
      <c r="K432" s="57">
        <f t="shared" si="27"/>
        <v>3.8766927592908003</v>
      </c>
      <c r="L432" s="57"/>
      <c r="O432" s="514"/>
      <c r="Q432" s="190"/>
      <c r="R432" s="9"/>
      <c r="S432" s="9"/>
    </row>
    <row r="433" spans="1:19">
      <c r="A433" s="6">
        <v>910</v>
      </c>
      <c r="B433" s="6">
        <f t="shared" si="28"/>
        <v>424</v>
      </c>
      <c r="C433" s="6">
        <f t="shared" si="25"/>
        <v>910292</v>
      </c>
      <c r="D433" s="6" t="s">
        <v>626</v>
      </c>
      <c r="E433" s="6">
        <v>292</v>
      </c>
      <c r="F433" s="6" t="s">
        <v>540</v>
      </c>
      <c r="G433" s="512">
        <v>5.8708414870000003E-2</v>
      </c>
      <c r="H433" s="9">
        <v>511</v>
      </c>
      <c r="I433" s="9">
        <v>30</v>
      </c>
      <c r="J433" s="57">
        <f t="shared" si="26"/>
        <v>65.459999999999994</v>
      </c>
      <c r="K433" s="57">
        <f t="shared" si="27"/>
        <v>3.8430528373902</v>
      </c>
      <c r="L433" s="57"/>
      <c r="O433" s="514"/>
      <c r="Q433" s="190"/>
      <c r="R433" s="9"/>
      <c r="S433" s="9"/>
    </row>
    <row r="434" spans="1:19">
      <c r="A434" s="6">
        <v>910</v>
      </c>
      <c r="B434" s="6">
        <f t="shared" si="28"/>
        <v>425</v>
      </c>
      <c r="C434" s="6">
        <f t="shared" si="25"/>
        <v>910293</v>
      </c>
      <c r="D434" s="6" t="s">
        <v>626</v>
      </c>
      <c r="E434" s="6">
        <v>293</v>
      </c>
      <c r="F434" s="6" t="s">
        <v>541</v>
      </c>
      <c r="G434" s="512">
        <v>9.1976516630000005E-2</v>
      </c>
      <c r="H434" s="9">
        <v>511</v>
      </c>
      <c r="I434" s="9">
        <v>47</v>
      </c>
      <c r="J434" s="57">
        <f t="shared" si="26"/>
        <v>36.229999999999997</v>
      </c>
      <c r="K434" s="57">
        <f t="shared" si="27"/>
        <v>3.3323091975049</v>
      </c>
      <c r="L434" s="57"/>
      <c r="O434" s="514"/>
      <c r="Q434" s="190"/>
      <c r="R434" s="9"/>
      <c r="S434" s="9"/>
    </row>
    <row r="435" spans="1:19">
      <c r="A435" s="6">
        <v>910</v>
      </c>
      <c r="B435" s="6">
        <f t="shared" si="28"/>
        <v>426</v>
      </c>
      <c r="C435" s="6">
        <f t="shared" si="25"/>
        <v>910331</v>
      </c>
      <c r="D435" s="6" t="s">
        <v>626</v>
      </c>
      <c r="E435" s="6">
        <v>331</v>
      </c>
      <c r="F435" s="6" t="s">
        <v>573</v>
      </c>
      <c r="G435" s="512">
        <v>6.4579256360000004E-2</v>
      </c>
      <c r="H435" s="9">
        <v>511</v>
      </c>
      <c r="I435" s="9">
        <v>33</v>
      </c>
      <c r="J435" s="57">
        <f t="shared" si="26"/>
        <v>82.5</v>
      </c>
      <c r="K435" s="57">
        <f t="shared" si="27"/>
        <v>5.3277886497000004</v>
      </c>
      <c r="L435" s="57"/>
      <c r="O435" s="514"/>
      <c r="Q435" s="190"/>
      <c r="R435" s="9"/>
      <c r="S435" s="9"/>
    </row>
    <row r="436" spans="1:19">
      <c r="A436" s="6">
        <v>915</v>
      </c>
      <c r="B436" s="6">
        <f t="shared" si="28"/>
        <v>427</v>
      </c>
      <c r="C436" s="6">
        <f t="shared" si="25"/>
        <v>915018</v>
      </c>
      <c r="D436" s="6" t="s">
        <v>24</v>
      </c>
      <c r="E436" s="6">
        <v>18</v>
      </c>
      <c r="F436" s="6" t="s">
        <v>22</v>
      </c>
      <c r="G436" s="512">
        <v>4.0322580600000001E-3</v>
      </c>
      <c r="H436" s="9">
        <v>248</v>
      </c>
      <c r="I436" s="9">
        <v>1</v>
      </c>
      <c r="J436" s="57">
        <f t="shared" si="26"/>
        <v>68.8</v>
      </c>
      <c r="K436" s="57">
        <f t="shared" si="27"/>
        <v>0.27741935452799998</v>
      </c>
      <c r="L436" s="57"/>
      <c r="O436" s="514"/>
      <c r="Q436" s="190"/>
      <c r="R436" s="9"/>
      <c r="S436" s="9"/>
    </row>
    <row r="437" spans="1:19">
      <c r="A437" s="6">
        <v>915</v>
      </c>
      <c r="B437" s="6">
        <f t="shared" si="28"/>
        <v>428</v>
      </c>
      <c r="C437" s="6">
        <f t="shared" si="25"/>
        <v>915025</v>
      </c>
      <c r="D437" s="6" t="s">
        <v>24</v>
      </c>
      <c r="E437" s="6">
        <v>25</v>
      </c>
      <c r="F437" s="6" t="s">
        <v>36</v>
      </c>
      <c r="G437" s="512">
        <v>5.6451612900000003E-2</v>
      </c>
      <c r="H437" s="9">
        <v>248</v>
      </c>
      <c r="I437" s="9">
        <v>14</v>
      </c>
      <c r="J437" s="57">
        <f t="shared" si="26"/>
        <v>74.16</v>
      </c>
      <c r="K437" s="57">
        <f t="shared" si="27"/>
        <v>4.1864516126640003</v>
      </c>
      <c r="L437" s="57"/>
      <c r="O437" s="514"/>
      <c r="Q437" s="190"/>
      <c r="R437" s="9"/>
      <c r="S437" s="9"/>
    </row>
    <row r="438" spans="1:19">
      <c r="A438" s="6">
        <v>915</v>
      </c>
      <c r="B438" s="6">
        <f t="shared" si="28"/>
        <v>429</v>
      </c>
      <c r="C438" s="6">
        <f t="shared" si="25"/>
        <v>915040</v>
      </c>
      <c r="D438" s="6" t="s">
        <v>24</v>
      </c>
      <c r="E438" s="6">
        <v>40</v>
      </c>
      <c r="F438" s="6" t="s">
        <v>243</v>
      </c>
      <c r="G438" s="512">
        <v>7.2580645159999999E-2</v>
      </c>
      <c r="H438" s="9">
        <v>248</v>
      </c>
      <c r="I438" s="9">
        <v>18</v>
      </c>
      <c r="J438" s="57">
        <f t="shared" si="26"/>
        <v>82.5</v>
      </c>
      <c r="K438" s="57">
        <f t="shared" si="27"/>
        <v>5.9879032257000002</v>
      </c>
      <c r="L438" s="57"/>
      <c r="O438" s="514"/>
      <c r="Q438" s="190"/>
      <c r="R438" s="9"/>
      <c r="S438" s="9"/>
    </row>
    <row r="439" spans="1:19">
      <c r="A439" s="6">
        <v>915</v>
      </c>
      <c r="B439" s="6">
        <f t="shared" si="28"/>
        <v>430</v>
      </c>
      <c r="C439" s="6">
        <f t="shared" si="25"/>
        <v>915046</v>
      </c>
      <c r="D439" s="6" t="s">
        <v>24</v>
      </c>
      <c r="E439" s="6">
        <v>46</v>
      </c>
      <c r="F439" s="6" t="s">
        <v>253</v>
      </c>
      <c r="G439" s="512">
        <v>0</v>
      </c>
      <c r="H439" s="9">
        <v>248</v>
      </c>
      <c r="I439" s="9">
        <v>0</v>
      </c>
      <c r="J439" s="57">
        <f t="shared" si="26"/>
        <v>82.5</v>
      </c>
      <c r="K439" s="57">
        <f t="shared" si="27"/>
        <v>0</v>
      </c>
      <c r="L439" s="57"/>
      <c r="O439" s="514"/>
      <c r="Q439" s="190"/>
      <c r="R439" s="9"/>
      <c r="S439" s="9"/>
    </row>
    <row r="440" spans="1:19">
      <c r="A440" s="6">
        <v>915</v>
      </c>
      <c r="B440" s="6">
        <f t="shared" si="28"/>
        <v>431</v>
      </c>
      <c r="C440" s="6">
        <f t="shared" si="25"/>
        <v>915050</v>
      </c>
      <c r="D440" s="6" t="s">
        <v>24</v>
      </c>
      <c r="E440" s="6">
        <v>50</v>
      </c>
      <c r="F440" s="6" t="s">
        <v>256</v>
      </c>
      <c r="G440" s="512">
        <v>2.8225806450000002E-2</v>
      </c>
      <c r="H440" s="9">
        <v>248</v>
      </c>
      <c r="I440" s="9">
        <v>7</v>
      </c>
      <c r="J440" s="57">
        <f t="shared" si="26"/>
        <v>82.5</v>
      </c>
      <c r="K440" s="57">
        <f t="shared" si="27"/>
        <v>2.3286290321250003</v>
      </c>
      <c r="L440" s="57"/>
      <c r="O440" s="514"/>
      <c r="Q440" s="190"/>
      <c r="R440" s="9"/>
      <c r="S440" s="9"/>
    </row>
    <row r="441" spans="1:19">
      <c r="A441" s="6">
        <v>915</v>
      </c>
      <c r="B441" s="6">
        <f t="shared" si="28"/>
        <v>432</v>
      </c>
      <c r="C441" s="6">
        <f t="shared" si="25"/>
        <v>915065</v>
      </c>
      <c r="D441" s="6" t="s">
        <v>24</v>
      </c>
      <c r="E441" s="6">
        <v>65</v>
      </c>
      <c r="F441" s="6" t="s">
        <v>278</v>
      </c>
      <c r="G441" s="512">
        <v>0</v>
      </c>
      <c r="H441" s="9">
        <v>248</v>
      </c>
      <c r="I441" s="9">
        <v>0</v>
      </c>
      <c r="J441" s="57">
        <f t="shared" si="26"/>
        <v>82.5</v>
      </c>
      <c r="K441" s="57">
        <f t="shared" si="27"/>
        <v>0</v>
      </c>
      <c r="L441" s="57"/>
      <c r="O441" s="514"/>
      <c r="Q441" s="190"/>
      <c r="R441" s="9"/>
      <c r="S441" s="9"/>
    </row>
    <row r="442" spans="1:19">
      <c r="A442" s="6">
        <v>915</v>
      </c>
      <c r="B442" s="6">
        <f t="shared" si="28"/>
        <v>433</v>
      </c>
      <c r="C442" s="6">
        <f t="shared" si="25"/>
        <v>915073</v>
      </c>
      <c r="D442" s="6" t="s">
        <v>24</v>
      </c>
      <c r="E442" s="6">
        <v>73</v>
      </c>
      <c r="F442" s="6" t="s">
        <v>288</v>
      </c>
      <c r="G442" s="512">
        <v>4.8387096769999999E-2</v>
      </c>
      <c r="H442" s="9">
        <v>248</v>
      </c>
      <c r="I442" s="9">
        <v>12</v>
      </c>
      <c r="J442" s="57">
        <f t="shared" si="26"/>
        <v>82.5</v>
      </c>
      <c r="K442" s="57">
        <f t="shared" si="27"/>
        <v>3.9919354835249998</v>
      </c>
      <c r="L442" s="57"/>
      <c r="O442" s="514"/>
      <c r="Q442" s="190"/>
      <c r="R442" s="9"/>
      <c r="S442" s="9"/>
    </row>
    <row r="443" spans="1:19">
      <c r="A443" s="6">
        <v>915</v>
      </c>
      <c r="B443" s="6">
        <f t="shared" si="28"/>
        <v>434</v>
      </c>
      <c r="C443" s="6">
        <f t="shared" si="25"/>
        <v>915078</v>
      </c>
      <c r="D443" s="6" t="s">
        <v>24</v>
      </c>
      <c r="E443" s="6">
        <v>78</v>
      </c>
      <c r="F443" s="6" t="s">
        <v>299</v>
      </c>
      <c r="G443" s="512">
        <v>8.0645161299999994E-3</v>
      </c>
      <c r="H443" s="9">
        <v>248</v>
      </c>
      <c r="I443" s="9">
        <v>2</v>
      </c>
      <c r="J443" s="57">
        <f t="shared" si="26"/>
        <v>82.5</v>
      </c>
      <c r="K443" s="57">
        <f t="shared" si="27"/>
        <v>0.66532258072499995</v>
      </c>
      <c r="L443" s="57"/>
      <c r="O443" s="514"/>
      <c r="Q443" s="190"/>
      <c r="R443" s="9"/>
      <c r="S443" s="9"/>
    </row>
    <row r="444" spans="1:19">
      <c r="A444" s="6">
        <v>915</v>
      </c>
      <c r="B444" s="6">
        <f t="shared" si="28"/>
        <v>435</v>
      </c>
      <c r="C444" s="6">
        <f t="shared" si="25"/>
        <v>915099</v>
      </c>
      <c r="D444" s="6" t="s">
        <v>24</v>
      </c>
      <c r="E444" s="6">
        <v>99</v>
      </c>
      <c r="F444" s="6" t="s">
        <v>323</v>
      </c>
      <c r="G444" s="512">
        <v>3.2258064519999997E-2</v>
      </c>
      <c r="H444" s="9">
        <v>248</v>
      </c>
      <c r="I444" s="9">
        <v>8</v>
      </c>
      <c r="J444" s="57">
        <f t="shared" si="26"/>
        <v>82.5</v>
      </c>
      <c r="K444" s="57">
        <f t="shared" si="27"/>
        <v>2.6612903228999998</v>
      </c>
      <c r="L444" s="57"/>
      <c r="O444" s="514"/>
      <c r="Q444" s="190"/>
      <c r="R444" s="9"/>
      <c r="S444" s="9"/>
    </row>
    <row r="445" spans="1:19">
      <c r="A445" s="6">
        <v>915</v>
      </c>
      <c r="B445" s="6">
        <f t="shared" si="28"/>
        <v>436</v>
      </c>
      <c r="C445" s="6">
        <f t="shared" si="25"/>
        <v>915101</v>
      </c>
      <c r="D445" s="6" t="s">
        <v>24</v>
      </c>
      <c r="E445" s="6">
        <v>101</v>
      </c>
      <c r="F445" s="6" t="s">
        <v>325</v>
      </c>
      <c r="G445" s="512">
        <v>6.0483870969999999E-2</v>
      </c>
      <c r="H445" s="9">
        <v>248</v>
      </c>
      <c r="I445" s="9">
        <v>15</v>
      </c>
      <c r="J445" s="57">
        <f t="shared" si="26"/>
        <v>81.150000000000006</v>
      </c>
      <c r="K445" s="57">
        <f t="shared" si="27"/>
        <v>4.9082661292154999</v>
      </c>
      <c r="L445" s="57"/>
      <c r="O445" s="514"/>
      <c r="Q445" s="190"/>
      <c r="R445" s="9"/>
      <c r="S445" s="9"/>
    </row>
    <row r="446" spans="1:19">
      <c r="A446" s="6">
        <v>915</v>
      </c>
      <c r="B446" s="6">
        <f t="shared" si="28"/>
        <v>437</v>
      </c>
      <c r="C446" s="6">
        <f t="shared" si="25"/>
        <v>915133</v>
      </c>
      <c r="D446" s="6" t="s">
        <v>24</v>
      </c>
      <c r="E446" s="6">
        <v>133</v>
      </c>
      <c r="F446" s="6" t="s">
        <v>361</v>
      </c>
      <c r="G446" s="512">
        <v>3.6290322579999999E-2</v>
      </c>
      <c r="H446" s="9">
        <v>248</v>
      </c>
      <c r="I446" s="9">
        <v>9</v>
      </c>
      <c r="J446" s="57">
        <f t="shared" si="26"/>
        <v>52.5</v>
      </c>
      <c r="K446" s="57">
        <f t="shared" si="27"/>
        <v>1.9052419354499999</v>
      </c>
      <c r="L446" s="57"/>
      <c r="O446" s="514"/>
      <c r="Q446" s="190"/>
      <c r="R446" s="9"/>
      <c r="S446" s="9"/>
    </row>
    <row r="447" spans="1:19">
      <c r="A447" s="6">
        <v>915</v>
      </c>
      <c r="B447" s="6">
        <f t="shared" si="28"/>
        <v>438</v>
      </c>
      <c r="C447" s="6">
        <f t="shared" si="25"/>
        <v>915175</v>
      </c>
      <c r="D447" s="6" t="s">
        <v>24</v>
      </c>
      <c r="E447" s="6">
        <v>175</v>
      </c>
      <c r="F447" s="6" t="s">
        <v>416</v>
      </c>
      <c r="G447" s="512">
        <v>1.2096774189999999E-2</v>
      </c>
      <c r="H447" s="9">
        <v>248</v>
      </c>
      <c r="I447" s="9">
        <v>3</v>
      </c>
      <c r="J447" s="57">
        <f t="shared" si="26"/>
        <v>82.5</v>
      </c>
      <c r="K447" s="57">
        <f t="shared" si="27"/>
        <v>0.99798387067499994</v>
      </c>
      <c r="L447" s="57"/>
      <c r="O447" s="514"/>
      <c r="Q447" s="190"/>
      <c r="R447" s="9"/>
      <c r="S447" s="9"/>
    </row>
    <row r="448" spans="1:19">
      <c r="A448" s="6">
        <v>915</v>
      </c>
      <c r="B448" s="6">
        <f t="shared" si="28"/>
        <v>439</v>
      </c>
      <c r="C448" s="6">
        <f t="shared" si="25"/>
        <v>915177</v>
      </c>
      <c r="D448" s="6" t="s">
        <v>24</v>
      </c>
      <c r="E448" s="6">
        <v>177</v>
      </c>
      <c r="F448" s="6" t="s">
        <v>418</v>
      </c>
      <c r="G448" s="512">
        <v>2.8225806450000002E-2</v>
      </c>
      <c r="H448" s="9">
        <v>248</v>
      </c>
      <c r="I448" s="9">
        <v>7</v>
      </c>
      <c r="J448" s="57">
        <f t="shared" si="26"/>
        <v>77.63</v>
      </c>
      <c r="K448" s="57">
        <f t="shared" si="27"/>
        <v>2.1911693547134998</v>
      </c>
      <c r="L448" s="57"/>
      <c r="O448" s="514"/>
      <c r="Q448" s="190"/>
      <c r="R448" s="9"/>
      <c r="S448" s="9"/>
    </row>
    <row r="449" spans="1:19">
      <c r="A449" s="6">
        <v>915</v>
      </c>
      <c r="B449" s="6">
        <f t="shared" si="28"/>
        <v>440</v>
      </c>
      <c r="C449" s="6">
        <f t="shared" si="25"/>
        <v>915187</v>
      </c>
      <c r="D449" s="6" t="s">
        <v>24</v>
      </c>
      <c r="E449" s="6">
        <v>187</v>
      </c>
      <c r="F449" s="6" t="s">
        <v>429</v>
      </c>
      <c r="G449" s="512">
        <v>3.2258064519999997E-2</v>
      </c>
      <c r="H449" s="9">
        <v>248</v>
      </c>
      <c r="I449" s="9">
        <v>8</v>
      </c>
      <c r="J449" s="57">
        <f t="shared" si="26"/>
        <v>82.5</v>
      </c>
      <c r="K449" s="57">
        <f t="shared" si="27"/>
        <v>2.6612903228999998</v>
      </c>
      <c r="L449" s="57"/>
      <c r="O449" s="514"/>
      <c r="Q449" s="190"/>
      <c r="R449" s="9"/>
      <c r="S449" s="9"/>
    </row>
    <row r="450" spans="1:19">
      <c r="A450" s="6">
        <v>915</v>
      </c>
      <c r="B450" s="6">
        <f t="shared" si="28"/>
        <v>441</v>
      </c>
      <c r="C450" s="6">
        <f t="shared" si="25"/>
        <v>915189</v>
      </c>
      <c r="D450" s="6" t="s">
        <v>24</v>
      </c>
      <c r="E450" s="6">
        <v>189</v>
      </c>
      <c r="F450" s="6" t="s">
        <v>431</v>
      </c>
      <c r="G450" s="512">
        <v>3.6290322579999999E-2</v>
      </c>
      <c r="H450" s="9">
        <v>248</v>
      </c>
      <c r="I450" s="9">
        <v>9</v>
      </c>
      <c r="J450" s="57">
        <f t="shared" si="26"/>
        <v>82.5</v>
      </c>
      <c r="K450" s="57">
        <f t="shared" si="27"/>
        <v>2.9939516128500001</v>
      </c>
      <c r="L450" s="57"/>
      <c r="O450" s="514"/>
      <c r="Q450" s="190"/>
      <c r="R450" s="9"/>
      <c r="S450" s="9"/>
    </row>
    <row r="451" spans="1:19">
      <c r="A451" s="6">
        <v>915</v>
      </c>
      <c r="B451" s="6">
        <f t="shared" si="28"/>
        <v>442</v>
      </c>
      <c r="C451" s="6">
        <f t="shared" si="25"/>
        <v>915199</v>
      </c>
      <c r="D451" s="6" t="s">
        <v>24</v>
      </c>
      <c r="E451" s="6">
        <v>199</v>
      </c>
      <c r="F451" s="6" t="s">
        <v>440</v>
      </c>
      <c r="G451" s="512">
        <v>4.0322580600000001E-3</v>
      </c>
      <c r="H451" s="9">
        <v>248</v>
      </c>
      <c r="I451" s="9">
        <v>1</v>
      </c>
      <c r="J451" s="57">
        <f t="shared" si="26"/>
        <v>82.5</v>
      </c>
      <c r="K451" s="57">
        <f t="shared" si="27"/>
        <v>0.33266128994999999</v>
      </c>
      <c r="L451" s="57"/>
      <c r="O451" s="514"/>
      <c r="Q451" s="190"/>
      <c r="R451" s="9"/>
      <c r="S451" s="9"/>
    </row>
    <row r="452" spans="1:19">
      <c r="A452" s="6">
        <v>915</v>
      </c>
      <c r="B452" s="6">
        <f t="shared" si="28"/>
        <v>443</v>
      </c>
      <c r="C452" s="6">
        <f t="shared" si="25"/>
        <v>915208</v>
      </c>
      <c r="D452" s="6" t="s">
        <v>24</v>
      </c>
      <c r="E452" s="6">
        <v>208</v>
      </c>
      <c r="F452" s="6" t="s">
        <v>450</v>
      </c>
      <c r="G452" s="512">
        <v>6.0483870969999999E-2</v>
      </c>
      <c r="H452" s="9">
        <v>248</v>
      </c>
      <c r="I452" s="9">
        <v>15</v>
      </c>
      <c r="J452" s="57">
        <f t="shared" si="26"/>
        <v>82.5</v>
      </c>
      <c r="K452" s="57">
        <f t="shared" si="27"/>
        <v>4.9899193550250001</v>
      </c>
      <c r="L452" s="57"/>
      <c r="O452" s="514"/>
      <c r="Q452" s="190"/>
      <c r="R452" s="9"/>
      <c r="S452" s="9"/>
    </row>
    <row r="453" spans="1:19">
      <c r="A453" s="6">
        <v>915</v>
      </c>
      <c r="B453" s="6">
        <f t="shared" si="28"/>
        <v>444</v>
      </c>
      <c r="C453" s="6">
        <f t="shared" si="25"/>
        <v>915220</v>
      </c>
      <c r="D453" s="6" t="s">
        <v>24</v>
      </c>
      <c r="E453" s="6">
        <v>220</v>
      </c>
      <c r="F453" s="6" t="s">
        <v>467</v>
      </c>
      <c r="G453" s="512">
        <v>4.8387096769999999E-2</v>
      </c>
      <c r="H453" s="9">
        <v>248</v>
      </c>
      <c r="I453" s="9">
        <v>12</v>
      </c>
      <c r="J453" s="57">
        <f t="shared" si="26"/>
        <v>82.5</v>
      </c>
      <c r="K453" s="57">
        <f t="shared" si="27"/>
        <v>3.9919354835249998</v>
      </c>
      <c r="L453" s="57"/>
      <c r="O453" s="514"/>
      <c r="Q453" s="190"/>
      <c r="R453" s="9"/>
      <c r="S453" s="9"/>
    </row>
    <row r="454" spans="1:19">
      <c r="A454" s="6">
        <v>915</v>
      </c>
      <c r="B454" s="6">
        <f t="shared" si="28"/>
        <v>445</v>
      </c>
      <c r="C454" s="6">
        <f t="shared" si="25"/>
        <v>915238</v>
      </c>
      <c r="D454" s="6" t="s">
        <v>24</v>
      </c>
      <c r="E454" s="6">
        <v>238</v>
      </c>
      <c r="F454" s="6" t="s">
        <v>490</v>
      </c>
      <c r="G454" s="512">
        <v>1.2096774189999999E-2</v>
      </c>
      <c r="H454" s="9">
        <v>248</v>
      </c>
      <c r="I454" s="9">
        <v>3</v>
      </c>
      <c r="J454" s="57">
        <f t="shared" si="26"/>
        <v>81.239999999999995</v>
      </c>
      <c r="K454" s="57">
        <f t="shared" si="27"/>
        <v>0.98274193519559994</v>
      </c>
      <c r="L454" s="57"/>
      <c r="O454" s="514"/>
      <c r="Q454" s="190"/>
      <c r="R454" s="9"/>
      <c r="S454" s="9"/>
    </row>
    <row r="455" spans="1:19">
      <c r="A455" s="6">
        <v>915</v>
      </c>
      <c r="B455" s="6">
        <f t="shared" si="28"/>
        <v>446</v>
      </c>
      <c r="C455" s="6">
        <f t="shared" si="25"/>
        <v>915243</v>
      </c>
      <c r="D455" s="6" t="s">
        <v>24</v>
      </c>
      <c r="E455" s="6">
        <v>243</v>
      </c>
      <c r="F455" s="6" t="s">
        <v>494</v>
      </c>
      <c r="G455" s="512">
        <v>8.4677419350000005E-2</v>
      </c>
      <c r="H455" s="9">
        <v>248</v>
      </c>
      <c r="I455" s="9">
        <v>21</v>
      </c>
      <c r="J455" s="57">
        <f t="shared" si="26"/>
        <v>82.5</v>
      </c>
      <c r="K455" s="57">
        <f t="shared" si="27"/>
        <v>6.9858870963750004</v>
      </c>
      <c r="L455" s="57"/>
      <c r="O455" s="514"/>
      <c r="Q455" s="190"/>
      <c r="R455" s="9"/>
      <c r="S455" s="9"/>
    </row>
    <row r="456" spans="1:19">
      <c r="A456" s="6">
        <v>915</v>
      </c>
      <c r="B456" s="6">
        <f t="shared" si="28"/>
        <v>447</v>
      </c>
      <c r="C456" s="6">
        <f t="shared" si="25"/>
        <v>915244</v>
      </c>
      <c r="D456" s="6" t="s">
        <v>24</v>
      </c>
      <c r="E456" s="6">
        <v>244</v>
      </c>
      <c r="F456" s="6" t="s">
        <v>495</v>
      </c>
      <c r="G456" s="512">
        <v>2.8225806450000002E-2</v>
      </c>
      <c r="H456" s="9">
        <v>248</v>
      </c>
      <c r="I456" s="9">
        <v>7</v>
      </c>
      <c r="J456" s="57">
        <f t="shared" si="26"/>
        <v>59.18</v>
      </c>
      <c r="K456" s="57">
        <f t="shared" si="27"/>
        <v>1.6704032257110002</v>
      </c>
      <c r="L456" s="57"/>
      <c r="O456" s="514"/>
      <c r="Q456" s="190"/>
      <c r="R456" s="9"/>
      <c r="S456" s="9"/>
    </row>
    <row r="457" spans="1:19">
      <c r="A457" s="6">
        <v>915</v>
      </c>
      <c r="B457" s="6">
        <f t="shared" si="28"/>
        <v>448</v>
      </c>
      <c r="C457" s="6">
        <f t="shared" si="25"/>
        <v>915266</v>
      </c>
      <c r="D457" s="6" t="s">
        <v>24</v>
      </c>
      <c r="E457" s="6">
        <v>266</v>
      </c>
      <c r="F457" s="6" t="s">
        <v>515</v>
      </c>
      <c r="G457" s="512">
        <v>3.6290322579999999E-2</v>
      </c>
      <c r="H457" s="9">
        <v>248</v>
      </c>
      <c r="I457" s="9">
        <v>9</v>
      </c>
      <c r="J457" s="57">
        <f t="shared" si="26"/>
        <v>82.5</v>
      </c>
      <c r="K457" s="57">
        <f t="shared" si="27"/>
        <v>2.9939516128500001</v>
      </c>
      <c r="L457" s="57"/>
      <c r="O457" s="514"/>
      <c r="Q457" s="190"/>
      <c r="R457" s="9"/>
      <c r="S457" s="9"/>
    </row>
    <row r="458" spans="1:19">
      <c r="A458" s="6">
        <v>915</v>
      </c>
      <c r="B458" s="6">
        <f t="shared" si="28"/>
        <v>449</v>
      </c>
      <c r="C458" s="6">
        <f t="shared" ref="C458:C463" si="29">A458*1000+E458</f>
        <v>915285</v>
      </c>
      <c r="D458" s="6" t="s">
        <v>24</v>
      </c>
      <c r="E458" s="6">
        <v>285</v>
      </c>
      <c r="F458" s="6" t="s">
        <v>533</v>
      </c>
      <c r="G458" s="512">
        <v>2.0161290320000001E-2</v>
      </c>
      <c r="H458" s="9">
        <v>248</v>
      </c>
      <c r="I458" s="9">
        <v>5</v>
      </c>
      <c r="J458" s="57">
        <f t="shared" si="26"/>
        <v>59.32</v>
      </c>
      <c r="K458" s="57">
        <f t="shared" si="27"/>
        <v>1.1959677417824</v>
      </c>
      <c r="L458" s="57"/>
      <c r="O458" s="514"/>
      <c r="Q458" s="190"/>
      <c r="R458" s="9"/>
      <c r="S458" s="9"/>
    </row>
    <row r="459" spans="1:19">
      <c r="A459" s="6">
        <v>915</v>
      </c>
      <c r="B459" s="6">
        <f t="shared" si="28"/>
        <v>450</v>
      </c>
      <c r="C459" s="6">
        <f t="shared" si="29"/>
        <v>915307</v>
      </c>
      <c r="D459" s="6" t="s">
        <v>24</v>
      </c>
      <c r="E459" s="6">
        <v>307</v>
      </c>
      <c r="F459" s="6" t="s">
        <v>554</v>
      </c>
      <c r="G459" s="512">
        <v>0.10080645161</v>
      </c>
      <c r="H459" s="9">
        <v>248</v>
      </c>
      <c r="I459" s="9">
        <v>25</v>
      </c>
      <c r="J459" s="57">
        <f t="shared" ref="J459:J463" si="30">ROUND(VLOOKUP(E459,town351,12),2)</f>
        <v>82.5</v>
      </c>
      <c r="K459" s="57">
        <f t="shared" ref="K459:K463" si="31">G459*J459</f>
        <v>8.3165322578249992</v>
      </c>
      <c r="L459" s="57"/>
      <c r="O459" s="514"/>
      <c r="Q459" s="190"/>
      <c r="R459" s="9"/>
      <c r="S459" s="9"/>
    </row>
    <row r="460" spans="1:19">
      <c r="A460" s="6">
        <v>915</v>
      </c>
      <c r="B460" s="6">
        <f t="shared" ref="B460:B463" si="32">B459+1</f>
        <v>451</v>
      </c>
      <c r="C460" s="6">
        <f t="shared" si="29"/>
        <v>915317</v>
      </c>
      <c r="D460" s="6" t="s">
        <v>24</v>
      </c>
      <c r="E460" s="6">
        <v>317</v>
      </c>
      <c r="F460" s="6" t="s">
        <v>106</v>
      </c>
      <c r="G460" s="512">
        <v>4.0322580600000001E-3</v>
      </c>
      <c r="H460" s="9">
        <v>248</v>
      </c>
      <c r="I460" s="9">
        <v>1</v>
      </c>
      <c r="J460" s="57">
        <f t="shared" si="30"/>
        <v>82.5</v>
      </c>
      <c r="K460" s="57">
        <f t="shared" si="31"/>
        <v>0.33266128994999999</v>
      </c>
      <c r="L460" s="57"/>
      <c r="O460" s="514"/>
      <c r="Q460" s="190"/>
      <c r="R460" s="9"/>
      <c r="S460" s="9"/>
    </row>
    <row r="461" spans="1:19">
      <c r="A461" s="6">
        <v>915</v>
      </c>
      <c r="B461" s="6">
        <f t="shared" si="32"/>
        <v>452</v>
      </c>
      <c r="C461" s="6">
        <f t="shared" si="29"/>
        <v>915335</v>
      </c>
      <c r="D461" s="6" t="s">
        <v>24</v>
      </c>
      <c r="E461" s="6">
        <v>335</v>
      </c>
      <c r="F461" s="6" t="s">
        <v>576</v>
      </c>
      <c r="G461" s="512">
        <v>3.2258064519999997E-2</v>
      </c>
      <c r="H461" s="9">
        <v>248</v>
      </c>
      <c r="I461" s="9">
        <v>8</v>
      </c>
      <c r="J461" s="57">
        <f t="shared" si="30"/>
        <v>82.5</v>
      </c>
      <c r="K461" s="57">
        <f t="shared" si="31"/>
        <v>2.6612903228999998</v>
      </c>
      <c r="L461" s="57"/>
      <c r="O461" s="514"/>
      <c r="Q461" s="190"/>
      <c r="R461" s="9"/>
      <c r="S461" s="9"/>
    </row>
    <row r="462" spans="1:19">
      <c r="A462" s="6">
        <v>915</v>
      </c>
      <c r="B462" s="6">
        <f t="shared" si="32"/>
        <v>453</v>
      </c>
      <c r="C462" s="6">
        <f t="shared" si="29"/>
        <v>915336</v>
      </c>
      <c r="D462" s="6" t="s">
        <v>24</v>
      </c>
      <c r="E462" s="6">
        <v>336</v>
      </c>
      <c r="F462" s="6" t="s">
        <v>577</v>
      </c>
      <c r="G462" s="512">
        <v>7.6612903230000001E-2</v>
      </c>
      <c r="H462" s="9">
        <v>248</v>
      </c>
      <c r="I462" s="9">
        <v>19</v>
      </c>
      <c r="J462" s="57">
        <f t="shared" si="30"/>
        <v>82.5</v>
      </c>
      <c r="K462" s="57">
        <f t="shared" si="31"/>
        <v>6.3205645164749997</v>
      </c>
      <c r="L462" s="57"/>
      <c r="O462" s="514"/>
      <c r="Q462" s="190"/>
      <c r="R462" s="9"/>
      <c r="S462" s="9"/>
    </row>
    <row r="463" spans="1:19">
      <c r="A463" s="6">
        <v>915</v>
      </c>
      <c r="B463" s="6">
        <f t="shared" si="32"/>
        <v>454</v>
      </c>
      <c r="C463" s="6">
        <f t="shared" si="29"/>
        <v>915350</v>
      </c>
      <c r="D463" s="6" t="s">
        <v>24</v>
      </c>
      <c r="E463" s="6">
        <v>350</v>
      </c>
      <c r="F463" s="6" t="s">
        <v>589</v>
      </c>
      <c r="G463" s="512">
        <v>3.6290322579999999E-2</v>
      </c>
      <c r="H463" s="9">
        <v>248</v>
      </c>
      <c r="I463" s="9">
        <v>9</v>
      </c>
      <c r="J463" s="57">
        <f t="shared" si="30"/>
        <v>82.5</v>
      </c>
      <c r="K463" s="57">
        <f t="shared" si="31"/>
        <v>2.9939516128500001</v>
      </c>
      <c r="O463" s="514"/>
      <c r="Q463" s="190"/>
      <c r="R463" s="9"/>
      <c r="S463" s="9"/>
    </row>
  </sheetData>
  <autoFilter ref="A9:K461" xr:uid="{00000000-0009-0000-0000-000012000000}"/>
  <mergeCells count="2">
    <mergeCell ref="G1:K1"/>
    <mergeCell ref="G2:K2"/>
  </mergeCells>
  <phoneticPr fontId="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4261BFE874874F899C38CF9C771BFF" ma:contentTypeVersion="7" ma:contentTypeDescription="Create a new document." ma:contentTypeScope="" ma:versionID="3a5a55f13e9bb649c79d8b6e4cc9fe8c">
  <xsd:schema xmlns:xsd="http://www.w3.org/2001/XMLSchema" xmlns:xs="http://www.w3.org/2001/XMLSchema" xmlns:p="http://schemas.microsoft.com/office/2006/metadata/properties" xmlns:ns2="0a4e05da-b9bc-4326-ad73-01ef31b95567" xmlns:ns3="733efe1c-5bbe-4968-87dc-d400e65c879f" targetNamespace="http://schemas.microsoft.com/office/2006/metadata/properties" ma:root="true" ma:fieldsID="9f746412060615af2bac066d19f8186c" ns2:_="" ns3:_="">
    <xsd:import namespace="0a4e05da-b9bc-4326-ad73-01ef31b95567"/>
    <xsd:import namespace="733efe1c-5bbe-4968-87dc-d400e65c879f"/>
    <xsd:element name="properties">
      <xsd:complexType>
        <xsd:sequence>
          <xsd:element name="documentManagement">
            <xsd:complexType>
              <xsd:all>
                <xsd:element ref="ns2:_vti_RoutingExistingProperties"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4e05da-b9bc-4326-ad73-01ef31b95567" elementFormDefault="qualified">
    <xsd:import namespace="http://schemas.microsoft.com/office/2006/documentManagement/types"/>
    <xsd:import namespace="http://schemas.microsoft.com/office/infopath/2007/PartnerControls"/>
    <xsd:element name="_vti_RoutingExistingProperties" ma:index="8" nillable="true" ma:displayName="Original Properties" ma:hidden="true" ma:internalName="_vti_RoutingExistingProperti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3efe1c-5bbe-4968-87dc-d400e65c879f"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vti_RoutingExistingProperties xmlns="0a4e05da-b9bc-4326-ad73-01ef31b95567" xsi:nil="true"/>
    <_dlc_DocIdPersistId xmlns="733efe1c-5bbe-4968-87dc-d400e65c879f">true</_dlc_DocIdPersistId>
    <_dlc_DocId xmlns="733efe1c-5bbe-4968-87dc-d400e65c879f">DESE-231-43649</_dlc_DocId>
    <_dlc_DocIdUrl xmlns="733efe1c-5bbe-4968-87dc-d400e65c879f">
      <Url>https://sharepoint.doemass.org/ese/webteam/cps/_layouts/DocIdRedir.aspx?ID=DESE-231-43649</Url>
      <Description>DESE-231-43649</Description>
    </_dlc_DocIdUrl>
  </documentManagement>
</p:properties>
</file>

<file path=customXml/item4.xml><?xml version="1.0" encoding="utf-8"?>
<?mso-contentType ?>
<FormTemplates xmlns="http://schemas.microsoft.com/sharepoint/v3/contenttype/forms">
  <Display>DocumentLibraryForm</Display>
  <Edit>DropOffZoneRoutingForm</Edit>
  <New>DocumentLibraryForm</New>
</FormTemplates>
</file>

<file path=customXml/itemProps1.xml><?xml version="1.0" encoding="utf-8"?>
<ds:datastoreItem xmlns:ds="http://schemas.openxmlformats.org/officeDocument/2006/customXml" ds:itemID="{CD266C94-5BE0-4629-A4AB-4AF7F8812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4e05da-b9bc-4326-ad73-01ef31b95567"/>
    <ds:schemaRef ds:uri="733efe1c-5bbe-4968-87dc-d400e65c87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33979C-4557-49B1-AFC8-8930A26A6B33}">
  <ds:schemaRefs>
    <ds:schemaRef ds:uri="http://schemas.microsoft.com/sharepoint/events"/>
  </ds:schemaRefs>
</ds:datastoreItem>
</file>

<file path=customXml/itemProps3.xml><?xml version="1.0" encoding="utf-8"?>
<ds:datastoreItem xmlns:ds="http://schemas.openxmlformats.org/officeDocument/2006/customXml" ds:itemID="{03C09887-5E32-4CFB-A7A4-DFA2167E534C}">
  <ds:schemaRefs>
    <ds:schemaRef ds:uri="http://www.w3.org/XML/1998/namespace"/>
    <ds:schemaRef ds:uri="http://schemas.microsoft.com/office/infopath/2007/PartnerControls"/>
    <ds:schemaRef ds:uri="733efe1c-5bbe-4968-87dc-d400e65c879f"/>
    <ds:schemaRef ds:uri="http://schemas.microsoft.com/office/2006/documentManagement/types"/>
    <ds:schemaRef ds:uri="http://purl.org/dc/terms/"/>
    <ds:schemaRef ds:uri="http://purl.org/dc/elements/1.1/"/>
    <ds:schemaRef ds:uri="http://purl.org/dc/dcmitype/"/>
    <ds:schemaRef ds:uri="http://schemas.microsoft.com/office/2006/metadata/properties"/>
    <ds:schemaRef ds:uri="http://schemas.openxmlformats.org/package/2006/metadata/core-properties"/>
    <ds:schemaRef ds:uri="0a4e05da-b9bc-4326-ad73-01ef31b95567"/>
  </ds:schemaRefs>
</ds:datastoreItem>
</file>

<file path=customXml/itemProps4.xml><?xml version="1.0" encoding="utf-8"?>
<ds:datastoreItem xmlns:ds="http://schemas.openxmlformats.org/officeDocument/2006/customXml" ds:itemID="{BB9DA91D-14FB-46FB-813B-E266247018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124</vt:i4>
      </vt:variant>
    </vt:vector>
  </HeadingPairs>
  <TitlesOfParts>
    <vt:vector size="144" baseType="lpstr">
      <vt:lpstr>notes</vt:lpstr>
      <vt:lpstr>Index</vt:lpstr>
      <vt:lpstr>localcont</vt:lpstr>
      <vt:lpstr>MoreAboutData</vt:lpstr>
      <vt:lpstr>Foundation Budget</vt:lpstr>
      <vt:lpstr>Municipal Contribution</vt:lpstr>
      <vt:lpstr>Regional Allocation</vt:lpstr>
      <vt:lpstr>Summary</vt:lpstr>
      <vt:lpstr>parameters</vt:lpstr>
      <vt:lpstr>Regional District Members</vt:lpstr>
      <vt:lpstr>Comparison to FY24</vt:lpstr>
      <vt:lpstr>Aid436</vt:lpstr>
      <vt:lpstr>Rates</vt:lpstr>
      <vt:lpstr>Townwide Contributions</vt:lpstr>
      <vt:lpstr>ceyregionalcalc</vt:lpstr>
      <vt:lpstr>disthist</vt:lpstr>
      <vt:lpstr>dist435</vt:lpstr>
      <vt:lpstr>RegPivot</vt:lpstr>
      <vt:lpstr>leas</vt:lpstr>
      <vt:lpstr>frac</vt:lpstr>
      <vt:lpstr>adjustment</vt:lpstr>
      <vt:lpstr>notes!aidcalc</vt:lpstr>
      <vt:lpstr>aidcalc</vt:lpstr>
      <vt:lpstr>aidfloor</vt:lpstr>
      <vt:lpstr>notes!basecut</vt:lpstr>
      <vt:lpstr>basecut</vt:lpstr>
      <vt:lpstr>ceylea</vt:lpstr>
      <vt:lpstr>ceyperc</vt:lpstr>
      <vt:lpstr>ceyproptotal</vt:lpstr>
      <vt:lpstr>ceyreg</vt:lpstr>
      <vt:lpstr>chapter70</vt:lpstr>
      <vt:lpstr>notes!CYr</vt:lpstr>
      <vt:lpstr>CYr</vt:lpstr>
      <vt:lpstr>notes!dist1755</vt:lpstr>
      <vt:lpstr>dist1755</vt:lpstr>
      <vt:lpstr>notes!dist915</vt:lpstr>
      <vt:lpstr>dist915</vt:lpstr>
      <vt:lpstr>notes!disthist</vt:lpstr>
      <vt:lpstr>disthist</vt:lpstr>
      <vt:lpstr>notes!downaid</vt:lpstr>
      <vt:lpstr>notes!downpct</vt:lpstr>
      <vt:lpstr>downpct</vt:lpstr>
      <vt:lpstr>notes!effortred</vt:lpstr>
      <vt:lpstr>effortred</vt:lpstr>
      <vt:lpstr>notes!enro</vt:lpstr>
      <vt:lpstr>enro</vt:lpstr>
      <vt:lpstr>notes!enro1755</vt:lpstr>
      <vt:lpstr>enro1755</vt:lpstr>
      <vt:lpstr>notes!found</vt:lpstr>
      <vt:lpstr>found</vt:lpstr>
      <vt:lpstr>notes!found1755</vt:lpstr>
      <vt:lpstr>found1755</vt:lpstr>
      <vt:lpstr>notes!foundaid</vt:lpstr>
      <vt:lpstr>foundaid</vt:lpstr>
      <vt:lpstr>notes!foundinc</vt:lpstr>
      <vt:lpstr>foundinc</vt:lpstr>
      <vt:lpstr>notes!foundoptcell</vt:lpstr>
      <vt:lpstr>foundoptcell</vt:lpstr>
      <vt:lpstr>notes!foundoptions</vt:lpstr>
      <vt:lpstr>foundoptions</vt:lpstr>
      <vt:lpstr>frac</vt:lpstr>
      <vt:lpstr>notes!fraclea</vt:lpstr>
      <vt:lpstr>fraclea</vt:lpstr>
      <vt:lpstr>fraconcat</vt:lpstr>
      <vt:lpstr>holdharmless</vt:lpstr>
      <vt:lpstr>holdharmlessaid</vt:lpstr>
      <vt:lpstr>notes!lea</vt:lpstr>
      <vt:lpstr>lea</vt:lpstr>
      <vt:lpstr>lea_list</vt:lpstr>
      <vt:lpstr>notes!lea_order</vt:lpstr>
      <vt:lpstr>lea_order</vt:lpstr>
      <vt:lpstr>lealist</vt:lpstr>
      <vt:lpstr>notes!leas</vt:lpstr>
      <vt:lpstr>leas</vt:lpstr>
      <vt:lpstr>localcont</vt:lpstr>
      <vt:lpstr>notes!maxloc</vt:lpstr>
      <vt:lpstr>maxloc</vt:lpstr>
      <vt:lpstr>notes!memeffpct</vt:lpstr>
      <vt:lpstr>memeffpct</vt:lpstr>
      <vt:lpstr>memlea</vt:lpstr>
      <vt:lpstr>notes!minaid</vt:lpstr>
      <vt:lpstr>minaid</vt:lpstr>
      <vt:lpstr>minaidadjincrement</vt:lpstr>
      <vt:lpstr>notes!mininc</vt:lpstr>
      <vt:lpstr>mininc</vt:lpstr>
      <vt:lpstr>mrgf</vt:lpstr>
      <vt:lpstr>notes!mrgfvers</vt:lpstr>
      <vt:lpstr>mrgfvers</vt:lpstr>
      <vt:lpstr>newrates</vt:lpstr>
      <vt:lpstr>notes!nonop</vt:lpstr>
      <vt:lpstr>nonop</vt:lpstr>
      <vt:lpstr>nss</vt:lpstr>
      <vt:lpstr>opaid</vt:lpstr>
      <vt:lpstr>notes!order1755</vt:lpstr>
      <vt:lpstr>order1755</vt:lpstr>
      <vt:lpstr>notes!prelcont1755</vt:lpstr>
      <vt:lpstr>prelcont1755</vt:lpstr>
      <vt:lpstr>notes!prelcont436</vt:lpstr>
      <vt:lpstr>prelcont436</vt:lpstr>
      <vt:lpstr>'Aid436'!Print_Area</vt:lpstr>
      <vt:lpstr>'Comparison to FY24'!Print_Area</vt:lpstr>
      <vt:lpstr>'Foundation Budget'!Print_Area</vt:lpstr>
      <vt:lpstr>Index!Print_Area</vt:lpstr>
      <vt:lpstr>MoreAboutData!Print_Area</vt:lpstr>
      <vt:lpstr>'Municipal Contribution'!Print_Area</vt:lpstr>
      <vt:lpstr>parameters!Print_Area</vt:lpstr>
      <vt:lpstr>Rates!Print_Area</vt:lpstr>
      <vt:lpstr>'Regional Allocation'!Print_Area</vt:lpstr>
      <vt:lpstr>'Regional District Members'!Print_Area</vt:lpstr>
      <vt:lpstr>Summary!Print_Area</vt:lpstr>
      <vt:lpstr>'Aid436'!Print_Titles</vt:lpstr>
      <vt:lpstr>'Comparison to FY24'!Print_Titles</vt:lpstr>
      <vt:lpstr>MoreAboutData!Print_Titles</vt:lpstr>
      <vt:lpstr>'Regional District Members'!Print_Titles</vt:lpstr>
      <vt:lpstr>notes!priorc70</vt:lpstr>
      <vt:lpstr>priorc70</vt:lpstr>
      <vt:lpstr>pyenro</vt:lpstr>
      <vt:lpstr>pyfound1755</vt:lpstr>
      <vt:lpstr>notes!pynetmin</vt:lpstr>
      <vt:lpstr>pynetmin</vt:lpstr>
      <vt:lpstr>notes!PYr</vt:lpstr>
      <vt:lpstr>PYr</vt:lpstr>
      <vt:lpstr>notes!rednonop</vt:lpstr>
      <vt:lpstr>rednonop</vt:lpstr>
      <vt:lpstr>reg_list</vt:lpstr>
      <vt:lpstr>notes!reg_order</vt:lpstr>
      <vt:lpstr>reg_order</vt:lpstr>
      <vt:lpstr>notes!regcount</vt:lpstr>
      <vt:lpstr>regcount</vt:lpstr>
      <vt:lpstr>notes!regdetail</vt:lpstr>
      <vt:lpstr>regdetail</vt:lpstr>
      <vt:lpstr>notes!regdistricts</vt:lpstr>
      <vt:lpstr>regdistricts</vt:lpstr>
      <vt:lpstr>reglist</vt:lpstr>
      <vt:lpstr>regorder</vt:lpstr>
      <vt:lpstr>RegTable</vt:lpstr>
      <vt:lpstr>targaidperc</vt:lpstr>
      <vt:lpstr>targetstay</vt:lpstr>
      <vt:lpstr>notes!town1755</vt:lpstr>
      <vt:lpstr>town1755</vt:lpstr>
      <vt:lpstr>notes!town351</vt:lpstr>
      <vt:lpstr>town351</vt:lpstr>
      <vt:lpstr>'Foundation Budget'!waf</vt:lpstr>
      <vt:lpstr>whittier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FY25 Chapter 70 and Net School Spending Formula Spreadsheet</dc:title>
  <dc:creator>DESE</dc:creator>
  <cp:lastModifiedBy>Zou, Dong (EOE)</cp:lastModifiedBy>
  <cp:lastPrinted>2018-01-12T13:53:43Z</cp:lastPrinted>
  <dcterms:created xsi:type="dcterms:W3CDTF">1996-11-23T21:43:07Z</dcterms:created>
  <dcterms:modified xsi:type="dcterms:W3CDTF">2026-03-17T17:48:22Z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adate">
    <vt:lpwstr>Mar 17 2026 12:00AM</vt:lpwstr>
  </property>
</Properties>
</file>